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rary\Documents\"/>
    </mc:Choice>
  </mc:AlternateContent>
  <x:bookViews>
    <x:workbookView xWindow="10395" yWindow="-105" windowWidth="14850" windowHeight="12735"/>
  </x:bookViews>
  <x:sheets>
    <x:sheet name="BIData" sheetId="2" r:id="rId1"/>
    <x:sheet name="ReferenceData" sheetId="3" r:id="rId2"/>
    <x:sheet name="Help-Reference" sheetId="4" r:id="rId3"/>
  </x:sheets>
  <x:calcPr calcId="162913"/>
</x:workbook>
</file>

<file path=xl/calcChain.xml><?xml version="1.0" encoding="utf-8"?>
<x:calcChain xmlns:x="http://schemas.openxmlformats.org/spreadsheetml/2006/main">
  <x:c r="C1984" i="3" l="1"/>
  <x:c r="C1980" i="3"/>
  <x:c r="C1982" i="3"/>
  <x:c r="AG1996" i="3"/>
  <x:c r="AF1996" i="3"/>
  <x:c r="AE1996" i="3"/>
  <x:c r="AD1996" i="3"/>
  <x:c r="AC1996" i="3"/>
  <x:c r="AB1996" i="3"/>
  <x:c r="AA1996" i="3"/>
  <x:c r="Z1996" i="3"/>
  <x:c r="Y1996" i="3"/>
  <x:c r="X1996" i="3"/>
  <x:c r="W1996" i="3"/>
  <x:c r="V1996" i="3"/>
  <x:c r="U1996" i="3"/>
  <x:c r="T1996" i="3"/>
  <x:c r="E1996" i="3"/>
  <x:c r="D1996" i="3"/>
  <x:c r="C1996" i="3"/>
  <x:c r="B1996" i="3"/>
  <x:c r="A1996" i="3"/>
  <x:c r="AG1995" i="3"/>
  <x:c r="AF1995" i="3"/>
  <x:c r="AE1995" i="3"/>
  <x:c r="AD1995" i="3"/>
  <x:c r="AC1995" i="3"/>
  <x:c r="AB1995" i="3"/>
  <x:c r="AA1995" i="3"/>
  <x:c r="Z1995" i="3"/>
  <x:c r="Y1995" i="3"/>
  <x:c r="X1995" i="3"/>
  <x:c r="W1995" i="3"/>
  <x:c r="V1995" i="3"/>
  <x:c r="U1995" i="3"/>
  <x:c r="T1995" i="3"/>
  <x:c r="A1995" i="3"/>
  <x:c r="AG1994" i="3"/>
  <x:c r="AF1994" i="3"/>
  <x:c r="AE1994" i="3"/>
  <x:c r="AD1994" i="3"/>
  <x:c r="AC1994" i="3"/>
  <x:c r="AB1994" i="3"/>
  <x:c r="AA1994" i="3"/>
  <x:c r="Z1994" i="3"/>
  <x:c r="Y1994" i="3"/>
  <x:c r="X1994" i="3"/>
  <x:c r="W1994" i="3"/>
  <x:c r="V1994" i="3"/>
  <x:c r="U1994" i="3"/>
  <x:c r="T1994" i="3"/>
  <x:c r="A1994" i="3"/>
  <x:c r="AG1993" i="3"/>
  <x:c r="AF1993" i="3"/>
  <x:c r="AE1993" i="3"/>
  <x:c r="AD1993" i="3"/>
  <x:c r="AC1993" i="3"/>
  <x:c r="AB1993" i="3"/>
  <x:c r="AA1993" i="3"/>
  <x:c r="Z1993" i="3"/>
  <x:c r="Y1993" i="3"/>
  <x:c r="X1993" i="3"/>
  <x:c r="W1993" i="3"/>
  <x:c r="V1993" i="3"/>
  <x:c r="U1993" i="3"/>
  <x:c r="T1993" i="3"/>
  <x:c r="A1993" i="3"/>
  <x:c r="AG1992" i="3"/>
  <x:c r="AF1992" i="3"/>
  <x:c r="AE1992" i="3"/>
  <x:c r="AD1992" i="3"/>
  <x:c r="AC1992" i="3"/>
  <x:c r="AB1992" i="3"/>
  <x:c r="AA1992" i="3"/>
  <x:c r="Z1992" i="3"/>
  <x:c r="Y1992" i="3"/>
  <x:c r="X1992" i="3"/>
  <x:c r="W1992" i="3"/>
  <x:c r="V1992" i="3"/>
  <x:c r="U1992" i="3"/>
  <x:c r="T1992" i="3"/>
  <x:c r="A1992" i="3"/>
  <x:c r="AG1991" i="3"/>
  <x:c r="AF1991" i="3"/>
  <x:c r="AE1991" i="3"/>
  <x:c r="AD1991" i="3"/>
  <x:c r="AC1991" i="3"/>
  <x:c r="AB1991" i="3"/>
  <x:c r="AA1991" i="3"/>
  <x:c r="Z1991" i="3"/>
  <x:c r="Y1991" i="3"/>
  <x:c r="X1991" i="3"/>
  <x:c r="W1991" i="3"/>
  <x:c r="V1991" i="3"/>
  <x:c r="U1991" i="3"/>
  <x:c r="T1991" i="3"/>
  <x:c r="A1991" i="3"/>
  <x:c r="AG1990" i="3"/>
  <x:c r="AF1990" i="3"/>
  <x:c r="AE1990" i="3"/>
  <x:c r="AD1990" i="3"/>
  <x:c r="AC1990" i="3"/>
  <x:c r="AB1990" i="3"/>
  <x:c r="AA1990" i="3"/>
  <x:c r="Z1990" i="3"/>
  <x:c r="Y1990" i="3"/>
  <x:c r="X1990" i="3"/>
  <x:c r="W1990" i="3"/>
  <x:c r="V1990" i="3"/>
  <x:c r="U1990" i="3"/>
  <x:c r="T1990" i="3"/>
  <x:c r="A1990" i="3"/>
  <x:c r="AG1989" i="3"/>
  <x:c r="AF1989" i="3"/>
  <x:c r="AE1989" i="3"/>
  <x:c r="AD1989" i="3"/>
  <x:c r="AC1989" i="3"/>
  <x:c r="AB1989" i="3"/>
  <x:c r="AA1989" i="3"/>
  <x:c r="Z1989" i="3"/>
  <x:c r="Y1989" i="3"/>
  <x:c r="X1989" i="3"/>
  <x:c r="W1989" i="3"/>
  <x:c r="V1989" i="3"/>
  <x:c r="U1989" i="3"/>
  <x:c r="T1989" i="3"/>
  <x:c r="A1989" i="3"/>
  <x:c r="AG1988" i="3"/>
  <x:c r="AF1988" i="3"/>
  <x:c r="AE1988" i="3"/>
  <x:c r="AD1988" i="3"/>
  <x:c r="AC1988" i="3"/>
  <x:c r="AB1988" i="3"/>
  <x:c r="AA1988" i="3"/>
  <x:c r="Z1988" i="3"/>
  <x:c r="Y1988" i="3"/>
  <x:c r="X1988" i="3"/>
  <x:c r="W1988" i="3"/>
  <x:c r="V1988" i="3"/>
  <x:c r="U1988" i="3"/>
  <x:c r="T1988" i="3"/>
  <x:c r="A1988" i="3"/>
  <x:c r="AG1987" i="3"/>
  <x:c r="AF1987" i="3"/>
  <x:c r="AE1987" i="3"/>
  <x:c r="AD1987" i="3"/>
  <x:c r="AC1987" i="3"/>
  <x:c r="AB1987" i="3"/>
  <x:c r="AA1987" i="3"/>
  <x:c r="Z1987" i="3"/>
  <x:c r="Y1987" i="3"/>
  <x:c r="X1987" i="3"/>
  <x:c r="W1987" i="3"/>
  <x:c r="V1987" i="3"/>
  <x:c r="U1987" i="3"/>
  <x:c r="T1987" i="3"/>
  <x:c r="A1987" i="3"/>
  <x:c r="AG1986" i="3"/>
  <x:c r="AF1986" i="3"/>
  <x:c r="AE1986" i="3"/>
  <x:c r="AD1986" i="3"/>
  <x:c r="AC1986" i="3"/>
  <x:c r="AB1986" i="3"/>
  <x:c r="AA1986" i="3"/>
  <x:c r="Z1986" i="3"/>
  <x:c r="Y1986" i="3"/>
  <x:c r="X1986" i="3"/>
  <x:c r="W1986" i="3"/>
  <x:c r="V1986" i="3"/>
  <x:c r="U1986" i="3"/>
  <x:c r="T1986" i="3"/>
  <x:c r="A1986" i="3"/>
  <x:c r="AG1985" i="3"/>
  <x:c r="AF1985" i="3"/>
  <x:c r="AE1985" i="3"/>
  <x:c r="AD1985" i="3"/>
  <x:c r="AC1985" i="3"/>
  <x:c r="AB1985" i="3"/>
  <x:c r="AA1985" i="3"/>
  <x:c r="Z1985" i="3"/>
  <x:c r="Y1985" i="3"/>
  <x:c r="X1985" i="3"/>
  <x:c r="W1985" i="3"/>
  <x:c r="V1985" i="3"/>
  <x:c r="U1985" i="3"/>
  <x:c r="T1985" i="3"/>
  <x:c r="A1985" i="3"/>
  <x:c r="AG1984" i="3"/>
  <x:c r="AF1984" i="3"/>
  <x:c r="AE1984" i="3"/>
  <x:c r="AD1984" i="3"/>
  <x:c r="AC1984" i="3"/>
  <x:c r="AB1984" i="3"/>
  <x:c r="AA1984" i="3"/>
  <x:c r="Z1984" i="3"/>
  <x:c r="Y1984" i="3"/>
  <x:c r="X1984" i="3"/>
  <x:c r="W1984" i="3"/>
  <x:c r="V1984" i="3"/>
  <x:c r="U1984" i="3"/>
  <x:c r="T1984" i="3"/>
  <x:c r="A1984" i="3"/>
  <x:c r="AG1983" i="3"/>
  <x:c r="AF1983" i="3"/>
  <x:c r="AE1983" i="3"/>
  <x:c r="AD1983" i="3"/>
  <x:c r="AC1983" i="3"/>
  <x:c r="AB1983" i="3"/>
  <x:c r="AA1983" i="3"/>
  <x:c r="Z1983" i="3"/>
  <x:c r="Y1983" i="3"/>
  <x:c r="X1983" i="3"/>
  <x:c r="W1983" i="3"/>
  <x:c r="V1983" i="3"/>
  <x:c r="U1983" i="3"/>
  <x:c r="T1983" i="3"/>
  <x:c r="A1983" i="3"/>
  <x:c r="AG1982" i="3"/>
  <x:c r="AF1982" i="3"/>
  <x:c r="AE1982" i="3"/>
  <x:c r="AD1982" i="3"/>
  <x:c r="AC1982" i="3"/>
  <x:c r="AB1982" i="3"/>
  <x:c r="AA1982" i="3"/>
  <x:c r="Z1982" i="3"/>
  <x:c r="Y1982" i="3"/>
  <x:c r="X1982" i="3"/>
  <x:c r="W1982" i="3"/>
  <x:c r="V1982" i="3"/>
  <x:c r="U1982" i="3"/>
  <x:c r="T1982" i="3"/>
  <x:c r="A1982" i="3"/>
  <x:c r="AG1981" i="3"/>
  <x:c r="AF1981" i="3"/>
  <x:c r="AE1981" i="3"/>
  <x:c r="AD1981" i="3"/>
  <x:c r="AC1981" i="3"/>
  <x:c r="AB1981" i="3"/>
  <x:c r="AA1981" i="3"/>
  <x:c r="Z1981" i="3"/>
  <x:c r="Y1981" i="3"/>
  <x:c r="X1981" i="3"/>
  <x:c r="W1981" i="3"/>
  <x:c r="V1981" i="3"/>
  <x:c r="U1981" i="3"/>
  <x:c r="T1981" i="3"/>
  <x:c r="A1981" i="3"/>
  <x:c r="AG1980" i="3"/>
  <x:c r="AF1980" i="3"/>
  <x:c r="AE1980" i="3"/>
  <x:c r="AD1980" i="3"/>
  <x:c r="AC1980" i="3"/>
  <x:c r="AB1980" i="3"/>
  <x:c r="AA1980" i="3"/>
  <x:c r="Z1980" i="3"/>
  <x:c r="Y1980" i="3"/>
  <x:c r="X1980" i="3"/>
  <x:c r="W1980" i="3"/>
  <x:c r="V1980" i="3"/>
  <x:c r="U1980" i="3"/>
  <x:c r="T1980" i="3"/>
  <x:c r="A1980" i="3"/>
  <x:c r="AG1979" i="3"/>
  <x:c r="AF1979" i="3"/>
  <x:c r="AE1979" i="3"/>
  <x:c r="AD1979" i="3"/>
  <x:c r="AC1979" i="3"/>
  <x:c r="AB1979" i="3"/>
  <x:c r="AA1979" i="3"/>
  <x:c r="Z1979" i="3"/>
  <x:c r="Y1979" i="3"/>
  <x:c r="X1979" i="3"/>
  <x:c r="W1979" i="3"/>
  <x:c r="V1979" i="3"/>
  <x:c r="U1979" i="3"/>
  <x:c r="T1979" i="3"/>
  <x:c r="P1979" i="3"/>
  <x:c r="O1979" i="3"/>
  <x:c r="N1979" i="3"/>
  <x:c r="M1979" i="3"/>
  <x:c r="L1979" i="3"/>
  <x:c r="K1979" i="3"/>
  <x:c r="J1979" i="3"/>
  <x:c r="I1979" i="3"/>
  <x:c r="H1979" i="3"/>
  <x:c r="G1979" i="3"/>
  <x:c r="F1979" i="3"/>
  <x:c r="E1979" i="3"/>
  <x:c r="D1979" i="3"/>
  <x:c r="C1979" i="3"/>
  <x:c r="B1979" i="3"/>
  <x:c r="A1979" i="3"/>
  <x:c r="AG1978" i="3"/>
  <x:c r="AF1978" i="3"/>
  <x:c r="AE1978" i="3"/>
  <x:c r="AD1978" i="3"/>
  <x:c r="AC1978" i="3"/>
  <x:c r="AB1978" i="3"/>
  <x:c r="AA1978" i="3"/>
  <x:c r="Z1978" i="3"/>
  <x:c r="Y1978" i="3"/>
  <x:c r="X1978" i="3"/>
  <x:c r="W1978" i="3"/>
  <x:c r="V1978" i="3"/>
  <x:c r="U1978" i="3"/>
  <x:c r="T1978" i="3"/>
  <x:c r="E1978" i="3"/>
  <x:c r="D1978" i="3"/>
  <x:c r="C1978" i="3"/>
  <x:c r="B1978" i="3"/>
  <x:c r="A1978" i="3"/>
  <x:c r="AG1977" i="3"/>
  <x:c r="AF1977" i="3"/>
  <x:c r="AE1977" i="3"/>
  <x:c r="AD1977" i="3"/>
  <x:c r="AC1977" i="3"/>
  <x:c r="AB1977" i="3"/>
  <x:c r="AA1977" i="3"/>
  <x:c r="Z1977" i="3"/>
  <x:c r="Y1977" i="3"/>
  <x:c r="X1977" i="3"/>
  <x:c r="W1977" i="3"/>
  <x:c r="V1977" i="3"/>
  <x:c r="U1977" i="3"/>
  <x:c r="T1977" i="3"/>
  <x:c r="E1977" i="3"/>
  <x:c r="D1977" i="3"/>
  <x:c r="C1977" i="3"/>
  <x:c r="B1977" i="3"/>
  <x:c r="A1977" i="3"/>
  <x:c r="AG1976" i="3"/>
  <x:c r="AF1976" i="3"/>
  <x:c r="AE1976" i="3"/>
  <x:c r="AD1976" i="3"/>
  <x:c r="AC1976" i="3"/>
  <x:c r="AB1976" i="3"/>
  <x:c r="AA1976" i="3"/>
  <x:c r="Z1976" i="3"/>
  <x:c r="Y1976" i="3"/>
  <x:c r="X1976" i="3"/>
  <x:c r="W1976" i="3"/>
  <x:c r="V1976" i="3"/>
  <x:c r="U1976" i="3"/>
  <x:c r="T1976" i="3"/>
  <x:c r="E1976" i="3"/>
  <x:c r="D1976" i="3"/>
  <x:c r="C1976" i="3"/>
  <x:c r="A1976" i="3"/>
  <x:c r="AG1975" i="3"/>
  <x:c r="AF1975" i="3"/>
  <x:c r="AE1975" i="3"/>
  <x:c r="AD1975" i="3"/>
  <x:c r="AC1975" i="3"/>
  <x:c r="AB1975" i="3"/>
  <x:c r="AA1975" i="3"/>
  <x:c r="Z1975" i="3"/>
  <x:c r="Y1975" i="3"/>
  <x:c r="X1975" i="3"/>
  <x:c r="W1975" i="3"/>
  <x:c r="V1975" i="3"/>
  <x:c r="U1975" i="3"/>
  <x:c r="T1975" i="3"/>
  <x:c r="E1975" i="3"/>
  <x:c r="D1975" i="3"/>
  <x:c r="C1975" i="3"/>
  <x:c r="B1975" i="3"/>
  <x:c r="A1975" i="3"/>
  <x:c r="AG1974" i="3"/>
  <x:c r="AF1974" i="3"/>
  <x:c r="AE1974" i="3"/>
  <x:c r="AD1974" i="3"/>
  <x:c r="AC1974" i="3"/>
  <x:c r="AB1974" i="3"/>
  <x:c r="AA1974" i="3"/>
  <x:c r="Z1974" i="3"/>
  <x:c r="Y1974" i="3"/>
  <x:c r="X1974" i="3"/>
  <x:c r="W1974" i="3"/>
  <x:c r="V1974" i="3"/>
  <x:c r="U1974" i="3"/>
  <x:c r="T1974" i="3"/>
  <x:c r="A1974" i="3"/>
  <x:c r="AG1973" i="3"/>
  <x:c r="AF1973" i="3"/>
  <x:c r="AE1973" i="3"/>
  <x:c r="AD1973" i="3"/>
  <x:c r="AC1973" i="3"/>
  <x:c r="AB1973" i="3"/>
  <x:c r="AA1973" i="3"/>
  <x:c r="Z1973" i="3"/>
  <x:c r="Y1973" i="3"/>
  <x:c r="X1973" i="3"/>
  <x:c r="W1973" i="3"/>
  <x:c r="V1973" i="3"/>
  <x:c r="U1973" i="3"/>
  <x:c r="T1973" i="3"/>
  <x:c r="E1973" i="3"/>
  <x:c r="D1973" i="3"/>
  <x:c r="C1973" i="3"/>
  <x:c r="B1973" i="3"/>
  <x:c r="A1973" i="3"/>
  <x:c r="AG1972" i="3"/>
  <x:c r="AF1972" i="3"/>
  <x:c r="AE1972" i="3"/>
  <x:c r="AD1972" i="3"/>
  <x:c r="AC1972" i="3"/>
  <x:c r="AB1972" i="3"/>
  <x:c r="AA1972" i="3"/>
  <x:c r="Z1972" i="3"/>
  <x:c r="Y1972" i="3"/>
  <x:c r="X1972" i="3"/>
  <x:c r="W1972" i="3"/>
  <x:c r="V1972" i="3"/>
  <x:c r="U1972" i="3"/>
  <x:c r="T1972" i="3"/>
  <x:c r="E1972" i="3"/>
  <x:c r="D1972" i="3"/>
  <x:c r="C1972" i="3"/>
  <x:c r="B1972" i="3"/>
  <x:c r="A1972" i="3"/>
  <x:c r="AG1971" i="3"/>
  <x:c r="AF1971" i="3"/>
  <x:c r="AE1971" i="3"/>
  <x:c r="AD1971" i="3"/>
  <x:c r="AC1971" i="3"/>
  <x:c r="AB1971" i="3"/>
  <x:c r="AA1971" i="3"/>
  <x:c r="Z1971" i="3"/>
  <x:c r="Y1971" i="3"/>
  <x:c r="X1971" i="3"/>
  <x:c r="W1971" i="3"/>
  <x:c r="V1971" i="3"/>
  <x:c r="U1971" i="3"/>
  <x:c r="T1971" i="3"/>
  <x:c r="E1971" i="3"/>
  <x:c r="D1971" i="3"/>
  <x:c r="C1971" i="3"/>
  <x:c r="B1971" i="3"/>
  <x:c r="A1971" i="3"/>
  <x:c r="AG1970" i="3"/>
  <x:c r="AF1970" i="3"/>
  <x:c r="AE1970" i="3"/>
  <x:c r="AD1970" i="3"/>
  <x:c r="AC1970" i="3"/>
  <x:c r="AB1970" i="3"/>
  <x:c r="AA1970" i="3"/>
  <x:c r="Z1970" i="3"/>
  <x:c r="Y1970" i="3"/>
  <x:c r="X1970" i="3"/>
  <x:c r="W1970" i="3"/>
  <x:c r="V1970" i="3"/>
  <x:c r="U1970" i="3"/>
  <x:c r="T1970" i="3"/>
  <x:c r="E1970" i="3"/>
  <x:c r="D1970" i="3"/>
  <x:c r="C1970" i="3"/>
  <x:c r="B1970" i="3"/>
  <x:c r="A1970" i="3"/>
  <x:c r="AG1969" i="3"/>
  <x:c r="AF1969" i="3"/>
  <x:c r="AE1969" i="3"/>
  <x:c r="AD1969" i="3"/>
  <x:c r="AC1969" i="3"/>
  <x:c r="AB1969" i="3"/>
  <x:c r="AA1969" i="3"/>
  <x:c r="Z1969" i="3"/>
  <x:c r="Y1969" i="3"/>
  <x:c r="X1969" i="3"/>
  <x:c r="W1969" i="3"/>
  <x:c r="V1969" i="3"/>
  <x:c r="U1969" i="3"/>
  <x:c r="T1969" i="3"/>
  <x:c r="E1969" i="3"/>
  <x:c r="D1969" i="3"/>
  <x:c r="C1969" i="3"/>
  <x:c r="B1969" i="3"/>
  <x:c r="A1969" i="3"/>
  <x:c r="AG1968" i="3"/>
  <x:c r="AF1968" i="3"/>
  <x:c r="AE1968" i="3"/>
  <x:c r="AD1968" i="3"/>
  <x:c r="AC1968" i="3"/>
  <x:c r="AB1968" i="3"/>
  <x:c r="AA1968" i="3"/>
  <x:c r="Z1968" i="3"/>
  <x:c r="Y1968" i="3"/>
  <x:c r="X1968" i="3"/>
  <x:c r="W1968" i="3"/>
  <x:c r="V1968" i="3"/>
  <x:c r="U1968" i="3"/>
  <x:c r="T1968" i="3"/>
  <x:c r="E1968" i="3"/>
  <x:c r="D1968" i="3"/>
  <x:c r="C1968" i="3"/>
  <x:c r="B1968" i="3"/>
  <x:c r="A1968" i="3"/>
  <x:c r="AG1967" i="3"/>
  <x:c r="AF1967" i="3"/>
  <x:c r="AE1967" i="3"/>
  <x:c r="AD1967" i="3"/>
  <x:c r="AC1967" i="3"/>
  <x:c r="AB1967" i="3"/>
  <x:c r="AA1967" i="3"/>
  <x:c r="Z1967" i="3"/>
  <x:c r="Y1967" i="3"/>
  <x:c r="X1967" i="3"/>
  <x:c r="W1967" i="3"/>
  <x:c r="V1967" i="3"/>
  <x:c r="U1967" i="3"/>
  <x:c r="T1967" i="3"/>
  <x:c r="E1967" i="3"/>
  <x:c r="D1967" i="3"/>
  <x:c r="C1967" i="3"/>
  <x:c r="B1967" i="3"/>
  <x:c r="AG1966" i="3"/>
  <x:c r="AF1966" i="3"/>
  <x:c r="AE1966" i="3"/>
  <x:c r="AD1966" i="3"/>
  <x:c r="AC1966" i="3"/>
  <x:c r="AB1966" i="3"/>
  <x:c r="AA1966" i="3"/>
  <x:c r="Z1966" i="3"/>
  <x:c r="Y1966" i="3"/>
  <x:c r="X1966" i="3"/>
  <x:c r="W1966" i="3"/>
  <x:c r="V1966" i="3"/>
  <x:c r="U1966" i="3"/>
  <x:c r="T1966" i="3"/>
  <x:c r="E1966" i="3"/>
  <x:c r="D1966" i="3"/>
  <x:c r="C1966" i="3"/>
  <x:c r="B1966" i="3"/>
  <x:c r="AG1965" i="3"/>
  <x:c r="AF1965" i="3"/>
  <x:c r="AE1965" i="3"/>
  <x:c r="AD1965" i="3"/>
  <x:c r="AC1965" i="3"/>
  <x:c r="AB1965" i="3"/>
  <x:c r="AA1965" i="3"/>
  <x:c r="Z1965" i="3"/>
  <x:c r="Y1965" i="3"/>
  <x:c r="X1965" i="3"/>
  <x:c r="W1965" i="3"/>
  <x:c r="V1965" i="3"/>
  <x:c r="U1965" i="3"/>
  <x:c r="T1965" i="3"/>
  <x:c r="E1965" i="3"/>
  <x:c r="D1965" i="3"/>
  <x:c r="C1965" i="3"/>
  <x:c r="B1965" i="3"/>
  <x:c r="AG1964" i="3"/>
  <x:c r="AF1964" i="3"/>
  <x:c r="AE1964" i="3"/>
  <x:c r="AD1964" i="3"/>
  <x:c r="AC1964" i="3"/>
  <x:c r="AB1964" i="3"/>
  <x:c r="AA1964" i="3"/>
  <x:c r="Z1964" i="3"/>
  <x:c r="Y1964" i="3"/>
  <x:c r="X1964" i="3"/>
  <x:c r="W1964" i="3"/>
  <x:c r="V1964" i="3"/>
  <x:c r="U1964" i="3"/>
  <x:c r="T1964" i="3"/>
  <x:c r="E1964" i="3"/>
  <x:c r="D1964" i="3"/>
  <x:c r="C1964" i="3"/>
  <x:c r="B1964" i="3"/>
  <x:c r="AG1963" i="3"/>
  <x:c r="AF1963" i="3"/>
  <x:c r="AE1963" i="3"/>
  <x:c r="AD1963" i="3"/>
  <x:c r="AC1963" i="3"/>
  <x:c r="AB1963" i="3"/>
  <x:c r="AA1963" i="3"/>
  <x:c r="Z1963" i="3"/>
  <x:c r="Y1963" i="3"/>
  <x:c r="X1963" i="3"/>
  <x:c r="W1963" i="3"/>
  <x:c r="V1963" i="3"/>
  <x:c r="U1963" i="3"/>
  <x:c r="T1963" i="3"/>
  <x:c r="E1963" i="3"/>
  <x:c r="D1963" i="3"/>
  <x:c r="C1963" i="3"/>
  <x:c r="B1963" i="3"/>
  <x:c r="AG1962" i="3"/>
  <x:c r="AF1962" i="3"/>
  <x:c r="AE1962" i="3"/>
  <x:c r="AD1962" i="3"/>
  <x:c r="AC1962" i="3"/>
  <x:c r="AB1962" i="3"/>
  <x:c r="AA1962" i="3"/>
  <x:c r="Z1962" i="3"/>
  <x:c r="Y1962" i="3"/>
  <x:c r="X1962" i="3"/>
  <x:c r="W1962" i="3"/>
  <x:c r="V1962" i="3"/>
  <x:c r="U1962" i="3"/>
  <x:c r="T1962" i="3"/>
  <x:c r="E1962" i="3"/>
  <x:c r="D1962" i="3"/>
  <x:c r="C1962" i="3"/>
  <x:c r="B1962" i="3"/>
  <x:c r="AG1961" i="3"/>
  <x:c r="AF1961" i="3"/>
  <x:c r="AE1961" i="3"/>
  <x:c r="AD1961" i="3"/>
  <x:c r="AC1961" i="3"/>
  <x:c r="AB1961" i="3"/>
  <x:c r="AA1961" i="3"/>
  <x:c r="Z1961" i="3"/>
  <x:c r="Y1961" i="3"/>
  <x:c r="X1961" i="3"/>
  <x:c r="W1961" i="3"/>
  <x:c r="V1961" i="3"/>
  <x:c r="U1961" i="3"/>
  <x:c r="T1961" i="3"/>
  <x:c r="E1961" i="3"/>
  <x:c r="D1961" i="3"/>
  <x:c r="C1961" i="3"/>
  <x:c r="B1961" i="3"/>
  <x:c r="AG1960" i="3"/>
  <x:c r="AF1960" i="3"/>
  <x:c r="AE1960" i="3"/>
  <x:c r="AD1960" i="3"/>
  <x:c r="AC1960" i="3"/>
  <x:c r="AB1960" i="3"/>
  <x:c r="AA1960" i="3"/>
  <x:c r="Z1960" i="3"/>
  <x:c r="Y1960" i="3"/>
  <x:c r="X1960" i="3"/>
  <x:c r="W1960" i="3"/>
  <x:c r="V1960" i="3"/>
  <x:c r="U1960" i="3"/>
  <x:c r="T1960" i="3"/>
  <x:c r="E1960" i="3"/>
  <x:c r="D1960" i="3"/>
  <x:c r="C1960" i="3"/>
  <x:c r="B1960" i="3"/>
  <x:c r="AG1959" i="3"/>
  <x:c r="AF1959" i="3"/>
  <x:c r="AE1959" i="3"/>
  <x:c r="AD1959" i="3"/>
  <x:c r="AC1959" i="3"/>
  <x:c r="AB1959" i="3"/>
  <x:c r="AA1959" i="3"/>
  <x:c r="Z1959" i="3"/>
  <x:c r="Y1959" i="3"/>
  <x:c r="X1959" i="3"/>
  <x:c r="W1959" i="3"/>
  <x:c r="V1959" i="3"/>
  <x:c r="U1959" i="3"/>
  <x:c r="T1959" i="3"/>
  <x:c r="E1959" i="3"/>
  <x:c r="D1959" i="3"/>
  <x:c r="C1959" i="3"/>
  <x:c r="B1959" i="3"/>
  <x:c r="AG1958" i="3"/>
  <x:c r="AF1958" i="3"/>
  <x:c r="AE1958" i="3"/>
  <x:c r="AD1958" i="3"/>
  <x:c r="AC1958" i="3"/>
  <x:c r="AB1958" i="3"/>
  <x:c r="AA1958" i="3"/>
  <x:c r="Z1958" i="3"/>
  <x:c r="Y1958" i="3"/>
  <x:c r="X1958" i="3"/>
  <x:c r="W1958" i="3"/>
  <x:c r="V1958" i="3"/>
  <x:c r="U1958" i="3"/>
  <x:c r="T1958" i="3"/>
  <x:c r="E1958" i="3"/>
  <x:c r="D1958" i="3"/>
  <x:c r="C1958" i="3"/>
  <x:c r="B1958" i="3"/>
  <x:c r="AG1957" i="3"/>
  <x:c r="AF1957" i="3"/>
  <x:c r="AE1957" i="3"/>
  <x:c r="AD1957" i="3"/>
  <x:c r="AC1957" i="3"/>
  <x:c r="AB1957" i="3"/>
  <x:c r="AA1957" i="3"/>
  <x:c r="Z1957" i="3"/>
  <x:c r="Y1957" i="3"/>
  <x:c r="X1957" i="3"/>
  <x:c r="W1957" i="3"/>
  <x:c r="V1957" i="3"/>
  <x:c r="U1957" i="3"/>
  <x:c r="T1957" i="3"/>
  <x:c r="E1957" i="3"/>
  <x:c r="D1957" i="3"/>
  <x:c r="C1957" i="3"/>
  <x:c r="B1957" i="3"/>
  <x:c r="AG1956" i="3"/>
  <x:c r="AF1956" i="3"/>
  <x:c r="AE1956" i="3"/>
  <x:c r="AD1956" i="3"/>
  <x:c r="AC1956" i="3"/>
  <x:c r="AB1956" i="3"/>
  <x:c r="AA1956" i="3"/>
  <x:c r="Z1956" i="3"/>
  <x:c r="Y1956" i="3"/>
  <x:c r="X1956" i="3"/>
  <x:c r="W1956" i="3"/>
  <x:c r="V1956" i="3"/>
  <x:c r="U1956" i="3"/>
  <x:c r="T1956" i="3"/>
  <x:c r="E1956" i="3"/>
  <x:c r="D1956" i="3"/>
  <x:c r="C1956" i="3"/>
  <x:c r="B1956" i="3"/>
  <x:c r="AG1955" i="3"/>
  <x:c r="AF1955" i="3"/>
  <x:c r="AE1955" i="3"/>
  <x:c r="AD1955" i="3"/>
  <x:c r="AC1955" i="3"/>
  <x:c r="AB1955" i="3"/>
  <x:c r="AA1955" i="3"/>
  <x:c r="Z1955" i="3"/>
  <x:c r="Y1955" i="3"/>
  <x:c r="X1955" i="3"/>
  <x:c r="W1955" i="3"/>
  <x:c r="V1955" i="3"/>
  <x:c r="U1955" i="3"/>
  <x:c r="T1955" i="3"/>
  <x:c r="E1955" i="3"/>
  <x:c r="D1955" i="3"/>
  <x:c r="C1955" i="3"/>
  <x:c r="B1955" i="3"/>
  <x:c r="AG1954" i="3"/>
  <x:c r="AF1954" i="3"/>
  <x:c r="AE1954" i="3"/>
  <x:c r="AD1954" i="3"/>
  <x:c r="AC1954" i="3"/>
  <x:c r="AB1954" i="3"/>
  <x:c r="AA1954" i="3"/>
  <x:c r="Z1954" i="3"/>
  <x:c r="Y1954" i="3"/>
  <x:c r="X1954" i="3"/>
  <x:c r="W1954" i="3"/>
  <x:c r="V1954" i="3"/>
  <x:c r="U1954" i="3"/>
  <x:c r="T1954" i="3"/>
  <x:c r="E1954" i="3"/>
  <x:c r="D1954" i="3"/>
  <x:c r="C1954" i="3"/>
  <x:c r="B1954" i="3"/>
  <x:c r="AG1953" i="3"/>
  <x:c r="AF1953" i="3"/>
  <x:c r="AE1953" i="3"/>
  <x:c r="AD1953" i="3"/>
  <x:c r="AC1953" i="3"/>
  <x:c r="AB1953" i="3"/>
  <x:c r="AA1953" i="3"/>
  <x:c r="Z1953" i="3"/>
  <x:c r="Y1953" i="3"/>
  <x:c r="X1953" i="3"/>
  <x:c r="W1953" i="3"/>
  <x:c r="V1953" i="3"/>
  <x:c r="U1953" i="3"/>
  <x:c r="T1953" i="3"/>
  <x:c r="E1953" i="3"/>
  <x:c r="D1953" i="3"/>
  <x:c r="C1953" i="3"/>
  <x:c r="B1953" i="3"/>
  <x:c r="AG1952" i="3"/>
  <x:c r="AF1952" i="3"/>
  <x:c r="AE1952" i="3"/>
  <x:c r="AD1952" i="3"/>
  <x:c r="AC1952" i="3"/>
  <x:c r="AB1952" i="3"/>
  <x:c r="AA1952" i="3"/>
  <x:c r="Z1952" i="3"/>
  <x:c r="Y1952" i="3"/>
  <x:c r="X1952" i="3"/>
  <x:c r="W1952" i="3"/>
  <x:c r="V1952" i="3"/>
  <x:c r="U1952" i="3"/>
  <x:c r="T1952" i="3"/>
  <x:c r="E1952" i="3"/>
  <x:c r="D1952" i="3"/>
  <x:c r="C1952" i="3"/>
  <x:c r="B1952" i="3"/>
  <x:c r="AG1951" i="3"/>
  <x:c r="AF1951" i="3"/>
  <x:c r="AE1951" i="3"/>
  <x:c r="AD1951" i="3"/>
  <x:c r="AC1951" i="3"/>
  <x:c r="AB1951" i="3"/>
  <x:c r="AA1951" i="3"/>
  <x:c r="Z1951" i="3"/>
  <x:c r="Y1951" i="3"/>
  <x:c r="X1951" i="3"/>
  <x:c r="W1951" i="3"/>
  <x:c r="V1951" i="3"/>
  <x:c r="U1951" i="3"/>
  <x:c r="T1951" i="3"/>
  <x:c r="E1951" i="3"/>
  <x:c r="D1951" i="3"/>
  <x:c r="C1951" i="3"/>
  <x:c r="B1951" i="3"/>
  <x:c r="AG1950" i="3"/>
  <x:c r="AF1950" i="3"/>
  <x:c r="AE1950" i="3"/>
  <x:c r="AD1950" i="3"/>
  <x:c r="AC1950" i="3"/>
  <x:c r="AB1950" i="3"/>
  <x:c r="AA1950" i="3"/>
  <x:c r="Z1950" i="3"/>
  <x:c r="Y1950" i="3"/>
  <x:c r="X1950" i="3"/>
  <x:c r="W1950" i="3"/>
  <x:c r="V1950" i="3"/>
  <x:c r="U1950" i="3"/>
  <x:c r="T1950" i="3"/>
  <x:c r="E1950" i="3"/>
  <x:c r="D1950" i="3"/>
  <x:c r="C1950" i="3"/>
  <x:c r="B1950" i="3"/>
  <x:c r="AG1949" i="3"/>
  <x:c r="AF1949" i="3"/>
  <x:c r="AE1949" i="3"/>
  <x:c r="AD1949" i="3"/>
  <x:c r="AC1949" i="3"/>
  <x:c r="AB1949" i="3"/>
  <x:c r="AA1949" i="3"/>
  <x:c r="Z1949" i="3"/>
  <x:c r="Y1949" i="3"/>
  <x:c r="X1949" i="3"/>
  <x:c r="W1949" i="3"/>
  <x:c r="V1949" i="3"/>
  <x:c r="U1949" i="3"/>
  <x:c r="T1949" i="3"/>
  <x:c r="E1949" i="3"/>
  <x:c r="D1949" i="3"/>
  <x:c r="C1949" i="3"/>
  <x:c r="B1949" i="3"/>
  <x:c r="AG1948" i="3"/>
  <x:c r="AF1948" i="3"/>
  <x:c r="AE1948" i="3"/>
  <x:c r="AD1948" i="3"/>
  <x:c r="AC1948" i="3"/>
  <x:c r="AB1948" i="3"/>
  <x:c r="AA1948" i="3"/>
  <x:c r="Z1948" i="3"/>
  <x:c r="Y1948" i="3"/>
  <x:c r="X1948" i="3"/>
  <x:c r="W1948" i="3"/>
  <x:c r="V1948" i="3"/>
  <x:c r="U1948" i="3"/>
  <x:c r="T1948" i="3"/>
  <x:c r="E1948" i="3"/>
  <x:c r="D1948" i="3"/>
  <x:c r="C1948" i="3"/>
  <x:c r="B1948" i="3"/>
  <x:c r="AG1947" i="3"/>
  <x:c r="AF1947" i="3"/>
  <x:c r="AE1947" i="3"/>
  <x:c r="AD1947" i="3"/>
  <x:c r="AC1947" i="3"/>
  <x:c r="AB1947" i="3"/>
  <x:c r="AA1947" i="3"/>
  <x:c r="Z1947" i="3"/>
  <x:c r="Y1947" i="3"/>
  <x:c r="X1947" i="3"/>
  <x:c r="W1947" i="3"/>
  <x:c r="V1947" i="3"/>
  <x:c r="U1947" i="3"/>
  <x:c r="T1947" i="3"/>
  <x:c r="E1947" i="3"/>
  <x:c r="D1947" i="3"/>
  <x:c r="C1947" i="3"/>
  <x:c r="B1947" i="3"/>
  <x:c r="AG1946" i="3"/>
  <x:c r="AF1946" i="3"/>
  <x:c r="AE1946" i="3"/>
  <x:c r="AD1946" i="3"/>
  <x:c r="AC1946" i="3"/>
  <x:c r="AB1946" i="3"/>
  <x:c r="AA1946" i="3"/>
  <x:c r="Z1946" i="3"/>
  <x:c r="Y1946" i="3"/>
  <x:c r="X1946" i="3"/>
  <x:c r="W1946" i="3"/>
  <x:c r="V1946" i="3"/>
  <x:c r="U1946" i="3"/>
  <x:c r="T1946" i="3"/>
  <x:c r="E1946" i="3"/>
  <x:c r="D1946" i="3"/>
  <x:c r="C1946" i="3"/>
  <x:c r="B1946" i="3"/>
  <x:c r="AG1945" i="3"/>
  <x:c r="AF1945" i="3"/>
  <x:c r="AE1945" i="3"/>
  <x:c r="AD1945" i="3"/>
  <x:c r="AC1945" i="3"/>
  <x:c r="AB1945" i="3"/>
  <x:c r="AA1945" i="3"/>
  <x:c r="Z1945" i="3"/>
  <x:c r="Y1945" i="3"/>
  <x:c r="X1945" i="3"/>
  <x:c r="W1945" i="3"/>
  <x:c r="V1945" i="3"/>
  <x:c r="U1945" i="3"/>
  <x:c r="T1945" i="3"/>
  <x:c r="E1945" i="3"/>
  <x:c r="D1945" i="3"/>
  <x:c r="C1945" i="3"/>
  <x:c r="B1945" i="3"/>
  <x:c r="AG1944" i="3"/>
  <x:c r="AF1944" i="3"/>
  <x:c r="AE1944" i="3"/>
  <x:c r="AD1944" i="3"/>
  <x:c r="AC1944" i="3"/>
  <x:c r="AB1944" i="3"/>
  <x:c r="AA1944" i="3"/>
  <x:c r="Z1944" i="3"/>
  <x:c r="Y1944" i="3"/>
  <x:c r="X1944" i="3"/>
  <x:c r="W1944" i="3"/>
  <x:c r="V1944" i="3"/>
  <x:c r="U1944" i="3"/>
  <x:c r="T1944" i="3"/>
  <x:c r="E1944" i="3"/>
  <x:c r="D1944" i="3"/>
  <x:c r="C1944" i="3"/>
  <x:c r="B1944" i="3"/>
  <x:c r="AG1943" i="3"/>
  <x:c r="AF1943" i="3"/>
  <x:c r="AE1943" i="3"/>
  <x:c r="AD1943" i="3"/>
  <x:c r="AC1943" i="3"/>
  <x:c r="AB1943" i="3"/>
  <x:c r="AA1943" i="3"/>
  <x:c r="Z1943" i="3"/>
  <x:c r="Y1943" i="3"/>
  <x:c r="X1943" i="3"/>
  <x:c r="W1943" i="3"/>
  <x:c r="V1943" i="3"/>
  <x:c r="U1943" i="3"/>
  <x:c r="T1943" i="3"/>
  <x:c r="E1943" i="3"/>
  <x:c r="D1943" i="3"/>
  <x:c r="C1943" i="3"/>
  <x:c r="B1943" i="3"/>
  <x:c r="AG1942" i="3"/>
  <x:c r="AF1942" i="3"/>
  <x:c r="AE1942" i="3"/>
  <x:c r="AD1942" i="3"/>
  <x:c r="AC1942" i="3"/>
  <x:c r="AB1942" i="3"/>
  <x:c r="AA1942" i="3"/>
  <x:c r="Z1942" i="3"/>
  <x:c r="Y1942" i="3"/>
  <x:c r="X1942" i="3"/>
  <x:c r="W1942" i="3"/>
  <x:c r="V1942" i="3"/>
  <x:c r="U1942" i="3"/>
  <x:c r="T1942" i="3"/>
  <x:c r="E1942" i="3"/>
  <x:c r="D1942" i="3"/>
  <x:c r="C1942" i="3"/>
  <x:c r="B1942" i="3"/>
  <x:c r="AG1941" i="3"/>
  <x:c r="AF1941" i="3"/>
  <x:c r="AE1941" i="3"/>
  <x:c r="AD1941" i="3"/>
  <x:c r="AC1941" i="3"/>
  <x:c r="AB1941" i="3"/>
  <x:c r="AA1941" i="3"/>
  <x:c r="Z1941" i="3"/>
  <x:c r="Y1941" i="3"/>
  <x:c r="X1941" i="3"/>
  <x:c r="W1941" i="3"/>
  <x:c r="V1941" i="3"/>
  <x:c r="U1941" i="3"/>
  <x:c r="T1941" i="3"/>
  <x:c r="E1941" i="3"/>
  <x:c r="D1941" i="3"/>
  <x:c r="C1941" i="3"/>
  <x:c r="B1941" i="3"/>
  <x:c r="AG1940" i="3"/>
  <x:c r="AF1940" i="3"/>
  <x:c r="AE1940" i="3"/>
  <x:c r="AD1940" i="3"/>
  <x:c r="AC1940" i="3"/>
  <x:c r="AB1940" i="3"/>
  <x:c r="AA1940" i="3"/>
  <x:c r="Z1940" i="3"/>
  <x:c r="Y1940" i="3"/>
  <x:c r="X1940" i="3"/>
  <x:c r="W1940" i="3"/>
  <x:c r="V1940" i="3"/>
  <x:c r="U1940" i="3"/>
  <x:c r="T1940" i="3"/>
  <x:c r="E1940" i="3"/>
  <x:c r="D1940" i="3"/>
  <x:c r="C1940" i="3"/>
  <x:c r="B1940" i="3"/>
  <x:c r="AG1939" i="3"/>
  <x:c r="AF1939" i="3"/>
  <x:c r="AE1939" i="3"/>
  <x:c r="AD1939" i="3"/>
  <x:c r="AC1939" i="3"/>
  <x:c r="AB1939" i="3"/>
  <x:c r="AA1939" i="3"/>
  <x:c r="Z1939" i="3"/>
  <x:c r="Y1939" i="3"/>
  <x:c r="X1939" i="3"/>
  <x:c r="W1939" i="3"/>
  <x:c r="V1939" i="3"/>
  <x:c r="U1939" i="3"/>
  <x:c r="T1939" i="3"/>
  <x:c r="E1939" i="3"/>
  <x:c r="D1939" i="3"/>
  <x:c r="C1939" i="3"/>
  <x:c r="B1939" i="3"/>
  <x:c r="AG1938" i="3"/>
  <x:c r="AF1938" i="3"/>
  <x:c r="AE1938" i="3"/>
  <x:c r="AD1938" i="3"/>
  <x:c r="AC1938" i="3"/>
  <x:c r="AB1938" i="3"/>
  <x:c r="AA1938" i="3"/>
  <x:c r="Z1938" i="3"/>
  <x:c r="Y1938" i="3"/>
  <x:c r="X1938" i="3"/>
  <x:c r="W1938" i="3"/>
  <x:c r="V1938" i="3"/>
  <x:c r="U1938" i="3"/>
  <x:c r="T1938" i="3"/>
  <x:c r="E1938" i="3"/>
  <x:c r="D1938" i="3"/>
  <x:c r="C1938" i="3"/>
  <x:c r="B1938" i="3"/>
  <x:c r="AG1937" i="3"/>
  <x:c r="AF1937" i="3"/>
  <x:c r="AE1937" i="3"/>
  <x:c r="AD1937" i="3"/>
  <x:c r="AC1937" i="3"/>
  <x:c r="AB1937" i="3"/>
  <x:c r="AA1937" i="3"/>
  <x:c r="Z1937" i="3"/>
  <x:c r="Y1937" i="3"/>
  <x:c r="X1937" i="3"/>
  <x:c r="W1937" i="3"/>
  <x:c r="V1937" i="3"/>
  <x:c r="U1937" i="3"/>
  <x:c r="T1937" i="3"/>
  <x:c r="E1937" i="3"/>
  <x:c r="D1937" i="3"/>
  <x:c r="C1937" i="3"/>
  <x:c r="B1937" i="3"/>
  <x:c r="AG1936" i="3"/>
  <x:c r="AF1936" i="3"/>
  <x:c r="AE1936" i="3"/>
  <x:c r="AD1936" i="3"/>
  <x:c r="AC1936" i="3"/>
  <x:c r="AB1936" i="3"/>
  <x:c r="AA1936" i="3"/>
  <x:c r="Z1936" i="3"/>
  <x:c r="Y1936" i="3"/>
  <x:c r="X1936" i="3"/>
  <x:c r="W1936" i="3"/>
  <x:c r="V1936" i="3"/>
  <x:c r="U1936" i="3"/>
  <x:c r="T1936" i="3"/>
  <x:c r="E1936" i="3"/>
  <x:c r="D1936" i="3"/>
  <x:c r="C1936" i="3"/>
  <x:c r="B1936" i="3"/>
  <x:c r="AG1935" i="3"/>
  <x:c r="AF1935" i="3"/>
  <x:c r="AE1935" i="3"/>
  <x:c r="AD1935" i="3"/>
  <x:c r="AC1935" i="3"/>
  <x:c r="AB1935" i="3"/>
  <x:c r="AA1935" i="3"/>
  <x:c r="Z1935" i="3"/>
  <x:c r="Y1935" i="3"/>
  <x:c r="X1935" i="3"/>
  <x:c r="W1935" i="3"/>
  <x:c r="V1935" i="3"/>
  <x:c r="U1935" i="3"/>
  <x:c r="T1935" i="3"/>
  <x:c r="E1935" i="3"/>
  <x:c r="D1935" i="3"/>
  <x:c r="C1935" i="3"/>
  <x:c r="B1935" i="3"/>
  <x:c r="AG1934" i="3"/>
  <x:c r="AF1934" i="3"/>
  <x:c r="AE1934" i="3"/>
  <x:c r="AD1934" i="3"/>
  <x:c r="AC1934" i="3"/>
  <x:c r="AB1934" i="3"/>
  <x:c r="AA1934" i="3"/>
  <x:c r="Z1934" i="3"/>
  <x:c r="Y1934" i="3"/>
  <x:c r="X1934" i="3"/>
  <x:c r="W1934" i="3"/>
  <x:c r="V1934" i="3"/>
  <x:c r="U1934" i="3"/>
  <x:c r="T1934" i="3"/>
  <x:c r="E1934" i="3"/>
  <x:c r="D1934" i="3"/>
  <x:c r="C1934" i="3"/>
  <x:c r="B1934" i="3"/>
  <x:c r="AG1933" i="3"/>
  <x:c r="AF1933" i="3"/>
  <x:c r="AE1933" i="3"/>
  <x:c r="AD1933" i="3"/>
  <x:c r="AC1933" i="3"/>
  <x:c r="AB1933" i="3"/>
  <x:c r="AA1933" i="3"/>
  <x:c r="Z1933" i="3"/>
  <x:c r="Y1933" i="3"/>
  <x:c r="X1933" i="3"/>
  <x:c r="W1933" i="3"/>
  <x:c r="V1933" i="3"/>
  <x:c r="U1933" i="3"/>
  <x:c r="T1933" i="3"/>
  <x:c r="E1933" i="3"/>
  <x:c r="D1933" i="3"/>
  <x:c r="C1933" i="3"/>
  <x:c r="B1933" i="3"/>
  <x:c r="AG1932" i="3"/>
  <x:c r="AF1932" i="3"/>
  <x:c r="AE1932" i="3"/>
  <x:c r="AD1932" i="3"/>
  <x:c r="AC1932" i="3"/>
  <x:c r="AB1932" i="3"/>
  <x:c r="AA1932" i="3"/>
  <x:c r="Z1932" i="3"/>
  <x:c r="Y1932" i="3"/>
  <x:c r="X1932" i="3"/>
  <x:c r="W1932" i="3"/>
  <x:c r="V1932" i="3"/>
  <x:c r="U1932" i="3"/>
  <x:c r="T1932" i="3"/>
  <x:c r="E1932" i="3"/>
  <x:c r="D1932" i="3"/>
  <x:c r="C1932" i="3"/>
  <x:c r="B1932" i="3"/>
  <x:c r="AG1931" i="3"/>
  <x:c r="AF1931" i="3"/>
  <x:c r="AE1931" i="3"/>
  <x:c r="AD1931" i="3"/>
  <x:c r="AC1931" i="3"/>
  <x:c r="AB1931" i="3"/>
  <x:c r="AA1931" i="3"/>
  <x:c r="Z1931" i="3"/>
  <x:c r="Y1931" i="3"/>
  <x:c r="X1931" i="3"/>
  <x:c r="W1931" i="3"/>
  <x:c r="V1931" i="3"/>
  <x:c r="U1931" i="3"/>
  <x:c r="T1931" i="3"/>
  <x:c r="E1931" i="3"/>
  <x:c r="D1931" i="3"/>
  <x:c r="C1931" i="3"/>
  <x:c r="B1931" i="3"/>
  <x:c r="AG1930" i="3"/>
  <x:c r="AF1930" i="3"/>
  <x:c r="AE1930" i="3"/>
  <x:c r="AD1930" i="3"/>
  <x:c r="AC1930" i="3"/>
  <x:c r="AB1930" i="3"/>
  <x:c r="AA1930" i="3"/>
  <x:c r="Z1930" i="3"/>
  <x:c r="Y1930" i="3"/>
  <x:c r="X1930" i="3"/>
  <x:c r="W1930" i="3"/>
  <x:c r="V1930" i="3"/>
  <x:c r="U1930" i="3"/>
  <x:c r="T1930" i="3"/>
  <x:c r="E1930" i="3"/>
  <x:c r="D1930" i="3"/>
  <x:c r="C1930" i="3"/>
  <x:c r="B1930" i="3"/>
  <x:c r="AG1929" i="3"/>
  <x:c r="AF1929" i="3"/>
  <x:c r="AE1929" i="3"/>
  <x:c r="AD1929" i="3"/>
  <x:c r="AC1929" i="3"/>
  <x:c r="AB1929" i="3"/>
  <x:c r="AA1929" i="3"/>
  <x:c r="Z1929" i="3"/>
  <x:c r="Y1929" i="3"/>
  <x:c r="X1929" i="3"/>
  <x:c r="W1929" i="3"/>
  <x:c r="V1929" i="3"/>
  <x:c r="U1929" i="3"/>
  <x:c r="T1929" i="3"/>
  <x:c r="E1929" i="3"/>
  <x:c r="D1929" i="3"/>
  <x:c r="C1929" i="3"/>
  <x:c r="B1929" i="3"/>
  <x:c r="AG1928" i="3"/>
  <x:c r="AF1928" i="3"/>
  <x:c r="AE1928" i="3"/>
  <x:c r="AD1928" i="3"/>
  <x:c r="AC1928" i="3"/>
  <x:c r="AB1928" i="3"/>
  <x:c r="AA1928" i="3"/>
  <x:c r="Z1928" i="3"/>
  <x:c r="Y1928" i="3"/>
  <x:c r="X1928" i="3"/>
  <x:c r="W1928" i="3"/>
  <x:c r="V1928" i="3"/>
  <x:c r="U1928" i="3"/>
  <x:c r="T1928" i="3"/>
  <x:c r="E1928" i="3"/>
  <x:c r="D1928" i="3"/>
  <x:c r="C1928" i="3"/>
  <x:c r="B1928" i="3"/>
  <x:c r="AG1927" i="3"/>
  <x:c r="AF1927" i="3"/>
  <x:c r="AE1927" i="3"/>
  <x:c r="AD1927" i="3"/>
  <x:c r="AC1927" i="3"/>
  <x:c r="AB1927" i="3"/>
  <x:c r="AA1927" i="3"/>
  <x:c r="Z1927" i="3"/>
  <x:c r="Y1927" i="3"/>
  <x:c r="X1927" i="3"/>
  <x:c r="W1927" i="3"/>
  <x:c r="V1927" i="3"/>
  <x:c r="U1927" i="3"/>
  <x:c r="T1927" i="3"/>
  <x:c r="E1927" i="3"/>
  <x:c r="D1927" i="3"/>
  <x:c r="C1927" i="3"/>
  <x:c r="B1927" i="3"/>
  <x:c r="AG1926" i="3"/>
  <x:c r="AF1926" i="3"/>
  <x:c r="AE1926" i="3"/>
  <x:c r="AD1926" i="3"/>
  <x:c r="AC1926" i="3"/>
  <x:c r="AB1926" i="3"/>
  <x:c r="AA1926" i="3"/>
  <x:c r="Z1926" i="3"/>
  <x:c r="Y1926" i="3"/>
  <x:c r="X1926" i="3"/>
  <x:c r="W1926" i="3"/>
  <x:c r="V1926" i="3"/>
  <x:c r="U1926" i="3"/>
  <x:c r="T1926" i="3"/>
  <x:c r="E1926" i="3"/>
  <x:c r="D1926" i="3"/>
  <x:c r="C1926" i="3"/>
  <x:c r="B1926" i="3"/>
  <x:c r="AG1925" i="3"/>
  <x:c r="AF1925" i="3"/>
  <x:c r="AE1925" i="3"/>
  <x:c r="AD1925" i="3"/>
  <x:c r="AC1925" i="3"/>
  <x:c r="AB1925" i="3"/>
  <x:c r="AA1925" i="3"/>
  <x:c r="Z1925" i="3"/>
  <x:c r="Y1925" i="3"/>
  <x:c r="X1925" i="3"/>
  <x:c r="W1925" i="3"/>
  <x:c r="V1925" i="3"/>
  <x:c r="U1925" i="3"/>
  <x:c r="T1925" i="3"/>
  <x:c r="E1925" i="3"/>
  <x:c r="D1925" i="3"/>
  <x:c r="C1925" i="3"/>
  <x:c r="B1925" i="3"/>
  <x:c r="AG1924" i="3"/>
  <x:c r="AF1924" i="3"/>
  <x:c r="AE1924" i="3"/>
  <x:c r="AD1924" i="3"/>
  <x:c r="AC1924" i="3"/>
  <x:c r="AB1924" i="3"/>
  <x:c r="AA1924" i="3"/>
  <x:c r="Z1924" i="3"/>
  <x:c r="Y1924" i="3"/>
  <x:c r="X1924" i="3"/>
  <x:c r="W1924" i="3"/>
  <x:c r="V1924" i="3"/>
  <x:c r="U1924" i="3"/>
  <x:c r="T1924" i="3"/>
  <x:c r="E1924" i="3"/>
  <x:c r="D1924" i="3"/>
  <x:c r="C1924" i="3"/>
  <x:c r="B1924" i="3"/>
  <x:c r="AG1923" i="3"/>
  <x:c r="AF1923" i="3"/>
  <x:c r="AE1923" i="3"/>
  <x:c r="AD1923" i="3"/>
  <x:c r="AC1923" i="3"/>
  <x:c r="AB1923" i="3"/>
  <x:c r="AA1923" i="3"/>
  <x:c r="Z1923" i="3"/>
  <x:c r="Y1923" i="3"/>
  <x:c r="X1923" i="3"/>
  <x:c r="W1923" i="3"/>
  <x:c r="V1923" i="3"/>
  <x:c r="U1923" i="3"/>
  <x:c r="T1923" i="3"/>
  <x:c r="E1923" i="3"/>
  <x:c r="D1923" i="3"/>
  <x:c r="C1923" i="3"/>
  <x:c r="B1923" i="3"/>
  <x:c r="AG1922" i="3"/>
  <x:c r="AF1922" i="3"/>
  <x:c r="AE1922" i="3"/>
  <x:c r="AD1922" i="3"/>
  <x:c r="AC1922" i="3"/>
  <x:c r="AB1922" i="3"/>
  <x:c r="AA1922" i="3"/>
  <x:c r="Z1922" i="3"/>
  <x:c r="Y1922" i="3"/>
  <x:c r="X1922" i="3"/>
  <x:c r="W1922" i="3"/>
  <x:c r="V1922" i="3"/>
  <x:c r="U1922" i="3"/>
  <x:c r="T1922" i="3"/>
  <x:c r="E1922" i="3"/>
  <x:c r="D1922" i="3"/>
  <x:c r="C1922" i="3"/>
  <x:c r="B1922" i="3"/>
  <x:c r="AG1921" i="3"/>
  <x:c r="AF1921" i="3"/>
  <x:c r="AE1921" i="3"/>
  <x:c r="AD1921" i="3"/>
  <x:c r="AC1921" i="3"/>
  <x:c r="AB1921" i="3"/>
  <x:c r="AA1921" i="3"/>
  <x:c r="Z1921" i="3"/>
  <x:c r="Y1921" i="3"/>
  <x:c r="X1921" i="3"/>
  <x:c r="W1921" i="3"/>
  <x:c r="V1921" i="3"/>
  <x:c r="U1921" i="3"/>
  <x:c r="T1921" i="3"/>
  <x:c r="E1921" i="3"/>
  <x:c r="D1921" i="3"/>
  <x:c r="C1921" i="3"/>
  <x:c r="B1921" i="3"/>
  <x:c r="AG1920" i="3"/>
  <x:c r="AF1920" i="3"/>
  <x:c r="AE1920" i="3"/>
  <x:c r="AD1920" i="3"/>
  <x:c r="AC1920" i="3"/>
  <x:c r="AB1920" i="3"/>
  <x:c r="AA1920" i="3"/>
  <x:c r="Z1920" i="3"/>
  <x:c r="Y1920" i="3"/>
  <x:c r="X1920" i="3"/>
  <x:c r="W1920" i="3"/>
  <x:c r="V1920" i="3"/>
  <x:c r="U1920" i="3"/>
  <x:c r="T1920" i="3"/>
  <x:c r="E1920" i="3"/>
  <x:c r="D1920" i="3"/>
  <x:c r="C1920" i="3"/>
  <x:c r="B1920" i="3"/>
  <x:c r="AG1919" i="3"/>
  <x:c r="AF1919" i="3"/>
  <x:c r="AE1919" i="3"/>
  <x:c r="AD1919" i="3"/>
  <x:c r="AC1919" i="3"/>
  <x:c r="AB1919" i="3"/>
  <x:c r="AA1919" i="3"/>
  <x:c r="Z1919" i="3"/>
  <x:c r="Y1919" i="3"/>
  <x:c r="X1919" i="3"/>
  <x:c r="W1919" i="3"/>
  <x:c r="V1919" i="3"/>
  <x:c r="U1919" i="3"/>
  <x:c r="T1919" i="3"/>
  <x:c r="E1919" i="3"/>
  <x:c r="D1919" i="3"/>
  <x:c r="C1919" i="3"/>
  <x:c r="B1919" i="3"/>
  <x:c r="AG1918" i="3"/>
  <x:c r="AF1918" i="3"/>
  <x:c r="AE1918" i="3"/>
  <x:c r="AD1918" i="3"/>
  <x:c r="AC1918" i="3"/>
  <x:c r="AB1918" i="3"/>
  <x:c r="AA1918" i="3"/>
  <x:c r="Z1918" i="3"/>
  <x:c r="Y1918" i="3"/>
  <x:c r="X1918" i="3"/>
  <x:c r="W1918" i="3"/>
  <x:c r="V1918" i="3"/>
  <x:c r="U1918" i="3"/>
  <x:c r="T1918" i="3"/>
  <x:c r="E1918" i="3"/>
  <x:c r="D1918" i="3"/>
  <x:c r="C1918" i="3"/>
  <x:c r="B1918" i="3"/>
  <x:c r="AG1917" i="3"/>
  <x:c r="AF1917" i="3"/>
  <x:c r="AE1917" i="3"/>
  <x:c r="AD1917" i="3"/>
  <x:c r="AC1917" i="3"/>
  <x:c r="AB1917" i="3"/>
  <x:c r="AA1917" i="3"/>
  <x:c r="Z1917" i="3"/>
  <x:c r="Y1917" i="3"/>
  <x:c r="X1917" i="3"/>
  <x:c r="W1917" i="3"/>
  <x:c r="V1917" i="3"/>
  <x:c r="U1917" i="3"/>
  <x:c r="T1917" i="3"/>
  <x:c r="E1917" i="3"/>
  <x:c r="D1917" i="3"/>
  <x:c r="C1917" i="3"/>
  <x:c r="B1917" i="3"/>
  <x:c r="AG1916" i="3"/>
  <x:c r="AF1916" i="3"/>
  <x:c r="AE1916" i="3"/>
  <x:c r="AD1916" i="3"/>
  <x:c r="AC1916" i="3"/>
  <x:c r="AB1916" i="3"/>
  <x:c r="AA1916" i="3"/>
  <x:c r="Z1916" i="3"/>
  <x:c r="Y1916" i="3"/>
  <x:c r="X1916" i="3"/>
  <x:c r="W1916" i="3"/>
  <x:c r="V1916" i="3"/>
  <x:c r="U1916" i="3"/>
  <x:c r="T1916" i="3"/>
  <x:c r="E1916" i="3"/>
  <x:c r="D1916" i="3"/>
  <x:c r="C1916" i="3"/>
  <x:c r="B1916" i="3"/>
  <x:c r="AG1915" i="3"/>
  <x:c r="AF1915" i="3"/>
  <x:c r="AE1915" i="3"/>
  <x:c r="AD1915" i="3"/>
  <x:c r="AC1915" i="3"/>
  <x:c r="AB1915" i="3"/>
  <x:c r="AA1915" i="3"/>
  <x:c r="Z1915" i="3"/>
  <x:c r="Y1915" i="3"/>
  <x:c r="X1915" i="3"/>
  <x:c r="W1915" i="3"/>
  <x:c r="V1915" i="3"/>
  <x:c r="U1915" i="3"/>
  <x:c r="T1915" i="3"/>
  <x:c r="E1915" i="3"/>
  <x:c r="D1915" i="3"/>
  <x:c r="C1915" i="3"/>
  <x:c r="B1915" i="3"/>
  <x:c r="AG1914" i="3"/>
  <x:c r="AF1914" i="3"/>
  <x:c r="AE1914" i="3"/>
  <x:c r="AD1914" i="3"/>
  <x:c r="AC1914" i="3"/>
  <x:c r="AB1914" i="3"/>
  <x:c r="AA1914" i="3"/>
  <x:c r="Z1914" i="3"/>
  <x:c r="Y1914" i="3"/>
  <x:c r="X1914" i="3"/>
  <x:c r="W1914" i="3"/>
  <x:c r="V1914" i="3"/>
  <x:c r="U1914" i="3"/>
  <x:c r="T1914" i="3"/>
  <x:c r="E1914" i="3"/>
  <x:c r="D1914" i="3"/>
  <x:c r="C1914" i="3"/>
  <x:c r="B1914" i="3"/>
  <x:c r="AG1913" i="3"/>
  <x:c r="AF1913" i="3"/>
  <x:c r="AE1913" i="3"/>
  <x:c r="AD1913" i="3"/>
  <x:c r="AC1913" i="3"/>
  <x:c r="AB1913" i="3"/>
  <x:c r="AA1913" i="3"/>
  <x:c r="Z1913" i="3"/>
  <x:c r="Y1913" i="3"/>
  <x:c r="X1913" i="3"/>
  <x:c r="W1913" i="3"/>
  <x:c r="V1913" i="3"/>
  <x:c r="U1913" i="3"/>
  <x:c r="T1913" i="3"/>
  <x:c r="E1913" i="3"/>
  <x:c r="D1913" i="3"/>
  <x:c r="C1913" i="3"/>
  <x:c r="B1913" i="3"/>
  <x:c r="AG1912" i="3"/>
  <x:c r="AF1912" i="3"/>
  <x:c r="AE1912" i="3"/>
  <x:c r="AD1912" i="3"/>
  <x:c r="AC1912" i="3"/>
  <x:c r="AB1912" i="3"/>
  <x:c r="AA1912" i="3"/>
  <x:c r="Z1912" i="3"/>
  <x:c r="Y1912" i="3"/>
  <x:c r="X1912" i="3"/>
  <x:c r="W1912" i="3"/>
  <x:c r="V1912" i="3"/>
  <x:c r="U1912" i="3"/>
  <x:c r="T1912" i="3"/>
  <x:c r="E1912" i="3"/>
  <x:c r="D1912" i="3"/>
  <x:c r="C1912" i="3"/>
  <x:c r="B1912" i="3"/>
  <x:c r="AG1911" i="3"/>
  <x:c r="AF1911" i="3"/>
  <x:c r="AE1911" i="3"/>
  <x:c r="AD1911" i="3"/>
  <x:c r="AC1911" i="3"/>
  <x:c r="AB1911" i="3"/>
  <x:c r="AA1911" i="3"/>
  <x:c r="Z1911" i="3"/>
  <x:c r="Y1911" i="3"/>
  <x:c r="X1911" i="3"/>
  <x:c r="W1911" i="3"/>
  <x:c r="V1911" i="3"/>
  <x:c r="U1911" i="3"/>
  <x:c r="T1911" i="3"/>
  <x:c r="E1911" i="3"/>
  <x:c r="D1911" i="3"/>
  <x:c r="C1911" i="3"/>
  <x:c r="B1911" i="3"/>
  <x:c r="AG1910" i="3"/>
  <x:c r="AF1910" i="3"/>
  <x:c r="AE1910" i="3"/>
  <x:c r="AD1910" i="3"/>
  <x:c r="AC1910" i="3"/>
  <x:c r="AB1910" i="3"/>
  <x:c r="AA1910" i="3"/>
  <x:c r="Z1910" i="3"/>
  <x:c r="Y1910" i="3"/>
  <x:c r="X1910" i="3"/>
  <x:c r="W1910" i="3"/>
  <x:c r="V1910" i="3"/>
  <x:c r="U1910" i="3"/>
  <x:c r="T1910" i="3"/>
  <x:c r="E1910" i="3"/>
  <x:c r="D1910" i="3"/>
  <x:c r="C1910" i="3"/>
  <x:c r="B1910" i="3"/>
  <x:c r="AG1909" i="3"/>
  <x:c r="AF1909" i="3"/>
  <x:c r="AE1909" i="3"/>
  <x:c r="AD1909" i="3"/>
  <x:c r="AC1909" i="3"/>
  <x:c r="AB1909" i="3"/>
  <x:c r="AA1909" i="3"/>
  <x:c r="Z1909" i="3"/>
  <x:c r="Y1909" i="3"/>
  <x:c r="X1909" i="3"/>
  <x:c r="W1909" i="3"/>
  <x:c r="V1909" i="3"/>
  <x:c r="U1909" i="3"/>
  <x:c r="T1909" i="3"/>
  <x:c r="E1909" i="3"/>
  <x:c r="D1909" i="3"/>
  <x:c r="C1909" i="3"/>
  <x:c r="B1909" i="3"/>
  <x:c r="AG1908" i="3"/>
  <x:c r="AF1908" i="3"/>
  <x:c r="AE1908" i="3"/>
  <x:c r="AD1908" i="3"/>
  <x:c r="AC1908" i="3"/>
  <x:c r="AB1908" i="3"/>
  <x:c r="AA1908" i="3"/>
  <x:c r="Z1908" i="3"/>
  <x:c r="Y1908" i="3"/>
  <x:c r="X1908" i="3"/>
  <x:c r="W1908" i="3"/>
  <x:c r="V1908" i="3"/>
  <x:c r="U1908" i="3"/>
  <x:c r="T1908" i="3"/>
  <x:c r="E1908" i="3"/>
  <x:c r="D1908" i="3"/>
  <x:c r="C1908" i="3"/>
  <x:c r="B1908" i="3"/>
  <x:c r="AG1907" i="3"/>
  <x:c r="AF1907" i="3"/>
  <x:c r="AE1907" i="3"/>
  <x:c r="AD1907" i="3"/>
  <x:c r="AC1907" i="3"/>
  <x:c r="AB1907" i="3"/>
  <x:c r="AA1907" i="3"/>
  <x:c r="Z1907" i="3"/>
  <x:c r="Y1907" i="3"/>
  <x:c r="X1907" i="3"/>
  <x:c r="W1907" i="3"/>
  <x:c r="V1907" i="3"/>
  <x:c r="U1907" i="3"/>
  <x:c r="T1907" i="3"/>
  <x:c r="E1907" i="3"/>
  <x:c r="D1907" i="3"/>
  <x:c r="C1907" i="3"/>
  <x:c r="B1907" i="3"/>
  <x:c r="AG1906" i="3"/>
  <x:c r="AF1906" i="3"/>
  <x:c r="AE1906" i="3"/>
  <x:c r="AD1906" i="3"/>
  <x:c r="AC1906" i="3"/>
  <x:c r="AB1906" i="3"/>
  <x:c r="AA1906" i="3"/>
  <x:c r="Z1906" i="3"/>
  <x:c r="Y1906" i="3"/>
  <x:c r="X1906" i="3"/>
  <x:c r="W1906" i="3"/>
  <x:c r="V1906" i="3"/>
  <x:c r="U1906" i="3"/>
  <x:c r="T1906" i="3"/>
  <x:c r="E1906" i="3"/>
  <x:c r="D1906" i="3"/>
  <x:c r="C1906" i="3"/>
  <x:c r="B1906" i="3"/>
  <x:c r="AG1905" i="3"/>
  <x:c r="AF1905" i="3"/>
  <x:c r="AE1905" i="3"/>
  <x:c r="AD1905" i="3"/>
  <x:c r="AC1905" i="3"/>
  <x:c r="AB1905" i="3"/>
  <x:c r="AA1905" i="3"/>
  <x:c r="Z1905" i="3"/>
  <x:c r="Y1905" i="3"/>
  <x:c r="X1905" i="3"/>
  <x:c r="W1905" i="3"/>
  <x:c r="V1905" i="3"/>
  <x:c r="U1905" i="3"/>
  <x:c r="T1905" i="3"/>
  <x:c r="E1905" i="3"/>
  <x:c r="D1905" i="3"/>
  <x:c r="C1905" i="3"/>
  <x:c r="B1905" i="3"/>
  <x:c r="AG1904" i="3"/>
  <x:c r="AF1904" i="3"/>
  <x:c r="AE1904" i="3"/>
  <x:c r="AD1904" i="3"/>
  <x:c r="AC1904" i="3"/>
  <x:c r="AB1904" i="3"/>
  <x:c r="AA1904" i="3"/>
  <x:c r="Z1904" i="3"/>
  <x:c r="Y1904" i="3"/>
  <x:c r="X1904" i="3"/>
  <x:c r="W1904" i="3"/>
  <x:c r="V1904" i="3"/>
  <x:c r="U1904" i="3"/>
  <x:c r="T1904" i="3"/>
  <x:c r="E1904" i="3"/>
  <x:c r="D1904" i="3"/>
  <x:c r="C1904" i="3"/>
  <x:c r="B1904" i="3"/>
  <x:c r="AG1903" i="3"/>
  <x:c r="AF1903" i="3"/>
  <x:c r="AE1903" i="3"/>
  <x:c r="AD1903" i="3"/>
  <x:c r="AC1903" i="3"/>
  <x:c r="AB1903" i="3"/>
  <x:c r="AA1903" i="3"/>
  <x:c r="Z1903" i="3"/>
  <x:c r="Y1903" i="3"/>
  <x:c r="X1903" i="3"/>
  <x:c r="W1903" i="3"/>
  <x:c r="V1903" i="3"/>
  <x:c r="U1903" i="3"/>
  <x:c r="T1903" i="3"/>
  <x:c r="E1903" i="3"/>
  <x:c r="D1903" i="3"/>
  <x:c r="C1903" i="3"/>
  <x:c r="B1903" i="3"/>
  <x:c r="AG1902" i="3"/>
  <x:c r="AF1902" i="3"/>
  <x:c r="AE1902" i="3"/>
  <x:c r="AD1902" i="3"/>
  <x:c r="AC1902" i="3"/>
  <x:c r="AB1902" i="3"/>
  <x:c r="AA1902" i="3"/>
  <x:c r="Z1902" i="3"/>
  <x:c r="Y1902" i="3"/>
  <x:c r="X1902" i="3"/>
  <x:c r="W1902" i="3"/>
  <x:c r="V1902" i="3"/>
  <x:c r="U1902" i="3"/>
  <x:c r="T1902" i="3"/>
  <x:c r="E1902" i="3"/>
  <x:c r="D1902" i="3"/>
  <x:c r="C1902" i="3"/>
  <x:c r="B1902" i="3"/>
  <x:c r="AG1901" i="3"/>
  <x:c r="AF1901" i="3"/>
  <x:c r="AE1901" i="3"/>
  <x:c r="AD1901" i="3"/>
  <x:c r="AC1901" i="3"/>
  <x:c r="AB1901" i="3"/>
  <x:c r="AA1901" i="3"/>
  <x:c r="Z1901" i="3"/>
  <x:c r="Y1901" i="3"/>
  <x:c r="X1901" i="3"/>
  <x:c r="W1901" i="3"/>
  <x:c r="V1901" i="3"/>
  <x:c r="U1901" i="3"/>
  <x:c r="T1901" i="3"/>
  <x:c r="E1901" i="3"/>
  <x:c r="D1901" i="3"/>
  <x:c r="C1901" i="3"/>
  <x:c r="B1901" i="3"/>
  <x:c r="AG1900" i="3"/>
  <x:c r="AF1900" i="3"/>
  <x:c r="AE1900" i="3"/>
  <x:c r="AD1900" i="3"/>
  <x:c r="AC1900" i="3"/>
  <x:c r="AB1900" i="3"/>
  <x:c r="AA1900" i="3"/>
  <x:c r="Z1900" i="3"/>
  <x:c r="Y1900" i="3"/>
  <x:c r="X1900" i="3"/>
  <x:c r="W1900" i="3"/>
  <x:c r="V1900" i="3"/>
  <x:c r="U1900" i="3"/>
  <x:c r="T1900" i="3"/>
  <x:c r="E1900" i="3"/>
  <x:c r="D1900" i="3"/>
  <x:c r="C1900" i="3"/>
  <x:c r="B1900" i="3"/>
  <x:c r="AG1899" i="3"/>
  <x:c r="AF1899" i="3"/>
  <x:c r="AE1899" i="3"/>
  <x:c r="AD1899" i="3"/>
  <x:c r="AC1899" i="3"/>
  <x:c r="AB1899" i="3"/>
  <x:c r="AA1899" i="3"/>
  <x:c r="Z1899" i="3"/>
  <x:c r="Y1899" i="3"/>
  <x:c r="X1899" i="3"/>
  <x:c r="W1899" i="3"/>
  <x:c r="V1899" i="3"/>
  <x:c r="U1899" i="3"/>
  <x:c r="T1899" i="3"/>
  <x:c r="E1899" i="3"/>
  <x:c r="D1899" i="3"/>
  <x:c r="C1899" i="3"/>
  <x:c r="B1899" i="3"/>
  <x:c r="AG1898" i="3"/>
  <x:c r="AF1898" i="3"/>
  <x:c r="AE1898" i="3"/>
  <x:c r="AD1898" i="3"/>
  <x:c r="AC1898" i="3"/>
  <x:c r="AB1898" i="3"/>
  <x:c r="AA1898" i="3"/>
  <x:c r="Z1898" i="3"/>
  <x:c r="Y1898" i="3"/>
  <x:c r="X1898" i="3"/>
  <x:c r="W1898" i="3"/>
  <x:c r="V1898" i="3"/>
  <x:c r="U1898" i="3"/>
  <x:c r="T1898" i="3"/>
  <x:c r="E1898" i="3"/>
  <x:c r="D1898" i="3"/>
  <x:c r="C1898" i="3"/>
  <x:c r="B1898" i="3"/>
  <x:c r="AG1897" i="3"/>
  <x:c r="AF1897" i="3"/>
  <x:c r="AE1897" i="3"/>
  <x:c r="AD1897" i="3"/>
  <x:c r="AC1897" i="3"/>
  <x:c r="AB1897" i="3"/>
  <x:c r="AA1897" i="3"/>
  <x:c r="Z1897" i="3"/>
  <x:c r="Y1897" i="3"/>
  <x:c r="X1897" i="3"/>
  <x:c r="W1897" i="3"/>
  <x:c r="V1897" i="3"/>
  <x:c r="U1897" i="3"/>
  <x:c r="T1897" i="3"/>
  <x:c r="E1897" i="3"/>
  <x:c r="D1897" i="3"/>
  <x:c r="C1897" i="3"/>
  <x:c r="B1897" i="3"/>
  <x:c r="AG1896" i="3"/>
  <x:c r="AF1896" i="3"/>
  <x:c r="AE1896" i="3"/>
  <x:c r="AD1896" i="3"/>
  <x:c r="AC1896" i="3"/>
  <x:c r="AB1896" i="3"/>
  <x:c r="AA1896" i="3"/>
  <x:c r="Z1896" i="3"/>
  <x:c r="Y1896" i="3"/>
  <x:c r="X1896" i="3"/>
  <x:c r="W1896" i="3"/>
  <x:c r="V1896" i="3"/>
  <x:c r="U1896" i="3"/>
  <x:c r="T1896" i="3"/>
  <x:c r="E1896" i="3"/>
  <x:c r="D1896" i="3"/>
  <x:c r="C1896" i="3"/>
  <x:c r="B1896" i="3"/>
  <x:c r="AG1895" i="3"/>
  <x:c r="AF1895" i="3"/>
  <x:c r="AE1895" i="3"/>
  <x:c r="AD1895" i="3"/>
  <x:c r="AC1895" i="3"/>
  <x:c r="AB1895" i="3"/>
  <x:c r="AA1895" i="3"/>
  <x:c r="Z1895" i="3"/>
  <x:c r="Y1895" i="3"/>
  <x:c r="X1895" i="3"/>
  <x:c r="W1895" i="3"/>
  <x:c r="V1895" i="3"/>
  <x:c r="U1895" i="3"/>
  <x:c r="T1895" i="3"/>
  <x:c r="E1895" i="3"/>
  <x:c r="D1895" i="3"/>
  <x:c r="C1895" i="3"/>
  <x:c r="B1895" i="3"/>
  <x:c r="AG1894" i="3"/>
  <x:c r="AF1894" i="3"/>
  <x:c r="AE1894" i="3"/>
  <x:c r="AD1894" i="3"/>
  <x:c r="AC1894" i="3"/>
  <x:c r="AB1894" i="3"/>
  <x:c r="AA1894" i="3"/>
  <x:c r="Z1894" i="3"/>
  <x:c r="Y1894" i="3"/>
  <x:c r="X1894" i="3"/>
  <x:c r="W1894" i="3"/>
  <x:c r="V1894" i="3"/>
  <x:c r="U1894" i="3"/>
  <x:c r="T1894" i="3"/>
  <x:c r="E1894" i="3"/>
  <x:c r="D1894" i="3"/>
  <x:c r="C1894" i="3"/>
  <x:c r="B1894" i="3"/>
  <x:c r="AG1893" i="3"/>
  <x:c r="AF1893" i="3"/>
  <x:c r="AE1893" i="3"/>
  <x:c r="AD1893" i="3"/>
  <x:c r="AC1893" i="3"/>
  <x:c r="AB1893" i="3"/>
  <x:c r="AA1893" i="3"/>
  <x:c r="Z1893" i="3"/>
  <x:c r="Y1893" i="3"/>
  <x:c r="X1893" i="3"/>
  <x:c r="W1893" i="3"/>
  <x:c r="V1893" i="3"/>
  <x:c r="U1893" i="3"/>
  <x:c r="T1893" i="3"/>
  <x:c r="E1893" i="3"/>
  <x:c r="D1893" i="3"/>
  <x:c r="C1893" i="3"/>
  <x:c r="B1893" i="3"/>
  <x:c r="AG1892" i="3"/>
  <x:c r="AF1892" i="3"/>
  <x:c r="AE1892" i="3"/>
  <x:c r="AD1892" i="3"/>
  <x:c r="AC1892" i="3"/>
  <x:c r="AB1892" i="3"/>
  <x:c r="AA1892" i="3"/>
  <x:c r="Z1892" i="3"/>
  <x:c r="Y1892" i="3"/>
  <x:c r="X1892" i="3"/>
  <x:c r="W1892" i="3"/>
  <x:c r="V1892" i="3"/>
  <x:c r="U1892" i="3"/>
  <x:c r="T1892" i="3"/>
  <x:c r="E1892" i="3"/>
  <x:c r="D1892" i="3"/>
  <x:c r="C1892" i="3"/>
  <x:c r="B1892" i="3"/>
  <x:c r="AG1891" i="3"/>
  <x:c r="AF1891" i="3"/>
  <x:c r="AE1891" i="3"/>
  <x:c r="AD1891" i="3"/>
  <x:c r="AC1891" i="3"/>
  <x:c r="AB1891" i="3"/>
  <x:c r="AA1891" i="3"/>
  <x:c r="Z1891" i="3"/>
  <x:c r="Y1891" i="3"/>
  <x:c r="X1891" i="3"/>
  <x:c r="W1891" i="3"/>
  <x:c r="V1891" i="3"/>
  <x:c r="U1891" i="3"/>
  <x:c r="T1891" i="3"/>
  <x:c r="E1891" i="3"/>
  <x:c r="D1891" i="3"/>
  <x:c r="C1891" i="3"/>
  <x:c r="B1891" i="3"/>
  <x:c r="AG1890" i="3"/>
  <x:c r="AF1890" i="3"/>
  <x:c r="AE1890" i="3"/>
  <x:c r="AD1890" i="3"/>
  <x:c r="AC1890" i="3"/>
  <x:c r="AB1890" i="3"/>
  <x:c r="AA1890" i="3"/>
  <x:c r="Z1890" i="3"/>
  <x:c r="Y1890" i="3"/>
  <x:c r="X1890" i="3"/>
  <x:c r="W1890" i="3"/>
  <x:c r="V1890" i="3"/>
  <x:c r="U1890" i="3"/>
  <x:c r="T1890" i="3"/>
  <x:c r="E1890" i="3"/>
  <x:c r="D1890" i="3"/>
  <x:c r="C1890" i="3"/>
  <x:c r="B1890" i="3"/>
  <x:c r="AG1889" i="3"/>
  <x:c r="AF1889" i="3"/>
  <x:c r="AE1889" i="3"/>
  <x:c r="AD1889" i="3"/>
  <x:c r="AC1889" i="3"/>
  <x:c r="AB1889" i="3"/>
  <x:c r="AA1889" i="3"/>
  <x:c r="Z1889" i="3"/>
  <x:c r="Y1889" i="3"/>
  <x:c r="X1889" i="3"/>
  <x:c r="W1889" i="3"/>
  <x:c r="V1889" i="3"/>
  <x:c r="U1889" i="3"/>
  <x:c r="T1889" i="3"/>
  <x:c r="E1889" i="3"/>
  <x:c r="D1889" i="3"/>
  <x:c r="C1889" i="3"/>
  <x:c r="B1889" i="3"/>
  <x:c r="AG1888" i="3"/>
  <x:c r="AF1888" i="3"/>
  <x:c r="AE1888" i="3"/>
  <x:c r="AD1888" i="3"/>
  <x:c r="AC1888" i="3"/>
  <x:c r="AB1888" i="3"/>
  <x:c r="AA1888" i="3"/>
  <x:c r="Z1888" i="3"/>
  <x:c r="Y1888" i="3"/>
  <x:c r="X1888" i="3"/>
  <x:c r="W1888" i="3"/>
  <x:c r="V1888" i="3"/>
  <x:c r="U1888" i="3"/>
  <x:c r="T1888" i="3"/>
  <x:c r="E1888" i="3"/>
  <x:c r="D1888" i="3"/>
  <x:c r="C1888" i="3"/>
  <x:c r="B1888" i="3"/>
  <x:c r="AG1887" i="3"/>
  <x:c r="AF1887" i="3"/>
  <x:c r="AE1887" i="3"/>
  <x:c r="AD1887" i="3"/>
  <x:c r="AC1887" i="3"/>
  <x:c r="AB1887" i="3"/>
  <x:c r="AA1887" i="3"/>
  <x:c r="Z1887" i="3"/>
  <x:c r="Y1887" i="3"/>
  <x:c r="X1887" i="3"/>
  <x:c r="W1887" i="3"/>
  <x:c r="V1887" i="3"/>
  <x:c r="U1887" i="3"/>
  <x:c r="T1887" i="3"/>
  <x:c r="E1887" i="3"/>
  <x:c r="D1887" i="3"/>
  <x:c r="C1887" i="3"/>
  <x:c r="B1887" i="3"/>
  <x:c r="AG1886" i="3"/>
  <x:c r="AF1886" i="3"/>
  <x:c r="AE1886" i="3"/>
  <x:c r="AD1886" i="3"/>
  <x:c r="AC1886" i="3"/>
  <x:c r="AB1886" i="3"/>
  <x:c r="AA1886" i="3"/>
  <x:c r="Z1886" i="3"/>
  <x:c r="Y1886" i="3"/>
  <x:c r="X1886" i="3"/>
  <x:c r="W1886" i="3"/>
  <x:c r="V1886" i="3"/>
  <x:c r="U1886" i="3"/>
  <x:c r="T1886" i="3"/>
  <x:c r="E1886" i="3"/>
  <x:c r="D1886" i="3"/>
  <x:c r="C1886" i="3"/>
  <x:c r="B1886" i="3"/>
  <x:c r="AG1885" i="3"/>
  <x:c r="AF1885" i="3"/>
  <x:c r="AE1885" i="3"/>
  <x:c r="AD1885" i="3"/>
  <x:c r="AC1885" i="3"/>
  <x:c r="AB1885" i="3"/>
  <x:c r="AA1885" i="3"/>
  <x:c r="Z1885" i="3"/>
  <x:c r="Y1885" i="3"/>
  <x:c r="X1885" i="3"/>
  <x:c r="W1885" i="3"/>
  <x:c r="V1885" i="3"/>
  <x:c r="U1885" i="3"/>
  <x:c r="T1885" i="3"/>
  <x:c r="E1885" i="3"/>
  <x:c r="D1885" i="3"/>
  <x:c r="C1885" i="3"/>
  <x:c r="B1885" i="3"/>
  <x:c r="AG1884" i="3"/>
  <x:c r="AF1884" i="3"/>
  <x:c r="AE1884" i="3"/>
  <x:c r="AD1884" i="3"/>
  <x:c r="AC1884" i="3"/>
  <x:c r="AB1884" i="3"/>
  <x:c r="AA1884" i="3"/>
  <x:c r="Z1884" i="3"/>
  <x:c r="Y1884" i="3"/>
  <x:c r="X1884" i="3"/>
  <x:c r="W1884" i="3"/>
  <x:c r="V1884" i="3"/>
  <x:c r="U1884" i="3"/>
  <x:c r="T1884" i="3"/>
  <x:c r="E1884" i="3"/>
  <x:c r="D1884" i="3"/>
  <x:c r="C1884" i="3"/>
  <x:c r="B1884" i="3"/>
  <x:c r="AG1883" i="3"/>
  <x:c r="AF1883" i="3"/>
  <x:c r="AE1883" i="3"/>
  <x:c r="AD1883" i="3"/>
  <x:c r="AC1883" i="3"/>
  <x:c r="AB1883" i="3"/>
  <x:c r="AA1883" i="3"/>
  <x:c r="Z1883" i="3"/>
  <x:c r="Y1883" i="3"/>
  <x:c r="X1883" i="3"/>
  <x:c r="W1883" i="3"/>
  <x:c r="V1883" i="3"/>
  <x:c r="U1883" i="3"/>
  <x:c r="T1883" i="3"/>
  <x:c r="E1883" i="3"/>
  <x:c r="D1883" i="3"/>
  <x:c r="C1883" i="3"/>
  <x:c r="B1883" i="3"/>
  <x:c r="AG1882" i="3"/>
  <x:c r="AF1882" i="3"/>
  <x:c r="AE1882" i="3"/>
  <x:c r="AD1882" i="3"/>
  <x:c r="AC1882" i="3"/>
  <x:c r="AB1882" i="3"/>
  <x:c r="AA1882" i="3"/>
  <x:c r="Z1882" i="3"/>
  <x:c r="Y1882" i="3"/>
  <x:c r="X1882" i="3"/>
  <x:c r="W1882" i="3"/>
  <x:c r="V1882" i="3"/>
  <x:c r="U1882" i="3"/>
  <x:c r="T1882" i="3"/>
  <x:c r="E1882" i="3"/>
  <x:c r="D1882" i="3"/>
  <x:c r="C1882" i="3"/>
  <x:c r="B1882" i="3"/>
  <x:c r="AG1881" i="3"/>
  <x:c r="AF1881" i="3"/>
  <x:c r="AE1881" i="3"/>
  <x:c r="AD1881" i="3"/>
  <x:c r="AC1881" i="3"/>
  <x:c r="AB1881" i="3"/>
  <x:c r="AA1881" i="3"/>
  <x:c r="Z1881" i="3"/>
  <x:c r="Y1881" i="3"/>
  <x:c r="X1881" i="3"/>
  <x:c r="W1881" i="3"/>
  <x:c r="V1881" i="3"/>
  <x:c r="U1881" i="3"/>
  <x:c r="T1881" i="3"/>
  <x:c r="E1881" i="3"/>
  <x:c r="D1881" i="3"/>
  <x:c r="C1881" i="3"/>
  <x:c r="B1881" i="3"/>
  <x:c r="AG1880" i="3"/>
  <x:c r="AF1880" i="3"/>
  <x:c r="AE1880" i="3"/>
  <x:c r="AD1880" i="3"/>
  <x:c r="AC1880" i="3"/>
  <x:c r="AB1880" i="3"/>
  <x:c r="AA1880" i="3"/>
  <x:c r="Z1880" i="3"/>
  <x:c r="Y1880" i="3"/>
  <x:c r="X1880" i="3"/>
  <x:c r="W1880" i="3"/>
  <x:c r="V1880" i="3"/>
  <x:c r="U1880" i="3"/>
  <x:c r="T1880" i="3"/>
  <x:c r="E1880" i="3"/>
  <x:c r="D1880" i="3"/>
  <x:c r="C1880" i="3"/>
  <x:c r="B1880" i="3"/>
  <x:c r="AG1879" i="3"/>
  <x:c r="AF1879" i="3"/>
  <x:c r="AE1879" i="3"/>
  <x:c r="AD1879" i="3"/>
  <x:c r="AC1879" i="3"/>
  <x:c r="AB1879" i="3"/>
  <x:c r="AA1879" i="3"/>
  <x:c r="Z1879" i="3"/>
  <x:c r="Y1879" i="3"/>
  <x:c r="X1879" i="3"/>
  <x:c r="W1879" i="3"/>
  <x:c r="V1879" i="3"/>
  <x:c r="U1879" i="3"/>
  <x:c r="T1879" i="3"/>
  <x:c r="E1879" i="3"/>
  <x:c r="D1879" i="3"/>
  <x:c r="C1879" i="3"/>
  <x:c r="B1879" i="3"/>
  <x:c r="AG1878" i="3"/>
  <x:c r="AF1878" i="3"/>
  <x:c r="AE1878" i="3"/>
  <x:c r="AD1878" i="3"/>
  <x:c r="AC1878" i="3"/>
  <x:c r="AB1878" i="3"/>
  <x:c r="AA1878" i="3"/>
  <x:c r="Z1878" i="3"/>
  <x:c r="Y1878" i="3"/>
  <x:c r="X1878" i="3"/>
  <x:c r="W1878" i="3"/>
  <x:c r="V1878" i="3"/>
  <x:c r="U1878" i="3"/>
  <x:c r="T1878" i="3"/>
  <x:c r="E1878" i="3"/>
  <x:c r="D1878" i="3"/>
  <x:c r="C1878" i="3"/>
  <x:c r="B1878" i="3"/>
  <x:c r="AG1877" i="3"/>
  <x:c r="AF1877" i="3"/>
  <x:c r="AE1877" i="3"/>
  <x:c r="AD1877" i="3"/>
  <x:c r="AC1877" i="3"/>
  <x:c r="AB1877" i="3"/>
  <x:c r="AA1877" i="3"/>
  <x:c r="Z1877" i="3"/>
  <x:c r="Y1877" i="3"/>
  <x:c r="X1877" i="3"/>
  <x:c r="W1877" i="3"/>
  <x:c r="V1877" i="3"/>
  <x:c r="U1877" i="3"/>
  <x:c r="T1877" i="3"/>
  <x:c r="E1877" i="3"/>
  <x:c r="D1877" i="3"/>
  <x:c r="C1877" i="3"/>
  <x:c r="B1877" i="3"/>
  <x:c r="AG1876" i="3"/>
  <x:c r="AF1876" i="3"/>
  <x:c r="AE1876" i="3"/>
  <x:c r="AD1876" i="3"/>
  <x:c r="AC1876" i="3"/>
  <x:c r="AB1876" i="3"/>
  <x:c r="AA1876" i="3"/>
  <x:c r="Z1876" i="3"/>
  <x:c r="Y1876" i="3"/>
  <x:c r="X1876" i="3"/>
  <x:c r="W1876" i="3"/>
  <x:c r="V1876" i="3"/>
  <x:c r="U1876" i="3"/>
  <x:c r="T1876" i="3"/>
  <x:c r="E1876" i="3"/>
  <x:c r="D1876" i="3"/>
  <x:c r="C1876" i="3"/>
  <x:c r="B1876" i="3"/>
  <x:c r="AG1875" i="3"/>
  <x:c r="AF1875" i="3"/>
  <x:c r="AE1875" i="3"/>
  <x:c r="AD1875" i="3"/>
  <x:c r="AC1875" i="3"/>
  <x:c r="AB1875" i="3"/>
  <x:c r="AA1875" i="3"/>
  <x:c r="Z1875" i="3"/>
  <x:c r="Y1875" i="3"/>
  <x:c r="X1875" i="3"/>
  <x:c r="W1875" i="3"/>
  <x:c r="V1875" i="3"/>
  <x:c r="U1875" i="3"/>
  <x:c r="T1875" i="3"/>
  <x:c r="E1875" i="3"/>
  <x:c r="D1875" i="3"/>
  <x:c r="C1875" i="3"/>
  <x:c r="B1875" i="3"/>
  <x:c r="AG1874" i="3"/>
  <x:c r="AF1874" i="3"/>
  <x:c r="AE1874" i="3"/>
  <x:c r="AD1874" i="3"/>
  <x:c r="AC1874" i="3"/>
  <x:c r="AB1874" i="3"/>
  <x:c r="AA1874" i="3"/>
  <x:c r="Z1874" i="3"/>
  <x:c r="Y1874" i="3"/>
  <x:c r="X1874" i="3"/>
  <x:c r="W1874" i="3"/>
  <x:c r="V1874" i="3"/>
  <x:c r="U1874" i="3"/>
  <x:c r="T1874" i="3"/>
  <x:c r="E1874" i="3"/>
  <x:c r="D1874" i="3"/>
  <x:c r="C1874" i="3"/>
  <x:c r="B1874" i="3"/>
  <x:c r="AG1873" i="3"/>
  <x:c r="AF1873" i="3"/>
  <x:c r="AE1873" i="3"/>
  <x:c r="AD1873" i="3"/>
  <x:c r="AC1873" i="3"/>
  <x:c r="AB1873" i="3"/>
  <x:c r="AA1873" i="3"/>
  <x:c r="Z1873" i="3"/>
  <x:c r="Y1873" i="3"/>
  <x:c r="X1873" i="3"/>
  <x:c r="W1873" i="3"/>
  <x:c r="V1873" i="3"/>
  <x:c r="U1873" i="3"/>
  <x:c r="T1873" i="3"/>
  <x:c r="E1873" i="3"/>
  <x:c r="D1873" i="3"/>
  <x:c r="C1873" i="3"/>
  <x:c r="B1873" i="3"/>
  <x:c r="AG1872" i="3"/>
  <x:c r="AF1872" i="3"/>
  <x:c r="AE1872" i="3"/>
  <x:c r="AD1872" i="3"/>
  <x:c r="AC1872" i="3"/>
  <x:c r="AB1872" i="3"/>
  <x:c r="AA1872" i="3"/>
  <x:c r="Z1872" i="3"/>
  <x:c r="Y1872" i="3"/>
  <x:c r="X1872" i="3"/>
  <x:c r="W1872" i="3"/>
  <x:c r="V1872" i="3"/>
  <x:c r="U1872" i="3"/>
  <x:c r="T1872" i="3"/>
  <x:c r="E1872" i="3"/>
  <x:c r="D1872" i="3"/>
  <x:c r="C1872" i="3"/>
  <x:c r="B1872" i="3"/>
  <x:c r="AG1871" i="3"/>
  <x:c r="AF1871" i="3"/>
  <x:c r="AE1871" i="3"/>
  <x:c r="AD1871" i="3"/>
  <x:c r="AC1871" i="3"/>
  <x:c r="AB1871" i="3"/>
  <x:c r="AA1871" i="3"/>
  <x:c r="Z1871" i="3"/>
  <x:c r="Y1871" i="3"/>
  <x:c r="X1871" i="3"/>
  <x:c r="W1871" i="3"/>
  <x:c r="V1871" i="3"/>
  <x:c r="U1871" i="3"/>
  <x:c r="T1871" i="3"/>
  <x:c r="E1871" i="3"/>
  <x:c r="D1871" i="3"/>
  <x:c r="C1871" i="3"/>
  <x:c r="B1871" i="3"/>
  <x:c r="AG1870" i="3"/>
  <x:c r="AF1870" i="3"/>
  <x:c r="AE1870" i="3"/>
  <x:c r="AD1870" i="3"/>
  <x:c r="AC1870" i="3"/>
  <x:c r="AB1870" i="3"/>
  <x:c r="AA1870" i="3"/>
  <x:c r="Z1870" i="3"/>
  <x:c r="Y1870" i="3"/>
  <x:c r="X1870" i="3"/>
  <x:c r="W1870" i="3"/>
  <x:c r="V1870" i="3"/>
  <x:c r="U1870" i="3"/>
  <x:c r="T1870" i="3"/>
  <x:c r="E1870" i="3"/>
  <x:c r="D1870" i="3"/>
  <x:c r="C1870" i="3"/>
  <x:c r="B1870" i="3"/>
  <x:c r="AG1869" i="3"/>
  <x:c r="AF1869" i="3"/>
  <x:c r="AE1869" i="3"/>
  <x:c r="AD1869" i="3"/>
  <x:c r="AC1869" i="3"/>
  <x:c r="AB1869" i="3"/>
  <x:c r="AA1869" i="3"/>
  <x:c r="Z1869" i="3"/>
  <x:c r="Y1869" i="3"/>
  <x:c r="X1869" i="3"/>
  <x:c r="W1869" i="3"/>
  <x:c r="V1869" i="3"/>
  <x:c r="U1869" i="3"/>
  <x:c r="T1869" i="3"/>
  <x:c r="E1869" i="3"/>
  <x:c r="D1869" i="3"/>
  <x:c r="C1869" i="3"/>
  <x:c r="B1869" i="3"/>
  <x:c r="AG1868" i="3"/>
  <x:c r="AF1868" i="3"/>
  <x:c r="AE1868" i="3"/>
  <x:c r="AD1868" i="3"/>
  <x:c r="AC1868" i="3"/>
  <x:c r="AB1868" i="3"/>
  <x:c r="AA1868" i="3"/>
  <x:c r="Z1868" i="3"/>
  <x:c r="Y1868" i="3"/>
  <x:c r="X1868" i="3"/>
  <x:c r="W1868" i="3"/>
  <x:c r="V1868" i="3"/>
  <x:c r="U1868" i="3"/>
  <x:c r="T1868" i="3"/>
  <x:c r="E1868" i="3"/>
  <x:c r="D1868" i="3"/>
  <x:c r="C1868" i="3"/>
  <x:c r="B1868" i="3"/>
  <x:c r="AG1867" i="3"/>
  <x:c r="AF1867" i="3"/>
  <x:c r="AE1867" i="3"/>
  <x:c r="AD1867" i="3"/>
  <x:c r="AC1867" i="3"/>
  <x:c r="AB1867" i="3"/>
  <x:c r="AA1867" i="3"/>
  <x:c r="Z1867" i="3"/>
  <x:c r="Y1867" i="3"/>
  <x:c r="X1867" i="3"/>
  <x:c r="W1867" i="3"/>
  <x:c r="V1867" i="3"/>
  <x:c r="U1867" i="3"/>
  <x:c r="T1867" i="3"/>
  <x:c r="E1867" i="3"/>
  <x:c r="D1867" i="3"/>
  <x:c r="C1867" i="3"/>
  <x:c r="B1867" i="3"/>
  <x:c r="AG1866" i="3"/>
  <x:c r="AF1866" i="3"/>
  <x:c r="AE1866" i="3"/>
  <x:c r="AD1866" i="3"/>
  <x:c r="AC1866" i="3"/>
  <x:c r="AB1866" i="3"/>
  <x:c r="AA1866" i="3"/>
  <x:c r="Z1866" i="3"/>
  <x:c r="Y1866" i="3"/>
  <x:c r="X1866" i="3"/>
  <x:c r="W1866" i="3"/>
  <x:c r="V1866" i="3"/>
  <x:c r="U1866" i="3"/>
  <x:c r="T1866" i="3"/>
  <x:c r="E1866" i="3"/>
  <x:c r="D1866" i="3"/>
  <x:c r="C1866" i="3"/>
  <x:c r="B1866" i="3"/>
  <x:c r="AG1865" i="3"/>
  <x:c r="AF1865" i="3"/>
  <x:c r="AE1865" i="3"/>
  <x:c r="AD1865" i="3"/>
  <x:c r="AC1865" i="3"/>
  <x:c r="AB1865" i="3"/>
  <x:c r="AA1865" i="3"/>
  <x:c r="Z1865" i="3"/>
  <x:c r="Y1865" i="3"/>
  <x:c r="X1865" i="3"/>
  <x:c r="W1865" i="3"/>
  <x:c r="V1865" i="3"/>
  <x:c r="U1865" i="3"/>
  <x:c r="T1865" i="3"/>
  <x:c r="E1865" i="3"/>
  <x:c r="D1865" i="3"/>
  <x:c r="C1865" i="3"/>
  <x:c r="B1865" i="3"/>
  <x:c r="AG1864" i="3"/>
  <x:c r="AF1864" i="3"/>
  <x:c r="AE1864" i="3"/>
  <x:c r="AD1864" i="3"/>
  <x:c r="AC1864" i="3"/>
  <x:c r="AB1864" i="3"/>
  <x:c r="AA1864" i="3"/>
  <x:c r="Z1864" i="3"/>
  <x:c r="Y1864" i="3"/>
  <x:c r="X1864" i="3"/>
  <x:c r="W1864" i="3"/>
  <x:c r="V1864" i="3"/>
  <x:c r="U1864" i="3"/>
  <x:c r="T1864" i="3"/>
  <x:c r="E1864" i="3"/>
  <x:c r="D1864" i="3"/>
  <x:c r="C1864" i="3"/>
  <x:c r="B1864" i="3"/>
  <x:c r="AG1863" i="3"/>
  <x:c r="AF1863" i="3"/>
  <x:c r="AE1863" i="3"/>
  <x:c r="AD1863" i="3"/>
  <x:c r="AC1863" i="3"/>
  <x:c r="AB1863" i="3"/>
  <x:c r="AA1863" i="3"/>
  <x:c r="Z1863" i="3"/>
  <x:c r="Y1863" i="3"/>
  <x:c r="X1863" i="3"/>
  <x:c r="W1863" i="3"/>
  <x:c r="V1863" i="3"/>
  <x:c r="U1863" i="3"/>
  <x:c r="T1863" i="3"/>
  <x:c r="E1863" i="3"/>
  <x:c r="D1863" i="3"/>
  <x:c r="C1863" i="3"/>
  <x:c r="B1863" i="3"/>
  <x:c r="AG1862" i="3"/>
  <x:c r="AF1862" i="3"/>
  <x:c r="AE1862" i="3"/>
  <x:c r="AD1862" i="3"/>
  <x:c r="AC1862" i="3"/>
  <x:c r="AB1862" i="3"/>
  <x:c r="AA1862" i="3"/>
  <x:c r="Z1862" i="3"/>
  <x:c r="Y1862" i="3"/>
  <x:c r="X1862" i="3"/>
  <x:c r="W1862" i="3"/>
  <x:c r="V1862" i="3"/>
  <x:c r="U1862" i="3"/>
  <x:c r="T1862" i="3"/>
  <x:c r="E1862" i="3"/>
  <x:c r="D1862" i="3"/>
  <x:c r="C1862" i="3"/>
  <x:c r="B1862" i="3"/>
  <x:c r="AG1861" i="3"/>
  <x:c r="AF1861" i="3"/>
  <x:c r="AE1861" i="3"/>
  <x:c r="AD1861" i="3"/>
  <x:c r="AC1861" i="3"/>
  <x:c r="AB1861" i="3"/>
  <x:c r="AA1861" i="3"/>
  <x:c r="Z1861" i="3"/>
  <x:c r="Y1861" i="3"/>
  <x:c r="X1861" i="3"/>
  <x:c r="W1861" i="3"/>
  <x:c r="V1861" i="3"/>
  <x:c r="U1861" i="3"/>
  <x:c r="T1861" i="3"/>
  <x:c r="E1861" i="3"/>
  <x:c r="D1861" i="3"/>
  <x:c r="C1861" i="3"/>
  <x:c r="B1861" i="3"/>
  <x:c r="AG1860" i="3"/>
  <x:c r="AF1860" i="3"/>
  <x:c r="AE1860" i="3"/>
  <x:c r="AD1860" i="3"/>
  <x:c r="AC1860" i="3"/>
  <x:c r="AB1860" i="3"/>
  <x:c r="AA1860" i="3"/>
  <x:c r="Z1860" i="3"/>
  <x:c r="Y1860" i="3"/>
  <x:c r="X1860" i="3"/>
  <x:c r="W1860" i="3"/>
  <x:c r="V1860" i="3"/>
  <x:c r="U1860" i="3"/>
  <x:c r="T1860" i="3"/>
  <x:c r="E1860" i="3"/>
  <x:c r="D1860" i="3"/>
  <x:c r="C1860" i="3"/>
  <x:c r="B1860" i="3"/>
  <x:c r="AG1859" i="3"/>
  <x:c r="AF1859" i="3"/>
  <x:c r="AE1859" i="3"/>
  <x:c r="AD1859" i="3"/>
  <x:c r="AC1859" i="3"/>
  <x:c r="AB1859" i="3"/>
  <x:c r="AA1859" i="3"/>
  <x:c r="Z1859" i="3"/>
  <x:c r="Y1859" i="3"/>
  <x:c r="X1859" i="3"/>
  <x:c r="W1859" i="3"/>
  <x:c r="V1859" i="3"/>
  <x:c r="U1859" i="3"/>
  <x:c r="T1859" i="3"/>
  <x:c r="E1859" i="3"/>
  <x:c r="D1859" i="3"/>
  <x:c r="C1859" i="3"/>
  <x:c r="B1859" i="3"/>
  <x:c r="AG1858" i="3"/>
  <x:c r="AF1858" i="3"/>
  <x:c r="AE1858" i="3"/>
  <x:c r="AD1858" i="3"/>
  <x:c r="AC1858" i="3"/>
  <x:c r="AB1858" i="3"/>
  <x:c r="AA1858" i="3"/>
  <x:c r="Z1858" i="3"/>
  <x:c r="Y1858" i="3"/>
  <x:c r="X1858" i="3"/>
  <x:c r="W1858" i="3"/>
  <x:c r="V1858" i="3"/>
  <x:c r="U1858" i="3"/>
  <x:c r="T1858" i="3"/>
  <x:c r="E1858" i="3"/>
  <x:c r="D1858" i="3"/>
  <x:c r="C1858" i="3"/>
  <x:c r="B1858" i="3"/>
  <x:c r="AG1857" i="3"/>
  <x:c r="AF1857" i="3"/>
  <x:c r="AE1857" i="3"/>
  <x:c r="AD1857" i="3"/>
  <x:c r="AC1857" i="3"/>
  <x:c r="AB1857" i="3"/>
  <x:c r="AA1857" i="3"/>
  <x:c r="Z1857" i="3"/>
  <x:c r="Y1857" i="3"/>
  <x:c r="X1857" i="3"/>
  <x:c r="W1857" i="3"/>
  <x:c r="V1857" i="3"/>
  <x:c r="U1857" i="3"/>
  <x:c r="T1857" i="3"/>
  <x:c r="E1857" i="3"/>
  <x:c r="D1857" i="3"/>
  <x:c r="C1857" i="3"/>
  <x:c r="B1857" i="3"/>
  <x:c r="AG1856" i="3"/>
  <x:c r="AF1856" i="3"/>
  <x:c r="AE1856" i="3"/>
  <x:c r="AD1856" i="3"/>
  <x:c r="AC1856" i="3"/>
  <x:c r="AB1856" i="3"/>
  <x:c r="AA1856" i="3"/>
  <x:c r="Z1856" i="3"/>
  <x:c r="Y1856" i="3"/>
  <x:c r="X1856" i="3"/>
  <x:c r="W1856" i="3"/>
  <x:c r="V1856" i="3"/>
  <x:c r="U1856" i="3"/>
  <x:c r="T1856" i="3"/>
  <x:c r="E1856" i="3"/>
  <x:c r="D1856" i="3"/>
  <x:c r="C1856" i="3"/>
  <x:c r="B1856" i="3"/>
  <x:c r="AG1855" i="3"/>
  <x:c r="AF1855" i="3"/>
  <x:c r="AE1855" i="3"/>
  <x:c r="AD1855" i="3"/>
  <x:c r="AC1855" i="3"/>
  <x:c r="AB1855" i="3"/>
  <x:c r="AA1855" i="3"/>
  <x:c r="Z1855" i="3"/>
  <x:c r="Y1855" i="3"/>
  <x:c r="X1855" i="3"/>
  <x:c r="W1855" i="3"/>
  <x:c r="V1855" i="3"/>
  <x:c r="U1855" i="3"/>
  <x:c r="T1855" i="3"/>
  <x:c r="E1855" i="3"/>
  <x:c r="D1855" i="3"/>
  <x:c r="C1855" i="3"/>
  <x:c r="B1855" i="3"/>
  <x:c r="AG1854" i="3"/>
  <x:c r="AF1854" i="3"/>
  <x:c r="AE1854" i="3"/>
  <x:c r="AD1854" i="3"/>
  <x:c r="AC1854" i="3"/>
  <x:c r="AB1854" i="3"/>
  <x:c r="AA1854" i="3"/>
  <x:c r="Z1854" i="3"/>
  <x:c r="Y1854" i="3"/>
  <x:c r="X1854" i="3"/>
  <x:c r="W1854" i="3"/>
  <x:c r="V1854" i="3"/>
  <x:c r="U1854" i="3"/>
  <x:c r="T1854" i="3"/>
  <x:c r="E1854" i="3"/>
  <x:c r="D1854" i="3"/>
  <x:c r="C1854" i="3"/>
  <x:c r="B1854" i="3"/>
  <x:c r="AG1853" i="3"/>
  <x:c r="AF1853" i="3"/>
  <x:c r="AE1853" i="3"/>
  <x:c r="AD1853" i="3"/>
  <x:c r="AC1853" i="3"/>
  <x:c r="AB1853" i="3"/>
  <x:c r="AA1853" i="3"/>
  <x:c r="Z1853" i="3"/>
  <x:c r="Y1853" i="3"/>
  <x:c r="X1853" i="3"/>
  <x:c r="W1853" i="3"/>
  <x:c r="V1853" i="3"/>
  <x:c r="U1853" i="3"/>
  <x:c r="T1853" i="3"/>
  <x:c r="E1853" i="3"/>
  <x:c r="D1853" i="3"/>
  <x:c r="C1853" i="3"/>
  <x:c r="B1853" i="3"/>
  <x:c r="AG1852" i="3"/>
  <x:c r="AF1852" i="3"/>
  <x:c r="AE1852" i="3"/>
  <x:c r="AD1852" i="3"/>
  <x:c r="AC1852" i="3"/>
  <x:c r="AB1852" i="3"/>
  <x:c r="AA1852" i="3"/>
  <x:c r="Z1852" i="3"/>
  <x:c r="Y1852" i="3"/>
  <x:c r="X1852" i="3"/>
  <x:c r="W1852" i="3"/>
  <x:c r="V1852" i="3"/>
  <x:c r="U1852" i="3"/>
  <x:c r="T1852" i="3"/>
  <x:c r="E1852" i="3"/>
  <x:c r="D1852" i="3"/>
  <x:c r="C1852" i="3"/>
  <x:c r="B1852" i="3"/>
  <x:c r="AG1851" i="3"/>
  <x:c r="AF1851" i="3"/>
  <x:c r="AE1851" i="3"/>
  <x:c r="AD1851" i="3"/>
  <x:c r="AC1851" i="3"/>
  <x:c r="AB1851" i="3"/>
  <x:c r="AA1851" i="3"/>
  <x:c r="Z1851" i="3"/>
  <x:c r="Y1851" i="3"/>
  <x:c r="X1851" i="3"/>
  <x:c r="W1851" i="3"/>
  <x:c r="V1851" i="3"/>
  <x:c r="U1851" i="3"/>
  <x:c r="T1851" i="3"/>
  <x:c r="E1851" i="3"/>
  <x:c r="D1851" i="3"/>
  <x:c r="C1851" i="3"/>
  <x:c r="B1851" i="3"/>
  <x:c r="AG1850" i="3"/>
  <x:c r="AF1850" i="3"/>
  <x:c r="AE1850" i="3"/>
  <x:c r="AD1850" i="3"/>
  <x:c r="AC1850" i="3"/>
  <x:c r="AB1850" i="3"/>
  <x:c r="AA1850" i="3"/>
  <x:c r="Z1850" i="3"/>
  <x:c r="Y1850" i="3"/>
  <x:c r="X1850" i="3"/>
  <x:c r="W1850" i="3"/>
  <x:c r="V1850" i="3"/>
  <x:c r="U1850" i="3"/>
  <x:c r="T1850" i="3"/>
  <x:c r="E1850" i="3"/>
  <x:c r="D1850" i="3"/>
  <x:c r="C1850" i="3"/>
  <x:c r="B1850" i="3"/>
  <x:c r="AG1849" i="3"/>
  <x:c r="AF1849" i="3"/>
  <x:c r="AE1849" i="3"/>
  <x:c r="AD1849" i="3"/>
  <x:c r="AC1849" i="3"/>
  <x:c r="AB1849" i="3"/>
  <x:c r="AA1849" i="3"/>
  <x:c r="Z1849" i="3"/>
  <x:c r="Y1849" i="3"/>
  <x:c r="X1849" i="3"/>
  <x:c r="W1849" i="3"/>
  <x:c r="V1849" i="3"/>
  <x:c r="U1849" i="3"/>
  <x:c r="T1849" i="3"/>
  <x:c r="E1849" i="3"/>
  <x:c r="D1849" i="3"/>
  <x:c r="C1849" i="3"/>
  <x:c r="B1849" i="3"/>
  <x:c r="AG1848" i="3"/>
  <x:c r="AF1848" i="3"/>
  <x:c r="AE1848" i="3"/>
  <x:c r="AD1848" i="3"/>
  <x:c r="AC1848" i="3"/>
  <x:c r="AB1848" i="3"/>
  <x:c r="AA1848" i="3"/>
  <x:c r="Z1848" i="3"/>
  <x:c r="Y1848" i="3"/>
  <x:c r="X1848" i="3"/>
  <x:c r="W1848" i="3"/>
  <x:c r="V1848" i="3"/>
  <x:c r="U1848" i="3"/>
  <x:c r="T1848" i="3"/>
  <x:c r="E1848" i="3"/>
  <x:c r="D1848" i="3"/>
  <x:c r="C1848" i="3"/>
  <x:c r="B1848" i="3"/>
  <x:c r="AG1847" i="3"/>
  <x:c r="AF1847" i="3"/>
  <x:c r="AE1847" i="3"/>
  <x:c r="AD1847" i="3"/>
  <x:c r="AC1847" i="3"/>
  <x:c r="AB1847" i="3"/>
  <x:c r="AA1847" i="3"/>
  <x:c r="Z1847" i="3"/>
  <x:c r="Y1847" i="3"/>
  <x:c r="X1847" i="3"/>
  <x:c r="W1847" i="3"/>
  <x:c r="V1847" i="3"/>
  <x:c r="U1847" i="3"/>
  <x:c r="T1847" i="3"/>
  <x:c r="E1847" i="3"/>
  <x:c r="D1847" i="3"/>
  <x:c r="C1847" i="3"/>
  <x:c r="B1847" i="3"/>
  <x:c r="AG1846" i="3"/>
  <x:c r="AF1846" i="3"/>
  <x:c r="AE1846" i="3"/>
  <x:c r="AD1846" i="3"/>
  <x:c r="AC1846" i="3"/>
  <x:c r="AB1846" i="3"/>
  <x:c r="AA1846" i="3"/>
  <x:c r="Z1846" i="3"/>
  <x:c r="Y1846" i="3"/>
  <x:c r="X1846" i="3"/>
  <x:c r="W1846" i="3"/>
  <x:c r="V1846" i="3"/>
  <x:c r="U1846" i="3"/>
  <x:c r="T1846" i="3"/>
  <x:c r="E1846" i="3"/>
  <x:c r="D1846" i="3"/>
  <x:c r="C1846" i="3"/>
  <x:c r="B1846" i="3"/>
  <x:c r="AG1845" i="3"/>
  <x:c r="AF1845" i="3"/>
  <x:c r="AE1845" i="3"/>
  <x:c r="AD1845" i="3"/>
  <x:c r="AC1845" i="3"/>
  <x:c r="AB1845" i="3"/>
  <x:c r="AA1845" i="3"/>
  <x:c r="Z1845" i="3"/>
  <x:c r="Y1845" i="3"/>
  <x:c r="X1845" i="3"/>
  <x:c r="W1845" i="3"/>
  <x:c r="V1845" i="3"/>
  <x:c r="U1845" i="3"/>
  <x:c r="T1845" i="3"/>
  <x:c r="E1845" i="3"/>
  <x:c r="D1845" i="3"/>
  <x:c r="C1845" i="3"/>
  <x:c r="B1845" i="3"/>
  <x:c r="AG1844" i="3"/>
  <x:c r="AF1844" i="3"/>
  <x:c r="AE1844" i="3"/>
  <x:c r="AD1844" i="3"/>
  <x:c r="AC1844" i="3"/>
  <x:c r="AB1844" i="3"/>
  <x:c r="AA1844" i="3"/>
  <x:c r="Z1844" i="3"/>
  <x:c r="Y1844" i="3"/>
  <x:c r="X1844" i="3"/>
  <x:c r="W1844" i="3"/>
  <x:c r="V1844" i="3"/>
  <x:c r="U1844" i="3"/>
  <x:c r="T1844" i="3"/>
  <x:c r="E1844" i="3"/>
  <x:c r="D1844" i="3"/>
  <x:c r="C1844" i="3"/>
  <x:c r="B1844" i="3"/>
  <x:c r="AG1843" i="3"/>
  <x:c r="AF1843" i="3"/>
  <x:c r="AE1843" i="3"/>
  <x:c r="AD1843" i="3"/>
  <x:c r="AC1843" i="3"/>
  <x:c r="AB1843" i="3"/>
  <x:c r="AA1843" i="3"/>
  <x:c r="Z1843" i="3"/>
  <x:c r="Y1843" i="3"/>
  <x:c r="X1843" i="3"/>
  <x:c r="W1843" i="3"/>
  <x:c r="V1843" i="3"/>
  <x:c r="U1843" i="3"/>
  <x:c r="T1843" i="3"/>
  <x:c r="E1843" i="3"/>
  <x:c r="D1843" i="3"/>
  <x:c r="C1843" i="3"/>
  <x:c r="B1843" i="3"/>
  <x:c r="AG1842" i="3"/>
  <x:c r="AF1842" i="3"/>
  <x:c r="AE1842" i="3"/>
  <x:c r="AD1842" i="3"/>
  <x:c r="AC1842" i="3"/>
  <x:c r="AB1842" i="3"/>
  <x:c r="AA1842" i="3"/>
  <x:c r="Z1842" i="3"/>
  <x:c r="Y1842" i="3"/>
  <x:c r="X1842" i="3"/>
  <x:c r="W1842" i="3"/>
  <x:c r="V1842" i="3"/>
  <x:c r="U1842" i="3"/>
  <x:c r="T1842" i="3"/>
  <x:c r="E1842" i="3"/>
  <x:c r="D1842" i="3"/>
  <x:c r="C1842" i="3"/>
  <x:c r="B1842" i="3"/>
  <x:c r="AG1841" i="3"/>
  <x:c r="AF1841" i="3"/>
  <x:c r="AE1841" i="3"/>
  <x:c r="AD1841" i="3"/>
  <x:c r="AC1841" i="3"/>
  <x:c r="AB1841" i="3"/>
  <x:c r="AA1841" i="3"/>
  <x:c r="Z1841" i="3"/>
  <x:c r="Y1841" i="3"/>
  <x:c r="X1841" i="3"/>
  <x:c r="W1841" i="3"/>
  <x:c r="V1841" i="3"/>
  <x:c r="U1841" i="3"/>
  <x:c r="T1841" i="3"/>
  <x:c r="E1841" i="3"/>
  <x:c r="D1841" i="3"/>
  <x:c r="C1841" i="3"/>
  <x:c r="B1841" i="3"/>
  <x:c r="AG1840" i="3"/>
  <x:c r="AF1840" i="3"/>
  <x:c r="AE1840" i="3"/>
  <x:c r="AD1840" i="3"/>
  <x:c r="AC1840" i="3"/>
  <x:c r="AB1840" i="3"/>
  <x:c r="AA1840" i="3"/>
  <x:c r="Z1840" i="3"/>
  <x:c r="Y1840" i="3"/>
  <x:c r="X1840" i="3"/>
  <x:c r="W1840" i="3"/>
  <x:c r="V1840" i="3"/>
  <x:c r="U1840" i="3"/>
  <x:c r="T1840" i="3"/>
  <x:c r="E1840" i="3"/>
  <x:c r="D1840" i="3"/>
  <x:c r="C1840" i="3"/>
  <x:c r="B1840" i="3"/>
  <x:c r="AG1839" i="3"/>
  <x:c r="AF1839" i="3"/>
  <x:c r="AE1839" i="3"/>
  <x:c r="AD1839" i="3"/>
  <x:c r="AC1839" i="3"/>
  <x:c r="AB1839" i="3"/>
  <x:c r="AA1839" i="3"/>
  <x:c r="Z1839" i="3"/>
  <x:c r="Y1839" i="3"/>
  <x:c r="X1839" i="3"/>
  <x:c r="W1839" i="3"/>
  <x:c r="V1839" i="3"/>
  <x:c r="U1839" i="3"/>
  <x:c r="T1839" i="3"/>
  <x:c r="E1839" i="3"/>
  <x:c r="D1839" i="3"/>
  <x:c r="C1839" i="3"/>
  <x:c r="B1839" i="3"/>
  <x:c r="AG1838" i="3"/>
  <x:c r="AF1838" i="3"/>
  <x:c r="AE1838" i="3"/>
  <x:c r="AD1838" i="3"/>
  <x:c r="AC1838" i="3"/>
  <x:c r="AB1838" i="3"/>
  <x:c r="AA1838" i="3"/>
  <x:c r="Z1838" i="3"/>
  <x:c r="Y1838" i="3"/>
  <x:c r="X1838" i="3"/>
  <x:c r="W1838" i="3"/>
  <x:c r="V1838" i="3"/>
  <x:c r="U1838" i="3"/>
  <x:c r="T1838" i="3"/>
  <x:c r="E1838" i="3"/>
  <x:c r="D1838" i="3"/>
  <x:c r="C1838" i="3"/>
  <x:c r="B1838" i="3"/>
  <x:c r="AG1837" i="3"/>
  <x:c r="AF1837" i="3"/>
  <x:c r="AE1837" i="3"/>
  <x:c r="AD1837" i="3"/>
  <x:c r="AC1837" i="3"/>
  <x:c r="AB1837" i="3"/>
  <x:c r="AA1837" i="3"/>
  <x:c r="Z1837" i="3"/>
  <x:c r="Y1837" i="3"/>
  <x:c r="X1837" i="3"/>
  <x:c r="W1837" i="3"/>
  <x:c r="V1837" i="3"/>
  <x:c r="U1837" i="3"/>
  <x:c r="T1837" i="3"/>
  <x:c r="E1837" i="3"/>
  <x:c r="D1837" i="3"/>
  <x:c r="C1837" i="3"/>
  <x:c r="B1837" i="3"/>
  <x:c r="AG1836" i="3"/>
  <x:c r="AF1836" i="3"/>
  <x:c r="AE1836" i="3"/>
  <x:c r="AD1836" i="3"/>
  <x:c r="AC1836" i="3"/>
  <x:c r="AB1836" i="3"/>
  <x:c r="AA1836" i="3"/>
  <x:c r="Z1836" i="3"/>
  <x:c r="Y1836" i="3"/>
  <x:c r="X1836" i="3"/>
  <x:c r="W1836" i="3"/>
  <x:c r="V1836" i="3"/>
  <x:c r="U1836" i="3"/>
  <x:c r="T1836" i="3"/>
  <x:c r="E1836" i="3"/>
  <x:c r="D1836" i="3"/>
  <x:c r="C1836" i="3"/>
  <x:c r="B1836" i="3"/>
  <x:c r="AG1835" i="3"/>
  <x:c r="AF1835" i="3"/>
  <x:c r="AE1835" i="3"/>
  <x:c r="AD1835" i="3"/>
  <x:c r="AC1835" i="3"/>
  <x:c r="AB1835" i="3"/>
  <x:c r="AA1835" i="3"/>
  <x:c r="Z1835" i="3"/>
  <x:c r="Y1835" i="3"/>
  <x:c r="X1835" i="3"/>
  <x:c r="W1835" i="3"/>
  <x:c r="V1835" i="3"/>
  <x:c r="U1835" i="3"/>
  <x:c r="T1835" i="3"/>
  <x:c r="E1835" i="3"/>
  <x:c r="D1835" i="3"/>
  <x:c r="C1835" i="3"/>
  <x:c r="B1835" i="3"/>
  <x:c r="AG1834" i="3"/>
  <x:c r="AF1834" i="3"/>
  <x:c r="AE1834" i="3"/>
  <x:c r="AD1834" i="3"/>
  <x:c r="AC1834" i="3"/>
  <x:c r="AB1834" i="3"/>
  <x:c r="AA1834" i="3"/>
  <x:c r="Z1834" i="3"/>
  <x:c r="Y1834" i="3"/>
  <x:c r="X1834" i="3"/>
  <x:c r="W1834" i="3"/>
  <x:c r="V1834" i="3"/>
  <x:c r="U1834" i="3"/>
  <x:c r="T1834" i="3"/>
  <x:c r="E1834" i="3"/>
  <x:c r="D1834" i="3"/>
  <x:c r="C1834" i="3"/>
  <x:c r="B1834" i="3"/>
  <x:c r="AG1833" i="3"/>
  <x:c r="AF1833" i="3"/>
  <x:c r="AE1833" i="3"/>
  <x:c r="AD1833" i="3"/>
  <x:c r="AC1833" i="3"/>
  <x:c r="AB1833" i="3"/>
  <x:c r="AA1833" i="3"/>
  <x:c r="Z1833" i="3"/>
  <x:c r="Y1833" i="3"/>
  <x:c r="X1833" i="3"/>
  <x:c r="W1833" i="3"/>
  <x:c r="V1833" i="3"/>
  <x:c r="U1833" i="3"/>
  <x:c r="T1833" i="3"/>
  <x:c r="E1833" i="3"/>
  <x:c r="D1833" i="3"/>
  <x:c r="C1833" i="3"/>
  <x:c r="B1833" i="3"/>
  <x:c r="AG1832" i="3"/>
  <x:c r="AF1832" i="3"/>
  <x:c r="AE1832" i="3"/>
  <x:c r="AD1832" i="3"/>
  <x:c r="AC1832" i="3"/>
  <x:c r="AB1832" i="3"/>
  <x:c r="AA1832" i="3"/>
  <x:c r="Z1832" i="3"/>
  <x:c r="Y1832" i="3"/>
  <x:c r="X1832" i="3"/>
  <x:c r="W1832" i="3"/>
  <x:c r="V1832" i="3"/>
  <x:c r="U1832" i="3"/>
  <x:c r="T1832" i="3"/>
  <x:c r="E1832" i="3"/>
  <x:c r="D1832" i="3"/>
  <x:c r="C1832" i="3"/>
  <x:c r="B1832" i="3"/>
  <x:c r="AG1831" i="3"/>
  <x:c r="AF1831" i="3"/>
  <x:c r="AE1831" i="3"/>
  <x:c r="AD1831" i="3"/>
  <x:c r="AC1831" i="3"/>
  <x:c r="AB1831" i="3"/>
  <x:c r="AA1831" i="3"/>
  <x:c r="Z1831" i="3"/>
  <x:c r="Y1831" i="3"/>
  <x:c r="X1831" i="3"/>
  <x:c r="W1831" i="3"/>
  <x:c r="V1831" i="3"/>
  <x:c r="U1831" i="3"/>
  <x:c r="T1831" i="3"/>
  <x:c r="E1831" i="3"/>
  <x:c r="D1831" i="3"/>
  <x:c r="C1831" i="3"/>
  <x:c r="B1831" i="3"/>
  <x:c r="AG1830" i="3"/>
  <x:c r="AF1830" i="3"/>
  <x:c r="AE1830" i="3"/>
  <x:c r="AD1830" i="3"/>
  <x:c r="AC1830" i="3"/>
  <x:c r="AB1830" i="3"/>
  <x:c r="AA1830" i="3"/>
  <x:c r="Z1830" i="3"/>
  <x:c r="Y1830" i="3"/>
  <x:c r="X1830" i="3"/>
  <x:c r="W1830" i="3"/>
  <x:c r="V1830" i="3"/>
  <x:c r="U1830" i="3"/>
  <x:c r="T1830" i="3"/>
  <x:c r="E1830" i="3"/>
  <x:c r="D1830" i="3"/>
  <x:c r="C1830" i="3"/>
  <x:c r="B1830" i="3"/>
  <x:c r="AG1829" i="3"/>
  <x:c r="AF1829" i="3"/>
  <x:c r="AE1829" i="3"/>
  <x:c r="AD1829" i="3"/>
  <x:c r="AC1829" i="3"/>
  <x:c r="AB1829" i="3"/>
  <x:c r="AA1829" i="3"/>
  <x:c r="Z1829" i="3"/>
  <x:c r="Y1829" i="3"/>
  <x:c r="X1829" i="3"/>
  <x:c r="W1829" i="3"/>
  <x:c r="V1829" i="3"/>
  <x:c r="U1829" i="3"/>
  <x:c r="T1829" i="3"/>
  <x:c r="E1829" i="3"/>
  <x:c r="D1829" i="3"/>
  <x:c r="C1829" i="3"/>
  <x:c r="B1829" i="3"/>
  <x:c r="AG1828" i="3"/>
  <x:c r="AF1828" i="3"/>
  <x:c r="AE1828" i="3"/>
  <x:c r="AD1828" i="3"/>
  <x:c r="AC1828" i="3"/>
  <x:c r="AB1828" i="3"/>
  <x:c r="AA1828" i="3"/>
  <x:c r="Z1828" i="3"/>
  <x:c r="Y1828" i="3"/>
  <x:c r="X1828" i="3"/>
  <x:c r="W1828" i="3"/>
  <x:c r="V1828" i="3"/>
  <x:c r="U1828" i="3"/>
  <x:c r="T1828" i="3"/>
  <x:c r="E1828" i="3"/>
  <x:c r="D1828" i="3"/>
  <x:c r="C1828" i="3"/>
  <x:c r="B1828" i="3"/>
  <x:c r="AG1827" i="3"/>
  <x:c r="AF1827" i="3"/>
  <x:c r="AE1827" i="3"/>
  <x:c r="AD1827" i="3"/>
  <x:c r="AC1827" i="3"/>
  <x:c r="AB1827" i="3"/>
  <x:c r="AA1827" i="3"/>
  <x:c r="Z1827" i="3"/>
  <x:c r="Y1827" i="3"/>
  <x:c r="X1827" i="3"/>
  <x:c r="W1827" i="3"/>
  <x:c r="V1827" i="3"/>
  <x:c r="U1827" i="3"/>
  <x:c r="T1827" i="3"/>
  <x:c r="E1827" i="3"/>
  <x:c r="D1827" i="3"/>
  <x:c r="C1827" i="3"/>
  <x:c r="B1827" i="3"/>
  <x:c r="AG1826" i="3"/>
  <x:c r="AF1826" i="3"/>
  <x:c r="AE1826" i="3"/>
  <x:c r="AD1826" i="3"/>
  <x:c r="AC1826" i="3"/>
  <x:c r="AB1826" i="3"/>
  <x:c r="AA1826" i="3"/>
  <x:c r="Z1826" i="3"/>
  <x:c r="Y1826" i="3"/>
  <x:c r="X1826" i="3"/>
  <x:c r="W1826" i="3"/>
  <x:c r="V1826" i="3"/>
  <x:c r="U1826" i="3"/>
  <x:c r="T1826" i="3"/>
  <x:c r="E1826" i="3"/>
  <x:c r="D1826" i="3"/>
  <x:c r="C1826" i="3"/>
  <x:c r="B1826" i="3"/>
  <x:c r="AG1825" i="3"/>
  <x:c r="AF1825" i="3"/>
  <x:c r="AE1825" i="3"/>
  <x:c r="AD1825" i="3"/>
  <x:c r="AC1825" i="3"/>
  <x:c r="AB1825" i="3"/>
  <x:c r="AA1825" i="3"/>
  <x:c r="Z1825" i="3"/>
  <x:c r="Y1825" i="3"/>
  <x:c r="X1825" i="3"/>
  <x:c r="W1825" i="3"/>
  <x:c r="V1825" i="3"/>
  <x:c r="U1825" i="3"/>
  <x:c r="T1825" i="3"/>
  <x:c r="E1825" i="3"/>
  <x:c r="D1825" i="3"/>
  <x:c r="C1825" i="3"/>
  <x:c r="B1825" i="3"/>
  <x:c r="AG1824" i="3"/>
  <x:c r="AF1824" i="3"/>
  <x:c r="AE1824" i="3"/>
  <x:c r="AD1824" i="3"/>
  <x:c r="AC1824" i="3"/>
  <x:c r="AB1824" i="3"/>
  <x:c r="AA1824" i="3"/>
  <x:c r="Z1824" i="3"/>
  <x:c r="Y1824" i="3"/>
  <x:c r="X1824" i="3"/>
  <x:c r="W1824" i="3"/>
  <x:c r="V1824" i="3"/>
  <x:c r="U1824" i="3"/>
  <x:c r="T1824" i="3"/>
  <x:c r="E1824" i="3"/>
  <x:c r="D1824" i="3"/>
  <x:c r="C1824" i="3"/>
  <x:c r="B1824" i="3"/>
  <x:c r="AG1823" i="3"/>
  <x:c r="AF1823" i="3"/>
  <x:c r="AE1823" i="3"/>
  <x:c r="AD1823" i="3"/>
  <x:c r="AC1823" i="3"/>
  <x:c r="AB1823" i="3"/>
  <x:c r="AA1823" i="3"/>
  <x:c r="Z1823" i="3"/>
  <x:c r="Y1823" i="3"/>
  <x:c r="X1823" i="3"/>
  <x:c r="W1823" i="3"/>
  <x:c r="V1823" i="3"/>
  <x:c r="U1823" i="3"/>
  <x:c r="T1823" i="3"/>
  <x:c r="E1823" i="3"/>
  <x:c r="D1823" i="3"/>
  <x:c r="C1823" i="3"/>
  <x:c r="B1823" i="3"/>
  <x:c r="AG1822" i="3"/>
  <x:c r="AF1822" i="3"/>
  <x:c r="AE1822" i="3"/>
  <x:c r="AD1822" i="3"/>
  <x:c r="AC1822" i="3"/>
  <x:c r="AB1822" i="3"/>
  <x:c r="AA1822" i="3"/>
  <x:c r="Z1822" i="3"/>
  <x:c r="Y1822" i="3"/>
  <x:c r="X1822" i="3"/>
  <x:c r="W1822" i="3"/>
  <x:c r="V1822" i="3"/>
  <x:c r="U1822" i="3"/>
  <x:c r="T1822" i="3"/>
  <x:c r="E1822" i="3"/>
  <x:c r="D1822" i="3"/>
  <x:c r="C1822" i="3"/>
  <x:c r="B1822" i="3"/>
  <x:c r="AG1821" i="3"/>
  <x:c r="AF1821" i="3"/>
  <x:c r="AE1821" i="3"/>
  <x:c r="AD1821" i="3"/>
  <x:c r="AC1821" i="3"/>
  <x:c r="AB1821" i="3"/>
  <x:c r="AA1821" i="3"/>
  <x:c r="Z1821" i="3"/>
  <x:c r="Y1821" i="3"/>
  <x:c r="X1821" i="3"/>
  <x:c r="W1821" i="3"/>
  <x:c r="V1821" i="3"/>
  <x:c r="U1821" i="3"/>
  <x:c r="T1821" i="3"/>
  <x:c r="E1821" i="3"/>
  <x:c r="D1821" i="3"/>
  <x:c r="C1821" i="3"/>
  <x:c r="B1821" i="3"/>
  <x:c r="AG1820" i="3"/>
  <x:c r="AF1820" i="3"/>
  <x:c r="AE1820" i="3"/>
  <x:c r="AD1820" i="3"/>
  <x:c r="AC1820" i="3"/>
  <x:c r="AB1820" i="3"/>
  <x:c r="AA1820" i="3"/>
  <x:c r="Z1820" i="3"/>
  <x:c r="Y1820" i="3"/>
  <x:c r="X1820" i="3"/>
  <x:c r="W1820" i="3"/>
  <x:c r="V1820" i="3"/>
  <x:c r="U1820" i="3"/>
  <x:c r="T1820" i="3"/>
  <x:c r="E1820" i="3"/>
  <x:c r="D1820" i="3"/>
  <x:c r="C1820" i="3"/>
  <x:c r="B1820" i="3"/>
  <x:c r="AG1819" i="3"/>
  <x:c r="AF1819" i="3"/>
  <x:c r="AE1819" i="3"/>
  <x:c r="AD1819" i="3"/>
  <x:c r="AC1819" i="3"/>
  <x:c r="AB1819" i="3"/>
  <x:c r="AA1819" i="3"/>
  <x:c r="Z1819" i="3"/>
  <x:c r="Y1819" i="3"/>
  <x:c r="X1819" i="3"/>
  <x:c r="W1819" i="3"/>
  <x:c r="V1819" i="3"/>
  <x:c r="U1819" i="3"/>
  <x:c r="T1819" i="3"/>
  <x:c r="E1819" i="3"/>
  <x:c r="D1819" i="3"/>
  <x:c r="C1819" i="3"/>
  <x:c r="B1819" i="3"/>
  <x:c r="AG1818" i="3"/>
  <x:c r="AF1818" i="3"/>
  <x:c r="AE1818" i="3"/>
  <x:c r="AD1818" i="3"/>
  <x:c r="AC1818" i="3"/>
  <x:c r="AB1818" i="3"/>
  <x:c r="AA1818" i="3"/>
  <x:c r="Z1818" i="3"/>
  <x:c r="Y1818" i="3"/>
  <x:c r="X1818" i="3"/>
  <x:c r="W1818" i="3"/>
  <x:c r="V1818" i="3"/>
  <x:c r="U1818" i="3"/>
  <x:c r="T1818" i="3"/>
  <x:c r="E1818" i="3"/>
  <x:c r="D1818" i="3"/>
  <x:c r="C1818" i="3"/>
  <x:c r="B1818" i="3"/>
  <x:c r="AG1817" i="3"/>
  <x:c r="AF1817" i="3"/>
  <x:c r="AE1817" i="3"/>
  <x:c r="AD1817" i="3"/>
  <x:c r="AC1817" i="3"/>
  <x:c r="AB1817" i="3"/>
  <x:c r="AA1817" i="3"/>
  <x:c r="Z1817" i="3"/>
  <x:c r="Y1817" i="3"/>
  <x:c r="X1817" i="3"/>
  <x:c r="W1817" i="3"/>
  <x:c r="V1817" i="3"/>
  <x:c r="U1817" i="3"/>
  <x:c r="T1817" i="3"/>
  <x:c r="E1817" i="3"/>
  <x:c r="D1817" i="3"/>
  <x:c r="C1817" i="3"/>
  <x:c r="B1817" i="3"/>
  <x:c r="AG1816" i="3"/>
  <x:c r="AF1816" i="3"/>
  <x:c r="AE1816" i="3"/>
  <x:c r="AD1816" i="3"/>
  <x:c r="AC1816" i="3"/>
  <x:c r="AB1816" i="3"/>
  <x:c r="AA1816" i="3"/>
  <x:c r="Z1816" i="3"/>
  <x:c r="Y1816" i="3"/>
  <x:c r="X1816" i="3"/>
  <x:c r="W1816" i="3"/>
  <x:c r="V1816" i="3"/>
  <x:c r="U1816" i="3"/>
  <x:c r="T1816" i="3"/>
  <x:c r="E1816" i="3"/>
  <x:c r="D1816" i="3"/>
  <x:c r="C1816" i="3"/>
  <x:c r="B1816" i="3"/>
  <x:c r="AG1815" i="3"/>
  <x:c r="AF1815" i="3"/>
  <x:c r="AE1815" i="3"/>
  <x:c r="AD1815" i="3"/>
  <x:c r="AC1815" i="3"/>
  <x:c r="AB1815" i="3"/>
  <x:c r="AA1815" i="3"/>
  <x:c r="Z1815" i="3"/>
  <x:c r="Y1815" i="3"/>
  <x:c r="X1815" i="3"/>
  <x:c r="W1815" i="3"/>
  <x:c r="V1815" i="3"/>
  <x:c r="U1815" i="3"/>
  <x:c r="T1815" i="3"/>
  <x:c r="E1815" i="3"/>
  <x:c r="D1815" i="3"/>
  <x:c r="C1815" i="3"/>
  <x:c r="B1815" i="3"/>
  <x:c r="AG1814" i="3"/>
  <x:c r="AF1814" i="3"/>
  <x:c r="AE1814" i="3"/>
  <x:c r="AD1814" i="3"/>
  <x:c r="AC1814" i="3"/>
  <x:c r="AB1814" i="3"/>
  <x:c r="AA1814" i="3"/>
  <x:c r="Z1814" i="3"/>
  <x:c r="Y1814" i="3"/>
  <x:c r="X1814" i="3"/>
  <x:c r="W1814" i="3"/>
  <x:c r="V1814" i="3"/>
  <x:c r="U1814" i="3"/>
  <x:c r="T1814" i="3"/>
  <x:c r="E1814" i="3"/>
  <x:c r="D1814" i="3"/>
  <x:c r="C1814" i="3"/>
  <x:c r="B1814" i="3"/>
  <x:c r="AG1813" i="3"/>
  <x:c r="AF1813" i="3"/>
  <x:c r="AE1813" i="3"/>
  <x:c r="AD1813" i="3"/>
  <x:c r="AC1813" i="3"/>
  <x:c r="AB1813" i="3"/>
  <x:c r="AA1813" i="3"/>
  <x:c r="Z1813" i="3"/>
  <x:c r="Y1813" i="3"/>
  <x:c r="X1813" i="3"/>
  <x:c r="W1813" i="3"/>
  <x:c r="V1813" i="3"/>
  <x:c r="U1813" i="3"/>
  <x:c r="T1813" i="3"/>
  <x:c r="E1813" i="3"/>
  <x:c r="D1813" i="3"/>
  <x:c r="C1813" i="3"/>
  <x:c r="B1813" i="3"/>
  <x:c r="AG1812" i="3"/>
  <x:c r="AF1812" i="3"/>
  <x:c r="AE1812" i="3"/>
  <x:c r="AD1812" i="3"/>
  <x:c r="AC1812" i="3"/>
  <x:c r="AB1812" i="3"/>
  <x:c r="AA1812" i="3"/>
  <x:c r="Z1812" i="3"/>
  <x:c r="Y1812" i="3"/>
  <x:c r="X1812" i="3"/>
  <x:c r="W1812" i="3"/>
  <x:c r="V1812" i="3"/>
  <x:c r="U1812" i="3"/>
  <x:c r="T1812" i="3"/>
  <x:c r="E1812" i="3"/>
  <x:c r="D1812" i="3"/>
  <x:c r="C1812" i="3"/>
  <x:c r="B1812" i="3"/>
  <x:c r="AG1811" i="3"/>
  <x:c r="AF1811" i="3"/>
  <x:c r="AE1811" i="3"/>
  <x:c r="AD1811" i="3"/>
  <x:c r="AC1811" i="3"/>
  <x:c r="AB1811" i="3"/>
  <x:c r="AA1811" i="3"/>
  <x:c r="Z1811" i="3"/>
  <x:c r="Y1811" i="3"/>
  <x:c r="X1811" i="3"/>
  <x:c r="W1811" i="3"/>
  <x:c r="V1811" i="3"/>
  <x:c r="U1811" i="3"/>
  <x:c r="T1811" i="3"/>
  <x:c r="E1811" i="3"/>
  <x:c r="D1811" i="3"/>
  <x:c r="C1811" i="3"/>
  <x:c r="B1811" i="3"/>
  <x:c r="AG1810" i="3"/>
  <x:c r="AF1810" i="3"/>
  <x:c r="AE1810" i="3"/>
  <x:c r="AD1810" i="3"/>
  <x:c r="AC1810" i="3"/>
  <x:c r="AB1810" i="3"/>
  <x:c r="AA1810" i="3"/>
  <x:c r="Z1810" i="3"/>
  <x:c r="Y1810" i="3"/>
  <x:c r="X1810" i="3"/>
  <x:c r="W1810" i="3"/>
  <x:c r="V1810" i="3"/>
  <x:c r="U1810" i="3"/>
  <x:c r="T1810" i="3"/>
  <x:c r="E1810" i="3"/>
  <x:c r="D1810" i="3"/>
  <x:c r="C1810" i="3"/>
  <x:c r="B1810" i="3"/>
  <x:c r="AG1809" i="3"/>
  <x:c r="AF1809" i="3"/>
  <x:c r="AE1809" i="3"/>
  <x:c r="AD1809" i="3"/>
  <x:c r="AC1809" i="3"/>
  <x:c r="AB1809" i="3"/>
  <x:c r="AA1809" i="3"/>
  <x:c r="Z1809" i="3"/>
  <x:c r="Y1809" i="3"/>
  <x:c r="X1809" i="3"/>
  <x:c r="W1809" i="3"/>
  <x:c r="V1809" i="3"/>
  <x:c r="U1809" i="3"/>
  <x:c r="T1809" i="3"/>
  <x:c r="E1809" i="3"/>
  <x:c r="D1809" i="3"/>
  <x:c r="C1809" i="3"/>
  <x:c r="B1809" i="3"/>
  <x:c r="AG1808" i="3"/>
  <x:c r="AF1808" i="3"/>
  <x:c r="AE1808" i="3"/>
  <x:c r="AD1808" i="3"/>
  <x:c r="AC1808" i="3"/>
  <x:c r="AB1808" i="3"/>
  <x:c r="AA1808" i="3"/>
  <x:c r="Z1808" i="3"/>
  <x:c r="Y1808" i="3"/>
  <x:c r="X1808" i="3"/>
  <x:c r="W1808" i="3"/>
  <x:c r="V1808" i="3"/>
  <x:c r="U1808" i="3"/>
  <x:c r="T1808" i="3"/>
  <x:c r="E1808" i="3"/>
  <x:c r="D1808" i="3"/>
  <x:c r="C1808" i="3"/>
  <x:c r="B1808" i="3"/>
  <x:c r="AG1807" i="3"/>
  <x:c r="AF1807" i="3"/>
  <x:c r="AE1807" i="3"/>
  <x:c r="AD1807" i="3"/>
  <x:c r="AC1807" i="3"/>
  <x:c r="AB1807" i="3"/>
  <x:c r="AA1807" i="3"/>
  <x:c r="Z1807" i="3"/>
  <x:c r="Y1807" i="3"/>
  <x:c r="X1807" i="3"/>
  <x:c r="W1807" i="3"/>
  <x:c r="V1807" i="3"/>
  <x:c r="U1807" i="3"/>
  <x:c r="T1807" i="3"/>
  <x:c r="E1807" i="3"/>
  <x:c r="D1807" i="3"/>
  <x:c r="C1807" i="3"/>
  <x:c r="B1807" i="3"/>
  <x:c r="AG1806" i="3"/>
  <x:c r="AF1806" i="3"/>
  <x:c r="AE1806" i="3"/>
  <x:c r="AD1806" i="3"/>
  <x:c r="AC1806" i="3"/>
  <x:c r="AB1806" i="3"/>
  <x:c r="AA1806" i="3"/>
  <x:c r="Z1806" i="3"/>
  <x:c r="Y1806" i="3"/>
  <x:c r="X1806" i="3"/>
  <x:c r="W1806" i="3"/>
  <x:c r="V1806" i="3"/>
  <x:c r="U1806" i="3"/>
  <x:c r="T1806" i="3"/>
  <x:c r="E1806" i="3"/>
  <x:c r="D1806" i="3"/>
  <x:c r="C1806" i="3"/>
  <x:c r="B1806" i="3"/>
  <x:c r="AG1805" i="3"/>
  <x:c r="AF1805" i="3"/>
  <x:c r="AE1805" i="3"/>
  <x:c r="AD1805" i="3"/>
  <x:c r="AC1805" i="3"/>
  <x:c r="AB1805" i="3"/>
  <x:c r="AA1805" i="3"/>
  <x:c r="Z1805" i="3"/>
  <x:c r="Y1805" i="3"/>
  <x:c r="X1805" i="3"/>
  <x:c r="W1805" i="3"/>
  <x:c r="V1805" i="3"/>
  <x:c r="U1805" i="3"/>
  <x:c r="T1805" i="3"/>
  <x:c r="E1805" i="3"/>
  <x:c r="D1805" i="3"/>
  <x:c r="C1805" i="3"/>
  <x:c r="B1805" i="3"/>
  <x:c r="AG1804" i="3"/>
  <x:c r="AF1804" i="3"/>
  <x:c r="AE1804" i="3"/>
  <x:c r="AD1804" i="3"/>
  <x:c r="AC1804" i="3"/>
  <x:c r="AB1804" i="3"/>
  <x:c r="AA1804" i="3"/>
  <x:c r="Z1804" i="3"/>
  <x:c r="Y1804" i="3"/>
  <x:c r="X1804" i="3"/>
  <x:c r="W1804" i="3"/>
  <x:c r="V1804" i="3"/>
  <x:c r="U1804" i="3"/>
  <x:c r="T1804" i="3"/>
  <x:c r="E1804" i="3"/>
  <x:c r="D1804" i="3"/>
  <x:c r="C1804" i="3"/>
  <x:c r="B1804" i="3"/>
  <x:c r="AG1803" i="3"/>
  <x:c r="AF1803" i="3"/>
  <x:c r="AE1803" i="3"/>
  <x:c r="AD1803" i="3"/>
  <x:c r="AC1803" i="3"/>
  <x:c r="AB1803" i="3"/>
  <x:c r="AA1803" i="3"/>
  <x:c r="Z1803" i="3"/>
  <x:c r="Y1803" i="3"/>
  <x:c r="X1803" i="3"/>
  <x:c r="W1803" i="3"/>
  <x:c r="V1803" i="3"/>
  <x:c r="U1803" i="3"/>
  <x:c r="T1803" i="3"/>
  <x:c r="E1803" i="3"/>
  <x:c r="D1803" i="3"/>
  <x:c r="C1803" i="3"/>
  <x:c r="B1803" i="3"/>
  <x:c r="AG1802" i="3"/>
  <x:c r="AF1802" i="3"/>
  <x:c r="AE1802" i="3"/>
  <x:c r="AD1802" i="3"/>
  <x:c r="AC1802" i="3"/>
  <x:c r="AB1802" i="3"/>
  <x:c r="AA1802" i="3"/>
  <x:c r="Z1802" i="3"/>
  <x:c r="Y1802" i="3"/>
  <x:c r="X1802" i="3"/>
  <x:c r="W1802" i="3"/>
  <x:c r="V1802" i="3"/>
  <x:c r="U1802" i="3"/>
  <x:c r="T1802" i="3"/>
  <x:c r="E1802" i="3"/>
  <x:c r="D1802" i="3"/>
  <x:c r="C1802" i="3"/>
  <x:c r="B1802" i="3"/>
  <x:c r="AG1801" i="3"/>
  <x:c r="AF1801" i="3"/>
  <x:c r="AE1801" i="3"/>
  <x:c r="AD1801" i="3"/>
  <x:c r="AC1801" i="3"/>
  <x:c r="AB1801" i="3"/>
  <x:c r="AA1801" i="3"/>
  <x:c r="Z1801" i="3"/>
  <x:c r="Y1801" i="3"/>
  <x:c r="X1801" i="3"/>
  <x:c r="W1801" i="3"/>
  <x:c r="V1801" i="3"/>
  <x:c r="U1801" i="3"/>
  <x:c r="T1801" i="3"/>
  <x:c r="E1801" i="3"/>
  <x:c r="D1801" i="3"/>
  <x:c r="C1801" i="3"/>
  <x:c r="B1801" i="3"/>
  <x:c r="AG1800" i="3"/>
  <x:c r="AF1800" i="3"/>
  <x:c r="AE1800" i="3"/>
  <x:c r="AD1800" i="3"/>
  <x:c r="AC1800" i="3"/>
  <x:c r="AB1800" i="3"/>
  <x:c r="AA1800" i="3"/>
  <x:c r="Z1800" i="3"/>
  <x:c r="Y1800" i="3"/>
  <x:c r="X1800" i="3"/>
  <x:c r="W1800" i="3"/>
  <x:c r="V1800" i="3"/>
  <x:c r="U1800" i="3"/>
  <x:c r="T1800" i="3"/>
  <x:c r="E1800" i="3"/>
  <x:c r="D1800" i="3"/>
  <x:c r="C1800" i="3"/>
  <x:c r="B1800" i="3"/>
  <x:c r="AG1799" i="3"/>
  <x:c r="AF1799" i="3"/>
  <x:c r="AE1799" i="3"/>
  <x:c r="AD1799" i="3"/>
  <x:c r="AC1799" i="3"/>
  <x:c r="AB1799" i="3"/>
  <x:c r="AA1799" i="3"/>
  <x:c r="Z1799" i="3"/>
  <x:c r="Y1799" i="3"/>
  <x:c r="X1799" i="3"/>
  <x:c r="W1799" i="3"/>
  <x:c r="V1799" i="3"/>
  <x:c r="U1799" i="3"/>
  <x:c r="T1799" i="3"/>
  <x:c r="E1799" i="3"/>
  <x:c r="D1799" i="3"/>
  <x:c r="C1799" i="3"/>
  <x:c r="B1799" i="3"/>
  <x:c r="AG1798" i="3"/>
  <x:c r="AF1798" i="3"/>
  <x:c r="AE1798" i="3"/>
  <x:c r="AD1798" i="3"/>
  <x:c r="AC1798" i="3"/>
  <x:c r="AB1798" i="3"/>
  <x:c r="AA1798" i="3"/>
  <x:c r="Z1798" i="3"/>
  <x:c r="Y1798" i="3"/>
  <x:c r="X1798" i="3"/>
  <x:c r="W1798" i="3"/>
  <x:c r="V1798" i="3"/>
  <x:c r="U1798" i="3"/>
  <x:c r="T1798" i="3"/>
  <x:c r="E1798" i="3"/>
  <x:c r="D1798" i="3"/>
  <x:c r="C1798" i="3"/>
  <x:c r="B1798" i="3"/>
  <x:c r="AG1797" i="3"/>
  <x:c r="AF1797" i="3"/>
  <x:c r="AE1797" i="3"/>
  <x:c r="AD1797" i="3"/>
  <x:c r="AC1797" i="3"/>
  <x:c r="AB1797" i="3"/>
  <x:c r="AA1797" i="3"/>
  <x:c r="Z1797" i="3"/>
  <x:c r="Y1797" i="3"/>
  <x:c r="X1797" i="3"/>
  <x:c r="W1797" i="3"/>
  <x:c r="V1797" i="3"/>
  <x:c r="U1797" i="3"/>
  <x:c r="T1797" i="3"/>
  <x:c r="E1797" i="3"/>
  <x:c r="D1797" i="3"/>
  <x:c r="C1797" i="3"/>
  <x:c r="B1797" i="3"/>
  <x:c r="AG1796" i="3"/>
  <x:c r="AF1796" i="3"/>
  <x:c r="AE1796" i="3"/>
  <x:c r="AD1796" i="3"/>
  <x:c r="AC1796" i="3"/>
  <x:c r="AB1796" i="3"/>
  <x:c r="AA1796" i="3"/>
  <x:c r="Z1796" i="3"/>
  <x:c r="Y1796" i="3"/>
  <x:c r="X1796" i="3"/>
  <x:c r="W1796" i="3"/>
  <x:c r="V1796" i="3"/>
  <x:c r="U1796" i="3"/>
  <x:c r="T1796" i="3"/>
  <x:c r="E1796" i="3"/>
  <x:c r="D1796" i="3"/>
  <x:c r="C1796" i="3"/>
  <x:c r="B1796" i="3"/>
  <x:c r="AG1795" i="3"/>
  <x:c r="AF1795" i="3"/>
  <x:c r="AE1795" i="3"/>
  <x:c r="AD1795" i="3"/>
  <x:c r="AC1795" i="3"/>
  <x:c r="AB1795" i="3"/>
  <x:c r="AA1795" i="3"/>
  <x:c r="Z1795" i="3"/>
  <x:c r="Y1795" i="3"/>
  <x:c r="X1795" i="3"/>
  <x:c r="W1795" i="3"/>
  <x:c r="V1795" i="3"/>
  <x:c r="U1795" i="3"/>
  <x:c r="T1795" i="3"/>
  <x:c r="E1795" i="3"/>
  <x:c r="D1795" i="3"/>
  <x:c r="C1795" i="3"/>
  <x:c r="B1795" i="3"/>
  <x:c r="AG1794" i="3"/>
  <x:c r="AF1794" i="3"/>
  <x:c r="AE1794" i="3"/>
  <x:c r="AD1794" i="3"/>
  <x:c r="AC1794" i="3"/>
  <x:c r="AB1794" i="3"/>
  <x:c r="AA1794" i="3"/>
  <x:c r="Z1794" i="3"/>
  <x:c r="Y1794" i="3"/>
  <x:c r="X1794" i="3"/>
  <x:c r="W1794" i="3"/>
  <x:c r="V1794" i="3"/>
  <x:c r="U1794" i="3"/>
  <x:c r="T1794" i="3"/>
  <x:c r="E1794" i="3"/>
  <x:c r="D1794" i="3"/>
  <x:c r="C1794" i="3"/>
  <x:c r="B1794" i="3"/>
  <x:c r="AG1793" i="3"/>
  <x:c r="AF1793" i="3"/>
  <x:c r="AE1793" i="3"/>
  <x:c r="AD1793" i="3"/>
  <x:c r="AC1793" i="3"/>
  <x:c r="AB1793" i="3"/>
  <x:c r="AA1793" i="3"/>
  <x:c r="Z1793" i="3"/>
  <x:c r="Y1793" i="3"/>
  <x:c r="X1793" i="3"/>
  <x:c r="W1793" i="3"/>
  <x:c r="V1793" i="3"/>
  <x:c r="U1793" i="3"/>
  <x:c r="T1793" i="3"/>
  <x:c r="E1793" i="3"/>
  <x:c r="D1793" i="3"/>
  <x:c r="C1793" i="3"/>
  <x:c r="B1793" i="3"/>
  <x:c r="AG1792" i="3"/>
  <x:c r="AF1792" i="3"/>
  <x:c r="AE1792" i="3"/>
  <x:c r="AD1792" i="3"/>
  <x:c r="AC1792" i="3"/>
  <x:c r="AB1792" i="3"/>
  <x:c r="AA1792" i="3"/>
  <x:c r="Z1792" i="3"/>
  <x:c r="Y1792" i="3"/>
  <x:c r="X1792" i="3"/>
  <x:c r="W1792" i="3"/>
  <x:c r="V1792" i="3"/>
  <x:c r="U1792" i="3"/>
  <x:c r="T1792" i="3"/>
  <x:c r="E1792" i="3"/>
  <x:c r="D1792" i="3"/>
  <x:c r="C1792" i="3"/>
  <x:c r="B1792" i="3"/>
  <x:c r="AG1791" i="3"/>
  <x:c r="AF1791" i="3"/>
  <x:c r="AE1791" i="3"/>
  <x:c r="AD1791" i="3"/>
  <x:c r="AC1791" i="3"/>
  <x:c r="AB1791" i="3"/>
  <x:c r="AA1791" i="3"/>
  <x:c r="Z1791" i="3"/>
  <x:c r="Y1791" i="3"/>
  <x:c r="X1791" i="3"/>
  <x:c r="W1791" i="3"/>
  <x:c r="V1791" i="3"/>
  <x:c r="U1791" i="3"/>
  <x:c r="T1791" i="3"/>
  <x:c r="E1791" i="3"/>
  <x:c r="D1791" i="3"/>
  <x:c r="C1791" i="3"/>
  <x:c r="B1791" i="3"/>
  <x:c r="AG1790" i="3"/>
  <x:c r="AF1790" i="3"/>
  <x:c r="AE1790" i="3"/>
  <x:c r="AD1790" i="3"/>
  <x:c r="AC1790" i="3"/>
  <x:c r="AB1790" i="3"/>
  <x:c r="AA1790" i="3"/>
  <x:c r="Z1790" i="3"/>
  <x:c r="Y1790" i="3"/>
  <x:c r="X1790" i="3"/>
  <x:c r="W1790" i="3"/>
  <x:c r="V1790" i="3"/>
  <x:c r="U1790" i="3"/>
  <x:c r="T1790" i="3"/>
  <x:c r="E1790" i="3"/>
  <x:c r="D1790" i="3"/>
  <x:c r="C1790" i="3"/>
  <x:c r="B1790" i="3"/>
  <x:c r="AG1789" i="3"/>
  <x:c r="AF1789" i="3"/>
  <x:c r="AE1789" i="3"/>
  <x:c r="AD1789" i="3"/>
  <x:c r="AC1789" i="3"/>
  <x:c r="AB1789" i="3"/>
  <x:c r="AA1789" i="3"/>
  <x:c r="Z1789" i="3"/>
  <x:c r="Y1789" i="3"/>
  <x:c r="X1789" i="3"/>
  <x:c r="W1789" i="3"/>
  <x:c r="V1789" i="3"/>
  <x:c r="U1789" i="3"/>
  <x:c r="T1789" i="3"/>
  <x:c r="E1789" i="3"/>
  <x:c r="D1789" i="3"/>
  <x:c r="C1789" i="3"/>
  <x:c r="B1789" i="3"/>
  <x:c r="AG1788" i="3"/>
  <x:c r="AF1788" i="3"/>
  <x:c r="AE1788" i="3"/>
  <x:c r="AD1788" i="3"/>
  <x:c r="AC1788" i="3"/>
  <x:c r="AB1788" i="3"/>
  <x:c r="AA1788" i="3"/>
  <x:c r="Z1788" i="3"/>
  <x:c r="Y1788" i="3"/>
  <x:c r="X1788" i="3"/>
  <x:c r="W1788" i="3"/>
  <x:c r="V1788" i="3"/>
  <x:c r="U1788" i="3"/>
  <x:c r="T1788" i="3"/>
  <x:c r="E1788" i="3"/>
  <x:c r="D1788" i="3"/>
  <x:c r="C1788" i="3"/>
  <x:c r="B1788" i="3"/>
  <x:c r="AG1787" i="3"/>
  <x:c r="AF1787" i="3"/>
  <x:c r="AE1787" i="3"/>
  <x:c r="AD1787" i="3"/>
  <x:c r="AC1787" i="3"/>
  <x:c r="AB1787" i="3"/>
  <x:c r="AA1787" i="3"/>
  <x:c r="Z1787" i="3"/>
  <x:c r="Y1787" i="3"/>
  <x:c r="X1787" i="3"/>
  <x:c r="W1787" i="3"/>
  <x:c r="V1787" i="3"/>
  <x:c r="U1787" i="3"/>
  <x:c r="T1787" i="3"/>
  <x:c r="E1787" i="3"/>
  <x:c r="D1787" i="3"/>
  <x:c r="C1787" i="3"/>
  <x:c r="B1787" i="3"/>
  <x:c r="AG1786" i="3"/>
  <x:c r="AF1786" i="3"/>
  <x:c r="AE1786" i="3"/>
  <x:c r="AD1786" i="3"/>
  <x:c r="AC1786" i="3"/>
  <x:c r="AB1786" i="3"/>
  <x:c r="AA1786" i="3"/>
  <x:c r="Z1786" i="3"/>
  <x:c r="Y1786" i="3"/>
  <x:c r="X1786" i="3"/>
  <x:c r="W1786" i="3"/>
  <x:c r="V1786" i="3"/>
  <x:c r="U1786" i="3"/>
  <x:c r="T1786" i="3"/>
  <x:c r="E1786" i="3"/>
  <x:c r="D1786" i="3"/>
  <x:c r="C1786" i="3"/>
  <x:c r="B1786" i="3"/>
  <x:c r="AG1785" i="3"/>
  <x:c r="AF1785" i="3"/>
  <x:c r="AE1785" i="3"/>
  <x:c r="AD1785" i="3"/>
  <x:c r="AC1785" i="3"/>
  <x:c r="AB1785" i="3"/>
  <x:c r="AA1785" i="3"/>
  <x:c r="Z1785" i="3"/>
  <x:c r="Y1785" i="3"/>
  <x:c r="X1785" i="3"/>
  <x:c r="W1785" i="3"/>
  <x:c r="V1785" i="3"/>
  <x:c r="U1785" i="3"/>
  <x:c r="T1785" i="3"/>
  <x:c r="E1785" i="3"/>
  <x:c r="D1785" i="3"/>
  <x:c r="C1785" i="3"/>
  <x:c r="B1785" i="3"/>
  <x:c r="AG1784" i="3"/>
  <x:c r="AF1784" i="3"/>
  <x:c r="AE1784" i="3"/>
  <x:c r="AD1784" i="3"/>
  <x:c r="AC1784" i="3"/>
  <x:c r="AB1784" i="3"/>
  <x:c r="AA1784" i="3"/>
  <x:c r="Z1784" i="3"/>
  <x:c r="Y1784" i="3"/>
  <x:c r="X1784" i="3"/>
  <x:c r="W1784" i="3"/>
  <x:c r="V1784" i="3"/>
  <x:c r="U1784" i="3"/>
  <x:c r="T1784" i="3"/>
  <x:c r="E1784" i="3"/>
  <x:c r="D1784" i="3"/>
  <x:c r="C1784" i="3"/>
  <x:c r="B1784" i="3"/>
  <x:c r="AG1783" i="3"/>
  <x:c r="AF1783" i="3"/>
  <x:c r="AE1783" i="3"/>
  <x:c r="AD1783" i="3"/>
  <x:c r="AC1783" i="3"/>
  <x:c r="AB1783" i="3"/>
  <x:c r="AA1783" i="3"/>
  <x:c r="Z1783" i="3"/>
  <x:c r="Y1783" i="3"/>
  <x:c r="X1783" i="3"/>
  <x:c r="W1783" i="3"/>
  <x:c r="V1783" i="3"/>
  <x:c r="U1783" i="3"/>
  <x:c r="T1783" i="3"/>
  <x:c r="E1783" i="3"/>
  <x:c r="D1783" i="3"/>
  <x:c r="C1783" i="3"/>
  <x:c r="B1783" i="3"/>
  <x:c r="AG1782" i="3"/>
  <x:c r="AF1782" i="3"/>
  <x:c r="AE1782" i="3"/>
  <x:c r="AD1782" i="3"/>
  <x:c r="AC1782" i="3"/>
  <x:c r="AB1782" i="3"/>
  <x:c r="AA1782" i="3"/>
  <x:c r="Z1782" i="3"/>
  <x:c r="Y1782" i="3"/>
  <x:c r="X1782" i="3"/>
  <x:c r="W1782" i="3"/>
  <x:c r="V1782" i="3"/>
  <x:c r="U1782" i="3"/>
  <x:c r="T1782" i="3"/>
  <x:c r="E1782" i="3"/>
  <x:c r="D1782" i="3"/>
  <x:c r="C1782" i="3"/>
  <x:c r="B1782" i="3"/>
  <x:c r="AG1781" i="3"/>
  <x:c r="AF1781" i="3"/>
  <x:c r="AE1781" i="3"/>
  <x:c r="AD1781" i="3"/>
  <x:c r="AC1781" i="3"/>
  <x:c r="AB1781" i="3"/>
  <x:c r="AA1781" i="3"/>
  <x:c r="Z1781" i="3"/>
  <x:c r="Y1781" i="3"/>
  <x:c r="X1781" i="3"/>
  <x:c r="W1781" i="3"/>
  <x:c r="V1781" i="3"/>
  <x:c r="U1781" i="3"/>
  <x:c r="T1781" i="3"/>
  <x:c r="E1781" i="3"/>
  <x:c r="D1781" i="3"/>
  <x:c r="C1781" i="3"/>
  <x:c r="B1781" i="3"/>
  <x:c r="AG1780" i="3"/>
  <x:c r="AF1780" i="3"/>
  <x:c r="AE1780" i="3"/>
  <x:c r="AD1780" i="3"/>
  <x:c r="AC1780" i="3"/>
  <x:c r="AB1780" i="3"/>
  <x:c r="AA1780" i="3"/>
  <x:c r="Z1780" i="3"/>
  <x:c r="Y1780" i="3"/>
  <x:c r="X1780" i="3"/>
  <x:c r="W1780" i="3"/>
  <x:c r="V1780" i="3"/>
  <x:c r="U1780" i="3"/>
  <x:c r="T1780" i="3"/>
  <x:c r="E1780" i="3"/>
  <x:c r="D1780" i="3"/>
  <x:c r="C1780" i="3"/>
  <x:c r="B1780" i="3"/>
  <x:c r="AG1779" i="3"/>
  <x:c r="AF1779" i="3"/>
  <x:c r="AE1779" i="3"/>
  <x:c r="AD1779" i="3"/>
  <x:c r="AC1779" i="3"/>
  <x:c r="AB1779" i="3"/>
  <x:c r="AA1779" i="3"/>
  <x:c r="Z1779" i="3"/>
  <x:c r="Y1779" i="3"/>
  <x:c r="X1779" i="3"/>
  <x:c r="W1779" i="3"/>
  <x:c r="V1779" i="3"/>
  <x:c r="U1779" i="3"/>
  <x:c r="T1779" i="3"/>
  <x:c r="E1779" i="3"/>
  <x:c r="D1779" i="3"/>
  <x:c r="C1779" i="3"/>
  <x:c r="B1779" i="3"/>
  <x:c r="AG1778" i="3"/>
  <x:c r="AF1778" i="3"/>
  <x:c r="AE1778" i="3"/>
  <x:c r="AD1778" i="3"/>
  <x:c r="AC1778" i="3"/>
  <x:c r="AB1778" i="3"/>
  <x:c r="AA1778" i="3"/>
  <x:c r="Z1778" i="3"/>
  <x:c r="Y1778" i="3"/>
  <x:c r="X1778" i="3"/>
  <x:c r="W1778" i="3"/>
  <x:c r="V1778" i="3"/>
  <x:c r="U1778" i="3"/>
  <x:c r="T1778" i="3"/>
  <x:c r="E1778" i="3"/>
  <x:c r="D1778" i="3"/>
  <x:c r="C1778" i="3"/>
  <x:c r="B1778" i="3"/>
  <x:c r="AG1777" i="3"/>
  <x:c r="AF1777" i="3"/>
  <x:c r="AE1777" i="3"/>
  <x:c r="AD1777" i="3"/>
  <x:c r="AC1777" i="3"/>
  <x:c r="AB1777" i="3"/>
  <x:c r="AA1777" i="3"/>
  <x:c r="Z1777" i="3"/>
  <x:c r="Y1777" i="3"/>
  <x:c r="X1777" i="3"/>
  <x:c r="W1777" i="3"/>
  <x:c r="V1777" i="3"/>
  <x:c r="U1777" i="3"/>
  <x:c r="T1777" i="3"/>
  <x:c r="E1777" i="3"/>
  <x:c r="D1777" i="3"/>
  <x:c r="C1777" i="3"/>
  <x:c r="B1777" i="3"/>
  <x:c r="AG1776" i="3"/>
  <x:c r="AF1776" i="3"/>
  <x:c r="AE1776" i="3"/>
  <x:c r="AD1776" i="3"/>
  <x:c r="AC1776" i="3"/>
  <x:c r="AB1776" i="3"/>
  <x:c r="AA1776" i="3"/>
  <x:c r="Z1776" i="3"/>
  <x:c r="Y1776" i="3"/>
  <x:c r="X1776" i="3"/>
  <x:c r="W1776" i="3"/>
  <x:c r="V1776" i="3"/>
  <x:c r="U1776" i="3"/>
  <x:c r="T1776" i="3"/>
  <x:c r="E1776" i="3"/>
  <x:c r="D1776" i="3"/>
  <x:c r="C1776" i="3"/>
  <x:c r="B1776" i="3"/>
  <x:c r="AG1775" i="3"/>
  <x:c r="AF1775" i="3"/>
  <x:c r="AE1775" i="3"/>
  <x:c r="AD1775" i="3"/>
  <x:c r="AC1775" i="3"/>
  <x:c r="AB1775" i="3"/>
  <x:c r="AA1775" i="3"/>
  <x:c r="Z1775" i="3"/>
  <x:c r="Y1775" i="3"/>
  <x:c r="X1775" i="3"/>
  <x:c r="W1775" i="3"/>
  <x:c r="V1775" i="3"/>
  <x:c r="U1775" i="3"/>
  <x:c r="T1775" i="3"/>
  <x:c r="E1775" i="3"/>
  <x:c r="D1775" i="3"/>
  <x:c r="C1775" i="3"/>
  <x:c r="B1775" i="3"/>
  <x:c r="AG1774" i="3"/>
  <x:c r="AF1774" i="3"/>
  <x:c r="AE1774" i="3"/>
  <x:c r="AD1774" i="3"/>
  <x:c r="AC1774" i="3"/>
  <x:c r="AB1774" i="3"/>
  <x:c r="AA1774" i="3"/>
  <x:c r="Z1774" i="3"/>
  <x:c r="Y1774" i="3"/>
  <x:c r="X1774" i="3"/>
  <x:c r="W1774" i="3"/>
  <x:c r="V1774" i="3"/>
  <x:c r="U1774" i="3"/>
  <x:c r="T1774" i="3"/>
  <x:c r="E1774" i="3"/>
  <x:c r="D1774" i="3"/>
  <x:c r="C1774" i="3"/>
  <x:c r="B1774" i="3"/>
  <x:c r="AG1773" i="3"/>
  <x:c r="AF1773" i="3"/>
  <x:c r="AE1773" i="3"/>
  <x:c r="AD1773" i="3"/>
  <x:c r="AC1773" i="3"/>
  <x:c r="AB1773" i="3"/>
  <x:c r="AA1773" i="3"/>
  <x:c r="Z1773" i="3"/>
  <x:c r="Y1773" i="3"/>
  <x:c r="X1773" i="3"/>
  <x:c r="W1773" i="3"/>
  <x:c r="V1773" i="3"/>
  <x:c r="U1773" i="3"/>
  <x:c r="T1773" i="3"/>
  <x:c r="E1773" i="3"/>
  <x:c r="D1773" i="3"/>
  <x:c r="C1773" i="3"/>
  <x:c r="B1773" i="3"/>
  <x:c r="AG1772" i="3"/>
  <x:c r="AF1772" i="3"/>
  <x:c r="AE1772" i="3"/>
  <x:c r="AD1772" i="3"/>
  <x:c r="AC1772" i="3"/>
  <x:c r="AB1772" i="3"/>
  <x:c r="AA1772" i="3"/>
  <x:c r="Z1772" i="3"/>
  <x:c r="Y1772" i="3"/>
  <x:c r="X1772" i="3"/>
  <x:c r="W1772" i="3"/>
  <x:c r="V1772" i="3"/>
  <x:c r="U1772" i="3"/>
  <x:c r="T1772" i="3"/>
  <x:c r="E1772" i="3"/>
  <x:c r="D1772" i="3"/>
  <x:c r="C1772" i="3"/>
  <x:c r="B1772" i="3"/>
  <x:c r="AG1771" i="3"/>
  <x:c r="AF1771" i="3"/>
  <x:c r="AE1771" i="3"/>
  <x:c r="AD1771" i="3"/>
  <x:c r="AC1771" i="3"/>
  <x:c r="AB1771" i="3"/>
  <x:c r="AA1771" i="3"/>
  <x:c r="Z1771" i="3"/>
  <x:c r="Y1771" i="3"/>
  <x:c r="X1771" i="3"/>
  <x:c r="W1771" i="3"/>
  <x:c r="V1771" i="3"/>
  <x:c r="U1771" i="3"/>
  <x:c r="T1771" i="3"/>
  <x:c r="E1771" i="3"/>
  <x:c r="D1771" i="3"/>
  <x:c r="C1771" i="3"/>
  <x:c r="B1771" i="3"/>
  <x:c r="AG1770" i="3"/>
  <x:c r="AF1770" i="3"/>
  <x:c r="AE1770" i="3"/>
  <x:c r="AD1770" i="3"/>
  <x:c r="AC1770" i="3"/>
  <x:c r="AB1770" i="3"/>
  <x:c r="AA1770" i="3"/>
  <x:c r="Z1770" i="3"/>
  <x:c r="Y1770" i="3"/>
  <x:c r="X1770" i="3"/>
  <x:c r="W1770" i="3"/>
  <x:c r="V1770" i="3"/>
  <x:c r="U1770" i="3"/>
  <x:c r="T1770" i="3"/>
  <x:c r="E1770" i="3"/>
  <x:c r="D1770" i="3"/>
  <x:c r="C1770" i="3"/>
  <x:c r="B1770" i="3"/>
  <x:c r="AG1769" i="3"/>
  <x:c r="AF1769" i="3"/>
  <x:c r="AE1769" i="3"/>
  <x:c r="AD1769" i="3"/>
  <x:c r="AC1769" i="3"/>
  <x:c r="AB1769" i="3"/>
  <x:c r="AA1769" i="3"/>
  <x:c r="Z1769" i="3"/>
  <x:c r="Y1769" i="3"/>
  <x:c r="X1769" i="3"/>
  <x:c r="W1769" i="3"/>
  <x:c r="V1769" i="3"/>
  <x:c r="U1769" i="3"/>
  <x:c r="T1769" i="3"/>
  <x:c r="E1769" i="3"/>
  <x:c r="D1769" i="3"/>
  <x:c r="C1769" i="3"/>
  <x:c r="B1769" i="3"/>
  <x:c r="AG1768" i="3"/>
  <x:c r="AF1768" i="3"/>
  <x:c r="AE1768" i="3"/>
  <x:c r="AD1768" i="3"/>
  <x:c r="AC1768" i="3"/>
  <x:c r="AB1768" i="3"/>
  <x:c r="AA1768" i="3"/>
  <x:c r="Z1768" i="3"/>
  <x:c r="Y1768" i="3"/>
  <x:c r="X1768" i="3"/>
  <x:c r="W1768" i="3"/>
  <x:c r="V1768" i="3"/>
  <x:c r="U1768" i="3"/>
  <x:c r="T1768" i="3"/>
  <x:c r="E1768" i="3"/>
  <x:c r="D1768" i="3"/>
  <x:c r="C1768" i="3"/>
  <x:c r="B1768" i="3"/>
  <x:c r="AG1767" i="3"/>
  <x:c r="AF1767" i="3"/>
  <x:c r="AE1767" i="3"/>
  <x:c r="AD1767" i="3"/>
  <x:c r="AC1767" i="3"/>
  <x:c r="AB1767" i="3"/>
  <x:c r="AA1767" i="3"/>
  <x:c r="Z1767" i="3"/>
  <x:c r="Y1767" i="3"/>
  <x:c r="X1767" i="3"/>
  <x:c r="W1767" i="3"/>
  <x:c r="V1767" i="3"/>
  <x:c r="U1767" i="3"/>
  <x:c r="T1767" i="3"/>
  <x:c r="E1767" i="3"/>
  <x:c r="D1767" i="3"/>
  <x:c r="C1767" i="3"/>
  <x:c r="B1767" i="3"/>
  <x:c r="AG1766" i="3"/>
  <x:c r="AF1766" i="3"/>
  <x:c r="AE1766" i="3"/>
  <x:c r="AD1766" i="3"/>
  <x:c r="AC1766" i="3"/>
  <x:c r="AB1766" i="3"/>
  <x:c r="AA1766" i="3"/>
  <x:c r="Z1766" i="3"/>
  <x:c r="Y1766" i="3"/>
  <x:c r="X1766" i="3"/>
  <x:c r="W1766" i="3"/>
  <x:c r="V1766" i="3"/>
  <x:c r="U1766" i="3"/>
  <x:c r="T1766" i="3"/>
  <x:c r="E1766" i="3"/>
  <x:c r="D1766" i="3"/>
  <x:c r="C1766" i="3"/>
  <x:c r="B1766" i="3"/>
  <x:c r="AG1765" i="3"/>
  <x:c r="AF1765" i="3"/>
  <x:c r="AE1765" i="3"/>
  <x:c r="AD1765" i="3"/>
  <x:c r="AC1765" i="3"/>
  <x:c r="AB1765" i="3"/>
  <x:c r="AA1765" i="3"/>
  <x:c r="Z1765" i="3"/>
  <x:c r="Y1765" i="3"/>
  <x:c r="X1765" i="3"/>
  <x:c r="W1765" i="3"/>
  <x:c r="V1765" i="3"/>
  <x:c r="U1765" i="3"/>
  <x:c r="T1765" i="3"/>
  <x:c r="E1765" i="3"/>
  <x:c r="D1765" i="3"/>
  <x:c r="C1765" i="3"/>
  <x:c r="B1765" i="3"/>
  <x:c r="AG1764" i="3"/>
  <x:c r="AF1764" i="3"/>
  <x:c r="AE1764" i="3"/>
  <x:c r="AD1764" i="3"/>
  <x:c r="AC1764" i="3"/>
  <x:c r="AB1764" i="3"/>
  <x:c r="AA1764" i="3"/>
  <x:c r="Z1764" i="3"/>
  <x:c r="Y1764" i="3"/>
  <x:c r="X1764" i="3"/>
  <x:c r="W1764" i="3"/>
  <x:c r="V1764" i="3"/>
  <x:c r="U1764" i="3"/>
  <x:c r="T1764" i="3"/>
  <x:c r="E1764" i="3"/>
  <x:c r="D1764" i="3"/>
  <x:c r="C1764" i="3"/>
  <x:c r="B1764" i="3"/>
  <x:c r="AG1763" i="3"/>
  <x:c r="AF1763" i="3"/>
  <x:c r="AE1763" i="3"/>
  <x:c r="AD1763" i="3"/>
  <x:c r="AC1763" i="3"/>
  <x:c r="AB1763" i="3"/>
  <x:c r="AA1763" i="3"/>
  <x:c r="Z1763" i="3"/>
  <x:c r="Y1763" i="3"/>
  <x:c r="X1763" i="3"/>
  <x:c r="W1763" i="3"/>
  <x:c r="V1763" i="3"/>
  <x:c r="U1763" i="3"/>
  <x:c r="T1763" i="3"/>
  <x:c r="E1763" i="3"/>
  <x:c r="D1763" i="3"/>
  <x:c r="C1763" i="3"/>
  <x:c r="B1763" i="3"/>
  <x:c r="AG1762" i="3"/>
  <x:c r="AF1762" i="3"/>
  <x:c r="AE1762" i="3"/>
  <x:c r="AD1762" i="3"/>
  <x:c r="AC1762" i="3"/>
  <x:c r="AB1762" i="3"/>
  <x:c r="AA1762" i="3"/>
  <x:c r="Z1762" i="3"/>
  <x:c r="Y1762" i="3"/>
  <x:c r="X1762" i="3"/>
  <x:c r="W1762" i="3"/>
  <x:c r="V1762" i="3"/>
  <x:c r="U1762" i="3"/>
  <x:c r="T1762" i="3"/>
  <x:c r="E1762" i="3"/>
  <x:c r="D1762" i="3"/>
  <x:c r="C1762" i="3"/>
  <x:c r="B1762" i="3"/>
  <x:c r="AG1761" i="3"/>
  <x:c r="AF1761" i="3"/>
  <x:c r="AE1761" i="3"/>
  <x:c r="AD1761" i="3"/>
  <x:c r="AC1761" i="3"/>
  <x:c r="AB1761" i="3"/>
  <x:c r="AA1761" i="3"/>
  <x:c r="Z1761" i="3"/>
  <x:c r="Y1761" i="3"/>
  <x:c r="X1761" i="3"/>
  <x:c r="W1761" i="3"/>
  <x:c r="V1761" i="3"/>
  <x:c r="U1761" i="3"/>
  <x:c r="T1761" i="3"/>
  <x:c r="E1761" i="3"/>
  <x:c r="D1761" i="3"/>
  <x:c r="C1761" i="3"/>
  <x:c r="B1761" i="3"/>
  <x:c r="AG1760" i="3"/>
  <x:c r="AF1760" i="3"/>
  <x:c r="AE1760" i="3"/>
  <x:c r="AD1760" i="3"/>
  <x:c r="AC1760" i="3"/>
  <x:c r="AB1760" i="3"/>
  <x:c r="AA1760" i="3"/>
  <x:c r="Z1760" i="3"/>
  <x:c r="Y1760" i="3"/>
  <x:c r="X1760" i="3"/>
  <x:c r="W1760" i="3"/>
  <x:c r="V1760" i="3"/>
  <x:c r="U1760" i="3"/>
  <x:c r="T1760" i="3"/>
  <x:c r="E1760" i="3"/>
  <x:c r="D1760" i="3"/>
  <x:c r="C1760" i="3"/>
  <x:c r="B1760" i="3"/>
  <x:c r="AG1759" i="3"/>
  <x:c r="AF1759" i="3"/>
  <x:c r="AE1759" i="3"/>
  <x:c r="AD1759" i="3"/>
  <x:c r="AC1759" i="3"/>
  <x:c r="AB1759" i="3"/>
  <x:c r="AA1759" i="3"/>
  <x:c r="Z1759" i="3"/>
  <x:c r="Y1759" i="3"/>
  <x:c r="X1759" i="3"/>
  <x:c r="W1759" i="3"/>
  <x:c r="V1759" i="3"/>
  <x:c r="U1759" i="3"/>
  <x:c r="T1759" i="3"/>
  <x:c r="E1759" i="3"/>
  <x:c r="D1759" i="3"/>
  <x:c r="C1759" i="3"/>
  <x:c r="B1759" i="3"/>
  <x:c r="AG1758" i="3"/>
  <x:c r="AF1758" i="3"/>
  <x:c r="AE1758" i="3"/>
  <x:c r="AD1758" i="3"/>
  <x:c r="AC1758" i="3"/>
  <x:c r="AB1758" i="3"/>
  <x:c r="AA1758" i="3"/>
  <x:c r="Z1758" i="3"/>
  <x:c r="Y1758" i="3"/>
  <x:c r="X1758" i="3"/>
  <x:c r="W1758" i="3"/>
  <x:c r="V1758" i="3"/>
  <x:c r="U1758" i="3"/>
  <x:c r="T1758" i="3"/>
  <x:c r="E1758" i="3"/>
  <x:c r="D1758" i="3"/>
  <x:c r="C1758" i="3"/>
  <x:c r="B1758" i="3"/>
  <x:c r="AG1757" i="3"/>
  <x:c r="AF1757" i="3"/>
  <x:c r="AE1757" i="3"/>
  <x:c r="AD1757" i="3"/>
  <x:c r="AC1757" i="3"/>
  <x:c r="AB1757" i="3"/>
  <x:c r="AA1757" i="3"/>
  <x:c r="Z1757" i="3"/>
  <x:c r="Y1757" i="3"/>
  <x:c r="X1757" i="3"/>
  <x:c r="W1757" i="3"/>
  <x:c r="V1757" i="3"/>
  <x:c r="U1757" i="3"/>
  <x:c r="T1757" i="3"/>
  <x:c r="E1757" i="3"/>
  <x:c r="D1757" i="3"/>
  <x:c r="C1757" i="3"/>
  <x:c r="B1757" i="3"/>
  <x:c r="AG1756" i="3"/>
  <x:c r="AF1756" i="3"/>
  <x:c r="AE1756" i="3"/>
  <x:c r="AD1756" i="3"/>
  <x:c r="AC1756" i="3"/>
  <x:c r="AB1756" i="3"/>
  <x:c r="AA1756" i="3"/>
  <x:c r="Z1756" i="3"/>
  <x:c r="Y1756" i="3"/>
  <x:c r="X1756" i="3"/>
  <x:c r="W1756" i="3"/>
  <x:c r="V1756" i="3"/>
  <x:c r="U1756" i="3"/>
  <x:c r="T1756" i="3"/>
  <x:c r="E1756" i="3"/>
  <x:c r="D1756" i="3"/>
  <x:c r="C1756" i="3"/>
  <x:c r="B1756" i="3"/>
  <x:c r="AG1755" i="3"/>
  <x:c r="AF1755" i="3"/>
  <x:c r="AE1755" i="3"/>
  <x:c r="AD1755" i="3"/>
  <x:c r="AC1755" i="3"/>
  <x:c r="AB1755" i="3"/>
  <x:c r="AA1755" i="3"/>
  <x:c r="Z1755" i="3"/>
  <x:c r="Y1755" i="3"/>
  <x:c r="X1755" i="3"/>
  <x:c r="W1755" i="3"/>
  <x:c r="V1755" i="3"/>
  <x:c r="U1755" i="3"/>
  <x:c r="T1755" i="3"/>
  <x:c r="E1755" i="3"/>
  <x:c r="D1755" i="3"/>
  <x:c r="C1755" i="3"/>
  <x:c r="B1755" i="3"/>
  <x:c r="AG1754" i="3"/>
  <x:c r="AF1754" i="3"/>
  <x:c r="AE1754" i="3"/>
  <x:c r="AD1754" i="3"/>
  <x:c r="AC1754" i="3"/>
  <x:c r="AB1754" i="3"/>
  <x:c r="AA1754" i="3"/>
  <x:c r="Z1754" i="3"/>
  <x:c r="Y1754" i="3"/>
  <x:c r="X1754" i="3"/>
  <x:c r="W1754" i="3"/>
  <x:c r="V1754" i="3"/>
  <x:c r="U1754" i="3"/>
  <x:c r="T1754" i="3"/>
  <x:c r="E1754" i="3"/>
  <x:c r="D1754" i="3"/>
  <x:c r="C1754" i="3"/>
  <x:c r="B1754" i="3"/>
  <x:c r="AG1753" i="3"/>
  <x:c r="AF1753" i="3"/>
  <x:c r="AE1753" i="3"/>
  <x:c r="AD1753" i="3"/>
  <x:c r="AC1753" i="3"/>
  <x:c r="AB1753" i="3"/>
  <x:c r="AA1753" i="3"/>
  <x:c r="Z1753" i="3"/>
  <x:c r="Y1753" i="3"/>
  <x:c r="X1753" i="3"/>
  <x:c r="W1753" i="3"/>
  <x:c r="V1753" i="3"/>
  <x:c r="U1753" i="3"/>
  <x:c r="T1753" i="3"/>
  <x:c r="E1753" i="3"/>
  <x:c r="D1753" i="3"/>
  <x:c r="C1753" i="3"/>
  <x:c r="B1753" i="3"/>
  <x:c r="AG1752" i="3"/>
  <x:c r="AF1752" i="3"/>
  <x:c r="AE1752" i="3"/>
  <x:c r="AD1752" i="3"/>
  <x:c r="AC1752" i="3"/>
  <x:c r="AB1752" i="3"/>
  <x:c r="AA1752" i="3"/>
  <x:c r="Z1752" i="3"/>
  <x:c r="Y1752" i="3"/>
  <x:c r="X1752" i="3"/>
  <x:c r="W1752" i="3"/>
  <x:c r="V1752" i="3"/>
  <x:c r="U1752" i="3"/>
  <x:c r="T1752" i="3"/>
  <x:c r="E1752" i="3"/>
  <x:c r="D1752" i="3"/>
  <x:c r="C1752" i="3"/>
  <x:c r="B1752" i="3"/>
  <x:c r="AG1751" i="3"/>
  <x:c r="AF1751" i="3"/>
  <x:c r="AE1751" i="3"/>
  <x:c r="AD1751" i="3"/>
  <x:c r="AC1751" i="3"/>
  <x:c r="AB1751" i="3"/>
  <x:c r="AA1751" i="3"/>
  <x:c r="Z1751" i="3"/>
  <x:c r="Y1751" i="3"/>
  <x:c r="X1751" i="3"/>
  <x:c r="W1751" i="3"/>
  <x:c r="V1751" i="3"/>
  <x:c r="U1751" i="3"/>
  <x:c r="T1751" i="3"/>
  <x:c r="E1751" i="3"/>
  <x:c r="D1751" i="3"/>
  <x:c r="C1751" i="3"/>
  <x:c r="B1751" i="3"/>
  <x:c r="AG1750" i="3"/>
  <x:c r="AF1750" i="3"/>
  <x:c r="AE1750" i="3"/>
  <x:c r="AD1750" i="3"/>
  <x:c r="AC1750" i="3"/>
  <x:c r="AB1750" i="3"/>
  <x:c r="AA1750" i="3"/>
  <x:c r="Z1750" i="3"/>
  <x:c r="Y1750" i="3"/>
  <x:c r="X1750" i="3"/>
  <x:c r="W1750" i="3"/>
  <x:c r="V1750" i="3"/>
  <x:c r="U1750" i="3"/>
  <x:c r="T1750" i="3"/>
  <x:c r="E1750" i="3"/>
  <x:c r="D1750" i="3"/>
  <x:c r="C1750" i="3"/>
  <x:c r="B1750" i="3"/>
  <x:c r="AG1749" i="3"/>
  <x:c r="AF1749" i="3"/>
  <x:c r="AE1749" i="3"/>
  <x:c r="AD1749" i="3"/>
  <x:c r="AC1749" i="3"/>
  <x:c r="AB1749" i="3"/>
  <x:c r="AA1749" i="3"/>
  <x:c r="Z1749" i="3"/>
  <x:c r="Y1749" i="3"/>
  <x:c r="X1749" i="3"/>
  <x:c r="W1749" i="3"/>
  <x:c r="V1749" i="3"/>
  <x:c r="U1749" i="3"/>
  <x:c r="T1749" i="3"/>
  <x:c r="E1749" i="3"/>
  <x:c r="D1749" i="3"/>
  <x:c r="C1749" i="3"/>
  <x:c r="B1749" i="3"/>
  <x:c r="AG1748" i="3"/>
  <x:c r="AF1748" i="3"/>
  <x:c r="AE1748" i="3"/>
  <x:c r="AD1748" i="3"/>
  <x:c r="AC1748" i="3"/>
  <x:c r="AB1748" i="3"/>
  <x:c r="AA1748" i="3"/>
  <x:c r="Z1748" i="3"/>
  <x:c r="Y1748" i="3"/>
  <x:c r="X1748" i="3"/>
  <x:c r="W1748" i="3"/>
  <x:c r="V1748" i="3"/>
  <x:c r="U1748" i="3"/>
  <x:c r="T1748" i="3"/>
  <x:c r="E1748" i="3"/>
  <x:c r="D1748" i="3"/>
  <x:c r="C1748" i="3"/>
  <x:c r="B1748" i="3"/>
  <x:c r="AG1747" i="3"/>
  <x:c r="AF1747" i="3"/>
  <x:c r="AE1747" i="3"/>
  <x:c r="AD1747" i="3"/>
  <x:c r="AC1747" i="3"/>
  <x:c r="AB1747" i="3"/>
  <x:c r="AA1747" i="3"/>
  <x:c r="Z1747" i="3"/>
  <x:c r="Y1747" i="3"/>
  <x:c r="X1747" i="3"/>
  <x:c r="W1747" i="3"/>
  <x:c r="V1747" i="3"/>
  <x:c r="U1747" i="3"/>
  <x:c r="T1747" i="3"/>
  <x:c r="E1747" i="3"/>
  <x:c r="D1747" i="3"/>
  <x:c r="C1747" i="3"/>
  <x:c r="B1747" i="3"/>
  <x:c r="AG1746" i="3"/>
  <x:c r="AF1746" i="3"/>
  <x:c r="AE1746" i="3"/>
  <x:c r="AD1746" i="3"/>
  <x:c r="AC1746" i="3"/>
  <x:c r="AB1746" i="3"/>
  <x:c r="AA1746" i="3"/>
  <x:c r="Z1746" i="3"/>
  <x:c r="Y1746" i="3"/>
  <x:c r="X1746" i="3"/>
  <x:c r="W1746" i="3"/>
  <x:c r="V1746" i="3"/>
  <x:c r="U1746" i="3"/>
  <x:c r="T1746" i="3"/>
  <x:c r="E1746" i="3"/>
  <x:c r="D1746" i="3"/>
  <x:c r="C1746" i="3"/>
  <x:c r="B1746" i="3"/>
  <x:c r="AG1745" i="3"/>
  <x:c r="AF1745" i="3"/>
  <x:c r="AE1745" i="3"/>
  <x:c r="AD1745" i="3"/>
  <x:c r="AC1745" i="3"/>
  <x:c r="AB1745" i="3"/>
  <x:c r="AA1745" i="3"/>
  <x:c r="Z1745" i="3"/>
  <x:c r="Y1745" i="3"/>
  <x:c r="X1745" i="3"/>
  <x:c r="W1745" i="3"/>
  <x:c r="V1745" i="3"/>
  <x:c r="U1745" i="3"/>
  <x:c r="T1745" i="3"/>
  <x:c r="E1745" i="3"/>
  <x:c r="D1745" i="3"/>
  <x:c r="C1745" i="3"/>
  <x:c r="B1745" i="3"/>
  <x:c r="AG1744" i="3"/>
  <x:c r="AF1744" i="3"/>
  <x:c r="AE1744" i="3"/>
  <x:c r="AD1744" i="3"/>
  <x:c r="AC1744" i="3"/>
  <x:c r="AB1744" i="3"/>
  <x:c r="AA1744" i="3"/>
  <x:c r="Z1744" i="3"/>
  <x:c r="Y1744" i="3"/>
  <x:c r="X1744" i="3"/>
  <x:c r="W1744" i="3"/>
  <x:c r="V1744" i="3"/>
  <x:c r="U1744" i="3"/>
  <x:c r="T1744" i="3"/>
  <x:c r="E1744" i="3"/>
  <x:c r="D1744" i="3"/>
  <x:c r="C1744" i="3"/>
  <x:c r="B1744" i="3"/>
  <x:c r="AG1743" i="3"/>
  <x:c r="AF1743" i="3"/>
  <x:c r="AE1743" i="3"/>
  <x:c r="AD1743" i="3"/>
  <x:c r="AC1743" i="3"/>
  <x:c r="AB1743" i="3"/>
  <x:c r="AA1743" i="3"/>
  <x:c r="Z1743" i="3"/>
  <x:c r="Y1743" i="3"/>
  <x:c r="X1743" i="3"/>
  <x:c r="W1743" i="3"/>
  <x:c r="V1743" i="3"/>
  <x:c r="U1743" i="3"/>
  <x:c r="T1743" i="3"/>
  <x:c r="E1743" i="3"/>
  <x:c r="D1743" i="3"/>
  <x:c r="C1743" i="3"/>
  <x:c r="B1743" i="3"/>
  <x:c r="AG1742" i="3"/>
  <x:c r="AF1742" i="3"/>
  <x:c r="AE1742" i="3"/>
  <x:c r="AD1742" i="3"/>
  <x:c r="AC1742" i="3"/>
  <x:c r="AB1742" i="3"/>
  <x:c r="AA1742" i="3"/>
  <x:c r="Z1742" i="3"/>
  <x:c r="Y1742" i="3"/>
  <x:c r="X1742" i="3"/>
  <x:c r="W1742" i="3"/>
  <x:c r="V1742" i="3"/>
  <x:c r="U1742" i="3"/>
  <x:c r="T1742" i="3"/>
  <x:c r="E1742" i="3"/>
  <x:c r="D1742" i="3"/>
  <x:c r="C1742" i="3"/>
  <x:c r="B1742" i="3"/>
  <x:c r="AG1741" i="3"/>
  <x:c r="AF1741" i="3"/>
  <x:c r="AE1741" i="3"/>
  <x:c r="AD1741" i="3"/>
  <x:c r="AC1741" i="3"/>
  <x:c r="AB1741" i="3"/>
  <x:c r="AA1741" i="3"/>
  <x:c r="Z1741" i="3"/>
  <x:c r="Y1741" i="3"/>
  <x:c r="X1741" i="3"/>
  <x:c r="W1741" i="3"/>
  <x:c r="V1741" i="3"/>
  <x:c r="U1741" i="3"/>
  <x:c r="T1741" i="3"/>
  <x:c r="E1741" i="3"/>
  <x:c r="D1741" i="3"/>
  <x:c r="C1741" i="3"/>
  <x:c r="B1741" i="3"/>
  <x:c r="AG1740" i="3"/>
  <x:c r="AF1740" i="3"/>
  <x:c r="AE1740" i="3"/>
  <x:c r="AD1740" i="3"/>
  <x:c r="AC1740" i="3"/>
  <x:c r="AB1740" i="3"/>
  <x:c r="AA1740" i="3"/>
  <x:c r="Z1740" i="3"/>
  <x:c r="Y1740" i="3"/>
  <x:c r="X1740" i="3"/>
  <x:c r="W1740" i="3"/>
  <x:c r="V1740" i="3"/>
  <x:c r="U1740" i="3"/>
  <x:c r="T1740" i="3"/>
  <x:c r="E1740" i="3"/>
  <x:c r="D1740" i="3"/>
  <x:c r="C1740" i="3"/>
  <x:c r="B1740" i="3"/>
  <x:c r="AG1739" i="3"/>
  <x:c r="AF1739" i="3"/>
  <x:c r="AE1739" i="3"/>
  <x:c r="AD1739" i="3"/>
  <x:c r="AC1739" i="3"/>
  <x:c r="AB1739" i="3"/>
  <x:c r="AA1739" i="3"/>
  <x:c r="Z1739" i="3"/>
  <x:c r="Y1739" i="3"/>
  <x:c r="X1739" i="3"/>
  <x:c r="W1739" i="3"/>
  <x:c r="V1739" i="3"/>
  <x:c r="U1739" i="3"/>
  <x:c r="T1739" i="3"/>
  <x:c r="E1739" i="3"/>
  <x:c r="D1739" i="3"/>
  <x:c r="C1739" i="3"/>
  <x:c r="B1739" i="3"/>
  <x:c r="AG1738" i="3"/>
  <x:c r="AF1738" i="3"/>
  <x:c r="AE1738" i="3"/>
  <x:c r="AD1738" i="3"/>
  <x:c r="AC1738" i="3"/>
  <x:c r="AB1738" i="3"/>
  <x:c r="AA1738" i="3"/>
  <x:c r="Z1738" i="3"/>
  <x:c r="Y1738" i="3"/>
  <x:c r="X1738" i="3"/>
  <x:c r="W1738" i="3"/>
  <x:c r="V1738" i="3"/>
  <x:c r="U1738" i="3"/>
  <x:c r="T1738" i="3"/>
  <x:c r="E1738" i="3"/>
  <x:c r="D1738" i="3"/>
  <x:c r="C1738" i="3"/>
  <x:c r="B1738" i="3"/>
  <x:c r="AG1737" i="3"/>
  <x:c r="AF1737" i="3"/>
  <x:c r="AE1737" i="3"/>
  <x:c r="AD1737" i="3"/>
  <x:c r="AC1737" i="3"/>
  <x:c r="AB1737" i="3"/>
  <x:c r="AA1737" i="3"/>
  <x:c r="Z1737" i="3"/>
  <x:c r="Y1737" i="3"/>
  <x:c r="X1737" i="3"/>
  <x:c r="W1737" i="3"/>
  <x:c r="V1737" i="3"/>
  <x:c r="U1737" i="3"/>
  <x:c r="T1737" i="3"/>
  <x:c r="E1737" i="3"/>
  <x:c r="D1737" i="3"/>
  <x:c r="C1737" i="3"/>
  <x:c r="B1737" i="3"/>
  <x:c r="AG1736" i="3"/>
  <x:c r="AF1736" i="3"/>
  <x:c r="AE1736" i="3"/>
  <x:c r="AD1736" i="3"/>
  <x:c r="AC1736" i="3"/>
  <x:c r="AB1736" i="3"/>
  <x:c r="AA1736" i="3"/>
  <x:c r="Z1736" i="3"/>
  <x:c r="Y1736" i="3"/>
  <x:c r="X1736" i="3"/>
  <x:c r="W1736" i="3"/>
  <x:c r="V1736" i="3"/>
  <x:c r="U1736" i="3"/>
  <x:c r="T1736" i="3"/>
  <x:c r="E1736" i="3"/>
  <x:c r="D1736" i="3"/>
  <x:c r="C1736" i="3"/>
  <x:c r="B1736" i="3"/>
  <x:c r="AG1735" i="3"/>
  <x:c r="AF1735" i="3"/>
  <x:c r="AE1735" i="3"/>
  <x:c r="AD1735" i="3"/>
  <x:c r="AC1735" i="3"/>
  <x:c r="AB1735" i="3"/>
  <x:c r="AA1735" i="3"/>
  <x:c r="Z1735" i="3"/>
  <x:c r="Y1735" i="3"/>
  <x:c r="X1735" i="3"/>
  <x:c r="W1735" i="3"/>
  <x:c r="V1735" i="3"/>
  <x:c r="U1735" i="3"/>
  <x:c r="T1735" i="3"/>
  <x:c r="E1735" i="3"/>
  <x:c r="D1735" i="3"/>
  <x:c r="C1735" i="3"/>
  <x:c r="B1735" i="3"/>
  <x:c r="AG1734" i="3"/>
  <x:c r="AF1734" i="3"/>
  <x:c r="AE1734" i="3"/>
  <x:c r="AD1734" i="3"/>
  <x:c r="AC1734" i="3"/>
  <x:c r="AB1734" i="3"/>
  <x:c r="AA1734" i="3"/>
  <x:c r="Z1734" i="3"/>
  <x:c r="Y1734" i="3"/>
  <x:c r="X1734" i="3"/>
  <x:c r="W1734" i="3"/>
  <x:c r="V1734" i="3"/>
  <x:c r="U1734" i="3"/>
  <x:c r="T1734" i="3"/>
  <x:c r="E1734" i="3"/>
  <x:c r="D1734" i="3"/>
  <x:c r="C1734" i="3"/>
  <x:c r="B1734" i="3"/>
  <x:c r="AG1733" i="3"/>
  <x:c r="AF1733" i="3"/>
  <x:c r="AE1733" i="3"/>
  <x:c r="AD1733" i="3"/>
  <x:c r="AC1733" i="3"/>
  <x:c r="AB1733" i="3"/>
  <x:c r="AA1733" i="3"/>
  <x:c r="Z1733" i="3"/>
  <x:c r="Y1733" i="3"/>
  <x:c r="X1733" i="3"/>
  <x:c r="W1733" i="3"/>
  <x:c r="V1733" i="3"/>
  <x:c r="U1733" i="3"/>
  <x:c r="T1733" i="3"/>
  <x:c r="E1733" i="3"/>
  <x:c r="D1733" i="3"/>
  <x:c r="C1733" i="3"/>
  <x:c r="B1733" i="3"/>
  <x:c r="AG1732" i="3"/>
  <x:c r="AF1732" i="3"/>
  <x:c r="AE1732" i="3"/>
  <x:c r="AD1732" i="3"/>
  <x:c r="AC1732" i="3"/>
  <x:c r="AB1732" i="3"/>
  <x:c r="AA1732" i="3"/>
  <x:c r="Z1732" i="3"/>
  <x:c r="Y1732" i="3"/>
  <x:c r="X1732" i="3"/>
  <x:c r="W1732" i="3"/>
  <x:c r="V1732" i="3"/>
  <x:c r="U1732" i="3"/>
  <x:c r="T1732" i="3"/>
  <x:c r="E1732" i="3"/>
  <x:c r="D1732" i="3"/>
  <x:c r="C1732" i="3"/>
  <x:c r="B1732" i="3"/>
  <x:c r="AG1731" i="3"/>
  <x:c r="AF1731" i="3"/>
  <x:c r="AE1731" i="3"/>
  <x:c r="AD1731" i="3"/>
  <x:c r="AC1731" i="3"/>
  <x:c r="AB1731" i="3"/>
  <x:c r="AA1731" i="3"/>
  <x:c r="Z1731" i="3"/>
  <x:c r="Y1731" i="3"/>
  <x:c r="X1731" i="3"/>
  <x:c r="W1731" i="3"/>
  <x:c r="V1731" i="3"/>
  <x:c r="U1731" i="3"/>
  <x:c r="T1731" i="3"/>
  <x:c r="E1731" i="3"/>
  <x:c r="D1731" i="3"/>
  <x:c r="C1731" i="3"/>
  <x:c r="B1731" i="3"/>
  <x:c r="AG1730" i="3"/>
  <x:c r="AF1730" i="3"/>
  <x:c r="AE1730" i="3"/>
  <x:c r="AD1730" i="3"/>
  <x:c r="AC1730" i="3"/>
  <x:c r="AB1730" i="3"/>
  <x:c r="AA1730" i="3"/>
  <x:c r="Z1730" i="3"/>
  <x:c r="Y1730" i="3"/>
  <x:c r="X1730" i="3"/>
  <x:c r="W1730" i="3"/>
  <x:c r="V1730" i="3"/>
  <x:c r="U1730" i="3"/>
  <x:c r="T1730" i="3"/>
  <x:c r="E1730" i="3"/>
  <x:c r="D1730" i="3"/>
  <x:c r="C1730" i="3"/>
  <x:c r="B1730" i="3"/>
  <x:c r="AG1729" i="3"/>
  <x:c r="AF1729" i="3"/>
  <x:c r="AE1729" i="3"/>
  <x:c r="AD1729" i="3"/>
  <x:c r="AC1729" i="3"/>
  <x:c r="AB1729" i="3"/>
  <x:c r="AA1729" i="3"/>
  <x:c r="Z1729" i="3"/>
  <x:c r="Y1729" i="3"/>
  <x:c r="X1729" i="3"/>
  <x:c r="W1729" i="3"/>
  <x:c r="V1729" i="3"/>
  <x:c r="U1729" i="3"/>
  <x:c r="T1729" i="3"/>
  <x:c r="E1729" i="3"/>
  <x:c r="D1729" i="3"/>
  <x:c r="C1729" i="3"/>
  <x:c r="B1729" i="3"/>
  <x:c r="AG1728" i="3"/>
  <x:c r="AF1728" i="3"/>
  <x:c r="AE1728" i="3"/>
  <x:c r="AD1728" i="3"/>
  <x:c r="AC1728" i="3"/>
  <x:c r="AB1728" i="3"/>
  <x:c r="AA1728" i="3"/>
  <x:c r="Z1728" i="3"/>
  <x:c r="Y1728" i="3"/>
  <x:c r="X1728" i="3"/>
  <x:c r="W1728" i="3"/>
  <x:c r="V1728" i="3"/>
  <x:c r="U1728" i="3"/>
  <x:c r="T1728" i="3"/>
  <x:c r="E1728" i="3"/>
  <x:c r="D1728" i="3"/>
  <x:c r="C1728" i="3"/>
  <x:c r="B1728" i="3"/>
  <x:c r="AG1727" i="3"/>
  <x:c r="AF1727" i="3"/>
  <x:c r="AE1727" i="3"/>
  <x:c r="AD1727" i="3"/>
  <x:c r="AC1727" i="3"/>
  <x:c r="AB1727" i="3"/>
  <x:c r="AA1727" i="3"/>
  <x:c r="Z1727" i="3"/>
  <x:c r="Y1727" i="3"/>
  <x:c r="X1727" i="3"/>
  <x:c r="W1727" i="3"/>
  <x:c r="V1727" i="3"/>
  <x:c r="U1727" i="3"/>
  <x:c r="T1727" i="3"/>
  <x:c r="E1727" i="3"/>
  <x:c r="D1727" i="3"/>
  <x:c r="C1727" i="3"/>
  <x:c r="B1727" i="3"/>
  <x:c r="AG1726" i="3"/>
  <x:c r="AF1726" i="3"/>
  <x:c r="AE1726" i="3"/>
  <x:c r="AD1726" i="3"/>
  <x:c r="AC1726" i="3"/>
  <x:c r="AB1726" i="3"/>
  <x:c r="AA1726" i="3"/>
  <x:c r="Z1726" i="3"/>
  <x:c r="Y1726" i="3"/>
  <x:c r="X1726" i="3"/>
  <x:c r="W1726" i="3"/>
  <x:c r="V1726" i="3"/>
  <x:c r="U1726" i="3"/>
  <x:c r="T1726" i="3"/>
  <x:c r="E1726" i="3"/>
  <x:c r="D1726" i="3"/>
  <x:c r="C1726" i="3"/>
  <x:c r="B1726" i="3"/>
  <x:c r="AG1725" i="3"/>
  <x:c r="AF1725" i="3"/>
  <x:c r="AE1725" i="3"/>
  <x:c r="AD1725" i="3"/>
  <x:c r="AC1725" i="3"/>
  <x:c r="AB1725" i="3"/>
  <x:c r="AA1725" i="3"/>
  <x:c r="Z1725" i="3"/>
  <x:c r="Y1725" i="3"/>
  <x:c r="X1725" i="3"/>
  <x:c r="W1725" i="3"/>
  <x:c r="V1725" i="3"/>
  <x:c r="U1725" i="3"/>
  <x:c r="T1725" i="3"/>
  <x:c r="E1725" i="3"/>
  <x:c r="D1725" i="3"/>
  <x:c r="C1725" i="3"/>
  <x:c r="B1725" i="3"/>
  <x:c r="AG1724" i="3"/>
  <x:c r="AF1724" i="3"/>
  <x:c r="AE1724" i="3"/>
  <x:c r="AD1724" i="3"/>
  <x:c r="AC1724" i="3"/>
  <x:c r="AB1724" i="3"/>
  <x:c r="AA1724" i="3"/>
  <x:c r="Z1724" i="3"/>
  <x:c r="Y1724" i="3"/>
  <x:c r="X1724" i="3"/>
  <x:c r="W1724" i="3"/>
  <x:c r="V1724" i="3"/>
  <x:c r="U1724" i="3"/>
  <x:c r="T1724" i="3"/>
  <x:c r="E1724" i="3"/>
  <x:c r="D1724" i="3"/>
  <x:c r="C1724" i="3"/>
  <x:c r="B1724" i="3"/>
  <x:c r="AG1723" i="3"/>
  <x:c r="AF1723" i="3"/>
  <x:c r="AE1723" i="3"/>
  <x:c r="AD1723" i="3"/>
  <x:c r="AC1723" i="3"/>
  <x:c r="AB1723" i="3"/>
  <x:c r="AA1723" i="3"/>
  <x:c r="Z1723" i="3"/>
  <x:c r="Y1723" i="3"/>
  <x:c r="X1723" i="3"/>
  <x:c r="W1723" i="3"/>
  <x:c r="V1723" i="3"/>
  <x:c r="U1723" i="3"/>
  <x:c r="T1723" i="3"/>
  <x:c r="E1723" i="3"/>
  <x:c r="D1723" i="3"/>
  <x:c r="C1723" i="3"/>
  <x:c r="B1723" i="3"/>
  <x:c r="AG1722" i="3"/>
  <x:c r="AF1722" i="3"/>
  <x:c r="AE1722" i="3"/>
  <x:c r="AD1722" i="3"/>
  <x:c r="AC1722" i="3"/>
  <x:c r="AB1722" i="3"/>
  <x:c r="AA1722" i="3"/>
  <x:c r="Z1722" i="3"/>
  <x:c r="Y1722" i="3"/>
  <x:c r="X1722" i="3"/>
  <x:c r="W1722" i="3"/>
  <x:c r="V1722" i="3"/>
  <x:c r="U1722" i="3"/>
  <x:c r="T1722" i="3"/>
  <x:c r="E1722" i="3"/>
  <x:c r="D1722" i="3"/>
  <x:c r="C1722" i="3"/>
  <x:c r="B1722" i="3"/>
  <x:c r="AG1721" i="3"/>
  <x:c r="AF1721" i="3"/>
  <x:c r="AE1721" i="3"/>
  <x:c r="AD1721" i="3"/>
  <x:c r="AC1721" i="3"/>
  <x:c r="AB1721" i="3"/>
  <x:c r="AA1721" i="3"/>
  <x:c r="Z1721" i="3"/>
  <x:c r="Y1721" i="3"/>
  <x:c r="X1721" i="3"/>
  <x:c r="W1721" i="3"/>
  <x:c r="V1721" i="3"/>
  <x:c r="U1721" i="3"/>
  <x:c r="T1721" i="3"/>
  <x:c r="E1721" i="3"/>
  <x:c r="D1721" i="3"/>
  <x:c r="C1721" i="3"/>
  <x:c r="B1721" i="3"/>
  <x:c r="AG1720" i="3"/>
  <x:c r="AF1720" i="3"/>
  <x:c r="AE1720" i="3"/>
  <x:c r="AD1720" i="3"/>
  <x:c r="AC1720" i="3"/>
  <x:c r="AB1720" i="3"/>
  <x:c r="AA1720" i="3"/>
  <x:c r="Z1720" i="3"/>
  <x:c r="Y1720" i="3"/>
  <x:c r="X1720" i="3"/>
  <x:c r="W1720" i="3"/>
  <x:c r="V1720" i="3"/>
  <x:c r="U1720" i="3"/>
  <x:c r="T1720" i="3"/>
  <x:c r="E1720" i="3"/>
  <x:c r="D1720" i="3"/>
  <x:c r="C1720" i="3"/>
  <x:c r="B1720" i="3"/>
  <x:c r="AG1719" i="3"/>
  <x:c r="AF1719" i="3"/>
  <x:c r="AE1719" i="3"/>
  <x:c r="AD1719" i="3"/>
  <x:c r="AC1719" i="3"/>
  <x:c r="AB1719" i="3"/>
  <x:c r="AA1719" i="3"/>
  <x:c r="Z1719" i="3"/>
  <x:c r="Y1719" i="3"/>
  <x:c r="X1719" i="3"/>
  <x:c r="W1719" i="3"/>
  <x:c r="V1719" i="3"/>
  <x:c r="U1719" i="3"/>
  <x:c r="T1719" i="3"/>
  <x:c r="E1719" i="3"/>
  <x:c r="D1719" i="3"/>
  <x:c r="C1719" i="3"/>
  <x:c r="B1719" i="3"/>
  <x:c r="AG1718" i="3"/>
  <x:c r="AF1718" i="3"/>
  <x:c r="AE1718" i="3"/>
  <x:c r="AD1718" i="3"/>
  <x:c r="AC1718" i="3"/>
  <x:c r="AB1718" i="3"/>
  <x:c r="AA1718" i="3"/>
  <x:c r="Z1718" i="3"/>
  <x:c r="Y1718" i="3"/>
  <x:c r="X1718" i="3"/>
  <x:c r="W1718" i="3"/>
  <x:c r="V1718" i="3"/>
  <x:c r="U1718" i="3"/>
  <x:c r="T1718" i="3"/>
  <x:c r="E1718" i="3"/>
  <x:c r="D1718" i="3"/>
  <x:c r="C1718" i="3"/>
  <x:c r="B1718" i="3"/>
  <x:c r="AG1717" i="3"/>
  <x:c r="AF1717" i="3"/>
  <x:c r="AE1717" i="3"/>
  <x:c r="AD1717" i="3"/>
  <x:c r="AC1717" i="3"/>
  <x:c r="AB1717" i="3"/>
  <x:c r="AA1717" i="3"/>
  <x:c r="Z1717" i="3"/>
  <x:c r="Y1717" i="3"/>
  <x:c r="X1717" i="3"/>
  <x:c r="W1717" i="3"/>
  <x:c r="V1717" i="3"/>
  <x:c r="U1717" i="3"/>
  <x:c r="T1717" i="3"/>
  <x:c r="E1717" i="3"/>
  <x:c r="D1717" i="3"/>
  <x:c r="C1717" i="3"/>
  <x:c r="B1717" i="3"/>
  <x:c r="AG1716" i="3"/>
  <x:c r="AF1716" i="3"/>
  <x:c r="AE1716" i="3"/>
  <x:c r="AD1716" i="3"/>
  <x:c r="AC1716" i="3"/>
  <x:c r="AB1716" i="3"/>
  <x:c r="AA1716" i="3"/>
  <x:c r="Z1716" i="3"/>
  <x:c r="Y1716" i="3"/>
  <x:c r="X1716" i="3"/>
  <x:c r="W1716" i="3"/>
  <x:c r="V1716" i="3"/>
  <x:c r="U1716" i="3"/>
  <x:c r="T1716" i="3"/>
  <x:c r="E1716" i="3"/>
  <x:c r="D1716" i="3"/>
  <x:c r="C1716" i="3"/>
  <x:c r="B1716" i="3"/>
  <x:c r="AG1715" i="3"/>
  <x:c r="AF1715" i="3"/>
  <x:c r="AE1715" i="3"/>
  <x:c r="AD1715" i="3"/>
  <x:c r="AC1715" i="3"/>
  <x:c r="AB1715" i="3"/>
  <x:c r="AA1715" i="3"/>
  <x:c r="Z1715" i="3"/>
  <x:c r="Y1715" i="3"/>
  <x:c r="X1715" i="3"/>
  <x:c r="W1715" i="3"/>
  <x:c r="V1715" i="3"/>
  <x:c r="U1715" i="3"/>
  <x:c r="T1715" i="3"/>
  <x:c r="E1715" i="3"/>
  <x:c r="D1715" i="3"/>
  <x:c r="C1715" i="3"/>
  <x:c r="B1715" i="3"/>
  <x:c r="AG1714" i="3"/>
  <x:c r="AF1714" i="3"/>
  <x:c r="AE1714" i="3"/>
  <x:c r="AD1714" i="3"/>
  <x:c r="AC1714" i="3"/>
  <x:c r="AB1714" i="3"/>
  <x:c r="AA1714" i="3"/>
  <x:c r="Z1714" i="3"/>
  <x:c r="Y1714" i="3"/>
  <x:c r="X1714" i="3"/>
  <x:c r="W1714" i="3"/>
  <x:c r="V1714" i="3"/>
  <x:c r="U1714" i="3"/>
  <x:c r="T1714" i="3"/>
  <x:c r="E1714" i="3"/>
  <x:c r="D1714" i="3"/>
  <x:c r="C1714" i="3"/>
  <x:c r="B1714" i="3"/>
  <x:c r="AG1713" i="3"/>
  <x:c r="AF1713" i="3"/>
  <x:c r="AE1713" i="3"/>
  <x:c r="AD1713" i="3"/>
  <x:c r="AC1713" i="3"/>
  <x:c r="AB1713" i="3"/>
  <x:c r="AA1713" i="3"/>
  <x:c r="Z1713" i="3"/>
  <x:c r="Y1713" i="3"/>
  <x:c r="X1713" i="3"/>
  <x:c r="W1713" i="3"/>
  <x:c r="V1713" i="3"/>
  <x:c r="U1713" i="3"/>
  <x:c r="T1713" i="3"/>
  <x:c r="E1713" i="3"/>
  <x:c r="D1713" i="3"/>
  <x:c r="C1713" i="3"/>
  <x:c r="B1713" i="3"/>
  <x:c r="AG1712" i="3"/>
  <x:c r="AF1712" i="3"/>
  <x:c r="AE1712" i="3"/>
  <x:c r="AD1712" i="3"/>
  <x:c r="AC1712" i="3"/>
  <x:c r="AB1712" i="3"/>
  <x:c r="AA1712" i="3"/>
  <x:c r="Z1712" i="3"/>
  <x:c r="Y1712" i="3"/>
  <x:c r="X1712" i="3"/>
  <x:c r="W1712" i="3"/>
  <x:c r="V1712" i="3"/>
  <x:c r="U1712" i="3"/>
  <x:c r="T1712" i="3"/>
  <x:c r="E1712" i="3"/>
  <x:c r="D1712" i="3"/>
  <x:c r="C1712" i="3"/>
  <x:c r="B1712" i="3"/>
  <x:c r="AG1711" i="3"/>
  <x:c r="AF1711" i="3"/>
  <x:c r="AE1711" i="3"/>
  <x:c r="AD1711" i="3"/>
  <x:c r="AC1711" i="3"/>
  <x:c r="AB1711" i="3"/>
  <x:c r="AA1711" i="3"/>
  <x:c r="Z1711" i="3"/>
  <x:c r="Y1711" i="3"/>
  <x:c r="X1711" i="3"/>
  <x:c r="W1711" i="3"/>
  <x:c r="V1711" i="3"/>
  <x:c r="U1711" i="3"/>
  <x:c r="T1711" i="3"/>
  <x:c r="E1711" i="3"/>
  <x:c r="D1711" i="3"/>
  <x:c r="C1711" i="3"/>
  <x:c r="B1711" i="3"/>
  <x:c r="AG1710" i="3"/>
  <x:c r="AF1710" i="3"/>
  <x:c r="AE1710" i="3"/>
  <x:c r="AD1710" i="3"/>
  <x:c r="AC1710" i="3"/>
  <x:c r="AB1710" i="3"/>
  <x:c r="AA1710" i="3"/>
  <x:c r="Z1710" i="3"/>
  <x:c r="Y1710" i="3"/>
  <x:c r="X1710" i="3"/>
  <x:c r="W1710" i="3"/>
  <x:c r="V1710" i="3"/>
  <x:c r="U1710" i="3"/>
  <x:c r="T1710" i="3"/>
  <x:c r="E1710" i="3"/>
  <x:c r="D1710" i="3"/>
  <x:c r="C1710" i="3"/>
  <x:c r="B1710" i="3"/>
  <x:c r="AG1709" i="3"/>
  <x:c r="AF1709" i="3"/>
  <x:c r="AE1709" i="3"/>
  <x:c r="AD1709" i="3"/>
  <x:c r="AC1709" i="3"/>
  <x:c r="AB1709" i="3"/>
  <x:c r="AA1709" i="3"/>
  <x:c r="Z1709" i="3"/>
  <x:c r="Y1709" i="3"/>
  <x:c r="X1709" i="3"/>
  <x:c r="W1709" i="3"/>
  <x:c r="V1709" i="3"/>
  <x:c r="U1709" i="3"/>
  <x:c r="T1709" i="3"/>
  <x:c r="E1709" i="3"/>
  <x:c r="D1709" i="3"/>
  <x:c r="C1709" i="3"/>
  <x:c r="B1709" i="3"/>
  <x:c r="AG1708" i="3"/>
  <x:c r="AF1708" i="3"/>
  <x:c r="AE1708" i="3"/>
  <x:c r="AD1708" i="3"/>
  <x:c r="AC1708" i="3"/>
  <x:c r="AB1708" i="3"/>
  <x:c r="AA1708" i="3"/>
  <x:c r="Z1708" i="3"/>
  <x:c r="Y1708" i="3"/>
  <x:c r="X1708" i="3"/>
  <x:c r="W1708" i="3"/>
  <x:c r="V1708" i="3"/>
  <x:c r="U1708" i="3"/>
  <x:c r="T1708" i="3"/>
  <x:c r="E1708" i="3"/>
  <x:c r="D1708" i="3"/>
  <x:c r="C1708" i="3"/>
  <x:c r="B1708" i="3"/>
  <x:c r="AG1707" i="3"/>
  <x:c r="AF1707" i="3"/>
  <x:c r="AE1707" i="3"/>
  <x:c r="AD1707" i="3"/>
  <x:c r="AC1707" i="3"/>
  <x:c r="AB1707" i="3"/>
  <x:c r="AA1707" i="3"/>
  <x:c r="Z1707" i="3"/>
  <x:c r="Y1707" i="3"/>
  <x:c r="X1707" i="3"/>
  <x:c r="W1707" i="3"/>
  <x:c r="V1707" i="3"/>
  <x:c r="U1707" i="3"/>
  <x:c r="T1707" i="3"/>
  <x:c r="E1707" i="3"/>
  <x:c r="D1707" i="3"/>
  <x:c r="C1707" i="3"/>
  <x:c r="B1707" i="3"/>
  <x:c r="AG1706" i="3"/>
  <x:c r="AF1706" i="3"/>
  <x:c r="AE1706" i="3"/>
  <x:c r="AD1706" i="3"/>
  <x:c r="AC1706" i="3"/>
  <x:c r="AB1706" i="3"/>
  <x:c r="AA1706" i="3"/>
  <x:c r="Z1706" i="3"/>
  <x:c r="Y1706" i="3"/>
  <x:c r="X1706" i="3"/>
  <x:c r="W1706" i="3"/>
  <x:c r="V1706" i="3"/>
  <x:c r="U1706" i="3"/>
  <x:c r="T1706" i="3"/>
  <x:c r="E1706" i="3"/>
  <x:c r="D1706" i="3"/>
  <x:c r="C1706" i="3"/>
  <x:c r="B1706" i="3"/>
  <x:c r="AG1705" i="3"/>
  <x:c r="AF1705" i="3"/>
  <x:c r="AE1705" i="3"/>
  <x:c r="AD1705" i="3"/>
  <x:c r="AC1705" i="3"/>
  <x:c r="AB1705" i="3"/>
  <x:c r="AA1705" i="3"/>
  <x:c r="Z1705" i="3"/>
  <x:c r="Y1705" i="3"/>
  <x:c r="X1705" i="3"/>
  <x:c r="W1705" i="3"/>
  <x:c r="V1705" i="3"/>
  <x:c r="U1705" i="3"/>
  <x:c r="T1705" i="3"/>
  <x:c r="E1705" i="3"/>
  <x:c r="D1705" i="3"/>
  <x:c r="C1705" i="3"/>
  <x:c r="B1705" i="3"/>
  <x:c r="AG1704" i="3"/>
  <x:c r="AF1704" i="3"/>
  <x:c r="AE1704" i="3"/>
  <x:c r="AD1704" i="3"/>
  <x:c r="AC1704" i="3"/>
  <x:c r="AB1704" i="3"/>
  <x:c r="AA1704" i="3"/>
  <x:c r="Z1704" i="3"/>
  <x:c r="Y1704" i="3"/>
  <x:c r="X1704" i="3"/>
  <x:c r="W1704" i="3"/>
  <x:c r="V1704" i="3"/>
  <x:c r="U1704" i="3"/>
  <x:c r="T1704" i="3"/>
  <x:c r="E1704" i="3"/>
  <x:c r="D1704" i="3"/>
  <x:c r="C1704" i="3"/>
  <x:c r="B1704" i="3"/>
  <x:c r="AG1703" i="3"/>
  <x:c r="AF1703" i="3"/>
  <x:c r="AE1703" i="3"/>
  <x:c r="AD1703" i="3"/>
  <x:c r="AC1703" i="3"/>
  <x:c r="AB1703" i="3"/>
  <x:c r="AA1703" i="3"/>
  <x:c r="Z1703" i="3"/>
  <x:c r="Y1703" i="3"/>
  <x:c r="X1703" i="3"/>
  <x:c r="W1703" i="3"/>
  <x:c r="V1703" i="3"/>
  <x:c r="U1703" i="3"/>
  <x:c r="T1703" i="3"/>
  <x:c r="E1703" i="3"/>
  <x:c r="D1703" i="3"/>
  <x:c r="C1703" i="3"/>
  <x:c r="B1703" i="3"/>
  <x:c r="AG1702" i="3"/>
  <x:c r="AF1702" i="3"/>
  <x:c r="AE1702" i="3"/>
  <x:c r="AD1702" i="3"/>
  <x:c r="AC1702" i="3"/>
  <x:c r="AB1702" i="3"/>
  <x:c r="AA1702" i="3"/>
  <x:c r="Z1702" i="3"/>
  <x:c r="Y1702" i="3"/>
  <x:c r="X1702" i="3"/>
  <x:c r="W1702" i="3"/>
  <x:c r="V1702" i="3"/>
  <x:c r="U1702" i="3"/>
  <x:c r="T1702" i="3"/>
  <x:c r="E1702" i="3"/>
  <x:c r="D1702" i="3"/>
  <x:c r="C1702" i="3"/>
  <x:c r="B1702" i="3"/>
  <x:c r="AG1701" i="3"/>
  <x:c r="AF1701" i="3"/>
  <x:c r="AE1701" i="3"/>
  <x:c r="AD1701" i="3"/>
  <x:c r="AC1701" i="3"/>
  <x:c r="AB1701" i="3"/>
  <x:c r="AA1701" i="3"/>
  <x:c r="Z1701" i="3"/>
  <x:c r="Y1701" i="3"/>
  <x:c r="X1701" i="3"/>
  <x:c r="W1701" i="3"/>
  <x:c r="V1701" i="3"/>
  <x:c r="U1701" i="3"/>
  <x:c r="T1701" i="3"/>
  <x:c r="E1701" i="3"/>
  <x:c r="D1701" i="3"/>
  <x:c r="C1701" i="3"/>
  <x:c r="B1701" i="3"/>
  <x:c r="AG1700" i="3"/>
  <x:c r="AF1700" i="3"/>
  <x:c r="AE1700" i="3"/>
  <x:c r="AD1700" i="3"/>
  <x:c r="AC1700" i="3"/>
  <x:c r="AB1700" i="3"/>
  <x:c r="AA1700" i="3"/>
  <x:c r="Z1700" i="3"/>
  <x:c r="Y1700" i="3"/>
  <x:c r="X1700" i="3"/>
  <x:c r="W1700" i="3"/>
  <x:c r="V1700" i="3"/>
  <x:c r="U1700" i="3"/>
  <x:c r="T1700" i="3"/>
  <x:c r="E1700" i="3"/>
  <x:c r="D1700" i="3"/>
  <x:c r="C1700" i="3"/>
  <x:c r="B1700" i="3"/>
  <x:c r="AG1699" i="3"/>
  <x:c r="AF1699" i="3"/>
  <x:c r="AE1699" i="3"/>
  <x:c r="AD1699" i="3"/>
  <x:c r="AC1699" i="3"/>
  <x:c r="AB1699" i="3"/>
  <x:c r="AA1699" i="3"/>
  <x:c r="Z1699" i="3"/>
  <x:c r="Y1699" i="3"/>
  <x:c r="X1699" i="3"/>
  <x:c r="W1699" i="3"/>
  <x:c r="V1699" i="3"/>
  <x:c r="U1699" i="3"/>
  <x:c r="T1699" i="3"/>
  <x:c r="E1699" i="3"/>
  <x:c r="D1699" i="3"/>
  <x:c r="C1699" i="3"/>
  <x:c r="B1699" i="3"/>
  <x:c r="AG1698" i="3"/>
  <x:c r="AF1698" i="3"/>
  <x:c r="AE1698" i="3"/>
  <x:c r="AD1698" i="3"/>
  <x:c r="AC1698" i="3"/>
  <x:c r="AB1698" i="3"/>
  <x:c r="AA1698" i="3"/>
  <x:c r="Z1698" i="3"/>
  <x:c r="Y1698" i="3"/>
  <x:c r="X1698" i="3"/>
  <x:c r="W1698" i="3"/>
  <x:c r="V1698" i="3"/>
  <x:c r="U1698" i="3"/>
  <x:c r="T1698" i="3"/>
  <x:c r="E1698" i="3"/>
  <x:c r="D1698" i="3"/>
  <x:c r="C1698" i="3"/>
  <x:c r="B1698" i="3"/>
  <x:c r="AG1697" i="3"/>
  <x:c r="AF1697" i="3"/>
  <x:c r="AE1697" i="3"/>
  <x:c r="AD1697" i="3"/>
  <x:c r="AC1697" i="3"/>
  <x:c r="AB1697" i="3"/>
  <x:c r="AA1697" i="3"/>
  <x:c r="Z1697" i="3"/>
  <x:c r="Y1697" i="3"/>
  <x:c r="X1697" i="3"/>
  <x:c r="W1697" i="3"/>
  <x:c r="V1697" i="3"/>
  <x:c r="U1697" i="3"/>
  <x:c r="T1697" i="3"/>
  <x:c r="E1697" i="3"/>
  <x:c r="D1697" i="3"/>
  <x:c r="C1697" i="3"/>
  <x:c r="B1697" i="3"/>
  <x:c r="AG1696" i="3"/>
  <x:c r="AF1696" i="3"/>
  <x:c r="AE1696" i="3"/>
  <x:c r="AD1696" i="3"/>
  <x:c r="AC1696" i="3"/>
  <x:c r="AB1696" i="3"/>
  <x:c r="AA1696" i="3"/>
  <x:c r="Z1696" i="3"/>
  <x:c r="Y1696" i="3"/>
  <x:c r="X1696" i="3"/>
  <x:c r="W1696" i="3"/>
  <x:c r="V1696" i="3"/>
  <x:c r="U1696" i="3"/>
  <x:c r="T1696" i="3"/>
  <x:c r="E1696" i="3"/>
  <x:c r="D1696" i="3"/>
  <x:c r="C1696" i="3"/>
  <x:c r="B1696" i="3"/>
  <x:c r="AG1695" i="3"/>
  <x:c r="AF1695" i="3"/>
  <x:c r="AE1695" i="3"/>
  <x:c r="AD1695" i="3"/>
  <x:c r="AC1695" i="3"/>
  <x:c r="AB1695" i="3"/>
  <x:c r="AA1695" i="3"/>
  <x:c r="Z1695" i="3"/>
  <x:c r="Y1695" i="3"/>
  <x:c r="X1695" i="3"/>
  <x:c r="W1695" i="3"/>
  <x:c r="V1695" i="3"/>
  <x:c r="U1695" i="3"/>
  <x:c r="T1695" i="3"/>
  <x:c r="E1695" i="3"/>
  <x:c r="D1695" i="3"/>
  <x:c r="C1695" i="3"/>
  <x:c r="B1695" i="3"/>
  <x:c r="AG1694" i="3"/>
  <x:c r="AF1694" i="3"/>
  <x:c r="AE1694" i="3"/>
  <x:c r="AD1694" i="3"/>
  <x:c r="AC1694" i="3"/>
  <x:c r="AB1694" i="3"/>
  <x:c r="AA1694" i="3"/>
  <x:c r="Z1694" i="3"/>
  <x:c r="Y1694" i="3"/>
  <x:c r="X1694" i="3"/>
  <x:c r="W1694" i="3"/>
  <x:c r="V1694" i="3"/>
  <x:c r="U1694" i="3"/>
  <x:c r="T1694" i="3"/>
  <x:c r="E1694" i="3"/>
  <x:c r="D1694" i="3"/>
  <x:c r="C1694" i="3"/>
  <x:c r="B1694" i="3"/>
  <x:c r="AG1693" i="3"/>
  <x:c r="AF1693" i="3"/>
  <x:c r="AE1693" i="3"/>
  <x:c r="AD1693" i="3"/>
  <x:c r="AC1693" i="3"/>
  <x:c r="AB1693" i="3"/>
  <x:c r="AA1693" i="3"/>
  <x:c r="Z1693" i="3"/>
  <x:c r="Y1693" i="3"/>
  <x:c r="X1693" i="3"/>
  <x:c r="W1693" i="3"/>
  <x:c r="V1693" i="3"/>
  <x:c r="U1693" i="3"/>
  <x:c r="T1693" i="3"/>
  <x:c r="E1693" i="3"/>
  <x:c r="D1693" i="3"/>
  <x:c r="C1693" i="3"/>
  <x:c r="B1693" i="3"/>
  <x:c r="AG1692" i="3"/>
  <x:c r="AF1692" i="3"/>
  <x:c r="AE1692" i="3"/>
  <x:c r="AD1692" i="3"/>
  <x:c r="AC1692" i="3"/>
  <x:c r="AB1692" i="3"/>
  <x:c r="AA1692" i="3"/>
  <x:c r="Z1692" i="3"/>
  <x:c r="Y1692" i="3"/>
  <x:c r="X1692" i="3"/>
  <x:c r="W1692" i="3"/>
  <x:c r="V1692" i="3"/>
  <x:c r="U1692" i="3"/>
  <x:c r="T1692" i="3"/>
  <x:c r="E1692" i="3"/>
  <x:c r="D1692" i="3"/>
  <x:c r="C1692" i="3"/>
  <x:c r="B1692" i="3"/>
  <x:c r="AG1691" i="3"/>
  <x:c r="AF1691" i="3"/>
  <x:c r="AE1691" i="3"/>
  <x:c r="AD1691" i="3"/>
  <x:c r="AC1691" i="3"/>
  <x:c r="AB1691" i="3"/>
  <x:c r="AA1691" i="3"/>
  <x:c r="Z1691" i="3"/>
  <x:c r="Y1691" i="3"/>
  <x:c r="X1691" i="3"/>
  <x:c r="W1691" i="3"/>
  <x:c r="V1691" i="3"/>
  <x:c r="U1691" i="3"/>
  <x:c r="T1691" i="3"/>
  <x:c r="E1691" i="3"/>
  <x:c r="D1691" i="3"/>
  <x:c r="C1691" i="3"/>
  <x:c r="B1691" i="3"/>
  <x:c r="AG1690" i="3"/>
  <x:c r="AF1690" i="3"/>
  <x:c r="AE1690" i="3"/>
  <x:c r="AD1690" i="3"/>
  <x:c r="AC1690" i="3"/>
  <x:c r="AB1690" i="3"/>
  <x:c r="AA1690" i="3"/>
  <x:c r="Z1690" i="3"/>
  <x:c r="Y1690" i="3"/>
  <x:c r="X1690" i="3"/>
  <x:c r="W1690" i="3"/>
  <x:c r="V1690" i="3"/>
  <x:c r="U1690" i="3"/>
  <x:c r="T1690" i="3"/>
  <x:c r="E1690" i="3"/>
  <x:c r="D1690" i="3"/>
  <x:c r="C1690" i="3"/>
  <x:c r="B1690" i="3"/>
  <x:c r="AG1689" i="3"/>
  <x:c r="AF1689" i="3"/>
  <x:c r="AE1689" i="3"/>
  <x:c r="AD1689" i="3"/>
  <x:c r="AC1689" i="3"/>
  <x:c r="AB1689" i="3"/>
  <x:c r="AA1689" i="3"/>
  <x:c r="Z1689" i="3"/>
  <x:c r="Y1689" i="3"/>
  <x:c r="X1689" i="3"/>
  <x:c r="W1689" i="3"/>
  <x:c r="V1689" i="3"/>
  <x:c r="U1689" i="3"/>
  <x:c r="T1689" i="3"/>
  <x:c r="E1689" i="3"/>
  <x:c r="D1689" i="3"/>
  <x:c r="C1689" i="3"/>
  <x:c r="B1689" i="3"/>
  <x:c r="AG1688" i="3"/>
  <x:c r="AF1688" i="3"/>
  <x:c r="AE1688" i="3"/>
  <x:c r="AD1688" i="3"/>
  <x:c r="AC1688" i="3"/>
  <x:c r="AB1688" i="3"/>
  <x:c r="AA1688" i="3"/>
  <x:c r="Z1688" i="3"/>
  <x:c r="Y1688" i="3"/>
  <x:c r="X1688" i="3"/>
  <x:c r="W1688" i="3"/>
  <x:c r="V1688" i="3"/>
  <x:c r="U1688" i="3"/>
  <x:c r="T1688" i="3"/>
  <x:c r="E1688" i="3"/>
  <x:c r="D1688" i="3"/>
  <x:c r="C1688" i="3"/>
  <x:c r="B1688" i="3"/>
  <x:c r="AG1687" i="3"/>
  <x:c r="AF1687" i="3"/>
  <x:c r="AE1687" i="3"/>
  <x:c r="AD1687" i="3"/>
  <x:c r="AC1687" i="3"/>
  <x:c r="AB1687" i="3"/>
  <x:c r="AA1687" i="3"/>
  <x:c r="Z1687" i="3"/>
  <x:c r="Y1687" i="3"/>
  <x:c r="X1687" i="3"/>
  <x:c r="W1687" i="3"/>
  <x:c r="V1687" i="3"/>
  <x:c r="U1687" i="3"/>
  <x:c r="T1687" i="3"/>
  <x:c r="E1687" i="3"/>
  <x:c r="D1687" i="3"/>
  <x:c r="C1687" i="3"/>
  <x:c r="B1687" i="3"/>
  <x:c r="AG1686" i="3"/>
  <x:c r="AF1686" i="3"/>
  <x:c r="AE1686" i="3"/>
  <x:c r="AD1686" i="3"/>
  <x:c r="AC1686" i="3"/>
  <x:c r="AB1686" i="3"/>
  <x:c r="AA1686" i="3"/>
  <x:c r="Z1686" i="3"/>
  <x:c r="Y1686" i="3"/>
  <x:c r="X1686" i="3"/>
  <x:c r="W1686" i="3"/>
  <x:c r="V1686" i="3"/>
  <x:c r="U1686" i="3"/>
  <x:c r="T1686" i="3"/>
  <x:c r="E1686" i="3"/>
  <x:c r="D1686" i="3"/>
  <x:c r="C1686" i="3"/>
  <x:c r="B1686" i="3"/>
  <x:c r="AG1685" i="3"/>
  <x:c r="AF1685" i="3"/>
  <x:c r="AE1685" i="3"/>
  <x:c r="AD1685" i="3"/>
  <x:c r="AC1685" i="3"/>
  <x:c r="AB1685" i="3"/>
  <x:c r="AA1685" i="3"/>
  <x:c r="Z1685" i="3"/>
  <x:c r="Y1685" i="3"/>
  <x:c r="X1685" i="3"/>
  <x:c r="W1685" i="3"/>
  <x:c r="V1685" i="3"/>
  <x:c r="U1685" i="3"/>
  <x:c r="T1685" i="3"/>
  <x:c r="E1685" i="3"/>
  <x:c r="D1685" i="3"/>
  <x:c r="C1685" i="3"/>
  <x:c r="B1685" i="3"/>
  <x:c r="AG1684" i="3"/>
  <x:c r="AF1684" i="3"/>
  <x:c r="AE1684" i="3"/>
  <x:c r="AD1684" i="3"/>
  <x:c r="AC1684" i="3"/>
  <x:c r="AB1684" i="3"/>
  <x:c r="AA1684" i="3"/>
  <x:c r="Z1684" i="3"/>
  <x:c r="Y1684" i="3"/>
  <x:c r="X1684" i="3"/>
  <x:c r="W1684" i="3"/>
  <x:c r="V1684" i="3"/>
  <x:c r="U1684" i="3"/>
  <x:c r="T1684" i="3"/>
  <x:c r="E1684" i="3"/>
  <x:c r="D1684" i="3"/>
  <x:c r="C1684" i="3"/>
  <x:c r="B1684" i="3"/>
  <x:c r="AG1683" i="3"/>
  <x:c r="AF1683" i="3"/>
  <x:c r="AE1683" i="3"/>
  <x:c r="AD1683" i="3"/>
  <x:c r="AC1683" i="3"/>
  <x:c r="AB1683" i="3"/>
  <x:c r="AA1683" i="3"/>
  <x:c r="Z1683" i="3"/>
  <x:c r="Y1683" i="3"/>
  <x:c r="X1683" i="3"/>
  <x:c r="W1683" i="3"/>
  <x:c r="V1683" i="3"/>
  <x:c r="U1683" i="3"/>
  <x:c r="T1683" i="3"/>
  <x:c r="E1683" i="3"/>
  <x:c r="D1683" i="3"/>
  <x:c r="C1683" i="3"/>
  <x:c r="B1683" i="3"/>
  <x:c r="AG1682" i="3"/>
  <x:c r="AF1682" i="3"/>
  <x:c r="AE1682" i="3"/>
  <x:c r="AD1682" i="3"/>
  <x:c r="AC1682" i="3"/>
  <x:c r="AB1682" i="3"/>
  <x:c r="AA1682" i="3"/>
  <x:c r="Z1682" i="3"/>
  <x:c r="Y1682" i="3"/>
  <x:c r="X1682" i="3"/>
  <x:c r="W1682" i="3"/>
  <x:c r="V1682" i="3"/>
  <x:c r="U1682" i="3"/>
  <x:c r="T1682" i="3"/>
  <x:c r="E1682" i="3"/>
  <x:c r="D1682" i="3"/>
  <x:c r="C1682" i="3"/>
  <x:c r="B1682" i="3"/>
  <x:c r="AG1681" i="3"/>
  <x:c r="AF1681" i="3"/>
  <x:c r="AE1681" i="3"/>
  <x:c r="AD1681" i="3"/>
  <x:c r="AC1681" i="3"/>
  <x:c r="AB1681" i="3"/>
  <x:c r="AA1681" i="3"/>
  <x:c r="Z1681" i="3"/>
  <x:c r="Y1681" i="3"/>
  <x:c r="X1681" i="3"/>
  <x:c r="W1681" i="3"/>
  <x:c r="V1681" i="3"/>
  <x:c r="U1681" i="3"/>
  <x:c r="T1681" i="3"/>
  <x:c r="E1681" i="3"/>
  <x:c r="D1681" i="3"/>
  <x:c r="C1681" i="3"/>
  <x:c r="B1681" i="3"/>
  <x:c r="AG1680" i="3"/>
  <x:c r="AF1680" i="3"/>
  <x:c r="AE1680" i="3"/>
  <x:c r="AD1680" i="3"/>
  <x:c r="AC1680" i="3"/>
  <x:c r="AB1680" i="3"/>
  <x:c r="AA1680" i="3"/>
  <x:c r="Z1680" i="3"/>
  <x:c r="Y1680" i="3"/>
  <x:c r="X1680" i="3"/>
  <x:c r="W1680" i="3"/>
  <x:c r="V1680" i="3"/>
  <x:c r="U1680" i="3"/>
  <x:c r="T1680" i="3"/>
  <x:c r="E1680" i="3"/>
  <x:c r="D1680" i="3"/>
  <x:c r="C1680" i="3"/>
  <x:c r="B1680" i="3"/>
  <x:c r="AG1679" i="3"/>
  <x:c r="AF1679" i="3"/>
  <x:c r="AE1679" i="3"/>
  <x:c r="AD1679" i="3"/>
  <x:c r="AC1679" i="3"/>
  <x:c r="AB1679" i="3"/>
  <x:c r="AA1679" i="3"/>
  <x:c r="Z1679" i="3"/>
  <x:c r="Y1679" i="3"/>
  <x:c r="X1679" i="3"/>
  <x:c r="W1679" i="3"/>
  <x:c r="V1679" i="3"/>
  <x:c r="U1679" i="3"/>
  <x:c r="T1679" i="3"/>
  <x:c r="E1679" i="3"/>
  <x:c r="D1679" i="3"/>
  <x:c r="C1679" i="3"/>
  <x:c r="B1679" i="3"/>
  <x:c r="AG1678" i="3"/>
  <x:c r="AF1678" i="3"/>
  <x:c r="AE1678" i="3"/>
  <x:c r="AD1678" i="3"/>
  <x:c r="AC1678" i="3"/>
  <x:c r="AB1678" i="3"/>
  <x:c r="AA1678" i="3"/>
  <x:c r="Z1678" i="3"/>
  <x:c r="Y1678" i="3"/>
  <x:c r="X1678" i="3"/>
  <x:c r="W1678" i="3"/>
  <x:c r="V1678" i="3"/>
  <x:c r="U1678" i="3"/>
  <x:c r="T1678" i="3"/>
  <x:c r="E1678" i="3"/>
  <x:c r="D1678" i="3"/>
  <x:c r="C1678" i="3"/>
  <x:c r="B1678" i="3"/>
  <x:c r="AG1677" i="3"/>
  <x:c r="AF1677" i="3"/>
  <x:c r="AE1677" i="3"/>
  <x:c r="AD1677" i="3"/>
  <x:c r="AC1677" i="3"/>
  <x:c r="AB1677" i="3"/>
  <x:c r="AA1677" i="3"/>
  <x:c r="Z1677" i="3"/>
  <x:c r="Y1677" i="3"/>
  <x:c r="X1677" i="3"/>
  <x:c r="W1677" i="3"/>
  <x:c r="V1677" i="3"/>
  <x:c r="U1677" i="3"/>
  <x:c r="T1677" i="3"/>
  <x:c r="E1677" i="3"/>
  <x:c r="D1677" i="3"/>
  <x:c r="C1677" i="3"/>
  <x:c r="B1677" i="3"/>
  <x:c r="AG1676" i="3"/>
  <x:c r="AF1676" i="3"/>
  <x:c r="AE1676" i="3"/>
  <x:c r="AD1676" i="3"/>
  <x:c r="AC1676" i="3"/>
  <x:c r="AB1676" i="3"/>
  <x:c r="AA1676" i="3"/>
  <x:c r="Z1676" i="3"/>
  <x:c r="Y1676" i="3"/>
  <x:c r="X1676" i="3"/>
  <x:c r="W1676" i="3"/>
  <x:c r="V1676" i="3"/>
  <x:c r="U1676" i="3"/>
  <x:c r="T1676" i="3"/>
  <x:c r="E1676" i="3"/>
  <x:c r="D1676" i="3"/>
  <x:c r="C1676" i="3"/>
  <x:c r="B1676" i="3"/>
  <x:c r="AG1675" i="3"/>
  <x:c r="AF1675" i="3"/>
  <x:c r="AE1675" i="3"/>
  <x:c r="AD1675" i="3"/>
  <x:c r="AC1675" i="3"/>
  <x:c r="AB1675" i="3"/>
  <x:c r="AA1675" i="3"/>
  <x:c r="Z1675" i="3"/>
  <x:c r="Y1675" i="3"/>
  <x:c r="X1675" i="3"/>
  <x:c r="W1675" i="3"/>
  <x:c r="V1675" i="3"/>
  <x:c r="U1675" i="3"/>
  <x:c r="T1675" i="3"/>
  <x:c r="E1675" i="3"/>
  <x:c r="D1675" i="3"/>
  <x:c r="C1675" i="3"/>
  <x:c r="B1675" i="3"/>
  <x:c r="AG1674" i="3"/>
  <x:c r="AF1674" i="3"/>
  <x:c r="AE1674" i="3"/>
  <x:c r="AD1674" i="3"/>
  <x:c r="AC1674" i="3"/>
  <x:c r="AB1674" i="3"/>
  <x:c r="AA1674" i="3"/>
  <x:c r="Z1674" i="3"/>
  <x:c r="Y1674" i="3"/>
  <x:c r="X1674" i="3"/>
  <x:c r="W1674" i="3"/>
  <x:c r="V1674" i="3"/>
  <x:c r="U1674" i="3"/>
  <x:c r="T1674" i="3"/>
  <x:c r="E1674" i="3"/>
  <x:c r="D1674" i="3"/>
  <x:c r="C1674" i="3"/>
  <x:c r="B1674" i="3"/>
  <x:c r="AG1673" i="3"/>
  <x:c r="AF1673" i="3"/>
  <x:c r="AE1673" i="3"/>
  <x:c r="AD1673" i="3"/>
  <x:c r="AC1673" i="3"/>
  <x:c r="AB1673" i="3"/>
  <x:c r="AA1673" i="3"/>
  <x:c r="Z1673" i="3"/>
  <x:c r="Y1673" i="3"/>
  <x:c r="X1673" i="3"/>
  <x:c r="W1673" i="3"/>
  <x:c r="V1673" i="3"/>
  <x:c r="U1673" i="3"/>
  <x:c r="T1673" i="3"/>
  <x:c r="E1673" i="3"/>
  <x:c r="D1673" i="3"/>
  <x:c r="C1673" i="3"/>
  <x:c r="B1673" i="3"/>
  <x:c r="AG1672" i="3"/>
  <x:c r="AF1672" i="3"/>
  <x:c r="AE1672" i="3"/>
  <x:c r="AD1672" i="3"/>
  <x:c r="AC1672" i="3"/>
  <x:c r="AB1672" i="3"/>
  <x:c r="AA1672" i="3"/>
  <x:c r="Z1672" i="3"/>
  <x:c r="Y1672" i="3"/>
  <x:c r="X1672" i="3"/>
  <x:c r="W1672" i="3"/>
  <x:c r="V1672" i="3"/>
  <x:c r="U1672" i="3"/>
  <x:c r="T1672" i="3"/>
  <x:c r="E1672" i="3"/>
  <x:c r="D1672" i="3"/>
  <x:c r="C1672" i="3"/>
  <x:c r="B1672" i="3"/>
  <x:c r="AG1671" i="3"/>
  <x:c r="AF1671" i="3"/>
  <x:c r="AE1671" i="3"/>
  <x:c r="AD1671" i="3"/>
  <x:c r="AC1671" i="3"/>
  <x:c r="AB1671" i="3"/>
  <x:c r="AA1671" i="3"/>
  <x:c r="Z1671" i="3"/>
  <x:c r="Y1671" i="3"/>
  <x:c r="X1671" i="3"/>
  <x:c r="W1671" i="3"/>
  <x:c r="V1671" i="3"/>
  <x:c r="U1671" i="3"/>
  <x:c r="T1671" i="3"/>
  <x:c r="E1671" i="3"/>
  <x:c r="D1671" i="3"/>
  <x:c r="C1671" i="3"/>
  <x:c r="B1671" i="3"/>
  <x:c r="AG1670" i="3"/>
  <x:c r="AF1670" i="3"/>
  <x:c r="AE1670" i="3"/>
  <x:c r="AD1670" i="3"/>
  <x:c r="AC1670" i="3"/>
  <x:c r="AB1670" i="3"/>
  <x:c r="AA1670" i="3"/>
  <x:c r="Z1670" i="3"/>
  <x:c r="Y1670" i="3"/>
  <x:c r="X1670" i="3"/>
  <x:c r="W1670" i="3"/>
  <x:c r="V1670" i="3"/>
  <x:c r="U1670" i="3"/>
  <x:c r="T1670" i="3"/>
  <x:c r="E1670" i="3"/>
  <x:c r="D1670" i="3"/>
  <x:c r="C1670" i="3"/>
  <x:c r="B1670" i="3"/>
  <x:c r="AG1669" i="3"/>
  <x:c r="AF1669" i="3"/>
  <x:c r="AE1669" i="3"/>
  <x:c r="AD1669" i="3"/>
  <x:c r="AC1669" i="3"/>
  <x:c r="AB1669" i="3"/>
  <x:c r="AA1669" i="3"/>
  <x:c r="Z1669" i="3"/>
  <x:c r="Y1669" i="3"/>
  <x:c r="X1669" i="3"/>
  <x:c r="W1669" i="3"/>
  <x:c r="V1669" i="3"/>
  <x:c r="U1669" i="3"/>
  <x:c r="T1669" i="3"/>
  <x:c r="E1669" i="3"/>
  <x:c r="D1669" i="3"/>
  <x:c r="C1669" i="3"/>
  <x:c r="B1669" i="3"/>
  <x:c r="AG1668" i="3"/>
  <x:c r="AF1668" i="3"/>
  <x:c r="AE1668" i="3"/>
  <x:c r="AD1668" i="3"/>
  <x:c r="AC1668" i="3"/>
  <x:c r="AB1668" i="3"/>
  <x:c r="AA1668" i="3"/>
  <x:c r="Z1668" i="3"/>
  <x:c r="Y1668" i="3"/>
  <x:c r="X1668" i="3"/>
  <x:c r="W1668" i="3"/>
  <x:c r="V1668" i="3"/>
  <x:c r="U1668" i="3"/>
  <x:c r="T1668" i="3"/>
  <x:c r="E1668" i="3"/>
  <x:c r="D1668" i="3"/>
  <x:c r="C1668" i="3"/>
  <x:c r="B1668" i="3"/>
  <x:c r="AG1667" i="3"/>
  <x:c r="AF1667" i="3"/>
  <x:c r="AE1667" i="3"/>
  <x:c r="AD1667" i="3"/>
  <x:c r="AC1667" i="3"/>
  <x:c r="AB1667" i="3"/>
  <x:c r="AA1667" i="3"/>
  <x:c r="Z1667" i="3"/>
  <x:c r="Y1667" i="3"/>
  <x:c r="X1667" i="3"/>
  <x:c r="W1667" i="3"/>
  <x:c r="V1667" i="3"/>
  <x:c r="U1667" i="3"/>
  <x:c r="T1667" i="3"/>
  <x:c r="E1667" i="3"/>
  <x:c r="D1667" i="3"/>
  <x:c r="C1667" i="3"/>
  <x:c r="B1667" i="3"/>
  <x:c r="AG1666" i="3"/>
  <x:c r="AF1666" i="3"/>
  <x:c r="AE1666" i="3"/>
  <x:c r="AD1666" i="3"/>
  <x:c r="AC1666" i="3"/>
  <x:c r="AB1666" i="3"/>
  <x:c r="AA1666" i="3"/>
  <x:c r="Z1666" i="3"/>
  <x:c r="Y1666" i="3"/>
  <x:c r="X1666" i="3"/>
  <x:c r="W1666" i="3"/>
  <x:c r="V1666" i="3"/>
  <x:c r="U1666" i="3"/>
  <x:c r="T1666" i="3"/>
  <x:c r="E1666" i="3"/>
  <x:c r="D1666" i="3"/>
  <x:c r="C1666" i="3"/>
  <x:c r="B1666" i="3"/>
  <x:c r="AG1665" i="3"/>
  <x:c r="AF1665" i="3"/>
  <x:c r="AE1665" i="3"/>
  <x:c r="AD1665" i="3"/>
  <x:c r="AC1665" i="3"/>
  <x:c r="AB1665" i="3"/>
  <x:c r="AA1665" i="3"/>
  <x:c r="Z1665" i="3"/>
  <x:c r="Y1665" i="3"/>
  <x:c r="X1665" i="3"/>
  <x:c r="W1665" i="3"/>
  <x:c r="V1665" i="3"/>
  <x:c r="U1665" i="3"/>
  <x:c r="T1665" i="3"/>
  <x:c r="E1665" i="3"/>
  <x:c r="D1665" i="3"/>
  <x:c r="C1665" i="3"/>
  <x:c r="B1665" i="3"/>
  <x:c r="AG1664" i="3"/>
  <x:c r="AF1664" i="3"/>
  <x:c r="AE1664" i="3"/>
  <x:c r="AD1664" i="3"/>
  <x:c r="AC1664" i="3"/>
  <x:c r="AB1664" i="3"/>
  <x:c r="AA1664" i="3"/>
  <x:c r="Z1664" i="3"/>
  <x:c r="Y1664" i="3"/>
  <x:c r="X1664" i="3"/>
  <x:c r="W1664" i="3"/>
  <x:c r="V1664" i="3"/>
  <x:c r="U1664" i="3"/>
  <x:c r="T1664" i="3"/>
  <x:c r="E1664" i="3"/>
  <x:c r="D1664" i="3"/>
  <x:c r="C1664" i="3"/>
  <x:c r="B1664" i="3"/>
  <x:c r="AG1663" i="3"/>
  <x:c r="AF1663" i="3"/>
  <x:c r="AE1663" i="3"/>
  <x:c r="AD1663" i="3"/>
  <x:c r="AC1663" i="3"/>
  <x:c r="AB1663" i="3"/>
  <x:c r="AA1663" i="3"/>
  <x:c r="Z1663" i="3"/>
  <x:c r="Y1663" i="3"/>
  <x:c r="X1663" i="3"/>
  <x:c r="W1663" i="3"/>
  <x:c r="V1663" i="3"/>
  <x:c r="U1663" i="3"/>
  <x:c r="T1663" i="3"/>
  <x:c r="E1663" i="3"/>
  <x:c r="D1663" i="3"/>
  <x:c r="C1663" i="3"/>
  <x:c r="B1663" i="3"/>
  <x:c r="AG1662" i="3"/>
  <x:c r="AF1662" i="3"/>
  <x:c r="AE1662" i="3"/>
  <x:c r="AD1662" i="3"/>
  <x:c r="AC1662" i="3"/>
  <x:c r="AB1662" i="3"/>
  <x:c r="AA1662" i="3"/>
  <x:c r="Z1662" i="3"/>
  <x:c r="Y1662" i="3"/>
  <x:c r="X1662" i="3"/>
  <x:c r="W1662" i="3"/>
  <x:c r="V1662" i="3"/>
  <x:c r="U1662" i="3"/>
  <x:c r="T1662" i="3"/>
  <x:c r="E1662" i="3"/>
  <x:c r="D1662" i="3"/>
  <x:c r="C1662" i="3"/>
  <x:c r="B1662" i="3"/>
  <x:c r="AG1661" i="3"/>
  <x:c r="AF1661" i="3"/>
  <x:c r="AE1661" i="3"/>
  <x:c r="AD1661" i="3"/>
  <x:c r="AC1661" i="3"/>
  <x:c r="AB1661" i="3"/>
  <x:c r="AA1661" i="3"/>
  <x:c r="Z1661" i="3"/>
  <x:c r="Y1661" i="3"/>
  <x:c r="X1661" i="3"/>
  <x:c r="W1661" i="3"/>
  <x:c r="V1661" i="3"/>
  <x:c r="U1661" i="3"/>
  <x:c r="T1661" i="3"/>
  <x:c r="E1661" i="3"/>
  <x:c r="D1661" i="3"/>
  <x:c r="C1661" i="3"/>
  <x:c r="B1661" i="3"/>
  <x:c r="AG1660" i="3"/>
  <x:c r="AF1660" i="3"/>
  <x:c r="AE1660" i="3"/>
  <x:c r="AD1660" i="3"/>
  <x:c r="AC1660" i="3"/>
  <x:c r="AB1660" i="3"/>
  <x:c r="AA1660" i="3"/>
  <x:c r="Z1660" i="3"/>
  <x:c r="Y1660" i="3"/>
  <x:c r="X1660" i="3"/>
  <x:c r="W1660" i="3"/>
  <x:c r="V1660" i="3"/>
  <x:c r="U1660" i="3"/>
  <x:c r="T1660" i="3"/>
  <x:c r="E1660" i="3"/>
  <x:c r="D1660" i="3"/>
  <x:c r="C1660" i="3"/>
  <x:c r="B1660" i="3"/>
  <x:c r="AG1659" i="3"/>
  <x:c r="AF1659" i="3"/>
  <x:c r="AE1659" i="3"/>
  <x:c r="AD1659" i="3"/>
  <x:c r="AC1659" i="3"/>
  <x:c r="AB1659" i="3"/>
  <x:c r="AA1659" i="3"/>
  <x:c r="Z1659" i="3"/>
  <x:c r="Y1659" i="3"/>
  <x:c r="X1659" i="3"/>
  <x:c r="W1659" i="3"/>
  <x:c r="V1659" i="3"/>
  <x:c r="U1659" i="3"/>
  <x:c r="T1659" i="3"/>
  <x:c r="E1659" i="3"/>
  <x:c r="D1659" i="3"/>
  <x:c r="C1659" i="3"/>
  <x:c r="B1659" i="3"/>
  <x:c r="AG1658" i="3"/>
  <x:c r="AF1658" i="3"/>
  <x:c r="AE1658" i="3"/>
  <x:c r="AD1658" i="3"/>
  <x:c r="AC1658" i="3"/>
  <x:c r="AB1658" i="3"/>
  <x:c r="AA1658" i="3"/>
  <x:c r="Z1658" i="3"/>
  <x:c r="Y1658" i="3"/>
  <x:c r="X1658" i="3"/>
  <x:c r="W1658" i="3"/>
  <x:c r="V1658" i="3"/>
  <x:c r="U1658" i="3"/>
  <x:c r="T1658" i="3"/>
  <x:c r="E1658" i="3"/>
  <x:c r="D1658" i="3"/>
  <x:c r="C1658" i="3"/>
  <x:c r="B1658" i="3"/>
  <x:c r="AG1657" i="3"/>
  <x:c r="AF1657" i="3"/>
  <x:c r="AE1657" i="3"/>
  <x:c r="AD1657" i="3"/>
  <x:c r="AC1657" i="3"/>
  <x:c r="AB1657" i="3"/>
  <x:c r="AA1657" i="3"/>
  <x:c r="Z1657" i="3"/>
  <x:c r="Y1657" i="3"/>
  <x:c r="X1657" i="3"/>
  <x:c r="W1657" i="3"/>
  <x:c r="V1657" i="3"/>
  <x:c r="U1657" i="3"/>
  <x:c r="T1657" i="3"/>
  <x:c r="E1657" i="3"/>
  <x:c r="D1657" i="3"/>
  <x:c r="C1657" i="3"/>
  <x:c r="B1657" i="3"/>
  <x:c r="AG1656" i="3"/>
  <x:c r="AF1656" i="3"/>
  <x:c r="AE1656" i="3"/>
  <x:c r="AD1656" i="3"/>
  <x:c r="AC1656" i="3"/>
  <x:c r="AB1656" i="3"/>
  <x:c r="AA1656" i="3"/>
  <x:c r="Z1656" i="3"/>
  <x:c r="Y1656" i="3"/>
  <x:c r="X1656" i="3"/>
  <x:c r="W1656" i="3"/>
  <x:c r="V1656" i="3"/>
  <x:c r="U1656" i="3"/>
  <x:c r="T1656" i="3"/>
  <x:c r="E1656" i="3"/>
  <x:c r="D1656" i="3"/>
  <x:c r="C1656" i="3"/>
  <x:c r="B1656" i="3"/>
  <x:c r="AG1655" i="3"/>
  <x:c r="AF1655" i="3"/>
  <x:c r="AE1655" i="3"/>
  <x:c r="AD1655" i="3"/>
  <x:c r="AC1655" i="3"/>
  <x:c r="AB1655" i="3"/>
  <x:c r="AA1655" i="3"/>
  <x:c r="Z1655" i="3"/>
  <x:c r="Y1655" i="3"/>
  <x:c r="X1655" i="3"/>
  <x:c r="W1655" i="3"/>
  <x:c r="V1655" i="3"/>
  <x:c r="U1655" i="3"/>
  <x:c r="T1655" i="3"/>
  <x:c r="E1655" i="3"/>
  <x:c r="D1655" i="3"/>
  <x:c r="C1655" i="3"/>
  <x:c r="B1655" i="3"/>
  <x:c r="AG1654" i="3"/>
  <x:c r="AF1654" i="3"/>
  <x:c r="AE1654" i="3"/>
  <x:c r="AD1654" i="3"/>
  <x:c r="AC1654" i="3"/>
  <x:c r="AB1654" i="3"/>
  <x:c r="AA1654" i="3"/>
  <x:c r="Z1654" i="3"/>
  <x:c r="Y1654" i="3"/>
  <x:c r="X1654" i="3"/>
  <x:c r="W1654" i="3"/>
  <x:c r="V1654" i="3"/>
  <x:c r="U1654" i="3"/>
  <x:c r="T1654" i="3"/>
  <x:c r="E1654" i="3"/>
  <x:c r="D1654" i="3"/>
  <x:c r="C1654" i="3"/>
  <x:c r="B1654" i="3"/>
  <x:c r="AG1653" i="3"/>
  <x:c r="AF1653" i="3"/>
  <x:c r="AE1653" i="3"/>
  <x:c r="AD1653" i="3"/>
  <x:c r="AC1653" i="3"/>
  <x:c r="AB1653" i="3"/>
  <x:c r="AA1653" i="3"/>
  <x:c r="Z1653" i="3"/>
  <x:c r="Y1653" i="3"/>
  <x:c r="X1653" i="3"/>
  <x:c r="W1653" i="3"/>
  <x:c r="V1653" i="3"/>
  <x:c r="U1653" i="3"/>
  <x:c r="T1653" i="3"/>
  <x:c r="E1653" i="3"/>
  <x:c r="D1653" i="3"/>
  <x:c r="C1653" i="3"/>
  <x:c r="B1653" i="3"/>
  <x:c r="AG1652" i="3"/>
  <x:c r="AF1652" i="3"/>
  <x:c r="AE1652" i="3"/>
  <x:c r="AD1652" i="3"/>
  <x:c r="AC1652" i="3"/>
  <x:c r="AB1652" i="3"/>
  <x:c r="AA1652" i="3"/>
  <x:c r="Z1652" i="3"/>
  <x:c r="Y1652" i="3"/>
  <x:c r="X1652" i="3"/>
  <x:c r="W1652" i="3"/>
  <x:c r="V1652" i="3"/>
  <x:c r="U1652" i="3"/>
  <x:c r="T1652" i="3"/>
  <x:c r="E1652" i="3"/>
  <x:c r="D1652" i="3"/>
  <x:c r="C1652" i="3"/>
  <x:c r="B1652" i="3"/>
  <x:c r="AG1651" i="3"/>
  <x:c r="AF1651" i="3"/>
  <x:c r="AE1651" i="3"/>
  <x:c r="AD1651" i="3"/>
  <x:c r="AC1651" i="3"/>
  <x:c r="AB1651" i="3"/>
  <x:c r="AA1651" i="3"/>
  <x:c r="Z1651" i="3"/>
  <x:c r="Y1651" i="3"/>
  <x:c r="X1651" i="3"/>
  <x:c r="W1651" i="3"/>
  <x:c r="V1651" i="3"/>
  <x:c r="U1651" i="3"/>
  <x:c r="T1651" i="3"/>
  <x:c r="E1651" i="3"/>
  <x:c r="D1651" i="3"/>
  <x:c r="C1651" i="3"/>
  <x:c r="B1651" i="3"/>
  <x:c r="AG1650" i="3"/>
  <x:c r="AF1650" i="3"/>
  <x:c r="AE1650" i="3"/>
  <x:c r="AD1650" i="3"/>
  <x:c r="AC1650" i="3"/>
  <x:c r="AB1650" i="3"/>
  <x:c r="AA1650" i="3"/>
  <x:c r="Z1650" i="3"/>
  <x:c r="Y1650" i="3"/>
  <x:c r="X1650" i="3"/>
  <x:c r="W1650" i="3"/>
  <x:c r="V1650" i="3"/>
  <x:c r="U1650" i="3"/>
  <x:c r="T1650" i="3"/>
  <x:c r="E1650" i="3"/>
  <x:c r="D1650" i="3"/>
  <x:c r="C1650" i="3"/>
  <x:c r="B1650" i="3"/>
  <x:c r="AG1649" i="3"/>
  <x:c r="AF1649" i="3"/>
  <x:c r="AE1649" i="3"/>
  <x:c r="AD1649" i="3"/>
  <x:c r="AC1649" i="3"/>
  <x:c r="AB1649" i="3"/>
  <x:c r="AA1649" i="3"/>
  <x:c r="Z1649" i="3"/>
  <x:c r="Y1649" i="3"/>
  <x:c r="X1649" i="3"/>
  <x:c r="W1649" i="3"/>
  <x:c r="V1649" i="3"/>
  <x:c r="U1649" i="3"/>
  <x:c r="T1649" i="3"/>
  <x:c r="E1649" i="3"/>
  <x:c r="D1649" i="3"/>
  <x:c r="C1649" i="3"/>
  <x:c r="B1649" i="3"/>
  <x:c r="AG1648" i="3"/>
  <x:c r="AF1648" i="3"/>
  <x:c r="AE1648" i="3"/>
  <x:c r="AD1648" i="3"/>
  <x:c r="AC1648" i="3"/>
  <x:c r="AB1648" i="3"/>
  <x:c r="AA1648" i="3"/>
  <x:c r="Z1648" i="3"/>
  <x:c r="Y1648" i="3"/>
  <x:c r="X1648" i="3"/>
  <x:c r="W1648" i="3"/>
  <x:c r="V1648" i="3"/>
  <x:c r="U1648" i="3"/>
  <x:c r="T1648" i="3"/>
  <x:c r="E1648" i="3"/>
  <x:c r="D1648" i="3"/>
  <x:c r="C1648" i="3"/>
  <x:c r="B1648" i="3"/>
  <x:c r="AG1647" i="3"/>
  <x:c r="AF1647" i="3"/>
  <x:c r="AE1647" i="3"/>
  <x:c r="AD1647" i="3"/>
  <x:c r="AC1647" i="3"/>
  <x:c r="AB1647" i="3"/>
  <x:c r="AA1647" i="3"/>
  <x:c r="Z1647" i="3"/>
  <x:c r="Y1647" i="3"/>
  <x:c r="X1647" i="3"/>
  <x:c r="W1647" i="3"/>
  <x:c r="V1647" i="3"/>
  <x:c r="U1647" i="3"/>
  <x:c r="T1647" i="3"/>
  <x:c r="E1647" i="3"/>
  <x:c r="D1647" i="3"/>
  <x:c r="C1647" i="3"/>
  <x:c r="B1647" i="3"/>
  <x:c r="AG1646" i="3"/>
  <x:c r="AF1646" i="3"/>
  <x:c r="AE1646" i="3"/>
  <x:c r="AD1646" i="3"/>
  <x:c r="AC1646" i="3"/>
  <x:c r="AB1646" i="3"/>
  <x:c r="AA1646" i="3"/>
  <x:c r="Z1646" i="3"/>
  <x:c r="Y1646" i="3"/>
  <x:c r="X1646" i="3"/>
  <x:c r="W1646" i="3"/>
  <x:c r="V1646" i="3"/>
  <x:c r="U1646" i="3"/>
  <x:c r="T1646" i="3"/>
  <x:c r="E1646" i="3"/>
  <x:c r="D1646" i="3"/>
  <x:c r="C1646" i="3"/>
  <x:c r="B1646" i="3"/>
  <x:c r="AG1645" i="3"/>
  <x:c r="AF1645" i="3"/>
  <x:c r="AE1645" i="3"/>
  <x:c r="AD1645" i="3"/>
  <x:c r="AC1645" i="3"/>
  <x:c r="AB1645" i="3"/>
  <x:c r="AA1645" i="3"/>
  <x:c r="Z1645" i="3"/>
  <x:c r="Y1645" i="3"/>
  <x:c r="X1645" i="3"/>
  <x:c r="W1645" i="3"/>
  <x:c r="V1645" i="3"/>
  <x:c r="U1645" i="3"/>
  <x:c r="T1645" i="3"/>
  <x:c r="E1645" i="3"/>
  <x:c r="D1645" i="3"/>
  <x:c r="C1645" i="3"/>
  <x:c r="B1645" i="3"/>
  <x:c r="AG1644" i="3"/>
  <x:c r="AF1644" i="3"/>
  <x:c r="AE1644" i="3"/>
  <x:c r="AD1644" i="3"/>
  <x:c r="AC1644" i="3"/>
  <x:c r="AB1644" i="3"/>
  <x:c r="AA1644" i="3"/>
  <x:c r="Z1644" i="3"/>
  <x:c r="Y1644" i="3"/>
  <x:c r="X1644" i="3"/>
  <x:c r="W1644" i="3"/>
  <x:c r="V1644" i="3"/>
  <x:c r="U1644" i="3"/>
  <x:c r="T1644" i="3"/>
  <x:c r="E1644" i="3"/>
  <x:c r="D1644" i="3"/>
  <x:c r="C1644" i="3"/>
  <x:c r="B1644" i="3"/>
  <x:c r="AG1643" i="3"/>
  <x:c r="AF1643" i="3"/>
  <x:c r="AE1643" i="3"/>
  <x:c r="AD1643" i="3"/>
  <x:c r="AC1643" i="3"/>
  <x:c r="AB1643" i="3"/>
  <x:c r="AA1643" i="3"/>
  <x:c r="Z1643" i="3"/>
  <x:c r="Y1643" i="3"/>
  <x:c r="X1643" i="3"/>
  <x:c r="W1643" i="3"/>
  <x:c r="V1643" i="3"/>
  <x:c r="U1643" i="3"/>
  <x:c r="T1643" i="3"/>
  <x:c r="E1643" i="3"/>
  <x:c r="D1643" i="3"/>
  <x:c r="C1643" i="3"/>
  <x:c r="B1643" i="3"/>
  <x:c r="AG1642" i="3"/>
  <x:c r="AF1642" i="3"/>
  <x:c r="AE1642" i="3"/>
  <x:c r="AD1642" i="3"/>
  <x:c r="AC1642" i="3"/>
  <x:c r="AB1642" i="3"/>
  <x:c r="AA1642" i="3"/>
  <x:c r="Z1642" i="3"/>
  <x:c r="Y1642" i="3"/>
  <x:c r="X1642" i="3"/>
  <x:c r="W1642" i="3"/>
  <x:c r="V1642" i="3"/>
  <x:c r="U1642" i="3"/>
  <x:c r="T1642" i="3"/>
  <x:c r="E1642" i="3"/>
  <x:c r="D1642" i="3"/>
  <x:c r="C1642" i="3"/>
  <x:c r="B1642" i="3"/>
  <x:c r="AG1641" i="3"/>
  <x:c r="AF1641" i="3"/>
  <x:c r="AE1641" i="3"/>
  <x:c r="AD1641" i="3"/>
  <x:c r="AC1641" i="3"/>
  <x:c r="AB1641" i="3"/>
  <x:c r="AA1641" i="3"/>
  <x:c r="Z1641" i="3"/>
  <x:c r="Y1641" i="3"/>
  <x:c r="X1641" i="3"/>
  <x:c r="W1641" i="3"/>
  <x:c r="V1641" i="3"/>
  <x:c r="U1641" i="3"/>
  <x:c r="T1641" i="3"/>
  <x:c r="E1641" i="3"/>
  <x:c r="D1641" i="3"/>
  <x:c r="C1641" i="3"/>
  <x:c r="B1641" i="3"/>
  <x:c r="AG1640" i="3"/>
  <x:c r="AF1640" i="3"/>
  <x:c r="AE1640" i="3"/>
  <x:c r="AD1640" i="3"/>
  <x:c r="AC1640" i="3"/>
  <x:c r="AB1640" i="3"/>
  <x:c r="AA1640" i="3"/>
  <x:c r="Z1640" i="3"/>
  <x:c r="Y1640" i="3"/>
  <x:c r="X1640" i="3"/>
  <x:c r="W1640" i="3"/>
  <x:c r="V1640" i="3"/>
  <x:c r="U1640" i="3"/>
  <x:c r="T1640" i="3"/>
  <x:c r="E1640" i="3"/>
  <x:c r="D1640" i="3"/>
  <x:c r="C1640" i="3"/>
  <x:c r="B1640" i="3"/>
  <x:c r="AG1639" i="3"/>
  <x:c r="AF1639" i="3"/>
  <x:c r="AE1639" i="3"/>
  <x:c r="AD1639" i="3"/>
  <x:c r="AC1639" i="3"/>
  <x:c r="AB1639" i="3"/>
  <x:c r="AA1639" i="3"/>
  <x:c r="Z1639" i="3"/>
  <x:c r="Y1639" i="3"/>
  <x:c r="X1639" i="3"/>
  <x:c r="W1639" i="3"/>
  <x:c r="V1639" i="3"/>
  <x:c r="U1639" i="3"/>
  <x:c r="T1639" i="3"/>
  <x:c r="E1639" i="3"/>
  <x:c r="D1639" i="3"/>
  <x:c r="C1639" i="3"/>
  <x:c r="B1639" i="3"/>
  <x:c r="AG1638" i="3"/>
  <x:c r="AF1638" i="3"/>
  <x:c r="AE1638" i="3"/>
  <x:c r="AD1638" i="3"/>
  <x:c r="AC1638" i="3"/>
  <x:c r="AB1638" i="3"/>
  <x:c r="AA1638" i="3"/>
  <x:c r="Z1638" i="3"/>
  <x:c r="Y1638" i="3"/>
  <x:c r="X1638" i="3"/>
  <x:c r="W1638" i="3"/>
  <x:c r="V1638" i="3"/>
  <x:c r="U1638" i="3"/>
  <x:c r="T1638" i="3"/>
  <x:c r="E1638" i="3"/>
  <x:c r="D1638" i="3"/>
  <x:c r="C1638" i="3"/>
  <x:c r="B1638" i="3"/>
  <x:c r="AG1637" i="3"/>
  <x:c r="AF1637" i="3"/>
  <x:c r="AE1637" i="3"/>
  <x:c r="AD1637" i="3"/>
  <x:c r="AC1637" i="3"/>
  <x:c r="AB1637" i="3"/>
  <x:c r="AA1637" i="3"/>
  <x:c r="Z1637" i="3"/>
  <x:c r="Y1637" i="3"/>
  <x:c r="X1637" i="3"/>
  <x:c r="W1637" i="3"/>
  <x:c r="V1637" i="3"/>
  <x:c r="U1637" i="3"/>
  <x:c r="T1637" i="3"/>
  <x:c r="E1637" i="3"/>
  <x:c r="D1637" i="3"/>
  <x:c r="C1637" i="3"/>
  <x:c r="B1637" i="3"/>
  <x:c r="AG1636" i="3"/>
  <x:c r="AF1636" i="3"/>
  <x:c r="AE1636" i="3"/>
  <x:c r="AD1636" i="3"/>
  <x:c r="AC1636" i="3"/>
  <x:c r="AB1636" i="3"/>
  <x:c r="AA1636" i="3"/>
  <x:c r="Z1636" i="3"/>
  <x:c r="Y1636" i="3"/>
  <x:c r="X1636" i="3"/>
  <x:c r="W1636" i="3"/>
  <x:c r="V1636" i="3"/>
  <x:c r="U1636" i="3"/>
  <x:c r="T1636" i="3"/>
  <x:c r="E1636" i="3"/>
  <x:c r="D1636" i="3"/>
  <x:c r="C1636" i="3"/>
  <x:c r="B1636" i="3"/>
  <x:c r="AG1635" i="3"/>
  <x:c r="AF1635" i="3"/>
  <x:c r="AE1635" i="3"/>
  <x:c r="AD1635" i="3"/>
  <x:c r="AC1635" i="3"/>
  <x:c r="AB1635" i="3"/>
  <x:c r="AA1635" i="3"/>
  <x:c r="Z1635" i="3"/>
  <x:c r="Y1635" i="3"/>
  <x:c r="X1635" i="3"/>
  <x:c r="W1635" i="3"/>
  <x:c r="V1635" i="3"/>
  <x:c r="U1635" i="3"/>
  <x:c r="T1635" i="3"/>
  <x:c r="E1635" i="3"/>
  <x:c r="D1635" i="3"/>
  <x:c r="C1635" i="3"/>
  <x:c r="B1635" i="3"/>
  <x:c r="AG1634" i="3"/>
  <x:c r="AF1634" i="3"/>
  <x:c r="AE1634" i="3"/>
  <x:c r="AD1634" i="3"/>
  <x:c r="AC1634" i="3"/>
  <x:c r="AB1634" i="3"/>
  <x:c r="AA1634" i="3"/>
  <x:c r="Z1634" i="3"/>
  <x:c r="Y1634" i="3"/>
  <x:c r="X1634" i="3"/>
  <x:c r="W1634" i="3"/>
  <x:c r="V1634" i="3"/>
  <x:c r="U1634" i="3"/>
  <x:c r="T1634" i="3"/>
  <x:c r="E1634" i="3"/>
  <x:c r="D1634" i="3"/>
  <x:c r="C1634" i="3"/>
  <x:c r="B1634" i="3"/>
  <x:c r="AG1633" i="3"/>
  <x:c r="AF1633" i="3"/>
  <x:c r="AE1633" i="3"/>
  <x:c r="AD1633" i="3"/>
  <x:c r="AC1633" i="3"/>
  <x:c r="AB1633" i="3"/>
  <x:c r="AA1633" i="3"/>
  <x:c r="Z1633" i="3"/>
  <x:c r="Y1633" i="3"/>
  <x:c r="X1633" i="3"/>
  <x:c r="W1633" i="3"/>
  <x:c r="V1633" i="3"/>
  <x:c r="U1633" i="3"/>
  <x:c r="T1633" i="3"/>
  <x:c r="E1633" i="3"/>
  <x:c r="D1633" i="3"/>
  <x:c r="C1633" i="3"/>
  <x:c r="B1633" i="3"/>
  <x:c r="AG1632" i="3"/>
  <x:c r="AF1632" i="3"/>
  <x:c r="AE1632" i="3"/>
  <x:c r="AD1632" i="3"/>
  <x:c r="AC1632" i="3"/>
  <x:c r="AB1632" i="3"/>
  <x:c r="AA1632" i="3"/>
  <x:c r="Z1632" i="3"/>
  <x:c r="Y1632" i="3"/>
  <x:c r="X1632" i="3"/>
  <x:c r="W1632" i="3"/>
  <x:c r="V1632" i="3"/>
  <x:c r="U1632" i="3"/>
  <x:c r="T1632" i="3"/>
  <x:c r="E1632" i="3"/>
  <x:c r="D1632" i="3"/>
  <x:c r="C1632" i="3"/>
  <x:c r="B1632" i="3"/>
  <x:c r="AG1631" i="3"/>
  <x:c r="AF1631" i="3"/>
  <x:c r="AE1631" i="3"/>
  <x:c r="AD1631" i="3"/>
  <x:c r="AC1631" i="3"/>
  <x:c r="AB1631" i="3"/>
  <x:c r="AA1631" i="3"/>
  <x:c r="Z1631" i="3"/>
  <x:c r="Y1631" i="3"/>
  <x:c r="X1631" i="3"/>
  <x:c r="W1631" i="3"/>
  <x:c r="V1631" i="3"/>
  <x:c r="U1631" i="3"/>
  <x:c r="T1631" i="3"/>
  <x:c r="E1631" i="3"/>
  <x:c r="D1631" i="3"/>
  <x:c r="C1631" i="3"/>
  <x:c r="B1631" i="3"/>
  <x:c r="AG1630" i="3"/>
  <x:c r="AF1630" i="3"/>
  <x:c r="AE1630" i="3"/>
  <x:c r="AD1630" i="3"/>
  <x:c r="AC1630" i="3"/>
  <x:c r="AB1630" i="3"/>
  <x:c r="AA1630" i="3"/>
  <x:c r="Z1630" i="3"/>
  <x:c r="Y1630" i="3"/>
  <x:c r="X1630" i="3"/>
  <x:c r="W1630" i="3"/>
  <x:c r="V1630" i="3"/>
  <x:c r="U1630" i="3"/>
  <x:c r="T1630" i="3"/>
  <x:c r="E1630" i="3"/>
  <x:c r="D1630" i="3"/>
  <x:c r="C1630" i="3"/>
  <x:c r="B1630" i="3"/>
  <x:c r="AG1629" i="3"/>
  <x:c r="AF1629" i="3"/>
  <x:c r="AE1629" i="3"/>
  <x:c r="AD1629" i="3"/>
  <x:c r="AC1629" i="3"/>
  <x:c r="AB1629" i="3"/>
  <x:c r="AA1629" i="3"/>
  <x:c r="Z1629" i="3"/>
  <x:c r="Y1629" i="3"/>
  <x:c r="X1629" i="3"/>
  <x:c r="W1629" i="3"/>
  <x:c r="V1629" i="3"/>
  <x:c r="U1629" i="3"/>
  <x:c r="T1629" i="3"/>
  <x:c r="E1629" i="3"/>
  <x:c r="D1629" i="3"/>
  <x:c r="C1629" i="3"/>
  <x:c r="B1629" i="3"/>
  <x:c r="AG1628" i="3"/>
  <x:c r="AF1628" i="3"/>
  <x:c r="AE1628" i="3"/>
  <x:c r="AD1628" i="3"/>
  <x:c r="AC1628" i="3"/>
  <x:c r="AB1628" i="3"/>
  <x:c r="AA1628" i="3"/>
  <x:c r="Z1628" i="3"/>
  <x:c r="Y1628" i="3"/>
  <x:c r="X1628" i="3"/>
  <x:c r="W1628" i="3"/>
  <x:c r="V1628" i="3"/>
  <x:c r="U1628" i="3"/>
  <x:c r="T1628" i="3"/>
  <x:c r="E1628" i="3"/>
  <x:c r="D1628" i="3"/>
  <x:c r="C1628" i="3"/>
  <x:c r="B1628" i="3"/>
  <x:c r="AG1627" i="3"/>
  <x:c r="AF1627" i="3"/>
  <x:c r="AE1627" i="3"/>
  <x:c r="AD1627" i="3"/>
  <x:c r="AC1627" i="3"/>
  <x:c r="AB1627" i="3"/>
  <x:c r="AA1627" i="3"/>
  <x:c r="Z1627" i="3"/>
  <x:c r="Y1627" i="3"/>
  <x:c r="X1627" i="3"/>
  <x:c r="W1627" i="3"/>
  <x:c r="V1627" i="3"/>
  <x:c r="U1627" i="3"/>
  <x:c r="T1627" i="3"/>
  <x:c r="E1627" i="3"/>
  <x:c r="D1627" i="3"/>
  <x:c r="C1627" i="3"/>
  <x:c r="B1627" i="3"/>
  <x:c r="AG1626" i="3"/>
  <x:c r="AF1626" i="3"/>
  <x:c r="AE1626" i="3"/>
  <x:c r="AD1626" i="3"/>
  <x:c r="AC1626" i="3"/>
  <x:c r="AB1626" i="3"/>
  <x:c r="AA1626" i="3"/>
  <x:c r="Z1626" i="3"/>
  <x:c r="Y1626" i="3"/>
  <x:c r="X1626" i="3"/>
  <x:c r="W1626" i="3"/>
  <x:c r="V1626" i="3"/>
  <x:c r="U1626" i="3"/>
  <x:c r="T1626" i="3"/>
  <x:c r="E1626" i="3"/>
  <x:c r="D1626" i="3"/>
  <x:c r="C1626" i="3"/>
  <x:c r="B1626" i="3"/>
  <x:c r="AG1625" i="3"/>
  <x:c r="AF1625" i="3"/>
  <x:c r="AE1625" i="3"/>
  <x:c r="AD1625" i="3"/>
  <x:c r="AC1625" i="3"/>
  <x:c r="AB1625" i="3"/>
  <x:c r="AA1625" i="3"/>
  <x:c r="Z1625" i="3"/>
  <x:c r="Y1625" i="3"/>
  <x:c r="X1625" i="3"/>
  <x:c r="W1625" i="3"/>
  <x:c r="V1625" i="3"/>
  <x:c r="U1625" i="3"/>
  <x:c r="T1625" i="3"/>
  <x:c r="E1625" i="3"/>
  <x:c r="D1625" i="3"/>
  <x:c r="C1625" i="3"/>
  <x:c r="B1625" i="3"/>
  <x:c r="AG1624" i="3"/>
  <x:c r="AF1624" i="3"/>
  <x:c r="AE1624" i="3"/>
  <x:c r="AD1624" i="3"/>
  <x:c r="AC1624" i="3"/>
  <x:c r="AB1624" i="3"/>
  <x:c r="AA1624" i="3"/>
  <x:c r="Z1624" i="3"/>
  <x:c r="Y1624" i="3"/>
  <x:c r="X1624" i="3"/>
  <x:c r="W1624" i="3"/>
  <x:c r="V1624" i="3"/>
  <x:c r="U1624" i="3"/>
  <x:c r="T1624" i="3"/>
  <x:c r="E1624" i="3"/>
  <x:c r="D1624" i="3"/>
  <x:c r="C1624" i="3"/>
  <x:c r="B1624" i="3"/>
  <x:c r="AG1623" i="3"/>
  <x:c r="AF1623" i="3"/>
  <x:c r="AE1623" i="3"/>
  <x:c r="AD1623" i="3"/>
  <x:c r="AC1623" i="3"/>
  <x:c r="AB1623" i="3"/>
  <x:c r="AA1623" i="3"/>
  <x:c r="Z1623" i="3"/>
  <x:c r="Y1623" i="3"/>
  <x:c r="X1623" i="3"/>
  <x:c r="W1623" i="3"/>
  <x:c r="V1623" i="3"/>
  <x:c r="U1623" i="3"/>
  <x:c r="T1623" i="3"/>
  <x:c r="E1623" i="3"/>
  <x:c r="D1623" i="3"/>
  <x:c r="C1623" i="3"/>
  <x:c r="B1623" i="3"/>
  <x:c r="AG1622" i="3"/>
  <x:c r="AF1622" i="3"/>
  <x:c r="AE1622" i="3"/>
  <x:c r="AD1622" i="3"/>
  <x:c r="AC1622" i="3"/>
  <x:c r="AB1622" i="3"/>
  <x:c r="AA1622" i="3"/>
  <x:c r="Z1622" i="3"/>
  <x:c r="Y1622" i="3"/>
  <x:c r="X1622" i="3"/>
  <x:c r="W1622" i="3"/>
  <x:c r="V1622" i="3"/>
  <x:c r="U1622" i="3"/>
  <x:c r="T1622" i="3"/>
  <x:c r="E1622" i="3"/>
  <x:c r="D1622" i="3"/>
  <x:c r="C1622" i="3"/>
  <x:c r="B1622" i="3"/>
  <x:c r="AG1621" i="3"/>
  <x:c r="AF1621" i="3"/>
  <x:c r="AE1621" i="3"/>
  <x:c r="AD1621" i="3"/>
  <x:c r="AC1621" i="3"/>
  <x:c r="AB1621" i="3"/>
  <x:c r="AA1621" i="3"/>
  <x:c r="Z1621" i="3"/>
  <x:c r="Y1621" i="3"/>
  <x:c r="X1621" i="3"/>
  <x:c r="W1621" i="3"/>
  <x:c r="V1621" i="3"/>
  <x:c r="U1621" i="3"/>
  <x:c r="T1621" i="3"/>
  <x:c r="E1621" i="3"/>
  <x:c r="D1621" i="3"/>
  <x:c r="C1621" i="3"/>
  <x:c r="B1621" i="3"/>
  <x:c r="AG1620" i="3"/>
  <x:c r="AF1620" i="3"/>
  <x:c r="AE1620" i="3"/>
  <x:c r="AD1620" i="3"/>
  <x:c r="AC1620" i="3"/>
  <x:c r="AB1620" i="3"/>
  <x:c r="AA1620" i="3"/>
  <x:c r="Z1620" i="3"/>
  <x:c r="Y1620" i="3"/>
  <x:c r="X1620" i="3"/>
  <x:c r="W1620" i="3"/>
  <x:c r="V1620" i="3"/>
  <x:c r="U1620" i="3"/>
  <x:c r="T1620" i="3"/>
  <x:c r="E1620" i="3"/>
  <x:c r="D1620" i="3"/>
  <x:c r="C1620" i="3"/>
  <x:c r="B1620" i="3"/>
  <x:c r="AG1619" i="3"/>
  <x:c r="AF1619" i="3"/>
  <x:c r="AE1619" i="3"/>
  <x:c r="AD1619" i="3"/>
  <x:c r="AC1619" i="3"/>
  <x:c r="AB1619" i="3"/>
  <x:c r="AA1619" i="3"/>
  <x:c r="Z1619" i="3"/>
  <x:c r="Y1619" i="3"/>
  <x:c r="X1619" i="3"/>
  <x:c r="W1619" i="3"/>
  <x:c r="V1619" i="3"/>
  <x:c r="U1619" i="3"/>
  <x:c r="T1619" i="3"/>
  <x:c r="E1619" i="3"/>
  <x:c r="D1619" i="3"/>
  <x:c r="C1619" i="3"/>
  <x:c r="B1619" i="3"/>
  <x:c r="AG1618" i="3"/>
  <x:c r="AF1618" i="3"/>
  <x:c r="AE1618" i="3"/>
  <x:c r="AD1618" i="3"/>
  <x:c r="AC1618" i="3"/>
  <x:c r="AB1618" i="3"/>
  <x:c r="AA1618" i="3"/>
  <x:c r="Z1618" i="3"/>
  <x:c r="Y1618" i="3"/>
  <x:c r="X1618" i="3"/>
  <x:c r="W1618" i="3"/>
  <x:c r="V1618" i="3"/>
  <x:c r="U1618" i="3"/>
  <x:c r="T1618" i="3"/>
  <x:c r="E1618" i="3"/>
  <x:c r="D1618" i="3"/>
  <x:c r="C1618" i="3"/>
  <x:c r="B1618" i="3"/>
  <x:c r="AG1617" i="3"/>
  <x:c r="AF1617" i="3"/>
  <x:c r="AE1617" i="3"/>
  <x:c r="AD1617" i="3"/>
  <x:c r="AC1617" i="3"/>
  <x:c r="AB1617" i="3"/>
  <x:c r="AA1617" i="3"/>
  <x:c r="Z1617" i="3"/>
  <x:c r="Y1617" i="3"/>
  <x:c r="X1617" i="3"/>
  <x:c r="W1617" i="3"/>
  <x:c r="V1617" i="3"/>
  <x:c r="U1617" i="3"/>
  <x:c r="T1617" i="3"/>
  <x:c r="E1617" i="3"/>
  <x:c r="D1617" i="3"/>
  <x:c r="C1617" i="3"/>
  <x:c r="B1617" i="3"/>
  <x:c r="AG1616" i="3"/>
  <x:c r="AF1616" i="3"/>
  <x:c r="AE1616" i="3"/>
  <x:c r="AD1616" i="3"/>
  <x:c r="AC1616" i="3"/>
  <x:c r="AB1616" i="3"/>
  <x:c r="AA1616" i="3"/>
  <x:c r="Z1616" i="3"/>
  <x:c r="Y1616" i="3"/>
  <x:c r="X1616" i="3"/>
  <x:c r="W1616" i="3"/>
  <x:c r="V1616" i="3"/>
  <x:c r="U1616" i="3"/>
  <x:c r="T1616" i="3"/>
  <x:c r="E1616" i="3"/>
  <x:c r="D1616" i="3"/>
  <x:c r="C1616" i="3"/>
  <x:c r="B1616" i="3"/>
  <x:c r="AG1615" i="3"/>
  <x:c r="AF1615" i="3"/>
  <x:c r="AE1615" i="3"/>
  <x:c r="AD1615" i="3"/>
  <x:c r="AC1615" i="3"/>
  <x:c r="AB1615" i="3"/>
  <x:c r="AA1615" i="3"/>
  <x:c r="Z1615" i="3"/>
  <x:c r="Y1615" i="3"/>
  <x:c r="X1615" i="3"/>
  <x:c r="W1615" i="3"/>
  <x:c r="V1615" i="3"/>
  <x:c r="U1615" i="3"/>
  <x:c r="T1615" i="3"/>
  <x:c r="E1615" i="3"/>
  <x:c r="D1615" i="3"/>
  <x:c r="C1615" i="3"/>
  <x:c r="B1615" i="3"/>
  <x:c r="AG1614" i="3"/>
  <x:c r="AF1614" i="3"/>
  <x:c r="AE1614" i="3"/>
  <x:c r="AD1614" i="3"/>
  <x:c r="AC1614" i="3"/>
  <x:c r="AB1614" i="3"/>
  <x:c r="AA1614" i="3"/>
  <x:c r="Z1614" i="3"/>
  <x:c r="Y1614" i="3"/>
  <x:c r="X1614" i="3"/>
  <x:c r="W1614" i="3"/>
  <x:c r="V1614" i="3"/>
  <x:c r="U1614" i="3"/>
  <x:c r="T1614" i="3"/>
  <x:c r="E1614" i="3"/>
  <x:c r="D1614" i="3"/>
  <x:c r="C1614" i="3"/>
  <x:c r="B1614" i="3"/>
  <x:c r="AG1613" i="3"/>
  <x:c r="AF1613" i="3"/>
  <x:c r="AE1613" i="3"/>
  <x:c r="AD1613" i="3"/>
  <x:c r="AC1613" i="3"/>
  <x:c r="AB1613" i="3"/>
  <x:c r="AA1613" i="3"/>
  <x:c r="Z1613" i="3"/>
  <x:c r="Y1613" i="3"/>
  <x:c r="X1613" i="3"/>
  <x:c r="W1613" i="3"/>
  <x:c r="V1613" i="3"/>
  <x:c r="U1613" i="3"/>
  <x:c r="T1613" i="3"/>
  <x:c r="E1613" i="3"/>
  <x:c r="D1613" i="3"/>
  <x:c r="C1613" i="3"/>
  <x:c r="B1613" i="3"/>
  <x:c r="AG1612" i="3"/>
  <x:c r="AF1612" i="3"/>
  <x:c r="AE1612" i="3"/>
  <x:c r="AD1612" i="3"/>
  <x:c r="AC1612" i="3"/>
  <x:c r="AB1612" i="3"/>
  <x:c r="AA1612" i="3"/>
  <x:c r="Z1612" i="3"/>
  <x:c r="Y1612" i="3"/>
  <x:c r="X1612" i="3"/>
  <x:c r="W1612" i="3"/>
  <x:c r="V1612" i="3"/>
  <x:c r="U1612" i="3"/>
  <x:c r="T1612" i="3"/>
  <x:c r="E1612" i="3"/>
  <x:c r="D1612" i="3"/>
  <x:c r="C1612" i="3"/>
  <x:c r="B1612" i="3"/>
  <x:c r="AG1611" i="3"/>
  <x:c r="AF1611" i="3"/>
  <x:c r="AE1611" i="3"/>
  <x:c r="AD1611" i="3"/>
  <x:c r="AC1611" i="3"/>
  <x:c r="AB1611" i="3"/>
  <x:c r="AA1611" i="3"/>
  <x:c r="Z1611" i="3"/>
  <x:c r="Y1611" i="3"/>
  <x:c r="X1611" i="3"/>
  <x:c r="W1611" i="3"/>
  <x:c r="V1611" i="3"/>
  <x:c r="U1611" i="3"/>
  <x:c r="T1611" i="3"/>
  <x:c r="E1611" i="3"/>
  <x:c r="D1611" i="3"/>
  <x:c r="C1611" i="3"/>
  <x:c r="B1611" i="3"/>
  <x:c r="AG1610" i="3"/>
  <x:c r="AF1610" i="3"/>
  <x:c r="AE1610" i="3"/>
  <x:c r="AD1610" i="3"/>
  <x:c r="AC1610" i="3"/>
  <x:c r="AB1610" i="3"/>
  <x:c r="AA1610" i="3"/>
  <x:c r="Z1610" i="3"/>
  <x:c r="Y1610" i="3"/>
  <x:c r="X1610" i="3"/>
  <x:c r="W1610" i="3"/>
  <x:c r="V1610" i="3"/>
  <x:c r="U1610" i="3"/>
  <x:c r="T1610" i="3"/>
  <x:c r="E1610" i="3"/>
  <x:c r="D1610" i="3"/>
  <x:c r="C1610" i="3"/>
  <x:c r="B1610" i="3"/>
  <x:c r="AG1609" i="3"/>
  <x:c r="AF1609" i="3"/>
  <x:c r="AE1609" i="3"/>
  <x:c r="AD1609" i="3"/>
  <x:c r="AC1609" i="3"/>
  <x:c r="AB1609" i="3"/>
  <x:c r="AA1609" i="3"/>
  <x:c r="Z1609" i="3"/>
  <x:c r="Y1609" i="3"/>
  <x:c r="X1609" i="3"/>
  <x:c r="W1609" i="3"/>
  <x:c r="V1609" i="3"/>
  <x:c r="U1609" i="3"/>
  <x:c r="T1609" i="3"/>
  <x:c r="E1609" i="3"/>
  <x:c r="D1609" i="3"/>
  <x:c r="C1609" i="3"/>
  <x:c r="B1609" i="3"/>
  <x:c r="AG1608" i="3"/>
  <x:c r="AF1608" i="3"/>
  <x:c r="AE1608" i="3"/>
  <x:c r="AD1608" i="3"/>
  <x:c r="AC1608" i="3"/>
  <x:c r="AB1608" i="3"/>
  <x:c r="AA1608" i="3"/>
  <x:c r="Z1608" i="3"/>
  <x:c r="Y1608" i="3"/>
  <x:c r="X1608" i="3"/>
  <x:c r="W1608" i="3"/>
  <x:c r="V1608" i="3"/>
  <x:c r="U1608" i="3"/>
  <x:c r="T1608" i="3"/>
  <x:c r="E1608" i="3"/>
  <x:c r="D1608" i="3"/>
  <x:c r="C1608" i="3"/>
  <x:c r="B1608" i="3"/>
  <x:c r="AG1607" i="3"/>
  <x:c r="AF1607" i="3"/>
  <x:c r="AE1607" i="3"/>
  <x:c r="AD1607" i="3"/>
  <x:c r="AC1607" i="3"/>
  <x:c r="AB1607" i="3"/>
  <x:c r="AA1607" i="3"/>
  <x:c r="Z1607" i="3"/>
  <x:c r="Y1607" i="3"/>
  <x:c r="X1607" i="3"/>
  <x:c r="W1607" i="3"/>
  <x:c r="V1607" i="3"/>
  <x:c r="U1607" i="3"/>
  <x:c r="T1607" i="3"/>
  <x:c r="E1607" i="3"/>
  <x:c r="D1607" i="3"/>
  <x:c r="C1607" i="3"/>
  <x:c r="B1607" i="3"/>
  <x:c r="AG1606" i="3"/>
  <x:c r="AF1606" i="3"/>
  <x:c r="AE1606" i="3"/>
  <x:c r="AD1606" i="3"/>
  <x:c r="AC1606" i="3"/>
  <x:c r="AB1606" i="3"/>
  <x:c r="AA1606" i="3"/>
  <x:c r="Z1606" i="3"/>
  <x:c r="Y1606" i="3"/>
  <x:c r="X1606" i="3"/>
  <x:c r="W1606" i="3"/>
  <x:c r="V1606" i="3"/>
  <x:c r="U1606" i="3"/>
  <x:c r="T1606" i="3"/>
  <x:c r="E1606" i="3"/>
  <x:c r="D1606" i="3"/>
  <x:c r="C1606" i="3"/>
  <x:c r="B1606" i="3"/>
  <x:c r="AG1605" i="3"/>
  <x:c r="AF1605" i="3"/>
  <x:c r="AE1605" i="3"/>
  <x:c r="AD1605" i="3"/>
  <x:c r="AC1605" i="3"/>
  <x:c r="AB1605" i="3"/>
  <x:c r="AA1605" i="3"/>
  <x:c r="Z1605" i="3"/>
  <x:c r="Y1605" i="3"/>
  <x:c r="X1605" i="3"/>
  <x:c r="W1605" i="3"/>
  <x:c r="V1605" i="3"/>
  <x:c r="U1605" i="3"/>
  <x:c r="T1605" i="3"/>
  <x:c r="E1605" i="3"/>
  <x:c r="D1605" i="3"/>
  <x:c r="C1605" i="3"/>
  <x:c r="B1605" i="3"/>
  <x:c r="AG1604" i="3"/>
  <x:c r="AF1604" i="3"/>
  <x:c r="AE1604" i="3"/>
  <x:c r="AD1604" i="3"/>
  <x:c r="AC1604" i="3"/>
  <x:c r="AB1604" i="3"/>
  <x:c r="AA1604" i="3"/>
  <x:c r="Z1604" i="3"/>
  <x:c r="Y1604" i="3"/>
  <x:c r="X1604" i="3"/>
  <x:c r="W1604" i="3"/>
  <x:c r="V1604" i="3"/>
  <x:c r="U1604" i="3"/>
  <x:c r="T1604" i="3"/>
  <x:c r="E1604" i="3"/>
  <x:c r="D1604" i="3"/>
  <x:c r="C1604" i="3"/>
  <x:c r="B1604" i="3"/>
  <x:c r="AG1603" i="3"/>
  <x:c r="AF1603" i="3"/>
  <x:c r="AE1603" i="3"/>
  <x:c r="AD1603" i="3"/>
  <x:c r="AC1603" i="3"/>
  <x:c r="AB1603" i="3"/>
  <x:c r="AA1603" i="3"/>
  <x:c r="Z1603" i="3"/>
  <x:c r="Y1603" i="3"/>
  <x:c r="X1603" i="3"/>
  <x:c r="W1603" i="3"/>
  <x:c r="V1603" i="3"/>
  <x:c r="U1603" i="3"/>
  <x:c r="T1603" i="3"/>
  <x:c r="E1603" i="3"/>
  <x:c r="D1603" i="3"/>
  <x:c r="C1603" i="3"/>
  <x:c r="B1603" i="3"/>
  <x:c r="AG1602" i="3"/>
  <x:c r="AF1602" i="3"/>
  <x:c r="AE1602" i="3"/>
  <x:c r="AD1602" i="3"/>
  <x:c r="AC1602" i="3"/>
  <x:c r="AB1602" i="3"/>
  <x:c r="AA1602" i="3"/>
  <x:c r="Z1602" i="3"/>
  <x:c r="Y1602" i="3"/>
  <x:c r="X1602" i="3"/>
  <x:c r="W1602" i="3"/>
  <x:c r="V1602" i="3"/>
  <x:c r="U1602" i="3"/>
  <x:c r="T1602" i="3"/>
  <x:c r="E1602" i="3"/>
  <x:c r="D1602" i="3"/>
  <x:c r="C1602" i="3"/>
  <x:c r="B1602" i="3"/>
  <x:c r="AG1601" i="3"/>
  <x:c r="AF1601" i="3"/>
  <x:c r="AE1601" i="3"/>
  <x:c r="AD1601" i="3"/>
  <x:c r="AC1601" i="3"/>
  <x:c r="AB1601" i="3"/>
  <x:c r="AA1601" i="3"/>
  <x:c r="Z1601" i="3"/>
  <x:c r="Y1601" i="3"/>
  <x:c r="X1601" i="3"/>
  <x:c r="W1601" i="3"/>
  <x:c r="V1601" i="3"/>
  <x:c r="U1601" i="3"/>
  <x:c r="T1601" i="3"/>
  <x:c r="E1601" i="3"/>
  <x:c r="D1601" i="3"/>
  <x:c r="C1601" i="3"/>
  <x:c r="B1601" i="3"/>
  <x:c r="AG1600" i="3"/>
  <x:c r="AF1600" i="3"/>
  <x:c r="AE1600" i="3"/>
  <x:c r="AD1600" i="3"/>
  <x:c r="AC1600" i="3"/>
  <x:c r="AB1600" i="3"/>
  <x:c r="AA1600" i="3"/>
  <x:c r="Z1600" i="3"/>
  <x:c r="Y1600" i="3"/>
  <x:c r="X1600" i="3"/>
  <x:c r="W1600" i="3"/>
  <x:c r="V1600" i="3"/>
  <x:c r="U1600" i="3"/>
  <x:c r="T1600" i="3"/>
  <x:c r="E1600" i="3"/>
  <x:c r="D1600" i="3"/>
  <x:c r="C1600" i="3"/>
  <x:c r="B1600" i="3"/>
  <x:c r="AG1599" i="3"/>
  <x:c r="AF1599" i="3"/>
  <x:c r="AE1599" i="3"/>
  <x:c r="AD1599" i="3"/>
  <x:c r="AC1599" i="3"/>
  <x:c r="AB1599" i="3"/>
  <x:c r="AA1599" i="3"/>
  <x:c r="Z1599" i="3"/>
  <x:c r="Y1599" i="3"/>
  <x:c r="X1599" i="3"/>
  <x:c r="W1599" i="3"/>
  <x:c r="V1599" i="3"/>
  <x:c r="U1599" i="3"/>
  <x:c r="T1599" i="3"/>
  <x:c r="E1599" i="3"/>
  <x:c r="D1599" i="3"/>
  <x:c r="C1599" i="3"/>
  <x:c r="B1599" i="3"/>
  <x:c r="AG1598" i="3"/>
  <x:c r="AF1598" i="3"/>
  <x:c r="AE1598" i="3"/>
  <x:c r="AD1598" i="3"/>
  <x:c r="AC1598" i="3"/>
  <x:c r="AB1598" i="3"/>
  <x:c r="AA1598" i="3"/>
  <x:c r="Z1598" i="3"/>
  <x:c r="Y1598" i="3"/>
  <x:c r="X1598" i="3"/>
  <x:c r="W1598" i="3"/>
  <x:c r="V1598" i="3"/>
  <x:c r="U1598" i="3"/>
  <x:c r="T1598" i="3"/>
  <x:c r="E1598" i="3"/>
  <x:c r="D1598" i="3"/>
  <x:c r="C1598" i="3"/>
  <x:c r="B1598" i="3"/>
  <x:c r="AG1597" i="3"/>
  <x:c r="AF1597" i="3"/>
  <x:c r="AE1597" i="3"/>
  <x:c r="AD1597" i="3"/>
  <x:c r="AC1597" i="3"/>
  <x:c r="AB1597" i="3"/>
  <x:c r="AA1597" i="3"/>
  <x:c r="Z1597" i="3"/>
  <x:c r="Y1597" i="3"/>
  <x:c r="X1597" i="3"/>
  <x:c r="W1597" i="3"/>
  <x:c r="V1597" i="3"/>
  <x:c r="U1597" i="3"/>
  <x:c r="T1597" i="3"/>
  <x:c r="E1597" i="3"/>
  <x:c r="D1597" i="3"/>
  <x:c r="C1597" i="3"/>
  <x:c r="B1597" i="3"/>
  <x:c r="AG1596" i="3"/>
  <x:c r="AF1596" i="3"/>
  <x:c r="AE1596" i="3"/>
  <x:c r="AD1596" i="3"/>
  <x:c r="AC1596" i="3"/>
  <x:c r="AB1596" i="3"/>
  <x:c r="AA1596" i="3"/>
  <x:c r="Z1596" i="3"/>
  <x:c r="Y1596" i="3"/>
  <x:c r="X1596" i="3"/>
  <x:c r="W1596" i="3"/>
  <x:c r="V1596" i="3"/>
  <x:c r="U1596" i="3"/>
  <x:c r="T1596" i="3"/>
  <x:c r="E1596" i="3"/>
  <x:c r="D1596" i="3"/>
  <x:c r="C1596" i="3"/>
  <x:c r="B1596" i="3"/>
  <x:c r="AG1595" i="3"/>
  <x:c r="AF1595" i="3"/>
  <x:c r="AE1595" i="3"/>
  <x:c r="AD1595" i="3"/>
  <x:c r="AC1595" i="3"/>
  <x:c r="AB1595" i="3"/>
  <x:c r="AA1595" i="3"/>
  <x:c r="Z1595" i="3"/>
  <x:c r="Y1595" i="3"/>
  <x:c r="X1595" i="3"/>
  <x:c r="W1595" i="3"/>
  <x:c r="V1595" i="3"/>
  <x:c r="U1595" i="3"/>
  <x:c r="T1595" i="3"/>
  <x:c r="E1595" i="3"/>
  <x:c r="D1595" i="3"/>
  <x:c r="C1595" i="3"/>
  <x:c r="B1595" i="3"/>
  <x:c r="AG1594" i="3"/>
  <x:c r="AF1594" i="3"/>
  <x:c r="AE1594" i="3"/>
  <x:c r="AD1594" i="3"/>
  <x:c r="AC1594" i="3"/>
  <x:c r="AB1594" i="3"/>
  <x:c r="AA1594" i="3"/>
  <x:c r="Z1594" i="3"/>
  <x:c r="Y1594" i="3"/>
  <x:c r="X1594" i="3"/>
  <x:c r="W1594" i="3"/>
  <x:c r="V1594" i="3"/>
  <x:c r="U1594" i="3"/>
  <x:c r="T1594" i="3"/>
  <x:c r="E1594" i="3"/>
  <x:c r="D1594" i="3"/>
  <x:c r="C1594" i="3"/>
  <x:c r="B1594" i="3"/>
  <x:c r="AG1593" i="3"/>
  <x:c r="AF1593" i="3"/>
  <x:c r="AE1593" i="3"/>
  <x:c r="AD1593" i="3"/>
  <x:c r="AC1593" i="3"/>
  <x:c r="AB1593" i="3"/>
  <x:c r="AA1593" i="3"/>
  <x:c r="Z1593" i="3"/>
  <x:c r="Y1593" i="3"/>
  <x:c r="X1593" i="3"/>
  <x:c r="W1593" i="3"/>
  <x:c r="V1593" i="3"/>
  <x:c r="U1593" i="3"/>
  <x:c r="T1593" i="3"/>
  <x:c r="E1593" i="3"/>
  <x:c r="D1593" i="3"/>
  <x:c r="C1593" i="3"/>
  <x:c r="B1593" i="3"/>
  <x:c r="AG1592" i="3"/>
  <x:c r="AF1592" i="3"/>
  <x:c r="AE1592" i="3"/>
  <x:c r="AD1592" i="3"/>
  <x:c r="AC1592" i="3"/>
  <x:c r="AB1592" i="3"/>
  <x:c r="AA1592" i="3"/>
  <x:c r="Z1592" i="3"/>
  <x:c r="Y1592" i="3"/>
  <x:c r="X1592" i="3"/>
  <x:c r="W1592" i="3"/>
  <x:c r="V1592" i="3"/>
  <x:c r="U1592" i="3"/>
  <x:c r="T1592" i="3"/>
  <x:c r="E1592" i="3"/>
  <x:c r="D1592" i="3"/>
  <x:c r="C1592" i="3"/>
  <x:c r="B1592" i="3"/>
  <x:c r="AG1591" i="3"/>
  <x:c r="AF1591" i="3"/>
  <x:c r="AE1591" i="3"/>
  <x:c r="AD1591" i="3"/>
  <x:c r="AC1591" i="3"/>
  <x:c r="AB1591" i="3"/>
  <x:c r="AA1591" i="3"/>
  <x:c r="Z1591" i="3"/>
  <x:c r="Y1591" i="3"/>
  <x:c r="X1591" i="3"/>
  <x:c r="W1591" i="3"/>
  <x:c r="V1591" i="3"/>
  <x:c r="U1591" i="3"/>
  <x:c r="T1591" i="3"/>
  <x:c r="E1591" i="3"/>
  <x:c r="D1591" i="3"/>
  <x:c r="C1591" i="3"/>
  <x:c r="B1591" i="3"/>
  <x:c r="AG1590" i="3"/>
  <x:c r="AF1590" i="3"/>
  <x:c r="AE1590" i="3"/>
  <x:c r="AD1590" i="3"/>
  <x:c r="AC1590" i="3"/>
  <x:c r="AB1590" i="3"/>
  <x:c r="AA1590" i="3"/>
  <x:c r="Z1590" i="3"/>
  <x:c r="Y1590" i="3"/>
  <x:c r="X1590" i="3"/>
  <x:c r="W1590" i="3"/>
  <x:c r="V1590" i="3"/>
  <x:c r="U1590" i="3"/>
  <x:c r="T1590" i="3"/>
  <x:c r="E1590" i="3"/>
  <x:c r="D1590" i="3"/>
  <x:c r="C1590" i="3"/>
  <x:c r="B1590" i="3"/>
  <x:c r="AG1589" i="3"/>
  <x:c r="AF1589" i="3"/>
  <x:c r="AE1589" i="3"/>
  <x:c r="AD1589" i="3"/>
  <x:c r="AC1589" i="3"/>
  <x:c r="AB1589" i="3"/>
  <x:c r="AA1589" i="3"/>
  <x:c r="Z1589" i="3"/>
  <x:c r="Y1589" i="3"/>
  <x:c r="X1589" i="3"/>
  <x:c r="W1589" i="3"/>
  <x:c r="V1589" i="3"/>
  <x:c r="U1589" i="3"/>
  <x:c r="T1589" i="3"/>
  <x:c r="E1589" i="3"/>
  <x:c r="D1589" i="3"/>
  <x:c r="C1589" i="3"/>
  <x:c r="B1589" i="3"/>
  <x:c r="AG1588" i="3"/>
  <x:c r="AF1588" i="3"/>
  <x:c r="AE1588" i="3"/>
  <x:c r="AD1588" i="3"/>
  <x:c r="AC1588" i="3"/>
  <x:c r="AB1588" i="3"/>
  <x:c r="AA1588" i="3"/>
  <x:c r="Z1588" i="3"/>
  <x:c r="Y1588" i="3"/>
  <x:c r="X1588" i="3"/>
  <x:c r="W1588" i="3"/>
  <x:c r="V1588" i="3"/>
  <x:c r="U1588" i="3"/>
  <x:c r="T1588" i="3"/>
  <x:c r="E1588" i="3"/>
  <x:c r="D1588" i="3"/>
  <x:c r="C1588" i="3"/>
  <x:c r="B1588" i="3"/>
  <x:c r="AG1587" i="3"/>
  <x:c r="AF1587" i="3"/>
  <x:c r="AE1587" i="3"/>
  <x:c r="AD1587" i="3"/>
  <x:c r="AC1587" i="3"/>
  <x:c r="AB1587" i="3"/>
  <x:c r="AA1587" i="3"/>
  <x:c r="Z1587" i="3"/>
  <x:c r="Y1587" i="3"/>
  <x:c r="X1587" i="3"/>
  <x:c r="W1587" i="3"/>
  <x:c r="V1587" i="3"/>
  <x:c r="U1587" i="3"/>
  <x:c r="T1587" i="3"/>
  <x:c r="E1587" i="3"/>
  <x:c r="D1587" i="3"/>
  <x:c r="C1587" i="3"/>
  <x:c r="B1587" i="3"/>
  <x:c r="AG1586" i="3"/>
  <x:c r="AF1586" i="3"/>
  <x:c r="AE1586" i="3"/>
  <x:c r="AD1586" i="3"/>
  <x:c r="AC1586" i="3"/>
  <x:c r="AB1586" i="3"/>
  <x:c r="AA1586" i="3"/>
  <x:c r="Z1586" i="3"/>
  <x:c r="Y1586" i="3"/>
  <x:c r="X1586" i="3"/>
  <x:c r="W1586" i="3"/>
  <x:c r="V1586" i="3"/>
  <x:c r="U1586" i="3"/>
  <x:c r="T1586" i="3"/>
  <x:c r="E1586" i="3"/>
  <x:c r="D1586" i="3"/>
  <x:c r="C1586" i="3"/>
  <x:c r="B1586" i="3"/>
  <x:c r="AG1585" i="3"/>
  <x:c r="AF1585" i="3"/>
  <x:c r="AE1585" i="3"/>
  <x:c r="AD1585" i="3"/>
  <x:c r="AC1585" i="3"/>
  <x:c r="AB1585" i="3"/>
  <x:c r="AA1585" i="3"/>
  <x:c r="Z1585" i="3"/>
  <x:c r="Y1585" i="3"/>
  <x:c r="X1585" i="3"/>
  <x:c r="W1585" i="3"/>
  <x:c r="V1585" i="3"/>
  <x:c r="U1585" i="3"/>
  <x:c r="T1585" i="3"/>
  <x:c r="E1585" i="3"/>
  <x:c r="D1585" i="3"/>
  <x:c r="C1585" i="3"/>
  <x:c r="B1585" i="3"/>
  <x:c r="AG1584" i="3"/>
  <x:c r="AF1584" i="3"/>
  <x:c r="AE1584" i="3"/>
  <x:c r="AD1584" i="3"/>
  <x:c r="AC1584" i="3"/>
  <x:c r="AB1584" i="3"/>
  <x:c r="AA1584" i="3"/>
  <x:c r="Z1584" i="3"/>
  <x:c r="Y1584" i="3"/>
  <x:c r="X1584" i="3"/>
  <x:c r="W1584" i="3"/>
  <x:c r="V1584" i="3"/>
  <x:c r="U1584" i="3"/>
  <x:c r="T1584" i="3"/>
  <x:c r="E1584" i="3"/>
  <x:c r="D1584" i="3"/>
  <x:c r="C1584" i="3"/>
  <x:c r="B1584" i="3"/>
  <x:c r="AG1583" i="3"/>
  <x:c r="AF1583" i="3"/>
  <x:c r="AE1583" i="3"/>
  <x:c r="AD1583" i="3"/>
  <x:c r="AC1583" i="3"/>
  <x:c r="AB1583" i="3"/>
  <x:c r="AA1583" i="3"/>
  <x:c r="Z1583" i="3"/>
  <x:c r="Y1583" i="3"/>
  <x:c r="X1583" i="3"/>
  <x:c r="W1583" i="3"/>
  <x:c r="V1583" i="3"/>
  <x:c r="U1583" i="3"/>
  <x:c r="T1583" i="3"/>
  <x:c r="E1583" i="3"/>
  <x:c r="D1583" i="3"/>
  <x:c r="C1583" i="3"/>
  <x:c r="B1583" i="3"/>
  <x:c r="AG1582" i="3"/>
  <x:c r="AF1582" i="3"/>
  <x:c r="AE1582" i="3"/>
  <x:c r="AD1582" i="3"/>
  <x:c r="AC1582" i="3"/>
  <x:c r="AB1582" i="3"/>
  <x:c r="AA1582" i="3"/>
  <x:c r="Z1582" i="3"/>
  <x:c r="Y1582" i="3"/>
  <x:c r="X1582" i="3"/>
  <x:c r="W1582" i="3"/>
  <x:c r="V1582" i="3"/>
  <x:c r="U1582" i="3"/>
  <x:c r="T1582" i="3"/>
  <x:c r="E1582" i="3"/>
  <x:c r="D1582" i="3"/>
  <x:c r="C1582" i="3"/>
  <x:c r="B1582" i="3"/>
  <x:c r="AG1581" i="3"/>
  <x:c r="AF1581" i="3"/>
  <x:c r="AE1581" i="3"/>
  <x:c r="AD1581" i="3"/>
  <x:c r="AC1581" i="3"/>
  <x:c r="AB1581" i="3"/>
  <x:c r="AA1581" i="3"/>
  <x:c r="Z1581" i="3"/>
  <x:c r="Y1581" i="3"/>
  <x:c r="X1581" i="3"/>
  <x:c r="W1581" i="3"/>
  <x:c r="V1581" i="3"/>
  <x:c r="U1581" i="3"/>
  <x:c r="T1581" i="3"/>
  <x:c r="E1581" i="3"/>
  <x:c r="D1581" i="3"/>
  <x:c r="C1581" i="3"/>
  <x:c r="B1581" i="3"/>
  <x:c r="AG1580" i="3"/>
  <x:c r="AF1580" i="3"/>
  <x:c r="AE1580" i="3"/>
  <x:c r="AD1580" i="3"/>
  <x:c r="AC1580" i="3"/>
  <x:c r="AB1580" i="3"/>
  <x:c r="AA1580" i="3"/>
  <x:c r="Z1580" i="3"/>
  <x:c r="Y1580" i="3"/>
  <x:c r="X1580" i="3"/>
  <x:c r="W1580" i="3"/>
  <x:c r="V1580" i="3"/>
  <x:c r="U1580" i="3"/>
  <x:c r="T1580" i="3"/>
  <x:c r="E1580" i="3"/>
  <x:c r="D1580" i="3"/>
  <x:c r="C1580" i="3"/>
  <x:c r="B1580" i="3"/>
  <x:c r="AG1579" i="3"/>
  <x:c r="AF1579" i="3"/>
  <x:c r="AE1579" i="3"/>
  <x:c r="AD1579" i="3"/>
  <x:c r="AC1579" i="3"/>
  <x:c r="AB1579" i="3"/>
  <x:c r="AA1579" i="3"/>
  <x:c r="Z1579" i="3"/>
  <x:c r="Y1579" i="3"/>
  <x:c r="X1579" i="3"/>
  <x:c r="W1579" i="3"/>
  <x:c r="V1579" i="3"/>
  <x:c r="U1579" i="3"/>
  <x:c r="T1579" i="3"/>
  <x:c r="E1579" i="3"/>
  <x:c r="D1579" i="3"/>
  <x:c r="C1579" i="3"/>
  <x:c r="B1579" i="3"/>
  <x:c r="AG1578" i="3"/>
  <x:c r="AF1578" i="3"/>
  <x:c r="AE1578" i="3"/>
  <x:c r="AD1578" i="3"/>
  <x:c r="AC1578" i="3"/>
  <x:c r="AB1578" i="3"/>
  <x:c r="AA1578" i="3"/>
  <x:c r="Z1578" i="3"/>
  <x:c r="Y1578" i="3"/>
  <x:c r="X1578" i="3"/>
  <x:c r="W1578" i="3"/>
  <x:c r="V1578" i="3"/>
  <x:c r="U1578" i="3"/>
  <x:c r="T1578" i="3"/>
  <x:c r="E1578" i="3"/>
  <x:c r="D1578" i="3"/>
  <x:c r="C1578" i="3"/>
  <x:c r="B1578" i="3"/>
  <x:c r="AG1577" i="3"/>
  <x:c r="AF1577" i="3"/>
  <x:c r="AE1577" i="3"/>
  <x:c r="AD1577" i="3"/>
  <x:c r="AC1577" i="3"/>
  <x:c r="AB1577" i="3"/>
  <x:c r="AA1577" i="3"/>
  <x:c r="Z1577" i="3"/>
  <x:c r="Y1577" i="3"/>
  <x:c r="X1577" i="3"/>
  <x:c r="W1577" i="3"/>
  <x:c r="V1577" i="3"/>
  <x:c r="U1577" i="3"/>
  <x:c r="T1577" i="3"/>
  <x:c r="E1577" i="3"/>
  <x:c r="D1577" i="3"/>
  <x:c r="C1577" i="3"/>
  <x:c r="B1577" i="3"/>
  <x:c r="AG1576" i="3"/>
  <x:c r="AF1576" i="3"/>
  <x:c r="AE1576" i="3"/>
  <x:c r="AD1576" i="3"/>
  <x:c r="AC1576" i="3"/>
  <x:c r="AB1576" i="3"/>
  <x:c r="AA1576" i="3"/>
  <x:c r="Z1576" i="3"/>
  <x:c r="Y1576" i="3"/>
  <x:c r="X1576" i="3"/>
  <x:c r="W1576" i="3"/>
  <x:c r="V1576" i="3"/>
  <x:c r="U1576" i="3"/>
  <x:c r="T1576" i="3"/>
  <x:c r="E1576" i="3"/>
  <x:c r="D1576" i="3"/>
  <x:c r="C1576" i="3"/>
  <x:c r="B1576" i="3"/>
  <x:c r="AG1575" i="3"/>
  <x:c r="AF1575" i="3"/>
  <x:c r="AE1575" i="3"/>
  <x:c r="AD1575" i="3"/>
  <x:c r="AC1575" i="3"/>
  <x:c r="AB1575" i="3"/>
  <x:c r="AA1575" i="3"/>
  <x:c r="Z1575" i="3"/>
  <x:c r="Y1575" i="3"/>
  <x:c r="X1575" i="3"/>
  <x:c r="W1575" i="3"/>
  <x:c r="V1575" i="3"/>
  <x:c r="U1575" i="3"/>
  <x:c r="T1575" i="3"/>
  <x:c r="E1575" i="3"/>
  <x:c r="D1575" i="3"/>
  <x:c r="C1575" i="3"/>
  <x:c r="B1575" i="3"/>
  <x:c r="AG1574" i="3"/>
  <x:c r="AF1574" i="3"/>
  <x:c r="AE1574" i="3"/>
  <x:c r="AD1574" i="3"/>
  <x:c r="AC1574" i="3"/>
  <x:c r="AB1574" i="3"/>
  <x:c r="AA1574" i="3"/>
  <x:c r="Z1574" i="3"/>
  <x:c r="Y1574" i="3"/>
  <x:c r="X1574" i="3"/>
  <x:c r="W1574" i="3"/>
  <x:c r="V1574" i="3"/>
  <x:c r="U1574" i="3"/>
  <x:c r="T1574" i="3"/>
  <x:c r="E1574" i="3"/>
  <x:c r="D1574" i="3"/>
  <x:c r="C1574" i="3"/>
  <x:c r="B1574" i="3"/>
  <x:c r="AG1573" i="3"/>
  <x:c r="AF1573" i="3"/>
  <x:c r="AE1573" i="3"/>
  <x:c r="AD1573" i="3"/>
  <x:c r="AC1573" i="3"/>
  <x:c r="AB1573" i="3"/>
  <x:c r="AA1573" i="3"/>
  <x:c r="Z1573" i="3"/>
  <x:c r="Y1573" i="3"/>
  <x:c r="X1573" i="3"/>
  <x:c r="W1573" i="3"/>
  <x:c r="V1573" i="3"/>
  <x:c r="U1573" i="3"/>
  <x:c r="T1573" i="3"/>
  <x:c r="E1573" i="3"/>
  <x:c r="D1573" i="3"/>
  <x:c r="C1573" i="3"/>
  <x:c r="B1573" i="3"/>
  <x:c r="AG1572" i="3"/>
  <x:c r="AF1572" i="3"/>
  <x:c r="AE1572" i="3"/>
  <x:c r="AD1572" i="3"/>
  <x:c r="AC1572" i="3"/>
  <x:c r="AB1572" i="3"/>
  <x:c r="AA1572" i="3"/>
  <x:c r="Z1572" i="3"/>
  <x:c r="Y1572" i="3"/>
  <x:c r="X1572" i="3"/>
  <x:c r="W1572" i="3"/>
  <x:c r="V1572" i="3"/>
  <x:c r="U1572" i="3"/>
  <x:c r="T1572" i="3"/>
  <x:c r="E1572" i="3"/>
  <x:c r="D1572" i="3"/>
  <x:c r="C1572" i="3"/>
  <x:c r="B1572" i="3"/>
  <x:c r="AG1571" i="3"/>
  <x:c r="AF1571" i="3"/>
  <x:c r="AE1571" i="3"/>
  <x:c r="AD1571" i="3"/>
  <x:c r="AC1571" i="3"/>
  <x:c r="AB1571" i="3"/>
  <x:c r="AA1571" i="3"/>
  <x:c r="Z1571" i="3"/>
  <x:c r="Y1571" i="3"/>
  <x:c r="X1571" i="3"/>
  <x:c r="W1571" i="3"/>
  <x:c r="V1571" i="3"/>
  <x:c r="U1571" i="3"/>
  <x:c r="T1571" i="3"/>
  <x:c r="E1571" i="3"/>
  <x:c r="D1571" i="3"/>
  <x:c r="C1571" i="3"/>
  <x:c r="B1571" i="3"/>
  <x:c r="AG1570" i="3"/>
  <x:c r="AF1570" i="3"/>
  <x:c r="AE1570" i="3"/>
  <x:c r="AD1570" i="3"/>
  <x:c r="AC1570" i="3"/>
  <x:c r="AB1570" i="3"/>
  <x:c r="AA1570" i="3"/>
  <x:c r="Z1570" i="3"/>
  <x:c r="Y1570" i="3"/>
  <x:c r="X1570" i="3"/>
  <x:c r="W1570" i="3"/>
  <x:c r="V1570" i="3"/>
  <x:c r="U1570" i="3"/>
  <x:c r="T1570" i="3"/>
  <x:c r="E1570" i="3"/>
  <x:c r="D1570" i="3"/>
  <x:c r="C1570" i="3"/>
  <x:c r="B1570" i="3"/>
  <x:c r="AG1569" i="3"/>
  <x:c r="AF1569" i="3"/>
  <x:c r="AE1569" i="3"/>
  <x:c r="AD1569" i="3"/>
  <x:c r="AC1569" i="3"/>
  <x:c r="AB1569" i="3"/>
  <x:c r="AA1569" i="3"/>
  <x:c r="Z1569" i="3"/>
  <x:c r="Y1569" i="3"/>
  <x:c r="X1569" i="3"/>
  <x:c r="W1569" i="3"/>
  <x:c r="V1569" i="3"/>
  <x:c r="U1569" i="3"/>
  <x:c r="T1569" i="3"/>
  <x:c r="E1569" i="3"/>
  <x:c r="D1569" i="3"/>
  <x:c r="C1569" i="3"/>
  <x:c r="B1569" i="3"/>
  <x:c r="AG1568" i="3"/>
  <x:c r="AF1568" i="3"/>
  <x:c r="AE1568" i="3"/>
  <x:c r="AD1568" i="3"/>
  <x:c r="AC1568" i="3"/>
  <x:c r="AB1568" i="3"/>
  <x:c r="AA1568" i="3"/>
  <x:c r="Z1568" i="3"/>
  <x:c r="Y1568" i="3"/>
  <x:c r="X1568" i="3"/>
  <x:c r="W1568" i="3"/>
  <x:c r="V1568" i="3"/>
  <x:c r="U1568" i="3"/>
  <x:c r="T1568" i="3"/>
  <x:c r="E1568" i="3"/>
  <x:c r="D1568" i="3"/>
  <x:c r="C1568" i="3"/>
  <x:c r="B1568" i="3"/>
  <x:c r="AG1567" i="3"/>
  <x:c r="AF1567" i="3"/>
  <x:c r="AE1567" i="3"/>
  <x:c r="AD1567" i="3"/>
  <x:c r="AC1567" i="3"/>
  <x:c r="AB1567" i="3"/>
  <x:c r="AA1567" i="3"/>
  <x:c r="Z1567" i="3"/>
  <x:c r="Y1567" i="3"/>
  <x:c r="X1567" i="3"/>
  <x:c r="W1567" i="3"/>
  <x:c r="V1567" i="3"/>
  <x:c r="U1567" i="3"/>
  <x:c r="T1567" i="3"/>
  <x:c r="E1567" i="3"/>
  <x:c r="D1567" i="3"/>
  <x:c r="C1567" i="3"/>
  <x:c r="B1567" i="3"/>
  <x:c r="AG1566" i="3"/>
  <x:c r="AF1566" i="3"/>
  <x:c r="AE1566" i="3"/>
  <x:c r="AD1566" i="3"/>
  <x:c r="AC1566" i="3"/>
  <x:c r="AB1566" i="3"/>
  <x:c r="AA1566" i="3"/>
  <x:c r="Z1566" i="3"/>
  <x:c r="Y1566" i="3"/>
  <x:c r="X1566" i="3"/>
  <x:c r="W1566" i="3"/>
  <x:c r="V1566" i="3"/>
  <x:c r="U1566" i="3"/>
  <x:c r="T1566" i="3"/>
  <x:c r="E1566" i="3"/>
  <x:c r="D1566" i="3"/>
  <x:c r="C1566" i="3"/>
  <x:c r="B1566" i="3"/>
  <x:c r="AG1565" i="3"/>
  <x:c r="AF1565" i="3"/>
  <x:c r="AE1565" i="3"/>
  <x:c r="AD1565" i="3"/>
  <x:c r="AC1565" i="3"/>
  <x:c r="AB1565" i="3"/>
  <x:c r="AA1565" i="3"/>
  <x:c r="Z1565" i="3"/>
  <x:c r="Y1565" i="3"/>
  <x:c r="X1565" i="3"/>
  <x:c r="W1565" i="3"/>
  <x:c r="V1565" i="3"/>
  <x:c r="U1565" i="3"/>
  <x:c r="T1565" i="3"/>
  <x:c r="E1565" i="3"/>
  <x:c r="D1565" i="3"/>
  <x:c r="C1565" i="3"/>
  <x:c r="B1565" i="3"/>
  <x:c r="AG1564" i="3"/>
  <x:c r="AF1564" i="3"/>
  <x:c r="AE1564" i="3"/>
  <x:c r="AD1564" i="3"/>
  <x:c r="AC1564" i="3"/>
  <x:c r="AB1564" i="3"/>
  <x:c r="AA1564" i="3"/>
  <x:c r="Z1564" i="3"/>
  <x:c r="Y1564" i="3"/>
  <x:c r="X1564" i="3"/>
  <x:c r="W1564" i="3"/>
  <x:c r="V1564" i="3"/>
  <x:c r="U1564" i="3"/>
  <x:c r="T1564" i="3"/>
  <x:c r="E1564" i="3"/>
  <x:c r="D1564" i="3"/>
  <x:c r="C1564" i="3"/>
  <x:c r="B1564" i="3"/>
  <x:c r="AG1563" i="3"/>
  <x:c r="AF1563" i="3"/>
  <x:c r="AE1563" i="3"/>
  <x:c r="AD1563" i="3"/>
  <x:c r="AC1563" i="3"/>
  <x:c r="AB1563" i="3"/>
  <x:c r="AA1563" i="3"/>
  <x:c r="Z1563" i="3"/>
  <x:c r="Y1563" i="3"/>
  <x:c r="X1563" i="3"/>
  <x:c r="W1563" i="3"/>
  <x:c r="V1563" i="3"/>
  <x:c r="U1563" i="3"/>
  <x:c r="T1563" i="3"/>
  <x:c r="E1563" i="3"/>
  <x:c r="D1563" i="3"/>
  <x:c r="C1563" i="3"/>
  <x:c r="B1563" i="3"/>
  <x:c r="AG1562" i="3"/>
  <x:c r="AF1562" i="3"/>
  <x:c r="AE1562" i="3"/>
  <x:c r="AD1562" i="3"/>
  <x:c r="AC1562" i="3"/>
  <x:c r="AB1562" i="3"/>
  <x:c r="AA1562" i="3"/>
  <x:c r="Z1562" i="3"/>
  <x:c r="Y1562" i="3"/>
  <x:c r="X1562" i="3"/>
  <x:c r="W1562" i="3"/>
  <x:c r="V1562" i="3"/>
  <x:c r="U1562" i="3"/>
  <x:c r="T1562" i="3"/>
  <x:c r="E1562" i="3"/>
  <x:c r="D1562" i="3"/>
  <x:c r="C1562" i="3"/>
  <x:c r="B1562" i="3"/>
  <x:c r="AG1561" i="3"/>
  <x:c r="AF1561" i="3"/>
  <x:c r="AE1561" i="3"/>
  <x:c r="AD1561" i="3"/>
  <x:c r="AC1561" i="3"/>
  <x:c r="AB1561" i="3"/>
  <x:c r="AA1561" i="3"/>
  <x:c r="Z1561" i="3"/>
  <x:c r="Y1561" i="3"/>
  <x:c r="X1561" i="3"/>
  <x:c r="W1561" i="3"/>
  <x:c r="V1561" i="3"/>
  <x:c r="U1561" i="3"/>
  <x:c r="T1561" i="3"/>
  <x:c r="E1561" i="3"/>
  <x:c r="D1561" i="3"/>
  <x:c r="C1561" i="3"/>
  <x:c r="B1561" i="3"/>
  <x:c r="AG1560" i="3"/>
  <x:c r="AF1560" i="3"/>
  <x:c r="AE1560" i="3"/>
  <x:c r="AD1560" i="3"/>
  <x:c r="AC1560" i="3"/>
  <x:c r="AB1560" i="3"/>
  <x:c r="AA1560" i="3"/>
  <x:c r="Z1560" i="3"/>
  <x:c r="Y1560" i="3"/>
  <x:c r="X1560" i="3"/>
  <x:c r="W1560" i="3"/>
  <x:c r="V1560" i="3"/>
  <x:c r="U1560" i="3"/>
  <x:c r="T1560" i="3"/>
  <x:c r="E1560" i="3"/>
  <x:c r="D1560" i="3"/>
  <x:c r="C1560" i="3"/>
  <x:c r="B1560" i="3"/>
  <x:c r="AG1559" i="3"/>
  <x:c r="AF1559" i="3"/>
  <x:c r="AE1559" i="3"/>
  <x:c r="AD1559" i="3"/>
  <x:c r="AC1559" i="3"/>
  <x:c r="AB1559" i="3"/>
  <x:c r="AA1559" i="3"/>
  <x:c r="Z1559" i="3"/>
  <x:c r="Y1559" i="3"/>
  <x:c r="X1559" i="3"/>
  <x:c r="W1559" i="3"/>
  <x:c r="V1559" i="3"/>
  <x:c r="U1559" i="3"/>
  <x:c r="T1559" i="3"/>
  <x:c r="E1559" i="3"/>
  <x:c r="D1559" i="3"/>
  <x:c r="C1559" i="3"/>
  <x:c r="B1559" i="3"/>
  <x:c r="AG1558" i="3"/>
  <x:c r="AF1558" i="3"/>
  <x:c r="AE1558" i="3"/>
  <x:c r="AD1558" i="3"/>
  <x:c r="AC1558" i="3"/>
  <x:c r="AB1558" i="3"/>
  <x:c r="AA1558" i="3"/>
  <x:c r="Z1558" i="3"/>
  <x:c r="Y1558" i="3"/>
  <x:c r="X1558" i="3"/>
  <x:c r="W1558" i="3"/>
  <x:c r="V1558" i="3"/>
  <x:c r="U1558" i="3"/>
  <x:c r="T1558" i="3"/>
  <x:c r="E1558" i="3"/>
  <x:c r="D1558" i="3"/>
  <x:c r="C1558" i="3"/>
  <x:c r="B1558" i="3"/>
  <x:c r="AG1557" i="3"/>
  <x:c r="AF1557" i="3"/>
  <x:c r="AE1557" i="3"/>
  <x:c r="AD1557" i="3"/>
  <x:c r="AC1557" i="3"/>
  <x:c r="AB1557" i="3"/>
  <x:c r="AA1557" i="3"/>
  <x:c r="Z1557" i="3"/>
  <x:c r="Y1557" i="3"/>
  <x:c r="X1557" i="3"/>
  <x:c r="W1557" i="3"/>
  <x:c r="V1557" i="3"/>
  <x:c r="U1557" i="3"/>
  <x:c r="T1557" i="3"/>
  <x:c r="E1557" i="3"/>
  <x:c r="D1557" i="3"/>
  <x:c r="C1557" i="3"/>
  <x:c r="B1557" i="3"/>
  <x:c r="AG1556" i="3"/>
  <x:c r="AF1556" i="3"/>
  <x:c r="AE1556" i="3"/>
  <x:c r="AD1556" i="3"/>
  <x:c r="AC1556" i="3"/>
  <x:c r="AB1556" i="3"/>
  <x:c r="AA1556" i="3"/>
  <x:c r="Z1556" i="3"/>
  <x:c r="Y1556" i="3"/>
  <x:c r="X1556" i="3"/>
  <x:c r="W1556" i="3"/>
  <x:c r="V1556" i="3"/>
  <x:c r="U1556" i="3"/>
  <x:c r="T1556" i="3"/>
  <x:c r="E1556" i="3"/>
  <x:c r="D1556" i="3"/>
  <x:c r="C1556" i="3"/>
  <x:c r="B1556" i="3"/>
  <x:c r="AG1555" i="3"/>
  <x:c r="AF1555" i="3"/>
  <x:c r="AE1555" i="3"/>
  <x:c r="AD1555" i="3"/>
  <x:c r="AC1555" i="3"/>
  <x:c r="AB1555" i="3"/>
  <x:c r="AA1555" i="3"/>
  <x:c r="Z1555" i="3"/>
  <x:c r="Y1555" i="3"/>
  <x:c r="X1555" i="3"/>
  <x:c r="W1555" i="3"/>
  <x:c r="V1555" i="3"/>
  <x:c r="U1555" i="3"/>
  <x:c r="T1555" i="3"/>
  <x:c r="E1555" i="3"/>
  <x:c r="D1555" i="3"/>
  <x:c r="C1555" i="3"/>
  <x:c r="B1555" i="3"/>
  <x:c r="AG1554" i="3"/>
  <x:c r="AF1554" i="3"/>
  <x:c r="AE1554" i="3"/>
  <x:c r="AD1554" i="3"/>
  <x:c r="AC1554" i="3"/>
  <x:c r="AB1554" i="3"/>
  <x:c r="AA1554" i="3"/>
  <x:c r="Z1554" i="3"/>
  <x:c r="Y1554" i="3"/>
  <x:c r="X1554" i="3"/>
  <x:c r="W1554" i="3"/>
  <x:c r="V1554" i="3"/>
  <x:c r="U1554" i="3"/>
  <x:c r="T1554" i="3"/>
  <x:c r="E1554" i="3"/>
  <x:c r="D1554" i="3"/>
  <x:c r="C1554" i="3"/>
  <x:c r="B1554" i="3"/>
  <x:c r="AG1553" i="3"/>
  <x:c r="AF1553" i="3"/>
  <x:c r="AE1553" i="3"/>
  <x:c r="AD1553" i="3"/>
  <x:c r="AC1553" i="3"/>
  <x:c r="AB1553" i="3"/>
  <x:c r="AA1553" i="3"/>
  <x:c r="Z1553" i="3"/>
  <x:c r="Y1553" i="3"/>
  <x:c r="X1553" i="3"/>
  <x:c r="W1553" i="3"/>
  <x:c r="V1553" i="3"/>
  <x:c r="U1553" i="3"/>
  <x:c r="T1553" i="3"/>
  <x:c r="E1553" i="3"/>
  <x:c r="D1553" i="3"/>
  <x:c r="C1553" i="3"/>
  <x:c r="B1553" i="3"/>
  <x:c r="AG1552" i="3"/>
  <x:c r="AF1552" i="3"/>
  <x:c r="AE1552" i="3"/>
  <x:c r="AD1552" i="3"/>
  <x:c r="AC1552" i="3"/>
  <x:c r="AB1552" i="3"/>
  <x:c r="AA1552" i="3"/>
  <x:c r="Z1552" i="3"/>
  <x:c r="Y1552" i="3"/>
  <x:c r="X1552" i="3"/>
  <x:c r="W1552" i="3"/>
  <x:c r="V1552" i="3"/>
  <x:c r="U1552" i="3"/>
  <x:c r="T1552" i="3"/>
  <x:c r="E1552" i="3"/>
  <x:c r="D1552" i="3"/>
  <x:c r="C1552" i="3"/>
  <x:c r="B1552" i="3"/>
  <x:c r="AG1551" i="3"/>
  <x:c r="AF1551" i="3"/>
  <x:c r="AE1551" i="3"/>
  <x:c r="AD1551" i="3"/>
  <x:c r="AC1551" i="3"/>
  <x:c r="AB1551" i="3"/>
  <x:c r="AA1551" i="3"/>
  <x:c r="Z1551" i="3"/>
  <x:c r="Y1551" i="3"/>
  <x:c r="X1551" i="3"/>
  <x:c r="W1551" i="3"/>
  <x:c r="V1551" i="3"/>
  <x:c r="U1551" i="3"/>
  <x:c r="T1551" i="3"/>
  <x:c r="E1551" i="3"/>
  <x:c r="D1551" i="3"/>
  <x:c r="C1551" i="3"/>
  <x:c r="B1551" i="3"/>
  <x:c r="AG1550" i="3"/>
  <x:c r="AF1550" i="3"/>
  <x:c r="AE1550" i="3"/>
  <x:c r="AD1550" i="3"/>
  <x:c r="AC1550" i="3"/>
  <x:c r="AB1550" i="3"/>
  <x:c r="AA1550" i="3"/>
  <x:c r="Z1550" i="3"/>
  <x:c r="Y1550" i="3"/>
  <x:c r="X1550" i="3"/>
  <x:c r="W1550" i="3"/>
  <x:c r="V1550" i="3"/>
  <x:c r="U1550" i="3"/>
  <x:c r="T1550" i="3"/>
  <x:c r="E1550" i="3"/>
  <x:c r="D1550" i="3"/>
  <x:c r="C1550" i="3"/>
  <x:c r="B1550" i="3"/>
  <x:c r="AG1549" i="3"/>
  <x:c r="AF1549" i="3"/>
  <x:c r="AE1549" i="3"/>
  <x:c r="AD1549" i="3"/>
  <x:c r="AC1549" i="3"/>
  <x:c r="AB1549" i="3"/>
  <x:c r="AA1549" i="3"/>
  <x:c r="Z1549" i="3"/>
  <x:c r="Y1549" i="3"/>
  <x:c r="X1549" i="3"/>
  <x:c r="W1549" i="3"/>
  <x:c r="V1549" i="3"/>
  <x:c r="U1549" i="3"/>
  <x:c r="T1549" i="3"/>
  <x:c r="E1549" i="3"/>
  <x:c r="D1549" i="3"/>
  <x:c r="C1549" i="3"/>
  <x:c r="B1549" i="3"/>
  <x:c r="AG1548" i="3"/>
  <x:c r="AF1548" i="3"/>
  <x:c r="AE1548" i="3"/>
  <x:c r="AD1548" i="3"/>
  <x:c r="AC1548" i="3"/>
  <x:c r="AB1548" i="3"/>
  <x:c r="AA1548" i="3"/>
  <x:c r="Z1548" i="3"/>
  <x:c r="Y1548" i="3"/>
  <x:c r="X1548" i="3"/>
  <x:c r="W1548" i="3"/>
  <x:c r="V1548" i="3"/>
  <x:c r="U1548" i="3"/>
  <x:c r="T1548" i="3"/>
  <x:c r="E1548" i="3"/>
  <x:c r="D1548" i="3"/>
  <x:c r="C1548" i="3"/>
  <x:c r="B1548" i="3"/>
  <x:c r="AG1547" i="3"/>
  <x:c r="AF1547" i="3"/>
  <x:c r="AE1547" i="3"/>
  <x:c r="AD1547" i="3"/>
  <x:c r="AC1547" i="3"/>
  <x:c r="AB1547" i="3"/>
  <x:c r="AA1547" i="3"/>
  <x:c r="Z1547" i="3"/>
  <x:c r="Y1547" i="3"/>
  <x:c r="X1547" i="3"/>
  <x:c r="W1547" i="3"/>
  <x:c r="V1547" i="3"/>
  <x:c r="U1547" i="3"/>
  <x:c r="T1547" i="3"/>
  <x:c r="E1547" i="3"/>
  <x:c r="D1547" i="3"/>
  <x:c r="C1547" i="3"/>
  <x:c r="B1547" i="3"/>
  <x:c r="AG1546" i="3"/>
  <x:c r="AF1546" i="3"/>
  <x:c r="AE1546" i="3"/>
  <x:c r="AD1546" i="3"/>
  <x:c r="AC1546" i="3"/>
  <x:c r="AB1546" i="3"/>
  <x:c r="AA1546" i="3"/>
  <x:c r="Z1546" i="3"/>
  <x:c r="Y1546" i="3"/>
  <x:c r="X1546" i="3"/>
  <x:c r="W1546" i="3"/>
  <x:c r="V1546" i="3"/>
  <x:c r="U1546" i="3"/>
  <x:c r="T1546" i="3"/>
  <x:c r="E1546" i="3"/>
  <x:c r="D1546" i="3"/>
  <x:c r="C1546" i="3"/>
  <x:c r="B1546" i="3"/>
  <x:c r="AG1545" i="3"/>
  <x:c r="AF1545" i="3"/>
  <x:c r="AE1545" i="3"/>
  <x:c r="AD1545" i="3"/>
  <x:c r="AC1545" i="3"/>
  <x:c r="AB1545" i="3"/>
  <x:c r="AA1545" i="3"/>
  <x:c r="Z1545" i="3"/>
  <x:c r="Y1545" i="3"/>
  <x:c r="X1545" i="3"/>
  <x:c r="W1545" i="3"/>
  <x:c r="V1545" i="3"/>
  <x:c r="U1545" i="3"/>
  <x:c r="T1545" i="3"/>
  <x:c r="E1545" i="3"/>
  <x:c r="D1545" i="3"/>
  <x:c r="C1545" i="3"/>
  <x:c r="B1545" i="3"/>
  <x:c r="AG1544" i="3"/>
  <x:c r="AF1544" i="3"/>
  <x:c r="AE1544" i="3"/>
  <x:c r="AD1544" i="3"/>
  <x:c r="AC1544" i="3"/>
  <x:c r="AB1544" i="3"/>
  <x:c r="AA1544" i="3"/>
  <x:c r="Z1544" i="3"/>
  <x:c r="Y1544" i="3"/>
  <x:c r="X1544" i="3"/>
  <x:c r="W1544" i="3"/>
  <x:c r="V1544" i="3"/>
  <x:c r="U1544" i="3"/>
  <x:c r="T1544" i="3"/>
  <x:c r="E1544" i="3"/>
  <x:c r="D1544" i="3"/>
  <x:c r="C1544" i="3"/>
  <x:c r="B1544" i="3"/>
  <x:c r="AG1543" i="3"/>
  <x:c r="AF1543" i="3"/>
  <x:c r="AE1543" i="3"/>
  <x:c r="AD1543" i="3"/>
  <x:c r="AC1543" i="3"/>
  <x:c r="AB1543" i="3"/>
  <x:c r="AA1543" i="3"/>
  <x:c r="Z1543" i="3"/>
  <x:c r="Y1543" i="3"/>
  <x:c r="X1543" i="3"/>
  <x:c r="W1543" i="3"/>
  <x:c r="V1543" i="3"/>
  <x:c r="U1543" i="3"/>
  <x:c r="T1543" i="3"/>
  <x:c r="E1543" i="3"/>
  <x:c r="D1543" i="3"/>
  <x:c r="C1543" i="3"/>
  <x:c r="B1543" i="3"/>
  <x:c r="AG1542" i="3"/>
  <x:c r="AF1542" i="3"/>
  <x:c r="AE1542" i="3"/>
  <x:c r="AD1542" i="3"/>
  <x:c r="AC1542" i="3"/>
  <x:c r="AB1542" i="3"/>
  <x:c r="AA1542" i="3"/>
  <x:c r="Z1542" i="3"/>
  <x:c r="Y1542" i="3"/>
  <x:c r="X1542" i="3"/>
  <x:c r="W1542" i="3"/>
  <x:c r="V1542" i="3"/>
  <x:c r="U1542" i="3"/>
  <x:c r="T1542" i="3"/>
  <x:c r="E1542" i="3"/>
  <x:c r="D1542" i="3"/>
  <x:c r="C1542" i="3"/>
  <x:c r="B1542" i="3"/>
  <x:c r="AG1541" i="3"/>
  <x:c r="AF1541" i="3"/>
  <x:c r="AE1541" i="3"/>
  <x:c r="AD1541" i="3"/>
  <x:c r="AC1541" i="3"/>
  <x:c r="AB1541" i="3"/>
  <x:c r="AA1541" i="3"/>
  <x:c r="Z1541" i="3"/>
  <x:c r="Y1541" i="3"/>
  <x:c r="X1541" i="3"/>
  <x:c r="W1541" i="3"/>
  <x:c r="V1541" i="3"/>
  <x:c r="U1541" i="3"/>
  <x:c r="T1541" i="3"/>
  <x:c r="E1541" i="3"/>
  <x:c r="D1541" i="3"/>
  <x:c r="C1541" i="3"/>
  <x:c r="B1541" i="3"/>
  <x:c r="AG1540" i="3"/>
  <x:c r="AF1540" i="3"/>
  <x:c r="AE1540" i="3"/>
  <x:c r="AD1540" i="3"/>
  <x:c r="AC1540" i="3"/>
  <x:c r="AB1540" i="3"/>
  <x:c r="AA1540" i="3"/>
  <x:c r="Z1540" i="3"/>
  <x:c r="Y1540" i="3"/>
  <x:c r="X1540" i="3"/>
  <x:c r="W1540" i="3"/>
  <x:c r="V1540" i="3"/>
  <x:c r="U1540" i="3"/>
  <x:c r="T1540" i="3"/>
  <x:c r="E1540" i="3"/>
  <x:c r="D1540" i="3"/>
  <x:c r="C1540" i="3"/>
  <x:c r="B1540" i="3"/>
  <x:c r="AG1539" i="3"/>
  <x:c r="AF1539" i="3"/>
  <x:c r="AE1539" i="3"/>
  <x:c r="AD1539" i="3"/>
  <x:c r="AC1539" i="3"/>
  <x:c r="AB1539" i="3"/>
  <x:c r="AA1539" i="3"/>
  <x:c r="Z1539" i="3"/>
  <x:c r="Y1539" i="3"/>
  <x:c r="X1539" i="3"/>
  <x:c r="W1539" i="3"/>
  <x:c r="V1539" i="3"/>
  <x:c r="U1539" i="3"/>
  <x:c r="T1539" i="3"/>
  <x:c r="E1539" i="3"/>
  <x:c r="D1539" i="3"/>
  <x:c r="C1539" i="3"/>
  <x:c r="B1539" i="3"/>
  <x:c r="AG1538" i="3"/>
  <x:c r="AF1538" i="3"/>
  <x:c r="AE1538" i="3"/>
  <x:c r="AD1538" i="3"/>
  <x:c r="AC1538" i="3"/>
  <x:c r="AB1538" i="3"/>
  <x:c r="AA1538" i="3"/>
  <x:c r="Z1538" i="3"/>
  <x:c r="Y1538" i="3"/>
  <x:c r="X1538" i="3"/>
  <x:c r="W1538" i="3"/>
  <x:c r="V1538" i="3"/>
  <x:c r="U1538" i="3"/>
  <x:c r="T1538" i="3"/>
  <x:c r="E1538" i="3"/>
  <x:c r="D1538" i="3"/>
  <x:c r="C1538" i="3"/>
  <x:c r="B1538" i="3"/>
  <x:c r="AG1537" i="3"/>
  <x:c r="AF1537" i="3"/>
  <x:c r="AE1537" i="3"/>
  <x:c r="AD1537" i="3"/>
  <x:c r="AC1537" i="3"/>
  <x:c r="AB1537" i="3"/>
  <x:c r="AA1537" i="3"/>
  <x:c r="Z1537" i="3"/>
  <x:c r="Y1537" i="3"/>
  <x:c r="X1537" i="3"/>
  <x:c r="W1537" i="3"/>
  <x:c r="V1537" i="3"/>
  <x:c r="U1537" i="3"/>
  <x:c r="T1537" i="3"/>
  <x:c r="E1537" i="3"/>
  <x:c r="D1537" i="3"/>
  <x:c r="C1537" i="3"/>
  <x:c r="B1537" i="3"/>
  <x:c r="AG1536" i="3"/>
  <x:c r="AF1536" i="3"/>
  <x:c r="AE1536" i="3"/>
  <x:c r="AD1536" i="3"/>
  <x:c r="AC1536" i="3"/>
  <x:c r="AB1536" i="3"/>
  <x:c r="AA1536" i="3"/>
  <x:c r="Z1536" i="3"/>
  <x:c r="Y1536" i="3"/>
  <x:c r="X1536" i="3"/>
  <x:c r="W1536" i="3"/>
  <x:c r="V1536" i="3"/>
  <x:c r="U1536" i="3"/>
  <x:c r="T1536" i="3"/>
  <x:c r="E1536" i="3"/>
  <x:c r="D1536" i="3"/>
  <x:c r="C1536" i="3"/>
  <x:c r="B1536" i="3"/>
  <x:c r="AG1535" i="3"/>
  <x:c r="AF1535" i="3"/>
  <x:c r="AE1535" i="3"/>
  <x:c r="AD1535" i="3"/>
  <x:c r="AC1535" i="3"/>
  <x:c r="AB1535" i="3"/>
  <x:c r="AA1535" i="3"/>
  <x:c r="Z1535" i="3"/>
  <x:c r="Y1535" i="3"/>
  <x:c r="X1535" i="3"/>
  <x:c r="W1535" i="3"/>
  <x:c r="V1535" i="3"/>
  <x:c r="U1535" i="3"/>
  <x:c r="T1535" i="3"/>
  <x:c r="E1535" i="3"/>
  <x:c r="D1535" i="3"/>
  <x:c r="C1535" i="3"/>
  <x:c r="B1535" i="3"/>
  <x:c r="AG1534" i="3"/>
  <x:c r="AF1534" i="3"/>
  <x:c r="AE1534" i="3"/>
  <x:c r="AD1534" i="3"/>
  <x:c r="AC1534" i="3"/>
  <x:c r="AB1534" i="3"/>
  <x:c r="AA1534" i="3"/>
  <x:c r="Z1534" i="3"/>
  <x:c r="Y1534" i="3"/>
  <x:c r="X1534" i="3"/>
  <x:c r="W1534" i="3"/>
  <x:c r="V1534" i="3"/>
  <x:c r="U1534" i="3"/>
  <x:c r="T1534" i="3"/>
  <x:c r="E1534" i="3"/>
  <x:c r="D1534" i="3"/>
  <x:c r="C1534" i="3"/>
  <x:c r="B1534" i="3"/>
  <x:c r="AG1533" i="3"/>
  <x:c r="AF1533" i="3"/>
  <x:c r="AE1533" i="3"/>
  <x:c r="AD1533" i="3"/>
  <x:c r="AC1533" i="3"/>
  <x:c r="AB1533" i="3"/>
  <x:c r="AA1533" i="3"/>
  <x:c r="Z1533" i="3"/>
  <x:c r="Y1533" i="3"/>
  <x:c r="X1533" i="3"/>
  <x:c r="W1533" i="3"/>
  <x:c r="V1533" i="3"/>
  <x:c r="U1533" i="3"/>
  <x:c r="T1533" i="3"/>
  <x:c r="E1533" i="3"/>
  <x:c r="D1533" i="3"/>
  <x:c r="C1533" i="3"/>
  <x:c r="B1533" i="3"/>
  <x:c r="AG1532" i="3"/>
  <x:c r="AF1532" i="3"/>
  <x:c r="AE1532" i="3"/>
  <x:c r="AD1532" i="3"/>
  <x:c r="AC1532" i="3"/>
  <x:c r="AB1532" i="3"/>
  <x:c r="AA1532" i="3"/>
  <x:c r="Z1532" i="3"/>
  <x:c r="Y1532" i="3"/>
  <x:c r="X1532" i="3"/>
  <x:c r="W1532" i="3"/>
  <x:c r="V1532" i="3"/>
  <x:c r="U1532" i="3"/>
  <x:c r="T1532" i="3"/>
  <x:c r="E1532" i="3"/>
  <x:c r="D1532" i="3"/>
  <x:c r="C1532" i="3"/>
  <x:c r="B1532" i="3"/>
  <x:c r="AG1531" i="3"/>
  <x:c r="AF1531" i="3"/>
  <x:c r="AE1531" i="3"/>
  <x:c r="AD1531" i="3"/>
  <x:c r="AC1531" i="3"/>
  <x:c r="AB1531" i="3"/>
  <x:c r="AA1531" i="3"/>
  <x:c r="Z1531" i="3"/>
  <x:c r="Y1531" i="3"/>
  <x:c r="X1531" i="3"/>
  <x:c r="W1531" i="3"/>
  <x:c r="V1531" i="3"/>
  <x:c r="U1531" i="3"/>
  <x:c r="T1531" i="3"/>
  <x:c r="E1531" i="3"/>
  <x:c r="D1531" i="3"/>
  <x:c r="C1531" i="3"/>
  <x:c r="B1531" i="3"/>
  <x:c r="AG1530" i="3"/>
  <x:c r="AF1530" i="3"/>
  <x:c r="AE1530" i="3"/>
  <x:c r="AD1530" i="3"/>
  <x:c r="AC1530" i="3"/>
  <x:c r="AB1530" i="3"/>
  <x:c r="AA1530" i="3"/>
  <x:c r="Z1530" i="3"/>
  <x:c r="Y1530" i="3"/>
  <x:c r="X1530" i="3"/>
  <x:c r="W1530" i="3"/>
  <x:c r="V1530" i="3"/>
  <x:c r="U1530" i="3"/>
  <x:c r="T1530" i="3"/>
  <x:c r="E1530" i="3"/>
  <x:c r="D1530" i="3"/>
  <x:c r="C1530" i="3"/>
  <x:c r="B1530" i="3"/>
  <x:c r="AG1529" i="3"/>
  <x:c r="AF1529" i="3"/>
  <x:c r="AE1529" i="3"/>
  <x:c r="AD1529" i="3"/>
  <x:c r="AC1529" i="3"/>
  <x:c r="AB1529" i="3"/>
  <x:c r="AA1529" i="3"/>
  <x:c r="Z1529" i="3"/>
  <x:c r="Y1529" i="3"/>
  <x:c r="X1529" i="3"/>
  <x:c r="W1529" i="3"/>
  <x:c r="V1529" i="3"/>
  <x:c r="U1529" i="3"/>
  <x:c r="T1529" i="3"/>
  <x:c r="E1529" i="3"/>
  <x:c r="D1529" i="3"/>
  <x:c r="C1529" i="3"/>
  <x:c r="B1529" i="3"/>
  <x:c r="AG1528" i="3"/>
  <x:c r="AF1528" i="3"/>
  <x:c r="AE1528" i="3"/>
  <x:c r="AD1528" i="3"/>
  <x:c r="AC1528" i="3"/>
  <x:c r="AB1528" i="3"/>
  <x:c r="AA1528" i="3"/>
  <x:c r="Z1528" i="3"/>
  <x:c r="Y1528" i="3"/>
  <x:c r="X1528" i="3"/>
  <x:c r="W1528" i="3"/>
  <x:c r="V1528" i="3"/>
  <x:c r="U1528" i="3"/>
  <x:c r="T1528" i="3"/>
  <x:c r="E1528" i="3"/>
  <x:c r="D1528" i="3"/>
  <x:c r="C1528" i="3"/>
  <x:c r="B1528" i="3"/>
  <x:c r="AG1527" i="3"/>
  <x:c r="AF1527" i="3"/>
  <x:c r="AE1527" i="3"/>
  <x:c r="AD1527" i="3"/>
  <x:c r="AC1527" i="3"/>
  <x:c r="AB1527" i="3"/>
  <x:c r="AA1527" i="3"/>
  <x:c r="Z1527" i="3"/>
  <x:c r="Y1527" i="3"/>
  <x:c r="X1527" i="3"/>
  <x:c r="W1527" i="3"/>
  <x:c r="V1527" i="3"/>
  <x:c r="U1527" i="3"/>
  <x:c r="T1527" i="3"/>
  <x:c r="E1527" i="3"/>
  <x:c r="D1527" i="3"/>
  <x:c r="C1527" i="3"/>
  <x:c r="B1527" i="3"/>
  <x:c r="AG1526" i="3"/>
  <x:c r="AF1526" i="3"/>
  <x:c r="AE1526" i="3"/>
  <x:c r="AD1526" i="3"/>
  <x:c r="AC1526" i="3"/>
  <x:c r="AB1526" i="3"/>
  <x:c r="AA1526" i="3"/>
  <x:c r="Z1526" i="3"/>
  <x:c r="Y1526" i="3"/>
  <x:c r="X1526" i="3"/>
  <x:c r="W1526" i="3"/>
  <x:c r="V1526" i="3"/>
  <x:c r="U1526" i="3"/>
  <x:c r="T1526" i="3"/>
  <x:c r="E1526" i="3"/>
  <x:c r="D1526" i="3"/>
  <x:c r="C1526" i="3"/>
  <x:c r="B1526" i="3"/>
  <x:c r="AG1525" i="3"/>
  <x:c r="AF1525" i="3"/>
  <x:c r="AE1525" i="3"/>
  <x:c r="AD1525" i="3"/>
  <x:c r="AC1525" i="3"/>
  <x:c r="AB1525" i="3"/>
  <x:c r="AA1525" i="3"/>
  <x:c r="Z1525" i="3"/>
  <x:c r="Y1525" i="3"/>
  <x:c r="X1525" i="3"/>
  <x:c r="W1525" i="3"/>
  <x:c r="V1525" i="3"/>
  <x:c r="U1525" i="3"/>
  <x:c r="T1525" i="3"/>
  <x:c r="E1525" i="3"/>
  <x:c r="D1525" i="3"/>
  <x:c r="C1525" i="3"/>
  <x:c r="B1525" i="3"/>
  <x:c r="AG1524" i="3"/>
  <x:c r="AF1524" i="3"/>
  <x:c r="AE1524" i="3"/>
  <x:c r="AD1524" i="3"/>
  <x:c r="AC1524" i="3"/>
  <x:c r="AB1524" i="3"/>
  <x:c r="AA1524" i="3"/>
  <x:c r="Z1524" i="3"/>
  <x:c r="Y1524" i="3"/>
  <x:c r="X1524" i="3"/>
  <x:c r="W1524" i="3"/>
  <x:c r="V1524" i="3"/>
  <x:c r="U1524" i="3"/>
  <x:c r="T1524" i="3"/>
  <x:c r="E1524" i="3"/>
  <x:c r="D1524" i="3"/>
  <x:c r="C1524" i="3"/>
  <x:c r="B1524" i="3"/>
  <x:c r="AG1523" i="3"/>
  <x:c r="AF1523" i="3"/>
  <x:c r="AE1523" i="3"/>
  <x:c r="AD1523" i="3"/>
  <x:c r="AC1523" i="3"/>
  <x:c r="AB1523" i="3"/>
  <x:c r="AA1523" i="3"/>
  <x:c r="Z1523" i="3"/>
  <x:c r="Y1523" i="3"/>
  <x:c r="X1523" i="3"/>
  <x:c r="W1523" i="3"/>
  <x:c r="V1523" i="3"/>
  <x:c r="U1523" i="3"/>
  <x:c r="T1523" i="3"/>
  <x:c r="E1523" i="3"/>
  <x:c r="D1523" i="3"/>
  <x:c r="C1523" i="3"/>
  <x:c r="B1523" i="3"/>
  <x:c r="AG1522" i="3"/>
  <x:c r="AF1522" i="3"/>
  <x:c r="AE1522" i="3"/>
  <x:c r="AD1522" i="3"/>
  <x:c r="AC1522" i="3"/>
  <x:c r="AB1522" i="3"/>
  <x:c r="AA1522" i="3"/>
  <x:c r="Z1522" i="3"/>
  <x:c r="Y1522" i="3"/>
  <x:c r="X1522" i="3"/>
  <x:c r="W1522" i="3"/>
  <x:c r="V1522" i="3"/>
  <x:c r="U1522" i="3"/>
  <x:c r="T1522" i="3"/>
  <x:c r="E1522" i="3"/>
  <x:c r="D1522" i="3"/>
  <x:c r="C1522" i="3"/>
  <x:c r="B1522" i="3"/>
  <x:c r="AG1521" i="3"/>
  <x:c r="AF1521" i="3"/>
  <x:c r="AE1521" i="3"/>
  <x:c r="AD1521" i="3"/>
  <x:c r="AC1521" i="3"/>
  <x:c r="AB1521" i="3"/>
  <x:c r="AA1521" i="3"/>
  <x:c r="Z1521" i="3"/>
  <x:c r="Y1521" i="3"/>
  <x:c r="X1521" i="3"/>
  <x:c r="W1521" i="3"/>
  <x:c r="V1521" i="3"/>
  <x:c r="U1521" i="3"/>
  <x:c r="T1521" i="3"/>
  <x:c r="E1521" i="3"/>
  <x:c r="D1521" i="3"/>
  <x:c r="C1521" i="3"/>
  <x:c r="B1521" i="3"/>
  <x:c r="AG1520" i="3"/>
  <x:c r="AF1520" i="3"/>
  <x:c r="AE1520" i="3"/>
  <x:c r="AD1520" i="3"/>
  <x:c r="AC1520" i="3"/>
  <x:c r="AB1520" i="3"/>
  <x:c r="AA1520" i="3"/>
  <x:c r="Z1520" i="3"/>
  <x:c r="Y1520" i="3"/>
  <x:c r="X1520" i="3"/>
  <x:c r="W1520" i="3"/>
  <x:c r="V1520" i="3"/>
  <x:c r="U1520" i="3"/>
  <x:c r="T1520" i="3"/>
  <x:c r="E1520" i="3"/>
  <x:c r="D1520" i="3"/>
  <x:c r="C1520" i="3"/>
  <x:c r="B1520" i="3"/>
  <x:c r="AG1519" i="3"/>
  <x:c r="AF1519" i="3"/>
  <x:c r="AE1519" i="3"/>
  <x:c r="AD1519" i="3"/>
  <x:c r="AC1519" i="3"/>
  <x:c r="AB1519" i="3"/>
  <x:c r="AA1519" i="3"/>
  <x:c r="Z1519" i="3"/>
  <x:c r="Y1519" i="3"/>
  <x:c r="X1519" i="3"/>
  <x:c r="W1519" i="3"/>
  <x:c r="V1519" i="3"/>
  <x:c r="U1519" i="3"/>
  <x:c r="T1519" i="3"/>
  <x:c r="E1519" i="3"/>
  <x:c r="D1519" i="3"/>
  <x:c r="C1519" i="3"/>
  <x:c r="B1519" i="3"/>
  <x:c r="AG1518" i="3"/>
  <x:c r="AF1518" i="3"/>
  <x:c r="AE1518" i="3"/>
  <x:c r="AD1518" i="3"/>
  <x:c r="AC1518" i="3"/>
  <x:c r="AB1518" i="3"/>
  <x:c r="AA1518" i="3"/>
  <x:c r="Z1518" i="3"/>
  <x:c r="Y1518" i="3"/>
  <x:c r="X1518" i="3"/>
  <x:c r="W1518" i="3"/>
  <x:c r="V1518" i="3"/>
  <x:c r="U1518" i="3"/>
  <x:c r="T1518" i="3"/>
  <x:c r="E1518" i="3"/>
  <x:c r="D1518" i="3"/>
  <x:c r="C1518" i="3"/>
  <x:c r="B1518" i="3"/>
  <x:c r="AG1517" i="3"/>
  <x:c r="AF1517" i="3"/>
  <x:c r="AE1517" i="3"/>
  <x:c r="AD1517" i="3"/>
  <x:c r="AC1517" i="3"/>
  <x:c r="AB1517" i="3"/>
  <x:c r="AA1517" i="3"/>
  <x:c r="Z1517" i="3"/>
  <x:c r="Y1517" i="3"/>
  <x:c r="X1517" i="3"/>
  <x:c r="W1517" i="3"/>
  <x:c r="V1517" i="3"/>
  <x:c r="U1517" i="3"/>
  <x:c r="T1517" i="3"/>
  <x:c r="E1517" i="3"/>
  <x:c r="D1517" i="3"/>
  <x:c r="C1517" i="3"/>
  <x:c r="B1517" i="3"/>
  <x:c r="AG1516" i="3"/>
  <x:c r="AF1516" i="3"/>
  <x:c r="AE1516" i="3"/>
  <x:c r="AD1516" i="3"/>
  <x:c r="AC1516" i="3"/>
  <x:c r="AB1516" i="3"/>
  <x:c r="AA1516" i="3"/>
  <x:c r="Z1516" i="3"/>
  <x:c r="Y1516" i="3"/>
  <x:c r="X1516" i="3"/>
  <x:c r="W1516" i="3"/>
  <x:c r="V1516" i="3"/>
  <x:c r="U1516" i="3"/>
  <x:c r="T1516" i="3"/>
  <x:c r="E1516" i="3"/>
  <x:c r="D1516" i="3"/>
  <x:c r="C1516" i="3"/>
  <x:c r="B1516" i="3"/>
  <x:c r="AG1515" i="3"/>
  <x:c r="AF1515" i="3"/>
  <x:c r="AE1515" i="3"/>
  <x:c r="AD1515" i="3"/>
  <x:c r="AC1515" i="3"/>
  <x:c r="AB1515" i="3"/>
  <x:c r="AA1515" i="3"/>
  <x:c r="Z1515" i="3"/>
  <x:c r="Y1515" i="3"/>
  <x:c r="X1515" i="3"/>
  <x:c r="W1515" i="3"/>
  <x:c r="V1515" i="3"/>
  <x:c r="U1515" i="3"/>
  <x:c r="T1515" i="3"/>
  <x:c r="E1515" i="3"/>
  <x:c r="D1515" i="3"/>
  <x:c r="C1515" i="3"/>
  <x:c r="B1515" i="3"/>
  <x:c r="AG1514" i="3"/>
  <x:c r="AF1514" i="3"/>
  <x:c r="AE1514" i="3"/>
  <x:c r="AD1514" i="3"/>
  <x:c r="AC1514" i="3"/>
  <x:c r="AB1514" i="3"/>
  <x:c r="AA1514" i="3"/>
  <x:c r="Z1514" i="3"/>
  <x:c r="Y1514" i="3"/>
  <x:c r="X1514" i="3"/>
  <x:c r="W1514" i="3"/>
  <x:c r="V1514" i="3"/>
  <x:c r="U1514" i="3"/>
  <x:c r="T1514" i="3"/>
  <x:c r="E1514" i="3"/>
  <x:c r="D1514" i="3"/>
  <x:c r="C1514" i="3"/>
  <x:c r="B1514" i="3"/>
  <x:c r="AG1513" i="3"/>
  <x:c r="AF1513" i="3"/>
  <x:c r="AE1513" i="3"/>
  <x:c r="AD1513" i="3"/>
  <x:c r="AC1513" i="3"/>
  <x:c r="AB1513" i="3"/>
  <x:c r="AA1513" i="3"/>
  <x:c r="Z1513" i="3"/>
  <x:c r="Y1513" i="3"/>
  <x:c r="X1513" i="3"/>
  <x:c r="W1513" i="3"/>
  <x:c r="V1513" i="3"/>
  <x:c r="U1513" i="3"/>
  <x:c r="T1513" i="3"/>
  <x:c r="E1513" i="3"/>
  <x:c r="D1513" i="3"/>
  <x:c r="C1513" i="3"/>
  <x:c r="B1513" i="3"/>
  <x:c r="AG1512" i="3"/>
  <x:c r="AF1512" i="3"/>
  <x:c r="AE1512" i="3"/>
  <x:c r="AD1512" i="3"/>
  <x:c r="AC1512" i="3"/>
  <x:c r="AB1512" i="3"/>
  <x:c r="AA1512" i="3"/>
  <x:c r="Z1512" i="3"/>
  <x:c r="Y1512" i="3"/>
  <x:c r="X1512" i="3"/>
  <x:c r="W1512" i="3"/>
  <x:c r="V1512" i="3"/>
  <x:c r="U1512" i="3"/>
  <x:c r="T1512" i="3"/>
  <x:c r="E1512" i="3"/>
  <x:c r="D1512" i="3"/>
  <x:c r="C1512" i="3"/>
  <x:c r="B1512" i="3"/>
  <x:c r="AG1511" i="3"/>
  <x:c r="AF1511" i="3"/>
  <x:c r="AE1511" i="3"/>
  <x:c r="AD1511" i="3"/>
  <x:c r="AC1511" i="3"/>
  <x:c r="AB1511" i="3"/>
  <x:c r="AA1511" i="3"/>
  <x:c r="Z1511" i="3"/>
  <x:c r="Y1511" i="3"/>
  <x:c r="X1511" i="3"/>
  <x:c r="W1511" i="3"/>
  <x:c r="V1511" i="3"/>
  <x:c r="U1511" i="3"/>
  <x:c r="T1511" i="3"/>
  <x:c r="E1511" i="3"/>
  <x:c r="D1511" i="3"/>
  <x:c r="C1511" i="3"/>
  <x:c r="B1511" i="3"/>
  <x:c r="AG1510" i="3"/>
  <x:c r="AF1510" i="3"/>
  <x:c r="AE1510" i="3"/>
  <x:c r="AD1510" i="3"/>
  <x:c r="AC1510" i="3"/>
  <x:c r="AB1510" i="3"/>
  <x:c r="AA1510" i="3"/>
  <x:c r="Z1510" i="3"/>
  <x:c r="Y1510" i="3"/>
  <x:c r="X1510" i="3"/>
  <x:c r="W1510" i="3"/>
  <x:c r="V1510" i="3"/>
  <x:c r="U1510" i="3"/>
  <x:c r="T1510" i="3"/>
  <x:c r="E1510" i="3"/>
  <x:c r="D1510" i="3"/>
  <x:c r="C1510" i="3"/>
  <x:c r="B1510" i="3"/>
  <x:c r="AG1509" i="3"/>
  <x:c r="AF1509" i="3"/>
  <x:c r="AE1509" i="3"/>
  <x:c r="AD1509" i="3"/>
  <x:c r="AC1509" i="3"/>
  <x:c r="AB1509" i="3"/>
  <x:c r="AA1509" i="3"/>
  <x:c r="Z1509" i="3"/>
  <x:c r="Y1509" i="3"/>
  <x:c r="X1509" i="3"/>
  <x:c r="W1509" i="3"/>
  <x:c r="V1509" i="3"/>
  <x:c r="U1509" i="3"/>
  <x:c r="T1509" i="3"/>
  <x:c r="E1509" i="3"/>
  <x:c r="D1509" i="3"/>
  <x:c r="C1509" i="3"/>
  <x:c r="B1509" i="3"/>
  <x:c r="AG1508" i="3"/>
  <x:c r="AF1508" i="3"/>
  <x:c r="AE1508" i="3"/>
  <x:c r="AD1508" i="3"/>
  <x:c r="AC1508" i="3"/>
  <x:c r="AB1508" i="3"/>
  <x:c r="AA1508" i="3"/>
  <x:c r="Z1508" i="3"/>
  <x:c r="Y1508" i="3"/>
  <x:c r="X1508" i="3"/>
  <x:c r="W1508" i="3"/>
  <x:c r="V1508" i="3"/>
  <x:c r="U1508" i="3"/>
  <x:c r="T1508" i="3"/>
  <x:c r="E1508" i="3"/>
  <x:c r="D1508" i="3"/>
  <x:c r="C1508" i="3"/>
  <x:c r="B1508" i="3"/>
  <x:c r="AG1507" i="3"/>
  <x:c r="AF1507" i="3"/>
  <x:c r="AE1507" i="3"/>
  <x:c r="AD1507" i="3"/>
  <x:c r="AC1507" i="3"/>
  <x:c r="AB1507" i="3"/>
  <x:c r="AA1507" i="3"/>
  <x:c r="Z1507" i="3"/>
  <x:c r="Y1507" i="3"/>
  <x:c r="X1507" i="3"/>
  <x:c r="W1507" i="3"/>
  <x:c r="V1507" i="3"/>
  <x:c r="U1507" i="3"/>
  <x:c r="T1507" i="3"/>
  <x:c r="E1507" i="3"/>
  <x:c r="D1507" i="3"/>
  <x:c r="C1507" i="3"/>
  <x:c r="B1507" i="3"/>
  <x:c r="AG1506" i="3"/>
  <x:c r="AF1506" i="3"/>
  <x:c r="AE1506" i="3"/>
  <x:c r="AD1506" i="3"/>
  <x:c r="AC1506" i="3"/>
  <x:c r="AB1506" i="3"/>
  <x:c r="AA1506" i="3"/>
  <x:c r="Z1506" i="3"/>
  <x:c r="Y1506" i="3"/>
  <x:c r="X1506" i="3"/>
  <x:c r="W1506" i="3"/>
  <x:c r="V1506" i="3"/>
  <x:c r="U1506" i="3"/>
  <x:c r="T1506" i="3"/>
  <x:c r="E1506" i="3"/>
  <x:c r="D1506" i="3"/>
  <x:c r="C1506" i="3"/>
  <x:c r="B1506" i="3"/>
  <x:c r="AG1505" i="3"/>
  <x:c r="AF1505" i="3"/>
  <x:c r="AE1505" i="3"/>
  <x:c r="AD1505" i="3"/>
  <x:c r="AC1505" i="3"/>
  <x:c r="AB1505" i="3"/>
  <x:c r="AA1505" i="3"/>
  <x:c r="Z1505" i="3"/>
  <x:c r="Y1505" i="3"/>
  <x:c r="X1505" i="3"/>
  <x:c r="W1505" i="3"/>
  <x:c r="V1505" i="3"/>
  <x:c r="U1505" i="3"/>
  <x:c r="T1505" i="3"/>
  <x:c r="E1505" i="3"/>
  <x:c r="D1505" i="3"/>
  <x:c r="C1505" i="3"/>
  <x:c r="B1505" i="3"/>
  <x:c r="AG1504" i="3"/>
  <x:c r="AF1504" i="3"/>
  <x:c r="AE1504" i="3"/>
  <x:c r="AD1504" i="3"/>
  <x:c r="AC1504" i="3"/>
  <x:c r="AB1504" i="3"/>
  <x:c r="AA1504" i="3"/>
  <x:c r="Z1504" i="3"/>
  <x:c r="Y1504" i="3"/>
  <x:c r="X1504" i="3"/>
  <x:c r="W1504" i="3"/>
  <x:c r="V1504" i="3"/>
  <x:c r="U1504" i="3"/>
  <x:c r="T1504" i="3"/>
  <x:c r="E1504" i="3"/>
  <x:c r="D1504" i="3"/>
  <x:c r="C1504" i="3"/>
  <x:c r="B1504" i="3"/>
  <x:c r="AG1503" i="3"/>
  <x:c r="AF1503" i="3"/>
  <x:c r="AE1503" i="3"/>
  <x:c r="AD1503" i="3"/>
  <x:c r="AC1503" i="3"/>
  <x:c r="AB1503" i="3"/>
  <x:c r="AA1503" i="3"/>
  <x:c r="Z1503" i="3"/>
  <x:c r="Y1503" i="3"/>
  <x:c r="X1503" i="3"/>
  <x:c r="W1503" i="3"/>
  <x:c r="V1503" i="3"/>
  <x:c r="U1503" i="3"/>
  <x:c r="T1503" i="3"/>
  <x:c r="E1503" i="3"/>
  <x:c r="D1503" i="3"/>
  <x:c r="C1503" i="3"/>
  <x:c r="B1503" i="3"/>
  <x:c r="AG1502" i="3"/>
  <x:c r="AF1502" i="3"/>
  <x:c r="AE1502" i="3"/>
  <x:c r="AD1502" i="3"/>
  <x:c r="AC1502" i="3"/>
  <x:c r="AB1502" i="3"/>
  <x:c r="AA1502" i="3"/>
  <x:c r="Z1502" i="3"/>
  <x:c r="Y1502" i="3"/>
  <x:c r="X1502" i="3"/>
  <x:c r="W1502" i="3"/>
  <x:c r="V1502" i="3"/>
  <x:c r="U1502" i="3"/>
  <x:c r="T1502" i="3"/>
  <x:c r="E1502" i="3"/>
  <x:c r="D1502" i="3"/>
  <x:c r="C1502" i="3"/>
  <x:c r="B1502" i="3"/>
  <x:c r="AG1501" i="3"/>
  <x:c r="AF1501" i="3"/>
  <x:c r="AE1501" i="3"/>
  <x:c r="AD1501" i="3"/>
  <x:c r="AC1501" i="3"/>
  <x:c r="AB1501" i="3"/>
  <x:c r="AA1501" i="3"/>
  <x:c r="Z1501" i="3"/>
  <x:c r="Y1501" i="3"/>
  <x:c r="X1501" i="3"/>
  <x:c r="W1501" i="3"/>
  <x:c r="V1501" i="3"/>
  <x:c r="U1501" i="3"/>
  <x:c r="T1501" i="3"/>
  <x:c r="E1501" i="3"/>
  <x:c r="D1501" i="3"/>
  <x:c r="C1501" i="3"/>
  <x:c r="B1501" i="3"/>
  <x:c r="AG1500" i="3"/>
  <x:c r="AF1500" i="3"/>
  <x:c r="AE1500" i="3"/>
  <x:c r="AD1500" i="3"/>
  <x:c r="AC1500" i="3"/>
  <x:c r="AB1500" i="3"/>
  <x:c r="AA1500" i="3"/>
  <x:c r="Z1500" i="3"/>
  <x:c r="Y1500" i="3"/>
  <x:c r="X1500" i="3"/>
  <x:c r="W1500" i="3"/>
  <x:c r="V1500" i="3"/>
  <x:c r="U1500" i="3"/>
  <x:c r="T1500" i="3"/>
  <x:c r="E1500" i="3"/>
  <x:c r="D1500" i="3"/>
  <x:c r="C1500" i="3"/>
  <x:c r="B1500" i="3"/>
  <x:c r="AG1499" i="3"/>
  <x:c r="AF1499" i="3"/>
  <x:c r="AE1499" i="3"/>
  <x:c r="AD1499" i="3"/>
  <x:c r="AC1499" i="3"/>
  <x:c r="AB1499" i="3"/>
  <x:c r="AA1499" i="3"/>
  <x:c r="Z1499" i="3"/>
  <x:c r="Y1499" i="3"/>
  <x:c r="X1499" i="3"/>
  <x:c r="W1499" i="3"/>
  <x:c r="V1499" i="3"/>
  <x:c r="U1499" i="3"/>
  <x:c r="T1499" i="3"/>
  <x:c r="E1499" i="3"/>
  <x:c r="D1499" i="3"/>
  <x:c r="C1499" i="3"/>
  <x:c r="B1499" i="3"/>
  <x:c r="AG1498" i="3"/>
  <x:c r="AF1498" i="3"/>
  <x:c r="AE1498" i="3"/>
  <x:c r="AD1498" i="3"/>
  <x:c r="AC1498" i="3"/>
  <x:c r="AB1498" i="3"/>
  <x:c r="AA1498" i="3"/>
  <x:c r="Z1498" i="3"/>
  <x:c r="Y1498" i="3"/>
  <x:c r="X1498" i="3"/>
  <x:c r="W1498" i="3"/>
  <x:c r="V1498" i="3"/>
  <x:c r="U1498" i="3"/>
  <x:c r="T1498" i="3"/>
  <x:c r="E1498" i="3"/>
  <x:c r="D1498" i="3"/>
  <x:c r="C1498" i="3"/>
  <x:c r="B1498" i="3"/>
  <x:c r="AG1497" i="3"/>
  <x:c r="AF1497" i="3"/>
  <x:c r="AE1497" i="3"/>
  <x:c r="AD1497" i="3"/>
  <x:c r="AC1497" i="3"/>
  <x:c r="AB1497" i="3"/>
  <x:c r="AA1497" i="3"/>
  <x:c r="Z1497" i="3"/>
  <x:c r="Y1497" i="3"/>
  <x:c r="X1497" i="3"/>
  <x:c r="W1497" i="3"/>
  <x:c r="V1497" i="3"/>
  <x:c r="U1497" i="3"/>
  <x:c r="T1497" i="3"/>
  <x:c r="E1497" i="3"/>
  <x:c r="D1497" i="3"/>
  <x:c r="C1497" i="3"/>
  <x:c r="B1497" i="3"/>
  <x:c r="AG1496" i="3"/>
  <x:c r="AF1496" i="3"/>
  <x:c r="AE1496" i="3"/>
  <x:c r="AD1496" i="3"/>
  <x:c r="AC1496" i="3"/>
  <x:c r="AB1496" i="3"/>
  <x:c r="AA1496" i="3"/>
  <x:c r="Z1496" i="3"/>
  <x:c r="Y1496" i="3"/>
  <x:c r="X1496" i="3"/>
  <x:c r="W1496" i="3"/>
  <x:c r="V1496" i="3"/>
  <x:c r="U1496" i="3"/>
  <x:c r="T1496" i="3"/>
  <x:c r="E1496" i="3"/>
  <x:c r="D1496" i="3"/>
  <x:c r="C1496" i="3"/>
  <x:c r="B1496" i="3"/>
  <x:c r="AG1495" i="3"/>
  <x:c r="AF1495" i="3"/>
  <x:c r="AE1495" i="3"/>
  <x:c r="AD1495" i="3"/>
  <x:c r="AC1495" i="3"/>
  <x:c r="AB1495" i="3"/>
  <x:c r="AA1495" i="3"/>
  <x:c r="Z1495" i="3"/>
  <x:c r="Y1495" i="3"/>
  <x:c r="X1495" i="3"/>
  <x:c r="W1495" i="3"/>
  <x:c r="V1495" i="3"/>
  <x:c r="U1495" i="3"/>
  <x:c r="T1495" i="3"/>
  <x:c r="E1495" i="3"/>
  <x:c r="D1495" i="3"/>
  <x:c r="C1495" i="3"/>
  <x:c r="B1495" i="3"/>
  <x:c r="AG1494" i="3"/>
  <x:c r="AF1494" i="3"/>
  <x:c r="AE1494" i="3"/>
  <x:c r="AD1494" i="3"/>
  <x:c r="AC1494" i="3"/>
  <x:c r="AB1494" i="3"/>
  <x:c r="AA1494" i="3"/>
  <x:c r="Z1494" i="3"/>
  <x:c r="Y1494" i="3"/>
  <x:c r="X1494" i="3"/>
  <x:c r="W1494" i="3"/>
  <x:c r="V1494" i="3"/>
  <x:c r="U1494" i="3"/>
  <x:c r="T1494" i="3"/>
  <x:c r="E1494" i="3"/>
  <x:c r="D1494" i="3"/>
  <x:c r="C1494" i="3"/>
  <x:c r="B1494" i="3"/>
  <x:c r="AG1493" i="3"/>
  <x:c r="AF1493" i="3"/>
  <x:c r="AE1493" i="3"/>
  <x:c r="AD1493" i="3"/>
  <x:c r="AC1493" i="3"/>
  <x:c r="AB1493" i="3"/>
  <x:c r="AA1493" i="3"/>
  <x:c r="Z1493" i="3"/>
  <x:c r="Y1493" i="3"/>
  <x:c r="X1493" i="3"/>
  <x:c r="W1493" i="3"/>
  <x:c r="V1493" i="3"/>
  <x:c r="U1493" i="3"/>
  <x:c r="T1493" i="3"/>
  <x:c r="E1493" i="3"/>
  <x:c r="D1493" i="3"/>
  <x:c r="C1493" i="3"/>
  <x:c r="B1493" i="3"/>
  <x:c r="AG1492" i="3"/>
  <x:c r="AF1492" i="3"/>
  <x:c r="AE1492" i="3"/>
  <x:c r="AD1492" i="3"/>
  <x:c r="AC1492" i="3"/>
  <x:c r="AB1492" i="3"/>
  <x:c r="AA1492" i="3"/>
  <x:c r="Z1492" i="3"/>
  <x:c r="Y1492" i="3"/>
  <x:c r="X1492" i="3"/>
  <x:c r="W1492" i="3"/>
  <x:c r="V1492" i="3"/>
  <x:c r="U1492" i="3"/>
  <x:c r="T1492" i="3"/>
  <x:c r="E1492" i="3"/>
  <x:c r="D1492" i="3"/>
  <x:c r="C1492" i="3"/>
  <x:c r="B1492" i="3"/>
  <x:c r="AG1491" i="3"/>
  <x:c r="AF1491" i="3"/>
  <x:c r="AE1491" i="3"/>
  <x:c r="AD1491" i="3"/>
  <x:c r="AC1491" i="3"/>
  <x:c r="AB1491" i="3"/>
  <x:c r="AA1491" i="3"/>
  <x:c r="Z1491" i="3"/>
  <x:c r="Y1491" i="3"/>
  <x:c r="X1491" i="3"/>
  <x:c r="W1491" i="3"/>
  <x:c r="V1491" i="3"/>
  <x:c r="U1491" i="3"/>
  <x:c r="T1491" i="3"/>
  <x:c r="E1491" i="3"/>
  <x:c r="D1491" i="3"/>
  <x:c r="C1491" i="3"/>
  <x:c r="B1491" i="3"/>
  <x:c r="AG1490" i="3"/>
  <x:c r="AF1490" i="3"/>
  <x:c r="AE1490" i="3"/>
  <x:c r="AD1490" i="3"/>
  <x:c r="AC1490" i="3"/>
  <x:c r="AB1490" i="3"/>
  <x:c r="AA1490" i="3"/>
  <x:c r="Z1490" i="3"/>
  <x:c r="Y1490" i="3"/>
  <x:c r="X1490" i="3"/>
  <x:c r="W1490" i="3"/>
  <x:c r="V1490" i="3"/>
  <x:c r="U1490" i="3"/>
  <x:c r="T1490" i="3"/>
  <x:c r="E1490" i="3"/>
  <x:c r="D1490" i="3"/>
  <x:c r="C1490" i="3"/>
  <x:c r="B1490" i="3"/>
  <x:c r="AG1489" i="3"/>
  <x:c r="AF1489" i="3"/>
  <x:c r="AE1489" i="3"/>
  <x:c r="AD1489" i="3"/>
  <x:c r="AC1489" i="3"/>
  <x:c r="AB1489" i="3"/>
  <x:c r="AA1489" i="3"/>
  <x:c r="Z1489" i="3"/>
  <x:c r="Y1489" i="3"/>
  <x:c r="X1489" i="3"/>
  <x:c r="W1489" i="3"/>
  <x:c r="V1489" i="3"/>
  <x:c r="U1489" i="3"/>
  <x:c r="T1489" i="3"/>
  <x:c r="E1489" i="3"/>
  <x:c r="D1489" i="3"/>
  <x:c r="C1489" i="3"/>
  <x:c r="B1489" i="3"/>
  <x:c r="AG1488" i="3"/>
  <x:c r="AF1488" i="3"/>
  <x:c r="AE1488" i="3"/>
  <x:c r="AD1488" i="3"/>
  <x:c r="AC1488" i="3"/>
  <x:c r="AB1488" i="3"/>
  <x:c r="AA1488" i="3"/>
  <x:c r="Z1488" i="3"/>
  <x:c r="Y1488" i="3"/>
  <x:c r="X1488" i="3"/>
  <x:c r="W1488" i="3"/>
  <x:c r="V1488" i="3"/>
  <x:c r="U1488" i="3"/>
  <x:c r="T1488" i="3"/>
  <x:c r="E1488" i="3"/>
  <x:c r="D1488" i="3"/>
  <x:c r="C1488" i="3"/>
  <x:c r="B1488" i="3"/>
  <x:c r="AG1487" i="3"/>
  <x:c r="AF1487" i="3"/>
  <x:c r="AE1487" i="3"/>
  <x:c r="AD1487" i="3"/>
  <x:c r="AC1487" i="3"/>
  <x:c r="AB1487" i="3"/>
  <x:c r="AA1487" i="3"/>
  <x:c r="Z1487" i="3"/>
  <x:c r="Y1487" i="3"/>
  <x:c r="X1487" i="3"/>
  <x:c r="W1487" i="3"/>
  <x:c r="V1487" i="3"/>
  <x:c r="U1487" i="3"/>
  <x:c r="T1487" i="3"/>
  <x:c r="E1487" i="3"/>
  <x:c r="D1487" i="3"/>
  <x:c r="C1487" i="3"/>
  <x:c r="B1487" i="3"/>
  <x:c r="AG1486" i="3"/>
  <x:c r="AF1486" i="3"/>
  <x:c r="AE1486" i="3"/>
  <x:c r="AD1486" i="3"/>
  <x:c r="AC1486" i="3"/>
  <x:c r="AB1486" i="3"/>
  <x:c r="AA1486" i="3"/>
  <x:c r="Z1486" i="3"/>
  <x:c r="Y1486" i="3"/>
  <x:c r="X1486" i="3"/>
  <x:c r="W1486" i="3"/>
  <x:c r="V1486" i="3"/>
  <x:c r="U1486" i="3"/>
  <x:c r="T1486" i="3"/>
  <x:c r="E1486" i="3"/>
  <x:c r="D1486" i="3"/>
  <x:c r="C1486" i="3"/>
  <x:c r="B1486" i="3"/>
  <x:c r="AG1485" i="3"/>
  <x:c r="AF1485" i="3"/>
  <x:c r="AE1485" i="3"/>
  <x:c r="AD1485" i="3"/>
  <x:c r="AC1485" i="3"/>
  <x:c r="AB1485" i="3"/>
  <x:c r="AA1485" i="3"/>
  <x:c r="Z1485" i="3"/>
  <x:c r="Y1485" i="3"/>
  <x:c r="X1485" i="3"/>
  <x:c r="W1485" i="3"/>
  <x:c r="V1485" i="3"/>
  <x:c r="U1485" i="3"/>
  <x:c r="T1485" i="3"/>
  <x:c r="E1485" i="3"/>
  <x:c r="D1485" i="3"/>
  <x:c r="C1485" i="3"/>
  <x:c r="B1485" i="3"/>
  <x:c r="AG1484" i="3"/>
  <x:c r="AF1484" i="3"/>
  <x:c r="AE1484" i="3"/>
  <x:c r="AD1484" i="3"/>
  <x:c r="AC1484" i="3"/>
  <x:c r="AB1484" i="3"/>
  <x:c r="AA1484" i="3"/>
  <x:c r="Z1484" i="3"/>
  <x:c r="Y1484" i="3"/>
  <x:c r="X1484" i="3"/>
  <x:c r="W1484" i="3"/>
  <x:c r="V1484" i="3"/>
  <x:c r="U1484" i="3"/>
  <x:c r="T1484" i="3"/>
  <x:c r="E1484" i="3"/>
  <x:c r="D1484" i="3"/>
  <x:c r="C1484" i="3"/>
  <x:c r="B1484" i="3"/>
  <x:c r="AG1483" i="3"/>
  <x:c r="AF1483" i="3"/>
  <x:c r="AE1483" i="3"/>
  <x:c r="AD1483" i="3"/>
  <x:c r="AC1483" i="3"/>
  <x:c r="AB1483" i="3"/>
  <x:c r="AA1483" i="3"/>
  <x:c r="Z1483" i="3"/>
  <x:c r="Y1483" i="3"/>
  <x:c r="X1483" i="3"/>
  <x:c r="W1483" i="3"/>
  <x:c r="V1483" i="3"/>
  <x:c r="U1483" i="3"/>
  <x:c r="T1483" i="3"/>
  <x:c r="E1483" i="3"/>
  <x:c r="D1483" i="3"/>
  <x:c r="C1483" i="3"/>
  <x:c r="B1483" i="3"/>
  <x:c r="AG1482" i="3"/>
  <x:c r="AF1482" i="3"/>
  <x:c r="AE1482" i="3"/>
  <x:c r="AD1482" i="3"/>
  <x:c r="AC1482" i="3"/>
  <x:c r="AB1482" i="3"/>
  <x:c r="AA1482" i="3"/>
  <x:c r="Z1482" i="3"/>
  <x:c r="Y1482" i="3"/>
  <x:c r="X1482" i="3"/>
  <x:c r="W1482" i="3"/>
  <x:c r="V1482" i="3"/>
  <x:c r="U1482" i="3"/>
  <x:c r="T1482" i="3"/>
  <x:c r="E1482" i="3"/>
  <x:c r="D1482" i="3"/>
  <x:c r="C1482" i="3"/>
  <x:c r="B1482" i="3"/>
  <x:c r="AG1481" i="3"/>
  <x:c r="AF1481" i="3"/>
  <x:c r="AE1481" i="3"/>
  <x:c r="AD1481" i="3"/>
  <x:c r="AC1481" i="3"/>
  <x:c r="AB1481" i="3"/>
  <x:c r="AA1481" i="3"/>
  <x:c r="Z1481" i="3"/>
  <x:c r="Y1481" i="3"/>
  <x:c r="X1481" i="3"/>
  <x:c r="W1481" i="3"/>
  <x:c r="V1481" i="3"/>
  <x:c r="U1481" i="3"/>
  <x:c r="T1481" i="3"/>
  <x:c r="E1481" i="3"/>
  <x:c r="D1481" i="3"/>
  <x:c r="C1481" i="3"/>
  <x:c r="B1481" i="3"/>
  <x:c r="AG1480" i="3"/>
  <x:c r="AF1480" i="3"/>
  <x:c r="AE1480" i="3"/>
  <x:c r="AD1480" i="3"/>
  <x:c r="AC1480" i="3"/>
  <x:c r="AB1480" i="3"/>
  <x:c r="AA1480" i="3"/>
  <x:c r="Z1480" i="3"/>
  <x:c r="Y1480" i="3"/>
  <x:c r="X1480" i="3"/>
  <x:c r="W1480" i="3"/>
  <x:c r="V1480" i="3"/>
  <x:c r="U1480" i="3"/>
  <x:c r="T1480" i="3"/>
  <x:c r="E1480" i="3"/>
  <x:c r="D1480" i="3"/>
  <x:c r="C1480" i="3"/>
  <x:c r="B1480" i="3"/>
  <x:c r="AG1479" i="3"/>
  <x:c r="AF1479" i="3"/>
  <x:c r="AE1479" i="3"/>
  <x:c r="AD1479" i="3"/>
  <x:c r="AC1479" i="3"/>
  <x:c r="AB1479" i="3"/>
  <x:c r="AA1479" i="3"/>
  <x:c r="Z1479" i="3"/>
  <x:c r="Y1479" i="3"/>
  <x:c r="X1479" i="3"/>
  <x:c r="W1479" i="3"/>
  <x:c r="V1479" i="3"/>
  <x:c r="U1479" i="3"/>
  <x:c r="T1479" i="3"/>
  <x:c r="E1479" i="3"/>
  <x:c r="D1479" i="3"/>
  <x:c r="C1479" i="3"/>
  <x:c r="B1479" i="3"/>
  <x:c r="AG1478" i="3"/>
  <x:c r="AF1478" i="3"/>
  <x:c r="AE1478" i="3"/>
  <x:c r="AD1478" i="3"/>
  <x:c r="AC1478" i="3"/>
  <x:c r="AB1478" i="3"/>
  <x:c r="AA1478" i="3"/>
  <x:c r="Z1478" i="3"/>
  <x:c r="Y1478" i="3"/>
  <x:c r="X1478" i="3"/>
  <x:c r="W1478" i="3"/>
  <x:c r="V1478" i="3"/>
  <x:c r="U1478" i="3"/>
  <x:c r="T1478" i="3"/>
  <x:c r="E1478" i="3"/>
  <x:c r="D1478" i="3"/>
  <x:c r="C1478" i="3"/>
  <x:c r="B1478" i="3"/>
  <x:c r="AG1477" i="3"/>
  <x:c r="AF1477" i="3"/>
  <x:c r="AE1477" i="3"/>
  <x:c r="AD1477" i="3"/>
  <x:c r="AC1477" i="3"/>
  <x:c r="AB1477" i="3"/>
  <x:c r="AA1477" i="3"/>
  <x:c r="Z1477" i="3"/>
  <x:c r="Y1477" i="3"/>
  <x:c r="X1477" i="3"/>
  <x:c r="W1477" i="3"/>
  <x:c r="V1477" i="3"/>
  <x:c r="U1477" i="3"/>
  <x:c r="T1477" i="3"/>
  <x:c r="E1477" i="3"/>
  <x:c r="D1477" i="3"/>
  <x:c r="C1477" i="3"/>
  <x:c r="B1477" i="3"/>
  <x:c r="AG1476" i="3"/>
  <x:c r="AF1476" i="3"/>
  <x:c r="AE1476" i="3"/>
  <x:c r="AD1476" i="3"/>
  <x:c r="AC1476" i="3"/>
  <x:c r="AB1476" i="3"/>
  <x:c r="AA1476" i="3"/>
  <x:c r="Z1476" i="3"/>
  <x:c r="Y1476" i="3"/>
  <x:c r="X1476" i="3"/>
  <x:c r="W1476" i="3"/>
  <x:c r="V1476" i="3"/>
  <x:c r="U1476" i="3"/>
  <x:c r="T1476" i="3"/>
  <x:c r="E1476" i="3"/>
  <x:c r="D1476" i="3"/>
  <x:c r="C1476" i="3"/>
  <x:c r="B1476" i="3"/>
  <x:c r="AG1475" i="3"/>
  <x:c r="AF1475" i="3"/>
  <x:c r="AE1475" i="3"/>
  <x:c r="AD1475" i="3"/>
  <x:c r="AC1475" i="3"/>
  <x:c r="AB1475" i="3"/>
  <x:c r="AA1475" i="3"/>
  <x:c r="Z1475" i="3"/>
  <x:c r="Y1475" i="3"/>
  <x:c r="X1475" i="3"/>
  <x:c r="W1475" i="3"/>
  <x:c r="V1475" i="3"/>
  <x:c r="U1475" i="3"/>
  <x:c r="T1475" i="3"/>
  <x:c r="E1475" i="3"/>
  <x:c r="D1475" i="3"/>
  <x:c r="C1475" i="3"/>
  <x:c r="B1475" i="3"/>
  <x:c r="AG1474" i="3"/>
  <x:c r="AF1474" i="3"/>
  <x:c r="AE1474" i="3"/>
  <x:c r="AD1474" i="3"/>
  <x:c r="AC1474" i="3"/>
  <x:c r="AB1474" i="3"/>
  <x:c r="AA1474" i="3"/>
  <x:c r="Z1474" i="3"/>
  <x:c r="Y1474" i="3"/>
  <x:c r="X1474" i="3"/>
  <x:c r="W1474" i="3"/>
  <x:c r="V1474" i="3"/>
  <x:c r="U1474" i="3"/>
  <x:c r="T1474" i="3"/>
  <x:c r="E1474" i="3"/>
  <x:c r="D1474" i="3"/>
  <x:c r="C1474" i="3"/>
  <x:c r="B1474" i="3"/>
  <x:c r="AG1473" i="3"/>
  <x:c r="AF1473" i="3"/>
  <x:c r="AE1473" i="3"/>
  <x:c r="AD1473" i="3"/>
  <x:c r="AC1473" i="3"/>
  <x:c r="AB1473" i="3"/>
  <x:c r="AA1473" i="3"/>
  <x:c r="Z1473" i="3"/>
  <x:c r="Y1473" i="3"/>
  <x:c r="X1473" i="3"/>
  <x:c r="W1473" i="3"/>
  <x:c r="V1473" i="3"/>
  <x:c r="U1473" i="3"/>
  <x:c r="T1473" i="3"/>
  <x:c r="E1473" i="3"/>
  <x:c r="D1473" i="3"/>
  <x:c r="C1473" i="3"/>
  <x:c r="B1473" i="3"/>
  <x:c r="AG1472" i="3"/>
  <x:c r="AF1472" i="3"/>
  <x:c r="AE1472" i="3"/>
  <x:c r="AD1472" i="3"/>
  <x:c r="AC1472" i="3"/>
  <x:c r="AB1472" i="3"/>
  <x:c r="AA1472" i="3"/>
  <x:c r="Z1472" i="3"/>
  <x:c r="Y1472" i="3"/>
  <x:c r="X1472" i="3"/>
  <x:c r="W1472" i="3"/>
  <x:c r="V1472" i="3"/>
  <x:c r="U1472" i="3"/>
  <x:c r="T1472" i="3"/>
  <x:c r="E1472" i="3"/>
  <x:c r="D1472" i="3"/>
  <x:c r="C1472" i="3"/>
  <x:c r="B1472" i="3"/>
  <x:c r="AG1471" i="3"/>
  <x:c r="AF1471" i="3"/>
  <x:c r="AE1471" i="3"/>
  <x:c r="AD1471" i="3"/>
  <x:c r="AC1471" i="3"/>
  <x:c r="AB1471" i="3"/>
  <x:c r="AA1471" i="3"/>
  <x:c r="Z1471" i="3"/>
  <x:c r="Y1471" i="3"/>
  <x:c r="X1471" i="3"/>
  <x:c r="W1471" i="3"/>
  <x:c r="V1471" i="3"/>
  <x:c r="U1471" i="3"/>
  <x:c r="T1471" i="3"/>
  <x:c r="E1471" i="3"/>
  <x:c r="D1471" i="3"/>
  <x:c r="C1471" i="3"/>
  <x:c r="B1471" i="3"/>
  <x:c r="AG1470" i="3"/>
  <x:c r="AF1470" i="3"/>
  <x:c r="AE1470" i="3"/>
  <x:c r="AD1470" i="3"/>
  <x:c r="AC1470" i="3"/>
  <x:c r="AB1470" i="3"/>
  <x:c r="AA1470" i="3"/>
  <x:c r="Z1470" i="3"/>
  <x:c r="Y1470" i="3"/>
  <x:c r="X1470" i="3"/>
  <x:c r="W1470" i="3"/>
  <x:c r="V1470" i="3"/>
  <x:c r="U1470" i="3"/>
  <x:c r="T1470" i="3"/>
  <x:c r="E1470" i="3"/>
  <x:c r="D1470" i="3"/>
  <x:c r="C1470" i="3"/>
  <x:c r="B1470" i="3"/>
  <x:c r="AG1469" i="3"/>
  <x:c r="AF1469" i="3"/>
  <x:c r="AE1469" i="3"/>
  <x:c r="AD1469" i="3"/>
  <x:c r="AC1469" i="3"/>
  <x:c r="AB1469" i="3"/>
  <x:c r="AA1469" i="3"/>
  <x:c r="Z1469" i="3"/>
  <x:c r="Y1469" i="3"/>
  <x:c r="X1469" i="3"/>
  <x:c r="W1469" i="3"/>
  <x:c r="V1469" i="3"/>
  <x:c r="U1469" i="3"/>
  <x:c r="T1469" i="3"/>
  <x:c r="E1469" i="3"/>
  <x:c r="D1469" i="3"/>
  <x:c r="C1469" i="3"/>
  <x:c r="B1469" i="3"/>
  <x:c r="AG1468" i="3"/>
  <x:c r="AF1468" i="3"/>
  <x:c r="AE1468" i="3"/>
  <x:c r="AD1468" i="3"/>
  <x:c r="AC1468" i="3"/>
  <x:c r="AB1468" i="3"/>
  <x:c r="AA1468" i="3"/>
  <x:c r="Z1468" i="3"/>
  <x:c r="Y1468" i="3"/>
  <x:c r="X1468" i="3"/>
  <x:c r="W1468" i="3"/>
  <x:c r="V1468" i="3"/>
  <x:c r="U1468" i="3"/>
  <x:c r="T1468" i="3"/>
  <x:c r="E1468" i="3"/>
  <x:c r="D1468" i="3"/>
  <x:c r="C1468" i="3"/>
  <x:c r="B1468" i="3"/>
  <x:c r="AG1467" i="3"/>
  <x:c r="AF1467" i="3"/>
  <x:c r="AE1467" i="3"/>
  <x:c r="AD1467" i="3"/>
  <x:c r="AC1467" i="3"/>
  <x:c r="AB1467" i="3"/>
  <x:c r="AA1467" i="3"/>
  <x:c r="Z1467" i="3"/>
  <x:c r="Y1467" i="3"/>
  <x:c r="X1467" i="3"/>
  <x:c r="W1467" i="3"/>
  <x:c r="V1467" i="3"/>
  <x:c r="U1467" i="3"/>
  <x:c r="T1467" i="3"/>
  <x:c r="E1467" i="3"/>
  <x:c r="D1467" i="3"/>
  <x:c r="C1467" i="3"/>
  <x:c r="B1467" i="3"/>
  <x:c r="AG1466" i="3"/>
  <x:c r="AF1466" i="3"/>
  <x:c r="AE1466" i="3"/>
  <x:c r="AD1466" i="3"/>
  <x:c r="AC1466" i="3"/>
  <x:c r="AB1466" i="3"/>
  <x:c r="AA1466" i="3"/>
  <x:c r="Z1466" i="3"/>
  <x:c r="Y1466" i="3"/>
  <x:c r="X1466" i="3"/>
  <x:c r="W1466" i="3"/>
  <x:c r="V1466" i="3"/>
  <x:c r="U1466" i="3"/>
  <x:c r="T1466" i="3"/>
  <x:c r="E1466" i="3"/>
  <x:c r="D1466" i="3"/>
  <x:c r="C1466" i="3"/>
  <x:c r="B1466" i="3"/>
  <x:c r="AG1465" i="3"/>
  <x:c r="AF1465" i="3"/>
  <x:c r="AE1465" i="3"/>
  <x:c r="AD1465" i="3"/>
  <x:c r="AC1465" i="3"/>
  <x:c r="AB1465" i="3"/>
  <x:c r="AA1465" i="3"/>
  <x:c r="Z1465" i="3"/>
  <x:c r="Y1465" i="3"/>
  <x:c r="X1465" i="3"/>
  <x:c r="W1465" i="3"/>
  <x:c r="V1465" i="3"/>
  <x:c r="U1465" i="3"/>
  <x:c r="T1465" i="3"/>
  <x:c r="E1465" i="3"/>
  <x:c r="D1465" i="3"/>
  <x:c r="C1465" i="3"/>
  <x:c r="B1465" i="3"/>
  <x:c r="AG1464" i="3"/>
  <x:c r="AF1464" i="3"/>
  <x:c r="AE1464" i="3"/>
  <x:c r="AD1464" i="3"/>
  <x:c r="AC1464" i="3"/>
  <x:c r="AB1464" i="3"/>
  <x:c r="AA1464" i="3"/>
  <x:c r="Z1464" i="3"/>
  <x:c r="Y1464" i="3"/>
  <x:c r="X1464" i="3"/>
  <x:c r="W1464" i="3"/>
  <x:c r="V1464" i="3"/>
  <x:c r="U1464" i="3"/>
  <x:c r="T1464" i="3"/>
  <x:c r="E1464" i="3"/>
  <x:c r="D1464" i="3"/>
  <x:c r="C1464" i="3"/>
  <x:c r="B1464" i="3"/>
  <x:c r="AG1463" i="3"/>
  <x:c r="AF1463" i="3"/>
  <x:c r="AE1463" i="3"/>
  <x:c r="AD1463" i="3"/>
  <x:c r="AC1463" i="3"/>
  <x:c r="AB1463" i="3"/>
  <x:c r="AA1463" i="3"/>
  <x:c r="Z1463" i="3"/>
  <x:c r="Y1463" i="3"/>
  <x:c r="X1463" i="3"/>
  <x:c r="W1463" i="3"/>
  <x:c r="V1463" i="3"/>
  <x:c r="U1463" i="3"/>
  <x:c r="T1463" i="3"/>
  <x:c r="E1463" i="3"/>
  <x:c r="D1463" i="3"/>
  <x:c r="C1463" i="3"/>
  <x:c r="B1463" i="3"/>
  <x:c r="AG1462" i="3"/>
  <x:c r="AF1462" i="3"/>
  <x:c r="AE1462" i="3"/>
  <x:c r="AD1462" i="3"/>
  <x:c r="AC1462" i="3"/>
  <x:c r="AB1462" i="3"/>
  <x:c r="AA1462" i="3"/>
  <x:c r="Z1462" i="3"/>
  <x:c r="Y1462" i="3"/>
  <x:c r="X1462" i="3"/>
  <x:c r="W1462" i="3"/>
  <x:c r="V1462" i="3"/>
  <x:c r="U1462" i="3"/>
  <x:c r="T1462" i="3"/>
  <x:c r="E1462" i="3"/>
  <x:c r="D1462" i="3"/>
  <x:c r="C1462" i="3"/>
  <x:c r="B1462" i="3"/>
  <x:c r="AG1461" i="3"/>
  <x:c r="AF1461" i="3"/>
  <x:c r="AE1461" i="3"/>
  <x:c r="AD1461" i="3"/>
  <x:c r="AC1461" i="3"/>
  <x:c r="AB1461" i="3"/>
  <x:c r="AA1461" i="3"/>
  <x:c r="Z1461" i="3"/>
  <x:c r="Y1461" i="3"/>
  <x:c r="X1461" i="3"/>
  <x:c r="W1461" i="3"/>
  <x:c r="V1461" i="3"/>
  <x:c r="U1461" i="3"/>
  <x:c r="T1461" i="3"/>
  <x:c r="E1461" i="3"/>
  <x:c r="D1461" i="3"/>
  <x:c r="C1461" i="3"/>
  <x:c r="B1461" i="3"/>
  <x:c r="AG1460" i="3"/>
  <x:c r="AF1460" i="3"/>
  <x:c r="AE1460" i="3"/>
  <x:c r="AD1460" i="3"/>
  <x:c r="AC1460" i="3"/>
  <x:c r="AB1460" i="3"/>
  <x:c r="AA1460" i="3"/>
  <x:c r="Z1460" i="3"/>
  <x:c r="Y1460" i="3"/>
  <x:c r="X1460" i="3"/>
  <x:c r="W1460" i="3"/>
  <x:c r="V1460" i="3"/>
  <x:c r="U1460" i="3"/>
  <x:c r="T1460" i="3"/>
  <x:c r="E1460" i="3"/>
  <x:c r="D1460" i="3"/>
  <x:c r="C1460" i="3"/>
  <x:c r="B1460" i="3"/>
  <x:c r="AG1459" i="3"/>
  <x:c r="AF1459" i="3"/>
  <x:c r="AE1459" i="3"/>
  <x:c r="AD1459" i="3"/>
  <x:c r="AC1459" i="3"/>
  <x:c r="AB1459" i="3"/>
  <x:c r="AA1459" i="3"/>
  <x:c r="Z1459" i="3"/>
  <x:c r="Y1459" i="3"/>
  <x:c r="X1459" i="3"/>
  <x:c r="W1459" i="3"/>
  <x:c r="V1459" i="3"/>
  <x:c r="U1459" i="3"/>
  <x:c r="T1459" i="3"/>
  <x:c r="E1459" i="3"/>
  <x:c r="D1459" i="3"/>
  <x:c r="C1459" i="3"/>
  <x:c r="B1459" i="3"/>
  <x:c r="AG1458" i="3"/>
  <x:c r="AF1458" i="3"/>
  <x:c r="AE1458" i="3"/>
  <x:c r="AD1458" i="3"/>
  <x:c r="AC1458" i="3"/>
  <x:c r="AB1458" i="3"/>
  <x:c r="AA1458" i="3"/>
  <x:c r="Z1458" i="3"/>
  <x:c r="Y1458" i="3"/>
  <x:c r="X1458" i="3"/>
  <x:c r="W1458" i="3"/>
  <x:c r="V1458" i="3"/>
  <x:c r="U1458" i="3"/>
  <x:c r="T1458" i="3"/>
  <x:c r="E1458" i="3"/>
  <x:c r="D1458" i="3"/>
  <x:c r="C1458" i="3"/>
  <x:c r="B1458" i="3"/>
  <x:c r="AG1457" i="3"/>
  <x:c r="AF1457" i="3"/>
  <x:c r="AE1457" i="3"/>
  <x:c r="AD1457" i="3"/>
  <x:c r="AC1457" i="3"/>
  <x:c r="AB1457" i="3"/>
  <x:c r="AA1457" i="3"/>
  <x:c r="Z1457" i="3"/>
  <x:c r="Y1457" i="3"/>
  <x:c r="X1457" i="3"/>
  <x:c r="W1457" i="3"/>
  <x:c r="V1457" i="3"/>
  <x:c r="U1457" i="3"/>
  <x:c r="T1457" i="3"/>
  <x:c r="E1457" i="3"/>
  <x:c r="D1457" i="3"/>
  <x:c r="C1457" i="3"/>
  <x:c r="B1457" i="3"/>
  <x:c r="AG1456" i="3"/>
  <x:c r="AF1456" i="3"/>
  <x:c r="AE1456" i="3"/>
  <x:c r="AD1456" i="3"/>
  <x:c r="AC1456" i="3"/>
  <x:c r="AB1456" i="3"/>
  <x:c r="AA1456" i="3"/>
  <x:c r="Z1456" i="3"/>
  <x:c r="Y1456" i="3"/>
  <x:c r="X1456" i="3"/>
  <x:c r="W1456" i="3"/>
  <x:c r="V1456" i="3"/>
  <x:c r="U1456" i="3"/>
  <x:c r="T1456" i="3"/>
  <x:c r="E1456" i="3"/>
  <x:c r="D1456" i="3"/>
  <x:c r="C1456" i="3"/>
  <x:c r="B1456" i="3"/>
  <x:c r="AG1455" i="3"/>
  <x:c r="AF1455" i="3"/>
  <x:c r="AE1455" i="3"/>
  <x:c r="AD1455" i="3"/>
  <x:c r="AC1455" i="3"/>
  <x:c r="AB1455" i="3"/>
  <x:c r="AA1455" i="3"/>
  <x:c r="Z1455" i="3"/>
  <x:c r="Y1455" i="3"/>
  <x:c r="X1455" i="3"/>
  <x:c r="W1455" i="3"/>
  <x:c r="V1455" i="3"/>
  <x:c r="U1455" i="3"/>
  <x:c r="T1455" i="3"/>
  <x:c r="E1455" i="3"/>
  <x:c r="D1455" i="3"/>
  <x:c r="C1455" i="3"/>
  <x:c r="B1455" i="3"/>
  <x:c r="AG1454" i="3"/>
  <x:c r="AF1454" i="3"/>
  <x:c r="AE1454" i="3"/>
  <x:c r="AD1454" i="3"/>
  <x:c r="AC1454" i="3"/>
  <x:c r="AB1454" i="3"/>
  <x:c r="AA1454" i="3"/>
  <x:c r="Z1454" i="3"/>
  <x:c r="Y1454" i="3"/>
  <x:c r="X1454" i="3"/>
  <x:c r="W1454" i="3"/>
  <x:c r="V1454" i="3"/>
  <x:c r="U1454" i="3"/>
  <x:c r="T1454" i="3"/>
  <x:c r="E1454" i="3"/>
  <x:c r="D1454" i="3"/>
  <x:c r="C1454" i="3"/>
  <x:c r="B1454" i="3"/>
  <x:c r="AG1453" i="3"/>
  <x:c r="AF1453" i="3"/>
  <x:c r="AE1453" i="3"/>
  <x:c r="AD1453" i="3"/>
  <x:c r="AC1453" i="3"/>
  <x:c r="AB1453" i="3"/>
  <x:c r="AA1453" i="3"/>
  <x:c r="Z1453" i="3"/>
  <x:c r="Y1453" i="3"/>
  <x:c r="X1453" i="3"/>
  <x:c r="W1453" i="3"/>
  <x:c r="V1453" i="3"/>
  <x:c r="U1453" i="3"/>
  <x:c r="T1453" i="3"/>
  <x:c r="E1453" i="3"/>
  <x:c r="D1453" i="3"/>
  <x:c r="C1453" i="3"/>
  <x:c r="B1453" i="3"/>
  <x:c r="AG1452" i="3"/>
  <x:c r="AF1452" i="3"/>
  <x:c r="AE1452" i="3"/>
  <x:c r="AD1452" i="3"/>
  <x:c r="AC1452" i="3"/>
  <x:c r="AB1452" i="3"/>
  <x:c r="AA1452" i="3"/>
  <x:c r="Z1452" i="3"/>
  <x:c r="Y1452" i="3"/>
  <x:c r="X1452" i="3"/>
  <x:c r="W1452" i="3"/>
  <x:c r="V1452" i="3"/>
  <x:c r="U1452" i="3"/>
  <x:c r="T1452" i="3"/>
  <x:c r="E1452" i="3"/>
  <x:c r="D1452" i="3"/>
  <x:c r="C1452" i="3"/>
  <x:c r="B1452" i="3"/>
  <x:c r="AG1451" i="3"/>
  <x:c r="AF1451" i="3"/>
  <x:c r="AE1451" i="3"/>
  <x:c r="AD1451" i="3"/>
  <x:c r="AC1451" i="3"/>
  <x:c r="AB1451" i="3"/>
  <x:c r="AA1451" i="3"/>
  <x:c r="Z1451" i="3"/>
  <x:c r="Y1451" i="3"/>
  <x:c r="X1451" i="3"/>
  <x:c r="W1451" i="3"/>
  <x:c r="V1451" i="3"/>
  <x:c r="U1451" i="3"/>
  <x:c r="T1451" i="3"/>
  <x:c r="E1451" i="3"/>
  <x:c r="D1451" i="3"/>
  <x:c r="C1451" i="3"/>
  <x:c r="B1451" i="3"/>
  <x:c r="AG1450" i="3"/>
  <x:c r="AF1450" i="3"/>
  <x:c r="AE1450" i="3"/>
  <x:c r="AD1450" i="3"/>
  <x:c r="AC1450" i="3"/>
  <x:c r="AB1450" i="3"/>
  <x:c r="AA1450" i="3"/>
  <x:c r="Z1450" i="3"/>
  <x:c r="Y1450" i="3"/>
  <x:c r="X1450" i="3"/>
  <x:c r="W1450" i="3"/>
  <x:c r="V1450" i="3"/>
  <x:c r="U1450" i="3"/>
  <x:c r="T1450" i="3"/>
  <x:c r="E1450" i="3"/>
  <x:c r="D1450" i="3"/>
  <x:c r="C1450" i="3"/>
  <x:c r="B1450" i="3"/>
  <x:c r="AG1449" i="3"/>
  <x:c r="AF1449" i="3"/>
  <x:c r="AE1449" i="3"/>
  <x:c r="AD1449" i="3"/>
  <x:c r="AC1449" i="3"/>
  <x:c r="AB1449" i="3"/>
  <x:c r="AA1449" i="3"/>
  <x:c r="Z1449" i="3"/>
  <x:c r="Y1449" i="3"/>
  <x:c r="X1449" i="3"/>
  <x:c r="W1449" i="3"/>
  <x:c r="V1449" i="3"/>
  <x:c r="U1449" i="3"/>
  <x:c r="T1449" i="3"/>
  <x:c r="E1449" i="3"/>
  <x:c r="D1449" i="3"/>
  <x:c r="C1449" i="3"/>
  <x:c r="B1449" i="3"/>
  <x:c r="AG1448" i="3"/>
  <x:c r="AF1448" i="3"/>
  <x:c r="AE1448" i="3"/>
  <x:c r="AD1448" i="3"/>
  <x:c r="AC1448" i="3"/>
  <x:c r="AB1448" i="3"/>
  <x:c r="AA1448" i="3"/>
  <x:c r="Z1448" i="3"/>
  <x:c r="Y1448" i="3"/>
  <x:c r="X1448" i="3"/>
  <x:c r="W1448" i="3"/>
  <x:c r="V1448" i="3"/>
  <x:c r="U1448" i="3"/>
  <x:c r="T1448" i="3"/>
  <x:c r="E1448" i="3"/>
  <x:c r="D1448" i="3"/>
  <x:c r="C1448" i="3"/>
  <x:c r="B1448" i="3"/>
  <x:c r="AG1447" i="3"/>
  <x:c r="AF1447" i="3"/>
  <x:c r="AE1447" i="3"/>
  <x:c r="AD1447" i="3"/>
  <x:c r="AC1447" i="3"/>
  <x:c r="AB1447" i="3"/>
  <x:c r="AA1447" i="3"/>
  <x:c r="Z1447" i="3"/>
  <x:c r="Y1447" i="3"/>
  <x:c r="X1447" i="3"/>
  <x:c r="W1447" i="3"/>
  <x:c r="V1447" i="3"/>
  <x:c r="U1447" i="3"/>
  <x:c r="T1447" i="3"/>
  <x:c r="E1447" i="3"/>
  <x:c r="D1447" i="3"/>
  <x:c r="C1447" i="3"/>
  <x:c r="B1447" i="3"/>
  <x:c r="AG1446" i="3"/>
  <x:c r="AF1446" i="3"/>
  <x:c r="AE1446" i="3"/>
  <x:c r="AD1446" i="3"/>
  <x:c r="AC1446" i="3"/>
  <x:c r="AB1446" i="3"/>
  <x:c r="AA1446" i="3"/>
  <x:c r="Z1446" i="3"/>
  <x:c r="Y1446" i="3"/>
  <x:c r="X1446" i="3"/>
  <x:c r="W1446" i="3"/>
  <x:c r="V1446" i="3"/>
  <x:c r="U1446" i="3"/>
  <x:c r="T1446" i="3"/>
  <x:c r="E1446" i="3"/>
  <x:c r="D1446" i="3"/>
  <x:c r="C1446" i="3"/>
  <x:c r="B1446" i="3"/>
  <x:c r="AG1445" i="3"/>
  <x:c r="AF1445" i="3"/>
  <x:c r="AE1445" i="3"/>
  <x:c r="AD1445" i="3"/>
  <x:c r="AC1445" i="3"/>
  <x:c r="AB1445" i="3"/>
  <x:c r="AA1445" i="3"/>
  <x:c r="Z1445" i="3"/>
  <x:c r="Y1445" i="3"/>
  <x:c r="X1445" i="3"/>
  <x:c r="W1445" i="3"/>
  <x:c r="V1445" i="3"/>
  <x:c r="U1445" i="3"/>
  <x:c r="T1445" i="3"/>
  <x:c r="E1445" i="3"/>
  <x:c r="D1445" i="3"/>
  <x:c r="C1445" i="3"/>
  <x:c r="B1445" i="3"/>
  <x:c r="AG1444" i="3"/>
  <x:c r="AF1444" i="3"/>
  <x:c r="AE1444" i="3"/>
  <x:c r="AD1444" i="3"/>
  <x:c r="AC1444" i="3"/>
  <x:c r="AB1444" i="3"/>
  <x:c r="AA1444" i="3"/>
  <x:c r="Z1444" i="3"/>
  <x:c r="Y1444" i="3"/>
  <x:c r="X1444" i="3"/>
  <x:c r="W1444" i="3"/>
  <x:c r="V1444" i="3"/>
  <x:c r="U1444" i="3"/>
  <x:c r="T1444" i="3"/>
  <x:c r="E1444" i="3"/>
  <x:c r="D1444" i="3"/>
  <x:c r="C1444" i="3"/>
  <x:c r="B1444" i="3"/>
  <x:c r="AG1443" i="3"/>
  <x:c r="AF1443" i="3"/>
  <x:c r="AE1443" i="3"/>
  <x:c r="AD1443" i="3"/>
  <x:c r="AC1443" i="3"/>
  <x:c r="AB1443" i="3"/>
  <x:c r="AA1443" i="3"/>
  <x:c r="Z1443" i="3"/>
  <x:c r="Y1443" i="3"/>
  <x:c r="X1443" i="3"/>
  <x:c r="W1443" i="3"/>
  <x:c r="V1443" i="3"/>
  <x:c r="U1443" i="3"/>
  <x:c r="T1443" i="3"/>
  <x:c r="E1443" i="3"/>
  <x:c r="D1443" i="3"/>
  <x:c r="C1443" i="3"/>
  <x:c r="B1443" i="3"/>
  <x:c r="AG1442" i="3"/>
  <x:c r="AF1442" i="3"/>
  <x:c r="AE1442" i="3"/>
  <x:c r="AD1442" i="3"/>
  <x:c r="AC1442" i="3"/>
  <x:c r="AB1442" i="3"/>
  <x:c r="AA1442" i="3"/>
  <x:c r="Z1442" i="3"/>
  <x:c r="Y1442" i="3"/>
  <x:c r="X1442" i="3"/>
  <x:c r="W1442" i="3"/>
  <x:c r="V1442" i="3"/>
  <x:c r="U1442" i="3"/>
  <x:c r="T1442" i="3"/>
  <x:c r="E1442" i="3"/>
  <x:c r="D1442" i="3"/>
  <x:c r="C1442" i="3"/>
  <x:c r="B1442" i="3"/>
  <x:c r="AG1441" i="3"/>
  <x:c r="AF1441" i="3"/>
  <x:c r="AE1441" i="3"/>
  <x:c r="AD1441" i="3"/>
  <x:c r="AC1441" i="3"/>
  <x:c r="AB1441" i="3"/>
  <x:c r="AA1441" i="3"/>
  <x:c r="Z1441" i="3"/>
  <x:c r="Y1441" i="3"/>
  <x:c r="X1441" i="3"/>
  <x:c r="W1441" i="3"/>
  <x:c r="V1441" i="3"/>
  <x:c r="U1441" i="3"/>
  <x:c r="T1441" i="3"/>
  <x:c r="E1441" i="3"/>
  <x:c r="D1441" i="3"/>
  <x:c r="C1441" i="3"/>
  <x:c r="B1441" i="3"/>
  <x:c r="AG1440" i="3"/>
  <x:c r="AF1440" i="3"/>
  <x:c r="AE1440" i="3"/>
  <x:c r="AD1440" i="3"/>
  <x:c r="AC1440" i="3"/>
  <x:c r="AB1440" i="3"/>
  <x:c r="AA1440" i="3"/>
  <x:c r="Z1440" i="3"/>
  <x:c r="Y1440" i="3"/>
  <x:c r="X1440" i="3"/>
  <x:c r="W1440" i="3"/>
  <x:c r="V1440" i="3"/>
  <x:c r="U1440" i="3"/>
  <x:c r="T1440" i="3"/>
  <x:c r="E1440" i="3"/>
  <x:c r="D1440" i="3"/>
  <x:c r="C1440" i="3"/>
  <x:c r="B1440" i="3"/>
  <x:c r="AG1439" i="3"/>
  <x:c r="AF1439" i="3"/>
  <x:c r="AE1439" i="3"/>
  <x:c r="AD1439" i="3"/>
  <x:c r="AC1439" i="3"/>
  <x:c r="AB1439" i="3"/>
  <x:c r="AA1439" i="3"/>
  <x:c r="Z1439" i="3"/>
  <x:c r="Y1439" i="3"/>
  <x:c r="X1439" i="3"/>
  <x:c r="W1439" i="3"/>
  <x:c r="V1439" i="3"/>
  <x:c r="U1439" i="3"/>
  <x:c r="T1439" i="3"/>
  <x:c r="E1439" i="3"/>
  <x:c r="D1439" i="3"/>
  <x:c r="C1439" i="3"/>
  <x:c r="B1439" i="3"/>
  <x:c r="AG1438" i="3"/>
  <x:c r="AF1438" i="3"/>
  <x:c r="AE1438" i="3"/>
  <x:c r="AD1438" i="3"/>
  <x:c r="AC1438" i="3"/>
  <x:c r="AB1438" i="3"/>
  <x:c r="AA1438" i="3"/>
  <x:c r="Z1438" i="3"/>
  <x:c r="Y1438" i="3"/>
  <x:c r="X1438" i="3"/>
  <x:c r="W1438" i="3"/>
  <x:c r="V1438" i="3"/>
  <x:c r="U1438" i="3"/>
  <x:c r="T1438" i="3"/>
  <x:c r="E1438" i="3"/>
  <x:c r="D1438" i="3"/>
  <x:c r="C1438" i="3"/>
  <x:c r="B1438" i="3"/>
  <x:c r="AG1437" i="3"/>
  <x:c r="AF1437" i="3"/>
  <x:c r="AE1437" i="3"/>
  <x:c r="AD1437" i="3"/>
  <x:c r="AC1437" i="3"/>
  <x:c r="AB1437" i="3"/>
  <x:c r="AA1437" i="3"/>
  <x:c r="Z1437" i="3"/>
  <x:c r="Y1437" i="3"/>
  <x:c r="X1437" i="3"/>
  <x:c r="W1437" i="3"/>
  <x:c r="V1437" i="3"/>
  <x:c r="U1437" i="3"/>
  <x:c r="T1437" i="3"/>
  <x:c r="E1437" i="3"/>
  <x:c r="D1437" i="3"/>
  <x:c r="C1437" i="3"/>
  <x:c r="B1437" i="3"/>
  <x:c r="AG1436" i="3"/>
  <x:c r="AF1436" i="3"/>
  <x:c r="AE1436" i="3"/>
  <x:c r="AD1436" i="3"/>
  <x:c r="AC1436" i="3"/>
  <x:c r="AB1436" i="3"/>
  <x:c r="AA1436" i="3"/>
  <x:c r="Z1436" i="3"/>
  <x:c r="Y1436" i="3"/>
  <x:c r="X1436" i="3"/>
  <x:c r="W1436" i="3"/>
  <x:c r="V1436" i="3"/>
  <x:c r="U1436" i="3"/>
  <x:c r="T1436" i="3"/>
  <x:c r="E1436" i="3"/>
  <x:c r="D1436" i="3"/>
  <x:c r="C1436" i="3"/>
  <x:c r="B1436" i="3"/>
  <x:c r="AG1435" i="3"/>
  <x:c r="AF1435" i="3"/>
  <x:c r="AE1435" i="3"/>
  <x:c r="AD1435" i="3"/>
  <x:c r="AC1435" i="3"/>
  <x:c r="AB1435" i="3"/>
  <x:c r="AA1435" i="3"/>
  <x:c r="Z1435" i="3"/>
  <x:c r="Y1435" i="3"/>
  <x:c r="X1435" i="3"/>
  <x:c r="W1435" i="3"/>
  <x:c r="V1435" i="3"/>
  <x:c r="U1435" i="3"/>
  <x:c r="T1435" i="3"/>
  <x:c r="E1435" i="3"/>
  <x:c r="D1435" i="3"/>
  <x:c r="C1435" i="3"/>
  <x:c r="B1435" i="3"/>
  <x:c r="AG1434" i="3"/>
  <x:c r="AF1434" i="3"/>
  <x:c r="AE1434" i="3"/>
  <x:c r="AD1434" i="3"/>
  <x:c r="AC1434" i="3"/>
  <x:c r="AB1434" i="3"/>
  <x:c r="AA1434" i="3"/>
  <x:c r="Z1434" i="3"/>
  <x:c r="Y1434" i="3"/>
  <x:c r="X1434" i="3"/>
  <x:c r="W1434" i="3"/>
  <x:c r="V1434" i="3"/>
  <x:c r="U1434" i="3"/>
  <x:c r="T1434" i="3"/>
  <x:c r="E1434" i="3"/>
  <x:c r="D1434" i="3"/>
  <x:c r="C1434" i="3"/>
  <x:c r="B1434" i="3"/>
  <x:c r="AG1433" i="3"/>
  <x:c r="AF1433" i="3"/>
  <x:c r="AE1433" i="3"/>
  <x:c r="AD1433" i="3"/>
  <x:c r="AC1433" i="3"/>
  <x:c r="AB1433" i="3"/>
  <x:c r="AA1433" i="3"/>
  <x:c r="Z1433" i="3"/>
  <x:c r="Y1433" i="3"/>
  <x:c r="X1433" i="3"/>
  <x:c r="W1433" i="3"/>
  <x:c r="V1433" i="3"/>
  <x:c r="U1433" i="3"/>
  <x:c r="T1433" i="3"/>
  <x:c r="E1433" i="3"/>
  <x:c r="D1433" i="3"/>
  <x:c r="C1433" i="3"/>
  <x:c r="B1433" i="3"/>
  <x:c r="AG1432" i="3"/>
  <x:c r="AF1432" i="3"/>
  <x:c r="AE1432" i="3"/>
  <x:c r="AD1432" i="3"/>
  <x:c r="AC1432" i="3"/>
  <x:c r="AB1432" i="3"/>
  <x:c r="AA1432" i="3"/>
  <x:c r="Z1432" i="3"/>
  <x:c r="Y1432" i="3"/>
  <x:c r="X1432" i="3"/>
  <x:c r="W1432" i="3"/>
  <x:c r="V1432" i="3"/>
  <x:c r="U1432" i="3"/>
  <x:c r="T1432" i="3"/>
  <x:c r="E1432" i="3"/>
  <x:c r="D1432" i="3"/>
  <x:c r="C1432" i="3"/>
  <x:c r="B1432" i="3"/>
  <x:c r="AG1431" i="3"/>
  <x:c r="AF1431" i="3"/>
  <x:c r="AE1431" i="3"/>
  <x:c r="AD1431" i="3"/>
  <x:c r="AC1431" i="3"/>
  <x:c r="AB1431" i="3"/>
  <x:c r="AA1431" i="3"/>
  <x:c r="Z1431" i="3"/>
  <x:c r="Y1431" i="3"/>
  <x:c r="X1431" i="3"/>
  <x:c r="W1431" i="3"/>
  <x:c r="V1431" i="3"/>
  <x:c r="U1431" i="3"/>
  <x:c r="T1431" i="3"/>
  <x:c r="E1431" i="3"/>
  <x:c r="D1431" i="3"/>
  <x:c r="C1431" i="3"/>
  <x:c r="B1431" i="3"/>
  <x:c r="AG1430" i="3"/>
  <x:c r="AF1430" i="3"/>
  <x:c r="AE1430" i="3"/>
  <x:c r="AD1430" i="3"/>
  <x:c r="AC1430" i="3"/>
  <x:c r="AB1430" i="3"/>
  <x:c r="AA1430" i="3"/>
  <x:c r="Z1430" i="3"/>
  <x:c r="Y1430" i="3"/>
  <x:c r="X1430" i="3"/>
  <x:c r="W1430" i="3"/>
  <x:c r="V1430" i="3"/>
  <x:c r="U1430" i="3"/>
  <x:c r="T1430" i="3"/>
  <x:c r="E1430" i="3"/>
  <x:c r="D1430" i="3"/>
  <x:c r="C1430" i="3"/>
  <x:c r="B1430" i="3"/>
  <x:c r="AG1429" i="3"/>
  <x:c r="AF1429" i="3"/>
  <x:c r="AE1429" i="3"/>
  <x:c r="AD1429" i="3"/>
  <x:c r="AC1429" i="3"/>
  <x:c r="AB1429" i="3"/>
  <x:c r="AA1429" i="3"/>
  <x:c r="Z1429" i="3"/>
  <x:c r="Y1429" i="3"/>
  <x:c r="X1429" i="3"/>
  <x:c r="W1429" i="3"/>
  <x:c r="V1429" i="3"/>
  <x:c r="U1429" i="3"/>
  <x:c r="T1429" i="3"/>
  <x:c r="E1429" i="3"/>
  <x:c r="D1429" i="3"/>
  <x:c r="C1429" i="3"/>
  <x:c r="B1429" i="3"/>
  <x:c r="AG1428" i="3"/>
  <x:c r="AF1428" i="3"/>
  <x:c r="AE1428" i="3"/>
  <x:c r="AD1428" i="3"/>
  <x:c r="AC1428" i="3"/>
  <x:c r="AB1428" i="3"/>
  <x:c r="AA1428" i="3"/>
  <x:c r="Z1428" i="3"/>
  <x:c r="Y1428" i="3"/>
  <x:c r="X1428" i="3"/>
  <x:c r="W1428" i="3"/>
  <x:c r="V1428" i="3"/>
  <x:c r="U1428" i="3"/>
  <x:c r="T1428" i="3"/>
  <x:c r="E1428" i="3"/>
  <x:c r="D1428" i="3"/>
  <x:c r="C1428" i="3"/>
  <x:c r="B1428" i="3"/>
  <x:c r="AG1427" i="3"/>
  <x:c r="AF1427" i="3"/>
  <x:c r="AE1427" i="3"/>
  <x:c r="AD1427" i="3"/>
  <x:c r="AC1427" i="3"/>
  <x:c r="AB1427" i="3"/>
  <x:c r="AA1427" i="3"/>
  <x:c r="Z1427" i="3"/>
  <x:c r="Y1427" i="3"/>
  <x:c r="X1427" i="3"/>
  <x:c r="W1427" i="3"/>
  <x:c r="V1427" i="3"/>
  <x:c r="U1427" i="3"/>
  <x:c r="T1427" i="3"/>
  <x:c r="E1427" i="3"/>
  <x:c r="D1427" i="3"/>
  <x:c r="C1427" i="3"/>
  <x:c r="B1427" i="3"/>
  <x:c r="AG1426" i="3"/>
  <x:c r="AF1426" i="3"/>
  <x:c r="AE1426" i="3"/>
  <x:c r="AD1426" i="3"/>
  <x:c r="AC1426" i="3"/>
  <x:c r="AB1426" i="3"/>
  <x:c r="AA1426" i="3"/>
  <x:c r="Z1426" i="3"/>
  <x:c r="Y1426" i="3"/>
  <x:c r="X1426" i="3"/>
  <x:c r="W1426" i="3"/>
  <x:c r="V1426" i="3"/>
  <x:c r="U1426" i="3"/>
  <x:c r="T1426" i="3"/>
  <x:c r="E1426" i="3"/>
  <x:c r="D1426" i="3"/>
  <x:c r="C1426" i="3"/>
  <x:c r="B1426" i="3"/>
  <x:c r="AG1425" i="3"/>
  <x:c r="AF1425" i="3"/>
  <x:c r="AE1425" i="3"/>
  <x:c r="AD1425" i="3"/>
  <x:c r="AC1425" i="3"/>
  <x:c r="AB1425" i="3"/>
  <x:c r="AA1425" i="3"/>
  <x:c r="Z1425" i="3"/>
  <x:c r="Y1425" i="3"/>
  <x:c r="X1425" i="3"/>
  <x:c r="W1425" i="3"/>
  <x:c r="V1425" i="3"/>
  <x:c r="U1425" i="3"/>
  <x:c r="T1425" i="3"/>
  <x:c r="E1425" i="3"/>
  <x:c r="D1425" i="3"/>
  <x:c r="C1425" i="3"/>
  <x:c r="B1425" i="3"/>
  <x:c r="AG1424" i="3"/>
  <x:c r="AF1424" i="3"/>
  <x:c r="AE1424" i="3"/>
  <x:c r="AD1424" i="3"/>
  <x:c r="AC1424" i="3"/>
  <x:c r="AB1424" i="3"/>
  <x:c r="AA1424" i="3"/>
  <x:c r="Z1424" i="3"/>
  <x:c r="Y1424" i="3"/>
  <x:c r="X1424" i="3"/>
  <x:c r="W1424" i="3"/>
  <x:c r="V1424" i="3"/>
  <x:c r="U1424" i="3"/>
  <x:c r="T1424" i="3"/>
  <x:c r="E1424" i="3"/>
  <x:c r="D1424" i="3"/>
  <x:c r="C1424" i="3"/>
  <x:c r="B1424" i="3"/>
  <x:c r="AG1423" i="3"/>
  <x:c r="AF1423" i="3"/>
  <x:c r="AE1423" i="3"/>
  <x:c r="AD1423" i="3"/>
  <x:c r="AC1423" i="3"/>
  <x:c r="AB1423" i="3"/>
  <x:c r="AA1423" i="3"/>
  <x:c r="Z1423" i="3"/>
  <x:c r="Y1423" i="3"/>
  <x:c r="X1423" i="3"/>
  <x:c r="W1423" i="3"/>
  <x:c r="V1423" i="3"/>
  <x:c r="U1423" i="3"/>
  <x:c r="T1423" i="3"/>
  <x:c r="E1423" i="3"/>
  <x:c r="D1423" i="3"/>
  <x:c r="C1423" i="3"/>
  <x:c r="B1423" i="3"/>
  <x:c r="AG1422" i="3"/>
  <x:c r="AF1422" i="3"/>
  <x:c r="AE1422" i="3"/>
  <x:c r="AD1422" i="3"/>
  <x:c r="AC1422" i="3"/>
  <x:c r="AB1422" i="3"/>
  <x:c r="AA1422" i="3"/>
  <x:c r="Z1422" i="3"/>
  <x:c r="Y1422" i="3"/>
  <x:c r="X1422" i="3"/>
  <x:c r="W1422" i="3"/>
  <x:c r="V1422" i="3"/>
  <x:c r="U1422" i="3"/>
  <x:c r="T1422" i="3"/>
  <x:c r="E1422" i="3"/>
  <x:c r="D1422" i="3"/>
  <x:c r="C1422" i="3"/>
  <x:c r="B1422" i="3"/>
  <x:c r="AG1421" i="3"/>
  <x:c r="AF1421" i="3"/>
  <x:c r="AE1421" i="3"/>
  <x:c r="AD1421" i="3"/>
  <x:c r="AC1421" i="3"/>
  <x:c r="AB1421" i="3"/>
  <x:c r="AA1421" i="3"/>
  <x:c r="Z1421" i="3"/>
  <x:c r="Y1421" i="3"/>
  <x:c r="X1421" i="3"/>
  <x:c r="W1421" i="3"/>
  <x:c r="V1421" i="3"/>
  <x:c r="U1421" i="3"/>
  <x:c r="T1421" i="3"/>
  <x:c r="E1421" i="3"/>
  <x:c r="D1421" i="3"/>
  <x:c r="C1421" i="3"/>
  <x:c r="B1421" i="3"/>
  <x:c r="AG1420" i="3"/>
  <x:c r="AF1420" i="3"/>
  <x:c r="AE1420" i="3"/>
  <x:c r="AD1420" i="3"/>
  <x:c r="AC1420" i="3"/>
  <x:c r="AB1420" i="3"/>
  <x:c r="AA1420" i="3"/>
  <x:c r="Z1420" i="3"/>
  <x:c r="Y1420" i="3"/>
  <x:c r="X1420" i="3"/>
  <x:c r="W1420" i="3"/>
  <x:c r="V1420" i="3"/>
  <x:c r="U1420" i="3"/>
  <x:c r="T1420" i="3"/>
  <x:c r="E1420" i="3"/>
  <x:c r="D1420" i="3"/>
  <x:c r="C1420" i="3"/>
  <x:c r="B1420" i="3"/>
  <x:c r="AG1419" i="3"/>
  <x:c r="AF1419" i="3"/>
  <x:c r="AE1419" i="3"/>
  <x:c r="AD1419" i="3"/>
  <x:c r="AC1419" i="3"/>
  <x:c r="AB1419" i="3"/>
  <x:c r="AA1419" i="3"/>
  <x:c r="Z1419" i="3"/>
  <x:c r="Y1419" i="3"/>
  <x:c r="X1419" i="3"/>
  <x:c r="W1419" i="3"/>
  <x:c r="V1419" i="3"/>
  <x:c r="U1419" i="3"/>
  <x:c r="T1419" i="3"/>
  <x:c r="E1419" i="3"/>
  <x:c r="D1419" i="3"/>
  <x:c r="C1419" i="3"/>
  <x:c r="B1419" i="3"/>
  <x:c r="AG1418" i="3"/>
  <x:c r="AF1418" i="3"/>
  <x:c r="AE1418" i="3"/>
  <x:c r="AD1418" i="3"/>
  <x:c r="AC1418" i="3"/>
  <x:c r="AB1418" i="3"/>
  <x:c r="AA1418" i="3"/>
  <x:c r="Z1418" i="3"/>
  <x:c r="Y1418" i="3"/>
  <x:c r="X1418" i="3"/>
  <x:c r="W1418" i="3"/>
  <x:c r="V1418" i="3"/>
  <x:c r="U1418" i="3"/>
  <x:c r="T1418" i="3"/>
  <x:c r="E1418" i="3"/>
  <x:c r="D1418" i="3"/>
  <x:c r="C1418" i="3"/>
  <x:c r="B1418" i="3"/>
  <x:c r="AG1417" i="3"/>
  <x:c r="AF1417" i="3"/>
  <x:c r="AE1417" i="3"/>
  <x:c r="AD1417" i="3"/>
  <x:c r="AC1417" i="3"/>
  <x:c r="AB1417" i="3"/>
  <x:c r="AA1417" i="3"/>
  <x:c r="Z1417" i="3"/>
  <x:c r="Y1417" i="3"/>
  <x:c r="X1417" i="3"/>
  <x:c r="W1417" i="3"/>
  <x:c r="V1417" i="3"/>
  <x:c r="U1417" i="3"/>
  <x:c r="T1417" i="3"/>
  <x:c r="E1417" i="3"/>
  <x:c r="D1417" i="3"/>
  <x:c r="C1417" i="3"/>
  <x:c r="B1417" i="3"/>
  <x:c r="AG1416" i="3"/>
  <x:c r="AF1416" i="3"/>
  <x:c r="AE1416" i="3"/>
  <x:c r="AD1416" i="3"/>
  <x:c r="AC1416" i="3"/>
  <x:c r="AB1416" i="3"/>
  <x:c r="AA1416" i="3"/>
  <x:c r="Z1416" i="3"/>
  <x:c r="Y1416" i="3"/>
  <x:c r="X1416" i="3"/>
  <x:c r="W1416" i="3"/>
  <x:c r="V1416" i="3"/>
  <x:c r="U1416" i="3"/>
  <x:c r="T1416" i="3"/>
  <x:c r="E1416" i="3"/>
  <x:c r="D1416" i="3"/>
  <x:c r="C1416" i="3"/>
  <x:c r="B1416" i="3"/>
  <x:c r="AG1415" i="3"/>
  <x:c r="AF1415" i="3"/>
  <x:c r="AE1415" i="3"/>
  <x:c r="AD1415" i="3"/>
  <x:c r="AC1415" i="3"/>
  <x:c r="AB1415" i="3"/>
  <x:c r="AA1415" i="3"/>
  <x:c r="Z1415" i="3"/>
  <x:c r="Y1415" i="3"/>
  <x:c r="X1415" i="3"/>
  <x:c r="W1415" i="3"/>
  <x:c r="V1415" i="3"/>
  <x:c r="U1415" i="3"/>
  <x:c r="T1415" i="3"/>
  <x:c r="E1415" i="3"/>
  <x:c r="D1415" i="3"/>
  <x:c r="C1415" i="3"/>
  <x:c r="B1415" i="3"/>
  <x:c r="AG1414" i="3"/>
  <x:c r="AF1414" i="3"/>
  <x:c r="AE1414" i="3"/>
  <x:c r="AD1414" i="3"/>
  <x:c r="AC1414" i="3"/>
  <x:c r="AB1414" i="3"/>
  <x:c r="AA1414" i="3"/>
  <x:c r="Z1414" i="3"/>
  <x:c r="Y1414" i="3"/>
  <x:c r="X1414" i="3"/>
  <x:c r="W1414" i="3"/>
  <x:c r="V1414" i="3"/>
  <x:c r="U1414" i="3"/>
  <x:c r="T1414" i="3"/>
  <x:c r="E1414" i="3"/>
  <x:c r="D1414" i="3"/>
  <x:c r="C1414" i="3"/>
  <x:c r="B1414" i="3"/>
  <x:c r="AG1413" i="3"/>
  <x:c r="AF1413" i="3"/>
  <x:c r="AE1413" i="3"/>
  <x:c r="AD1413" i="3"/>
  <x:c r="AC1413" i="3"/>
  <x:c r="AB1413" i="3"/>
  <x:c r="AA1413" i="3"/>
  <x:c r="Z1413" i="3"/>
  <x:c r="Y1413" i="3"/>
  <x:c r="X1413" i="3"/>
  <x:c r="W1413" i="3"/>
  <x:c r="V1413" i="3"/>
  <x:c r="U1413" i="3"/>
  <x:c r="T1413" i="3"/>
  <x:c r="E1413" i="3"/>
  <x:c r="D1413" i="3"/>
  <x:c r="C1413" i="3"/>
  <x:c r="B1413" i="3"/>
  <x:c r="AG1412" i="3"/>
  <x:c r="AF1412" i="3"/>
  <x:c r="AE1412" i="3"/>
  <x:c r="AD1412" i="3"/>
  <x:c r="AC1412" i="3"/>
  <x:c r="AB1412" i="3"/>
  <x:c r="AA1412" i="3"/>
  <x:c r="Z1412" i="3"/>
  <x:c r="Y1412" i="3"/>
  <x:c r="X1412" i="3"/>
  <x:c r="W1412" i="3"/>
  <x:c r="V1412" i="3"/>
  <x:c r="U1412" i="3"/>
  <x:c r="T1412" i="3"/>
  <x:c r="E1412" i="3"/>
  <x:c r="D1412" i="3"/>
  <x:c r="C1412" i="3"/>
  <x:c r="B1412" i="3"/>
  <x:c r="AG1411" i="3"/>
  <x:c r="AF1411" i="3"/>
  <x:c r="AE1411" i="3"/>
  <x:c r="AD1411" i="3"/>
  <x:c r="AC1411" i="3"/>
  <x:c r="AB1411" i="3"/>
  <x:c r="AA1411" i="3"/>
  <x:c r="Z1411" i="3"/>
  <x:c r="Y1411" i="3"/>
  <x:c r="X1411" i="3"/>
  <x:c r="W1411" i="3"/>
  <x:c r="V1411" i="3"/>
  <x:c r="U1411" i="3"/>
  <x:c r="T1411" i="3"/>
  <x:c r="E1411" i="3"/>
  <x:c r="D1411" i="3"/>
  <x:c r="C1411" i="3"/>
  <x:c r="B1411" i="3"/>
  <x:c r="AG1410" i="3"/>
  <x:c r="AF1410" i="3"/>
  <x:c r="AE1410" i="3"/>
  <x:c r="AD1410" i="3"/>
  <x:c r="AC1410" i="3"/>
  <x:c r="AB1410" i="3"/>
  <x:c r="AA1410" i="3"/>
  <x:c r="Z1410" i="3"/>
  <x:c r="Y1410" i="3"/>
  <x:c r="X1410" i="3"/>
  <x:c r="W1410" i="3"/>
  <x:c r="V1410" i="3"/>
  <x:c r="U1410" i="3"/>
  <x:c r="T1410" i="3"/>
  <x:c r="E1410" i="3"/>
  <x:c r="D1410" i="3"/>
  <x:c r="C1410" i="3"/>
  <x:c r="B1410" i="3"/>
  <x:c r="AG1409" i="3"/>
  <x:c r="AF1409" i="3"/>
  <x:c r="AE1409" i="3"/>
  <x:c r="AD1409" i="3"/>
  <x:c r="AC1409" i="3"/>
  <x:c r="AB1409" i="3"/>
  <x:c r="AA1409" i="3"/>
  <x:c r="Z1409" i="3"/>
  <x:c r="Y1409" i="3"/>
  <x:c r="X1409" i="3"/>
  <x:c r="W1409" i="3"/>
  <x:c r="V1409" i="3"/>
  <x:c r="U1409" i="3"/>
  <x:c r="T1409" i="3"/>
  <x:c r="E1409" i="3"/>
  <x:c r="D1409" i="3"/>
  <x:c r="C1409" i="3"/>
  <x:c r="B1409" i="3"/>
  <x:c r="AG1408" i="3"/>
  <x:c r="AF1408" i="3"/>
  <x:c r="AE1408" i="3"/>
  <x:c r="AD1408" i="3"/>
  <x:c r="AC1408" i="3"/>
  <x:c r="AB1408" i="3"/>
  <x:c r="AA1408" i="3"/>
  <x:c r="Z1408" i="3"/>
  <x:c r="Y1408" i="3"/>
  <x:c r="X1408" i="3"/>
  <x:c r="W1408" i="3"/>
  <x:c r="V1408" i="3"/>
  <x:c r="U1408" i="3"/>
  <x:c r="T1408" i="3"/>
  <x:c r="E1408" i="3"/>
  <x:c r="D1408" i="3"/>
  <x:c r="C1408" i="3"/>
  <x:c r="B1408" i="3"/>
  <x:c r="AG1407" i="3"/>
  <x:c r="AF1407" i="3"/>
  <x:c r="AE1407" i="3"/>
  <x:c r="AD1407" i="3"/>
  <x:c r="AC1407" i="3"/>
  <x:c r="AB1407" i="3"/>
  <x:c r="AA1407" i="3"/>
  <x:c r="Z1407" i="3"/>
  <x:c r="Y1407" i="3"/>
  <x:c r="X1407" i="3"/>
  <x:c r="W1407" i="3"/>
  <x:c r="V1407" i="3"/>
  <x:c r="U1407" i="3"/>
  <x:c r="T1407" i="3"/>
  <x:c r="E1407" i="3"/>
  <x:c r="D1407" i="3"/>
  <x:c r="C1407" i="3"/>
  <x:c r="B1407" i="3"/>
  <x:c r="AG1406" i="3"/>
  <x:c r="AF1406" i="3"/>
  <x:c r="AE1406" i="3"/>
  <x:c r="AD1406" i="3"/>
  <x:c r="AC1406" i="3"/>
  <x:c r="AB1406" i="3"/>
  <x:c r="AA1406" i="3"/>
  <x:c r="Z1406" i="3"/>
  <x:c r="Y1406" i="3"/>
  <x:c r="X1406" i="3"/>
  <x:c r="W1406" i="3"/>
  <x:c r="V1406" i="3"/>
  <x:c r="U1406" i="3"/>
  <x:c r="T1406" i="3"/>
  <x:c r="E1406" i="3"/>
  <x:c r="D1406" i="3"/>
  <x:c r="C1406" i="3"/>
  <x:c r="B1406" i="3"/>
  <x:c r="AG1405" i="3"/>
  <x:c r="AF1405" i="3"/>
  <x:c r="AE1405" i="3"/>
  <x:c r="AD1405" i="3"/>
  <x:c r="AC1405" i="3"/>
  <x:c r="AB1405" i="3"/>
  <x:c r="AA1405" i="3"/>
  <x:c r="Z1405" i="3"/>
  <x:c r="Y1405" i="3"/>
  <x:c r="X1405" i="3"/>
  <x:c r="W1405" i="3"/>
  <x:c r="V1405" i="3"/>
  <x:c r="U1405" i="3"/>
  <x:c r="T1405" i="3"/>
  <x:c r="E1405" i="3"/>
  <x:c r="D1405" i="3"/>
  <x:c r="C1405" i="3"/>
  <x:c r="B1405" i="3"/>
  <x:c r="AG1404" i="3"/>
  <x:c r="AF1404" i="3"/>
  <x:c r="AE1404" i="3"/>
  <x:c r="AD1404" i="3"/>
  <x:c r="AC1404" i="3"/>
  <x:c r="AB1404" i="3"/>
  <x:c r="AA1404" i="3"/>
  <x:c r="Z1404" i="3"/>
  <x:c r="Y1404" i="3"/>
  <x:c r="X1404" i="3"/>
  <x:c r="W1404" i="3"/>
  <x:c r="V1404" i="3"/>
  <x:c r="U1404" i="3"/>
  <x:c r="T1404" i="3"/>
  <x:c r="E1404" i="3"/>
  <x:c r="D1404" i="3"/>
  <x:c r="C1404" i="3"/>
  <x:c r="B1404" i="3"/>
  <x:c r="AG1403" i="3"/>
  <x:c r="AF1403" i="3"/>
  <x:c r="AE1403" i="3"/>
  <x:c r="AD1403" i="3"/>
  <x:c r="AC1403" i="3"/>
  <x:c r="AB1403" i="3"/>
  <x:c r="AA1403" i="3"/>
  <x:c r="Z1403" i="3"/>
  <x:c r="Y1403" i="3"/>
  <x:c r="X1403" i="3"/>
  <x:c r="W1403" i="3"/>
  <x:c r="V1403" i="3"/>
  <x:c r="U1403" i="3"/>
  <x:c r="T1403" i="3"/>
  <x:c r="E1403" i="3"/>
  <x:c r="D1403" i="3"/>
  <x:c r="C1403" i="3"/>
  <x:c r="B1403" i="3"/>
  <x:c r="AG1402" i="3"/>
  <x:c r="AF1402" i="3"/>
  <x:c r="AE1402" i="3"/>
  <x:c r="AD1402" i="3"/>
  <x:c r="AC1402" i="3"/>
  <x:c r="AB1402" i="3"/>
  <x:c r="AA1402" i="3"/>
  <x:c r="Z1402" i="3"/>
  <x:c r="Y1402" i="3"/>
  <x:c r="X1402" i="3"/>
  <x:c r="W1402" i="3"/>
  <x:c r="V1402" i="3"/>
  <x:c r="U1402" i="3"/>
  <x:c r="T1402" i="3"/>
  <x:c r="E1402" i="3"/>
  <x:c r="D1402" i="3"/>
  <x:c r="C1402" i="3"/>
  <x:c r="B1402" i="3"/>
  <x:c r="AG1401" i="3"/>
  <x:c r="AF1401" i="3"/>
  <x:c r="AE1401" i="3"/>
  <x:c r="AD1401" i="3"/>
  <x:c r="AC1401" i="3"/>
  <x:c r="AB1401" i="3"/>
  <x:c r="AA1401" i="3"/>
  <x:c r="Z1401" i="3"/>
  <x:c r="Y1401" i="3"/>
  <x:c r="X1401" i="3"/>
  <x:c r="W1401" i="3"/>
  <x:c r="V1401" i="3"/>
  <x:c r="U1401" i="3"/>
  <x:c r="T1401" i="3"/>
  <x:c r="E1401" i="3"/>
  <x:c r="D1401" i="3"/>
  <x:c r="C1401" i="3"/>
  <x:c r="B1401" i="3"/>
  <x:c r="AG1400" i="3"/>
  <x:c r="AF1400" i="3"/>
  <x:c r="AE1400" i="3"/>
  <x:c r="AD1400" i="3"/>
  <x:c r="AC1400" i="3"/>
  <x:c r="AB1400" i="3"/>
  <x:c r="AA1400" i="3"/>
  <x:c r="Z1400" i="3"/>
  <x:c r="Y1400" i="3"/>
  <x:c r="X1400" i="3"/>
  <x:c r="W1400" i="3"/>
  <x:c r="V1400" i="3"/>
  <x:c r="U1400" i="3"/>
  <x:c r="T1400" i="3"/>
  <x:c r="E1400" i="3"/>
  <x:c r="D1400" i="3"/>
  <x:c r="C1400" i="3"/>
  <x:c r="B1400" i="3"/>
  <x:c r="AG1399" i="3"/>
  <x:c r="AF1399" i="3"/>
  <x:c r="AE1399" i="3"/>
  <x:c r="AD1399" i="3"/>
  <x:c r="AC1399" i="3"/>
  <x:c r="AB1399" i="3"/>
  <x:c r="AA1399" i="3"/>
  <x:c r="Z1399" i="3"/>
  <x:c r="Y1399" i="3"/>
  <x:c r="X1399" i="3"/>
  <x:c r="W1399" i="3"/>
  <x:c r="V1399" i="3"/>
  <x:c r="U1399" i="3"/>
  <x:c r="T1399" i="3"/>
  <x:c r="E1399" i="3"/>
  <x:c r="D1399" i="3"/>
  <x:c r="C1399" i="3"/>
  <x:c r="B1399" i="3"/>
  <x:c r="AG1398" i="3"/>
  <x:c r="AF1398" i="3"/>
  <x:c r="AE1398" i="3"/>
  <x:c r="AD1398" i="3"/>
  <x:c r="AC1398" i="3"/>
  <x:c r="AB1398" i="3"/>
  <x:c r="AA1398" i="3"/>
  <x:c r="Z1398" i="3"/>
  <x:c r="Y1398" i="3"/>
  <x:c r="X1398" i="3"/>
  <x:c r="W1398" i="3"/>
  <x:c r="V1398" i="3"/>
  <x:c r="U1398" i="3"/>
  <x:c r="T1398" i="3"/>
  <x:c r="E1398" i="3"/>
  <x:c r="D1398" i="3"/>
  <x:c r="C1398" i="3"/>
  <x:c r="B1398" i="3"/>
  <x:c r="AG1397" i="3"/>
  <x:c r="AF1397" i="3"/>
  <x:c r="AE1397" i="3"/>
  <x:c r="AD1397" i="3"/>
  <x:c r="AC1397" i="3"/>
  <x:c r="AB1397" i="3"/>
  <x:c r="AA1397" i="3"/>
  <x:c r="Z1397" i="3"/>
  <x:c r="Y1397" i="3"/>
  <x:c r="X1397" i="3"/>
  <x:c r="W1397" i="3"/>
  <x:c r="V1397" i="3"/>
  <x:c r="U1397" i="3"/>
  <x:c r="T1397" i="3"/>
  <x:c r="E1397" i="3"/>
  <x:c r="D1397" i="3"/>
  <x:c r="C1397" i="3"/>
  <x:c r="B1397" i="3"/>
  <x:c r="AG1396" i="3"/>
  <x:c r="AF1396" i="3"/>
  <x:c r="AE1396" i="3"/>
  <x:c r="AD1396" i="3"/>
  <x:c r="AC1396" i="3"/>
  <x:c r="AB1396" i="3"/>
  <x:c r="AA1396" i="3"/>
  <x:c r="Z1396" i="3"/>
  <x:c r="Y1396" i="3"/>
  <x:c r="X1396" i="3"/>
  <x:c r="W1396" i="3"/>
  <x:c r="V1396" i="3"/>
  <x:c r="U1396" i="3"/>
  <x:c r="T1396" i="3"/>
  <x:c r="E1396" i="3"/>
  <x:c r="D1396" i="3"/>
  <x:c r="C1396" i="3"/>
  <x:c r="B1396" i="3"/>
  <x:c r="AG1395" i="3"/>
  <x:c r="AF1395" i="3"/>
  <x:c r="AE1395" i="3"/>
  <x:c r="AD1395" i="3"/>
  <x:c r="AC1395" i="3"/>
  <x:c r="AB1395" i="3"/>
  <x:c r="AA1395" i="3"/>
  <x:c r="Z1395" i="3"/>
  <x:c r="Y1395" i="3"/>
  <x:c r="X1395" i="3"/>
  <x:c r="W1395" i="3"/>
  <x:c r="V1395" i="3"/>
  <x:c r="U1395" i="3"/>
  <x:c r="T1395" i="3"/>
  <x:c r="E1395" i="3"/>
  <x:c r="D1395" i="3"/>
  <x:c r="C1395" i="3"/>
  <x:c r="B1395" i="3"/>
  <x:c r="AG1394" i="3"/>
  <x:c r="AF1394" i="3"/>
  <x:c r="AE1394" i="3"/>
  <x:c r="AD1394" i="3"/>
  <x:c r="AC1394" i="3"/>
  <x:c r="AB1394" i="3"/>
  <x:c r="AA1394" i="3"/>
  <x:c r="Z1394" i="3"/>
  <x:c r="Y1394" i="3"/>
  <x:c r="X1394" i="3"/>
  <x:c r="W1394" i="3"/>
  <x:c r="V1394" i="3"/>
  <x:c r="U1394" i="3"/>
  <x:c r="T1394" i="3"/>
  <x:c r="E1394" i="3"/>
  <x:c r="D1394" i="3"/>
  <x:c r="C1394" i="3"/>
  <x:c r="B1394" i="3"/>
  <x:c r="AG1393" i="3"/>
  <x:c r="AF1393" i="3"/>
  <x:c r="AE1393" i="3"/>
  <x:c r="AD1393" i="3"/>
  <x:c r="AC1393" i="3"/>
  <x:c r="AB1393" i="3"/>
  <x:c r="AA1393" i="3"/>
  <x:c r="Z1393" i="3"/>
  <x:c r="Y1393" i="3"/>
  <x:c r="X1393" i="3"/>
  <x:c r="W1393" i="3"/>
  <x:c r="V1393" i="3"/>
  <x:c r="U1393" i="3"/>
  <x:c r="T1393" i="3"/>
  <x:c r="E1393" i="3"/>
  <x:c r="D1393" i="3"/>
  <x:c r="C1393" i="3"/>
  <x:c r="B1393" i="3"/>
  <x:c r="AG1392" i="3"/>
  <x:c r="AF1392" i="3"/>
  <x:c r="AE1392" i="3"/>
  <x:c r="AD1392" i="3"/>
  <x:c r="AC1392" i="3"/>
  <x:c r="AB1392" i="3"/>
  <x:c r="AA1392" i="3"/>
  <x:c r="Z1392" i="3"/>
  <x:c r="Y1392" i="3"/>
  <x:c r="X1392" i="3"/>
  <x:c r="W1392" i="3"/>
  <x:c r="V1392" i="3"/>
  <x:c r="U1392" i="3"/>
  <x:c r="T1392" i="3"/>
  <x:c r="E1392" i="3"/>
  <x:c r="D1392" i="3"/>
  <x:c r="C1392" i="3"/>
  <x:c r="B1392" i="3"/>
  <x:c r="AG1391" i="3"/>
  <x:c r="AF1391" i="3"/>
  <x:c r="AE1391" i="3"/>
  <x:c r="AD1391" i="3"/>
  <x:c r="AC1391" i="3"/>
  <x:c r="AB1391" i="3"/>
  <x:c r="AA1391" i="3"/>
  <x:c r="Z1391" i="3"/>
  <x:c r="Y1391" i="3"/>
  <x:c r="X1391" i="3"/>
  <x:c r="W1391" i="3"/>
  <x:c r="V1391" i="3"/>
  <x:c r="U1391" i="3"/>
  <x:c r="T1391" i="3"/>
  <x:c r="E1391" i="3"/>
  <x:c r="D1391" i="3"/>
  <x:c r="C1391" i="3"/>
  <x:c r="B1391" i="3"/>
  <x:c r="AG1390" i="3"/>
  <x:c r="AF1390" i="3"/>
  <x:c r="AE1390" i="3"/>
  <x:c r="AD1390" i="3"/>
  <x:c r="AC1390" i="3"/>
  <x:c r="AB1390" i="3"/>
  <x:c r="AA1390" i="3"/>
  <x:c r="Z1390" i="3"/>
  <x:c r="Y1390" i="3"/>
  <x:c r="X1390" i="3"/>
  <x:c r="W1390" i="3"/>
  <x:c r="V1390" i="3"/>
  <x:c r="U1390" i="3"/>
  <x:c r="T1390" i="3"/>
  <x:c r="E1390" i="3"/>
  <x:c r="D1390" i="3"/>
  <x:c r="C1390" i="3"/>
  <x:c r="B1390" i="3"/>
  <x:c r="AG1389" i="3"/>
  <x:c r="AF1389" i="3"/>
  <x:c r="AE1389" i="3"/>
  <x:c r="AD1389" i="3"/>
  <x:c r="AC1389" i="3"/>
  <x:c r="AB1389" i="3"/>
  <x:c r="AA1389" i="3"/>
  <x:c r="Z1389" i="3"/>
  <x:c r="Y1389" i="3"/>
  <x:c r="X1389" i="3"/>
  <x:c r="W1389" i="3"/>
  <x:c r="V1389" i="3"/>
  <x:c r="U1389" i="3"/>
  <x:c r="T1389" i="3"/>
  <x:c r="E1389" i="3"/>
  <x:c r="D1389" i="3"/>
  <x:c r="C1389" i="3"/>
  <x:c r="B1389" i="3"/>
  <x:c r="AG1388" i="3"/>
  <x:c r="AF1388" i="3"/>
  <x:c r="AE1388" i="3"/>
  <x:c r="AD1388" i="3"/>
  <x:c r="AC1388" i="3"/>
  <x:c r="AB1388" i="3"/>
  <x:c r="AA1388" i="3"/>
  <x:c r="Z1388" i="3"/>
  <x:c r="Y1388" i="3"/>
  <x:c r="X1388" i="3"/>
  <x:c r="W1388" i="3"/>
  <x:c r="V1388" i="3"/>
  <x:c r="U1388" i="3"/>
  <x:c r="T1388" i="3"/>
  <x:c r="E1388" i="3"/>
  <x:c r="D1388" i="3"/>
  <x:c r="C1388" i="3"/>
  <x:c r="B1388" i="3"/>
  <x:c r="AG1387" i="3"/>
  <x:c r="AF1387" i="3"/>
  <x:c r="AE1387" i="3"/>
  <x:c r="AD1387" i="3"/>
  <x:c r="AC1387" i="3"/>
  <x:c r="AB1387" i="3"/>
  <x:c r="AA1387" i="3"/>
  <x:c r="Z1387" i="3"/>
  <x:c r="Y1387" i="3"/>
  <x:c r="X1387" i="3"/>
  <x:c r="W1387" i="3"/>
  <x:c r="V1387" i="3"/>
  <x:c r="U1387" i="3"/>
  <x:c r="T1387" i="3"/>
  <x:c r="E1387" i="3"/>
  <x:c r="D1387" i="3"/>
  <x:c r="C1387" i="3"/>
  <x:c r="B1387" i="3"/>
  <x:c r="AG1386" i="3"/>
  <x:c r="AF1386" i="3"/>
  <x:c r="AE1386" i="3"/>
  <x:c r="AD1386" i="3"/>
  <x:c r="AC1386" i="3"/>
  <x:c r="AB1386" i="3"/>
  <x:c r="AA1386" i="3"/>
  <x:c r="Z1386" i="3"/>
  <x:c r="Y1386" i="3"/>
  <x:c r="X1386" i="3"/>
  <x:c r="W1386" i="3"/>
  <x:c r="V1386" i="3"/>
  <x:c r="U1386" i="3"/>
  <x:c r="T1386" i="3"/>
  <x:c r="E1386" i="3"/>
  <x:c r="D1386" i="3"/>
  <x:c r="C1386" i="3"/>
  <x:c r="B1386" i="3"/>
  <x:c r="AG1385" i="3"/>
  <x:c r="AF1385" i="3"/>
  <x:c r="AE1385" i="3"/>
  <x:c r="AD1385" i="3"/>
  <x:c r="AC1385" i="3"/>
  <x:c r="AB1385" i="3"/>
  <x:c r="AA1385" i="3"/>
  <x:c r="Z1385" i="3"/>
  <x:c r="Y1385" i="3"/>
  <x:c r="X1385" i="3"/>
  <x:c r="W1385" i="3"/>
  <x:c r="V1385" i="3"/>
  <x:c r="U1385" i="3"/>
  <x:c r="T1385" i="3"/>
  <x:c r="E1385" i="3"/>
  <x:c r="D1385" i="3"/>
  <x:c r="C1385" i="3"/>
  <x:c r="B1385" i="3"/>
  <x:c r="AG1384" i="3"/>
  <x:c r="AF1384" i="3"/>
  <x:c r="AE1384" i="3"/>
  <x:c r="AD1384" i="3"/>
  <x:c r="AC1384" i="3"/>
  <x:c r="AB1384" i="3"/>
  <x:c r="AA1384" i="3"/>
  <x:c r="Z1384" i="3"/>
  <x:c r="Y1384" i="3"/>
  <x:c r="X1384" i="3"/>
  <x:c r="W1384" i="3"/>
  <x:c r="V1384" i="3"/>
  <x:c r="U1384" i="3"/>
  <x:c r="T1384" i="3"/>
  <x:c r="E1384" i="3"/>
  <x:c r="D1384" i="3"/>
  <x:c r="C1384" i="3"/>
  <x:c r="B1384" i="3"/>
  <x:c r="AG1383" i="3"/>
  <x:c r="AF1383" i="3"/>
  <x:c r="AE1383" i="3"/>
  <x:c r="AD1383" i="3"/>
  <x:c r="AC1383" i="3"/>
  <x:c r="AB1383" i="3"/>
  <x:c r="AA1383" i="3"/>
  <x:c r="Z1383" i="3"/>
  <x:c r="Y1383" i="3"/>
  <x:c r="X1383" i="3"/>
  <x:c r="W1383" i="3"/>
  <x:c r="V1383" i="3"/>
  <x:c r="U1383" i="3"/>
  <x:c r="T1383" i="3"/>
  <x:c r="E1383" i="3"/>
  <x:c r="D1383" i="3"/>
  <x:c r="C1383" i="3"/>
  <x:c r="B1383" i="3"/>
  <x:c r="AG1382" i="3"/>
  <x:c r="AF1382" i="3"/>
  <x:c r="AE1382" i="3"/>
  <x:c r="AD1382" i="3"/>
  <x:c r="AC1382" i="3"/>
  <x:c r="AB1382" i="3"/>
  <x:c r="AA1382" i="3"/>
  <x:c r="Z1382" i="3"/>
  <x:c r="Y1382" i="3"/>
  <x:c r="X1382" i="3"/>
  <x:c r="W1382" i="3"/>
  <x:c r="V1382" i="3"/>
  <x:c r="U1382" i="3"/>
  <x:c r="T1382" i="3"/>
  <x:c r="E1382" i="3"/>
  <x:c r="D1382" i="3"/>
  <x:c r="C1382" i="3"/>
  <x:c r="B1382" i="3"/>
  <x:c r="AG1381" i="3"/>
  <x:c r="AF1381" i="3"/>
  <x:c r="AE1381" i="3"/>
  <x:c r="AD1381" i="3"/>
  <x:c r="AC1381" i="3"/>
  <x:c r="AB1381" i="3"/>
  <x:c r="AA1381" i="3"/>
  <x:c r="Z1381" i="3"/>
  <x:c r="Y1381" i="3"/>
  <x:c r="X1381" i="3"/>
  <x:c r="W1381" i="3"/>
  <x:c r="V1381" i="3"/>
  <x:c r="U1381" i="3"/>
  <x:c r="T1381" i="3"/>
  <x:c r="E1381" i="3"/>
  <x:c r="D1381" i="3"/>
  <x:c r="C1381" i="3"/>
  <x:c r="B1381" i="3"/>
  <x:c r="AG1380" i="3"/>
  <x:c r="AF1380" i="3"/>
  <x:c r="AE1380" i="3"/>
  <x:c r="AD1380" i="3"/>
  <x:c r="AC1380" i="3"/>
  <x:c r="AB1380" i="3"/>
  <x:c r="AA1380" i="3"/>
  <x:c r="Z1380" i="3"/>
  <x:c r="Y1380" i="3"/>
  <x:c r="X1380" i="3"/>
  <x:c r="W1380" i="3"/>
  <x:c r="V1380" i="3"/>
  <x:c r="U1380" i="3"/>
  <x:c r="T1380" i="3"/>
  <x:c r="E1380" i="3"/>
  <x:c r="D1380" i="3"/>
  <x:c r="C1380" i="3"/>
  <x:c r="B1380" i="3"/>
  <x:c r="AG1379" i="3"/>
  <x:c r="AF1379" i="3"/>
  <x:c r="AE1379" i="3"/>
  <x:c r="AD1379" i="3"/>
  <x:c r="AC1379" i="3"/>
  <x:c r="AB1379" i="3"/>
  <x:c r="AA1379" i="3"/>
  <x:c r="Z1379" i="3"/>
  <x:c r="Y1379" i="3"/>
  <x:c r="X1379" i="3"/>
  <x:c r="W1379" i="3"/>
  <x:c r="V1379" i="3"/>
  <x:c r="U1379" i="3"/>
  <x:c r="T1379" i="3"/>
  <x:c r="E1379" i="3"/>
  <x:c r="D1379" i="3"/>
  <x:c r="C1379" i="3"/>
  <x:c r="B1379" i="3"/>
  <x:c r="AG1378" i="3"/>
  <x:c r="AF1378" i="3"/>
  <x:c r="AE1378" i="3"/>
  <x:c r="AD1378" i="3"/>
  <x:c r="AC1378" i="3"/>
  <x:c r="AB1378" i="3"/>
  <x:c r="AA1378" i="3"/>
  <x:c r="Z1378" i="3"/>
  <x:c r="Y1378" i="3"/>
  <x:c r="X1378" i="3"/>
  <x:c r="W1378" i="3"/>
  <x:c r="V1378" i="3"/>
  <x:c r="U1378" i="3"/>
  <x:c r="T1378" i="3"/>
  <x:c r="E1378" i="3"/>
  <x:c r="D1378" i="3"/>
  <x:c r="C1378" i="3"/>
  <x:c r="B1378" i="3"/>
  <x:c r="AG1377" i="3"/>
  <x:c r="AF1377" i="3"/>
  <x:c r="AE1377" i="3"/>
  <x:c r="AD1377" i="3"/>
  <x:c r="AC1377" i="3"/>
  <x:c r="AB1377" i="3"/>
  <x:c r="AA1377" i="3"/>
  <x:c r="Z1377" i="3"/>
  <x:c r="Y1377" i="3"/>
  <x:c r="X1377" i="3"/>
  <x:c r="W1377" i="3"/>
  <x:c r="V1377" i="3"/>
  <x:c r="U1377" i="3"/>
  <x:c r="T1377" i="3"/>
  <x:c r="E1377" i="3"/>
  <x:c r="D1377" i="3"/>
  <x:c r="C1377" i="3"/>
  <x:c r="B1377" i="3"/>
  <x:c r="AG1376" i="3"/>
  <x:c r="AF1376" i="3"/>
  <x:c r="AE1376" i="3"/>
  <x:c r="AD1376" i="3"/>
  <x:c r="AC1376" i="3"/>
  <x:c r="AB1376" i="3"/>
  <x:c r="AA1376" i="3"/>
  <x:c r="Z1376" i="3"/>
  <x:c r="Y1376" i="3"/>
  <x:c r="X1376" i="3"/>
  <x:c r="W1376" i="3"/>
  <x:c r="V1376" i="3"/>
  <x:c r="U1376" i="3"/>
  <x:c r="T1376" i="3"/>
  <x:c r="E1376" i="3"/>
  <x:c r="D1376" i="3"/>
  <x:c r="C1376" i="3"/>
  <x:c r="B1376" i="3"/>
  <x:c r="AG1375" i="3"/>
  <x:c r="AF1375" i="3"/>
  <x:c r="AE1375" i="3"/>
  <x:c r="AD1375" i="3"/>
  <x:c r="AC1375" i="3"/>
  <x:c r="AB1375" i="3"/>
  <x:c r="AA1375" i="3"/>
  <x:c r="Z1375" i="3"/>
  <x:c r="Y1375" i="3"/>
  <x:c r="X1375" i="3"/>
  <x:c r="W1375" i="3"/>
  <x:c r="V1375" i="3"/>
  <x:c r="U1375" i="3"/>
  <x:c r="T1375" i="3"/>
  <x:c r="E1375" i="3"/>
  <x:c r="D1375" i="3"/>
  <x:c r="C1375" i="3"/>
  <x:c r="B1375" i="3"/>
  <x:c r="AG1374" i="3"/>
  <x:c r="AF1374" i="3"/>
  <x:c r="AE1374" i="3"/>
  <x:c r="AD1374" i="3"/>
  <x:c r="AC1374" i="3"/>
  <x:c r="AB1374" i="3"/>
  <x:c r="AA1374" i="3"/>
  <x:c r="Z1374" i="3"/>
  <x:c r="Y1374" i="3"/>
  <x:c r="X1374" i="3"/>
  <x:c r="W1374" i="3"/>
  <x:c r="V1374" i="3"/>
  <x:c r="U1374" i="3"/>
  <x:c r="T1374" i="3"/>
  <x:c r="E1374" i="3"/>
  <x:c r="D1374" i="3"/>
  <x:c r="C1374" i="3"/>
  <x:c r="B1374" i="3"/>
  <x:c r="AG1373" i="3"/>
  <x:c r="AF1373" i="3"/>
  <x:c r="AE1373" i="3"/>
  <x:c r="AD1373" i="3"/>
  <x:c r="AC1373" i="3"/>
  <x:c r="AB1373" i="3"/>
  <x:c r="AA1373" i="3"/>
  <x:c r="Z1373" i="3"/>
  <x:c r="Y1373" i="3"/>
  <x:c r="X1373" i="3"/>
  <x:c r="W1373" i="3"/>
  <x:c r="V1373" i="3"/>
  <x:c r="U1373" i="3"/>
  <x:c r="T1373" i="3"/>
  <x:c r="E1373" i="3"/>
  <x:c r="D1373" i="3"/>
  <x:c r="C1373" i="3"/>
  <x:c r="B1373" i="3"/>
  <x:c r="AG1372" i="3"/>
  <x:c r="AF1372" i="3"/>
  <x:c r="AE1372" i="3"/>
  <x:c r="AD1372" i="3"/>
  <x:c r="AC1372" i="3"/>
  <x:c r="AB1372" i="3"/>
  <x:c r="AA1372" i="3"/>
  <x:c r="Z1372" i="3"/>
  <x:c r="Y1372" i="3"/>
  <x:c r="X1372" i="3"/>
  <x:c r="W1372" i="3"/>
  <x:c r="V1372" i="3"/>
  <x:c r="U1372" i="3"/>
  <x:c r="T1372" i="3"/>
  <x:c r="E1372" i="3"/>
  <x:c r="D1372" i="3"/>
  <x:c r="C1372" i="3"/>
  <x:c r="B1372" i="3"/>
  <x:c r="AG1371" i="3"/>
  <x:c r="AF1371" i="3"/>
  <x:c r="AE1371" i="3"/>
  <x:c r="AD1371" i="3"/>
  <x:c r="AC1371" i="3"/>
  <x:c r="AB1371" i="3"/>
  <x:c r="AA1371" i="3"/>
  <x:c r="Z1371" i="3"/>
  <x:c r="Y1371" i="3"/>
  <x:c r="X1371" i="3"/>
  <x:c r="W1371" i="3"/>
  <x:c r="V1371" i="3"/>
  <x:c r="U1371" i="3"/>
  <x:c r="T1371" i="3"/>
  <x:c r="E1371" i="3"/>
  <x:c r="D1371" i="3"/>
  <x:c r="C1371" i="3"/>
  <x:c r="B1371" i="3"/>
  <x:c r="AG1370" i="3"/>
  <x:c r="AF1370" i="3"/>
  <x:c r="AE1370" i="3"/>
  <x:c r="AD1370" i="3"/>
  <x:c r="AC1370" i="3"/>
  <x:c r="AB1370" i="3"/>
  <x:c r="AA1370" i="3"/>
  <x:c r="Z1370" i="3"/>
  <x:c r="Y1370" i="3"/>
  <x:c r="X1370" i="3"/>
  <x:c r="W1370" i="3"/>
  <x:c r="V1370" i="3"/>
  <x:c r="U1370" i="3"/>
  <x:c r="T1370" i="3"/>
  <x:c r="E1370" i="3"/>
  <x:c r="D1370" i="3"/>
  <x:c r="C1370" i="3"/>
  <x:c r="B1370" i="3"/>
  <x:c r="AG1369" i="3"/>
  <x:c r="AF1369" i="3"/>
  <x:c r="AE1369" i="3"/>
  <x:c r="AD1369" i="3"/>
  <x:c r="AC1369" i="3"/>
  <x:c r="AB1369" i="3"/>
  <x:c r="AA1369" i="3"/>
  <x:c r="Z1369" i="3"/>
  <x:c r="Y1369" i="3"/>
  <x:c r="X1369" i="3"/>
  <x:c r="W1369" i="3"/>
  <x:c r="V1369" i="3"/>
  <x:c r="U1369" i="3"/>
  <x:c r="T1369" i="3"/>
  <x:c r="E1369" i="3"/>
  <x:c r="D1369" i="3"/>
  <x:c r="C1369" i="3"/>
  <x:c r="B1369" i="3"/>
  <x:c r="AG1368" i="3"/>
  <x:c r="AF1368" i="3"/>
  <x:c r="AE1368" i="3"/>
  <x:c r="AD1368" i="3"/>
  <x:c r="AC1368" i="3"/>
  <x:c r="AB1368" i="3"/>
  <x:c r="AA1368" i="3"/>
  <x:c r="Z1368" i="3"/>
  <x:c r="Y1368" i="3"/>
  <x:c r="X1368" i="3"/>
  <x:c r="W1368" i="3"/>
  <x:c r="V1368" i="3"/>
  <x:c r="U1368" i="3"/>
  <x:c r="T1368" i="3"/>
  <x:c r="E1368" i="3"/>
  <x:c r="D1368" i="3"/>
  <x:c r="C1368" i="3"/>
  <x:c r="B1368" i="3"/>
  <x:c r="AG1367" i="3"/>
  <x:c r="AF1367" i="3"/>
  <x:c r="AE1367" i="3"/>
  <x:c r="AD1367" i="3"/>
  <x:c r="AC1367" i="3"/>
  <x:c r="AB1367" i="3"/>
  <x:c r="AA1367" i="3"/>
  <x:c r="Z1367" i="3"/>
  <x:c r="Y1367" i="3"/>
  <x:c r="X1367" i="3"/>
  <x:c r="W1367" i="3"/>
  <x:c r="V1367" i="3"/>
  <x:c r="U1367" i="3"/>
  <x:c r="T1367" i="3"/>
  <x:c r="E1367" i="3"/>
  <x:c r="D1367" i="3"/>
  <x:c r="C1367" i="3"/>
  <x:c r="B1367" i="3"/>
  <x:c r="AG1366" i="3"/>
  <x:c r="AF1366" i="3"/>
  <x:c r="AE1366" i="3"/>
  <x:c r="AD1366" i="3"/>
  <x:c r="AC1366" i="3"/>
  <x:c r="AB1366" i="3"/>
  <x:c r="AA1366" i="3"/>
  <x:c r="Z1366" i="3"/>
  <x:c r="Y1366" i="3"/>
  <x:c r="X1366" i="3"/>
  <x:c r="W1366" i="3"/>
  <x:c r="V1366" i="3"/>
  <x:c r="U1366" i="3"/>
  <x:c r="T1366" i="3"/>
  <x:c r="E1366" i="3"/>
  <x:c r="D1366" i="3"/>
  <x:c r="C1366" i="3"/>
  <x:c r="B1366" i="3"/>
  <x:c r="AG1365" i="3"/>
  <x:c r="AF1365" i="3"/>
  <x:c r="AE1365" i="3"/>
  <x:c r="AD1365" i="3"/>
  <x:c r="AC1365" i="3"/>
  <x:c r="AB1365" i="3"/>
  <x:c r="AA1365" i="3"/>
  <x:c r="Z1365" i="3"/>
  <x:c r="Y1365" i="3"/>
  <x:c r="X1365" i="3"/>
  <x:c r="W1365" i="3"/>
  <x:c r="V1365" i="3"/>
  <x:c r="U1365" i="3"/>
  <x:c r="T1365" i="3"/>
  <x:c r="E1365" i="3"/>
  <x:c r="D1365" i="3"/>
  <x:c r="C1365" i="3"/>
  <x:c r="B1365" i="3"/>
  <x:c r="AG1364" i="3"/>
  <x:c r="AF1364" i="3"/>
  <x:c r="AE1364" i="3"/>
  <x:c r="AD1364" i="3"/>
  <x:c r="AC1364" i="3"/>
  <x:c r="AB1364" i="3"/>
  <x:c r="AA1364" i="3"/>
  <x:c r="Z1364" i="3"/>
  <x:c r="Y1364" i="3"/>
  <x:c r="X1364" i="3"/>
  <x:c r="W1364" i="3"/>
  <x:c r="V1364" i="3"/>
  <x:c r="U1364" i="3"/>
  <x:c r="T1364" i="3"/>
  <x:c r="E1364" i="3"/>
  <x:c r="D1364" i="3"/>
  <x:c r="C1364" i="3"/>
  <x:c r="B1364" i="3"/>
  <x:c r="AG1363" i="3"/>
  <x:c r="AF1363" i="3"/>
  <x:c r="AE1363" i="3"/>
  <x:c r="AD1363" i="3"/>
  <x:c r="AC1363" i="3"/>
  <x:c r="AB1363" i="3"/>
  <x:c r="AA1363" i="3"/>
  <x:c r="Z1363" i="3"/>
  <x:c r="Y1363" i="3"/>
  <x:c r="X1363" i="3"/>
  <x:c r="W1363" i="3"/>
  <x:c r="V1363" i="3"/>
  <x:c r="U1363" i="3"/>
  <x:c r="T1363" i="3"/>
  <x:c r="E1363" i="3"/>
  <x:c r="D1363" i="3"/>
  <x:c r="C1363" i="3"/>
  <x:c r="B1363" i="3"/>
  <x:c r="AG1362" i="3"/>
  <x:c r="AF1362" i="3"/>
  <x:c r="AE1362" i="3"/>
  <x:c r="AD1362" i="3"/>
  <x:c r="AC1362" i="3"/>
  <x:c r="AB1362" i="3"/>
  <x:c r="AA1362" i="3"/>
  <x:c r="Z1362" i="3"/>
  <x:c r="Y1362" i="3"/>
  <x:c r="X1362" i="3"/>
  <x:c r="W1362" i="3"/>
  <x:c r="V1362" i="3"/>
  <x:c r="U1362" i="3"/>
  <x:c r="T1362" i="3"/>
  <x:c r="E1362" i="3"/>
  <x:c r="D1362" i="3"/>
  <x:c r="C1362" i="3"/>
  <x:c r="B1362" i="3"/>
  <x:c r="AG1361" i="3"/>
  <x:c r="AF1361" i="3"/>
  <x:c r="AE1361" i="3"/>
  <x:c r="AD1361" i="3"/>
  <x:c r="AC1361" i="3"/>
  <x:c r="AB1361" i="3"/>
  <x:c r="AA1361" i="3"/>
  <x:c r="Z1361" i="3"/>
  <x:c r="Y1361" i="3"/>
  <x:c r="X1361" i="3"/>
  <x:c r="W1361" i="3"/>
  <x:c r="V1361" i="3"/>
  <x:c r="U1361" i="3"/>
  <x:c r="T1361" i="3"/>
  <x:c r="E1361" i="3"/>
  <x:c r="D1361" i="3"/>
  <x:c r="C1361" i="3"/>
  <x:c r="B1361" i="3"/>
  <x:c r="AG1360" i="3"/>
  <x:c r="AF1360" i="3"/>
  <x:c r="AE1360" i="3"/>
  <x:c r="AD1360" i="3"/>
  <x:c r="AC1360" i="3"/>
  <x:c r="AB1360" i="3"/>
  <x:c r="AA1360" i="3"/>
  <x:c r="Z1360" i="3"/>
  <x:c r="Y1360" i="3"/>
  <x:c r="X1360" i="3"/>
  <x:c r="W1360" i="3"/>
  <x:c r="V1360" i="3"/>
  <x:c r="U1360" i="3"/>
  <x:c r="T1360" i="3"/>
  <x:c r="E1360" i="3"/>
  <x:c r="D1360" i="3"/>
  <x:c r="C1360" i="3"/>
  <x:c r="B1360" i="3"/>
  <x:c r="AG1359" i="3"/>
  <x:c r="AF1359" i="3"/>
  <x:c r="AE1359" i="3"/>
  <x:c r="AD1359" i="3"/>
  <x:c r="AC1359" i="3"/>
  <x:c r="AB1359" i="3"/>
  <x:c r="AA1359" i="3"/>
  <x:c r="Z1359" i="3"/>
  <x:c r="Y1359" i="3"/>
  <x:c r="X1359" i="3"/>
  <x:c r="W1359" i="3"/>
  <x:c r="V1359" i="3"/>
  <x:c r="U1359" i="3"/>
  <x:c r="T1359" i="3"/>
  <x:c r="E1359" i="3"/>
  <x:c r="D1359" i="3"/>
  <x:c r="C1359" i="3"/>
  <x:c r="B1359" i="3"/>
  <x:c r="AG1358" i="3"/>
  <x:c r="AF1358" i="3"/>
  <x:c r="AE1358" i="3"/>
  <x:c r="AD1358" i="3"/>
  <x:c r="AC1358" i="3"/>
  <x:c r="AB1358" i="3"/>
  <x:c r="AA1358" i="3"/>
  <x:c r="Z1358" i="3"/>
  <x:c r="Y1358" i="3"/>
  <x:c r="X1358" i="3"/>
  <x:c r="W1358" i="3"/>
  <x:c r="V1358" i="3"/>
  <x:c r="U1358" i="3"/>
  <x:c r="T1358" i="3"/>
  <x:c r="E1358" i="3"/>
  <x:c r="D1358" i="3"/>
  <x:c r="C1358" i="3"/>
  <x:c r="B1358" i="3"/>
  <x:c r="AG1357" i="3"/>
  <x:c r="AF1357" i="3"/>
  <x:c r="AE1357" i="3"/>
  <x:c r="AD1357" i="3"/>
  <x:c r="AC1357" i="3"/>
  <x:c r="AB1357" i="3"/>
  <x:c r="AA1357" i="3"/>
  <x:c r="Z1357" i="3"/>
  <x:c r="Y1357" i="3"/>
  <x:c r="X1357" i="3"/>
  <x:c r="W1357" i="3"/>
  <x:c r="V1357" i="3"/>
  <x:c r="U1357" i="3"/>
  <x:c r="T1357" i="3"/>
  <x:c r="E1357" i="3"/>
  <x:c r="D1357" i="3"/>
  <x:c r="C1357" i="3"/>
  <x:c r="B1357" i="3"/>
  <x:c r="AG1356" i="3"/>
  <x:c r="AF1356" i="3"/>
  <x:c r="AE1356" i="3"/>
  <x:c r="AD1356" i="3"/>
  <x:c r="AC1356" i="3"/>
  <x:c r="AB1356" i="3"/>
  <x:c r="AA1356" i="3"/>
  <x:c r="Z1356" i="3"/>
  <x:c r="Y1356" i="3"/>
  <x:c r="X1356" i="3"/>
  <x:c r="W1356" i="3"/>
  <x:c r="V1356" i="3"/>
  <x:c r="U1356" i="3"/>
  <x:c r="T1356" i="3"/>
  <x:c r="E1356" i="3"/>
  <x:c r="D1356" i="3"/>
  <x:c r="C1356" i="3"/>
  <x:c r="B1356" i="3"/>
  <x:c r="AG1355" i="3"/>
  <x:c r="AF1355" i="3"/>
  <x:c r="AE1355" i="3"/>
  <x:c r="AD1355" i="3"/>
  <x:c r="AC1355" i="3"/>
  <x:c r="AB1355" i="3"/>
  <x:c r="AA1355" i="3"/>
  <x:c r="Z1355" i="3"/>
  <x:c r="Y1355" i="3"/>
  <x:c r="X1355" i="3"/>
  <x:c r="W1355" i="3"/>
  <x:c r="V1355" i="3"/>
  <x:c r="U1355" i="3"/>
  <x:c r="T1355" i="3"/>
  <x:c r="E1355" i="3"/>
  <x:c r="D1355" i="3"/>
  <x:c r="C1355" i="3"/>
  <x:c r="B1355" i="3"/>
  <x:c r="AG1354" i="3"/>
  <x:c r="AF1354" i="3"/>
  <x:c r="AE1354" i="3"/>
  <x:c r="AD1354" i="3"/>
  <x:c r="AC1354" i="3"/>
  <x:c r="AB1354" i="3"/>
  <x:c r="AA1354" i="3"/>
  <x:c r="Z1354" i="3"/>
  <x:c r="Y1354" i="3"/>
  <x:c r="X1354" i="3"/>
  <x:c r="W1354" i="3"/>
  <x:c r="V1354" i="3"/>
  <x:c r="U1354" i="3"/>
  <x:c r="T1354" i="3"/>
  <x:c r="E1354" i="3"/>
  <x:c r="D1354" i="3"/>
  <x:c r="C1354" i="3"/>
  <x:c r="B1354" i="3"/>
  <x:c r="AG1353" i="3"/>
  <x:c r="AF1353" i="3"/>
  <x:c r="AE1353" i="3"/>
  <x:c r="AD1353" i="3"/>
  <x:c r="AC1353" i="3"/>
  <x:c r="AB1353" i="3"/>
  <x:c r="AA1353" i="3"/>
  <x:c r="Z1353" i="3"/>
  <x:c r="Y1353" i="3"/>
  <x:c r="X1353" i="3"/>
  <x:c r="W1353" i="3"/>
  <x:c r="V1353" i="3"/>
  <x:c r="U1353" i="3"/>
  <x:c r="T1353" i="3"/>
  <x:c r="E1353" i="3"/>
  <x:c r="D1353" i="3"/>
  <x:c r="C1353" i="3"/>
  <x:c r="B1353" i="3"/>
  <x:c r="AG1352" i="3"/>
  <x:c r="AF1352" i="3"/>
  <x:c r="AE1352" i="3"/>
  <x:c r="AD1352" i="3"/>
  <x:c r="AC1352" i="3"/>
  <x:c r="AB1352" i="3"/>
  <x:c r="AA1352" i="3"/>
  <x:c r="Z1352" i="3"/>
  <x:c r="Y1352" i="3"/>
  <x:c r="X1352" i="3"/>
  <x:c r="W1352" i="3"/>
  <x:c r="V1352" i="3"/>
  <x:c r="U1352" i="3"/>
  <x:c r="T1352" i="3"/>
  <x:c r="E1352" i="3"/>
  <x:c r="D1352" i="3"/>
  <x:c r="C1352" i="3"/>
  <x:c r="B1352" i="3"/>
  <x:c r="AG1351" i="3"/>
  <x:c r="AF1351" i="3"/>
  <x:c r="AE1351" i="3"/>
  <x:c r="AD1351" i="3"/>
  <x:c r="AC1351" i="3"/>
  <x:c r="AB1351" i="3"/>
  <x:c r="AA1351" i="3"/>
  <x:c r="Z1351" i="3"/>
  <x:c r="Y1351" i="3"/>
  <x:c r="X1351" i="3"/>
  <x:c r="W1351" i="3"/>
  <x:c r="V1351" i="3"/>
  <x:c r="U1351" i="3"/>
  <x:c r="T1351" i="3"/>
  <x:c r="E1351" i="3"/>
  <x:c r="D1351" i="3"/>
  <x:c r="C1351" i="3"/>
  <x:c r="B1351" i="3"/>
  <x:c r="AG1350" i="3"/>
  <x:c r="AF1350" i="3"/>
  <x:c r="AE1350" i="3"/>
  <x:c r="AD1350" i="3"/>
  <x:c r="AC1350" i="3"/>
  <x:c r="AB1350" i="3"/>
  <x:c r="AA1350" i="3"/>
  <x:c r="Z1350" i="3"/>
  <x:c r="Y1350" i="3"/>
  <x:c r="X1350" i="3"/>
  <x:c r="W1350" i="3"/>
  <x:c r="V1350" i="3"/>
  <x:c r="U1350" i="3"/>
  <x:c r="T1350" i="3"/>
  <x:c r="E1350" i="3"/>
  <x:c r="D1350" i="3"/>
  <x:c r="C1350" i="3"/>
  <x:c r="B1350" i="3"/>
  <x:c r="AG1349" i="3"/>
  <x:c r="AF1349" i="3"/>
  <x:c r="AE1349" i="3"/>
  <x:c r="AD1349" i="3"/>
  <x:c r="AC1349" i="3"/>
  <x:c r="AB1349" i="3"/>
  <x:c r="AA1349" i="3"/>
  <x:c r="Z1349" i="3"/>
  <x:c r="Y1349" i="3"/>
  <x:c r="X1349" i="3"/>
  <x:c r="W1349" i="3"/>
  <x:c r="V1349" i="3"/>
  <x:c r="U1349" i="3"/>
  <x:c r="T1349" i="3"/>
  <x:c r="E1349" i="3"/>
  <x:c r="D1349" i="3"/>
  <x:c r="C1349" i="3"/>
  <x:c r="B1349" i="3"/>
  <x:c r="AG1348" i="3"/>
  <x:c r="AF1348" i="3"/>
  <x:c r="AE1348" i="3"/>
  <x:c r="AD1348" i="3"/>
  <x:c r="AC1348" i="3"/>
  <x:c r="AB1348" i="3"/>
  <x:c r="AA1348" i="3"/>
  <x:c r="Z1348" i="3"/>
  <x:c r="Y1348" i="3"/>
  <x:c r="X1348" i="3"/>
  <x:c r="W1348" i="3"/>
  <x:c r="V1348" i="3"/>
  <x:c r="U1348" i="3"/>
  <x:c r="T1348" i="3"/>
  <x:c r="E1348" i="3"/>
  <x:c r="D1348" i="3"/>
  <x:c r="C1348" i="3"/>
  <x:c r="B1348" i="3"/>
  <x:c r="AG1347" i="3"/>
  <x:c r="AF1347" i="3"/>
  <x:c r="AE1347" i="3"/>
  <x:c r="AD1347" i="3"/>
  <x:c r="AC1347" i="3"/>
  <x:c r="AB1347" i="3"/>
  <x:c r="AA1347" i="3"/>
  <x:c r="Z1347" i="3"/>
  <x:c r="Y1347" i="3"/>
  <x:c r="X1347" i="3"/>
  <x:c r="W1347" i="3"/>
  <x:c r="V1347" i="3"/>
  <x:c r="U1347" i="3"/>
  <x:c r="T1347" i="3"/>
  <x:c r="E1347" i="3"/>
  <x:c r="D1347" i="3"/>
  <x:c r="C1347" i="3"/>
  <x:c r="B1347" i="3"/>
  <x:c r="AG1346" i="3"/>
  <x:c r="AF1346" i="3"/>
  <x:c r="AE1346" i="3"/>
  <x:c r="AD1346" i="3"/>
  <x:c r="AC1346" i="3"/>
  <x:c r="AB1346" i="3"/>
  <x:c r="AA1346" i="3"/>
  <x:c r="Z1346" i="3"/>
  <x:c r="Y1346" i="3"/>
  <x:c r="X1346" i="3"/>
  <x:c r="W1346" i="3"/>
  <x:c r="V1346" i="3"/>
  <x:c r="U1346" i="3"/>
  <x:c r="T1346" i="3"/>
  <x:c r="E1346" i="3"/>
  <x:c r="D1346" i="3"/>
  <x:c r="C1346" i="3"/>
  <x:c r="B1346" i="3"/>
  <x:c r="AG1345" i="3"/>
  <x:c r="AF1345" i="3"/>
  <x:c r="AE1345" i="3"/>
  <x:c r="AD1345" i="3"/>
  <x:c r="AC1345" i="3"/>
  <x:c r="AB1345" i="3"/>
  <x:c r="AA1345" i="3"/>
  <x:c r="Z1345" i="3"/>
  <x:c r="Y1345" i="3"/>
  <x:c r="X1345" i="3"/>
  <x:c r="W1345" i="3"/>
  <x:c r="V1345" i="3"/>
  <x:c r="U1345" i="3"/>
  <x:c r="T1345" i="3"/>
  <x:c r="E1345" i="3"/>
  <x:c r="D1345" i="3"/>
  <x:c r="C1345" i="3"/>
  <x:c r="B1345" i="3"/>
  <x:c r="AG1344" i="3"/>
  <x:c r="AF1344" i="3"/>
  <x:c r="AE1344" i="3"/>
  <x:c r="AD1344" i="3"/>
  <x:c r="AC1344" i="3"/>
  <x:c r="AB1344" i="3"/>
  <x:c r="AA1344" i="3"/>
  <x:c r="Z1344" i="3"/>
  <x:c r="Y1344" i="3"/>
  <x:c r="X1344" i="3"/>
  <x:c r="W1344" i="3"/>
  <x:c r="V1344" i="3"/>
  <x:c r="U1344" i="3"/>
  <x:c r="T1344" i="3"/>
  <x:c r="E1344" i="3"/>
  <x:c r="D1344" i="3"/>
  <x:c r="C1344" i="3"/>
  <x:c r="B1344" i="3"/>
  <x:c r="AG1343" i="3"/>
  <x:c r="AF1343" i="3"/>
  <x:c r="AE1343" i="3"/>
  <x:c r="AD1343" i="3"/>
  <x:c r="AC1343" i="3"/>
  <x:c r="AB1343" i="3"/>
  <x:c r="AA1343" i="3"/>
  <x:c r="Z1343" i="3"/>
  <x:c r="Y1343" i="3"/>
  <x:c r="X1343" i="3"/>
  <x:c r="W1343" i="3"/>
  <x:c r="V1343" i="3"/>
  <x:c r="U1343" i="3"/>
  <x:c r="T1343" i="3"/>
  <x:c r="E1343" i="3"/>
  <x:c r="D1343" i="3"/>
  <x:c r="C1343" i="3"/>
  <x:c r="B1343" i="3"/>
  <x:c r="AG1342" i="3"/>
  <x:c r="AF1342" i="3"/>
  <x:c r="AE1342" i="3"/>
  <x:c r="AD1342" i="3"/>
  <x:c r="AC1342" i="3"/>
  <x:c r="AB1342" i="3"/>
  <x:c r="AA1342" i="3"/>
  <x:c r="Z1342" i="3"/>
  <x:c r="Y1342" i="3"/>
  <x:c r="X1342" i="3"/>
  <x:c r="W1342" i="3"/>
  <x:c r="V1342" i="3"/>
  <x:c r="U1342" i="3"/>
  <x:c r="T1342" i="3"/>
  <x:c r="E1342" i="3"/>
  <x:c r="D1342" i="3"/>
  <x:c r="C1342" i="3"/>
  <x:c r="B1342" i="3"/>
  <x:c r="AG1341" i="3"/>
  <x:c r="AF1341" i="3"/>
  <x:c r="AE1341" i="3"/>
  <x:c r="AD1341" i="3"/>
  <x:c r="AC1341" i="3"/>
  <x:c r="AB1341" i="3"/>
  <x:c r="AA1341" i="3"/>
  <x:c r="Z1341" i="3"/>
  <x:c r="Y1341" i="3"/>
  <x:c r="X1341" i="3"/>
  <x:c r="W1341" i="3"/>
  <x:c r="V1341" i="3"/>
  <x:c r="U1341" i="3"/>
  <x:c r="T1341" i="3"/>
  <x:c r="E1341" i="3"/>
  <x:c r="D1341" i="3"/>
  <x:c r="C1341" i="3"/>
  <x:c r="B1341" i="3"/>
  <x:c r="AG1340" i="3"/>
  <x:c r="AF1340" i="3"/>
  <x:c r="AE1340" i="3"/>
  <x:c r="AD1340" i="3"/>
  <x:c r="AC1340" i="3"/>
  <x:c r="AB1340" i="3"/>
  <x:c r="AA1340" i="3"/>
  <x:c r="Z1340" i="3"/>
  <x:c r="Y1340" i="3"/>
  <x:c r="X1340" i="3"/>
  <x:c r="W1340" i="3"/>
  <x:c r="V1340" i="3"/>
  <x:c r="U1340" i="3"/>
  <x:c r="T1340" i="3"/>
  <x:c r="E1340" i="3"/>
  <x:c r="D1340" i="3"/>
  <x:c r="C1340" i="3"/>
  <x:c r="B1340" i="3"/>
  <x:c r="AG1339" i="3"/>
  <x:c r="AF1339" i="3"/>
  <x:c r="AE1339" i="3"/>
  <x:c r="AD1339" i="3"/>
  <x:c r="AC1339" i="3"/>
  <x:c r="AB1339" i="3"/>
  <x:c r="AA1339" i="3"/>
  <x:c r="Z1339" i="3"/>
  <x:c r="Y1339" i="3"/>
  <x:c r="X1339" i="3"/>
  <x:c r="W1339" i="3"/>
  <x:c r="V1339" i="3"/>
  <x:c r="U1339" i="3"/>
  <x:c r="T1339" i="3"/>
  <x:c r="E1339" i="3"/>
  <x:c r="D1339" i="3"/>
  <x:c r="C1339" i="3"/>
  <x:c r="B1339" i="3"/>
  <x:c r="AG1338" i="3"/>
  <x:c r="AF1338" i="3"/>
  <x:c r="AE1338" i="3"/>
  <x:c r="AD1338" i="3"/>
  <x:c r="AC1338" i="3"/>
  <x:c r="AB1338" i="3"/>
  <x:c r="AA1338" i="3"/>
  <x:c r="Z1338" i="3"/>
  <x:c r="Y1338" i="3"/>
  <x:c r="X1338" i="3"/>
  <x:c r="W1338" i="3"/>
  <x:c r="V1338" i="3"/>
  <x:c r="U1338" i="3"/>
  <x:c r="T1338" i="3"/>
  <x:c r="E1338" i="3"/>
  <x:c r="D1338" i="3"/>
  <x:c r="C1338" i="3"/>
  <x:c r="B1338" i="3"/>
  <x:c r="AG1337" i="3"/>
  <x:c r="AF1337" i="3"/>
  <x:c r="AE1337" i="3"/>
  <x:c r="AD1337" i="3"/>
  <x:c r="AC1337" i="3"/>
  <x:c r="AB1337" i="3"/>
  <x:c r="AA1337" i="3"/>
  <x:c r="Z1337" i="3"/>
  <x:c r="Y1337" i="3"/>
  <x:c r="X1337" i="3"/>
  <x:c r="W1337" i="3"/>
  <x:c r="V1337" i="3"/>
  <x:c r="U1337" i="3"/>
  <x:c r="T1337" i="3"/>
  <x:c r="E1337" i="3"/>
  <x:c r="D1337" i="3"/>
  <x:c r="C1337" i="3"/>
  <x:c r="B1337" i="3"/>
  <x:c r="AG1336" i="3"/>
  <x:c r="AF1336" i="3"/>
  <x:c r="AE1336" i="3"/>
  <x:c r="AD1336" i="3"/>
  <x:c r="AC1336" i="3"/>
  <x:c r="AB1336" i="3"/>
  <x:c r="AA1336" i="3"/>
  <x:c r="Z1336" i="3"/>
  <x:c r="Y1336" i="3"/>
  <x:c r="X1336" i="3"/>
  <x:c r="W1336" i="3"/>
  <x:c r="V1336" i="3"/>
  <x:c r="U1336" i="3"/>
  <x:c r="T1336" i="3"/>
  <x:c r="E1336" i="3"/>
  <x:c r="D1336" i="3"/>
  <x:c r="C1336" i="3"/>
  <x:c r="B1336" i="3"/>
  <x:c r="AG1335" i="3"/>
  <x:c r="AF1335" i="3"/>
  <x:c r="AE1335" i="3"/>
  <x:c r="AD1335" i="3"/>
  <x:c r="AC1335" i="3"/>
  <x:c r="AB1335" i="3"/>
  <x:c r="AA1335" i="3"/>
  <x:c r="Z1335" i="3"/>
  <x:c r="Y1335" i="3"/>
  <x:c r="X1335" i="3"/>
  <x:c r="W1335" i="3"/>
  <x:c r="V1335" i="3"/>
  <x:c r="U1335" i="3"/>
  <x:c r="T1335" i="3"/>
  <x:c r="E1335" i="3"/>
  <x:c r="D1335" i="3"/>
  <x:c r="C1335" i="3"/>
  <x:c r="B1335" i="3"/>
  <x:c r="AG1334" i="3"/>
  <x:c r="AF1334" i="3"/>
  <x:c r="AE1334" i="3"/>
  <x:c r="AD1334" i="3"/>
  <x:c r="AC1334" i="3"/>
  <x:c r="AB1334" i="3"/>
  <x:c r="AA1334" i="3"/>
  <x:c r="Z1334" i="3"/>
  <x:c r="Y1334" i="3"/>
  <x:c r="X1334" i="3"/>
  <x:c r="W1334" i="3"/>
  <x:c r="V1334" i="3"/>
  <x:c r="U1334" i="3"/>
  <x:c r="T1334" i="3"/>
  <x:c r="E1334" i="3"/>
  <x:c r="D1334" i="3"/>
  <x:c r="C1334" i="3"/>
  <x:c r="B1334" i="3"/>
  <x:c r="AG1333" i="3"/>
  <x:c r="AF1333" i="3"/>
  <x:c r="AE1333" i="3"/>
  <x:c r="AD1333" i="3"/>
  <x:c r="AC1333" i="3"/>
  <x:c r="AB1333" i="3"/>
  <x:c r="AA1333" i="3"/>
  <x:c r="Z1333" i="3"/>
  <x:c r="Y1333" i="3"/>
  <x:c r="X1333" i="3"/>
  <x:c r="W1333" i="3"/>
  <x:c r="V1333" i="3"/>
  <x:c r="U1333" i="3"/>
  <x:c r="T1333" i="3"/>
  <x:c r="E1333" i="3"/>
  <x:c r="D1333" i="3"/>
  <x:c r="C1333" i="3"/>
  <x:c r="B1333" i="3"/>
  <x:c r="AG1332" i="3"/>
  <x:c r="AF1332" i="3"/>
  <x:c r="AE1332" i="3"/>
  <x:c r="AD1332" i="3"/>
  <x:c r="AC1332" i="3"/>
  <x:c r="AB1332" i="3"/>
  <x:c r="AA1332" i="3"/>
  <x:c r="Z1332" i="3"/>
  <x:c r="Y1332" i="3"/>
  <x:c r="X1332" i="3"/>
  <x:c r="W1332" i="3"/>
  <x:c r="V1332" i="3"/>
  <x:c r="U1332" i="3"/>
  <x:c r="T1332" i="3"/>
  <x:c r="E1332" i="3"/>
  <x:c r="D1332" i="3"/>
  <x:c r="C1332" i="3"/>
  <x:c r="B1332" i="3"/>
  <x:c r="AG1331" i="3"/>
  <x:c r="AF1331" i="3"/>
  <x:c r="AE1331" i="3"/>
  <x:c r="AD1331" i="3"/>
  <x:c r="AC1331" i="3"/>
  <x:c r="AB1331" i="3"/>
  <x:c r="AA1331" i="3"/>
  <x:c r="Z1331" i="3"/>
  <x:c r="Y1331" i="3"/>
  <x:c r="X1331" i="3"/>
  <x:c r="W1331" i="3"/>
  <x:c r="V1331" i="3"/>
  <x:c r="U1331" i="3"/>
  <x:c r="T1331" i="3"/>
  <x:c r="E1331" i="3"/>
  <x:c r="D1331" i="3"/>
  <x:c r="C1331" i="3"/>
  <x:c r="B1331" i="3"/>
  <x:c r="AG1330" i="3"/>
  <x:c r="AF1330" i="3"/>
  <x:c r="AE1330" i="3"/>
  <x:c r="AD1330" i="3"/>
  <x:c r="AC1330" i="3"/>
  <x:c r="AB1330" i="3"/>
  <x:c r="AA1330" i="3"/>
  <x:c r="Z1330" i="3"/>
  <x:c r="Y1330" i="3"/>
  <x:c r="X1330" i="3"/>
  <x:c r="W1330" i="3"/>
  <x:c r="V1330" i="3"/>
  <x:c r="U1330" i="3"/>
  <x:c r="T1330" i="3"/>
  <x:c r="E1330" i="3"/>
  <x:c r="D1330" i="3"/>
  <x:c r="C1330" i="3"/>
  <x:c r="B1330" i="3"/>
  <x:c r="AG1329" i="3"/>
  <x:c r="AF1329" i="3"/>
  <x:c r="AE1329" i="3"/>
  <x:c r="AD1329" i="3"/>
  <x:c r="AC1329" i="3"/>
  <x:c r="AB1329" i="3"/>
  <x:c r="AA1329" i="3"/>
  <x:c r="Z1329" i="3"/>
  <x:c r="Y1329" i="3"/>
  <x:c r="X1329" i="3"/>
  <x:c r="W1329" i="3"/>
  <x:c r="V1329" i="3"/>
  <x:c r="U1329" i="3"/>
  <x:c r="T1329" i="3"/>
  <x:c r="E1329" i="3"/>
  <x:c r="D1329" i="3"/>
  <x:c r="C1329" i="3"/>
  <x:c r="B1329" i="3"/>
  <x:c r="AG1328" i="3"/>
  <x:c r="AF1328" i="3"/>
  <x:c r="AE1328" i="3"/>
  <x:c r="AD1328" i="3"/>
  <x:c r="AC1328" i="3"/>
  <x:c r="AB1328" i="3"/>
  <x:c r="AA1328" i="3"/>
  <x:c r="Z1328" i="3"/>
  <x:c r="Y1328" i="3"/>
  <x:c r="X1328" i="3"/>
  <x:c r="W1328" i="3"/>
  <x:c r="V1328" i="3"/>
  <x:c r="U1328" i="3"/>
  <x:c r="T1328" i="3"/>
  <x:c r="E1328" i="3"/>
  <x:c r="D1328" i="3"/>
  <x:c r="C1328" i="3"/>
  <x:c r="B1328" i="3"/>
  <x:c r="AG1327" i="3"/>
  <x:c r="AF1327" i="3"/>
  <x:c r="AE1327" i="3"/>
  <x:c r="AD1327" i="3"/>
  <x:c r="AC1327" i="3"/>
  <x:c r="AB1327" i="3"/>
  <x:c r="AA1327" i="3"/>
  <x:c r="Z1327" i="3"/>
  <x:c r="Y1327" i="3"/>
  <x:c r="X1327" i="3"/>
  <x:c r="W1327" i="3"/>
  <x:c r="V1327" i="3"/>
  <x:c r="U1327" i="3"/>
  <x:c r="T1327" i="3"/>
  <x:c r="E1327" i="3"/>
  <x:c r="D1327" i="3"/>
  <x:c r="C1327" i="3"/>
  <x:c r="B1327" i="3"/>
  <x:c r="AG1326" i="3"/>
  <x:c r="AF1326" i="3"/>
  <x:c r="AE1326" i="3"/>
  <x:c r="AD1326" i="3"/>
  <x:c r="AC1326" i="3"/>
  <x:c r="AB1326" i="3"/>
  <x:c r="AA1326" i="3"/>
  <x:c r="Z1326" i="3"/>
  <x:c r="Y1326" i="3"/>
  <x:c r="X1326" i="3"/>
  <x:c r="W1326" i="3"/>
  <x:c r="V1326" i="3"/>
  <x:c r="U1326" i="3"/>
  <x:c r="T1326" i="3"/>
  <x:c r="E1326" i="3"/>
  <x:c r="D1326" i="3"/>
  <x:c r="C1326" i="3"/>
  <x:c r="B1326" i="3"/>
  <x:c r="AG1325" i="3"/>
  <x:c r="AF1325" i="3"/>
  <x:c r="AE1325" i="3"/>
  <x:c r="AD1325" i="3"/>
  <x:c r="AC1325" i="3"/>
  <x:c r="AB1325" i="3"/>
  <x:c r="AA1325" i="3"/>
  <x:c r="Z1325" i="3"/>
  <x:c r="Y1325" i="3"/>
  <x:c r="X1325" i="3"/>
  <x:c r="W1325" i="3"/>
  <x:c r="V1325" i="3"/>
  <x:c r="U1325" i="3"/>
  <x:c r="T1325" i="3"/>
  <x:c r="E1325" i="3"/>
  <x:c r="D1325" i="3"/>
  <x:c r="C1325" i="3"/>
  <x:c r="B1325" i="3"/>
  <x:c r="AG1324" i="3"/>
  <x:c r="AF1324" i="3"/>
  <x:c r="AE1324" i="3"/>
  <x:c r="AD1324" i="3"/>
  <x:c r="AC1324" i="3"/>
  <x:c r="AB1324" i="3"/>
  <x:c r="AA1324" i="3"/>
  <x:c r="Z1324" i="3"/>
  <x:c r="Y1324" i="3"/>
  <x:c r="X1324" i="3"/>
  <x:c r="W1324" i="3"/>
  <x:c r="V1324" i="3"/>
  <x:c r="U1324" i="3"/>
  <x:c r="T1324" i="3"/>
  <x:c r="E1324" i="3"/>
  <x:c r="D1324" i="3"/>
  <x:c r="C1324" i="3"/>
  <x:c r="B1324" i="3"/>
  <x:c r="AG1323" i="3"/>
  <x:c r="AF1323" i="3"/>
  <x:c r="AE1323" i="3"/>
  <x:c r="AD1323" i="3"/>
  <x:c r="AC1323" i="3"/>
  <x:c r="AB1323" i="3"/>
  <x:c r="AA1323" i="3"/>
  <x:c r="Z1323" i="3"/>
  <x:c r="Y1323" i="3"/>
  <x:c r="X1323" i="3"/>
  <x:c r="W1323" i="3"/>
  <x:c r="V1323" i="3"/>
  <x:c r="U1323" i="3"/>
  <x:c r="T1323" i="3"/>
  <x:c r="E1323" i="3"/>
  <x:c r="D1323" i="3"/>
  <x:c r="C1323" i="3"/>
  <x:c r="B1323" i="3"/>
  <x:c r="AG1322" i="3"/>
  <x:c r="AF1322" i="3"/>
  <x:c r="AE1322" i="3"/>
  <x:c r="AD1322" i="3"/>
  <x:c r="AC1322" i="3"/>
  <x:c r="AB1322" i="3"/>
  <x:c r="AA1322" i="3"/>
  <x:c r="Z1322" i="3"/>
  <x:c r="Y1322" i="3"/>
  <x:c r="X1322" i="3"/>
  <x:c r="W1322" i="3"/>
  <x:c r="V1322" i="3"/>
  <x:c r="U1322" i="3"/>
  <x:c r="T1322" i="3"/>
  <x:c r="E1322" i="3"/>
  <x:c r="D1322" i="3"/>
  <x:c r="C1322" i="3"/>
  <x:c r="B1322" i="3"/>
  <x:c r="AG1321" i="3"/>
  <x:c r="AF1321" i="3"/>
  <x:c r="AE1321" i="3"/>
  <x:c r="AD1321" i="3"/>
  <x:c r="AC1321" i="3"/>
  <x:c r="AB1321" i="3"/>
  <x:c r="AA1321" i="3"/>
  <x:c r="Z1321" i="3"/>
  <x:c r="Y1321" i="3"/>
  <x:c r="X1321" i="3"/>
  <x:c r="W1321" i="3"/>
  <x:c r="V1321" i="3"/>
  <x:c r="U1321" i="3"/>
  <x:c r="T1321" i="3"/>
  <x:c r="E1321" i="3"/>
  <x:c r="D1321" i="3"/>
  <x:c r="C1321" i="3"/>
  <x:c r="B1321" i="3"/>
  <x:c r="AG1320" i="3"/>
  <x:c r="AF1320" i="3"/>
  <x:c r="AE1320" i="3"/>
  <x:c r="AD1320" i="3"/>
  <x:c r="AC1320" i="3"/>
  <x:c r="AB1320" i="3"/>
  <x:c r="AA1320" i="3"/>
  <x:c r="Z1320" i="3"/>
  <x:c r="Y1320" i="3"/>
  <x:c r="X1320" i="3"/>
  <x:c r="W1320" i="3"/>
  <x:c r="V1320" i="3"/>
  <x:c r="U1320" i="3"/>
  <x:c r="T1320" i="3"/>
  <x:c r="E1320" i="3"/>
  <x:c r="D1320" i="3"/>
  <x:c r="C1320" i="3"/>
  <x:c r="B1320" i="3"/>
  <x:c r="AG1319" i="3"/>
  <x:c r="AF1319" i="3"/>
  <x:c r="AE1319" i="3"/>
  <x:c r="AD1319" i="3"/>
  <x:c r="AC1319" i="3"/>
  <x:c r="AB1319" i="3"/>
  <x:c r="AA1319" i="3"/>
  <x:c r="Z1319" i="3"/>
  <x:c r="Y1319" i="3"/>
  <x:c r="X1319" i="3"/>
  <x:c r="W1319" i="3"/>
  <x:c r="V1319" i="3"/>
  <x:c r="U1319" i="3"/>
  <x:c r="T1319" i="3"/>
  <x:c r="E1319" i="3"/>
  <x:c r="D1319" i="3"/>
  <x:c r="C1319" i="3"/>
  <x:c r="B1319" i="3"/>
  <x:c r="AG1318" i="3"/>
  <x:c r="AF1318" i="3"/>
  <x:c r="AE1318" i="3"/>
  <x:c r="AD1318" i="3"/>
  <x:c r="AC1318" i="3"/>
  <x:c r="AB1318" i="3"/>
  <x:c r="AA1318" i="3"/>
  <x:c r="Z1318" i="3"/>
  <x:c r="Y1318" i="3"/>
  <x:c r="X1318" i="3"/>
  <x:c r="W1318" i="3"/>
  <x:c r="V1318" i="3"/>
  <x:c r="U1318" i="3"/>
  <x:c r="T1318" i="3"/>
  <x:c r="E1318" i="3"/>
  <x:c r="D1318" i="3"/>
  <x:c r="C1318" i="3"/>
  <x:c r="B1318" i="3"/>
  <x:c r="AG1317" i="3"/>
  <x:c r="AF1317" i="3"/>
  <x:c r="AE1317" i="3"/>
  <x:c r="AD1317" i="3"/>
  <x:c r="AC1317" i="3"/>
  <x:c r="AB1317" i="3"/>
  <x:c r="AA1317" i="3"/>
  <x:c r="Z1317" i="3"/>
  <x:c r="Y1317" i="3"/>
  <x:c r="X1317" i="3"/>
  <x:c r="W1317" i="3"/>
  <x:c r="V1317" i="3"/>
  <x:c r="U1317" i="3"/>
  <x:c r="T1317" i="3"/>
  <x:c r="E1317" i="3"/>
  <x:c r="D1317" i="3"/>
  <x:c r="C1317" i="3"/>
  <x:c r="B1317" i="3"/>
  <x:c r="AG1316" i="3"/>
  <x:c r="AF1316" i="3"/>
  <x:c r="AE1316" i="3"/>
  <x:c r="AD1316" i="3"/>
  <x:c r="AC1316" i="3"/>
  <x:c r="AB1316" i="3"/>
  <x:c r="AA1316" i="3"/>
  <x:c r="Z1316" i="3"/>
  <x:c r="Y1316" i="3"/>
  <x:c r="X1316" i="3"/>
  <x:c r="W1316" i="3"/>
  <x:c r="V1316" i="3"/>
  <x:c r="U1316" i="3"/>
  <x:c r="T1316" i="3"/>
  <x:c r="E1316" i="3"/>
  <x:c r="D1316" i="3"/>
  <x:c r="C1316" i="3"/>
  <x:c r="B1316" i="3"/>
  <x:c r="AG1315" i="3"/>
  <x:c r="AF1315" i="3"/>
  <x:c r="AE1315" i="3"/>
  <x:c r="AD1315" i="3"/>
  <x:c r="AC1315" i="3"/>
  <x:c r="AB1315" i="3"/>
  <x:c r="AA1315" i="3"/>
  <x:c r="Z1315" i="3"/>
  <x:c r="Y1315" i="3"/>
  <x:c r="X1315" i="3"/>
  <x:c r="W1315" i="3"/>
  <x:c r="V1315" i="3"/>
  <x:c r="U1315" i="3"/>
  <x:c r="T1315" i="3"/>
  <x:c r="E1315" i="3"/>
  <x:c r="D1315" i="3"/>
  <x:c r="C1315" i="3"/>
  <x:c r="B1315" i="3"/>
  <x:c r="AG1314" i="3"/>
  <x:c r="AF1314" i="3"/>
  <x:c r="AE1314" i="3"/>
  <x:c r="AD1314" i="3"/>
  <x:c r="AC1314" i="3"/>
  <x:c r="AB1314" i="3"/>
  <x:c r="AA1314" i="3"/>
  <x:c r="Z1314" i="3"/>
  <x:c r="Y1314" i="3"/>
  <x:c r="X1314" i="3"/>
  <x:c r="W1314" i="3"/>
  <x:c r="V1314" i="3"/>
  <x:c r="U1314" i="3"/>
  <x:c r="T1314" i="3"/>
  <x:c r="E1314" i="3"/>
  <x:c r="D1314" i="3"/>
  <x:c r="C1314" i="3"/>
  <x:c r="B1314" i="3"/>
  <x:c r="AG1313" i="3"/>
  <x:c r="AF1313" i="3"/>
  <x:c r="AE1313" i="3"/>
  <x:c r="AD1313" i="3"/>
  <x:c r="AC1313" i="3"/>
  <x:c r="AB1313" i="3"/>
  <x:c r="AA1313" i="3"/>
  <x:c r="Z1313" i="3"/>
  <x:c r="Y1313" i="3"/>
  <x:c r="X1313" i="3"/>
  <x:c r="W1313" i="3"/>
  <x:c r="V1313" i="3"/>
  <x:c r="U1313" i="3"/>
  <x:c r="T1313" i="3"/>
  <x:c r="E1313" i="3"/>
  <x:c r="D1313" i="3"/>
  <x:c r="C1313" i="3"/>
  <x:c r="B1313" i="3"/>
  <x:c r="AG1312" i="3"/>
  <x:c r="AF1312" i="3"/>
  <x:c r="AE1312" i="3"/>
  <x:c r="AD1312" i="3"/>
  <x:c r="AC1312" i="3"/>
  <x:c r="AB1312" i="3"/>
  <x:c r="AA1312" i="3"/>
  <x:c r="Z1312" i="3"/>
  <x:c r="Y1312" i="3"/>
  <x:c r="X1312" i="3"/>
  <x:c r="W1312" i="3"/>
  <x:c r="V1312" i="3"/>
  <x:c r="U1312" i="3"/>
  <x:c r="T1312" i="3"/>
  <x:c r="E1312" i="3"/>
  <x:c r="D1312" i="3"/>
  <x:c r="C1312" i="3"/>
  <x:c r="B1312" i="3"/>
  <x:c r="AG1311" i="3"/>
  <x:c r="AF1311" i="3"/>
  <x:c r="AE1311" i="3"/>
  <x:c r="AD1311" i="3"/>
  <x:c r="AC1311" i="3"/>
  <x:c r="AB1311" i="3"/>
  <x:c r="AA1311" i="3"/>
  <x:c r="Z1311" i="3"/>
  <x:c r="Y1311" i="3"/>
  <x:c r="X1311" i="3"/>
  <x:c r="W1311" i="3"/>
  <x:c r="V1311" i="3"/>
  <x:c r="U1311" i="3"/>
  <x:c r="T1311" i="3"/>
  <x:c r="E1311" i="3"/>
  <x:c r="D1311" i="3"/>
  <x:c r="C1311" i="3"/>
  <x:c r="B1311" i="3"/>
  <x:c r="AG1310" i="3"/>
  <x:c r="AF1310" i="3"/>
  <x:c r="AE1310" i="3"/>
  <x:c r="AD1310" i="3"/>
  <x:c r="AC1310" i="3"/>
  <x:c r="AB1310" i="3"/>
  <x:c r="AA1310" i="3"/>
  <x:c r="Z1310" i="3"/>
  <x:c r="Y1310" i="3"/>
  <x:c r="X1310" i="3"/>
  <x:c r="W1310" i="3"/>
  <x:c r="V1310" i="3"/>
  <x:c r="U1310" i="3"/>
  <x:c r="T1310" i="3"/>
  <x:c r="E1310" i="3"/>
  <x:c r="D1310" i="3"/>
  <x:c r="C1310" i="3"/>
  <x:c r="B1310" i="3"/>
  <x:c r="AG1309" i="3"/>
  <x:c r="AF1309" i="3"/>
  <x:c r="AE1309" i="3"/>
  <x:c r="AD1309" i="3"/>
  <x:c r="AC1309" i="3"/>
  <x:c r="AB1309" i="3"/>
  <x:c r="AA1309" i="3"/>
  <x:c r="Z1309" i="3"/>
  <x:c r="Y1309" i="3"/>
  <x:c r="X1309" i="3"/>
  <x:c r="W1309" i="3"/>
  <x:c r="V1309" i="3"/>
  <x:c r="U1309" i="3"/>
  <x:c r="T1309" i="3"/>
  <x:c r="E1309" i="3"/>
  <x:c r="D1309" i="3"/>
  <x:c r="C1309" i="3"/>
  <x:c r="B1309" i="3"/>
  <x:c r="AG1308" i="3"/>
  <x:c r="AF1308" i="3"/>
  <x:c r="AE1308" i="3"/>
  <x:c r="AD1308" i="3"/>
  <x:c r="AC1308" i="3"/>
  <x:c r="AB1308" i="3"/>
  <x:c r="AA1308" i="3"/>
  <x:c r="Z1308" i="3"/>
  <x:c r="Y1308" i="3"/>
  <x:c r="X1308" i="3"/>
  <x:c r="W1308" i="3"/>
  <x:c r="V1308" i="3"/>
  <x:c r="U1308" i="3"/>
  <x:c r="T1308" i="3"/>
  <x:c r="E1308" i="3"/>
  <x:c r="D1308" i="3"/>
  <x:c r="C1308" i="3"/>
  <x:c r="B1308" i="3"/>
  <x:c r="AG1307" i="3"/>
  <x:c r="AF1307" i="3"/>
  <x:c r="AE1307" i="3"/>
  <x:c r="AD1307" i="3"/>
  <x:c r="AC1307" i="3"/>
  <x:c r="AB1307" i="3"/>
  <x:c r="AA1307" i="3"/>
  <x:c r="Z1307" i="3"/>
  <x:c r="Y1307" i="3"/>
  <x:c r="X1307" i="3"/>
  <x:c r="W1307" i="3"/>
  <x:c r="V1307" i="3"/>
  <x:c r="U1307" i="3"/>
  <x:c r="T1307" i="3"/>
  <x:c r="E1307" i="3"/>
  <x:c r="D1307" i="3"/>
  <x:c r="C1307" i="3"/>
  <x:c r="B1307" i="3"/>
  <x:c r="AG1306" i="3"/>
  <x:c r="AF1306" i="3"/>
  <x:c r="AE1306" i="3"/>
  <x:c r="AD1306" i="3"/>
  <x:c r="AC1306" i="3"/>
  <x:c r="AB1306" i="3"/>
  <x:c r="AA1306" i="3"/>
  <x:c r="Z1306" i="3"/>
  <x:c r="Y1306" i="3"/>
  <x:c r="X1306" i="3"/>
  <x:c r="W1306" i="3"/>
  <x:c r="V1306" i="3"/>
  <x:c r="U1306" i="3"/>
  <x:c r="T1306" i="3"/>
  <x:c r="E1306" i="3"/>
  <x:c r="D1306" i="3"/>
  <x:c r="C1306" i="3"/>
  <x:c r="B1306" i="3"/>
  <x:c r="AG1305" i="3"/>
  <x:c r="AF1305" i="3"/>
  <x:c r="AE1305" i="3"/>
  <x:c r="AD1305" i="3"/>
  <x:c r="AC1305" i="3"/>
  <x:c r="AB1305" i="3"/>
  <x:c r="AA1305" i="3"/>
  <x:c r="Z1305" i="3"/>
  <x:c r="Y1305" i="3"/>
  <x:c r="X1305" i="3"/>
  <x:c r="W1305" i="3"/>
  <x:c r="V1305" i="3"/>
  <x:c r="U1305" i="3"/>
  <x:c r="T1305" i="3"/>
  <x:c r="E1305" i="3"/>
  <x:c r="D1305" i="3"/>
  <x:c r="C1305" i="3"/>
  <x:c r="B1305" i="3"/>
  <x:c r="AG1304" i="3"/>
  <x:c r="AF1304" i="3"/>
  <x:c r="AE1304" i="3"/>
  <x:c r="AD1304" i="3"/>
  <x:c r="AC1304" i="3"/>
  <x:c r="AB1304" i="3"/>
  <x:c r="AA1304" i="3"/>
  <x:c r="Z1304" i="3"/>
  <x:c r="Y1304" i="3"/>
  <x:c r="X1304" i="3"/>
  <x:c r="W1304" i="3"/>
  <x:c r="V1304" i="3"/>
  <x:c r="U1304" i="3"/>
  <x:c r="T1304" i="3"/>
  <x:c r="E1304" i="3"/>
  <x:c r="D1304" i="3"/>
  <x:c r="C1304" i="3"/>
  <x:c r="B1304" i="3"/>
  <x:c r="AG1303" i="3"/>
  <x:c r="AF1303" i="3"/>
  <x:c r="AE1303" i="3"/>
  <x:c r="AD1303" i="3"/>
  <x:c r="AC1303" i="3"/>
  <x:c r="AB1303" i="3"/>
  <x:c r="AA1303" i="3"/>
  <x:c r="Z1303" i="3"/>
  <x:c r="Y1303" i="3"/>
  <x:c r="X1303" i="3"/>
  <x:c r="W1303" i="3"/>
  <x:c r="V1303" i="3"/>
  <x:c r="U1303" i="3"/>
  <x:c r="T1303" i="3"/>
  <x:c r="E1303" i="3"/>
  <x:c r="D1303" i="3"/>
  <x:c r="C1303" i="3"/>
  <x:c r="B1303" i="3"/>
  <x:c r="AG1302" i="3"/>
  <x:c r="AF1302" i="3"/>
  <x:c r="AE1302" i="3"/>
  <x:c r="AD1302" i="3"/>
  <x:c r="AC1302" i="3"/>
  <x:c r="AB1302" i="3"/>
  <x:c r="AA1302" i="3"/>
  <x:c r="Z1302" i="3"/>
  <x:c r="Y1302" i="3"/>
  <x:c r="X1302" i="3"/>
  <x:c r="W1302" i="3"/>
  <x:c r="V1302" i="3"/>
  <x:c r="U1302" i="3"/>
  <x:c r="T1302" i="3"/>
  <x:c r="E1302" i="3"/>
  <x:c r="D1302" i="3"/>
  <x:c r="C1302" i="3"/>
  <x:c r="B1302" i="3"/>
  <x:c r="AG1301" i="3"/>
  <x:c r="AF1301" i="3"/>
  <x:c r="AE1301" i="3"/>
  <x:c r="AD1301" i="3"/>
  <x:c r="AC1301" i="3"/>
  <x:c r="AB1301" i="3"/>
  <x:c r="AA1301" i="3"/>
  <x:c r="Z1301" i="3"/>
  <x:c r="Y1301" i="3"/>
  <x:c r="X1301" i="3"/>
  <x:c r="W1301" i="3"/>
  <x:c r="V1301" i="3"/>
  <x:c r="U1301" i="3"/>
  <x:c r="T1301" i="3"/>
  <x:c r="E1301" i="3"/>
  <x:c r="D1301" i="3"/>
  <x:c r="C1301" i="3"/>
  <x:c r="B1301" i="3"/>
  <x:c r="AG1300" i="3"/>
  <x:c r="AF1300" i="3"/>
  <x:c r="AE1300" i="3"/>
  <x:c r="AD1300" i="3"/>
  <x:c r="AC1300" i="3"/>
  <x:c r="AB1300" i="3"/>
  <x:c r="AA1300" i="3"/>
  <x:c r="Z1300" i="3"/>
  <x:c r="Y1300" i="3"/>
  <x:c r="X1300" i="3"/>
  <x:c r="W1300" i="3"/>
  <x:c r="V1300" i="3"/>
  <x:c r="U1300" i="3"/>
  <x:c r="T1300" i="3"/>
  <x:c r="E1300" i="3"/>
  <x:c r="D1300" i="3"/>
  <x:c r="C1300" i="3"/>
  <x:c r="B1300" i="3"/>
  <x:c r="AG1299" i="3"/>
  <x:c r="AF1299" i="3"/>
  <x:c r="AE1299" i="3"/>
  <x:c r="AD1299" i="3"/>
  <x:c r="AC1299" i="3"/>
  <x:c r="AB1299" i="3"/>
  <x:c r="AA1299" i="3"/>
  <x:c r="Z1299" i="3"/>
  <x:c r="Y1299" i="3"/>
  <x:c r="X1299" i="3"/>
  <x:c r="W1299" i="3"/>
  <x:c r="V1299" i="3"/>
  <x:c r="U1299" i="3"/>
  <x:c r="T1299" i="3"/>
  <x:c r="E1299" i="3"/>
  <x:c r="D1299" i="3"/>
  <x:c r="C1299" i="3"/>
  <x:c r="B1299" i="3"/>
  <x:c r="AG1298" i="3"/>
  <x:c r="AF1298" i="3"/>
  <x:c r="AE1298" i="3"/>
  <x:c r="AD1298" i="3"/>
  <x:c r="AC1298" i="3"/>
  <x:c r="AB1298" i="3"/>
  <x:c r="AA1298" i="3"/>
  <x:c r="Z1298" i="3"/>
  <x:c r="Y1298" i="3"/>
  <x:c r="X1298" i="3"/>
  <x:c r="W1298" i="3"/>
  <x:c r="V1298" i="3"/>
  <x:c r="U1298" i="3"/>
  <x:c r="T1298" i="3"/>
  <x:c r="E1298" i="3"/>
  <x:c r="D1298" i="3"/>
  <x:c r="C1298" i="3"/>
  <x:c r="B1298" i="3"/>
  <x:c r="AG1297" i="3"/>
  <x:c r="AF1297" i="3"/>
  <x:c r="AE1297" i="3"/>
  <x:c r="AD1297" i="3"/>
  <x:c r="AC1297" i="3"/>
  <x:c r="AB1297" i="3"/>
  <x:c r="AA1297" i="3"/>
  <x:c r="Z1297" i="3"/>
  <x:c r="Y1297" i="3"/>
  <x:c r="X1297" i="3"/>
  <x:c r="W1297" i="3"/>
  <x:c r="V1297" i="3"/>
  <x:c r="U1297" i="3"/>
  <x:c r="T1297" i="3"/>
  <x:c r="E1297" i="3"/>
  <x:c r="D1297" i="3"/>
  <x:c r="C1297" i="3"/>
  <x:c r="B1297" i="3"/>
  <x:c r="AG1296" i="3"/>
  <x:c r="AF1296" i="3"/>
  <x:c r="AE1296" i="3"/>
  <x:c r="AD1296" i="3"/>
  <x:c r="AC1296" i="3"/>
  <x:c r="AB1296" i="3"/>
  <x:c r="AA1296" i="3"/>
  <x:c r="Z1296" i="3"/>
  <x:c r="Y1296" i="3"/>
  <x:c r="X1296" i="3"/>
  <x:c r="W1296" i="3"/>
  <x:c r="V1296" i="3"/>
  <x:c r="U1296" i="3"/>
  <x:c r="T1296" i="3"/>
  <x:c r="E1296" i="3"/>
  <x:c r="D1296" i="3"/>
  <x:c r="C1296" i="3"/>
  <x:c r="B1296" i="3"/>
  <x:c r="AG1295" i="3"/>
  <x:c r="AF1295" i="3"/>
  <x:c r="AE1295" i="3"/>
  <x:c r="AD1295" i="3"/>
  <x:c r="AC1295" i="3"/>
  <x:c r="AB1295" i="3"/>
  <x:c r="AA1295" i="3"/>
  <x:c r="Z1295" i="3"/>
  <x:c r="Y1295" i="3"/>
  <x:c r="X1295" i="3"/>
  <x:c r="W1295" i="3"/>
  <x:c r="V1295" i="3"/>
  <x:c r="U1295" i="3"/>
  <x:c r="T1295" i="3"/>
  <x:c r="E1295" i="3"/>
  <x:c r="D1295" i="3"/>
  <x:c r="C1295" i="3"/>
  <x:c r="B1295" i="3"/>
  <x:c r="AG1294" i="3"/>
  <x:c r="AF1294" i="3"/>
  <x:c r="AE1294" i="3"/>
  <x:c r="AD1294" i="3"/>
  <x:c r="AC1294" i="3"/>
  <x:c r="AB1294" i="3"/>
  <x:c r="AA1294" i="3"/>
  <x:c r="Z1294" i="3"/>
  <x:c r="Y1294" i="3"/>
  <x:c r="X1294" i="3"/>
  <x:c r="W1294" i="3"/>
  <x:c r="V1294" i="3"/>
  <x:c r="U1294" i="3"/>
  <x:c r="T1294" i="3"/>
  <x:c r="E1294" i="3"/>
  <x:c r="D1294" i="3"/>
  <x:c r="C1294" i="3"/>
  <x:c r="B1294" i="3"/>
  <x:c r="AG1293" i="3"/>
  <x:c r="AF1293" i="3"/>
  <x:c r="AE1293" i="3"/>
  <x:c r="AD1293" i="3"/>
  <x:c r="AC1293" i="3"/>
  <x:c r="AB1293" i="3"/>
  <x:c r="AA1293" i="3"/>
  <x:c r="Z1293" i="3"/>
  <x:c r="Y1293" i="3"/>
  <x:c r="X1293" i="3"/>
  <x:c r="W1293" i="3"/>
  <x:c r="V1293" i="3"/>
  <x:c r="U1293" i="3"/>
  <x:c r="T1293" i="3"/>
  <x:c r="E1293" i="3"/>
  <x:c r="D1293" i="3"/>
  <x:c r="C1293" i="3"/>
  <x:c r="B1293" i="3"/>
  <x:c r="AG1292" i="3"/>
  <x:c r="AF1292" i="3"/>
  <x:c r="AE1292" i="3"/>
  <x:c r="AD1292" i="3"/>
  <x:c r="AC1292" i="3"/>
  <x:c r="AB1292" i="3"/>
  <x:c r="AA1292" i="3"/>
  <x:c r="Z1292" i="3"/>
  <x:c r="Y1292" i="3"/>
  <x:c r="X1292" i="3"/>
  <x:c r="W1292" i="3"/>
  <x:c r="V1292" i="3"/>
  <x:c r="U1292" i="3"/>
  <x:c r="T1292" i="3"/>
  <x:c r="E1292" i="3"/>
  <x:c r="D1292" i="3"/>
  <x:c r="C1292" i="3"/>
  <x:c r="B1292" i="3"/>
  <x:c r="AG1291" i="3"/>
  <x:c r="AF1291" i="3"/>
  <x:c r="AE1291" i="3"/>
  <x:c r="AD1291" i="3"/>
  <x:c r="AC1291" i="3"/>
  <x:c r="AB1291" i="3"/>
  <x:c r="AA1291" i="3"/>
  <x:c r="Z1291" i="3"/>
  <x:c r="Y1291" i="3"/>
  <x:c r="X1291" i="3"/>
  <x:c r="W1291" i="3"/>
  <x:c r="V1291" i="3"/>
  <x:c r="U1291" i="3"/>
  <x:c r="T1291" i="3"/>
  <x:c r="E1291" i="3"/>
  <x:c r="D1291" i="3"/>
  <x:c r="C1291" i="3"/>
  <x:c r="B1291" i="3"/>
  <x:c r="AG1290" i="3"/>
  <x:c r="AF1290" i="3"/>
  <x:c r="AE1290" i="3"/>
  <x:c r="AD1290" i="3"/>
  <x:c r="AC1290" i="3"/>
  <x:c r="AB1290" i="3"/>
  <x:c r="AA1290" i="3"/>
  <x:c r="Z1290" i="3"/>
  <x:c r="Y1290" i="3"/>
  <x:c r="X1290" i="3"/>
  <x:c r="W1290" i="3"/>
  <x:c r="V1290" i="3"/>
  <x:c r="U1290" i="3"/>
  <x:c r="T1290" i="3"/>
  <x:c r="E1290" i="3"/>
  <x:c r="D1290" i="3"/>
  <x:c r="C1290" i="3"/>
  <x:c r="B1290" i="3"/>
  <x:c r="AG1289" i="3"/>
  <x:c r="AF1289" i="3"/>
  <x:c r="AE1289" i="3"/>
  <x:c r="AD1289" i="3"/>
  <x:c r="AC1289" i="3"/>
  <x:c r="AB1289" i="3"/>
  <x:c r="AA1289" i="3"/>
  <x:c r="Z1289" i="3"/>
  <x:c r="Y1289" i="3"/>
  <x:c r="X1289" i="3"/>
  <x:c r="W1289" i="3"/>
  <x:c r="V1289" i="3"/>
  <x:c r="U1289" i="3"/>
  <x:c r="T1289" i="3"/>
  <x:c r="E1289" i="3"/>
  <x:c r="D1289" i="3"/>
  <x:c r="C1289" i="3"/>
  <x:c r="B1289" i="3"/>
  <x:c r="AG1288" i="3"/>
  <x:c r="AF1288" i="3"/>
  <x:c r="AE1288" i="3"/>
  <x:c r="AD1288" i="3"/>
  <x:c r="AC1288" i="3"/>
  <x:c r="AB1288" i="3"/>
  <x:c r="AA1288" i="3"/>
  <x:c r="Z1288" i="3"/>
  <x:c r="Y1288" i="3"/>
  <x:c r="X1288" i="3"/>
  <x:c r="W1288" i="3"/>
  <x:c r="V1288" i="3"/>
  <x:c r="U1288" i="3"/>
  <x:c r="T1288" i="3"/>
  <x:c r="E1288" i="3"/>
  <x:c r="D1288" i="3"/>
  <x:c r="C1288" i="3"/>
  <x:c r="B1288" i="3"/>
  <x:c r="AG1287" i="3"/>
  <x:c r="AF1287" i="3"/>
  <x:c r="AE1287" i="3"/>
  <x:c r="AD1287" i="3"/>
  <x:c r="AC1287" i="3"/>
  <x:c r="AB1287" i="3"/>
  <x:c r="AA1287" i="3"/>
  <x:c r="Z1287" i="3"/>
  <x:c r="Y1287" i="3"/>
  <x:c r="X1287" i="3"/>
  <x:c r="W1287" i="3"/>
  <x:c r="V1287" i="3"/>
  <x:c r="U1287" i="3"/>
  <x:c r="T1287" i="3"/>
  <x:c r="E1287" i="3"/>
  <x:c r="D1287" i="3"/>
  <x:c r="C1287" i="3"/>
  <x:c r="B1287" i="3"/>
  <x:c r="AG1286" i="3"/>
  <x:c r="AF1286" i="3"/>
  <x:c r="AE1286" i="3"/>
  <x:c r="AD1286" i="3"/>
  <x:c r="AC1286" i="3"/>
  <x:c r="AB1286" i="3"/>
  <x:c r="AA1286" i="3"/>
  <x:c r="Z1286" i="3"/>
  <x:c r="Y1286" i="3"/>
  <x:c r="X1286" i="3"/>
  <x:c r="W1286" i="3"/>
  <x:c r="V1286" i="3"/>
  <x:c r="U1286" i="3"/>
  <x:c r="T1286" i="3"/>
  <x:c r="E1286" i="3"/>
  <x:c r="D1286" i="3"/>
  <x:c r="C1286" i="3"/>
  <x:c r="B1286" i="3"/>
  <x:c r="AG1285" i="3"/>
  <x:c r="AF1285" i="3"/>
  <x:c r="AE1285" i="3"/>
  <x:c r="AD1285" i="3"/>
  <x:c r="AC1285" i="3"/>
  <x:c r="AB1285" i="3"/>
  <x:c r="AA1285" i="3"/>
  <x:c r="Z1285" i="3"/>
  <x:c r="Y1285" i="3"/>
  <x:c r="X1285" i="3"/>
  <x:c r="W1285" i="3"/>
  <x:c r="V1285" i="3"/>
  <x:c r="U1285" i="3"/>
  <x:c r="T1285" i="3"/>
  <x:c r="E1285" i="3"/>
  <x:c r="D1285" i="3"/>
  <x:c r="C1285" i="3"/>
  <x:c r="B1285" i="3"/>
  <x:c r="AG1284" i="3"/>
  <x:c r="AF1284" i="3"/>
  <x:c r="AE1284" i="3"/>
  <x:c r="AD1284" i="3"/>
  <x:c r="AC1284" i="3"/>
  <x:c r="AB1284" i="3"/>
  <x:c r="AA1284" i="3"/>
  <x:c r="Z1284" i="3"/>
  <x:c r="Y1284" i="3"/>
  <x:c r="X1284" i="3"/>
  <x:c r="W1284" i="3"/>
  <x:c r="V1284" i="3"/>
  <x:c r="U1284" i="3"/>
  <x:c r="T1284" i="3"/>
  <x:c r="E1284" i="3"/>
  <x:c r="D1284" i="3"/>
  <x:c r="C1284" i="3"/>
  <x:c r="B1284" i="3"/>
  <x:c r="AG1283" i="3"/>
  <x:c r="AF1283" i="3"/>
  <x:c r="AE1283" i="3"/>
  <x:c r="AD1283" i="3"/>
  <x:c r="AC1283" i="3"/>
  <x:c r="AB1283" i="3"/>
  <x:c r="AA1283" i="3"/>
  <x:c r="Z1283" i="3"/>
  <x:c r="Y1283" i="3"/>
  <x:c r="X1283" i="3"/>
  <x:c r="W1283" i="3"/>
  <x:c r="V1283" i="3"/>
  <x:c r="U1283" i="3"/>
  <x:c r="T1283" i="3"/>
  <x:c r="E1283" i="3"/>
  <x:c r="D1283" i="3"/>
  <x:c r="C1283" i="3"/>
  <x:c r="B1283" i="3"/>
  <x:c r="AG1282" i="3"/>
  <x:c r="AF1282" i="3"/>
  <x:c r="AE1282" i="3"/>
  <x:c r="AD1282" i="3"/>
  <x:c r="AC1282" i="3"/>
  <x:c r="AB1282" i="3"/>
  <x:c r="AA1282" i="3"/>
  <x:c r="Z1282" i="3"/>
  <x:c r="Y1282" i="3"/>
  <x:c r="X1282" i="3"/>
  <x:c r="W1282" i="3"/>
  <x:c r="V1282" i="3"/>
  <x:c r="U1282" i="3"/>
  <x:c r="T1282" i="3"/>
  <x:c r="E1282" i="3"/>
  <x:c r="D1282" i="3"/>
  <x:c r="C1282" i="3"/>
  <x:c r="B1282" i="3"/>
  <x:c r="AG1281" i="3"/>
  <x:c r="AF1281" i="3"/>
  <x:c r="AE1281" i="3"/>
  <x:c r="AD1281" i="3"/>
  <x:c r="AC1281" i="3"/>
  <x:c r="AB1281" i="3"/>
  <x:c r="AA1281" i="3"/>
  <x:c r="Z1281" i="3"/>
  <x:c r="Y1281" i="3"/>
  <x:c r="X1281" i="3"/>
  <x:c r="W1281" i="3"/>
  <x:c r="V1281" i="3"/>
  <x:c r="U1281" i="3"/>
  <x:c r="T1281" i="3"/>
  <x:c r="E1281" i="3"/>
  <x:c r="D1281" i="3"/>
  <x:c r="C1281" i="3"/>
  <x:c r="B1281" i="3"/>
  <x:c r="AG1280" i="3"/>
  <x:c r="AF1280" i="3"/>
  <x:c r="AE1280" i="3"/>
  <x:c r="AD1280" i="3"/>
  <x:c r="AC1280" i="3"/>
  <x:c r="AB1280" i="3"/>
  <x:c r="AA1280" i="3"/>
  <x:c r="Z1280" i="3"/>
  <x:c r="Y1280" i="3"/>
  <x:c r="X1280" i="3"/>
  <x:c r="W1280" i="3"/>
  <x:c r="V1280" i="3"/>
  <x:c r="U1280" i="3"/>
  <x:c r="T1280" i="3"/>
  <x:c r="E1280" i="3"/>
  <x:c r="D1280" i="3"/>
  <x:c r="C1280" i="3"/>
  <x:c r="B1280" i="3"/>
  <x:c r="AG1279" i="3"/>
  <x:c r="AF1279" i="3"/>
  <x:c r="AE1279" i="3"/>
  <x:c r="AD1279" i="3"/>
  <x:c r="AC1279" i="3"/>
  <x:c r="AB1279" i="3"/>
  <x:c r="AA1279" i="3"/>
  <x:c r="Z1279" i="3"/>
  <x:c r="Y1279" i="3"/>
  <x:c r="X1279" i="3"/>
  <x:c r="W1279" i="3"/>
  <x:c r="V1279" i="3"/>
  <x:c r="U1279" i="3"/>
  <x:c r="T1279" i="3"/>
  <x:c r="E1279" i="3"/>
  <x:c r="D1279" i="3"/>
  <x:c r="C1279" i="3"/>
  <x:c r="B1279" i="3"/>
  <x:c r="AG1278" i="3"/>
  <x:c r="AF1278" i="3"/>
  <x:c r="AE1278" i="3"/>
  <x:c r="AD1278" i="3"/>
  <x:c r="AC1278" i="3"/>
  <x:c r="AB1278" i="3"/>
  <x:c r="AA1278" i="3"/>
  <x:c r="Z1278" i="3"/>
  <x:c r="Y1278" i="3"/>
  <x:c r="X1278" i="3"/>
  <x:c r="W1278" i="3"/>
  <x:c r="V1278" i="3"/>
  <x:c r="U1278" i="3"/>
  <x:c r="T1278" i="3"/>
  <x:c r="E1278" i="3"/>
  <x:c r="D1278" i="3"/>
  <x:c r="C1278" i="3"/>
  <x:c r="B1278" i="3"/>
  <x:c r="AG1277" i="3"/>
  <x:c r="AF1277" i="3"/>
  <x:c r="AE1277" i="3"/>
  <x:c r="AD1277" i="3"/>
  <x:c r="AC1277" i="3"/>
  <x:c r="AB1277" i="3"/>
  <x:c r="AA1277" i="3"/>
  <x:c r="Z1277" i="3"/>
  <x:c r="Y1277" i="3"/>
  <x:c r="X1277" i="3"/>
  <x:c r="W1277" i="3"/>
  <x:c r="V1277" i="3"/>
  <x:c r="U1277" i="3"/>
  <x:c r="T1277" i="3"/>
  <x:c r="E1277" i="3"/>
  <x:c r="D1277" i="3"/>
  <x:c r="C1277" i="3"/>
  <x:c r="B1277" i="3"/>
  <x:c r="AG1276" i="3"/>
  <x:c r="AF1276" i="3"/>
  <x:c r="AE1276" i="3"/>
  <x:c r="AD1276" i="3"/>
  <x:c r="AC1276" i="3"/>
  <x:c r="AB1276" i="3"/>
  <x:c r="AA1276" i="3"/>
  <x:c r="Z1276" i="3"/>
  <x:c r="Y1276" i="3"/>
  <x:c r="X1276" i="3"/>
  <x:c r="W1276" i="3"/>
  <x:c r="V1276" i="3"/>
  <x:c r="U1276" i="3"/>
  <x:c r="T1276" i="3"/>
  <x:c r="E1276" i="3"/>
  <x:c r="D1276" i="3"/>
  <x:c r="C1276" i="3"/>
  <x:c r="B1276" i="3"/>
  <x:c r="AG1275" i="3"/>
  <x:c r="AF1275" i="3"/>
  <x:c r="AE1275" i="3"/>
  <x:c r="AD1275" i="3"/>
  <x:c r="AC1275" i="3"/>
  <x:c r="AB1275" i="3"/>
  <x:c r="AA1275" i="3"/>
  <x:c r="Z1275" i="3"/>
  <x:c r="Y1275" i="3"/>
  <x:c r="X1275" i="3"/>
  <x:c r="W1275" i="3"/>
  <x:c r="V1275" i="3"/>
  <x:c r="U1275" i="3"/>
  <x:c r="T1275" i="3"/>
  <x:c r="E1275" i="3"/>
  <x:c r="D1275" i="3"/>
  <x:c r="C1275" i="3"/>
  <x:c r="B1275" i="3"/>
  <x:c r="AG1274" i="3"/>
  <x:c r="AF1274" i="3"/>
  <x:c r="AE1274" i="3"/>
  <x:c r="AD1274" i="3"/>
  <x:c r="AC1274" i="3"/>
  <x:c r="AB1274" i="3"/>
  <x:c r="AA1274" i="3"/>
  <x:c r="Z1274" i="3"/>
  <x:c r="Y1274" i="3"/>
  <x:c r="X1274" i="3"/>
  <x:c r="W1274" i="3"/>
  <x:c r="V1274" i="3"/>
  <x:c r="U1274" i="3"/>
  <x:c r="T1274" i="3"/>
  <x:c r="E1274" i="3"/>
  <x:c r="D1274" i="3"/>
  <x:c r="C1274" i="3"/>
  <x:c r="B1274" i="3"/>
  <x:c r="AG1273" i="3"/>
  <x:c r="AF1273" i="3"/>
  <x:c r="AE1273" i="3"/>
  <x:c r="AD1273" i="3"/>
  <x:c r="AC1273" i="3"/>
  <x:c r="AB1273" i="3"/>
  <x:c r="AA1273" i="3"/>
  <x:c r="Z1273" i="3"/>
  <x:c r="Y1273" i="3"/>
  <x:c r="X1273" i="3"/>
  <x:c r="W1273" i="3"/>
  <x:c r="V1273" i="3"/>
  <x:c r="U1273" i="3"/>
  <x:c r="T1273" i="3"/>
  <x:c r="E1273" i="3"/>
  <x:c r="D1273" i="3"/>
  <x:c r="C1273" i="3"/>
  <x:c r="B1273" i="3"/>
  <x:c r="AG1272" i="3"/>
  <x:c r="AF1272" i="3"/>
  <x:c r="AE1272" i="3"/>
  <x:c r="AD1272" i="3"/>
  <x:c r="AC1272" i="3"/>
  <x:c r="AB1272" i="3"/>
  <x:c r="AA1272" i="3"/>
  <x:c r="Z1272" i="3"/>
  <x:c r="Y1272" i="3"/>
  <x:c r="X1272" i="3"/>
  <x:c r="W1272" i="3"/>
  <x:c r="V1272" i="3"/>
  <x:c r="U1272" i="3"/>
  <x:c r="T1272" i="3"/>
  <x:c r="E1272" i="3"/>
  <x:c r="D1272" i="3"/>
  <x:c r="C1272" i="3"/>
  <x:c r="B1272" i="3"/>
  <x:c r="AG1271" i="3"/>
  <x:c r="AF1271" i="3"/>
  <x:c r="AE1271" i="3"/>
  <x:c r="AD1271" i="3"/>
  <x:c r="AC1271" i="3"/>
  <x:c r="AB1271" i="3"/>
  <x:c r="AA1271" i="3"/>
  <x:c r="Z1271" i="3"/>
  <x:c r="Y1271" i="3"/>
  <x:c r="X1271" i="3"/>
  <x:c r="W1271" i="3"/>
  <x:c r="V1271" i="3"/>
  <x:c r="U1271" i="3"/>
  <x:c r="T1271" i="3"/>
  <x:c r="E1271" i="3"/>
  <x:c r="D1271" i="3"/>
  <x:c r="C1271" i="3"/>
  <x:c r="B1271" i="3"/>
  <x:c r="AG1270" i="3"/>
  <x:c r="AF1270" i="3"/>
  <x:c r="AE1270" i="3"/>
  <x:c r="AD1270" i="3"/>
  <x:c r="AC1270" i="3"/>
  <x:c r="AB1270" i="3"/>
  <x:c r="AA1270" i="3"/>
  <x:c r="Z1270" i="3"/>
  <x:c r="Y1270" i="3"/>
  <x:c r="X1270" i="3"/>
  <x:c r="W1270" i="3"/>
  <x:c r="V1270" i="3"/>
  <x:c r="U1270" i="3"/>
  <x:c r="T1270" i="3"/>
  <x:c r="E1270" i="3"/>
  <x:c r="D1270" i="3"/>
  <x:c r="C1270" i="3"/>
  <x:c r="B1270" i="3"/>
  <x:c r="AG1269" i="3"/>
  <x:c r="AF1269" i="3"/>
  <x:c r="AE1269" i="3"/>
  <x:c r="AD1269" i="3"/>
  <x:c r="AC1269" i="3"/>
  <x:c r="AB1269" i="3"/>
  <x:c r="AA1269" i="3"/>
  <x:c r="Z1269" i="3"/>
  <x:c r="Y1269" i="3"/>
  <x:c r="X1269" i="3"/>
  <x:c r="W1269" i="3"/>
  <x:c r="V1269" i="3"/>
  <x:c r="U1269" i="3"/>
  <x:c r="T1269" i="3"/>
  <x:c r="E1269" i="3"/>
  <x:c r="D1269" i="3"/>
  <x:c r="C1269" i="3"/>
  <x:c r="B1269" i="3"/>
  <x:c r="AG1268" i="3"/>
  <x:c r="AF1268" i="3"/>
  <x:c r="AE1268" i="3"/>
  <x:c r="AD1268" i="3"/>
  <x:c r="AC1268" i="3"/>
  <x:c r="AB1268" i="3"/>
  <x:c r="AA1268" i="3"/>
  <x:c r="Z1268" i="3"/>
  <x:c r="Y1268" i="3"/>
  <x:c r="X1268" i="3"/>
  <x:c r="W1268" i="3"/>
  <x:c r="V1268" i="3"/>
  <x:c r="U1268" i="3"/>
  <x:c r="T1268" i="3"/>
  <x:c r="E1268" i="3"/>
  <x:c r="D1268" i="3"/>
  <x:c r="C1268" i="3"/>
  <x:c r="B1268" i="3"/>
  <x:c r="AG1267" i="3"/>
  <x:c r="AF1267" i="3"/>
  <x:c r="AE1267" i="3"/>
  <x:c r="AD1267" i="3"/>
  <x:c r="AC1267" i="3"/>
  <x:c r="AB1267" i="3"/>
  <x:c r="AA1267" i="3"/>
  <x:c r="Z1267" i="3"/>
  <x:c r="Y1267" i="3"/>
  <x:c r="X1267" i="3"/>
  <x:c r="W1267" i="3"/>
  <x:c r="V1267" i="3"/>
  <x:c r="U1267" i="3"/>
  <x:c r="T1267" i="3"/>
  <x:c r="E1267" i="3"/>
  <x:c r="D1267" i="3"/>
  <x:c r="C1267" i="3"/>
  <x:c r="B1267" i="3"/>
  <x:c r="AG1266" i="3"/>
  <x:c r="AF1266" i="3"/>
  <x:c r="AE1266" i="3"/>
  <x:c r="AD1266" i="3"/>
  <x:c r="AC1266" i="3"/>
  <x:c r="AB1266" i="3"/>
  <x:c r="AA1266" i="3"/>
  <x:c r="Z1266" i="3"/>
  <x:c r="Y1266" i="3"/>
  <x:c r="X1266" i="3"/>
  <x:c r="W1266" i="3"/>
  <x:c r="V1266" i="3"/>
  <x:c r="U1266" i="3"/>
  <x:c r="T1266" i="3"/>
  <x:c r="E1266" i="3"/>
  <x:c r="D1266" i="3"/>
  <x:c r="C1266" i="3"/>
  <x:c r="B1266" i="3"/>
  <x:c r="AG1265" i="3"/>
  <x:c r="AF1265" i="3"/>
  <x:c r="AE1265" i="3"/>
  <x:c r="AD1265" i="3"/>
  <x:c r="AC1265" i="3"/>
  <x:c r="AB1265" i="3"/>
  <x:c r="AA1265" i="3"/>
  <x:c r="Z1265" i="3"/>
  <x:c r="Y1265" i="3"/>
  <x:c r="X1265" i="3"/>
  <x:c r="W1265" i="3"/>
  <x:c r="V1265" i="3"/>
  <x:c r="U1265" i="3"/>
  <x:c r="T1265" i="3"/>
  <x:c r="E1265" i="3"/>
  <x:c r="D1265" i="3"/>
  <x:c r="C1265" i="3"/>
  <x:c r="B1265" i="3"/>
  <x:c r="AG1264" i="3"/>
  <x:c r="AF1264" i="3"/>
  <x:c r="AE1264" i="3"/>
  <x:c r="AD1264" i="3"/>
  <x:c r="AC1264" i="3"/>
  <x:c r="AB1264" i="3"/>
  <x:c r="AA1264" i="3"/>
  <x:c r="Z1264" i="3"/>
  <x:c r="Y1264" i="3"/>
  <x:c r="X1264" i="3"/>
  <x:c r="W1264" i="3"/>
  <x:c r="V1264" i="3"/>
  <x:c r="U1264" i="3"/>
  <x:c r="T1264" i="3"/>
  <x:c r="E1264" i="3"/>
  <x:c r="D1264" i="3"/>
  <x:c r="C1264" i="3"/>
  <x:c r="B1264" i="3"/>
  <x:c r="AG1263" i="3"/>
  <x:c r="AF1263" i="3"/>
  <x:c r="AE1263" i="3"/>
  <x:c r="AD1263" i="3"/>
  <x:c r="AC1263" i="3"/>
  <x:c r="AB1263" i="3"/>
  <x:c r="AA1263" i="3"/>
  <x:c r="Z1263" i="3"/>
  <x:c r="Y1263" i="3"/>
  <x:c r="X1263" i="3"/>
  <x:c r="W1263" i="3"/>
  <x:c r="V1263" i="3"/>
  <x:c r="U1263" i="3"/>
  <x:c r="T1263" i="3"/>
  <x:c r="E1263" i="3"/>
  <x:c r="D1263" i="3"/>
  <x:c r="C1263" i="3"/>
  <x:c r="B1263" i="3"/>
  <x:c r="AG1262" i="3"/>
  <x:c r="AF1262" i="3"/>
  <x:c r="AE1262" i="3"/>
  <x:c r="AD1262" i="3"/>
  <x:c r="AC1262" i="3"/>
  <x:c r="AB1262" i="3"/>
  <x:c r="AA1262" i="3"/>
  <x:c r="Z1262" i="3"/>
  <x:c r="Y1262" i="3"/>
  <x:c r="X1262" i="3"/>
  <x:c r="W1262" i="3"/>
  <x:c r="V1262" i="3"/>
  <x:c r="U1262" i="3"/>
  <x:c r="T1262" i="3"/>
  <x:c r="E1262" i="3"/>
  <x:c r="D1262" i="3"/>
  <x:c r="C1262" i="3"/>
  <x:c r="B1262" i="3"/>
  <x:c r="AG1261" i="3"/>
  <x:c r="AF1261" i="3"/>
  <x:c r="AE1261" i="3"/>
  <x:c r="AD1261" i="3"/>
  <x:c r="AC1261" i="3"/>
  <x:c r="AB1261" i="3"/>
  <x:c r="AA1261" i="3"/>
  <x:c r="Z1261" i="3"/>
  <x:c r="Y1261" i="3"/>
  <x:c r="X1261" i="3"/>
  <x:c r="W1261" i="3"/>
  <x:c r="V1261" i="3"/>
  <x:c r="U1261" i="3"/>
  <x:c r="T1261" i="3"/>
  <x:c r="E1261" i="3"/>
  <x:c r="D1261" i="3"/>
  <x:c r="C1261" i="3"/>
  <x:c r="B1261" i="3"/>
  <x:c r="AG1260" i="3"/>
  <x:c r="AF1260" i="3"/>
  <x:c r="AE1260" i="3"/>
  <x:c r="AD1260" i="3"/>
  <x:c r="AC1260" i="3"/>
  <x:c r="AB1260" i="3"/>
  <x:c r="AA1260" i="3"/>
  <x:c r="Z1260" i="3"/>
  <x:c r="Y1260" i="3"/>
  <x:c r="X1260" i="3"/>
  <x:c r="W1260" i="3"/>
  <x:c r="V1260" i="3"/>
  <x:c r="U1260" i="3"/>
  <x:c r="T1260" i="3"/>
  <x:c r="E1260" i="3"/>
  <x:c r="D1260" i="3"/>
  <x:c r="C1260" i="3"/>
  <x:c r="B1260" i="3"/>
  <x:c r="AG1259" i="3"/>
  <x:c r="AF1259" i="3"/>
  <x:c r="AE1259" i="3"/>
  <x:c r="AD1259" i="3"/>
  <x:c r="AC1259" i="3"/>
  <x:c r="AB1259" i="3"/>
  <x:c r="AA1259" i="3"/>
  <x:c r="Z1259" i="3"/>
  <x:c r="Y1259" i="3"/>
  <x:c r="X1259" i="3"/>
  <x:c r="W1259" i="3"/>
  <x:c r="V1259" i="3"/>
  <x:c r="U1259" i="3"/>
  <x:c r="T1259" i="3"/>
  <x:c r="E1259" i="3"/>
  <x:c r="D1259" i="3"/>
  <x:c r="C1259" i="3"/>
  <x:c r="B1259" i="3"/>
  <x:c r="AG1258" i="3"/>
  <x:c r="AF1258" i="3"/>
  <x:c r="AE1258" i="3"/>
  <x:c r="AD1258" i="3"/>
  <x:c r="AC1258" i="3"/>
  <x:c r="AB1258" i="3"/>
  <x:c r="AA1258" i="3"/>
  <x:c r="Z1258" i="3"/>
  <x:c r="Y1258" i="3"/>
  <x:c r="X1258" i="3"/>
  <x:c r="W1258" i="3"/>
  <x:c r="V1258" i="3"/>
  <x:c r="U1258" i="3"/>
  <x:c r="T1258" i="3"/>
  <x:c r="E1258" i="3"/>
  <x:c r="D1258" i="3"/>
  <x:c r="C1258" i="3"/>
  <x:c r="B1258" i="3"/>
  <x:c r="AG1257" i="3"/>
  <x:c r="AF1257" i="3"/>
  <x:c r="AE1257" i="3"/>
  <x:c r="AD1257" i="3"/>
  <x:c r="AC1257" i="3"/>
  <x:c r="AB1257" i="3"/>
  <x:c r="AA1257" i="3"/>
  <x:c r="Z1257" i="3"/>
  <x:c r="Y1257" i="3"/>
  <x:c r="X1257" i="3"/>
  <x:c r="W1257" i="3"/>
  <x:c r="V1257" i="3"/>
  <x:c r="U1257" i="3"/>
  <x:c r="T1257" i="3"/>
  <x:c r="E1257" i="3"/>
  <x:c r="D1257" i="3"/>
  <x:c r="C1257" i="3"/>
  <x:c r="B1257" i="3"/>
  <x:c r="AG1256" i="3"/>
  <x:c r="AF1256" i="3"/>
  <x:c r="AE1256" i="3"/>
  <x:c r="AD1256" i="3"/>
  <x:c r="AC1256" i="3"/>
  <x:c r="AB1256" i="3"/>
  <x:c r="AA1256" i="3"/>
  <x:c r="Z1256" i="3"/>
  <x:c r="Y1256" i="3"/>
  <x:c r="X1256" i="3"/>
  <x:c r="W1256" i="3"/>
  <x:c r="V1256" i="3"/>
  <x:c r="U1256" i="3"/>
  <x:c r="T1256" i="3"/>
  <x:c r="E1256" i="3"/>
  <x:c r="D1256" i="3"/>
  <x:c r="C1256" i="3"/>
  <x:c r="B1256" i="3"/>
  <x:c r="AG1255" i="3"/>
  <x:c r="AF1255" i="3"/>
  <x:c r="AE1255" i="3"/>
  <x:c r="AD1255" i="3"/>
  <x:c r="AC1255" i="3"/>
  <x:c r="AB1255" i="3"/>
  <x:c r="AA1255" i="3"/>
  <x:c r="Z1255" i="3"/>
  <x:c r="Y1255" i="3"/>
  <x:c r="X1255" i="3"/>
  <x:c r="W1255" i="3"/>
  <x:c r="V1255" i="3"/>
  <x:c r="U1255" i="3"/>
  <x:c r="T1255" i="3"/>
  <x:c r="E1255" i="3"/>
  <x:c r="D1255" i="3"/>
  <x:c r="C1255" i="3"/>
  <x:c r="B1255" i="3"/>
  <x:c r="AG1254" i="3"/>
  <x:c r="AF1254" i="3"/>
  <x:c r="AE1254" i="3"/>
  <x:c r="AD1254" i="3"/>
  <x:c r="AC1254" i="3"/>
  <x:c r="AB1254" i="3"/>
  <x:c r="AA1254" i="3"/>
  <x:c r="Z1254" i="3"/>
  <x:c r="Y1254" i="3"/>
  <x:c r="X1254" i="3"/>
  <x:c r="W1254" i="3"/>
  <x:c r="V1254" i="3"/>
  <x:c r="U1254" i="3"/>
  <x:c r="T1254" i="3"/>
  <x:c r="E1254" i="3"/>
  <x:c r="D1254" i="3"/>
  <x:c r="C1254" i="3"/>
  <x:c r="B1254" i="3"/>
  <x:c r="AG1253" i="3"/>
  <x:c r="AF1253" i="3"/>
  <x:c r="AE1253" i="3"/>
  <x:c r="AD1253" i="3"/>
  <x:c r="AC1253" i="3"/>
  <x:c r="AB1253" i="3"/>
  <x:c r="AA1253" i="3"/>
  <x:c r="Z1253" i="3"/>
  <x:c r="Y1253" i="3"/>
  <x:c r="X1253" i="3"/>
  <x:c r="W1253" i="3"/>
  <x:c r="V1253" i="3"/>
  <x:c r="U1253" i="3"/>
  <x:c r="T1253" i="3"/>
  <x:c r="E1253" i="3"/>
  <x:c r="D1253" i="3"/>
  <x:c r="C1253" i="3"/>
  <x:c r="B1253" i="3"/>
  <x:c r="AG1252" i="3"/>
  <x:c r="AF1252" i="3"/>
  <x:c r="AE1252" i="3"/>
  <x:c r="AD1252" i="3"/>
  <x:c r="AC1252" i="3"/>
  <x:c r="AB1252" i="3"/>
  <x:c r="AA1252" i="3"/>
  <x:c r="Z1252" i="3"/>
  <x:c r="Y1252" i="3"/>
  <x:c r="X1252" i="3"/>
  <x:c r="W1252" i="3"/>
  <x:c r="V1252" i="3"/>
  <x:c r="U1252" i="3"/>
  <x:c r="T1252" i="3"/>
  <x:c r="E1252" i="3"/>
  <x:c r="D1252" i="3"/>
  <x:c r="C1252" i="3"/>
  <x:c r="B1252" i="3"/>
  <x:c r="AG1251" i="3"/>
  <x:c r="AF1251" i="3"/>
  <x:c r="AE1251" i="3"/>
  <x:c r="AD1251" i="3"/>
  <x:c r="AC1251" i="3"/>
  <x:c r="AB1251" i="3"/>
  <x:c r="AA1251" i="3"/>
  <x:c r="Z1251" i="3"/>
  <x:c r="Y1251" i="3"/>
  <x:c r="X1251" i="3"/>
  <x:c r="W1251" i="3"/>
  <x:c r="V1251" i="3"/>
  <x:c r="U1251" i="3"/>
  <x:c r="T1251" i="3"/>
  <x:c r="E1251" i="3"/>
  <x:c r="D1251" i="3"/>
  <x:c r="C1251" i="3"/>
  <x:c r="B1251" i="3"/>
  <x:c r="AG1250" i="3"/>
  <x:c r="AF1250" i="3"/>
  <x:c r="AE1250" i="3"/>
  <x:c r="AD1250" i="3"/>
  <x:c r="AC1250" i="3"/>
  <x:c r="AB1250" i="3"/>
  <x:c r="AA1250" i="3"/>
  <x:c r="Z1250" i="3"/>
  <x:c r="Y1250" i="3"/>
  <x:c r="X1250" i="3"/>
  <x:c r="W1250" i="3"/>
  <x:c r="V1250" i="3"/>
  <x:c r="U1250" i="3"/>
  <x:c r="T1250" i="3"/>
  <x:c r="E1250" i="3"/>
  <x:c r="D1250" i="3"/>
  <x:c r="C1250" i="3"/>
  <x:c r="B1250" i="3"/>
  <x:c r="AG1249" i="3"/>
  <x:c r="AF1249" i="3"/>
  <x:c r="AE1249" i="3"/>
  <x:c r="AD1249" i="3"/>
  <x:c r="AC1249" i="3"/>
  <x:c r="AB1249" i="3"/>
  <x:c r="AA1249" i="3"/>
  <x:c r="Z1249" i="3"/>
  <x:c r="Y1249" i="3"/>
  <x:c r="X1249" i="3"/>
  <x:c r="W1249" i="3"/>
  <x:c r="V1249" i="3"/>
  <x:c r="U1249" i="3"/>
  <x:c r="T1249" i="3"/>
  <x:c r="E1249" i="3"/>
  <x:c r="D1249" i="3"/>
  <x:c r="C1249" i="3"/>
  <x:c r="B1249" i="3"/>
  <x:c r="AG1248" i="3"/>
  <x:c r="AF1248" i="3"/>
  <x:c r="AE1248" i="3"/>
  <x:c r="AD1248" i="3"/>
  <x:c r="AC1248" i="3"/>
  <x:c r="AB1248" i="3"/>
  <x:c r="AA1248" i="3"/>
  <x:c r="Z1248" i="3"/>
  <x:c r="Y1248" i="3"/>
  <x:c r="X1248" i="3"/>
  <x:c r="W1248" i="3"/>
  <x:c r="V1248" i="3"/>
  <x:c r="U1248" i="3"/>
  <x:c r="T1248" i="3"/>
  <x:c r="E1248" i="3"/>
  <x:c r="D1248" i="3"/>
  <x:c r="C1248" i="3"/>
  <x:c r="B1248" i="3"/>
  <x:c r="AG1247" i="3"/>
  <x:c r="AF1247" i="3"/>
  <x:c r="AE1247" i="3"/>
  <x:c r="AD1247" i="3"/>
  <x:c r="AC1247" i="3"/>
  <x:c r="AB1247" i="3"/>
  <x:c r="AA1247" i="3"/>
  <x:c r="Z1247" i="3"/>
  <x:c r="Y1247" i="3"/>
  <x:c r="X1247" i="3"/>
  <x:c r="W1247" i="3"/>
  <x:c r="V1247" i="3"/>
  <x:c r="U1247" i="3"/>
  <x:c r="T1247" i="3"/>
  <x:c r="E1247" i="3"/>
  <x:c r="D1247" i="3"/>
  <x:c r="C1247" i="3"/>
  <x:c r="B1247" i="3"/>
  <x:c r="AG1246" i="3"/>
  <x:c r="AF1246" i="3"/>
  <x:c r="AE1246" i="3"/>
  <x:c r="AD1246" i="3"/>
  <x:c r="AC1246" i="3"/>
  <x:c r="AB1246" i="3"/>
  <x:c r="AA1246" i="3"/>
  <x:c r="Z1246" i="3"/>
  <x:c r="Y1246" i="3"/>
  <x:c r="X1246" i="3"/>
  <x:c r="W1246" i="3"/>
  <x:c r="V1246" i="3"/>
  <x:c r="U1246" i="3"/>
  <x:c r="T1246" i="3"/>
  <x:c r="E1246" i="3"/>
  <x:c r="D1246" i="3"/>
  <x:c r="C1246" i="3"/>
  <x:c r="B1246" i="3"/>
  <x:c r="AG1245" i="3"/>
  <x:c r="AF1245" i="3"/>
  <x:c r="AE1245" i="3"/>
  <x:c r="AD1245" i="3"/>
  <x:c r="AC1245" i="3"/>
  <x:c r="AB1245" i="3"/>
  <x:c r="AA1245" i="3"/>
  <x:c r="Z1245" i="3"/>
  <x:c r="Y1245" i="3"/>
  <x:c r="X1245" i="3"/>
  <x:c r="W1245" i="3"/>
  <x:c r="V1245" i="3"/>
  <x:c r="U1245" i="3"/>
  <x:c r="T1245" i="3"/>
  <x:c r="E1245" i="3"/>
  <x:c r="D1245" i="3"/>
  <x:c r="C1245" i="3"/>
  <x:c r="B1245" i="3"/>
  <x:c r="AG1244" i="3"/>
  <x:c r="AF1244" i="3"/>
  <x:c r="AE1244" i="3"/>
  <x:c r="AD1244" i="3"/>
  <x:c r="AC1244" i="3"/>
  <x:c r="AB1244" i="3"/>
  <x:c r="AA1244" i="3"/>
  <x:c r="Z1244" i="3"/>
  <x:c r="Y1244" i="3"/>
  <x:c r="X1244" i="3"/>
  <x:c r="W1244" i="3"/>
  <x:c r="V1244" i="3"/>
  <x:c r="U1244" i="3"/>
  <x:c r="T1244" i="3"/>
  <x:c r="E1244" i="3"/>
  <x:c r="D1244" i="3"/>
  <x:c r="C1244" i="3"/>
  <x:c r="B1244" i="3"/>
  <x:c r="AG1243" i="3"/>
  <x:c r="AF1243" i="3"/>
  <x:c r="AE1243" i="3"/>
  <x:c r="AD1243" i="3"/>
  <x:c r="AC1243" i="3"/>
  <x:c r="AB1243" i="3"/>
  <x:c r="AA1243" i="3"/>
  <x:c r="Z1243" i="3"/>
  <x:c r="Y1243" i="3"/>
  <x:c r="X1243" i="3"/>
  <x:c r="W1243" i="3"/>
  <x:c r="V1243" i="3"/>
  <x:c r="U1243" i="3"/>
  <x:c r="T1243" i="3"/>
  <x:c r="E1243" i="3"/>
  <x:c r="D1243" i="3"/>
  <x:c r="C1243" i="3"/>
  <x:c r="B1243" i="3"/>
  <x:c r="AG1242" i="3"/>
  <x:c r="AF1242" i="3"/>
  <x:c r="AE1242" i="3"/>
  <x:c r="AD1242" i="3"/>
  <x:c r="AC1242" i="3"/>
  <x:c r="AB1242" i="3"/>
  <x:c r="AA1242" i="3"/>
  <x:c r="Z1242" i="3"/>
  <x:c r="Y1242" i="3"/>
  <x:c r="X1242" i="3"/>
  <x:c r="W1242" i="3"/>
  <x:c r="V1242" i="3"/>
  <x:c r="U1242" i="3"/>
  <x:c r="T1242" i="3"/>
  <x:c r="E1242" i="3"/>
  <x:c r="D1242" i="3"/>
  <x:c r="C1242" i="3"/>
  <x:c r="B1242" i="3"/>
  <x:c r="AG1241" i="3"/>
  <x:c r="AF1241" i="3"/>
  <x:c r="AE1241" i="3"/>
  <x:c r="AD1241" i="3"/>
  <x:c r="AC1241" i="3"/>
  <x:c r="AB1241" i="3"/>
  <x:c r="AA1241" i="3"/>
  <x:c r="Z1241" i="3"/>
  <x:c r="Y1241" i="3"/>
  <x:c r="X1241" i="3"/>
  <x:c r="W1241" i="3"/>
  <x:c r="V1241" i="3"/>
  <x:c r="U1241" i="3"/>
  <x:c r="T1241" i="3"/>
  <x:c r="E1241" i="3"/>
  <x:c r="D1241" i="3"/>
  <x:c r="C1241" i="3"/>
  <x:c r="B1241" i="3"/>
  <x:c r="AG1240" i="3"/>
  <x:c r="AF1240" i="3"/>
  <x:c r="AE1240" i="3"/>
  <x:c r="AD1240" i="3"/>
  <x:c r="AC1240" i="3"/>
  <x:c r="AB1240" i="3"/>
  <x:c r="AA1240" i="3"/>
  <x:c r="Z1240" i="3"/>
  <x:c r="Y1240" i="3"/>
  <x:c r="X1240" i="3"/>
  <x:c r="W1240" i="3"/>
  <x:c r="V1240" i="3"/>
  <x:c r="U1240" i="3"/>
  <x:c r="T1240" i="3"/>
  <x:c r="E1240" i="3"/>
  <x:c r="D1240" i="3"/>
  <x:c r="C1240" i="3"/>
  <x:c r="B1240" i="3"/>
  <x:c r="AG1239" i="3"/>
  <x:c r="AF1239" i="3"/>
  <x:c r="AE1239" i="3"/>
  <x:c r="AD1239" i="3"/>
  <x:c r="AC1239" i="3"/>
  <x:c r="AB1239" i="3"/>
  <x:c r="AA1239" i="3"/>
  <x:c r="Z1239" i="3"/>
  <x:c r="Y1239" i="3"/>
  <x:c r="X1239" i="3"/>
  <x:c r="W1239" i="3"/>
  <x:c r="V1239" i="3"/>
  <x:c r="U1239" i="3"/>
  <x:c r="T1239" i="3"/>
  <x:c r="E1239" i="3"/>
  <x:c r="D1239" i="3"/>
  <x:c r="C1239" i="3"/>
  <x:c r="B1239" i="3"/>
  <x:c r="AG1238" i="3"/>
  <x:c r="AF1238" i="3"/>
  <x:c r="AE1238" i="3"/>
  <x:c r="AD1238" i="3"/>
  <x:c r="AC1238" i="3"/>
  <x:c r="AB1238" i="3"/>
  <x:c r="AA1238" i="3"/>
  <x:c r="Z1238" i="3"/>
  <x:c r="Y1238" i="3"/>
  <x:c r="X1238" i="3"/>
  <x:c r="W1238" i="3"/>
  <x:c r="V1238" i="3"/>
  <x:c r="U1238" i="3"/>
  <x:c r="T1238" i="3"/>
  <x:c r="E1238" i="3"/>
  <x:c r="D1238" i="3"/>
  <x:c r="C1238" i="3"/>
  <x:c r="B1238" i="3"/>
  <x:c r="AG1237" i="3"/>
  <x:c r="AF1237" i="3"/>
  <x:c r="AE1237" i="3"/>
  <x:c r="AD1237" i="3"/>
  <x:c r="AC1237" i="3"/>
  <x:c r="AB1237" i="3"/>
  <x:c r="AA1237" i="3"/>
  <x:c r="Z1237" i="3"/>
  <x:c r="Y1237" i="3"/>
  <x:c r="X1237" i="3"/>
  <x:c r="W1237" i="3"/>
  <x:c r="V1237" i="3"/>
  <x:c r="U1237" i="3"/>
  <x:c r="T1237" i="3"/>
  <x:c r="E1237" i="3"/>
  <x:c r="D1237" i="3"/>
  <x:c r="C1237" i="3"/>
  <x:c r="B1237" i="3"/>
  <x:c r="AG1236" i="3"/>
  <x:c r="AF1236" i="3"/>
  <x:c r="AE1236" i="3"/>
  <x:c r="AD1236" i="3"/>
  <x:c r="AC1236" i="3"/>
  <x:c r="AB1236" i="3"/>
  <x:c r="AA1236" i="3"/>
  <x:c r="Z1236" i="3"/>
  <x:c r="Y1236" i="3"/>
  <x:c r="X1236" i="3"/>
  <x:c r="W1236" i="3"/>
  <x:c r="V1236" i="3"/>
  <x:c r="U1236" i="3"/>
  <x:c r="T1236" i="3"/>
  <x:c r="E1236" i="3"/>
  <x:c r="D1236" i="3"/>
  <x:c r="C1236" i="3"/>
  <x:c r="B1236" i="3"/>
  <x:c r="AG1235" i="3"/>
  <x:c r="AF1235" i="3"/>
  <x:c r="AE1235" i="3"/>
  <x:c r="AD1235" i="3"/>
  <x:c r="AC1235" i="3"/>
  <x:c r="AB1235" i="3"/>
  <x:c r="AA1235" i="3"/>
  <x:c r="Z1235" i="3"/>
  <x:c r="Y1235" i="3"/>
  <x:c r="X1235" i="3"/>
  <x:c r="W1235" i="3"/>
  <x:c r="V1235" i="3"/>
  <x:c r="U1235" i="3"/>
  <x:c r="T1235" i="3"/>
  <x:c r="E1235" i="3"/>
  <x:c r="D1235" i="3"/>
  <x:c r="C1235" i="3"/>
  <x:c r="B1235" i="3"/>
  <x:c r="AG1234" i="3"/>
  <x:c r="AF1234" i="3"/>
  <x:c r="AE1234" i="3"/>
  <x:c r="AD1234" i="3"/>
  <x:c r="AC1234" i="3"/>
  <x:c r="AB1234" i="3"/>
  <x:c r="AA1234" i="3"/>
  <x:c r="Z1234" i="3"/>
  <x:c r="Y1234" i="3"/>
  <x:c r="X1234" i="3"/>
  <x:c r="W1234" i="3"/>
  <x:c r="V1234" i="3"/>
  <x:c r="U1234" i="3"/>
  <x:c r="T1234" i="3"/>
  <x:c r="E1234" i="3"/>
  <x:c r="D1234" i="3"/>
  <x:c r="C1234" i="3"/>
  <x:c r="B1234" i="3"/>
  <x:c r="AG1233" i="3"/>
  <x:c r="AF1233" i="3"/>
  <x:c r="AE1233" i="3"/>
  <x:c r="AD1233" i="3"/>
  <x:c r="AC1233" i="3"/>
  <x:c r="AB1233" i="3"/>
  <x:c r="AA1233" i="3"/>
  <x:c r="Z1233" i="3"/>
  <x:c r="Y1233" i="3"/>
  <x:c r="X1233" i="3"/>
  <x:c r="W1233" i="3"/>
  <x:c r="V1233" i="3"/>
  <x:c r="U1233" i="3"/>
  <x:c r="T1233" i="3"/>
  <x:c r="E1233" i="3"/>
  <x:c r="D1233" i="3"/>
  <x:c r="C1233" i="3"/>
  <x:c r="B1233" i="3"/>
  <x:c r="AG1232" i="3"/>
  <x:c r="AF1232" i="3"/>
  <x:c r="AE1232" i="3"/>
  <x:c r="AD1232" i="3"/>
  <x:c r="AC1232" i="3"/>
  <x:c r="AB1232" i="3"/>
  <x:c r="AA1232" i="3"/>
  <x:c r="Z1232" i="3"/>
  <x:c r="Y1232" i="3"/>
  <x:c r="X1232" i="3"/>
  <x:c r="W1232" i="3"/>
  <x:c r="V1232" i="3"/>
  <x:c r="U1232" i="3"/>
  <x:c r="T1232" i="3"/>
  <x:c r="E1232" i="3"/>
  <x:c r="D1232" i="3"/>
  <x:c r="C1232" i="3"/>
  <x:c r="B1232" i="3"/>
  <x:c r="AG1231" i="3"/>
  <x:c r="AF1231" i="3"/>
  <x:c r="AE1231" i="3"/>
  <x:c r="AD1231" i="3"/>
  <x:c r="AC1231" i="3"/>
  <x:c r="AB1231" i="3"/>
  <x:c r="AA1231" i="3"/>
  <x:c r="Z1231" i="3"/>
  <x:c r="Y1231" i="3"/>
  <x:c r="X1231" i="3"/>
  <x:c r="W1231" i="3"/>
  <x:c r="V1231" i="3"/>
  <x:c r="U1231" i="3"/>
  <x:c r="T1231" i="3"/>
  <x:c r="E1231" i="3"/>
  <x:c r="D1231" i="3"/>
  <x:c r="C1231" i="3"/>
  <x:c r="B1231" i="3"/>
  <x:c r="AG1230" i="3"/>
  <x:c r="AF1230" i="3"/>
  <x:c r="AE1230" i="3"/>
  <x:c r="AD1230" i="3"/>
  <x:c r="AC1230" i="3"/>
  <x:c r="AB1230" i="3"/>
  <x:c r="AA1230" i="3"/>
  <x:c r="Z1230" i="3"/>
  <x:c r="Y1230" i="3"/>
  <x:c r="X1230" i="3"/>
  <x:c r="W1230" i="3"/>
  <x:c r="V1230" i="3"/>
  <x:c r="U1230" i="3"/>
  <x:c r="T1230" i="3"/>
  <x:c r="E1230" i="3"/>
  <x:c r="D1230" i="3"/>
  <x:c r="C1230" i="3"/>
  <x:c r="B1230" i="3"/>
  <x:c r="AG1229" i="3"/>
  <x:c r="AF1229" i="3"/>
  <x:c r="AE1229" i="3"/>
  <x:c r="AD1229" i="3"/>
  <x:c r="AC1229" i="3"/>
  <x:c r="AB1229" i="3"/>
  <x:c r="AA1229" i="3"/>
  <x:c r="Z1229" i="3"/>
  <x:c r="Y1229" i="3"/>
  <x:c r="X1229" i="3"/>
  <x:c r="W1229" i="3"/>
  <x:c r="V1229" i="3"/>
  <x:c r="U1229" i="3"/>
  <x:c r="T1229" i="3"/>
  <x:c r="E1229" i="3"/>
  <x:c r="D1229" i="3"/>
  <x:c r="C1229" i="3"/>
  <x:c r="B1229" i="3"/>
  <x:c r="AG1228" i="3"/>
  <x:c r="AF1228" i="3"/>
  <x:c r="AE1228" i="3"/>
  <x:c r="AD1228" i="3"/>
  <x:c r="AC1228" i="3"/>
  <x:c r="AB1228" i="3"/>
  <x:c r="AA1228" i="3"/>
  <x:c r="Z1228" i="3"/>
  <x:c r="Y1228" i="3"/>
  <x:c r="X1228" i="3"/>
  <x:c r="W1228" i="3"/>
  <x:c r="V1228" i="3"/>
  <x:c r="U1228" i="3"/>
  <x:c r="T1228" i="3"/>
  <x:c r="E1228" i="3"/>
  <x:c r="D1228" i="3"/>
  <x:c r="C1228" i="3"/>
  <x:c r="B1228" i="3"/>
  <x:c r="AG1227" i="3"/>
  <x:c r="AF1227" i="3"/>
  <x:c r="AE1227" i="3"/>
  <x:c r="AD1227" i="3"/>
  <x:c r="AC1227" i="3"/>
  <x:c r="AB1227" i="3"/>
  <x:c r="AA1227" i="3"/>
  <x:c r="Z1227" i="3"/>
  <x:c r="Y1227" i="3"/>
  <x:c r="X1227" i="3"/>
  <x:c r="W1227" i="3"/>
  <x:c r="V1227" i="3"/>
  <x:c r="U1227" i="3"/>
  <x:c r="T1227" i="3"/>
  <x:c r="E1227" i="3"/>
  <x:c r="D1227" i="3"/>
  <x:c r="C1227" i="3"/>
  <x:c r="B1227" i="3"/>
  <x:c r="AG1226" i="3"/>
  <x:c r="AF1226" i="3"/>
  <x:c r="AE1226" i="3"/>
  <x:c r="AD1226" i="3"/>
  <x:c r="AC1226" i="3"/>
  <x:c r="AB1226" i="3"/>
  <x:c r="AA1226" i="3"/>
  <x:c r="Z1226" i="3"/>
  <x:c r="Y1226" i="3"/>
  <x:c r="X1226" i="3"/>
  <x:c r="W1226" i="3"/>
  <x:c r="V1226" i="3"/>
  <x:c r="U1226" i="3"/>
  <x:c r="T1226" i="3"/>
  <x:c r="E1226" i="3"/>
  <x:c r="D1226" i="3"/>
  <x:c r="C1226" i="3"/>
  <x:c r="B1226" i="3"/>
  <x:c r="AG1225" i="3"/>
  <x:c r="AF1225" i="3"/>
  <x:c r="AE1225" i="3"/>
  <x:c r="AD1225" i="3"/>
  <x:c r="AC1225" i="3"/>
  <x:c r="AB1225" i="3"/>
  <x:c r="AA1225" i="3"/>
  <x:c r="Z1225" i="3"/>
  <x:c r="Y1225" i="3"/>
  <x:c r="X1225" i="3"/>
  <x:c r="W1225" i="3"/>
  <x:c r="V1225" i="3"/>
  <x:c r="U1225" i="3"/>
  <x:c r="T1225" i="3"/>
  <x:c r="E1225" i="3"/>
  <x:c r="D1225" i="3"/>
  <x:c r="C1225" i="3"/>
  <x:c r="B1225" i="3"/>
  <x:c r="AG1224" i="3"/>
  <x:c r="AF1224" i="3"/>
  <x:c r="AE1224" i="3"/>
  <x:c r="AD1224" i="3"/>
  <x:c r="AC1224" i="3"/>
  <x:c r="AB1224" i="3"/>
  <x:c r="AA1224" i="3"/>
  <x:c r="Z1224" i="3"/>
  <x:c r="Y1224" i="3"/>
  <x:c r="X1224" i="3"/>
  <x:c r="W1224" i="3"/>
  <x:c r="V1224" i="3"/>
  <x:c r="U1224" i="3"/>
  <x:c r="T1224" i="3"/>
  <x:c r="E1224" i="3"/>
  <x:c r="D1224" i="3"/>
  <x:c r="C1224" i="3"/>
  <x:c r="B1224" i="3"/>
  <x:c r="AG1223" i="3"/>
  <x:c r="AF1223" i="3"/>
  <x:c r="AE1223" i="3"/>
  <x:c r="AD1223" i="3"/>
  <x:c r="AC1223" i="3"/>
  <x:c r="AB1223" i="3"/>
  <x:c r="AA1223" i="3"/>
  <x:c r="Z1223" i="3"/>
  <x:c r="Y1223" i="3"/>
  <x:c r="X1223" i="3"/>
  <x:c r="W1223" i="3"/>
  <x:c r="V1223" i="3"/>
  <x:c r="U1223" i="3"/>
  <x:c r="T1223" i="3"/>
  <x:c r="E1223" i="3"/>
  <x:c r="D1223" i="3"/>
  <x:c r="C1223" i="3"/>
  <x:c r="B1223" i="3"/>
  <x:c r="AG1222" i="3"/>
  <x:c r="AF1222" i="3"/>
  <x:c r="AE1222" i="3"/>
  <x:c r="AD1222" i="3"/>
  <x:c r="AC1222" i="3"/>
  <x:c r="AB1222" i="3"/>
  <x:c r="AA1222" i="3"/>
  <x:c r="Z1222" i="3"/>
  <x:c r="Y1222" i="3"/>
  <x:c r="X1222" i="3"/>
  <x:c r="W1222" i="3"/>
  <x:c r="V1222" i="3"/>
  <x:c r="U1222" i="3"/>
  <x:c r="T1222" i="3"/>
  <x:c r="E1222" i="3"/>
  <x:c r="D1222" i="3"/>
  <x:c r="C1222" i="3"/>
  <x:c r="B1222" i="3"/>
  <x:c r="AG1221" i="3"/>
  <x:c r="AF1221" i="3"/>
  <x:c r="AE1221" i="3"/>
  <x:c r="AD1221" i="3"/>
  <x:c r="AC1221" i="3"/>
  <x:c r="AB1221" i="3"/>
  <x:c r="AA1221" i="3"/>
  <x:c r="Z1221" i="3"/>
  <x:c r="Y1221" i="3"/>
  <x:c r="X1221" i="3"/>
  <x:c r="W1221" i="3"/>
  <x:c r="V1221" i="3"/>
  <x:c r="U1221" i="3"/>
  <x:c r="T1221" i="3"/>
  <x:c r="E1221" i="3"/>
  <x:c r="D1221" i="3"/>
  <x:c r="C1221" i="3"/>
  <x:c r="B1221" i="3"/>
  <x:c r="AG1220" i="3"/>
  <x:c r="AF1220" i="3"/>
  <x:c r="AE1220" i="3"/>
  <x:c r="AD1220" i="3"/>
  <x:c r="AC1220" i="3"/>
  <x:c r="AB1220" i="3"/>
  <x:c r="AA1220" i="3"/>
  <x:c r="Z1220" i="3"/>
  <x:c r="Y1220" i="3"/>
  <x:c r="X1220" i="3"/>
  <x:c r="W1220" i="3"/>
  <x:c r="V1220" i="3"/>
  <x:c r="U1220" i="3"/>
  <x:c r="T1220" i="3"/>
  <x:c r="E1220" i="3"/>
  <x:c r="D1220" i="3"/>
  <x:c r="C1220" i="3"/>
  <x:c r="B1220" i="3"/>
  <x:c r="AG1219" i="3"/>
  <x:c r="AF1219" i="3"/>
  <x:c r="AE1219" i="3"/>
  <x:c r="AD1219" i="3"/>
  <x:c r="AC1219" i="3"/>
  <x:c r="AB1219" i="3"/>
  <x:c r="AA1219" i="3"/>
  <x:c r="Z1219" i="3"/>
  <x:c r="Y1219" i="3"/>
  <x:c r="X1219" i="3"/>
  <x:c r="W1219" i="3"/>
  <x:c r="V1219" i="3"/>
  <x:c r="U1219" i="3"/>
  <x:c r="T1219" i="3"/>
  <x:c r="E1219" i="3"/>
  <x:c r="D1219" i="3"/>
  <x:c r="C1219" i="3"/>
  <x:c r="B1219" i="3"/>
  <x:c r="AG1218" i="3"/>
  <x:c r="AF1218" i="3"/>
  <x:c r="AE1218" i="3"/>
  <x:c r="AD1218" i="3"/>
  <x:c r="AC1218" i="3"/>
  <x:c r="AB1218" i="3"/>
  <x:c r="AA1218" i="3"/>
  <x:c r="Z1218" i="3"/>
  <x:c r="Y1218" i="3"/>
  <x:c r="X1218" i="3"/>
  <x:c r="W1218" i="3"/>
  <x:c r="V1218" i="3"/>
  <x:c r="U1218" i="3"/>
  <x:c r="T1218" i="3"/>
  <x:c r="E1218" i="3"/>
  <x:c r="D1218" i="3"/>
  <x:c r="C1218" i="3"/>
  <x:c r="B1218" i="3"/>
  <x:c r="AG1217" i="3"/>
  <x:c r="AF1217" i="3"/>
  <x:c r="AE1217" i="3"/>
  <x:c r="AD1217" i="3"/>
  <x:c r="AC1217" i="3"/>
  <x:c r="AB1217" i="3"/>
  <x:c r="AA1217" i="3"/>
  <x:c r="Z1217" i="3"/>
  <x:c r="Y1217" i="3"/>
  <x:c r="X1217" i="3"/>
  <x:c r="W1217" i="3"/>
  <x:c r="V1217" i="3"/>
  <x:c r="U1217" i="3"/>
  <x:c r="T1217" i="3"/>
  <x:c r="E1217" i="3"/>
  <x:c r="D1217" i="3"/>
  <x:c r="C1217" i="3"/>
  <x:c r="B1217" i="3"/>
  <x:c r="AG1216" i="3"/>
  <x:c r="AF1216" i="3"/>
  <x:c r="AE1216" i="3"/>
  <x:c r="AD1216" i="3"/>
  <x:c r="AC1216" i="3"/>
  <x:c r="AB1216" i="3"/>
  <x:c r="AA1216" i="3"/>
  <x:c r="Z1216" i="3"/>
  <x:c r="Y1216" i="3"/>
  <x:c r="X1216" i="3"/>
  <x:c r="W1216" i="3"/>
  <x:c r="V1216" i="3"/>
  <x:c r="U1216" i="3"/>
  <x:c r="T1216" i="3"/>
  <x:c r="E1216" i="3"/>
  <x:c r="D1216" i="3"/>
  <x:c r="C1216" i="3"/>
  <x:c r="B1216" i="3"/>
  <x:c r="AG1215" i="3"/>
  <x:c r="AF1215" i="3"/>
  <x:c r="AE1215" i="3"/>
  <x:c r="AD1215" i="3"/>
  <x:c r="AC1215" i="3"/>
  <x:c r="AB1215" i="3"/>
  <x:c r="AA1215" i="3"/>
  <x:c r="Z1215" i="3"/>
  <x:c r="Y1215" i="3"/>
  <x:c r="X1215" i="3"/>
  <x:c r="W1215" i="3"/>
  <x:c r="V1215" i="3"/>
  <x:c r="U1215" i="3"/>
  <x:c r="T1215" i="3"/>
  <x:c r="E1215" i="3"/>
  <x:c r="D1215" i="3"/>
  <x:c r="C1215" i="3"/>
  <x:c r="B1215" i="3"/>
  <x:c r="AG1214" i="3"/>
  <x:c r="AF1214" i="3"/>
  <x:c r="AE1214" i="3"/>
  <x:c r="AD1214" i="3"/>
  <x:c r="AC1214" i="3"/>
  <x:c r="AB1214" i="3"/>
  <x:c r="AA1214" i="3"/>
  <x:c r="Z1214" i="3"/>
  <x:c r="Y1214" i="3"/>
  <x:c r="X1214" i="3"/>
  <x:c r="W1214" i="3"/>
  <x:c r="V1214" i="3"/>
  <x:c r="U1214" i="3"/>
  <x:c r="T1214" i="3"/>
  <x:c r="E1214" i="3"/>
  <x:c r="D1214" i="3"/>
  <x:c r="C1214" i="3"/>
  <x:c r="B1214" i="3"/>
  <x:c r="AG1213" i="3"/>
  <x:c r="AF1213" i="3"/>
  <x:c r="AE1213" i="3"/>
  <x:c r="AD1213" i="3"/>
  <x:c r="AC1213" i="3"/>
  <x:c r="AB1213" i="3"/>
  <x:c r="AA1213" i="3"/>
  <x:c r="Z1213" i="3"/>
  <x:c r="Y1213" i="3"/>
  <x:c r="X1213" i="3"/>
  <x:c r="W1213" i="3"/>
  <x:c r="V1213" i="3"/>
  <x:c r="U1213" i="3"/>
  <x:c r="T1213" i="3"/>
  <x:c r="E1213" i="3"/>
  <x:c r="D1213" i="3"/>
  <x:c r="C1213" i="3"/>
  <x:c r="B1213" i="3"/>
  <x:c r="AG1212" i="3"/>
  <x:c r="AF1212" i="3"/>
  <x:c r="AE1212" i="3"/>
  <x:c r="AD1212" i="3"/>
  <x:c r="AC1212" i="3"/>
  <x:c r="AB1212" i="3"/>
  <x:c r="AA1212" i="3"/>
  <x:c r="Z1212" i="3"/>
  <x:c r="Y1212" i="3"/>
  <x:c r="X1212" i="3"/>
  <x:c r="W1212" i="3"/>
  <x:c r="V1212" i="3"/>
  <x:c r="U1212" i="3"/>
  <x:c r="T1212" i="3"/>
  <x:c r="E1212" i="3"/>
  <x:c r="D1212" i="3"/>
  <x:c r="C1212" i="3"/>
  <x:c r="B1212" i="3"/>
  <x:c r="AG1211" i="3"/>
  <x:c r="AF1211" i="3"/>
  <x:c r="AE1211" i="3"/>
  <x:c r="AD1211" i="3"/>
  <x:c r="AC1211" i="3"/>
  <x:c r="AB1211" i="3"/>
  <x:c r="AA1211" i="3"/>
  <x:c r="Z1211" i="3"/>
  <x:c r="Y1211" i="3"/>
  <x:c r="X1211" i="3"/>
  <x:c r="W1211" i="3"/>
  <x:c r="V1211" i="3"/>
  <x:c r="U1211" i="3"/>
  <x:c r="T1211" i="3"/>
  <x:c r="E1211" i="3"/>
  <x:c r="D1211" i="3"/>
  <x:c r="C1211" i="3"/>
  <x:c r="B1211" i="3"/>
  <x:c r="AG1210" i="3"/>
  <x:c r="AF1210" i="3"/>
  <x:c r="AE1210" i="3"/>
  <x:c r="AD1210" i="3"/>
  <x:c r="AC1210" i="3"/>
  <x:c r="AB1210" i="3"/>
  <x:c r="AA1210" i="3"/>
  <x:c r="Z1210" i="3"/>
  <x:c r="Y1210" i="3"/>
  <x:c r="X1210" i="3"/>
  <x:c r="W1210" i="3"/>
  <x:c r="V1210" i="3"/>
  <x:c r="U1210" i="3"/>
  <x:c r="T1210" i="3"/>
  <x:c r="E1210" i="3"/>
  <x:c r="D1210" i="3"/>
  <x:c r="C1210" i="3"/>
  <x:c r="B1210" i="3"/>
  <x:c r="AG1209" i="3"/>
  <x:c r="AF1209" i="3"/>
  <x:c r="AE1209" i="3"/>
  <x:c r="AD1209" i="3"/>
  <x:c r="AC1209" i="3"/>
  <x:c r="AB1209" i="3"/>
  <x:c r="AA1209" i="3"/>
  <x:c r="Z1209" i="3"/>
  <x:c r="Y1209" i="3"/>
  <x:c r="X1209" i="3"/>
  <x:c r="W1209" i="3"/>
  <x:c r="V1209" i="3"/>
  <x:c r="U1209" i="3"/>
  <x:c r="T1209" i="3"/>
  <x:c r="E1209" i="3"/>
  <x:c r="D1209" i="3"/>
  <x:c r="C1209" i="3"/>
  <x:c r="B1209" i="3"/>
  <x:c r="AG1208" i="3"/>
  <x:c r="AF1208" i="3"/>
  <x:c r="AE1208" i="3"/>
  <x:c r="AD1208" i="3"/>
  <x:c r="AC1208" i="3"/>
  <x:c r="AB1208" i="3"/>
  <x:c r="AA1208" i="3"/>
  <x:c r="Z1208" i="3"/>
  <x:c r="Y1208" i="3"/>
  <x:c r="X1208" i="3"/>
  <x:c r="W1208" i="3"/>
  <x:c r="V1208" i="3"/>
  <x:c r="U1208" i="3"/>
  <x:c r="T1208" i="3"/>
  <x:c r="E1208" i="3"/>
  <x:c r="D1208" i="3"/>
  <x:c r="C1208" i="3"/>
  <x:c r="B1208" i="3"/>
  <x:c r="AG1207" i="3"/>
  <x:c r="AF1207" i="3"/>
  <x:c r="AE1207" i="3"/>
  <x:c r="AD1207" i="3"/>
  <x:c r="AC1207" i="3"/>
  <x:c r="AB1207" i="3"/>
  <x:c r="AA1207" i="3"/>
  <x:c r="Z1207" i="3"/>
  <x:c r="Y1207" i="3"/>
  <x:c r="X1207" i="3"/>
  <x:c r="W1207" i="3"/>
  <x:c r="V1207" i="3"/>
  <x:c r="U1207" i="3"/>
  <x:c r="T1207" i="3"/>
  <x:c r="E1207" i="3"/>
  <x:c r="D1207" i="3"/>
  <x:c r="C1207" i="3"/>
  <x:c r="B1207" i="3"/>
  <x:c r="AG1206" i="3"/>
  <x:c r="AF1206" i="3"/>
  <x:c r="AE1206" i="3"/>
  <x:c r="AD1206" i="3"/>
  <x:c r="AC1206" i="3"/>
  <x:c r="AB1206" i="3"/>
  <x:c r="AA1206" i="3"/>
  <x:c r="Z1206" i="3"/>
  <x:c r="Y1206" i="3"/>
  <x:c r="X1206" i="3"/>
  <x:c r="W1206" i="3"/>
  <x:c r="V1206" i="3"/>
  <x:c r="U1206" i="3"/>
  <x:c r="T1206" i="3"/>
  <x:c r="E1206" i="3"/>
  <x:c r="D1206" i="3"/>
  <x:c r="C1206" i="3"/>
  <x:c r="B1206" i="3"/>
  <x:c r="AG1205" i="3"/>
  <x:c r="AF1205" i="3"/>
  <x:c r="AE1205" i="3"/>
  <x:c r="AD1205" i="3"/>
  <x:c r="AC1205" i="3"/>
  <x:c r="AB1205" i="3"/>
  <x:c r="AA1205" i="3"/>
  <x:c r="Z1205" i="3"/>
  <x:c r="Y1205" i="3"/>
  <x:c r="X1205" i="3"/>
  <x:c r="W1205" i="3"/>
  <x:c r="V1205" i="3"/>
  <x:c r="U1205" i="3"/>
  <x:c r="T1205" i="3"/>
  <x:c r="E1205" i="3"/>
  <x:c r="D1205" i="3"/>
  <x:c r="C1205" i="3"/>
  <x:c r="B1205" i="3"/>
  <x:c r="AG1204" i="3"/>
  <x:c r="AF1204" i="3"/>
  <x:c r="AE1204" i="3"/>
  <x:c r="AD1204" i="3"/>
  <x:c r="AC1204" i="3"/>
  <x:c r="AB1204" i="3"/>
  <x:c r="AA1204" i="3"/>
  <x:c r="Z1204" i="3"/>
  <x:c r="Y1204" i="3"/>
  <x:c r="X1204" i="3"/>
  <x:c r="W1204" i="3"/>
  <x:c r="V1204" i="3"/>
  <x:c r="U1204" i="3"/>
  <x:c r="T1204" i="3"/>
  <x:c r="E1204" i="3"/>
  <x:c r="D1204" i="3"/>
  <x:c r="C1204" i="3"/>
  <x:c r="B1204" i="3"/>
  <x:c r="AG1203" i="3"/>
  <x:c r="AF1203" i="3"/>
  <x:c r="AE1203" i="3"/>
  <x:c r="AD1203" i="3"/>
  <x:c r="AC1203" i="3"/>
  <x:c r="AB1203" i="3"/>
  <x:c r="AA1203" i="3"/>
  <x:c r="Z1203" i="3"/>
  <x:c r="Y1203" i="3"/>
  <x:c r="X1203" i="3"/>
  <x:c r="W1203" i="3"/>
  <x:c r="V1203" i="3"/>
  <x:c r="U1203" i="3"/>
  <x:c r="T1203" i="3"/>
  <x:c r="E1203" i="3"/>
  <x:c r="D1203" i="3"/>
  <x:c r="C1203" i="3"/>
  <x:c r="B1203" i="3"/>
  <x:c r="AG1202" i="3"/>
  <x:c r="AF1202" i="3"/>
  <x:c r="AE1202" i="3"/>
  <x:c r="AD1202" i="3"/>
  <x:c r="AC1202" i="3"/>
  <x:c r="AB1202" i="3"/>
  <x:c r="AA1202" i="3"/>
  <x:c r="Z1202" i="3"/>
  <x:c r="Y1202" i="3"/>
  <x:c r="X1202" i="3"/>
  <x:c r="W1202" i="3"/>
  <x:c r="V1202" i="3"/>
  <x:c r="U1202" i="3"/>
  <x:c r="T1202" i="3"/>
  <x:c r="E1202" i="3"/>
  <x:c r="D1202" i="3"/>
  <x:c r="C1202" i="3"/>
  <x:c r="B1202" i="3"/>
  <x:c r="AG1201" i="3"/>
  <x:c r="AF1201" i="3"/>
  <x:c r="AE1201" i="3"/>
  <x:c r="AD1201" i="3"/>
  <x:c r="AC1201" i="3"/>
  <x:c r="AB1201" i="3"/>
  <x:c r="AA1201" i="3"/>
  <x:c r="Z1201" i="3"/>
  <x:c r="Y1201" i="3"/>
  <x:c r="X1201" i="3"/>
  <x:c r="W1201" i="3"/>
  <x:c r="V1201" i="3"/>
  <x:c r="U1201" i="3"/>
  <x:c r="T1201" i="3"/>
  <x:c r="E1201" i="3"/>
  <x:c r="D1201" i="3"/>
  <x:c r="C1201" i="3"/>
  <x:c r="B1201" i="3"/>
  <x:c r="AG1200" i="3"/>
  <x:c r="AF1200" i="3"/>
  <x:c r="AE1200" i="3"/>
  <x:c r="AD1200" i="3"/>
  <x:c r="AC1200" i="3"/>
  <x:c r="AB1200" i="3"/>
  <x:c r="AA1200" i="3"/>
  <x:c r="Z1200" i="3"/>
  <x:c r="Y1200" i="3"/>
  <x:c r="X1200" i="3"/>
  <x:c r="W1200" i="3"/>
  <x:c r="V1200" i="3"/>
  <x:c r="U1200" i="3"/>
  <x:c r="T1200" i="3"/>
  <x:c r="E1200" i="3"/>
  <x:c r="D1200" i="3"/>
  <x:c r="C1200" i="3"/>
  <x:c r="B1200" i="3"/>
  <x:c r="AG1199" i="3"/>
  <x:c r="AF1199" i="3"/>
  <x:c r="AE1199" i="3"/>
  <x:c r="AD1199" i="3"/>
  <x:c r="AC1199" i="3"/>
  <x:c r="AB1199" i="3"/>
  <x:c r="AA1199" i="3"/>
  <x:c r="Z1199" i="3"/>
  <x:c r="Y1199" i="3"/>
  <x:c r="X1199" i="3"/>
  <x:c r="W1199" i="3"/>
  <x:c r="V1199" i="3"/>
  <x:c r="U1199" i="3"/>
  <x:c r="T1199" i="3"/>
  <x:c r="E1199" i="3"/>
  <x:c r="D1199" i="3"/>
  <x:c r="C1199" i="3"/>
  <x:c r="B1199" i="3"/>
  <x:c r="AG1198" i="3"/>
  <x:c r="AF1198" i="3"/>
  <x:c r="AE1198" i="3"/>
  <x:c r="AD1198" i="3"/>
  <x:c r="AC1198" i="3"/>
  <x:c r="AB1198" i="3"/>
  <x:c r="AA1198" i="3"/>
  <x:c r="Z1198" i="3"/>
  <x:c r="Y1198" i="3"/>
  <x:c r="X1198" i="3"/>
  <x:c r="W1198" i="3"/>
  <x:c r="V1198" i="3"/>
  <x:c r="U1198" i="3"/>
  <x:c r="T1198" i="3"/>
  <x:c r="E1198" i="3"/>
  <x:c r="D1198" i="3"/>
  <x:c r="C1198" i="3"/>
  <x:c r="B1198" i="3"/>
  <x:c r="AG1197" i="3"/>
  <x:c r="AF1197" i="3"/>
  <x:c r="AE1197" i="3"/>
  <x:c r="AD1197" i="3"/>
  <x:c r="AC1197" i="3"/>
  <x:c r="AB1197" i="3"/>
  <x:c r="AA1197" i="3"/>
  <x:c r="Z1197" i="3"/>
  <x:c r="Y1197" i="3"/>
  <x:c r="X1197" i="3"/>
  <x:c r="W1197" i="3"/>
  <x:c r="V1197" i="3"/>
  <x:c r="U1197" i="3"/>
  <x:c r="T1197" i="3"/>
  <x:c r="E1197" i="3"/>
  <x:c r="D1197" i="3"/>
  <x:c r="C1197" i="3"/>
  <x:c r="B1197" i="3"/>
  <x:c r="AG1196" i="3"/>
  <x:c r="AF1196" i="3"/>
  <x:c r="AE1196" i="3"/>
  <x:c r="AD1196" i="3"/>
  <x:c r="AC1196" i="3"/>
  <x:c r="AB1196" i="3"/>
  <x:c r="AA1196" i="3"/>
  <x:c r="Z1196" i="3"/>
  <x:c r="Y1196" i="3"/>
  <x:c r="X1196" i="3"/>
  <x:c r="W1196" i="3"/>
  <x:c r="V1196" i="3"/>
  <x:c r="U1196" i="3"/>
  <x:c r="T1196" i="3"/>
  <x:c r="E1196" i="3"/>
  <x:c r="D1196" i="3"/>
  <x:c r="C1196" i="3"/>
  <x:c r="B1196" i="3"/>
  <x:c r="AG1195" i="3"/>
  <x:c r="AF1195" i="3"/>
  <x:c r="AE1195" i="3"/>
  <x:c r="AD1195" i="3"/>
  <x:c r="AC1195" i="3"/>
  <x:c r="AB1195" i="3"/>
  <x:c r="AA1195" i="3"/>
  <x:c r="Z1195" i="3"/>
  <x:c r="Y1195" i="3"/>
  <x:c r="X1195" i="3"/>
  <x:c r="W1195" i="3"/>
  <x:c r="V1195" i="3"/>
  <x:c r="U1195" i="3"/>
  <x:c r="T1195" i="3"/>
  <x:c r="E1195" i="3"/>
  <x:c r="D1195" i="3"/>
  <x:c r="C1195" i="3"/>
  <x:c r="B1195" i="3"/>
  <x:c r="AG1194" i="3"/>
  <x:c r="AF1194" i="3"/>
  <x:c r="AE1194" i="3"/>
  <x:c r="AD1194" i="3"/>
  <x:c r="AC1194" i="3"/>
  <x:c r="AB1194" i="3"/>
  <x:c r="AA1194" i="3"/>
  <x:c r="Z1194" i="3"/>
  <x:c r="Y1194" i="3"/>
  <x:c r="X1194" i="3"/>
  <x:c r="W1194" i="3"/>
  <x:c r="V1194" i="3"/>
  <x:c r="U1194" i="3"/>
  <x:c r="T1194" i="3"/>
  <x:c r="E1194" i="3"/>
  <x:c r="D1194" i="3"/>
  <x:c r="C1194" i="3"/>
  <x:c r="B1194" i="3"/>
  <x:c r="AG1193" i="3"/>
  <x:c r="AF1193" i="3"/>
  <x:c r="AE1193" i="3"/>
  <x:c r="AD1193" i="3"/>
  <x:c r="AC1193" i="3"/>
  <x:c r="AB1193" i="3"/>
  <x:c r="AA1193" i="3"/>
  <x:c r="Z1193" i="3"/>
  <x:c r="Y1193" i="3"/>
  <x:c r="X1193" i="3"/>
  <x:c r="W1193" i="3"/>
  <x:c r="V1193" i="3"/>
  <x:c r="U1193" i="3"/>
  <x:c r="T1193" i="3"/>
  <x:c r="E1193" i="3"/>
  <x:c r="D1193" i="3"/>
  <x:c r="C1193" i="3"/>
  <x:c r="B1193" i="3"/>
  <x:c r="AG1192" i="3"/>
  <x:c r="AF1192" i="3"/>
  <x:c r="AE1192" i="3"/>
  <x:c r="AD1192" i="3"/>
  <x:c r="AC1192" i="3"/>
  <x:c r="AB1192" i="3"/>
  <x:c r="AA1192" i="3"/>
  <x:c r="Z1192" i="3"/>
  <x:c r="Y1192" i="3"/>
  <x:c r="X1192" i="3"/>
  <x:c r="W1192" i="3"/>
  <x:c r="V1192" i="3"/>
  <x:c r="U1192" i="3"/>
  <x:c r="T1192" i="3"/>
  <x:c r="E1192" i="3"/>
  <x:c r="D1192" i="3"/>
  <x:c r="C1192" i="3"/>
  <x:c r="B1192" i="3"/>
  <x:c r="AG1191" i="3"/>
  <x:c r="AF1191" i="3"/>
  <x:c r="AE1191" i="3"/>
  <x:c r="AD1191" i="3"/>
  <x:c r="AC1191" i="3"/>
  <x:c r="AB1191" i="3"/>
  <x:c r="AA1191" i="3"/>
  <x:c r="Z1191" i="3"/>
  <x:c r="Y1191" i="3"/>
  <x:c r="X1191" i="3"/>
  <x:c r="W1191" i="3"/>
  <x:c r="V1191" i="3"/>
  <x:c r="U1191" i="3"/>
  <x:c r="T1191" i="3"/>
  <x:c r="E1191" i="3"/>
  <x:c r="D1191" i="3"/>
  <x:c r="C1191" i="3"/>
  <x:c r="B1191" i="3"/>
  <x:c r="AG1190" i="3"/>
  <x:c r="AF1190" i="3"/>
  <x:c r="AE1190" i="3"/>
  <x:c r="AD1190" i="3"/>
  <x:c r="AC1190" i="3"/>
  <x:c r="AB1190" i="3"/>
  <x:c r="AA1190" i="3"/>
  <x:c r="Z1190" i="3"/>
  <x:c r="Y1190" i="3"/>
  <x:c r="X1190" i="3"/>
  <x:c r="W1190" i="3"/>
  <x:c r="V1190" i="3"/>
  <x:c r="U1190" i="3"/>
  <x:c r="T1190" i="3"/>
  <x:c r="E1190" i="3"/>
  <x:c r="D1190" i="3"/>
  <x:c r="C1190" i="3"/>
  <x:c r="B1190" i="3"/>
  <x:c r="AG1189" i="3"/>
  <x:c r="AF1189" i="3"/>
  <x:c r="AE1189" i="3"/>
  <x:c r="AD1189" i="3"/>
  <x:c r="AC1189" i="3"/>
  <x:c r="AB1189" i="3"/>
  <x:c r="AA1189" i="3"/>
  <x:c r="Z1189" i="3"/>
  <x:c r="Y1189" i="3"/>
  <x:c r="X1189" i="3"/>
  <x:c r="W1189" i="3"/>
  <x:c r="V1189" i="3"/>
  <x:c r="U1189" i="3"/>
  <x:c r="T1189" i="3"/>
  <x:c r="E1189" i="3"/>
  <x:c r="D1189" i="3"/>
  <x:c r="C1189" i="3"/>
  <x:c r="B1189" i="3"/>
  <x:c r="AG1188" i="3"/>
  <x:c r="AF1188" i="3"/>
  <x:c r="AE1188" i="3"/>
  <x:c r="AD1188" i="3"/>
  <x:c r="AC1188" i="3"/>
  <x:c r="AB1188" i="3"/>
  <x:c r="AA1188" i="3"/>
  <x:c r="Z1188" i="3"/>
  <x:c r="Y1188" i="3"/>
  <x:c r="X1188" i="3"/>
  <x:c r="W1188" i="3"/>
  <x:c r="V1188" i="3"/>
  <x:c r="U1188" i="3"/>
  <x:c r="T1188" i="3"/>
  <x:c r="E1188" i="3"/>
  <x:c r="D1188" i="3"/>
  <x:c r="C1188" i="3"/>
  <x:c r="B1188" i="3"/>
  <x:c r="AG1187" i="3"/>
  <x:c r="AF1187" i="3"/>
  <x:c r="AE1187" i="3"/>
  <x:c r="AD1187" i="3"/>
  <x:c r="AC1187" i="3"/>
  <x:c r="AB1187" i="3"/>
  <x:c r="AA1187" i="3"/>
  <x:c r="Z1187" i="3"/>
  <x:c r="Y1187" i="3"/>
  <x:c r="X1187" i="3"/>
  <x:c r="W1187" i="3"/>
  <x:c r="V1187" i="3"/>
  <x:c r="U1187" i="3"/>
  <x:c r="T1187" i="3"/>
  <x:c r="E1187" i="3"/>
  <x:c r="D1187" i="3"/>
  <x:c r="C1187" i="3"/>
  <x:c r="B1187" i="3"/>
  <x:c r="AG1186" i="3"/>
  <x:c r="AF1186" i="3"/>
  <x:c r="AE1186" i="3"/>
  <x:c r="AD1186" i="3"/>
  <x:c r="AC1186" i="3"/>
  <x:c r="AB1186" i="3"/>
  <x:c r="AA1186" i="3"/>
  <x:c r="Z1186" i="3"/>
  <x:c r="Y1186" i="3"/>
  <x:c r="X1186" i="3"/>
  <x:c r="W1186" i="3"/>
  <x:c r="V1186" i="3"/>
  <x:c r="U1186" i="3"/>
  <x:c r="T1186" i="3"/>
  <x:c r="E1186" i="3"/>
  <x:c r="D1186" i="3"/>
  <x:c r="C1186" i="3"/>
  <x:c r="B1186" i="3"/>
  <x:c r="AG1185" i="3"/>
  <x:c r="AF1185" i="3"/>
  <x:c r="AE1185" i="3"/>
  <x:c r="AD1185" i="3"/>
  <x:c r="AC1185" i="3"/>
  <x:c r="AB1185" i="3"/>
  <x:c r="AA1185" i="3"/>
  <x:c r="Z1185" i="3"/>
  <x:c r="Y1185" i="3"/>
  <x:c r="X1185" i="3"/>
  <x:c r="W1185" i="3"/>
  <x:c r="V1185" i="3"/>
  <x:c r="U1185" i="3"/>
  <x:c r="T1185" i="3"/>
  <x:c r="E1185" i="3"/>
  <x:c r="D1185" i="3"/>
  <x:c r="C1185" i="3"/>
  <x:c r="B1185" i="3"/>
  <x:c r="AG1184" i="3"/>
  <x:c r="AF1184" i="3"/>
  <x:c r="AE1184" i="3"/>
  <x:c r="AD1184" i="3"/>
  <x:c r="AC1184" i="3"/>
  <x:c r="AB1184" i="3"/>
  <x:c r="AA1184" i="3"/>
  <x:c r="Z1184" i="3"/>
  <x:c r="Y1184" i="3"/>
  <x:c r="X1184" i="3"/>
  <x:c r="W1184" i="3"/>
  <x:c r="V1184" i="3"/>
  <x:c r="U1184" i="3"/>
  <x:c r="T1184" i="3"/>
  <x:c r="E1184" i="3"/>
  <x:c r="D1184" i="3"/>
  <x:c r="C1184" i="3"/>
  <x:c r="B1184" i="3"/>
  <x:c r="AG1183" i="3"/>
  <x:c r="AF1183" i="3"/>
  <x:c r="AE1183" i="3"/>
  <x:c r="AD1183" i="3"/>
  <x:c r="AC1183" i="3"/>
  <x:c r="AB1183" i="3"/>
  <x:c r="AA1183" i="3"/>
  <x:c r="Z1183" i="3"/>
  <x:c r="Y1183" i="3"/>
  <x:c r="X1183" i="3"/>
  <x:c r="W1183" i="3"/>
  <x:c r="V1183" i="3"/>
  <x:c r="U1183" i="3"/>
  <x:c r="T1183" i="3"/>
  <x:c r="E1183" i="3"/>
  <x:c r="D1183" i="3"/>
  <x:c r="C1183" i="3"/>
  <x:c r="B1183" i="3"/>
  <x:c r="AG1182" i="3"/>
  <x:c r="AF1182" i="3"/>
  <x:c r="AE1182" i="3"/>
  <x:c r="AD1182" i="3"/>
  <x:c r="AC1182" i="3"/>
  <x:c r="AB1182" i="3"/>
  <x:c r="AA1182" i="3"/>
  <x:c r="Z1182" i="3"/>
  <x:c r="Y1182" i="3"/>
  <x:c r="X1182" i="3"/>
  <x:c r="W1182" i="3"/>
  <x:c r="V1182" i="3"/>
  <x:c r="U1182" i="3"/>
  <x:c r="T1182" i="3"/>
  <x:c r="E1182" i="3"/>
  <x:c r="D1182" i="3"/>
  <x:c r="C1182" i="3"/>
  <x:c r="B1182" i="3"/>
  <x:c r="AG1181" i="3"/>
  <x:c r="AF1181" i="3"/>
  <x:c r="AE1181" i="3"/>
  <x:c r="AD1181" i="3"/>
  <x:c r="AC1181" i="3"/>
  <x:c r="AB1181" i="3"/>
  <x:c r="AA1181" i="3"/>
  <x:c r="Z1181" i="3"/>
  <x:c r="Y1181" i="3"/>
  <x:c r="X1181" i="3"/>
  <x:c r="W1181" i="3"/>
  <x:c r="V1181" i="3"/>
  <x:c r="U1181" i="3"/>
  <x:c r="T1181" i="3"/>
  <x:c r="E1181" i="3"/>
  <x:c r="D1181" i="3"/>
  <x:c r="C1181" i="3"/>
  <x:c r="B1181" i="3"/>
  <x:c r="AG1180" i="3"/>
  <x:c r="AF1180" i="3"/>
  <x:c r="AE1180" i="3"/>
  <x:c r="AD1180" i="3"/>
  <x:c r="AC1180" i="3"/>
  <x:c r="AB1180" i="3"/>
  <x:c r="AA1180" i="3"/>
  <x:c r="Z1180" i="3"/>
  <x:c r="Y1180" i="3"/>
  <x:c r="X1180" i="3"/>
  <x:c r="W1180" i="3"/>
  <x:c r="V1180" i="3"/>
  <x:c r="U1180" i="3"/>
  <x:c r="T1180" i="3"/>
  <x:c r="E1180" i="3"/>
  <x:c r="D1180" i="3"/>
  <x:c r="C1180" i="3"/>
  <x:c r="B1180" i="3"/>
  <x:c r="AG1179" i="3"/>
  <x:c r="AF1179" i="3"/>
  <x:c r="AE1179" i="3"/>
  <x:c r="AD1179" i="3"/>
  <x:c r="AC1179" i="3"/>
  <x:c r="AB1179" i="3"/>
  <x:c r="AA1179" i="3"/>
  <x:c r="Z1179" i="3"/>
  <x:c r="Y1179" i="3"/>
  <x:c r="X1179" i="3"/>
  <x:c r="W1179" i="3"/>
  <x:c r="V1179" i="3"/>
  <x:c r="U1179" i="3"/>
  <x:c r="T1179" i="3"/>
  <x:c r="E1179" i="3"/>
  <x:c r="D1179" i="3"/>
  <x:c r="C1179" i="3"/>
  <x:c r="B1179" i="3"/>
  <x:c r="AG1178" i="3"/>
  <x:c r="AF1178" i="3"/>
  <x:c r="AE1178" i="3"/>
  <x:c r="AD1178" i="3"/>
  <x:c r="AC1178" i="3"/>
  <x:c r="AB1178" i="3"/>
  <x:c r="AA1178" i="3"/>
  <x:c r="Z1178" i="3"/>
  <x:c r="Y1178" i="3"/>
  <x:c r="X1178" i="3"/>
  <x:c r="W1178" i="3"/>
  <x:c r="V1178" i="3"/>
  <x:c r="U1178" i="3"/>
  <x:c r="T1178" i="3"/>
  <x:c r="E1178" i="3"/>
  <x:c r="D1178" i="3"/>
  <x:c r="C1178" i="3"/>
  <x:c r="B1178" i="3"/>
  <x:c r="AG1177" i="3"/>
  <x:c r="AF1177" i="3"/>
  <x:c r="AE1177" i="3"/>
  <x:c r="AD1177" i="3"/>
  <x:c r="AC1177" i="3"/>
  <x:c r="AB1177" i="3"/>
  <x:c r="AA1177" i="3"/>
  <x:c r="Z1177" i="3"/>
  <x:c r="Y1177" i="3"/>
  <x:c r="X1177" i="3"/>
  <x:c r="W1177" i="3"/>
  <x:c r="V1177" i="3"/>
  <x:c r="U1177" i="3"/>
  <x:c r="T1177" i="3"/>
  <x:c r="E1177" i="3"/>
  <x:c r="D1177" i="3"/>
  <x:c r="C1177" i="3"/>
  <x:c r="B1177" i="3"/>
  <x:c r="AG1176" i="3"/>
  <x:c r="AF1176" i="3"/>
  <x:c r="AE1176" i="3"/>
  <x:c r="AD1176" i="3"/>
  <x:c r="AC1176" i="3"/>
  <x:c r="AB1176" i="3"/>
  <x:c r="AA1176" i="3"/>
  <x:c r="Z1176" i="3"/>
  <x:c r="Y1176" i="3"/>
  <x:c r="X1176" i="3"/>
  <x:c r="W1176" i="3"/>
  <x:c r="V1176" i="3"/>
  <x:c r="U1176" i="3"/>
  <x:c r="T1176" i="3"/>
  <x:c r="E1176" i="3"/>
  <x:c r="D1176" i="3"/>
  <x:c r="C1176" i="3"/>
  <x:c r="B1176" i="3"/>
  <x:c r="AG1175" i="3"/>
  <x:c r="AF1175" i="3"/>
  <x:c r="AE1175" i="3"/>
  <x:c r="AD1175" i="3"/>
  <x:c r="AC1175" i="3"/>
  <x:c r="AB1175" i="3"/>
  <x:c r="AA1175" i="3"/>
  <x:c r="Z1175" i="3"/>
  <x:c r="Y1175" i="3"/>
  <x:c r="X1175" i="3"/>
  <x:c r="W1175" i="3"/>
  <x:c r="V1175" i="3"/>
  <x:c r="U1175" i="3"/>
  <x:c r="T1175" i="3"/>
  <x:c r="E1175" i="3"/>
  <x:c r="D1175" i="3"/>
  <x:c r="C1175" i="3"/>
  <x:c r="B1175" i="3"/>
  <x:c r="AG1174" i="3"/>
  <x:c r="AF1174" i="3"/>
  <x:c r="AE1174" i="3"/>
  <x:c r="AD1174" i="3"/>
  <x:c r="AC1174" i="3"/>
  <x:c r="AB1174" i="3"/>
  <x:c r="AA1174" i="3"/>
  <x:c r="Z1174" i="3"/>
  <x:c r="Y1174" i="3"/>
  <x:c r="X1174" i="3"/>
  <x:c r="W1174" i="3"/>
  <x:c r="V1174" i="3"/>
  <x:c r="U1174" i="3"/>
  <x:c r="T1174" i="3"/>
  <x:c r="E1174" i="3"/>
  <x:c r="D1174" i="3"/>
  <x:c r="C1174" i="3"/>
  <x:c r="B1174" i="3"/>
  <x:c r="AG1173" i="3"/>
  <x:c r="AF1173" i="3"/>
  <x:c r="AE1173" i="3"/>
  <x:c r="AD1173" i="3"/>
  <x:c r="AC1173" i="3"/>
  <x:c r="AB1173" i="3"/>
  <x:c r="AA1173" i="3"/>
  <x:c r="Z1173" i="3"/>
  <x:c r="Y1173" i="3"/>
  <x:c r="X1173" i="3"/>
  <x:c r="W1173" i="3"/>
  <x:c r="V1173" i="3"/>
  <x:c r="U1173" i="3"/>
  <x:c r="T1173" i="3"/>
  <x:c r="E1173" i="3"/>
  <x:c r="D1173" i="3"/>
  <x:c r="C1173" i="3"/>
  <x:c r="B1173" i="3"/>
  <x:c r="AG1172" i="3"/>
  <x:c r="AF1172" i="3"/>
  <x:c r="AE1172" i="3"/>
  <x:c r="AD1172" i="3"/>
  <x:c r="AC1172" i="3"/>
  <x:c r="AB1172" i="3"/>
  <x:c r="AA1172" i="3"/>
  <x:c r="Z1172" i="3"/>
  <x:c r="Y1172" i="3"/>
  <x:c r="X1172" i="3"/>
  <x:c r="W1172" i="3"/>
  <x:c r="V1172" i="3"/>
  <x:c r="U1172" i="3"/>
  <x:c r="T1172" i="3"/>
  <x:c r="E1172" i="3"/>
  <x:c r="D1172" i="3"/>
  <x:c r="C1172" i="3"/>
  <x:c r="B1172" i="3"/>
  <x:c r="AG1171" i="3"/>
  <x:c r="AF1171" i="3"/>
  <x:c r="AE1171" i="3"/>
  <x:c r="AD1171" i="3"/>
  <x:c r="AC1171" i="3"/>
  <x:c r="AB1171" i="3"/>
  <x:c r="AA1171" i="3"/>
  <x:c r="Z1171" i="3"/>
  <x:c r="Y1171" i="3"/>
  <x:c r="X1171" i="3"/>
  <x:c r="W1171" i="3"/>
  <x:c r="V1171" i="3"/>
  <x:c r="U1171" i="3"/>
  <x:c r="T1171" i="3"/>
  <x:c r="E1171" i="3"/>
  <x:c r="D1171" i="3"/>
  <x:c r="C1171" i="3"/>
  <x:c r="B1171" i="3"/>
  <x:c r="AG1170" i="3"/>
  <x:c r="AF1170" i="3"/>
  <x:c r="AE1170" i="3"/>
  <x:c r="AD1170" i="3"/>
  <x:c r="AC1170" i="3"/>
  <x:c r="AB1170" i="3"/>
  <x:c r="AA1170" i="3"/>
  <x:c r="Z1170" i="3"/>
  <x:c r="Y1170" i="3"/>
  <x:c r="X1170" i="3"/>
  <x:c r="W1170" i="3"/>
  <x:c r="V1170" i="3"/>
  <x:c r="U1170" i="3"/>
  <x:c r="T1170" i="3"/>
  <x:c r="E1170" i="3"/>
  <x:c r="D1170" i="3"/>
  <x:c r="C1170" i="3"/>
  <x:c r="B1170" i="3"/>
  <x:c r="AG1169" i="3"/>
  <x:c r="AF1169" i="3"/>
  <x:c r="AE1169" i="3"/>
  <x:c r="AD1169" i="3"/>
  <x:c r="AC1169" i="3"/>
  <x:c r="AB1169" i="3"/>
  <x:c r="AA1169" i="3"/>
  <x:c r="Z1169" i="3"/>
  <x:c r="Y1169" i="3"/>
  <x:c r="X1169" i="3"/>
  <x:c r="W1169" i="3"/>
  <x:c r="V1169" i="3"/>
  <x:c r="U1169" i="3"/>
  <x:c r="T1169" i="3"/>
  <x:c r="E1169" i="3"/>
  <x:c r="D1169" i="3"/>
  <x:c r="C1169" i="3"/>
  <x:c r="B1169" i="3"/>
  <x:c r="AG1168" i="3"/>
  <x:c r="AF1168" i="3"/>
  <x:c r="AE1168" i="3"/>
  <x:c r="AD1168" i="3"/>
  <x:c r="AC1168" i="3"/>
  <x:c r="AB1168" i="3"/>
  <x:c r="AA1168" i="3"/>
  <x:c r="Z1168" i="3"/>
  <x:c r="Y1168" i="3"/>
  <x:c r="X1168" i="3"/>
  <x:c r="W1168" i="3"/>
  <x:c r="V1168" i="3"/>
  <x:c r="U1168" i="3"/>
  <x:c r="T1168" i="3"/>
  <x:c r="E1168" i="3"/>
  <x:c r="D1168" i="3"/>
  <x:c r="C1168" i="3"/>
  <x:c r="B1168" i="3"/>
  <x:c r="AG1167" i="3"/>
  <x:c r="AF1167" i="3"/>
  <x:c r="AE1167" i="3"/>
  <x:c r="AD1167" i="3"/>
  <x:c r="AC1167" i="3"/>
  <x:c r="AB1167" i="3"/>
  <x:c r="AA1167" i="3"/>
  <x:c r="Z1167" i="3"/>
  <x:c r="Y1167" i="3"/>
  <x:c r="X1167" i="3"/>
  <x:c r="W1167" i="3"/>
  <x:c r="V1167" i="3"/>
  <x:c r="U1167" i="3"/>
  <x:c r="T1167" i="3"/>
  <x:c r="E1167" i="3"/>
  <x:c r="D1167" i="3"/>
  <x:c r="C1167" i="3"/>
  <x:c r="B1167" i="3"/>
  <x:c r="AG1166" i="3"/>
  <x:c r="AF1166" i="3"/>
  <x:c r="AE1166" i="3"/>
  <x:c r="AD1166" i="3"/>
  <x:c r="AC1166" i="3"/>
  <x:c r="AB1166" i="3"/>
  <x:c r="AA1166" i="3"/>
  <x:c r="Z1166" i="3"/>
  <x:c r="Y1166" i="3"/>
  <x:c r="X1166" i="3"/>
  <x:c r="W1166" i="3"/>
  <x:c r="V1166" i="3"/>
  <x:c r="U1166" i="3"/>
  <x:c r="T1166" i="3"/>
  <x:c r="E1166" i="3"/>
  <x:c r="D1166" i="3"/>
  <x:c r="C1166" i="3"/>
  <x:c r="B1166" i="3"/>
  <x:c r="AG1165" i="3"/>
  <x:c r="AF1165" i="3"/>
  <x:c r="AE1165" i="3"/>
  <x:c r="AD1165" i="3"/>
  <x:c r="AC1165" i="3"/>
  <x:c r="AB1165" i="3"/>
  <x:c r="AA1165" i="3"/>
  <x:c r="Z1165" i="3"/>
  <x:c r="Y1165" i="3"/>
  <x:c r="X1165" i="3"/>
  <x:c r="W1165" i="3"/>
  <x:c r="V1165" i="3"/>
  <x:c r="U1165" i="3"/>
  <x:c r="T1165" i="3"/>
  <x:c r="E1165" i="3"/>
  <x:c r="D1165" i="3"/>
  <x:c r="C1165" i="3"/>
  <x:c r="B1165" i="3"/>
  <x:c r="AG1164" i="3"/>
  <x:c r="AF1164" i="3"/>
  <x:c r="AE1164" i="3"/>
  <x:c r="AD1164" i="3"/>
  <x:c r="AC1164" i="3"/>
  <x:c r="AB1164" i="3"/>
  <x:c r="AA1164" i="3"/>
  <x:c r="Z1164" i="3"/>
  <x:c r="Y1164" i="3"/>
  <x:c r="X1164" i="3"/>
  <x:c r="W1164" i="3"/>
  <x:c r="V1164" i="3"/>
  <x:c r="U1164" i="3"/>
  <x:c r="T1164" i="3"/>
  <x:c r="E1164" i="3"/>
  <x:c r="D1164" i="3"/>
  <x:c r="C1164" i="3"/>
  <x:c r="B1164" i="3"/>
  <x:c r="AG1163" i="3"/>
  <x:c r="AF1163" i="3"/>
  <x:c r="AE1163" i="3"/>
  <x:c r="AD1163" i="3"/>
  <x:c r="AC1163" i="3"/>
  <x:c r="AB1163" i="3"/>
  <x:c r="AA1163" i="3"/>
  <x:c r="Z1163" i="3"/>
  <x:c r="Y1163" i="3"/>
  <x:c r="X1163" i="3"/>
  <x:c r="W1163" i="3"/>
  <x:c r="V1163" i="3"/>
  <x:c r="U1163" i="3"/>
  <x:c r="T1163" i="3"/>
  <x:c r="E1163" i="3"/>
  <x:c r="D1163" i="3"/>
  <x:c r="C1163" i="3"/>
  <x:c r="B1163" i="3"/>
  <x:c r="AG1162" i="3"/>
  <x:c r="AF1162" i="3"/>
  <x:c r="AE1162" i="3"/>
  <x:c r="AD1162" i="3"/>
  <x:c r="AC1162" i="3"/>
  <x:c r="AB1162" i="3"/>
  <x:c r="AA1162" i="3"/>
  <x:c r="Z1162" i="3"/>
  <x:c r="Y1162" i="3"/>
  <x:c r="X1162" i="3"/>
  <x:c r="W1162" i="3"/>
  <x:c r="V1162" i="3"/>
  <x:c r="U1162" i="3"/>
  <x:c r="T1162" i="3"/>
  <x:c r="E1162" i="3"/>
  <x:c r="D1162" i="3"/>
  <x:c r="C1162" i="3"/>
  <x:c r="B1162" i="3"/>
  <x:c r="AG1161" i="3"/>
  <x:c r="AF1161" i="3"/>
  <x:c r="AE1161" i="3"/>
  <x:c r="AD1161" i="3"/>
  <x:c r="AC1161" i="3"/>
  <x:c r="AB1161" i="3"/>
  <x:c r="AA1161" i="3"/>
  <x:c r="Z1161" i="3"/>
  <x:c r="Y1161" i="3"/>
  <x:c r="X1161" i="3"/>
  <x:c r="W1161" i="3"/>
  <x:c r="V1161" i="3"/>
  <x:c r="U1161" i="3"/>
  <x:c r="T1161" i="3"/>
  <x:c r="E1161" i="3"/>
  <x:c r="D1161" i="3"/>
  <x:c r="C1161" i="3"/>
  <x:c r="B1161" i="3"/>
  <x:c r="AG1160" i="3"/>
  <x:c r="AF1160" i="3"/>
  <x:c r="AE1160" i="3"/>
  <x:c r="AD1160" i="3"/>
  <x:c r="AC1160" i="3"/>
  <x:c r="AB1160" i="3"/>
  <x:c r="AA1160" i="3"/>
  <x:c r="Z1160" i="3"/>
  <x:c r="Y1160" i="3"/>
  <x:c r="X1160" i="3"/>
  <x:c r="W1160" i="3"/>
  <x:c r="V1160" i="3"/>
  <x:c r="U1160" i="3"/>
  <x:c r="T1160" i="3"/>
  <x:c r="E1160" i="3"/>
  <x:c r="D1160" i="3"/>
  <x:c r="C1160" i="3"/>
  <x:c r="B1160" i="3"/>
  <x:c r="AG1159" i="3"/>
  <x:c r="AF1159" i="3"/>
  <x:c r="AE1159" i="3"/>
  <x:c r="AD1159" i="3"/>
  <x:c r="AC1159" i="3"/>
  <x:c r="AB1159" i="3"/>
  <x:c r="AA1159" i="3"/>
  <x:c r="Z1159" i="3"/>
  <x:c r="Y1159" i="3"/>
  <x:c r="X1159" i="3"/>
  <x:c r="W1159" i="3"/>
  <x:c r="V1159" i="3"/>
  <x:c r="U1159" i="3"/>
  <x:c r="T1159" i="3"/>
  <x:c r="E1159" i="3"/>
  <x:c r="D1159" i="3"/>
  <x:c r="C1159" i="3"/>
  <x:c r="B1159" i="3"/>
  <x:c r="AG1158" i="3"/>
  <x:c r="AF1158" i="3"/>
  <x:c r="AE1158" i="3"/>
  <x:c r="AD1158" i="3"/>
  <x:c r="AC1158" i="3"/>
  <x:c r="AB1158" i="3"/>
  <x:c r="AA1158" i="3"/>
  <x:c r="Z1158" i="3"/>
  <x:c r="Y1158" i="3"/>
  <x:c r="X1158" i="3"/>
  <x:c r="W1158" i="3"/>
  <x:c r="V1158" i="3"/>
  <x:c r="U1158" i="3"/>
  <x:c r="T1158" i="3"/>
  <x:c r="E1158" i="3"/>
  <x:c r="D1158" i="3"/>
  <x:c r="C1158" i="3"/>
  <x:c r="B1158" i="3"/>
  <x:c r="AG1157" i="3"/>
  <x:c r="AF1157" i="3"/>
  <x:c r="AE1157" i="3"/>
  <x:c r="AD1157" i="3"/>
  <x:c r="AC1157" i="3"/>
  <x:c r="AB1157" i="3"/>
  <x:c r="AA1157" i="3"/>
  <x:c r="Z1157" i="3"/>
  <x:c r="Y1157" i="3"/>
  <x:c r="X1157" i="3"/>
  <x:c r="W1157" i="3"/>
  <x:c r="V1157" i="3"/>
  <x:c r="U1157" i="3"/>
  <x:c r="T1157" i="3"/>
  <x:c r="E1157" i="3"/>
  <x:c r="D1157" i="3"/>
  <x:c r="C1157" i="3"/>
  <x:c r="B1157" i="3"/>
  <x:c r="AG1156" i="3"/>
  <x:c r="AF1156" i="3"/>
  <x:c r="AE1156" i="3"/>
  <x:c r="AD1156" i="3"/>
  <x:c r="AC1156" i="3"/>
  <x:c r="AB1156" i="3"/>
  <x:c r="AA1156" i="3"/>
  <x:c r="Z1156" i="3"/>
  <x:c r="Y1156" i="3"/>
  <x:c r="X1156" i="3"/>
  <x:c r="W1156" i="3"/>
  <x:c r="V1156" i="3"/>
  <x:c r="U1156" i="3"/>
  <x:c r="T1156" i="3"/>
  <x:c r="E1156" i="3"/>
  <x:c r="D1156" i="3"/>
  <x:c r="C1156" i="3"/>
  <x:c r="B1156" i="3"/>
  <x:c r="AG1155" i="3"/>
  <x:c r="AF1155" i="3"/>
  <x:c r="AE1155" i="3"/>
  <x:c r="AD1155" i="3"/>
  <x:c r="AC1155" i="3"/>
  <x:c r="AB1155" i="3"/>
  <x:c r="AA1155" i="3"/>
  <x:c r="Z1155" i="3"/>
  <x:c r="Y1155" i="3"/>
  <x:c r="X1155" i="3"/>
  <x:c r="W1155" i="3"/>
  <x:c r="V1155" i="3"/>
  <x:c r="U1155" i="3"/>
  <x:c r="T1155" i="3"/>
  <x:c r="E1155" i="3"/>
  <x:c r="D1155" i="3"/>
  <x:c r="C1155" i="3"/>
  <x:c r="B1155" i="3"/>
  <x:c r="AG1154" i="3"/>
  <x:c r="AF1154" i="3"/>
  <x:c r="AE1154" i="3"/>
  <x:c r="AD1154" i="3"/>
  <x:c r="AC1154" i="3"/>
  <x:c r="AB1154" i="3"/>
  <x:c r="AA1154" i="3"/>
  <x:c r="Z1154" i="3"/>
  <x:c r="Y1154" i="3"/>
  <x:c r="X1154" i="3"/>
  <x:c r="W1154" i="3"/>
  <x:c r="V1154" i="3"/>
  <x:c r="U1154" i="3"/>
  <x:c r="T1154" i="3"/>
  <x:c r="E1154" i="3"/>
  <x:c r="D1154" i="3"/>
  <x:c r="C1154" i="3"/>
  <x:c r="B1154" i="3"/>
  <x:c r="AG1153" i="3"/>
  <x:c r="AF1153" i="3"/>
  <x:c r="AE1153" i="3"/>
  <x:c r="AD1153" i="3"/>
  <x:c r="AC1153" i="3"/>
  <x:c r="AB1153" i="3"/>
  <x:c r="AA1153" i="3"/>
  <x:c r="Z1153" i="3"/>
  <x:c r="Y1153" i="3"/>
  <x:c r="X1153" i="3"/>
  <x:c r="W1153" i="3"/>
  <x:c r="V1153" i="3"/>
  <x:c r="U1153" i="3"/>
  <x:c r="T1153" i="3"/>
  <x:c r="E1153" i="3"/>
  <x:c r="D1153" i="3"/>
  <x:c r="C1153" i="3"/>
  <x:c r="B1153" i="3"/>
  <x:c r="AG1152" i="3"/>
  <x:c r="AF1152" i="3"/>
  <x:c r="AE1152" i="3"/>
  <x:c r="AD1152" i="3"/>
  <x:c r="AC1152" i="3"/>
  <x:c r="AB1152" i="3"/>
  <x:c r="AA1152" i="3"/>
  <x:c r="Z1152" i="3"/>
  <x:c r="Y1152" i="3"/>
  <x:c r="X1152" i="3"/>
  <x:c r="W1152" i="3"/>
  <x:c r="V1152" i="3"/>
  <x:c r="U1152" i="3"/>
  <x:c r="T1152" i="3"/>
  <x:c r="E1152" i="3"/>
  <x:c r="D1152" i="3"/>
  <x:c r="C1152" i="3"/>
  <x:c r="B1152" i="3"/>
  <x:c r="AG1151" i="3"/>
  <x:c r="AF1151" i="3"/>
  <x:c r="AE1151" i="3"/>
  <x:c r="AD1151" i="3"/>
  <x:c r="AC1151" i="3"/>
  <x:c r="AB1151" i="3"/>
  <x:c r="AA1151" i="3"/>
  <x:c r="Z1151" i="3"/>
  <x:c r="Y1151" i="3"/>
  <x:c r="X1151" i="3"/>
  <x:c r="W1151" i="3"/>
  <x:c r="V1151" i="3"/>
  <x:c r="U1151" i="3"/>
  <x:c r="T1151" i="3"/>
  <x:c r="E1151" i="3"/>
  <x:c r="D1151" i="3"/>
  <x:c r="C1151" i="3"/>
  <x:c r="B1151" i="3"/>
  <x:c r="AG1150" i="3"/>
  <x:c r="AF1150" i="3"/>
  <x:c r="AE1150" i="3"/>
  <x:c r="AD1150" i="3"/>
  <x:c r="AC1150" i="3"/>
  <x:c r="AB1150" i="3"/>
  <x:c r="AA1150" i="3"/>
  <x:c r="Z1150" i="3"/>
  <x:c r="Y1150" i="3"/>
  <x:c r="X1150" i="3"/>
  <x:c r="W1150" i="3"/>
  <x:c r="V1150" i="3"/>
  <x:c r="U1150" i="3"/>
  <x:c r="T1150" i="3"/>
  <x:c r="E1150" i="3"/>
  <x:c r="D1150" i="3"/>
  <x:c r="C1150" i="3"/>
  <x:c r="B1150" i="3"/>
  <x:c r="AG1149" i="3"/>
  <x:c r="AF1149" i="3"/>
  <x:c r="AE1149" i="3"/>
  <x:c r="AD1149" i="3"/>
  <x:c r="AC1149" i="3"/>
  <x:c r="AB1149" i="3"/>
  <x:c r="AA1149" i="3"/>
  <x:c r="Z1149" i="3"/>
  <x:c r="Y1149" i="3"/>
  <x:c r="X1149" i="3"/>
  <x:c r="W1149" i="3"/>
  <x:c r="V1149" i="3"/>
  <x:c r="U1149" i="3"/>
  <x:c r="T1149" i="3"/>
  <x:c r="E1149" i="3"/>
  <x:c r="D1149" i="3"/>
  <x:c r="C1149" i="3"/>
  <x:c r="B1149" i="3"/>
  <x:c r="AG1148" i="3"/>
  <x:c r="AF1148" i="3"/>
  <x:c r="AE1148" i="3"/>
  <x:c r="AD1148" i="3"/>
  <x:c r="AC1148" i="3"/>
  <x:c r="AB1148" i="3"/>
  <x:c r="AA1148" i="3"/>
  <x:c r="Z1148" i="3"/>
  <x:c r="Y1148" i="3"/>
  <x:c r="X1148" i="3"/>
  <x:c r="W1148" i="3"/>
  <x:c r="V1148" i="3"/>
  <x:c r="U1148" i="3"/>
  <x:c r="T1148" i="3"/>
  <x:c r="E1148" i="3"/>
  <x:c r="D1148" i="3"/>
  <x:c r="C1148" i="3"/>
  <x:c r="B1148" i="3"/>
  <x:c r="AG1147" i="3"/>
  <x:c r="AF1147" i="3"/>
  <x:c r="AE1147" i="3"/>
  <x:c r="AD1147" i="3"/>
  <x:c r="AC1147" i="3"/>
  <x:c r="AB1147" i="3"/>
  <x:c r="AA1147" i="3"/>
  <x:c r="Z1147" i="3"/>
  <x:c r="Y1147" i="3"/>
  <x:c r="X1147" i="3"/>
  <x:c r="W1147" i="3"/>
  <x:c r="V1147" i="3"/>
  <x:c r="U1147" i="3"/>
  <x:c r="T1147" i="3"/>
  <x:c r="E1147" i="3"/>
  <x:c r="D1147" i="3"/>
  <x:c r="C1147" i="3"/>
  <x:c r="B1147" i="3"/>
  <x:c r="AG1146" i="3"/>
  <x:c r="AF1146" i="3"/>
  <x:c r="AE1146" i="3"/>
  <x:c r="AD1146" i="3"/>
  <x:c r="AC1146" i="3"/>
  <x:c r="AB1146" i="3"/>
  <x:c r="AA1146" i="3"/>
  <x:c r="Z1146" i="3"/>
  <x:c r="Y1146" i="3"/>
  <x:c r="X1146" i="3"/>
  <x:c r="W1146" i="3"/>
  <x:c r="V1146" i="3"/>
  <x:c r="U1146" i="3"/>
  <x:c r="T1146" i="3"/>
  <x:c r="E1146" i="3"/>
  <x:c r="D1146" i="3"/>
  <x:c r="C1146" i="3"/>
  <x:c r="B1146" i="3"/>
  <x:c r="AG1145" i="3"/>
  <x:c r="AF1145" i="3"/>
  <x:c r="AE1145" i="3"/>
  <x:c r="AD1145" i="3"/>
  <x:c r="AC1145" i="3"/>
  <x:c r="AB1145" i="3"/>
  <x:c r="AA1145" i="3"/>
  <x:c r="Z1145" i="3"/>
  <x:c r="Y1145" i="3"/>
  <x:c r="X1145" i="3"/>
  <x:c r="W1145" i="3"/>
  <x:c r="V1145" i="3"/>
  <x:c r="U1145" i="3"/>
  <x:c r="T1145" i="3"/>
  <x:c r="E1145" i="3"/>
  <x:c r="D1145" i="3"/>
  <x:c r="C1145" i="3"/>
  <x:c r="B1145" i="3"/>
  <x:c r="AG1144" i="3"/>
  <x:c r="AF1144" i="3"/>
  <x:c r="AE1144" i="3"/>
  <x:c r="AD1144" i="3"/>
  <x:c r="AC1144" i="3"/>
  <x:c r="AB1144" i="3"/>
  <x:c r="AA1144" i="3"/>
  <x:c r="Z1144" i="3"/>
  <x:c r="Y1144" i="3"/>
  <x:c r="X1144" i="3"/>
  <x:c r="W1144" i="3"/>
  <x:c r="V1144" i="3"/>
  <x:c r="U1144" i="3"/>
  <x:c r="T1144" i="3"/>
  <x:c r="E1144" i="3"/>
  <x:c r="D1144" i="3"/>
  <x:c r="C1144" i="3"/>
  <x:c r="B1144" i="3"/>
  <x:c r="AG1143" i="3"/>
  <x:c r="AF1143" i="3"/>
  <x:c r="AE1143" i="3"/>
  <x:c r="AD1143" i="3"/>
  <x:c r="AC1143" i="3"/>
  <x:c r="AB1143" i="3"/>
  <x:c r="AA1143" i="3"/>
  <x:c r="Z1143" i="3"/>
  <x:c r="Y1143" i="3"/>
  <x:c r="X1143" i="3"/>
  <x:c r="W1143" i="3"/>
  <x:c r="V1143" i="3"/>
  <x:c r="U1143" i="3"/>
  <x:c r="T1143" i="3"/>
  <x:c r="E1143" i="3"/>
  <x:c r="D1143" i="3"/>
  <x:c r="C1143" i="3"/>
  <x:c r="B1143" i="3"/>
  <x:c r="AG1142" i="3"/>
  <x:c r="AF1142" i="3"/>
  <x:c r="AE1142" i="3"/>
  <x:c r="AD1142" i="3"/>
  <x:c r="AC1142" i="3"/>
  <x:c r="AB1142" i="3"/>
  <x:c r="AA1142" i="3"/>
  <x:c r="Z1142" i="3"/>
  <x:c r="Y1142" i="3"/>
  <x:c r="X1142" i="3"/>
  <x:c r="W1142" i="3"/>
  <x:c r="V1142" i="3"/>
  <x:c r="U1142" i="3"/>
  <x:c r="T1142" i="3"/>
  <x:c r="E1142" i="3"/>
  <x:c r="D1142" i="3"/>
  <x:c r="C1142" i="3"/>
  <x:c r="B1142" i="3"/>
  <x:c r="AG1141" i="3"/>
  <x:c r="AF1141" i="3"/>
  <x:c r="AE1141" i="3"/>
  <x:c r="AD1141" i="3"/>
  <x:c r="AC1141" i="3"/>
  <x:c r="AB1141" i="3"/>
  <x:c r="AA1141" i="3"/>
  <x:c r="Z1141" i="3"/>
  <x:c r="Y1141" i="3"/>
  <x:c r="X1141" i="3"/>
  <x:c r="W1141" i="3"/>
  <x:c r="V1141" i="3"/>
  <x:c r="U1141" i="3"/>
  <x:c r="T1141" i="3"/>
  <x:c r="E1141" i="3"/>
  <x:c r="D1141" i="3"/>
  <x:c r="C1141" i="3"/>
  <x:c r="B1141" i="3"/>
  <x:c r="AG1140" i="3"/>
  <x:c r="AF1140" i="3"/>
  <x:c r="AE1140" i="3"/>
  <x:c r="AD1140" i="3"/>
  <x:c r="AC1140" i="3"/>
  <x:c r="AB1140" i="3"/>
  <x:c r="AA1140" i="3"/>
  <x:c r="Z1140" i="3"/>
  <x:c r="Y1140" i="3"/>
  <x:c r="X1140" i="3"/>
  <x:c r="W1140" i="3"/>
  <x:c r="V1140" i="3"/>
  <x:c r="U1140" i="3"/>
  <x:c r="T1140" i="3"/>
  <x:c r="E1140" i="3"/>
  <x:c r="D1140" i="3"/>
  <x:c r="C1140" i="3"/>
  <x:c r="B1140" i="3"/>
  <x:c r="AG1139" i="3"/>
  <x:c r="AF1139" i="3"/>
  <x:c r="AE1139" i="3"/>
  <x:c r="AD1139" i="3"/>
  <x:c r="AC1139" i="3"/>
  <x:c r="AB1139" i="3"/>
  <x:c r="AA1139" i="3"/>
  <x:c r="Z1139" i="3"/>
  <x:c r="Y1139" i="3"/>
  <x:c r="X1139" i="3"/>
  <x:c r="W1139" i="3"/>
  <x:c r="V1139" i="3"/>
  <x:c r="U1139" i="3"/>
  <x:c r="T1139" i="3"/>
  <x:c r="E1139" i="3"/>
  <x:c r="D1139" i="3"/>
  <x:c r="C1139" i="3"/>
  <x:c r="B1139" i="3"/>
  <x:c r="AG1138" i="3"/>
  <x:c r="AF1138" i="3"/>
  <x:c r="AE1138" i="3"/>
  <x:c r="AD1138" i="3"/>
  <x:c r="AC1138" i="3"/>
  <x:c r="AB1138" i="3"/>
  <x:c r="AA1138" i="3"/>
  <x:c r="Z1138" i="3"/>
  <x:c r="Y1138" i="3"/>
  <x:c r="X1138" i="3"/>
  <x:c r="W1138" i="3"/>
  <x:c r="V1138" i="3"/>
  <x:c r="U1138" i="3"/>
  <x:c r="T1138" i="3"/>
  <x:c r="E1138" i="3"/>
  <x:c r="D1138" i="3"/>
  <x:c r="C1138" i="3"/>
  <x:c r="B1138" i="3"/>
  <x:c r="AG1137" i="3"/>
  <x:c r="AF1137" i="3"/>
  <x:c r="AE1137" i="3"/>
  <x:c r="AD1137" i="3"/>
  <x:c r="AC1137" i="3"/>
  <x:c r="AB1137" i="3"/>
  <x:c r="AA1137" i="3"/>
  <x:c r="Z1137" i="3"/>
  <x:c r="Y1137" i="3"/>
  <x:c r="X1137" i="3"/>
  <x:c r="W1137" i="3"/>
  <x:c r="V1137" i="3"/>
  <x:c r="U1137" i="3"/>
  <x:c r="T1137" i="3"/>
  <x:c r="E1137" i="3"/>
  <x:c r="D1137" i="3"/>
  <x:c r="C1137" i="3"/>
  <x:c r="B1137" i="3"/>
  <x:c r="AG1136" i="3"/>
  <x:c r="AF1136" i="3"/>
  <x:c r="AE1136" i="3"/>
  <x:c r="AD1136" i="3"/>
  <x:c r="AC1136" i="3"/>
  <x:c r="AB1136" i="3"/>
  <x:c r="AA1136" i="3"/>
  <x:c r="Z1136" i="3"/>
  <x:c r="Y1136" i="3"/>
  <x:c r="X1136" i="3"/>
  <x:c r="W1136" i="3"/>
  <x:c r="V1136" i="3"/>
  <x:c r="U1136" i="3"/>
  <x:c r="T1136" i="3"/>
  <x:c r="E1136" i="3"/>
  <x:c r="D1136" i="3"/>
  <x:c r="C1136" i="3"/>
  <x:c r="B1136" i="3"/>
  <x:c r="AG1135" i="3"/>
  <x:c r="AF1135" i="3"/>
  <x:c r="AE1135" i="3"/>
  <x:c r="AD1135" i="3"/>
  <x:c r="AC1135" i="3"/>
  <x:c r="AB1135" i="3"/>
  <x:c r="AA1135" i="3"/>
  <x:c r="Z1135" i="3"/>
  <x:c r="Y1135" i="3"/>
  <x:c r="X1135" i="3"/>
  <x:c r="W1135" i="3"/>
  <x:c r="V1135" i="3"/>
  <x:c r="U1135" i="3"/>
  <x:c r="T1135" i="3"/>
  <x:c r="E1135" i="3"/>
  <x:c r="D1135" i="3"/>
  <x:c r="C1135" i="3"/>
  <x:c r="B1135" i="3"/>
  <x:c r="AG1134" i="3"/>
  <x:c r="AF1134" i="3"/>
  <x:c r="AE1134" i="3"/>
  <x:c r="AD1134" i="3"/>
  <x:c r="AC1134" i="3"/>
  <x:c r="AB1134" i="3"/>
  <x:c r="AA1134" i="3"/>
  <x:c r="Z1134" i="3"/>
  <x:c r="Y1134" i="3"/>
  <x:c r="X1134" i="3"/>
  <x:c r="W1134" i="3"/>
  <x:c r="V1134" i="3"/>
  <x:c r="U1134" i="3"/>
  <x:c r="T1134" i="3"/>
  <x:c r="E1134" i="3"/>
  <x:c r="D1134" i="3"/>
  <x:c r="C1134" i="3"/>
  <x:c r="B1134" i="3"/>
  <x:c r="AG1133" i="3"/>
  <x:c r="AF1133" i="3"/>
  <x:c r="AE1133" i="3"/>
  <x:c r="AD1133" i="3"/>
  <x:c r="AC1133" i="3"/>
  <x:c r="AB1133" i="3"/>
  <x:c r="AA1133" i="3"/>
  <x:c r="Z1133" i="3"/>
  <x:c r="Y1133" i="3"/>
  <x:c r="X1133" i="3"/>
  <x:c r="W1133" i="3"/>
  <x:c r="V1133" i="3"/>
  <x:c r="U1133" i="3"/>
  <x:c r="T1133" i="3"/>
  <x:c r="E1133" i="3"/>
  <x:c r="D1133" i="3"/>
  <x:c r="C1133" i="3"/>
  <x:c r="B1133" i="3"/>
  <x:c r="AG1132" i="3"/>
  <x:c r="AF1132" i="3"/>
  <x:c r="AE1132" i="3"/>
  <x:c r="AD1132" i="3"/>
  <x:c r="AC1132" i="3"/>
  <x:c r="AB1132" i="3"/>
  <x:c r="AA1132" i="3"/>
  <x:c r="Z1132" i="3"/>
  <x:c r="Y1132" i="3"/>
  <x:c r="X1132" i="3"/>
  <x:c r="W1132" i="3"/>
  <x:c r="V1132" i="3"/>
  <x:c r="U1132" i="3"/>
  <x:c r="T1132" i="3"/>
  <x:c r="E1132" i="3"/>
  <x:c r="D1132" i="3"/>
  <x:c r="C1132" i="3"/>
  <x:c r="B1132" i="3"/>
  <x:c r="AG1131" i="3"/>
  <x:c r="AF1131" i="3"/>
  <x:c r="AE1131" i="3"/>
  <x:c r="AD1131" i="3"/>
  <x:c r="AC1131" i="3"/>
  <x:c r="AB1131" i="3"/>
  <x:c r="AA1131" i="3"/>
  <x:c r="Z1131" i="3"/>
  <x:c r="Y1131" i="3"/>
  <x:c r="X1131" i="3"/>
  <x:c r="W1131" i="3"/>
  <x:c r="V1131" i="3"/>
  <x:c r="U1131" i="3"/>
  <x:c r="T1131" i="3"/>
  <x:c r="E1131" i="3"/>
  <x:c r="D1131" i="3"/>
  <x:c r="C1131" i="3"/>
  <x:c r="B1131" i="3"/>
  <x:c r="AG1130" i="3"/>
  <x:c r="AF1130" i="3"/>
  <x:c r="AE1130" i="3"/>
  <x:c r="AD1130" i="3"/>
  <x:c r="AC1130" i="3"/>
  <x:c r="AB1130" i="3"/>
  <x:c r="AA1130" i="3"/>
  <x:c r="Z1130" i="3"/>
  <x:c r="Y1130" i="3"/>
  <x:c r="X1130" i="3"/>
  <x:c r="W1130" i="3"/>
  <x:c r="V1130" i="3"/>
  <x:c r="U1130" i="3"/>
  <x:c r="T1130" i="3"/>
  <x:c r="E1130" i="3"/>
  <x:c r="D1130" i="3"/>
  <x:c r="C1130" i="3"/>
  <x:c r="B1130" i="3"/>
  <x:c r="AG1129" i="3"/>
  <x:c r="AF1129" i="3"/>
  <x:c r="AE1129" i="3"/>
  <x:c r="AD1129" i="3"/>
  <x:c r="AC1129" i="3"/>
  <x:c r="AB1129" i="3"/>
  <x:c r="AA1129" i="3"/>
  <x:c r="Z1129" i="3"/>
  <x:c r="Y1129" i="3"/>
  <x:c r="X1129" i="3"/>
  <x:c r="W1129" i="3"/>
  <x:c r="V1129" i="3"/>
  <x:c r="U1129" i="3"/>
  <x:c r="T1129" i="3"/>
  <x:c r="E1129" i="3"/>
  <x:c r="D1129" i="3"/>
  <x:c r="C1129" i="3"/>
  <x:c r="B1129" i="3"/>
  <x:c r="AG1128" i="3"/>
  <x:c r="AF1128" i="3"/>
  <x:c r="AE1128" i="3"/>
  <x:c r="AD1128" i="3"/>
  <x:c r="AC1128" i="3"/>
  <x:c r="AB1128" i="3"/>
  <x:c r="AA1128" i="3"/>
  <x:c r="Z1128" i="3"/>
  <x:c r="Y1128" i="3"/>
  <x:c r="X1128" i="3"/>
  <x:c r="W1128" i="3"/>
  <x:c r="V1128" i="3"/>
  <x:c r="U1128" i="3"/>
  <x:c r="T1128" i="3"/>
  <x:c r="E1128" i="3"/>
  <x:c r="D1128" i="3"/>
  <x:c r="C1128" i="3"/>
  <x:c r="B1128" i="3"/>
  <x:c r="AG1127" i="3"/>
  <x:c r="AF1127" i="3"/>
  <x:c r="AE1127" i="3"/>
  <x:c r="AD1127" i="3"/>
  <x:c r="AC1127" i="3"/>
  <x:c r="AB1127" i="3"/>
  <x:c r="AA1127" i="3"/>
  <x:c r="Z1127" i="3"/>
  <x:c r="Y1127" i="3"/>
  <x:c r="X1127" i="3"/>
  <x:c r="W1127" i="3"/>
  <x:c r="V1127" i="3"/>
  <x:c r="U1127" i="3"/>
  <x:c r="T1127" i="3"/>
  <x:c r="E1127" i="3"/>
  <x:c r="D1127" i="3"/>
  <x:c r="C1127" i="3"/>
  <x:c r="B1127" i="3"/>
  <x:c r="AG1126" i="3"/>
  <x:c r="AF1126" i="3"/>
  <x:c r="AE1126" i="3"/>
  <x:c r="AD1126" i="3"/>
  <x:c r="AC1126" i="3"/>
  <x:c r="AB1126" i="3"/>
  <x:c r="AA1126" i="3"/>
  <x:c r="Z1126" i="3"/>
  <x:c r="Y1126" i="3"/>
  <x:c r="X1126" i="3"/>
  <x:c r="W1126" i="3"/>
  <x:c r="V1126" i="3"/>
  <x:c r="U1126" i="3"/>
  <x:c r="T1126" i="3"/>
  <x:c r="E1126" i="3"/>
  <x:c r="D1126" i="3"/>
  <x:c r="C1126" i="3"/>
  <x:c r="B1126" i="3"/>
  <x:c r="AG1125" i="3"/>
  <x:c r="AF1125" i="3"/>
  <x:c r="AE1125" i="3"/>
  <x:c r="AD1125" i="3"/>
  <x:c r="AC1125" i="3"/>
  <x:c r="AB1125" i="3"/>
  <x:c r="AA1125" i="3"/>
  <x:c r="Z1125" i="3"/>
  <x:c r="Y1125" i="3"/>
  <x:c r="X1125" i="3"/>
  <x:c r="W1125" i="3"/>
  <x:c r="V1125" i="3"/>
  <x:c r="U1125" i="3"/>
  <x:c r="T1125" i="3"/>
  <x:c r="E1125" i="3"/>
  <x:c r="D1125" i="3"/>
  <x:c r="C1125" i="3"/>
  <x:c r="B1125" i="3"/>
  <x:c r="AG1124" i="3"/>
  <x:c r="AF1124" i="3"/>
  <x:c r="AE1124" i="3"/>
  <x:c r="AD1124" i="3"/>
  <x:c r="AC1124" i="3"/>
  <x:c r="AB1124" i="3"/>
  <x:c r="AA1124" i="3"/>
  <x:c r="Z1124" i="3"/>
  <x:c r="Y1124" i="3"/>
  <x:c r="X1124" i="3"/>
  <x:c r="W1124" i="3"/>
  <x:c r="V1124" i="3"/>
  <x:c r="U1124" i="3"/>
  <x:c r="T1124" i="3"/>
  <x:c r="E1124" i="3"/>
  <x:c r="D1124" i="3"/>
  <x:c r="C1124" i="3"/>
  <x:c r="B1124" i="3"/>
  <x:c r="AG1123" i="3"/>
  <x:c r="AF1123" i="3"/>
  <x:c r="AE1123" i="3"/>
  <x:c r="AD1123" i="3"/>
  <x:c r="AC1123" i="3"/>
  <x:c r="AB1123" i="3"/>
  <x:c r="AA1123" i="3"/>
  <x:c r="Z1123" i="3"/>
  <x:c r="Y1123" i="3"/>
  <x:c r="X1123" i="3"/>
  <x:c r="W1123" i="3"/>
  <x:c r="V1123" i="3"/>
  <x:c r="U1123" i="3"/>
  <x:c r="T1123" i="3"/>
  <x:c r="E1123" i="3"/>
  <x:c r="D1123" i="3"/>
  <x:c r="C1123" i="3"/>
  <x:c r="B1123" i="3"/>
  <x:c r="AG1122" i="3"/>
  <x:c r="AF1122" i="3"/>
  <x:c r="AE1122" i="3"/>
  <x:c r="AD1122" i="3"/>
  <x:c r="AC1122" i="3"/>
  <x:c r="AB1122" i="3"/>
  <x:c r="AA1122" i="3"/>
  <x:c r="Z1122" i="3"/>
  <x:c r="Y1122" i="3"/>
  <x:c r="X1122" i="3"/>
  <x:c r="W1122" i="3"/>
  <x:c r="V1122" i="3"/>
  <x:c r="U1122" i="3"/>
  <x:c r="T1122" i="3"/>
  <x:c r="E1122" i="3"/>
  <x:c r="D1122" i="3"/>
  <x:c r="C1122" i="3"/>
  <x:c r="B1122" i="3"/>
  <x:c r="AG1121" i="3"/>
  <x:c r="AF1121" i="3"/>
  <x:c r="AE1121" i="3"/>
  <x:c r="AD1121" i="3"/>
  <x:c r="AC1121" i="3"/>
  <x:c r="AB1121" i="3"/>
  <x:c r="AA1121" i="3"/>
  <x:c r="Z1121" i="3"/>
  <x:c r="Y1121" i="3"/>
  <x:c r="X1121" i="3"/>
  <x:c r="W1121" i="3"/>
  <x:c r="V1121" i="3"/>
  <x:c r="U1121" i="3"/>
  <x:c r="T1121" i="3"/>
  <x:c r="E1121" i="3"/>
  <x:c r="D1121" i="3"/>
  <x:c r="C1121" i="3"/>
  <x:c r="B1121" i="3"/>
  <x:c r="AG1120" i="3"/>
  <x:c r="AF1120" i="3"/>
  <x:c r="AE1120" i="3"/>
  <x:c r="AD1120" i="3"/>
  <x:c r="AC1120" i="3"/>
  <x:c r="AB1120" i="3"/>
  <x:c r="AA1120" i="3"/>
  <x:c r="Z1120" i="3"/>
  <x:c r="Y1120" i="3"/>
  <x:c r="X1120" i="3"/>
  <x:c r="W1120" i="3"/>
  <x:c r="V1120" i="3"/>
  <x:c r="U1120" i="3"/>
  <x:c r="T1120" i="3"/>
  <x:c r="E1120" i="3"/>
  <x:c r="D1120" i="3"/>
  <x:c r="C1120" i="3"/>
  <x:c r="B1120" i="3"/>
  <x:c r="AG1119" i="3"/>
  <x:c r="AF1119" i="3"/>
  <x:c r="AE1119" i="3"/>
  <x:c r="AD1119" i="3"/>
  <x:c r="AC1119" i="3"/>
  <x:c r="AB1119" i="3"/>
  <x:c r="AA1119" i="3"/>
  <x:c r="Z1119" i="3"/>
  <x:c r="Y1119" i="3"/>
  <x:c r="X1119" i="3"/>
  <x:c r="W1119" i="3"/>
  <x:c r="V1119" i="3"/>
  <x:c r="U1119" i="3"/>
  <x:c r="T1119" i="3"/>
  <x:c r="E1119" i="3"/>
  <x:c r="D1119" i="3"/>
  <x:c r="C1119" i="3"/>
  <x:c r="B1119" i="3"/>
  <x:c r="AG1118" i="3"/>
  <x:c r="AF1118" i="3"/>
  <x:c r="AE1118" i="3"/>
  <x:c r="AD1118" i="3"/>
  <x:c r="AC1118" i="3"/>
  <x:c r="AB1118" i="3"/>
  <x:c r="AA1118" i="3"/>
  <x:c r="Z1118" i="3"/>
  <x:c r="Y1118" i="3"/>
  <x:c r="X1118" i="3"/>
  <x:c r="W1118" i="3"/>
  <x:c r="V1118" i="3"/>
  <x:c r="U1118" i="3"/>
  <x:c r="T1118" i="3"/>
  <x:c r="E1118" i="3"/>
  <x:c r="D1118" i="3"/>
  <x:c r="C1118" i="3"/>
  <x:c r="B1118" i="3"/>
  <x:c r="AG1117" i="3"/>
  <x:c r="AF1117" i="3"/>
  <x:c r="AE1117" i="3"/>
  <x:c r="AD1117" i="3"/>
  <x:c r="AC1117" i="3"/>
  <x:c r="AB1117" i="3"/>
  <x:c r="AA1117" i="3"/>
  <x:c r="Z1117" i="3"/>
  <x:c r="Y1117" i="3"/>
  <x:c r="X1117" i="3"/>
  <x:c r="W1117" i="3"/>
  <x:c r="V1117" i="3"/>
  <x:c r="U1117" i="3"/>
  <x:c r="T1117" i="3"/>
  <x:c r="E1117" i="3"/>
  <x:c r="D1117" i="3"/>
  <x:c r="C1117" i="3"/>
  <x:c r="B1117" i="3"/>
  <x:c r="AG1116" i="3"/>
  <x:c r="AF1116" i="3"/>
  <x:c r="AE1116" i="3"/>
  <x:c r="AD1116" i="3"/>
  <x:c r="AC1116" i="3"/>
  <x:c r="AB1116" i="3"/>
  <x:c r="AA1116" i="3"/>
  <x:c r="Z1116" i="3"/>
  <x:c r="Y1116" i="3"/>
  <x:c r="X1116" i="3"/>
  <x:c r="W1116" i="3"/>
  <x:c r="V1116" i="3"/>
  <x:c r="U1116" i="3"/>
  <x:c r="T1116" i="3"/>
  <x:c r="E1116" i="3"/>
  <x:c r="D1116" i="3"/>
  <x:c r="C1116" i="3"/>
  <x:c r="B1116" i="3"/>
  <x:c r="AG1115" i="3"/>
  <x:c r="AF1115" i="3"/>
  <x:c r="AE1115" i="3"/>
  <x:c r="AD1115" i="3"/>
  <x:c r="AC1115" i="3"/>
  <x:c r="AB1115" i="3"/>
  <x:c r="AA1115" i="3"/>
  <x:c r="Z1115" i="3"/>
  <x:c r="Y1115" i="3"/>
  <x:c r="X1115" i="3"/>
  <x:c r="W1115" i="3"/>
  <x:c r="V1115" i="3"/>
  <x:c r="U1115" i="3"/>
  <x:c r="T1115" i="3"/>
  <x:c r="E1115" i="3"/>
  <x:c r="D1115" i="3"/>
  <x:c r="C1115" i="3"/>
  <x:c r="B1115" i="3"/>
  <x:c r="AG1114" i="3"/>
  <x:c r="AF1114" i="3"/>
  <x:c r="AE1114" i="3"/>
  <x:c r="AD1114" i="3"/>
  <x:c r="AC1114" i="3"/>
  <x:c r="AB1114" i="3"/>
  <x:c r="AA1114" i="3"/>
  <x:c r="Z1114" i="3"/>
  <x:c r="Y1114" i="3"/>
  <x:c r="X1114" i="3"/>
  <x:c r="W1114" i="3"/>
  <x:c r="V1114" i="3"/>
  <x:c r="U1114" i="3"/>
  <x:c r="T1114" i="3"/>
  <x:c r="E1114" i="3"/>
  <x:c r="D1114" i="3"/>
  <x:c r="C1114" i="3"/>
  <x:c r="B1114" i="3"/>
  <x:c r="AG1113" i="3"/>
  <x:c r="AF1113" i="3"/>
  <x:c r="AE1113" i="3"/>
  <x:c r="AD1113" i="3"/>
  <x:c r="AC1113" i="3"/>
  <x:c r="AB1113" i="3"/>
  <x:c r="AA1113" i="3"/>
  <x:c r="Z1113" i="3"/>
  <x:c r="Y1113" i="3"/>
  <x:c r="X1113" i="3"/>
  <x:c r="W1113" i="3"/>
  <x:c r="V1113" i="3"/>
  <x:c r="U1113" i="3"/>
  <x:c r="T1113" i="3"/>
  <x:c r="E1113" i="3"/>
  <x:c r="D1113" i="3"/>
  <x:c r="C1113" i="3"/>
  <x:c r="B1113" i="3"/>
  <x:c r="AG1112" i="3"/>
  <x:c r="AF1112" i="3"/>
  <x:c r="AE1112" i="3"/>
  <x:c r="AD1112" i="3"/>
  <x:c r="AC1112" i="3"/>
  <x:c r="AB1112" i="3"/>
  <x:c r="AA1112" i="3"/>
  <x:c r="Z1112" i="3"/>
  <x:c r="Y1112" i="3"/>
  <x:c r="X1112" i="3"/>
  <x:c r="W1112" i="3"/>
  <x:c r="V1112" i="3"/>
  <x:c r="U1112" i="3"/>
  <x:c r="T1112" i="3"/>
  <x:c r="E1112" i="3"/>
  <x:c r="D1112" i="3"/>
  <x:c r="C1112" i="3"/>
  <x:c r="B1112" i="3"/>
  <x:c r="AG1111" i="3"/>
  <x:c r="AF1111" i="3"/>
  <x:c r="AE1111" i="3"/>
  <x:c r="AD1111" i="3"/>
  <x:c r="AC1111" i="3"/>
  <x:c r="AB1111" i="3"/>
  <x:c r="AA1111" i="3"/>
  <x:c r="Z1111" i="3"/>
  <x:c r="Y1111" i="3"/>
  <x:c r="X1111" i="3"/>
  <x:c r="W1111" i="3"/>
  <x:c r="V1111" i="3"/>
  <x:c r="U1111" i="3"/>
  <x:c r="T1111" i="3"/>
  <x:c r="E1111" i="3"/>
  <x:c r="D1111" i="3"/>
  <x:c r="C1111" i="3"/>
  <x:c r="B1111" i="3"/>
  <x:c r="AG1110" i="3"/>
  <x:c r="AF1110" i="3"/>
  <x:c r="AE1110" i="3"/>
  <x:c r="AD1110" i="3"/>
  <x:c r="AC1110" i="3"/>
  <x:c r="AB1110" i="3"/>
  <x:c r="AA1110" i="3"/>
  <x:c r="Z1110" i="3"/>
  <x:c r="Y1110" i="3"/>
  <x:c r="X1110" i="3"/>
  <x:c r="W1110" i="3"/>
  <x:c r="V1110" i="3"/>
  <x:c r="U1110" i="3"/>
  <x:c r="T1110" i="3"/>
  <x:c r="E1110" i="3"/>
  <x:c r="D1110" i="3"/>
  <x:c r="C1110" i="3"/>
  <x:c r="B1110" i="3"/>
  <x:c r="AG1109" i="3"/>
  <x:c r="AF1109" i="3"/>
  <x:c r="AE1109" i="3"/>
  <x:c r="AD1109" i="3"/>
  <x:c r="AC1109" i="3"/>
  <x:c r="AB1109" i="3"/>
  <x:c r="AA1109" i="3"/>
  <x:c r="Z1109" i="3"/>
  <x:c r="Y1109" i="3"/>
  <x:c r="X1109" i="3"/>
  <x:c r="W1109" i="3"/>
  <x:c r="V1109" i="3"/>
  <x:c r="U1109" i="3"/>
  <x:c r="T1109" i="3"/>
  <x:c r="E1109" i="3"/>
  <x:c r="D1109" i="3"/>
  <x:c r="C1109" i="3"/>
  <x:c r="B1109" i="3"/>
  <x:c r="AG1108" i="3"/>
  <x:c r="AF1108" i="3"/>
  <x:c r="AE1108" i="3"/>
  <x:c r="AD1108" i="3"/>
  <x:c r="AC1108" i="3"/>
  <x:c r="AB1108" i="3"/>
  <x:c r="AA1108" i="3"/>
  <x:c r="Z1108" i="3"/>
  <x:c r="Y1108" i="3"/>
  <x:c r="X1108" i="3"/>
  <x:c r="W1108" i="3"/>
  <x:c r="V1108" i="3"/>
  <x:c r="U1108" i="3"/>
  <x:c r="T1108" i="3"/>
  <x:c r="E1108" i="3"/>
  <x:c r="D1108" i="3"/>
  <x:c r="C1108" i="3"/>
  <x:c r="B1108" i="3"/>
  <x:c r="AG1107" i="3"/>
  <x:c r="AF1107" i="3"/>
  <x:c r="AE1107" i="3"/>
  <x:c r="AD1107" i="3"/>
  <x:c r="AC1107" i="3"/>
  <x:c r="AB1107" i="3"/>
  <x:c r="AA1107" i="3"/>
  <x:c r="Z1107" i="3"/>
  <x:c r="Y1107" i="3"/>
  <x:c r="X1107" i="3"/>
  <x:c r="W1107" i="3"/>
  <x:c r="V1107" i="3"/>
  <x:c r="U1107" i="3"/>
  <x:c r="T1107" i="3"/>
  <x:c r="E1107" i="3"/>
  <x:c r="D1107" i="3"/>
  <x:c r="C1107" i="3"/>
  <x:c r="B1107" i="3"/>
  <x:c r="AG1106" i="3"/>
  <x:c r="AF1106" i="3"/>
  <x:c r="AE1106" i="3"/>
  <x:c r="AD1106" i="3"/>
  <x:c r="AC1106" i="3"/>
  <x:c r="AB1106" i="3"/>
  <x:c r="AA1106" i="3"/>
  <x:c r="Z1106" i="3"/>
  <x:c r="Y1106" i="3"/>
  <x:c r="X1106" i="3"/>
  <x:c r="W1106" i="3"/>
  <x:c r="V1106" i="3"/>
  <x:c r="U1106" i="3"/>
  <x:c r="T1106" i="3"/>
  <x:c r="E1106" i="3"/>
  <x:c r="D1106" i="3"/>
  <x:c r="C1106" i="3"/>
  <x:c r="B1106" i="3"/>
  <x:c r="AG1105" i="3"/>
  <x:c r="AF1105" i="3"/>
  <x:c r="AE1105" i="3"/>
  <x:c r="AD1105" i="3"/>
  <x:c r="AC1105" i="3"/>
  <x:c r="AB1105" i="3"/>
  <x:c r="AA1105" i="3"/>
  <x:c r="Z1105" i="3"/>
  <x:c r="Y1105" i="3"/>
  <x:c r="X1105" i="3"/>
  <x:c r="W1105" i="3"/>
  <x:c r="V1105" i="3"/>
  <x:c r="U1105" i="3"/>
  <x:c r="T1105" i="3"/>
  <x:c r="E1105" i="3"/>
  <x:c r="D1105" i="3"/>
  <x:c r="C1105" i="3"/>
  <x:c r="B1105" i="3"/>
  <x:c r="AG1104" i="3"/>
  <x:c r="AF1104" i="3"/>
  <x:c r="AE1104" i="3"/>
  <x:c r="AD1104" i="3"/>
  <x:c r="AC1104" i="3"/>
  <x:c r="AB1104" i="3"/>
  <x:c r="AA1104" i="3"/>
  <x:c r="Z1104" i="3"/>
  <x:c r="Y1104" i="3"/>
  <x:c r="X1104" i="3"/>
  <x:c r="W1104" i="3"/>
  <x:c r="V1104" i="3"/>
  <x:c r="U1104" i="3"/>
  <x:c r="T1104" i="3"/>
  <x:c r="E1104" i="3"/>
  <x:c r="D1104" i="3"/>
  <x:c r="C1104" i="3"/>
  <x:c r="B1104" i="3"/>
  <x:c r="AG1103" i="3"/>
  <x:c r="AF1103" i="3"/>
  <x:c r="AE1103" i="3"/>
  <x:c r="AD1103" i="3"/>
  <x:c r="AC1103" i="3"/>
  <x:c r="AB1103" i="3"/>
  <x:c r="AA1103" i="3"/>
  <x:c r="Z1103" i="3"/>
  <x:c r="Y1103" i="3"/>
  <x:c r="X1103" i="3"/>
  <x:c r="W1103" i="3"/>
  <x:c r="V1103" i="3"/>
  <x:c r="U1103" i="3"/>
  <x:c r="T1103" i="3"/>
  <x:c r="E1103" i="3"/>
  <x:c r="D1103" i="3"/>
  <x:c r="C1103" i="3"/>
  <x:c r="B1103" i="3"/>
  <x:c r="AG1102" i="3"/>
  <x:c r="AF1102" i="3"/>
  <x:c r="AE1102" i="3"/>
  <x:c r="AD1102" i="3"/>
  <x:c r="AC1102" i="3"/>
  <x:c r="AB1102" i="3"/>
  <x:c r="AA1102" i="3"/>
  <x:c r="Z1102" i="3"/>
  <x:c r="Y1102" i="3"/>
  <x:c r="X1102" i="3"/>
  <x:c r="W1102" i="3"/>
  <x:c r="V1102" i="3"/>
  <x:c r="U1102" i="3"/>
  <x:c r="T1102" i="3"/>
  <x:c r="E1102" i="3"/>
  <x:c r="D1102" i="3"/>
  <x:c r="C1102" i="3"/>
  <x:c r="B1102" i="3"/>
  <x:c r="AG1101" i="3"/>
  <x:c r="AF1101" i="3"/>
  <x:c r="AE1101" i="3"/>
  <x:c r="AD1101" i="3"/>
  <x:c r="AC1101" i="3"/>
  <x:c r="AB1101" i="3"/>
  <x:c r="AA1101" i="3"/>
  <x:c r="Z1101" i="3"/>
  <x:c r="Y1101" i="3"/>
  <x:c r="X1101" i="3"/>
  <x:c r="W1101" i="3"/>
  <x:c r="V1101" i="3"/>
  <x:c r="U1101" i="3"/>
  <x:c r="T1101" i="3"/>
  <x:c r="E1101" i="3"/>
  <x:c r="D1101" i="3"/>
  <x:c r="C1101" i="3"/>
  <x:c r="B1101" i="3"/>
  <x:c r="AG1100" i="3"/>
  <x:c r="AF1100" i="3"/>
  <x:c r="AE1100" i="3"/>
  <x:c r="AD1100" i="3"/>
  <x:c r="AC1100" i="3"/>
  <x:c r="AB1100" i="3"/>
  <x:c r="AA1100" i="3"/>
  <x:c r="Z1100" i="3"/>
  <x:c r="Y1100" i="3"/>
  <x:c r="X1100" i="3"/>
  <x:c r="W1100" i="3"/>
  <x:c r="V1100" i="3"/>
  <x:c r="U1100" i="3"/>
  <x:c r="T1100" i="3"/>
  <x:c r="E1100" i="3"/>
  <x:c r="D1100" i="3"/>
  <x:c r="C1100" i="3"/>
  <x:c r="B1100" i="3"/>
  <x:c r="AG1099" i="3"/>
  <x:c r="AF1099" i="3"/>
  <x:c r="AE1099" i="3"/>
  <x:c r="AD1099" i="3"/>
  <x:c r="AC1099" i="3"/>
  <x:c r="AB1099" i="3"/>
  <x:c r="AA1099" i="3"/>
  <x:c r="Z1099" i="3"/>
  <x:c r="Y1099" i="3"/>
  <x:c r="X1099" i="3"/>
  <x:c r="W1099" i="3"/>
  <x:c r="V1099" i="3"/>
  <x:c r="U1099" i="3"/>
  <x:c r="T1099" i="3"/>
  <x:c r="E1099" i="3"/>
  <x:c r="D1099" i="3"/>
  <x:c r="C1099" i="3"/>
  <x:c r="B1099" i="3"/>
  <x:c r="AG1098" i="3"/>
  <x:c r="AF1098" i="3"/>
  <x:c r="AE1098" i="3"/>
  <x:c r="AD1098" i="3"/>
  <x:c r="AC1098" i="3"/>
  <x:c r="AB1098" i="3"/>
  <x:c r="AA1098" i="3"/>
  <x:c r="Z1098" i="3"/>
  <x:c r="Y1098" i="3"/>
  <x:c r="X1098" i="3"/>
  <x:c r="W1098" i="3"/>
  <x:c r="V1098" i="3"/>
  <x:c r="U1098" i="3"/>
  <x:c r="T1098" i="3"/>
  <x:c r="E1098" i="3"/>
  <x:c r="D1098" i="3"/>
  <x:c r="C1098" i="3"/>
  <x:c r="B1098" i="3"/>
  <x:c r="AG1097" i="3"/>
  <x:c r="AF1097" i="3"/>
  <x:c r="AE1097" i="3"/>
  <x:c r="AD1097" i="3"/>
  <x:c r="AC1097" i="3"/>
  <x:c r="AB1097" i="3"/>
  <x:c r="AA1097" i="3"/>
  <x:c r="Z1097" i="3"/>
  <x:c r="Y1097" i="3"/>
  <x:c r="X1097" i="3"/>
  <x:c r="W1097" i="3"/>
  <x:c r="V1097" i="3"/>
  <x:c r="U1097" i="3"/>
  <x:c r="T1097" i="3"/>
  <x:c r="E1097" i="3"/>
  <x:c r="D1097" i="3"/>
  <x:c r="C1097" i="3"/>
  <x:c r="B1097" i="3"/>
  <x:c r="AG1096" i="3"/>
  <x:c r="AF1096" i="3"/>
  <x:c r="AE1096" i="3"/>
  <x:c r="AD1096" i="3"/>
  <x:c r="AC1096" i="3"/>
  <x:c r="AB1096" i="3"/>
  <x:c r="AA1096" i="3"/>
  <x:c r="Z1096" i="3"/>
  <x:c r="Y1096" i="3"/>
  <x:c r="X1096" i="3"/>
  <x:c r="W1096" i="3"/>
  <x:c r="V1096" i="3"/>
  <x:c r="U1096" i="3"/>
  <x:c r="T1096" i="3"/>
  <x:c r="E1096" i="3"/>
  <x:c r="D1096" i="3"/>
  <x:c r="C1096" i="3"/>
  <x:c r="B1096" i="3"/>
  <x:c r="AG1095" i="3"/>
  <x:c r="AF1095" i="3"/>
  <x:c r="AE1095" i="3"/>
  <x:c r="AD1095" i="3"/>
  <x:c r="AC1095" i="3"/>
  <x:c r="AB1095" i="3"/>
  <x:c r="AA1095" i="3"/>
  <x:c r="Z1095" i="3"/>
  <x:c r="Y1095" i="3"/>
  <x:c r="X1095" i="3"/>
  <x:c r="W1095" i="3"/>
  <x:c r="V1095" i="3"/>
  <x:c r="U1095" i="3"/>
  <x:c r="T1095" i="3"/>
  <x:c r="E1095" i="3"/>
  <x:c r="D1095" i="3"/>
  <x:c r="C1095" i="3"/>
  <x:c r="B1095" i="3"/>
  <x:c r="AG1094" i="3"/>
  <x:c r="AF1094" i="3"/>
  <x:c r="AE1094" i="3"/>
  <x:c r="AD1094" i="3"/>
  <x:c r="AC1094" i="3"/>
  <x:c r="AB1094" i="3"/>
  <x:c r="AA1094" i="3"/>
  <x:c r="Z1094" i="3"/>
  <x:c r="Y1094" i="3"/>
  <x:c r="X1094" i="3"/>
  <x:c r="W1094" i="3"/>
  <x:c r="V1094" i="3"/>
  <x:c r="U1094" i="3"/>
  <x:c r="T1094" i="3"/>
  <x:c r="E1094" i="3"/>
  <x:c r="D1094" i="3"/>
  <x:c r="C1094" i="3"/>
  <x:c r="B1094" i="3"/>
  <x:c r="AG1093" i="3"/>
  <x:c r="AF1093" i="3"/>
  <x:c r="AE1093" i="3"/>
  <x:c r="AD1093" i="3"/>
  <x:c r="AC1093" i="3"/>
  <x:c r="AB1093" i="3"/>
  <x:c r="AA1093" i="3"/>
  <x:c r="Z1093" i="3"/>
  <x:c r="Y1093" i="3"/>
  <x:c r="X1093" i="3"/>
  <x:c r="W1093" i="3"/>
  <x:c r="V1093" i="3"/>
  <x:c r="U1093" i="3"/>
  <x:c r="T1093" i="3"/>
  <x:c r="E1093" i="3"/>
  <x:c r="D1093" i="3"/>
  <x:c r="C1093" i="3"/>
  <x:c r="B1093" i="3"/>
  <x:c r="AG1092" i="3"/>
  <x:c r="AF1092" i="3"/>
  <x:c r="AE1092" i="3"/>
  <x:c r="AD1092" i="3"/>
  <x:c r="AC1092" i="3"/>
  <x:c r="AB1092" i="3"/>
  <x:c r="AA1092" i="3"/>
  <x:c r="Z1092" i="3"/>
  <x:c r="Y1092" i="3"/>
  <x:c r="X1092" i="3"/>
  <x:c r="W1092" i="3"/>
  <x:c r="V1092" i="3"/>
  <x:c r="U1092" i="3"/>
  <x:c r="T1092" i="3"/>
  <x:c r="E1092" i="3"/>
  <x:c r="D1092" i="3"/>
  <x:c r="C1092" i="3"/>
  <x:c r="B1092" i="3"/>
  <x:c r="AG1091" i="3"/>
  <x:c r="AF1091" i="3"/>
  <x:c r="AE1091" i="3"/>
  <x:c r="AD1091" i="3"/>
  <x:c r="AC1091" i="3"/>
  <x:c r="AB1091" i="3"/>
  <x:c r="AA1091" i="3"/>
  <x:c r="Z1091" i="3"/>
  <x:c r="Y1091" i="3"/>
  <x:c r="X1091" i="3"/>
  <x:c r="W1091" i="3"/>
  <x:c r="V1091" i="3"/>
  <x:c r="U1091" i="3"/>
  <x:c r="T1091" i="3"/>
  <x:c r="E1091" i="3"/>
  <x:c r="D1091" i="3"/>
  <x:c r="C1091" i="3"/>
  <x:c r="B1091" i="3"/>
  <x:c r="AG1090" i="3"/>
  <x:c r="AF1090" i="3"/>
  <x:c r="AE1090" i="3"/>
  <x:c r="AD1090" i="3"/>
  <x:c r="AC1090" i="3"/>
  <x:c r="AB1090" i="3"/>
  <x:c r="AA1090" i="3"/>
  <x:c r="Z1090" i="3"/>
  <x:c r="Y1090" i="3"/>
  <x:c r="X1090" i="3"/>
  <x:c r="W1090" i="3"/>
  <x:c r="V1090" i="3"/>
  <x:c r="U1090" i="3"/>
  <x:c r="T1090" i="3"/>
  <x:c r="E1090" i="3"/>
  <x:c r="D1090" i="3"/>
  <x:c r="C1090" i="3"/>
  <x:c r="B1090" i="3"/>
  <x:c r="AG1089" i="3"/>
  <x:c r="AF1089" i="3"/>
  <x:c r="AE1089" i="3"/>
  <x:c r="AD1089" i="3"/>
  <x:c r="AC1089" i="3"/>
  <x:c r="AB1089" i="3"/>
  <x:c r="AA1089" i="3"/>
  <x:c r="Z1089" i="3"/>
  <x:c r="Y1089" i="3"/>
  <x:c r="X1089" i="3"/>
  <x:c r="W1089" i="3"/>
  <x:c r="V1089" i="3"/>
  <x:c r="U1089" i="3"/>
  <x:c r="T1089" i="3"/>
  <x:c r="E1089" i="3"/>
  <x:c r="D1089" i="3"/>
  <x:c r="C1089" i="3"/>
  <x:c r="B1089" i="3"/>
  <x:c r="AG1088" i="3"/>
  <x:c r="AF1088" i="3"/>
  <x:c r="AE1088" i="3"/>
  <x:c r="AD1088" i="3"/>
  <x:c r="AC1088" i="3"/>
  <x:c r="AB1088" i="3"/>
  <x:c r="AA1088" i="3"/>
  <x:c r="Z1088" i="3"/>
  <x:c r="Y1088" i="3"/>
  <x:c r="X1088" i="3"/>
  <x:c r="W1088" i="3"/>
  <x:c r="V1088" i="3"/>
  <x:c r="U1088" i="3"/>
  <x:c r="T1088" i="3"/>
  <x:c r="E1088" i="3"/>
  <x:c r="D1088" i="3"/>
  <x:c r="C1088" i="3"/>
  <x:c r="B1088" i="3"/>
  <x:c r="AG1087" i="3"/>
  <x:c r="AF1087" i="3"/>
  <x:c r="AE1087" i="3"/>
  <x:c r="AD1087" i="3"/>
  <x:c r="AC1087" i="3"/>
  <x:c r="AB1087" i="3"/>
  <x:c r="AA1087" i="3"/>
  <x:c r="Z1087" i="3"/>
  <x:c r="Y1087" i="3"/>
  <x:c r="X1087" i="3"/>
  <x:c r="W1087" i="3"/>
  <x:c r="V1087" i="3"/>
  <x:c r="U1087" i="3"/>
  <x:c r="T1087" i="3"/>
  <x:c r="E1087" i="3"/>
  <x:c r="D1087" i="3"/>
  <x:c r="C1087" i="3"/>
  <x:c r="B1087" i="3"/>
  <x:c r="AG1086" i="3"/>
  <x:c r="AF1086" i="3"/>
  <x:c r="AE1086" i="3"/>
  <x:c r="AD1086" i="3"/>
  <x:c r="AC1086" i="3"/>
  <x:c r="AB1086" i="3"/>
  <x:c r="AA1086" i="3"/>
  <x:c r="Z1086" i="3"/>
  <x:c r="Y1086" i="3"/>
  <x:c r="X1086" i="3"/>
  <x:c r="W1086" i="3"/>
  <x:c r="V1086" i="3"/>
  <x:c r="U1086" i="3"/>
  <x:c r="T1086" i="3"/>
  <x:c r="E1086" i="3"/>
  <x:c r="D1086" i="3"/>
  <x:c r="C1086" i="3"/>
  <x:c r="B1086" i="3"/>
  <x:c r="AG1085" i="3"/>
  <x:c r="AF1085" i="3"/>
  <x:c r="AE1085" i="3"/>
  <x:c r="AD1085" i="3"/>
  <x:c r="AC1085" i="3"/>
  <x:c r="AB1085" i="3"/>
  <x:c r="AA1085" i="3"/>
  <x:c r="Z1085" i="3"/>
  <x:c r="Y1085" i="3"/>
  <x:c r="X1085" i="3"/>
  <x:c r="W1085" i="3"/>
  <x:c r="V1085" i="3"/>
  <x:c r="U1085" i="3"/>
  <x:c r="T1085" i="3"/>
  <x:c r="E1085" i="3"/>
  <x:c r="D1085" i="3"/>
  <x:c r="C1085" i="3"/>
  <x:c r="B1085" i="3"/>
  <x:c r="AG1084" i="3"/>
  <x:c r="AF1084" i="3"/>
  <x:c r="AE1084" i="3"/>
  <x:c r="AD1084" i="3"/>
  <x:c r="AC1084" i="3"/>
  <x:c r="AB1084" i="3"/>
  <x:c r="AA1084" i="3"/>
  <x:c r="Z1084" i="3"/>
  <x:c r="Y1084" i="3"/>
  <x:c r="X1084" i="3"/>
  <x:c r="W1084" i="3"/>
  <x:c r="V1084" i="3"/>
  <x:c r="U1084" i="3"/>
  <x:c r="T1084" i="3"/>
  <x:c r="E1084" i="3"/>
  <x:c r="D1084" i="3"/>
  <x:c r="C1084" i="3"/>
  <x:c r="B1084" i="3"/>
  <x:c r="AG1083" i="3"/>
  <x:c r="AF1083" i="3"/>
  <x:c r="AE1083" i="3"/>
  <x:c r="AD1083" i="3"/>
  <x:c r="AC1083" i="3"/>
  <x:c r="AB1083" i="3"/>
  <x:c r="AA1083" i="3"/>
  <x:c r="Z1083" i="3"/>
  <x:c r="Y1083" i="3"/>
  <x:c r="X1083" i="3"/>
  <x:c r="W1083" i="3"/>
  <x:c r="V1083" i="3"/>
  <x:c r="U1083" i="3"/>
  <x:c r="T1083" i="3"/>
  <x:c r="E1083" i="3"/>
  <x:c r="D1083" i="3"/>
  <x:c r="C1083" i="3"/>
  <x:c r="B1083" i="3"/>
  <x:c r="AG1082" i="3"/>
  <x:c r="AF1082" i="3"/>
  <x:c r="AE1082" i="3"/>
  <x:c r="AD1082" i="3"/>
  <x:c r="AC1082" i="3"/>
  <x:c r="AB1082" i="3"/>
  <x:c r="AA1082" i="3"/>
  <x:c r="Z1082" i="3"/>
  <x:c r="Y1082" i="3"/>
  <x:c r="X1082" i="3"/>
  <x:c r="W1082" i="3"/>
  <x:c r="V1082" i="3"/>
  <x:c r="U1082" i="3"/>
  <x:c r="T1082" i="3"/>
  <x:c r="E1082" i="3"/>
  <x:c r="D1082" i="3"/>
  <x:c r="C1082" i="3"/>
  <x:c r="B1082" i="3"/>
  <x:c r="AG1081" i="3"/>
  <x:c r="AF1081" i="3"/>
  <x:c r="AE1081" i="3"/>
  <x:c r="AD1081" i="3"/>
  <x:c r="AC1081" i="3"/>
  <x:c r="AB1081" i="3"/>
  <x:c r="AA1081" i="3"/>
  <x:c r="Z1081" i="3"/>
  <x:c r="Y1081" i="3"/>
  <x:c r="X1081" i="3"/>
  <x:c r="W1081" i="3"/>
  <x:c r="V1081" i="3"/>
  <x:c r="U1081" i="3"/>
  <x:c r="T1081" i="3"/>
  <x:c r="E1081" i="3"/>
  <x:c r="D1081" i="3"/>
  <x:c r="C1081" i="3"/>
  <x:c r="B1081" i="3"/>
  <x:c r="AG1080" i="3"/>
  <x:c r="AF1080" i="3"/>
  <x:c r="AE1080" i="3"/>
  <x:c r="AD1080" i="3"/>
  <x:c r="AC1080" i="3"/>
  <x:c r="AB1080" i="3"/>
  <x:c r="AA1080" i="3"/>
  <x:c r="Z1080" i="3"/>
  <x:c r="Y1080" i="3"/>
  <x:c r="X1080" i="3"/>
  <x:c r="W1080" i="3"/>
  <x:c r="V1080" i="3"/>
  <x:c r="U1080" i="3"/>
  <x:c r="T1080" i="3"/>
  <x:c r="E1080" i="3"/>
  <x:c r="D1080" i="3"/>
  <x:c r="C1080" i="3"/>
  <x:c r="B1080" i="3"/>
  <x:c r="AG1079" i="3"/>
  <x:c r="AF1079" i="3"/>
  <x:c r="AE1079" i="3"/>
  <x:c r="AD1079" i="3"/>
  <x:c r="AC1079" i="3"/>
  <x:c r="AB1079" i="3"/>
  <x:c r="AA1079" i="3"/>
  <x:c r="Z1079" i="3"/>
  <x:c r="Y1079" i="3"/>
  <x:c r="X1079" i="3"/>
  <x:c r="W1079" i="3"/>
  <x:c r="V1079" i="3"/>
  <x:c r="U1079" i="3"/>
  <x:c r="T1079" i="3"/>
  <x:c r="E1079" i="3"/>
  <x:c r="D1079" i="3"/>
  <x:c r="C1079" i="3"/>
  <x:c r="B1079" i="3"/>
  <x:c r="AG1078" i="3"/>
  <x:c r="AF1078" i="3"/>
  <x:c r="AE1078" i="3"/>
  <x:c r="AD1078" i="3"/>
  <x:c r="AC1078" i="3"/>
  <x:c r="AB1078" i="3"/>
  <x:c r="AA1078" i="3"/>
  <x:c r="Z1078" i="3"/>
  <x:c r="Y1078" i="3"/>
  <x:c r="X1078" i="3"/>
  <x:c r="W1078" i="3"/>
  <x:c r="V1078" i="3"/>
  <x:c r="U1078" i="3"/>
  <x:c r="T1078" i="3"/>
  <x:c r="E1078" i="3"/>
  <x:c r="D1078" i="3"/>
  <x:c r="C1078" i="3"/>
  <x:c r="B1078" i="3"/>
  <x:c r="AG1077" i="3"/>
  <x:c r="AF1077" i="3"/>
  <x:c r="AE1077" i="3"/>
  <x:c r="AD1077" i="3"/>
  <x:c r="AC1077" i="3"/>
  <x:c r="AB1077" i="3"/>
  <x:c r="AA1077" i="3"/>
  <x:c r="Z1077" i="3"/>
  <x:c r="Y1077" i="3"/>
  <x:c r="X1077" i="3"/>
  <x:c r="W1077" i="3"/>
  <x:c r="V1077" i="3"/>
  <x:c r="U1077" i="3"/>
  <x:c r="T1077" i="3"/>
  <x:c r="E1077" i="3"/>
  <x:c r="D1077" i="3"/>
  <x:c r="C1077" i="3"/>
  <x:c r="B1077" i="3"/>
  <x:c r="AG1076" i="3"/>
  <x:c r="AF1076" i="3"/>
  <x:c r="AE1076" i="3"/>
  <x:c r="AD1076" i="3"/>
  <x:c r="AC1076" i="3"/>
  <x:c r="AB1076" i="3"/>
  <x:c r="AA1076" i="3"/>
  <x:c r="Z1076" i="3"/>
  <x:c r="Y1076" i="3"/>
  <x:c r="X1076" i="3"/>
  <x:c r="W1076" i="3"/>
  <x:c r="V1076" i="3"/>
  <x:c r="U1076" i="3"/>
  <x:c r="T1076" i="3"/>
  <x:c r="E1076" i="3"/>
  <x:c r="D1076" i="3"/>
  <x:c r="C1076" i="3"/>
  <x:c r="B1076" i="3"/>
  <x:c r="AG1075" i="3"/>
  <x:c r="AF1075" i="3"/>
  <x:c r="AE1075" i="3"/>
  <x:c r="AD1075" i="3"/>
  <x:c r="AC1075" i="3"/>
  <x:c r="AB1075" i="3"/>
  <x:c r="AA1075" i="3"/>
  <x:c r="Z1075" i="3"/>
  <x:c r="Y1075" i="3"/>
  <x:c r="X1075" i="3"/>
  <x:c r="W1075" i="3"/>
  <x:c r="V1075" i="3"/>
  <x:c r="U1075" i="3"/>
  <x:c r="T1075" i="3"/>
  <x:c r="E1075" i="3"/>
  <x:c r="D1075" i="3"/>
  <x:c r="C1075" i="3"/>
  <x:c r="B1075" i="3"/>
  <x:c r="AG1074" i="3"/>
  <x:c r="AF1074" i="3"/>
  <x:c r="AE1074" i="3"/>
  <x:c r="AD1074" i="3"/>
  <x:c r="AC1074" i="3"/>
  <x:c r="AB1074" i="3"/>
  <x:c r="AA1074" i="3"/>
  <x:c r="Z1074" i="3"/>
  <x:c r="Y1074" i="3"/>
  <x:c r="X1074" i="3"/>
  <x:c r="W1074" i="3"/>
  <x:c r="V1074" i="3"/>
  <x:c r="U1074" i="3"/>
  <x:c r="T1074" i="3"/>
  <x:c r="E1074" i="3"/>
  <x:c r="D1074" i="3"/>
  <x:c r="C1074" i="3"/>
  <x:c r="B1074" i="3"/>
  <x:c r="AG1073" i="3"/>
  <x:c r="AF1073" i="3"/>
  <x:c r="AE1073" i="3"/>
  <x:c r="AD1073" i="3"/>
  <x:c r="AC1073" i="3"/>
  <x:c r="AB1073" i="3"/>
  <x:c r="AA1073" i="3"/>
  <x:c r="Z1073" i="3"/>
  <x:c r="Y1073" i="3"/>
  <x:c r="X1073" i="3"/>
  <x:c r="W1073" i="3"/>
  <x:c r="V1073" i="3"/>
  <x:c r="U1073" i="3"/>
  <x:c r="T1073" i="3"/>
  <x:c r="E1073" i="3"/>
  <x:c r="D1073" i="3"/>
  <x:c r="C1073" i="3"/>
  <x:c r="B1073" i="3"/>
  <x:c r="AG1072" i="3"/>
  <x:c r="AF1072" i="3"/>
  <x:c r="AE1072" i="3"/>
  <x:c r="AD1072" i="3"/>
  <x:c r="AC1072" i="3"/>
  <x:c r="AB1072" i="3"/>
  <x:c r="AA1072" i="3"/>
  <x:c r="Z1072" i="3"/>
  <x:c r="Y1072" i="3"/>
  <x:c r="X1072" i="3"/>
  <x:c r="W1072" i="3"/>
  <x:c r="V1072" i="3"/>
  <x:c r="U1072" i="3"/>
  <x:c r="T1072" i="3"/>
  <x:c r="E1072" i="3"/>
  <x:c r="D1072" i="3"/>
  <x:c r="C1072" i="3"/>
  <x:c r="B1072" i="3"/>
  <x:c r="AG1071" i="3"/>
  <x:c r="AF1071" i="3"/>
  <x:c r="AE1071" i="3"/>
  <x:c r="AD1071" i="3"/>
  <x:c r="AC1071" i="3"/>
  <x:c r="AB1071" i="3"/>
  <x:c r="AA1071" i="3"/>
  <x:c r="Z1071" i="3"/>
  <x:c r="Y1071" i="3"/>
  <x:c r="X1071" i="3"/>
  <x:c r="W1071" i="3"/>
  <x:c r="V1071" i="3"/>
  <x:c r="U1071" i="3"/>
  <x:c r="T1071" i="3"/>
  <x:c r="E1071" i="3"/>
  <x:c r="D1071" i="3"/>
  <x:c r="C1071" i="3"/>
  <x:c r="B1071" i="3"/>
  <x:c r="AG1070" i="3"/>
  <x:c r="AF1070" i="3"/>
  <x:c r="AE1070" i="3"/>
  <x:c r="AD1070" i="3"/>
  <x:c r="AC1070" i="3"/>
  <x:c r="AB1070" i="3"/>
  <x:c r="AA1070" i="3"/>
  <x:c r="Z1070" i="3"/>
  <x:c r="Y1070" i="3"/>
  <x:c r="X1070" i="3"/>
  <x:c r="W1070" i="3"/>
  <x:c r="V1070" i="3"/>
  <x:c r="U1070" i="3"/>
  <x:c r="T1070" i="3"/>
  <x:c r="E1070" i="3"/>
  <x:c r="D1070" i="3"/>
  <x:c r="C1070" i="3"/>
  <x:c r="B1070" i="3"/>
  <x:c r="AG1069" i="3"/>
  <x:c r="AF1069" i="3"/>
  <x:c r="AE1069" i="3"/>
  <x:c r="AD1069" i="3"/>
  <x:c r="AC1069" i="3"/>
  <x:c r="AB1069" i="3"/>
  <x:c r="AA1069" i="3"/>
  <x:c r="Z1069" i="3"/>
  <x:c r="Y1069" i="3"/>
  <x:c r="X1069" i="3"/>
  <x:c r="W1069" i="3"/>
  <x:c r="V1069" i="3"/>
  <x:c r="U1069" i="3"/>
  <x:c r="T1069" i="3"/>
  <x:c r="E1069" i="3"/>
  <x:c r="D1069" i="3"/>
  <x:c r="C1069" i="3"/>
  <x:c r="B1069" i="3"/>
  <x:c r="AG1068" i="3"/>
  <x:c r="AF1068" i="3"/>
  <x:c r="AE1068" i="3"/>
  <x:c r="AD1068" i="3"/>
  <x:c r="AC1068" i="3"/>
  <x:c r="AB1068" i="3"/>
  <x:c r="AA1068" i="3"/>
  <x:c r="Z1068" i="3"/>
  <x:c r="Y1068" i="3"/>
  <x:c r="X1068" i="3"/>
  <x:c r="W1068" i="3"/>
  <x:c r="V1068" i="3"/>
  <x:c r="U1068" i="3"/>
  <x:c r="T1068" i="3"/>
  <x:c r="E1068" i="3"/>
  <x:c r="D1068" i="3"/>
  <x:c r="C1068" i="3"/>
  <x:c r="B1068" i="3"/>
  <x:c r="AG1067" i="3"/>
  <x:c r="AF1067" i="3"/>
  <x:c r="AE1067" i="3"/>
  <x:c r="AD1067" i="3"/>
  <x:c r="AC1067" i="3"/>
  <x:c r="AB1067" i="3"/>
  <x:c r="AA1067" i="3"/>
  <x:c r="Z1067" i="3"/>
  <x:c r="Y1067" i="3"/>
  <x:c r="X1067" i="3"/>
  <x:c r="W1067" i="3"/>
  <x:c r="V1067" i="3"/>
  <x:c r="U1067" i="3"/>
  <x:c r="T1067" i="3"/>
  <x:c r="E1067" i="3"/>
  <x:c r="D1067" i="3"/>
  <x:c r="C1067" i="3"/>
  <x:c r="B1067" i="3"/>
  <x:c r="AG1066" i="3"/>
  <x:c r="AF1066" i="3"/>
  <x:c r="AE1066" i="3"/>
  <x:c r="AD1066" i="3"/>
  <x:c r="AC1066" i="3"/>
  <x:c r="AB1066" i="3"/>
  <x:c r="AA1066" i="3"/>
  <x:c r="Z1066" i="3"/>
  <x:c r="Y1066" i="3"/>
  <x:c r="X1066" i="3"/>
  <x:c r="W1066" i="3"/>
  <x:c r="V1066" i="3"/>
  <x:c r="U1066" i="3"/>
  <x:c r="T1066" i="3"/>
  <x:c r="E1066" i="3"/>
  <x:c r="D1066" i="3"/>
  <x:c r="C1066" i="3"/>
  <x:c r="B1066" i="3"/>
  <x:c r="AG1065" i="3"/>
  <x:c r="AF1065" i="3"/>
  <x:c r="AE1065" i="3"/>
  <x:c r="AD1065" i="3"/>
  <x:c r="AC1065" i="3"/>
  <x:c r="AB1065" i="3"/>
  <x:c r="AA1065" i="3"/>
  <x:c r="Z1065" i="3"/>
  <x:c r="Y1065" i="3"/>
  <x:c r="X1065" i="3"/>
  <x:c r="W1065" i="3"/>
  <x:c r="V1065" i="3"/>
  <x:c r="U1065" i="3"/>
  <x:c r="T1065" i="3"/>
  <x:c r="E1065" i="3"/>
  <x:c r="D1065" i="3"/>
  <x:c r="C1065" i="3"/>
  <x:c r="B1065" i="3"/>
  <x:c r="AG1064" i="3"/>
  <x:c r="AF1064" i="3"/>
  <x:c r="AE1064" i="3"/>
  <x:c r="AD1064" i="3"/>
  <x:c r="AC1064" i="3"/>
  <x:c r="AB1064" i="3"/>
  <x:c r="AA1064" i="3"/>
  <x:c r="Z1064" i="3"/>
  <x:c r="Y1064" i="3"/>
  <x:c r="X1064" i="3"/>
  <x:c r="W1064" i="3"/>
  <x:c r="V1064" i="3"/>
  <x:c r="U1064" i="3"/>
  <x:c r="T1064" i="3"/>
  <x:c r="E1064" i="3"/>
  <x:c r="D1064" i="3"/>
  <x:c r="C1064" i="3"/>
  <x:c r="B1064" i="3"/>
  <x:c r="AG1063" i="3"/>
  <x:c r="AF1063" i="3"/>
  <x:c r="AE1063" i="3"/>
  <x:c r="AD1063" i="3"/>
  <x:c r="AC1063" i="3"/>
  <x:c r="AB1063" i="3"/>
  <x:c r="AA1063" i="3"/>
  <x:c r="Z1063" i="3"/>
  <x:c r="Y1063" i="3"/>
  <x:c r="X1063" i="3"/>
  <x:c r="W1063" i="3"/>
  <x:c r="V1063" i="3"/>
  <x:c r="U1063" i="3"/>
  <x:c r="T1063" i="3"/>
  <x:c r="E1063" i="3"/>
  <x:c r="D1063" i="3"/>
  <x:c r="C1063" i="3"/>
  <x:c r="B1063" i="3"/>
  <x:c r="AG1062" i="3"/>
  <x:c r="AF1062" i="3"/>
  <x:c r="AE1062" i="3"/>
  <x:c r="AD1062" i="3"/>
  <x:c r="AC1062" i="3"/>
  <x:c r="AB1062" i="3"/>
  <x:c r="AA1062" i="3"/>
  <x:c r="Z1062" i="3"/>
  <x:c r="Y1062" i="3"/>
  <x:c r="X1062" i="3"/>
  <x:c r="W1062" i="3"/>
  <x:c r="V1062" i="3"/>
  <x:c r="U1062" i="3"/>
  <x:c r="T1062" i="3"/>
  <x:c r="E1062" i="3"/>
  <x:c r="D1062" i="3"/>
  <x:c r="C1062" i="3"/>
  <x:c r="B1062" i="3"/>
  <x:c r="AG1061" i="3"/>
  <x:c r="AF1061" i="3"/>
  <x:c r="AE1061" i="3"/>
  <x:c r="AD1061" i="3"/>
  <x:c r="AC1061" i="3"/>
  <x:c r="AB1061" i="3"/>
  <x:c r="AA1061" i="3"/>
  <x:c r="Z1061" i="3"/>
  <x:c r="Y1061" i="3"/>
  <x:c r="X1061" i="3"/>
  <x:c r="W1061" i="3"/>
  <x:c r="V1061" i="3"/>
  <x:c r="U1061" i="3"/>
  <x:c r="T1061" i="3"/>
  <x:c r="E1061" i="3"/>
  <x:c r="D1061" i="3"/>
  <x:c r="C1061" i="3"/>
  <x:c r="B1061" i="3"/>
  <x:c r="AG1060" i="3"/>
  <x:c r="AF1060" i="3"/>
  <x:c r="AE1060" i="3"/>
  <x:c r="AD1060" i="3"/>
  <x:c r="AC1060" i="3"/>
  <x:c r="AB1060" i="3"/>
  <x:c r="AA1060" i="3"/>
  <x:c r="Z1060" i="3"/>
  <x:c r="Y1060" i="3"/>
  <x:c r="X1060" i="3"/>
  <x:c r="W1060" i="3"/>
  <x:c r="V1060" i="3"/>
  <x:c r="U1060" i="3"/>
  <x:c r="T1060" i="3"/>
  <x:c r="E1060" i="3"/>
  <x:c r="D1060" i="3"/>
  <x:c r="C1060" i="3"/>
  <x:c r="B1060" i="3"/>
  <x:c r="AG1059" i="3"/>
  <x:c r="AF1059" i="3"/>
  <x:c r="AE1059" i="3"/>
  <x:c r="AD1059" i="3"/>
  <x:c r="AC1059" i="3"/>
  <x:c r="AB1059" i="3"/>
  <x:c r="AA1059" i="3"/>
  <x:c r="Z1059" i="3"/>
  <x:c r="Y1059" i="3"/>
  <x:c r="X1059" i="3"/>
  <x:c r="W1059" i="3"/>
  <x:c r="V1059" i="3"/>
  <x:c r="U1059" i="3"/>
  <x:c r="T1059" i="3"/>
  <x:c r="E1059" i="3"/>
  <x:c r="D1059" i="3"/>
  <x:c r="C1059" i="3"/>
  <x:c r="B1059" i="3"/>
  <x:c r="AG1058" i="3"/>
  <x:c r="AF1058" i="3"/>
  <x:c r="AE1058" i="3"/>
  <x:c r="AD1058" i="3"/>
  <x:c r="AC1058" i="3"/>
  <x:c r="AB1058" i="3"/>
  <x:c r="AA1058" i="3"/>
  <x:c r="Z1058" i="3"/>
  <x:c r="Y1058" i="3"/>
  <x:c r="X1058" i="3"/>
  <x:c r="W1058" i="3"/>
  <x:c r="V1058" i="3"/>
  <x:c r="U1058" i="3"/>
  <x:c r="T1058" i="3"/>
  <x:c r="E1058" i="3"/>
  <x:c r="D1058" i="3"/>
  <x:c r="C1058" i="3"/>
  <x:c r="B1058" i="3"/>
  <x:c r="AG1057" i="3"/>
  <x:c r="AF1057" i="3"/>
  <x:c r="AE1057" i="3"/>
  <x:c r="AD1057" i="3"/>
  <x:c r="AC1057" i="3"/>
  <x:c r="AB1057" i="3"/>
  <x:c r="AA1057" i="3"/>
  <x:c r="Z1057" i="3"/>
  <x:c r="Y1057" i="3"/>
  <x:c r="X1057" i="3"/>
  <x:c r="W1057" i="3"/>
  <x:c r="V1057" i="3"/>
  <x:c r="U1057" i="3"/>
  <x:c r="T1057" i="3"/>
  <x:c r="E1057" i="3"/>
  <x:c r="D1057" i="3"/>
  <x:c r="C1057" i="3"/>
  <x:c r="B1057" i="3"/>
  <x:c r="AG1056" i="3"/>
  <x:c r="AF1056" i="3"/>
  <x:c r="AE1056" i="3"/>
  <x:c r="AD1056" i="3"/>
  <x:c r="AC1056" i="3"/>
  <x:c r="AB1056" i="3"/>
  <x:c r="AA1056" i="3"/>
  <x:c r="Z1056" i="3"/>
  <x:c r="Y1056" i="3"/>
  <x:c r="X1056" i="3"/>
  <x:c r="W1056" i="3"/>
  <x:c r="V1056" i="3"/>
  <x:c r="U1056" i="3"/>
  <x:c r="T1056" i="3"/>
  <x:c r="E1056" i="3"/>
  <x:c r="D1056" i="3"/>
  <x:c r="C1056" i="3"/>
  <x:c r="B1056" i="3"/>
  <x:c r="AG1055" i="3"/>
  <x:c r="AF1055" i="3"/>
  <x:c r="AE1055" i="3"/>
  <x:c r="AD1055" i="3"/>
  <x:c r="AC1055" i="3"/>
  <x:c r="AB1055" i="3"/>
  <x:c r="AA1055" i="3"/>
  <x:c r="Z1055" i="3"/>
  <x:c r="Y1055" i="3"/>
  <x:c r="X1055" i="3"/>
  <x:c r="W1055" i="3"/>
  <x:c r="V1055" i="3"/>
  <x:c r="U1055" i="3"/>
  <x:c r="T1055" i="3"/>
  <x:c r="E1055" i="3"/>
  <x:c r="D1055" i="3"/>
  <x:c r="C1055" i="3"/>
  <x:c r="B1055" i="3"/>
  <x:c r="AG1054" i="3"/>
  <x:c r="AF1054" i="3"/>
  <x:c r="AE1054" i="3"/>
  <x:c r="AD1054" i="3"/>
  <x:c r="AC1054" i="3"/>
  <x:c r="AB1054" i="3"/>
  <x:c r="AA1054" i="3"/>
  <x:c r="Z1054" i="3"/>
  <x:c r="Y1054" i="3"/>
  <x:c r="X1054" i="3"/>
  <x:c r="W1054" i="3"/>
  <x:c r="V1054" i="3"/>
  <x:c r="U1054" i="3"/>
  <x:c r="T1054" i="3"/>
  <x:c r="E1054" i="3"/>
  <x:c r="D1054" i="3"/>
  <x:c r="C1054" i="3"/>
  <x:c r="B1054" i="3"/>
  <x:c r="AG1053" i="3"/>
  <x:c r="AF1053" i="3"/>
  <x:c r="AE1053" i="3"/>
  <x:c r="AD1053" i="3"/>
  <x:c r="AC1053" i="3"/>
  <x:c r="AB1053" i="3"/>
  <x:c r="AA1053" i="3"/>
  <x:c r="Z1053" i="3"/>
  <x:c r="Y1053" i="3"/>
  <x:c r="X1053" i="3"/>
  <x:c r="W1053" i="3"/>
  <x:c r="V1053" i="3"/>
  <x:c r="U1053" i="3"/>
  <x:c r="T1053" i="3"/>
  <x:c r="E1053" i="3"/>
  <x:c r="D1053" i="3"/>
  <x:c r="C1053" i="3"/>
  <x:c r="B1053" i="3"/>
  <x:c r="AG1052" i="3"/>
  <x:c r="AF1052" i="3"/>
  <x:c r="AE1052" i="3"/>
  <x:c r="AD1052" i="3"/>
  <x:c r="AC1052" i="3"/>
  <x:c r="AB1052" i="3"/>
  <x:c r="AA1052" i="3"/>
  <x:c r="Z1052" i="3"/>
  <x:c r="Y1052" i="3"/>
  <x:c r="X1052" i="3"/>
  <x:c r="W1052" i="3"/>
  <x:c r="V1052" i="3"/>
  <x:c r="U1052" i="3"/>
  <x:c r="T1052" i="3"/>
  <x:c r="E1052" i="3"/>
  <x:c r="D1052" i="3"/>
  <x:c r="C1052" i="3"/>
  <x:c r="B1052" i="3"/>
  <x:c r="AG1051" i="3"/>
  <x:c r="AF1051" i="3"/>
  <x:c r="AE1051" i="3"/>
  <x:c r="AD1051" i="3"/>
  <x:c r="AC1051" i="3"/>
  <x:c r="AB1051" i="3"/>
  <x:c r="AA1051" i="3"/>
  <x:c r="Z1051" i="3"/>
  <x:c r="Y1051" i="3"/>
  <x:c r="X1051" i="3"/>
  <x:c r="W1051" i="3"/>
  <x:c r="V1051" i="3"/>
  <x:c r="U1051" i="3"/>
  <x:c r="T1051" i="3"/>
  <x:c r="E1051" i="3"/>
  <x:c r="D1051" i="3"/>
  <x:c r="C1051" i="3"/>
  <x:c r="B1051" i="3"/>
  <x:c r="AG1050" i="3"/>
  <x:c r="AF1050" i="3"/>
  <x:c r="AE1050" i="3"/>
  <x:c r="AD1050" i="3"/>
  <x:c r="AC1050" i="3"/>
  <x:c r="AB1050" i="3"/>
  <x:c r="AA1050" i="3"/>
  <x:c r="Z1050" i="3"/>
  <x:c r="Y1050" i="3"/>
  <x:c r="X1050" i="3"/>
  <x:c r="W1050" i="3"/>
  <x:c r="V1050" i="3"/>
  <x:c r="U1050" i="3"/>
  <x:c r="T1050" i="3"/>
  <x:c r="E1050" i="3"/>
  <x:c r="D1050" i="3"/>
  <x:c r="C1050" i="3"/>
  <x:c r="B1050" i="3"/>
  <x:c r="AG1049" i="3"/>
  <x:c r="AF1049" i="3"/>
  <x:c r="AE1049" i="3"/>
  <x:c r="AD1049" i="3"/>
  <x:c r="AC1049" i="3"/>
  <x:c r="AB1049" i="3"/>
  <x:c r="AA1049" i="3"/>
  <x:c r="Z1049" i="3"/>
  <x:c r="Y1049" i="3"/>
  <x:c r="X1049" i="3"/>
  <x:c r="W1049" i="3"/>
  <x:c r="V1049" i="3"/>
  <x:c r="U1049" i="3"/>
  <x:c r="T1049" i="3"/>
  <x:c r="E1049" i="3"/>
  <x:c r="D1049" i="3"/>
  <x:c r="C1049" i="3"/>
  <x:c r="B1049" i="3"/>
  <x:c r="AG1048" i="3"/>
  <x:c r="AF1048" i="3"/>
  <x:c r="AE1048" i="3"/>
  <x:c r="AD1048" i="3"/>
  <x:c r="AC1048" i="3"/>
  <x:c r="AB1048" i="3"/>
  <x:c r="AA1048" i="3"/>
  <x:c r="Z1048" i="3"/>
  <x:c r="Y1048" i="3"/>
  <x:c r="X1048" i="3"/>
  <x:c r="W1048" i="3"/>
  <x:c r="V1048" i="3"/>
  <x:c r="U1048" i="3"/>
  <x:c r="T1048" i="3"/>
  <x:c r="E1048" i="3"/>
  <x:c r="D1048" i="3"/>
  <x:c r="C1048" i="3"/>
  <x:c r="B1048" i="3"/>
  <x:c r="AG1047" i="3"/>
  <x:c r="AF1047" i="3"/>
  <x:c r="AE1047" i="3"/>
  <x:c r="AD1047" i="3"/>
  <x:c r="AC1047" i="3"/>
  <x:c r="AB1047" i="3"/>
  <x:c r="AA1047" i="3"/>
  <x:c r="Z1047" i="3"/>
  <x:c r="Y1047" i="3"/>
  <x:c r="X1047" i="3"/>
  <x:c r="W1047" i="3"/>
  <x:c r="V1047" i="3"/>
  <x:c r="U1047" i="3"/>
  <x:c r="T1047" i="3"/>
  <x:c r="E1047" i="3"/>
  <x:c r="D1047" i="3"/>
  <x:c r="C1047" i="3"/>
  <x:c r="B1047" i="3"/>
  <x:c r="AG1046" i="3"/>
  <x:c r="AF1046" i="3"/>
  <x:c r="AE1046" i="3"/>
  <x:c r="AD1046" i="3"/>
  <x:c r="AC1046" i="3"/>
  <x:c r="AB1046" i="3"/>
  <x:c r="AA1046" i="3"/>
  <x:c r="Z1046" i="3"/>
  <x:c r="Y1046" i="3"/>
  <x:c r="X1046" i="3"/>
  <x:c r="W1046" i="3"/>
  <x:c r="V1046" i="3"/>
  <x:c r="U1046" i="3"/>
  <x:c r="T1046" i="3"/>
  <x:c r="E1046" i="3"/>
  <x:c r="D1046" i="3"/>
  <x:c r="C1046" i="3"/>
  <x:c r="B1046" i="3"/>
  <x:c r="AG1045" i="3"/>
  <x:c r="AF1045" i="3"/>
  <x:c r="AE1045" i="3"/>
  <x:c r="AD1045" i="3"/>
  <x:c r="AC1045" i="3"/>
  <x:c r="AB1045" i="3"/>
  <x:c r="AA1045" i="3"/>
  <x:c r="Z1045" i="3"/>
  <x:c r="Y1045" i="3"/>
  <x:c r="X1045" i="3"/>
  <x:c r="W1045" i="3"/>
  <x:c r="V1045" i="3"/>
  <x:c r="U1045" i="3"/>
  <x:c r="T1045" i="3"/>
  <x:c r="E1045" i="3"/>
  <x:c r="D1045" i="3"/>
  <x:c r="C1045" i="3"/>
  <x:c r="B1045" i="3"/>
  <x:c r="AG1044" i="3"/>
  <x:c r="AF1044" i="3"/>
  <x:c r="AE1044" i="3"/>
  <x:c r="AD1044" i="3"/>
  <x:c r="AC1044" i="3"/>
  <x:c r="AB1044" i="3"/>
  <x:c r="AA1044" i="3"/>
  <x:c r="Z1044" i="3"/>
  <x:c r="Y1044" i="3"/>
  <x:c r="X1044" i="3"/>
  <x:c r="W1044" i="3"/>
  <x:c r="V1044" i="3"/>
  <x:c r="U1044" i="3"/>
  <x:c r="T1044" i="3"/>
  <x:c r="E1044" i="3"/>
  <x:c r="D1044" i="3"/>
  <x:c r="C1044" i="3"/>
  <x:c r="B1044" i="3"/>
  <x:c r="AG1043" i="3"/>
  <x:c r="AF1043" i="3"/>
  <x:c r="AE1043" i="3"/>
  <x:c r="AD1043" i="3"/>
  <x:c r="AC1043" i="3"/>
  <x:c r="AB1043" i="3"/>
  <x:c r="AA1043" i="3"/>
  <x:c r="Z1043" i="3"/>
  <x:c r="Y1043" i="3"/>
  <x:c r="X1043" i="3"/>
  <x:c r="W1043" i="3"/>
  <x:c r="V1043" i="3"/>
  <x:c r="U1043" i="3"/>
  <x:c r="T1043" i="3"/>
  <x:c r="E1043" i="3"/>
  <x:c r="D1043" i="3"/>
  <x:c r="C1043" i="3"/>
  <x:c r="B1043" i="3"/>
  <x:c r="AG1042" i="3"/>
  <x:c r="AF1042" i="3"/>
  <x:c r="AE1042" i="3"/>
  <x:c r="AD1042" i="3"/>
  <x:c r="AC1042" i="3"/>
  <x:c r="AB1042" i="3"/>
  <x:c r="AA1042" i="3"/>
  <x:c r="Z1042" i="3"/>
  <x:c r="Y1042" i="3"/>
  <x:c r="X1042" i="3"/>
  <x:c r="W1042" i="3"/>
  <x:c r="V1042" i="3"/>
  <x:c r="U1042" i="3"/>
  <x:c r="T1042" i="3"/>
  <x:c r="E1042" i="3"/>
  <x:c r="D1042" i="3"/>
  <x:c r="C1042" i="3"/>
  <x:c r="B1042" i="3"/>
  <x:c r="AG1041" i="3"/>
  <x:c r="AF1041" i="3"/>
  <x:c r="AE1041" i="3"/>
  <x:c r="AD1041" i="3"/>
  <x:c r="AC1041" i="3"/>
  <x:c r="AB1041" i="3"/>
  <x:c r="AA1041" i="3"/>
  <x:c r="Z1041" i="3"/>
  <x:c r="Y1041" i="3"/>
  <x:c r="X1041" i="3"/>
  <x:c r="W1041" i="3"/>
  <x:c r="V1041" i="3"/>
  <x:c r="U1041" i="3"/>
  <x:c r="T1041" i="3"/>
  <x:c r="E1041" i="3"/>
  <x:c r="D1041" i="3"/>
  <x:c r="C1041" i="3"/>
  <x:c r="B1041" i="3"/>
  <x:c r="AG1040" i="3"/>
  <x:c r="AF1040" i="3"/>
  <x:c r="AE1040" i="3"/>
  <x:c r="AD1040" i="3"/>
  <x:c r="AC1040" i="3"/>
  <x:c r="AB1040" i="3"/>
  <x:c r="AA1040" i="3"/>
  <x:c r="Z1040" i="3"/>
  <x:c r="Y1040" i="3"/>
  <x:c r="X1040" i="3"/>
  <x:c r="W1040" i="3"/>
  <x:c r="V1040" i="3"/>
  <x:c r="U1040" i="3"/>
  <x:c r="T1040" i="3"/>
  <x:c r="E1040" i="3"/>
  <x:c r="D1040" i="3"/>
  <x:c r="C1040" i="3"/>
  <x:c r="B1040" i="3"/>
  <x:c r="AG1039" i="3"/>
  <x:c r="AF1039" i="3"/>
  <x:c r="AE1039" i="3"/>
  <x:c r="AD1039" i="3"/>
  <x:c r="AC1039" i="3"/>
  <x:c r="AB1039" i="3"/>
  <x:c r="AA1039" i="3"/>
  <x:c r="Z1039" i="3"/>
  <x:c r="Y1039" i="3"/>
  <x:c r="X1039" i="3"/>
  <x:c r="W1039" i="3"/>
  <x:c r="V1039" i="3"/>
  <x:c r="U1039" i="3"/>
  <x:c r="T1039" i="3"/>
  <x:c r="E1039" i="3"/>
  <x:c r="D1039" i="3"/>
  <x:c r="C1039" i="3"/>
  <x:c r="B1039" i="3"/>
  <x:c r="AG1038" i="3"/>
  <x:c r="AF1038" i="3"/>
  <x:c r="AE1038" i="3"/>
  <x:c r="AD1038" i="3"/>
  <x:c r="AC1038" i="3"/>
  <x:c r="AB1038" i="3"/>
  <x:c r="AA1038" i="3"/>
  <x:c r="Z1038" i="3"/>
  <x:c r="Y1038" i="3"/>
  <x:c r="X1038" i="3"/>
  <x:c r="W1038" i="3"/>
  <x:c r="V1038" i="3"/>
  <x:c r="U1038" i="3"/>
  <x:c r="T1038" i="3"/>
  <x:c r="E1038" i="3"/>
  <x:c r="D1038" i="3"/>
  <x:c r="C1038" i="3"/>
  <x:c r="B1038" i="3"/>
  <x:c r="AG1037" i="3"/>
  <x:c r="AF1037" i="3"/>
  <x:c r="AE1037" i="3"/>
  <x:c r="AD1037" i="3"/>
  <x:c r="AC1037" i="3"/>
  <x:c r="AB1037" i="3"/>
  <x:c r="AA1037" i="3"/>
  <x:c r="Z1037" i="3"/>
  <x:c r="Y1037" i="3"/>
  <x:c r="X1037" i="3"/>
  <x:c r="W1037" i="3"/>
  <x:c r="V1037" i="3"/>
  <x:c r="U1037" i="3"/>
  <x:c r="T1037" i="3"/>
  <x:c r="E1037" i="3"/>
  <x:c r="D1037" i="3"/>
  <x:c r="C1037" i="3"/>
  <x:c r="B1037" i="3"/>
  <x:c r="AG1036" i="3"/>
  <x:c r="AF1036" i="3"/>
  <x:c r="AE1036" i="3"/>
  <x:c r="AD1036" i="3"/>
  <x:c r="AC1036" i="3"/>
  <x:c r="AB1036" i="3"/>
  <x:c r="AA1036" i="3"/>
  <x:c r="Z1036" i="3"/>
  <x:c r="Y1036" i="3"/>
  <x:c r="X1036" i="3"/>
  <x:c r="W1036" i="3"/>
  <x:c r="V1036" i="3"/>
  <x:c r="U1036" i="3"/>
  <x:c r="T1036" i="3"/>
  <x:c r="E1036" i="3"/>
  <x:c r="D1036" i="3"/>
  <x:c r="C1036" i="3"/>
  <x:c r="B1036" i="3"/>
  <x:c r="AG1035" i="3"/>
  <x:c r="AF1035" i="3"/>
  <x:c r="AE1035" i="3"/>
  <x:c r="AD1035" i="3"/>
  <x:c r="AC1035" i="3"/>
  <x:c r="AB1035" i="3"/>
  <x:c r="AA1035" i="3"/>
  <x:c r="Z1035" i="3"/>
  <x:c r="Y1035" i="3"/>
  <x:c r="X1035" i="3"/>
  <x:c r="W1035" i="3"/>
  <x:c r="V1035" i="3"/>
  <x:c r="U1035" i="3"/>
  <x:c r="T1035" i="3"/>
  <x:c r="E1035" i="3"/>
  <x:c r="D1035" i="3"/>
  <x:c r="C1035" i="3"/>
  <x:c r="B1035" i="3"/>
  <x:c r="AG1034" i="3"/>
  <x:c r="AF1034" i="3"/>
  <x:c r="AE1034" i="3"/>
  <x:c r="AD1034" i="3"/>
  <x:c r="AC1034" i="3"/>
  <x:c r="AB1034" i="3"/>
  <x:c r="AA1034" i="3"/>
  <x:c r="Z1034" i="3"/>
  <x:c r="Y1034" i="3"/>
  <x:c r="X1034" i="3"/>
  <x:c r="W1034" i="3"/>
  <x:c r="V1034" i="3"/>
  <x:c r="U1034" i="3"/>
  <x:c r="T1034" i="3"/>
  <x:c r="E1034" i="3"/>
  <x:c r="D1034" i="3"/>
  <x:c r="C1034" i="3"/>
  <x:c r="B1034" i="3"/>
  <x:c r="AG1033" i="3"/>
  <x:c r="AF1033" i="3"/>
  <x:c r="AE1033" i="3"/>
  <x:c r="AD1033" i="3"/>
  <x:c r="AC1033" i="3"/>
  <x:c r="AB1033" i="3"/>
  <x:c r="AA1033" i="3"/>
  <x:c r="Z1033" i="3"/>
  <x:c r="Y1033" i="3"/>
  <x:c r="X1033" i="3"/>
  <x:c r="W1033" i="3"/>
  <x:c r="V1033" i="3"/>
  <x:c r="U1033" i="3"/>
  <x:c r="T1033" i="3"/>
  <x:c r="E1033" i="3"/>
  <x:c r="D1033" i="3"/>
  <x:c r="C1033" i="3"/>
  <x:c r="B1033" i="3"/>
  <x:c r="AG1032" i="3"/>
  <x:c r="AF1032" i="3"/>
  <x:c r="AE1032" i="3"/>
  <x:c r="AD1032" i="3"/>
  <x:c r="AC1032" i="3"/>
  <x:c r="AB1032" i="3"/>
  <x:c r="AA1032" i="3"/>
  <x:c r="Z1032" i="3"/>
  <x:c r="Y1032" i="3"/>
  <x:c r="X1032" i="3"/>
  <x:c r="W1032" i="3"/>
  <x:c r="V1032" i="3"/>
  <x:c r="U1032" i="3"/>
  <x:c r="T1032" i="3"/>
  <x:c r="E1032" i="3"/>
  <x:c r="D1032" i="3"/>
  <x:c r="C1032" i="3"/>
  <x:c r="B1032" i="3"/>
  <x:c r="AG1031" i="3"/>
  <x:c r="AF1031" i="3"/>
  <x:c r="AE1031" i="3"/>
  <x:c r="AD1031" i="3"/>
  <x:c r="AC1031" i="3"/>
  <x:c r="AB1031" i="3"/>
  <x:c r="AA1031" i="3"/>
  <x:c r="Z1031" i="3"/>
  <x:c r="Y1031" i="3"/>
  <x:c r="X1031" i="3"/>
  <x:c r="W1031" i="3"/>
  <x:c r="V1031" i="3"/>
  <x:c r="U1031" i="3"/>
  <x:c r="T1031" i="3"/>
  <x:c r="E1031" i="3"/>
  <x:c r="D1031" i="3"/>
  <x:c r="C1031" i="3"/>
  <x:c r="B1031" i="3"/>
  <x:c r="AG1030" i="3"/>
  <x:c r="AF1030" i="3"/>
  <x:c r="AE1030" i="3"/>
  <x:c r="AD1030" i="3"/>
  <x:c r="AC1030" i="3"/>
  <x:c r="AB1030" i="3"/>
  <x:c r="AA1030" i="3"/>
  <x:c r="Z1030" i="3"/>
  <x:c r="Y1030" i="3"/>
  <x:c r="X1030" i="3"/>
  <x:c r="W1030" i="3"/>
  <x:c r="V1030" i="3"/>
  <x:c r="U1030" i="3"/>
  <x:c r="T1030" i="3"/>
  <x:c r="E1030" i="3"/>
  <x:c r="D1030" i="3"/>
  <x:c r="C1030" i="3"/>
  <x:c r="B1030" i="3"/>
  <x:c r="AG1029" i="3"/>
  <x:c r="AF1029" i="3"/>
  <x:c r="AE1029" i="3"/>
  <x:c r="AD1029" i="3"/>
  <x:c r="AC1029" i="3"/>
  <x:c r="AB1029" i="3"/>
  <x:c r="AA1029" i="3"/>
  <x:c r="Z1029" i="3"/>
  <x:c r="Y1029" i="3"/>
  <x:c r="X1029" i="3"/>
  <x:c r="W1029" i="3"/>
  <x:c r="V1029" i="3"/>
  <x:c r="U1029" i="3"/>
  <x:c r="T1029" i="3"/>
  <x:c r="E1029" i="3"/>
  <x:c r="D1029" i="3"/>
  <x:c r="C1029" i="3"/>
  <x:c r="B1029" i="3"/>
  <x:c r="AG1028" i="3"/>
  <x:c r="AF1028" i="3"/>
  <x:c r="AE1028" i="3"/>
  <x:c r="AD1028" i="3"/>
  <x:c r="AC1028" i="3"/>
  <x:c r="AB1028" i="3"/>
  <x:c r="AA1028" i="3"/>
  <x:c r="Z1028" i="3"/>
  <x:c r="Y1028" i="3"/>
  <x:c r="X1028" i="3"/>
  <x:c r="W1028" i="3"/>
  <x:c r="V1028" i="3"/>
  <x:c r="U1028" i="3"/>
  <x:c r="T1028" i="3"/>
  <x:c r="E1028" i="3"/>
  <x:c r="D1028" i="3"/>
  <x:c r="C1028" i="3"/>
  <x:c r="B1028" i="3"/>
  <x:c r="AG1027" i="3"/>
  <x:c r="AF1027" i="3"/>
  <x:c r="AE1027" i="3"/>
  <x:c r="AD1027" i="3"/>
  <x:c r="AC1027" i="3"/>
  <x:c r="AB1027" i="3"/>
  <x:c r="AA1027" i="3"/>
  <x:c r="Z1027" i="3"/>
  <x:c r="Y1027" i="3"/>
  <x:c r="X1027" i="3"/>
  <x:c r="W1027" i="3"/>
  <x:c r="V1027" i="3"/>
  <x:c r="U1027" i="3"/>
  <x:c r="T1027" i="3"/>
  <x:c r="E1027" i="3"/>
  <x:c r="D1027" i="3"/>
  <x:c r="C1027" i="3"/>
  <x:c r="B1027" i="3"/>
  <x:c r="AG1026" i="3"/>
  <x:c r="AF1026" i="3"/>
  <x:c r="AE1026" i="3"/>
  <x:c r="AD1026" i="3"/>
  <x:c r="AC1026" i="3"/>
  <x:c r="AB1026" i="3"/>
  <x:c r="AA1026" i="3"/>
  <x:c r="Z1026" i="3"/>
  <x:c r="Y1026" i="3"/>
  <x:c r="X1026" i="3"/>
  <x:c r="W1026" i="3"/>
  <x:c r="V1026" i="3"/>
  <x:c r="U1026" i="3"/>
  <x:c r="T1026" i="3"/>
  <x:c r="E1026" i="3"/>
  <x:c r="D1026" i="3"/>
  <x:c r="C1026" i="3"/>
  <x:c r="B1026" i="3"/>
  <x:c r="AG1025" i="3"/>
  <x:c r="AF1025" i="3"/>
  <x:c r="AE1025" i="3"/>
  <x:c r="AD1025" i="3"/>
  <x:c r="AC1025" i="3"/>
  <x:c r="AB1025" i="3"/>
  <x:c r="AA1025" i="3"/>
  <x:c r="Z1025" i="3"/>
  <x:c r="Y1025" i="3"/>
  <x:c r="X1025" i="3"/>
  <x:c r="W1025" i="3"/>
  <x:c r="V1025" i="3"/>
  <x:c r="U1025" i="3"/>
  <x:c r="T1025" i="3"/>
  <x:c r="E1025" i="3"/>
  <x:c r="D1025" i="3"/>
  <x:c r="C1025" i="3"/>
  <x:c r="B1025" i="3"/>
  <x:c r="AG1024" i="3"/>
  <x:c r="AF1024" i="3"/>
  <x:c r="AE1024" i="3"/>
  <x:c r="AD1024" i="3"/>
  <x:c r="AC1024" i="3"/>
  <x:c r="AB1024" i="3"/>
  <x:c r="AA1024" i="3"/>
  <x:c r="Z1024" i="3"/>
  <x:c r="Y1024" i="3"/>
  <x:c r="X1024" i="3"/>
  <x:c r="W1024" i="3"/>
  <x:c r="V1024" i="3"/>
  <x:c r="U1024" i="3"/>
  <x:c r="T1024" i="3"/>
  <x:c r="E1024" i="3"/>
  <x:c r="D1024" i="3"/>
  <x:c r="C1024" i="3"/>
  <x:c r="B1024" i="3"/>
  <x:c r="AG1023" i="3"/>
  <x:c r="AF1023" i="3"/>
  <x:c r="AE1023" i="3"/>
  <x:c r="AD1023" i="3"/>
  <x:c r="AC1023" i="3"/>
  <x:c r="AB1023" i="3"/>
  <x:c r="AA1023" i="3"/>
  <x:c r="Z1023" i="3"/>
  <x:c r="Y1023" i="3"/>
  <x:c r="X1023" i="3"/>
  <x:c r="W1023" i="3"/>
  <x:c r="V1023" i="3"/>
  <x:c r="U1023" i="3"/>
  <x:c r="T1023" i="3"/>
  <x:c r="E1023" i="3"/>
  <x:c r="D1023" i="3"/>
  <x:c r="C1023" i="3"/>
  <x:c r="B1023" i="3"/>
  <x:c r="AG1022" i="3"/>
  <x:c r="AF1022" i="3"/>
  <x:c r="AE1022" i="3"/>
  <x:c r="AD1022" i="3"/>
  <x:c r="AC1022" i="3"/>
  <x:c r="AB1022" i="3"/>
  <x:c r="AA1022" i="3"/>
  <x:c r="Z1022" i="3"/>
  <x:c r="Y1022" i="3"/>
  <x:c r="X1022" i="3"/>
  <x:c r="W1022" i="3"/>
  <x:c r="V1022" i="3"/>
  <x:c r="U1022" i="3"/>
  <x:c r="T1022" i="3"/>
  <x:c r="E1022" i="3"/>
  <x:c r="D1022" i="3"/>
  <x:c r="C1022" i="3"/>
  <x:c r="B1022" i="3"/>
  <x:c r="AG1021" i="3"/>
  <x:c r="AF1021" i="3"/>
  <x:c r="AE1021" i="3"/>
  <x:c r="AD1021" i="3"/>
  <x:c r="AC1021" i="3"/>
  <x:c r="AB1021" i="3"/>
  <x:c r="AA1021" i="3"/>
  <x:c r="Z1021" i="3"/>
  <x:c r="Y1021" i="3"/>
  <x:c r="X1021" i="3"/>
  <x:c r="W1021" i="3"/>
  <x:c r="V1021" i="3"/>
  <x:c r="U1021" i="3"/>
  <x:c r="T1021" i="3"/>
  <x:c r="E1021" i="3"/>
  <x:c r="D1021" i="3"/>
  <x:c r="C1021" i="3"/>
  <x:c r="B1021" i="3"/>
  <x:c r="AG1020" i="3"/>
  <x:c r="AF1020" i="3"/>
  <x:c r="AE1020" i="3"/>
  <x:c r="AD1020" i="3"/>
  <x:c r="AC1020" i="3"/>
  <x:c r="AB1020" i="3"/>
  <x:c r="AA1020" i="3"/>
  <x:c r="Z1020" i="3"/>
  <x:c r="Y1020" i="3"/>
  <x:c r="X1020" i="3"/>
  <x:c r="W1020" i="3"/>
  <x:c r="V1020" i="3"/>
  <x:c r="U1020" i="3"/>
  <x:c r="T1020" i="3"/>
  <x:c r="E1020" i="3"/>
  <x:c r="D1020" i="3"/>
  <x:c r="C1020" i="3"/>
  <x:c r="B1020" i="3"/>
  <x:c r="AG1019" i="3"/>
  <x:c r="AF1019" i="3"/>
  <x:c r="AE1019" i="3"/>
  <x:c r="AD1019" i="3"/>
  <x:c r="AC1019" i="3"/>
  <x:c r="AB1019" i="3"/>
  <x:c r="AA1019" i="3"/>
  <x:c r="Z1019" i="3"/>
  <x:c r="Y1019" i="3"/>
  <x:c r="X1019" i="3"/>
  <x:c r="W1019" i="3"/>
  <x:c r="V1019" i="3"/>
  <x:c r="U1019" i="3"/>
  <x:c r="T1019" i="3"/>
  <x:c r="E1019" i="3"/>
  <x:c r="D1019" i="3"/>
  <x:c r="C1019" i="3"/>
  <x:c r="B1019" i="3"/>
  <x:c r="AG1018" i="3"/>
  <x:c r="AF1018" i="3"/>
  <x:c r="AE1018" i="3"/>
  <x:c r="AD1018" i="3"/>
  <x:c r="AC1018" i="3"/>
  <x:c r="AB1018" i="3"/>
  <x:c r="AA1018" i="3"/>
  <x:c r="Z1018" i="3"/>
  <x:c r="Y1018" i="3"/>
  <x:c r="X1018" i="3"/>
  <x:c r="W1018" i="3"/>
  <x:c r="V1018" i="3"/>
  <x:c r="U1018" i="3"/>
  <x:c r="T1018" i="3"/>
  <x:c r="E1018" i="3"/>
  <x:c r="D1018" i="3"/>
  <x:c r="C1018" i="3"/>
  <x:c r="B1018" i="3"/>
  <x:c r="AG1017" i="3"/>
  <x:c r="AF1017" i="3"/>
  <x:c r="AE1017" i="3"/>
  <x:c r="AD1017" i="3"/>
  <x:c r="AC1017" i="3"/>
  <x:c r="AB1017" i="3"/>
  <x:c r="AA1017" i="3"/>
  <x:c r="Z1017" i="3"/>
  <x:c r="Y1017" i="3"/>
  <x:c r="X1017" i="3"/>
  <x:c r="W1017" i="3"/>
  <x:c r="V1017" i="3"/>
  <x:c r="U1017" i="3"/>
  <x:c r="T1017" i="3"/>
  <x:c r="E1017" i="3"/>
  <x:c r="D1017" i="3"/>
  <x:c r="C1017" i="3"/>
  <x:c r="B1017" i="3"/>
  <x:c r="AG1016" i="3"/>
  <x:c r="AF1016" i="3"/>
  <x:c r="AE1016" i="3"/>
  <x:c r="AD1016" i="3"/>
  <x:c r="AC1016" i="3"/>
  <x:c r="AB1016" i="3"/>
  <x:c r="AA1016" i="3"/>
  <x:c r="Z1016" i="3"/>
  <x:c r="Y1016" i="3"/>
  <x:c r="X1016" i="3"/>
  <x:c r="W1016" i="3"/>
  <x:c r="V1016" i="3"/>
  <x:c r="U1016" i="3"/>
  <x:c r="T1016" i="3"/>
  <x:c r="E1016" i="3"/>
  <x:c r="D1016" i="3"/>
  <x:c r="C1016" i="3"/>
  <x:c r="B1016" i="3"/>
  <x:c r="AG1015" i="3"/>
  <x:c r="AF1015" i="3"/>
  <x:c r="AE1015" i="3"/>
  <x:c r="AD1015" i="3"/>
  <x:c r="AC1015" i="3"/>
  <x:c r="AB1015" i="3"/>
  <x:c r="AA1015" i="3"/>
  <x:c r="Z1015" i="3"/>
  <x:c r="Y1015" i="3"/>
  <x:c r="X1015" i="3"/>
  <x:c r="W1015" i="3"/>
  <x:c r="V1015" i="3"/>
  <x:c r="U1015" i="3"/>
  <x:c r="T1015" i="3"/>
  <x:c r="E1015" i="3"/>
  <x:c r="D1015" i="3"/>
  <x:c r="C1015" i="3"/>
  <x:c r="B1015" i="3"/>
  <x:c r="AG1014" i="3"/>
  <x:c r="AF1014" i="3"/>
  <x:c r="AE1014" i="3"/>
  <x:c r="AD1014" i="3"/>
  <x:c r="AC1014" i="3"/>
  <x:c r="AB1014" i="3"/>
  <x:c r="AA1014" i="3"/>
  <x:c r="Z1014" i="3"/>
  <x:c r="Y1014" i="3"/>
  <x:c r="X1014" i="3"/>
  <x:c r="W1014" i="3"/>
  <x:c r="V1014" i="3"/>
  <x:c r="U1014" i="3"/>
  <x:c r="T1014" i="3"/>
  <x:c r="E1014" i="3"/>
  <x:c r="D1014" i="3"/>
  <x:c r="C1014" i="3"/>
  <x:c r="B1014" i="3"/>
  <x:c r="AG1013" i="3"/>
  <x:c r="AF1013" i="3"/>
  <x:c r="AE1013" i="3"/>
  <x:c r="AD1013" i="3"/>
  <x:c r="AC1013" i="3"/>
  <x:c r="AB1013" i="3"/>
  <x:c r="AA1013" i="3"/>
  <x:c r="Z1013" i="3"/>
  <x:c r="Y1013" i="3"/>
  <x:c r="X1013" i="3"/>
  <x:c r="W1013" i="3"/>
  <x:c r="V1013" i="3"/>
  <x:c r="U1013" i="3"/>
  <x:c r="T1013" i="3"/>
  <x:c r="AG1012" i="3"/>
  <x:c r="AF1012" i="3"/>
  <x:c r="AE1012" i="3"/>
  <x:c r="AD1012" i="3"/>
  <x:c r="AC1012" i="3"/>
  <x:c r="AB1012" i="3"/>
  <x:c r="AA1012" i="3"/>
  <x:c r="Z1012" i="3"/>
  <x:c r="Y1012" i="3"/>
  <x:c r="X1012" i="3"/>
  <x:c r="W1012" i="3"/>
  <x:c r="V1012" i="3"/>
  <x:c r="U1012" i="3"/>
  <x:c r="T1012" i="3"/>
  <x:c r="A1012" i="3"/>
  <x:c r="AG1011" i="3"/>
  <x:c r="AF1011" i="3"/>
  <x:c r="AE1011" i="3"/>
  <x:c r="AD1011" i="3"/>
  <x:c r="AC1011" i="3"/>
  <x:c r="AB1011" i="3"/>
  <x:c r="AA1011" i="3"/>
  <x:c r="Z1011" i="3"/>
  <x:c r="Y1011" i="3"/>
  <x:c r="X1011" i="3"/>
  <x:c r="W1011" i="3"/>
  <x:c r="V1011" i="3"/>
  <x:c r="U1011" i="3"/>
  <x:c r="T1011" i="3"/>
  <x:c r="B1011" i="3"/>
  <x:c r="A1011" i="3"/>
  <x:c r="AG1010" i="3"/>
  <x:c r="AF1010" i="3"/>
  <x:c r="AE1010" i="3"/>
  <x:c r="AD1010" i="3"/>
  <x:c r="AC1010" i="3"/>
  <x:c r="AB1010" i="3"/>
  <x:c r="AA1010" i="3"/>
  <x:c r="Z1010" i="3"/>
  <x:c r="Y1010" i="3"/>
  <x:c r="X1010" i="3"/>
  <x:c r="W1010" i="3"/>
  <x:c r="V1010" i="3"/>
  <x:c r="U1010" i="3"/>
  <x:c r="T1010" i="3"/>
  <x:c r="A1010" i="3"/>
  <x:c r="AG1009" i="3"/>
  <x:c r="AF1009" i="3"/>
  <x:c r="AE1009" i="3"/>
  <x:c r="AD1009" i="3"/>
  <x:c r="AC1009" i="3"/>
  <x:c r="AB1009" i="3"/>
  <x:c r="AA1009" i="3"/>
  <x:c r="Z1009" i="3"/>
  <x:c r="Y1009" i="3"/>
  <x:c r="X1009" i="3"/>
  <x:c r="W1009" i="3"/>
  <x:c r="V1009" i="3"/>
  <x:c r="U1009" i="3"/>
  <x:c r="T1009" i="3"/>
  <x:c r="B1009" i="3"/>
  <x:c r="A1009" i="3"/>
  <x:c r="AG1008" i="3"/>
  <x:c r="AF1008" i="3"/>
  <x:c r="AE1008" i="3"/>
  <x:c r="AD1008" i="3"/>
  <x:c r="AC1008" i="3"/>
  <x:c r="AB1008" i="3"/>
  <x:c r="AA1008" i="3"/>
  <x:c r="Z1008" i="3"/>
  <x:c r="Y1008" i="3"/>
  <x:c r="X1008" i="3"/>
  <x:c r="W1008" i="3"/>
  <x:c r="V1008" i="3"/>
  <x:c r="U1008" i="3"/>
  <x:c r="T1008" i="3"/>
  <x:c r="C1008" i="3"/>
  <x:c r="B1008" i="3"/>
  <x:c r="A1008" i="3"/>
  <x:c r="AG1007" i="3"/>
  <x:c r="AF1007" i="3"/>
  <x:c r="AE1007" i="3"/>
  <x:c r="AD1007" i="3"/>
  <x:c r="AC1007" i="3"/>
  <x:c r="AB1007" i="3"/>
  <x:c r="AA1007" i="3"/>
  <x:c r="Z1007" i="3"/>
  <x:c r="Y1007" i="3"/>
  <x:c r="X1007" i="3"/>
  <x:c r="W1007" i="3"/>
  <x:c r="V1007" i="3"/>
  <x:c r="U1007" i="3"/>
  <x:c r="T1007" i="3"/>
  <x:c r="B1007" i="3"/>
  <x:c r="A1007" i="3"/>
  <x:c r="AG1006" i="3"/>
  <x:c r="AF1006" i="3"/>
  <x:c r="AE1006" i="3"/>
  <x:c r="AD1006" i="3"/>
  <x:c r="AC1006" i="3"/>
  <x:c r="AB1006" i="3"/>
  <x:c r="AA1006" i="3"/>
  <x:c r="Z1006" i="3"/>
  <x:c r="Y1006" i="3"/>
  <x:c r="X1006" i="3"/>
  <x:c r="W1006" i="3"/>
  <x:c r="V1006" i="3"/>
  <x:c r="U1006" i="3"/>
  <x:c r="T1006" i="3"/>
  <x:c r="AG1005" i="3"/>
  <x:c r="AF1005" i="3"/>
  <x:c r="AE1005" i="3"/>
  <x:c r="AD1005" i="3"/>
  <x:c r="AC1005" i="3"/>
  <x:c r="AB1005" i="3"/>
  <x:c r="AA1005" i="3"/>
  <x:c r="Z1005" i="3"/>
  <x:c r="Y1005" i="3"/>
  <x:c r="X1005" i="3"/>
  <x:c r="W1005" i="3"/>
  <x:c r="V1005" i="3"/>
  <x:c r="U1005" i="3"/>
  <x:c r="T1005" i="3"/>
  <x:c r="A1005" i="3"/>
  <x:c r="AG1004" i="3"/>
  <x:c r="AF1004" i="3"/>
  <x:c r="AE1004" i="3"/>
  <x:c r="AD1004" i="3"/>
  <x:c r="AC1004" i="3"/>
  <x:c r="AB1004" i="3"/>
  <x:c r="AA1004" i="3"/>
  <x:c r="Z1004" i="3"/>
  <x:c r="Y1004" i="3"/>
  <x:c r="X1004" i="3"/>
  <x:c r="W1004" i="3"/>
  <x:c r="V1004" i="3"/>
  <x:c r="U1004" i="3"/>
  <x:c r="T1004" i="3"/>
  <x:c r="S1004" i="3"/>
  <x:c r="R1004" i="3"/>
  <x:c r="Q1004" i="3"/>
  <x:c r="P1004" i="3"/>
  <x:c r="O1004" i="3"/>
  <x:c r="N1004" i="3"/>
  <x:c r="M1004" i="3"/>
  <x:c r="L1004" i="3"/>
  <x:c r="K1004" i="3"/>
  <x:c r="J1004" i="3"/>
  <x:c r="I1004" i="3"/>
  <x:c r="H1004" i="3"/>
  <x:c r="G1004" i="3"/>
  <x:c r="F1004" i="3"/>
  <x:c r="E1004" i="3"/>
  <x:c r="D1004" i="3"/>
  <x:c r="C1004" i="3"/>
  <x:c r="B1004" i="3"/>
  <x:c r="A1004" i="3"/>
  <x:c r="AG1003" i="3"/>
  <x:c r="AF1003" i="3"/>
  <x:c r="AE1003" i="3"/>
  <x:c r="AD1003" i="3"/>
  <x:c r="AC1003" i="3"/>
  <x:c r="AB1003" i="3"/>
  <x:c r="AA1003" i="3"/>
  <x:c r="Z1003" i="3"/>
  <x:c r="Y1003" i="3"/>
  <x:c r="X1003" i="3"/>
  <x:c r="W1003" i="3"/>
  <x:c r="V1003" i="3"/>
  <x:c r="U1003" i="3"/>
  <x:c r="T1003" i="3"/>
  <x:c r="AG1002" i="3"/>
  <x:c r="AF1002" i="3"/>
  <x:c r="AE1002" i="3"/>
  <x:c r="AD1002" i="3"/>
  <x:c r="AC1002" i="3"/>
  <x:c r="AB1002" i="3"/>
  <x:c r="AA1002" i="3"/>
  <x:c r="Z1002" i="3"/>
  <x:c r="Y1002" i="3"/>
  <x:c r="X1002" i="3"/>
  <x:c r="W1002" i="3"/>
  <x:c r="V1002" i="3"/>
  <x:c r="U1002" i="3"/>
  <x:c r="T1002" i="3"/>
  <x:c r="AG1001" i="3"/>
  <x:c r="AF1001" i="3"/>
  <x:c r="AE1001" i="3"/>
  <x:c r="AD1001" i="3"/>
  <x:c r="AC1001" i="3"/>
  <x:c r="AB1001" i="3"/>
  <x:c r="AA1001" i="3"/>
  <x:c r="Z1001" i="3"/>
  <x:c r="Y1001" i="3"/>
  <x:c r="X1001" i="3"/>
  <x:c r="W1001" i="3"/>
  <x:c r="V1001" i="3"/>
  <x:c r="U1001" i="3"/>
  <x:c r="T1001" i="3"/>
  <x:c r="AG1000" i="3"/>
  <x:c r="AF1000" i="3"/>
  <x:c r="AE1000" i="3"/>
  <x:c r="AD1000" i="3"/>
  <x:c r="AC1000" i="3"/>
  <x:c r="AB1000" i="3"/>
  <x:c r="AA1000" i="3"/>
  <x:c r="Z1000" i="3"/>
  <x:c r="Y1000" i="3"/>
  <x:c r="X1000" i="3"/>
  <x:c r="W1000" i="3"/>
  <x:c r="V1000" i="3"/>
  <x:c r="U1000" i="3"/>
  <x:c r="T1000" i="3"/>
  <x:c r="AG999" i="3"/>
  <x:c r="AF999" i="3"/>
  <x:c r="AE999" i="3"/>
  <x:c r="AD999" i="3"/>
  <x:c r="AC999" i="3"/>
  <x:c r="AB999" i="3"/>
  <x:c r="AA999" i="3"/>
  <x:c r="Z999" i="3"/>
  <x:c r="Y999" i="3"/>
  <x:c r="X999" i="3"/>
  <x:c r="W999" i="3"/>
  <x:c r="V999" i="3"/>
  <x:c r="U999" i="3"/>
  <x:c r="T999" i="3"/>
  <x:c r="AG998" i="3"/>
  <x:c r="AF998" i="3"/>
  <x:c r="AE998" i="3"/>
  <x:c r="AD998" i="3"/>
  <x:c r="AC998" i="3"/>
  <x:c r="AB998" i="3"/>
  <x:c r="AA998" i="3"/>
  <x:c r="Z998" i="3"/>
  <x:c r="Y998" i="3"/>
  <x:c r="X998" i="3"/>
  <x:c r="W998" i="3"/>
  <x:c r="V998" i="3"/>
  <x:c r="U998" i="3"/>
  <x:c r="T998" i="3"/>
  <x:c r="AG997" i="3"/>
  <x:c r="AF997" i="3"/>
  <x:c r="AE997" i="3"/>
  <x:c r="AD997" i="3"/>
  <x:c r="AC997" i="3"/>
  <x:c r="AB997" i="3"/>
  <x:c r="AA997" i="3"/>
  <x:c r="Z997" i="3"/>
  <x:c r="Y997" i="3"/>
  <x:c r="X997" i="3"/>
  <x:c r="W997" i="3"/>
  <x:c r="V997" i="3"/>
  <x:c r="U997" i="3"/>
  <x:c r="T997" i="3"/>
  <x:c r="AG996" i="3"/>
  <x:c r="AF996" i="3"/>
  <x:c r="AE996" i="3"/>
  <x:c r="AD996" i="3"/>
  <x:c r="AC996" i="3"/>
  <x:c r="AB996" i="3"/>
  <x:c r="AA996" i="3"/>
  <x:c r="Z996" i="3"/>
  <x:c r="Y996" i="3"/>
  <x:c r="X996" i="3"/>
  <x:c r="W996" i="3"/>
  <x:c r="V996" i="3"/>
  <x:c r="U996" i="3"/>
  <x:c r="T996" i="3"/>
  <x:c r="E996" i="3"/>
  <x:c r="B996" i="3"/>
  <x:c r="A996" i="3"/>
  <x:c r="AG995" i="3"/>
  <x:c r="AF995" i="3"/>
  <x:c r="AE995" i="3"/>
  <x:c r="AD995" i="3"/>
  <x:c r="AC995" i="3"/>
  <x:c r="AB995" i="3"/>
  <x:c r="AA995" i="3"/>
  <x:c r="Z995" i="3"/>
  <x:c r="Y995" i="3"/>
  <x:c r="X995" i="3"/>
  <x:c r="W995" i="3"/>
  <x:c r="V995" i="3"/>
  <x:c r="U995" i="3"/>
  <x:c r="T995" i="3"/>
  <x:c r="E995" i="3"/>
  <x:c r="B995" i="3"/>
  <x:c r="A995" i="3"/>
  <x:c r="AG994" i="3"/>
  <x:c r="AF994" i="3"/>
  <x:c r="AE994" i="3"/>
  <x:c r="AD994" i="3"/>
  <x:c r="AC994" i="3"/>
  <x:c r="AB994" i="3"/>
  <x:c r="AA994" i="3"/>
  <x:c r="Z994" i="3"/>
  <x:c r="Y994" i="3"/>
  <x:c r="X994" i="3"/>
  <x:c r="W994" i="3"/>
  <x:c r="V994" i="3"/>
  <x:c r="U994" i="3"/>
  <x:c r="T994" i="3"/>
  <x:c r="E994" i="3"/>
  <x:c r="B994" i="3"/>
  <x:c r="A994" i="3"/>
  <x:c r="AG993" i="3"/>
  <x:c r="AF993" i="3"/>
  <x:c r="AE993" i="3"/>
  <x:c r="AD993" i="3"/>
  <x:c r="AC993" i="3"/>
  <x:c r="AB993" i="3"/>
  <x:c r="AA993" i="3"/>
  <x:c r="Z993" i="3"/>
  <x:c r="Y993" i="3"/>
  <x:c r="X993" i="3"/>
  <x:c r="W993" i="3"/>
  <x:c r="V993" i="3"/>
  <x:c r="U993" i="3"/>
  <x:c r="T993" i="3"/>
  <x:c r="E993" i="3"/>
  <x:c r="B993" i="3"/>
  <x:c r="A993" i="3"/>
  <x:c r="AG992" i="3"/>
  <x:c r="AF992" i="3"/>
  <x:c r="AE992" i="3"/>
  <x:c r="AD992" i="3"/>
  <x:c r="AC992" i="3"/>
  <x:c r="AB992" i="3"/>
  <x:c r="AA992" i="3"/>
  <x:c r="Z992" i="3"/>
  <x:c r="Y992" i="3"/>
  <x:c r="X992" i="3"/>
  <x:c r="W992" i="3"/>
  <x:c r="V992" i="3"/>
  <x:c r="U992" i="3"/>
  <x:c r="T992" i="3"/>
  <x:c r="E992" i="3"/>
  <x:c r="B992" i="3"/>
  <x:c r="A992" i="3"/>
  <x:c r="AG991" i="3"/>
  <x:c r="AF991" i="3"/>
  <x:c r="AE991" i="3"/>
  <x:c r="AD991" i="3"/>
  <x:c r="AC991" i="3"/>
  <x:c r="AB991" i="3"/>
  <x:c r="AA991" i="3"/>
  <x:c r="Z991" i="3"/>
  <x:c r="Y991" i="3"/>
  <x:c r="X991" i="3"/>
  <x:c r="W991" i="3"/>
  <x:c r="V991" i="3"/>
  <x:c r="U991" i="3"/>
  <x:c r="T991" i="3"/>
  <x:c r="E991" i="3"/>
  <x:c r="B991" i="3"/>
  <x:c r="A991" i="3"/>
  <x:c r="AG990" i="3"/>
  <x:c r="AF990" i="3"/>
  <x:c r="AE990" i="3"/>
  <x:c r="AD990" i="3"/>
  <x:c r="AC990" i="3"/>
  <x:c r="AB990" i="3"/>
  <x:c r="AA990" i="3"/>
  <x:c r="Z990" i="3"/>
  <x:c r="Y990" i="3"/>
  <x:c r="X990" i="3"/>
  <x:c r="W990" i="3"/>
  <x:c r="V990" i="3"/>
  <x:c r="U990" i="3"/>
  <x:c r="T990" i="3"/>
  <x:c r="E990" i="3"/>
  <x:c r="B990" i="3"/>
  <x:c r="A990" i="3"/>
  <x:c r="AG989" i="3"/>
  <x:c r="AF989" i="3"/>
  <x:c r="AE989" i="3"/>
  <x:c r="AD989" i="3"/>
  <x:c r="AC989" i="3"/>
  <x:c r="AB989" i="3"/>
  <x:c r="AA989" i="3"/>
  <x:c r="Z989" i="3"/>
  <x:c r="Y989" i="3"/>
  <x:c r="X989" i="3"/>
  <x:c r="W989" i="3"/>
  <x:c r="V989" i="3"/>
  <x:c r="U989" i="3"/>
  <x:c r="T989" i="3"/>
  <x:c r="E989" i="3"/>
  <x:c r="B989" i="3"/>
  <x:c r="A989" i="3"/>
  <x:c r="AG988" i="3"/>
  <x:c r="AF988" i="3"/>
  <x:c r="AE988" i="3"/>
  <x:c r="AD988" i="3"/>
  <x:c r="AC988" i="3"/>
  <x:c r="AB988" i="3"/>
  <x:c r="AA988" i="3"/>
  <x:c r="Z988" i="3"/>
  <x:c r="Y988" i="3"/>
  <x:c r="X988" i="3"/>
  <x:c r="W988" i="3"/>
  <x:c r="V988" i="3"/>
  <x:c r="U988" i="3"/>
  <x:c r="T988" i="3"/>
  <x:c r="E988" i="3"/>
  <x:c r="B988" i="3"/>
  <x:c r="A988" i="3"/>
  <x:c r="AG987" i="3"/>
  <x:c r="AF987" i="3"/>
  <x:c r="AE987" i="3"/>
  <x:c r="AD987" i="3"/>
  <x:c r="AC987" i="3"/>
  <x:c r="AB987" i="3"/>
  <x:c r="AA987" i="3"/>
  <x:c r="Z987" i="3"/>
  <x:c r="Y987" i="3"/>
  <x:c r="X987" i="3"/>
  <x:c r="W987" i="3"/>
  <x:c r="V987" i="3"/>
  <x:c r="U987" i="3"/>
  <x:c r="T987" i="3"/>
  <x:c r="E987" i="3"/>
  <x:c r="B987" i="3"/>
  <x:c r="A987" i="3"/>
  <x:c r="AG986" i="3"/>
  <x:c r="AF986" i="3"/>
  <x:c r="AE986" i="3"/>
  <x:c r="AD986" i="3"/>
  <x:c r="AC986" i="3"/>
  <x:c r="AB986" i="3"/>
  <x:c r="AA986" i="3"/>
  <x:c r="Z986" i="3"/>
  <x:c r="Y986" i="3"/>
  <x:c r="X986" i="3"/>
  <x:c r="W986" i="3"/>
  <x:c r="V986" i="3"/>
  <x:c r="U986" i="3"/>
  <x:c r="T986" i="3"/>
  <x:c r="E986" i="3"/>
  <x:c r="B986" i="3"/>
  <x:c r="A986" i="3"/>
  <x:c r="AG985" i="3"/>
  <x:c r="AF985" i="3"/>
  <x:c r="AE985" i="3"/>
  <x:c r="AD985" i="3"/>
  <x:c r="AC985" i="3"/>
  <x:c r="AB985" i="3"/>
  <x:c r="AA985" i="3"/>
  <x:c r="Z985" i="3"/>
  <x:c r="Y985" i="3"/>
  <x:c r="X985" i="3"/>
  <x:c r="W985" i="3"/>
  <x:c r="V985" i="3"/>
  <x:c r="U985" i="3"/>
  <x:c r="T985" i="3"/>
  <x:c r="E985" i="3"/>
  <x:c r="B985" i="3"/>
  <x:c r="A985" i="3"/>
  <x:c r="AG984" i="3"/>
  <x:c r="AF984" i="3"/>
  <x:c r="AE984" i="3"/>
  <x:c r="AD984" i="3"/>
  <x:c r="AC984" i="3"/>
  <x:c r="AB984" i="3"/>
  <x:c r="AA984" i="3"/>
  <x:c r="Z984" i="3"/>
  <x:c r="Y984" i="3"/>
  <x:c r="X984" i="3"/>
  <x:c r="W984" i="3"/>
  <x:c r="V984" i="3"/>
  <x:c r="U984" i="3"/>
  <x:c r="T984" i="3"/>
  <x:c r="E984" i="3"/>
  <x:c r="B984" i="3"/>
  <x:c r="A984" i="3"/>
  <x:c r="AG983" i="3"/>
  <x:c r="AF983" i="3"/>
  <x:c r="AE983" i="3"/>
  <x:c r="AD983" i="3"/>
  <x:c r="AC983" i="3"/>
  <x:c r="AB983" i="3"/>
  <x:c r="AA983" i="3"/>
  <x:c r="Z983" i="3"/>
  <x:c r="Y983" i="3"/>
  <x:c r="X983" i="3"/>
  <x:c r="W983" i="3"/>
  <x:c r="V983" i="3"/>
  <x:c r="U983" i="3"/>
  <x:c r="T983" i="3"/>
  <x:c r="E983" i="3"/>
  <x:c r="B983" i="3"/>
  <x:c r="A983" i="3"/>
  <x:c r="AG982" i="3"/>
  <x:c r="AF982" i="3"/>
  <x:c r="AE982" i="3"/>
  <x:c r="AD982" i="3"/>
  <x:c r="AC982" i="3"/>
  <x:c r="AB982" i="3"/>
  <x:c r="AA982" i="3"/>
  <x:c r="Z982" i="3"/>
  <x:c r="Y982" i="3"/>
  <x:c r="X982" i="3"/>
  <x:c r="W982" i="3"/>
  <x:c r="V982" i="3"/>
  <x:c r="U982" i="3"/>
  <x:c r="T982" i="3"/>
  <x:c r="E982" i="3"/>
  <x:c r="B982" i="3"/>
  <x:c r="A982" i="3"/>
  <x:c r="AG981" i="3"/>
  <x:c r="AF981" i="3"/>
  <x:c r="AE981" i="3"/>
  <x:c r="AD981" i="3"/>
  <x:c r="AC981" i="3"/>
  <x:c r="AB981" i="3"/>
  <x:c r="AA981" i="3"/>
  <x:c r="Z981" i="3"/>
  <x:c r="Y981" i="3"/>
  <x:c r="X981" i="3"/>
  <x:c r="W981" i="3"/>
  <x:c r="V981" i="3"/>
  <x:c r="U981" i="3"/>
  <x:c r="T981" i="3"/>
  <x:c r="E981" i="3"/>
  <x:c r="B981" i="3"/>
  <x:c r="A981" i="3"/>
  <x:c r="AG980" i="3"/>
  <x:c r="AF980" i="3"/>
  <x:c r="AE980" i="3"/>
  <x:c r="AD980" i="3"/>
  <x:c r="AC980" i="3"/>
  <x:c r="AB980" i="3"/>
  <x:c r="AA980" i="3"/>
  <x:c r="Z980" i="3"/>
  <x:c r="Y980" i="3"/>
  <x:c r="X980" i="3"/>
  <x:c r="W980" i="3"/>
  <x:c r="V980" i="3"/>
  <x:c r="U980" i="3"/>
  <x:c r="T980" i="3"/>
  <x:c r="E980" i="3"/>
  <x:c r="B980" i="3"/>
  <x:c r="A980" i="3"/>
  <x:c r="AG979" i="3"/>
  <x:c r="AF979" i="3"/>
  <x:c r="AE979" i="3"/>
  <x:c r="AD979" i="3"/>
  <x:c r="AC979" i="3"/>
  <x:c r="AB979" i="3"/>
  <x:c r="AA979" i="3"/>
  <x:c r="Z979" i="3"/>
  <x:c r="Y979" i="3"/>
  <x:c r="X979" i="3"/>
  <x:c r="W979" i="3"/>
  <x:c r="V979" i="3"/>
  <x:c r="U979" i="3"/>
  <x:c r="T979" i="3"/>
  <x:c r="E979" i="3"/>
  <x:c r="B979" i="3"/>
  <x:c r="A979" i="3"/>
  <x:c r="AG978" i="3"/>
  <x:c r="AF978" i="3"/>
  <x:c r="AE978" i="3"/>
  <x:c r="AD978" i="3"/>
  <x:c r="AC978" i="3"/>
  <x:c r="AB978" i="3"/>
  <x:c r="AA978" i="3"/>
  <x:c r="Z978" i="3"/>
  <x:c r="Y978" i="3"/>
  <x:c r="X978" i="3"/>
  <x:c r="W978" i="3"/>
  <x:c r="V978" i="3"/>
  <x:c r="U978" i="3"/>
  <x:c r="T978" i="3"/>
  <x:c r="E978" i="3"/>
  <x:c r="B978" i="3"/>
  <x:c r="A978" i="3"/>
  <x:c r="AG977" i="3"/>
  <x:c r="AF977" i="3"/>
  <x:c r="AE977" i="3"/>
  <x:c r="AD977" i="3"/>
  <x:c r="AC977" i="3"/>
  <x:c r="AB977" i="3"/>
  <x:c r="AA977" i="3"/>
  <x:c r="Z977" i="3"/>
  <x:c r="Y977" i="3"/>
  <x:c r="X977" i="3"/>
  <x:c r="W977" i="3"/>
  <x:c r="V977" i="3"/>
  <x:c r="U977" i="3"/>
  <x:c r="T977" i="3"/>
  <x:c r="E977" i="3"/>
  <x:c r="B977" i="3"/>
  <x:c r="A977" i="3"/>
  <x:c r="AG976" i="3"/>
  <x:c r="AF976" i="3"/>
  <x:c r="AE976" i="3"/>
  <x:c r="AD976" i="3"/>
  <x:c r="AC976" i="3"/>
  <x:c r="AB976" i="3"/>
  <x:c r="AA976" i="3"/>
  <x:c r="Z976" i="3"/>
  <x:c r="Y976" i="3"/>
  <x:c r="X976" i="3"/>
  <x:c r="W976" i="3"/>
  <x:c r="V976" i="3"/>
  <x:c r="U976" i="3"/>
  <x:c r="T976" i="3"/>
  <x:c r="E976" i="3"/>
  <x:c r="B976" i="3"/>
  <x:c r="A976" i="3"/>
  <x:c r="AG975" i="3"/>
  <x:c r="AF975" i="3"/>
  <x:c r="AE975" i="3"/>
  <x:c r="AD975" i="3"/>
  <x:c r="AC975" i="3"/>
  <x:c r="AB975" i="3"/>
  <x:c r="AA975" i="3"/>
  <x:c r="Z975" i="3"/>
  <x:c r="Y975" i="3"/>
  <x:c r="X975" i="3"/>
  <x:c r="W975" i="3"/>
  <x:c r="V975" i="3"/>
  <x:c r="U975" i="3"/>
  <x:c r="T975" i="3"/>
  <x:c r="E975" i="3"/>
  <x:c r="B975" i="3"/>
  <x:c r="A975" i="3"/>
  <x:c r="AG974" i="3"/>
  <x:c r="AF974" i="3"/>
  <x:c r="AE974" i="3"/>
  <x:c r="AD974" i="3"/>
  <x:c r="AC974" i="3"/>
  <x:c r="AB974" i="3"/>
  <x:c r="AA974" i="3"/>
  <x:c r="Z974" i="3"/>
  <x:c r="Y974" i="3"/>
  <x:c r="X974" i="3"/>
  <x:c r="W974" i="3"/>
  <x:c r="V974" i="3"/>
  <x:c r="U974" i="3"/>
  <x:c r="T974" i="3"/>
  <x:c r="E974" i="3"/>
  <x:c r="B974" i="3"/>
  <x:c r="A974" i="3"/>
  <x:c r="AG973" i="3"/>
  <x:c r="AF973" i="3"/>
  <x:c r="AE973" i="3"/>
  <x:c r="AD973" i="3"/>
  <x:c r="AC973" i="3"/>
  <x:c r="AB973" i="3"/>
  <x:c r="AA973" i="3"/>
  <x:c r="Z973" i="3"/>
  <x:c r="Y973" i="3"/>
  <x:c r="X973" i="3"/>
  <x:c r="W973" i="3"/>
  <x:c r="V973" i="3"/>
  <x:c r="U973" i="3"/>
  <x:c r="T973" i="3"/>
  <x:c r="E973" i="3"/>
  <x:c r="B973" i="3"/>
  <x:c r="A973" i="3"/>
  <x:c r="AG972" i="3"/>
  <x:c r="AF972" i="3"/>
  <x:c r="AE972" i="3"/>
  <x:c r="AD972" i="3"/>
  <x:c r="AC972" i="3"/>
  <x:c r="AB972" i="3"/>
  <x:c r="AA972" i="3"/>
  <x:c r="Z972" i="3"/>
  <x:c r="Y972" i="3"/>
  <x:c r="X972" i="3"/>
  <x:c r="W972" i="3"/>
  <x:c r="V972" i="3"/>
  <x:c r="U972" i="3"/>
  <x:c r="T972" i="3"/>
  <x:c r="E972" i="3"/>
  <x:c r="B972" i="3"/>
  <x:c r="A972" i="3"/>
  <x:c r="AG971" i="3"/>
  <x:c r="AF971" i="3"/>
  <x:c r="AE971" i="3"/>
  <x:c r="AD971" i="3"/>
  <x:c r="AC971" i="3"/>
  <x:c r="AB971" i="3"/>
  <x:c r="AA971" i="3"/>
  <x:c r="Z971" i="3"/>
  <x:c r="Y971" i="3"/>
  <x:c r="X971" i="3"/>
  <x:c r="W971" i="3"/>
  <x:c r="V971" i="3"/>
  <x:c r="U971" i="3"/>
  <x:c r="T971" i="3"/>
  <x:c r="E971" i="3"/>
  <x:c r="B971" i="3"/>
  <x:c r="A971" i="3"/>
  <x:c r="AG970" i="3"/>
  <x:c r="AF970" i="3"/>
  <x:c r="AE970" i="3"/>
  <x:c r="AD970" i="3"/>
  <x:c r="AC970" i="3"/>
  <x:c r="AB970" i="3"/>
  <x:c r="AA970" i="3"/>
  <x:c r="Z970" i="3"/>
  <x:c r="Y970" i="3"/>
  <x:c r="X970" i="3"/>
  <x:c r="W970" i="3"/>
  <x:c r="V970" i="3"/>
  <x:c r="U970" i="3"/>
  <x:c r="T970" i="3"/>
  <x:c r="E970" i="3"/>
  <x:c r="B970" i="3"/>
  <x:c r="A970" i="3"/>
  <x:c r="AG969" i="3"/>
  <x:c r="AF969" i="3"/>
  <x:c r="AE969" i="3"/>
  <x:c r="AD969" i="3"/>
  <x:c r="AC969" i="3"/>
  <x:c r="AB969" i="3"/>
  <x:c r="AA969" i="3"/>
  <x:c r="Z969" i="3"/>
  <x:c r="Y969" i="3"/>
  <x:c r="X969" i="3"/>
  <x:c r="W969" i="3"/>
  <x:c r="V969" i="3"/>
  <x:c r="U969" i="3"/>
  <x:c r="T969" i="3"/>
  <x:c r="E969" i="3"/>
  <x:c r="B969" i="3"/>
  <x:c r="A969" i="3"/>
  <x:c r="AG968" i="3"/>
  <x:c r="AF968" i="3"/>
  <x:c r="AE968" i="3"/>
  <x:c r="AD968" i="3"/>
  <x:c r="AC968" i="3"/>
  <x:c r="AB968" i="3"/>
  <x:c r="AA968" i="3"/>
  <x:c r="Z968" i="3"/>
  <x:c r="Y968" i="3"/>
  <x:c r="X968" i="3"/>
  <x:c r="W968" i="3"/>
  <x:c r="V968" i="3"/>
  <x:c r="U968" i="3"/>
  <x:c r="T968" i="3"/>
  <x:c r="E968" i="3"/>
  <x:c r="B968" i="3"/>
  <x:c r="A968" i="3"/>
  <x:c r="AG967" i="3"/>
  <x:c r="AF967" i="3"/>
  <x:c r="AE967" i="3"/>
  <x:c r="AD967" i="3"/>
  <x:c r="AC967" i="3"/>
  <x:c r="AB967" i="3"/>
  <x:c r="AA967" i="3"/>
  <x:c r="Z967" i="3"/>
  <x:c r="Y967" i="3"/>
  <x:c r="X967" i="3"/>
  <x:c r="W967" i="3"/>
  <x:c r="V967" i="3"/>
  <x:c r="U967" i="3"/>
  <x:c r="T967" i="3"/>
  <x:c r="E967" i="3"/>
  <x:c r="B967" i="3"/>
  <x:c r="A967" i="3"/>
  <x:c r="AG966" i="3"/>
  <x:c r="AF966" i="3"/>
  <x:c r="AE966" i="3"/>
  <x:c r="AD966" i="3"/>
  <x:c r="AC966" i="3"/>
  <x:c r="AB966" i="3"/>
  <x:c r="AA966" i="3"/>
  <x:c r="Z966" i="3"/>
  <x:c r="Y966" i="3"/>
  <x:c r="X966" i="3"/>
  <x:c r="W966" i="3"/>
  <x:c r="V966" i="3"/>
  <x:c r="U966" i="3"/>
  <x:c r="T966" i="3"/>
  <x:c r="E966" i="3"/>
  <x:c r="B966" i="3"/>
  <x:c r="A966" i="3"/>
  <x:c r="AG965" i="3"/>
  <x:c r="AF965" i="3"/>
  <x:c r="AE965" i="3"/>
  <x:c r="AD965" i="3"/>
  <x:c r="AC965" i="3"/>
  <x:c r="AB965" i="3"/>
  <x:c r="AA965" i="3"/>
  <x:c r="Z965" i="3"/>
  <x:c r="Y965" i="3"/>
  <x:c r="X965" i="3"/>
  <x:c r="W965" i="3"/>
  <x:c r="V965" i="3"/>
  <x:c r="U965" i="3"/>
  <x:c r="T965" i="3"/>
  <x:c r="E965" i="3"/>
  <x:c r="B965" i="3"/>
  <x:c r="A965" i="3"/>
  <x:c r="AG964" i="3"/>
  <x:c r="AF964" i="3"/>
  <x:c r="AE964" i="3"/>
  <x:c r="AD964" i="3"/>
  <x:c r="AC964" i="3"/>
  <x:c r="AB964" i="3"/>
  <x:c r="AA964" i="3"/>
  <x:c r="Z964" i="3"/>
  <x:c r="Y964" i="3"/>
  <x:c r="X964" i="3"/>
  <x:c r="W964" i="3"/>
  <x:c r="V964" i="3"/>
  <x:c r="U964" i="3"/>
  <x:c r="T964" i="3"/>
  <x:c r="E964" i="3"/>
  <x:c r="B964" i="3"/>
  <x:c r="A964" i="3"/>
  <x:c r="AG963" i="3"/>
  <x:c r="AF963" i="3"/>
  <x:c r="AE963" i="3"/>
  <x:c r="AD963" i="3"/>
  <x:c r="AC963" i="3"/>
  <x:c r="AB963" i="3"/>
  <x:c r="AA963" i="3"/>
  <x:c r="Z963" i="3"/>
  <x:c r="Y963" i="3"/>
  <x:c r="X963" i="3"/>
  <x:c r="W963" i="3"/>
  <x:c r="V963" i="3"/>
  <x:c r="U963" i="3"/>
  <x:c r="T963" i="3"/>
  <x:c r="E963" i="3"/>
  <x:c r="B963" i="3"/>
  <x:c r="A963" i="3"/>
  <x:c r="AG962" i="3"/>
  <x:c r="AF962" i="3"/>
  <x:c r="AE962" i="3"/>
  <x:c r="AD962" i="3"/>
  <x:c r="AC962" i="3"/>
  <x:c r="AB962" i="3"/>
  <x:c r="AA962" i="3"/>
  <x:c r="Z962" i="3"/>
  <x:c r="Y962" i="3"/>
  <x:c r="X962" i="3"/>
  <x:c r="W962" i="3"/>
  <x:c r="V962" i="3"/>
  <x:c r="U962" i="3"/>
  <x:c r="T962" i="3"/>
  <x:c r="E962" i="3"/>
  <x:c r="B962" i="3"/>
  <x:c r="A962" i="3"/>
  <x:c r="AG961" i="3"/>
  <x:c r="AF961" i="3"/>
  <x:c r="AE961" i="3"/>
  <x:c r="AD961" i="3"/>
  <x:c r="AC961" i="3"/>
  <x:c r="AB961" i="3"/>
  <x:c r="AA961" i="3"/>
  <x:c r="Z961" i="3"/>
  <x:c r="Y961" i="3"/>
  <x:c r="X961" i="3"/>
  <x:c r="W961" i="3"/>
  <x:c r="V961" i="3"/>
  <x:c r="U961" i="3"/>
  <x:c r="T961" i="3"/>
  <x:c r="E961" i="3"/>
  <x:c r="B961" i="3"/>
  <x:c r="A961" i="3"/>
  <x:c r="AG960" i="3"/>
  <x:c r="AF960" i="3"/>
  <x:c r="AE960" i="3"/>
  <x:c r="AD960" i="3"/>
  <x:c r="AC960" i="3"/>
  <x:c r="AB960" i="3"/>
  <x:c r="AA960" i="3"/>
  <x:c r="Z960" i="3"/>
  <x:c r="Y960" i="3"/>
  <x:c r="X960" i="3"/>
  <x:c r="W960" i="3"/>
  <x:c r="V960" i="3"/>
  <x:c r="U960" i="3"/>
  <x:c r="T960" i="3"/>
  <x:c r="E960" i="3"/>
  <x:c r="B960" i="3"/>
  <x:c r="A960" i="3"/>
  <x:c r="AG959" i="3"/>
  <x:c r="AF959" i="3"/>
  <x:c r="AE959" i="3"/>
  <x:c r="AD959" i="3"/>
  <x:c r="AC959" i="3"/>
  <x:c r="AB959" i="3"/>
  <x:c r="AA959" i="3"/>
  <x:c r="Z959" i="3"/>
  <x:c r="Y959" i="3"/>
  <x:c r="X959" i="3"/>
  <x:c r="W959" i="3"/>
  <x:c r="V959" i="3"/>
  <x:c r="U959" i="3"/>
  <x:c r="T959" i="3"/>
  <x:c r="E959" i="3"/>
  <x:c r="B959" i="3"/>
  <x:c r="A959" i="3"/>
  <x:c r="AG958" i="3"/>
  <x:c r="AF958" i="3"/>
  <x:c r="AE958" i="3"/>
  <x:c r="AD958" i="3"/>
  <x:c r="AC958" i="3"/>
  <x:c r="AB958" i="3"/>
  <x:c r="AA958" i="3"/>
  <x:c r="Z958" i="3"/>
  <x:c r="Y958" i="3"/>
  <x:c r="X958" i="3"/>
  <x:c r="W958" i="3"/>
  <x:c r="V958" i="3"/>
  <x:c r="U958" i="3"/>
  <x:c r="T958" i="3"/>
  <x:c r="E958" i="3"/>
  <x:c r="B958" i="3"/>
  <x:c r="A958" i="3"/>
  <x:c r="AG957" i="3"/>
  <x:c r="AF957" i="3"/>
  <x:c r="AE957" i="3"/>
  <x:c r="AD957" i="3"/>
  <x:c r="AC957" i="3"/>
  <x:c r="AB957" i="3"/>
  <x:c r="AA957" i="3"/>
  <x:c r="Z957" i="3"/>
  <x:c r="Y957" i="3"/>
  <x:c r="X957" i="3"/>
  <x:c r="W957" i="3"/>
  <x:c r="V957" i="3"/>
  <x:c r="U957" i="3"/>
  <x:c r="T957" i="3"/>
  <x:c r="E957" i="3"/>
  <x:c r="B957" i="3"/>
  <x:c r="A957" i="3"/>
  <x:c r="AG956" i="3"/>
  <x:c r="AF956" i="3"/>
  <x:c r="AE956" i="3"/>
  <x:c r="AD956" i="3"/>
  <x:c r="AC956" i="3"/>
  <x:c r="AB956" i="3"/>
  <x:c r="AA956" i="3"/>
  <x:c r="Z956" i="3"/>
  <x:c r="Y956" i="3"/>
  <x:c r="X956" i="3"/>
  <x:c r="W956" i="3"/>
  <x:c r="V956" i="3"/>
  <x:c r="U956" i="3"/>
  <x:c r="T956" i="3"/>
  <x:c r="E956" i="3"/>
  <x:c r="B956" i="3"/>
  <x:c r="A956" i="3"/>
  <x:c r="AG955" i="3"/>
  <x:c r="AF955" i="3"/>
  <x:c r="AE955" i="3"/>
  <x:c r="AD955" i="3"/>
  <x:c r="AC955" i="3"/>
  <x:c r="AB955" i="3"/>
  <x:c r="AA955" i="3"/>
  <x:c r="Z955" i="3"/>
  <x:c r="Y955" i="3"/>
  <x:c r="X955" i="3"/>
  <x:c r="W955" i="3"/>
  <x:c r="V955" i="3"/>
  <x:c r="U955" i="3"/>
  <x:c r="T955" i="3"/>
  <x:c r="E955" i="3"/>
  <x:c r="B955" i="3"/>
  <x:c r="A955" i="3"/>
  <x:c r="AG954" i="3"/>
  <x:c r="AF954" i="3"/>
  <x:c r="AE954" i="3"/>
  <x:c r="AD954" i="3"/>
  <x:c r="AC954" i="3"/>
  <x:c r="AB954" i="3"/>
  <x:c r="AA954" i="3"/>
  <x:c r="Z954" i="3"/>
  <x:c r="Y954" i="3"/>
  <x:c r="X954" i="3"/>
  <x:c r="W954" i="3"/>
  <x:c r="V954" i="3"/>
  <x:c r="U954" i="3"/>
  <x:c r="T954" i="3"/>
  <x:c r="E954" i="3"/>
  <x:c r="B954" i="3"/>
  <x:c r="A954" i="3"/>
  <x:c r="AG953" i="3"/>
  <x:c r="AF953" i="3"/>
  <x:c r="AE953" i="3"/>
  <x:c r="AD953" i="3"/>
  <x:c r="AC953" i="3"/>
  <x:c r="AB953" i="3"/>
  <x:c r="AA953" i="3"/>
  <x:c r="Z953" i="3"/>
  <x:c r="Y953" i="3"/>
  <x:c r="X953" i="3"/>
  <x:c r="W953" i="3"/>
  <x:c r="V953" i="3"/>
  <x:c r="U953" i="3"/>
  <x:c r="T953" i="3"/>
  <x:c r="E953" i="3"/>
  <x:c r="B953" i="3"/>
  <x:c r="A953" i="3"/>
  <x:c r="AG952" i="3"/>
  <x:c r="AF952" i="3"/>
  <x:c r="AE952" i="3"/>
  <x:c r="AD952" i="3"/>
  <x:c r="AC952" i="3"/>
  <x:c r="AB952" i="3"/>
  <x:c r="AA952" i="3"/>
  <x:c r="Z952" i="3"/>
  <x:c r="Y952" i="3"/>
  <x:c r="X952" i="3"/>
  <x:c r="W952" i="3"/>
  <x:c r="V952" i="3"/>
  <x:c r="U952" i="3"/>
  <x:c r="T952" i="3"/>
  <x:c r="E952" i="3"/>
  <x:c r="B952" i="3"/>
  <x:c r="A952" i="3"/>
  <x:c r="AG951" i="3"/>
  <x:c r="AF951" i="3"/>
  <x:c r="AE951" i="3"/>
  <x:c r="AD951" i="3"/>
  <x:c r="AC951" i="3"/>
  <x:c r="AB951" i="3"/>
  <x:c r="AA951" i="3"/>
  <x:c r="Z951" i="3"/>
  <x:c r="Y951" i="3"/>
  <x:c r="X951" i="3"/>
  <x:c r="W951" i="3"/>
  <x:c r="V951" i="3"/>
  <x:c r="U951" i="3"/>
  <x:c r="T951" i="3"/>
  <x:c r="E951" i="3"/>
  <x:c r="B951" i="3"/>
  <x:c r="A951" i="3"/>
  <x:c r="AG950" i="3"/>
  <x:c r="AF950" i="3"/>
  <x:c r="AE950" i="3"/>
  <x:c r="AD950" i="3"/>
  <x:c r="AC950" i="3"/>
  <x:c r="AB950" i="3"/>
  <x:c r="AA950" i="3"/>
  <x:c r="Z950" i="3"/>
  <x:c r="Y950" i="3"/>
  <x:c r="X950" i="3"/>
  <x:c r="W950" i="3"/>
  <x:c r="V950" i="3"/>
  <x:c r="U950" i="3"/>
  <x:c r="T950" i="3"/>
  <x:c r="E950" i="3"/>
  <x:c r="B950" i="3"/>
  <x:c r="A950" i="3"/>
  <x:c r="AG949" i="3"/>
  <x:c r="AF949" i="3"/>
  <x:c r="AE949" i="3"/>
  <x:c r="AD949" i="3"/>
  <x:c r="AC949" i="3"/>
  <x:c r="AB949" i="3"/>
  <x:c r="AA949" i="3"/>
  <x:c r="Z949" i="3"/>
  <x:c r="Y949" i="3"/>
  <x:c r="X949" i="3"/>
  <x:c r="W949" i="3"/>
  <x:c r="V949" i="3"/>
  <x:c r="U949" i="3"/>
  <x:c r="T949" i="3"/>
  <x:c r="E949" i="3"/>
  <x:c r="B949" i="3"/>
  <x:c r="A949" i="3"/>
  <x:c r="AG948" i="3"/>
  <x:c r="AF948" i="3"/>
  <x:c r="AE948" i="3"/>
  <x:c r="AD948" i="3"/>
  <x:c r="AC948" i="3"/>
  <x:c r="AB948" i="3"/>
  <x:c r="AA948" i="3"/>
  <x:c r="Z948" i="3"/>
  <x:c r="Y948" i="3"/>
  <x:c r="X948" i="3"/>
  <x:c r="W948" i="3"/>
  <x:c r="V948" i="3"/>
  <x:c r="U948" i="3"/>
  <x:c r="T948" i="3"/>
  <x:c r="E948" i="3"/>
  <x:c r="B948" i="3"/>
  <x:c r="A948" i="3"/>
  <x:c r="AG947" i="3"/>
  <x:c r="AF947" i="3"/>
  <x:c r="AE947" i="3"/>
  <x:c r="AD947" i="3"/>
  <x:c r="AC947" i="3"/>
  <x:c r="AB947" i="3"/>
  <x:c r="AA947" i="3"/>
  <x:c r="Z947" i="3"/>
  <x:c r="Y947" i="3"/>
  <x:c r="X947" i="3"/>
  <x:c r="W947" i="3"/>
  <x:c r="V947" i="3"/>
  <x:c r="U947" i="3"/>
  <x:c r="T947" i="3"/>
  <x:c r="E947" i="3"/>
  <x:c r="B947" i="3"/>
  <x:c r="A947" i="3"/>
  <x:c r="AG946" i="3"/>
  <x:c r="AF946" i="3"/>
  <x:c r="AE946" i="3"/>
  <x:c r="AD946" i="3"/>
  <x:c r="AC946" i="3"/>
  <x:c r="AB946" i="3"/>
  <x:c r="AA946" i="3"/>
  <x:c r="Z946" i="3"/>
  <x:c r="Y946" i="3"/>
  <x:c r="X946" i="3"/>
  <x:c r="W946" i="3"/>
  <x:c r="V946" i="3"/>
  <x:c r="U946" i="3"/>
  <x:c r="T946" i="3"/>
  <x:c r="E946" i="3"/>
  <x:c r="B946" i="3"/>
  <x:c r="A946" i="3"/>
  <x:c r="AG945" i="3"/>
  <x:c r="AF945" i="3"/>
  <x:c r="AE945" i="3"/>
  <x:c r="AD945" i="3"/>
  <x:c r="AC945" i="3"/>
  <x:c r="AB945" i="3"/>
  <x:c r="AA945" i="3"/>
  <x:c r="Z945" i="3"/>
  <x:c r="Y945" i="3"/>
  <x:c r="X945" i="3"/>
  <x:c r="W945" i="3"/>
  <x:c r="V945" i="3"/>
  <x:c r="U945" i="3"/>
  <x:c r="T945" i="3"/>
  <x:c r="E945" i="3"/>
  <x:c r="B945" i="3"/>
  <x:c r="A945" i="3"/>
  <x:c r="AG944" i="3"/>
  <x:c r="AF944" i="3"/>
  <x:c r="AE944" i="3"/>
  <x:c r="AD944" i="3"/>
  <x:c r="AC944" i="3"/>
  <x:c r="AB944" i="3"/>
  <x:c r="AA944" i="3"/>
  <x:c r="Z944" i="3"/>
  <x:c r="Y944" i="3"/>
  <x:c r="X944" i="3"/>
  <x:c r="W944" i="3"/>
  <x:c r="V944" i="3"/>
  <x:c r="U944" i="3"/>
  <x:c r="T944" i="3"/>
  <x:c r="E944" i="3"/>
  <x:c r="B944" i="3"/>
  <x:c r="A944" i="3"/>
  <x:c r="AG943" i="3"/>
  <x:c r="AF943" i="3"/>
  <x:c r="AE943" i="3"/>
  <x:c r="AD943" i="3"/>
  <x:c r="AC943" i="3"/>
  <x:c r="AB943" i="3"/>
  <x:c r="AA943" i="3"/>
  <x:c r="Z943" i="3"/>
  <x:c r="Y943" i="3"/>
  <x:c r="X943" i="3"/>
  <x:c r="W943" i="3"/>
  <x:c r="V943" i="3"/>
  <x:c r="U943" i="3"/>
  <x:c r="T943" i="3"/>
  <x:c r="E943" i="3"/>
  <x:c r="B943" i="3"/>
  <x:c r="A943" i="3"/>
  <x:c r="AG942" i="3"/>
  <x:c r="AF942" i="3"/>
  <x:c r="AE942" i="3"/>
  <x:c r="AD942" i="3"/>
  <x:c r="AC942" i="3"/>
  <x:c r="AB942" i="3"/>
  <x:c r="AA942" i="3"/>
  <x:c r="Z942" i="3"/>
  <x:c r="Y942" i="3"/>
  <x:c r="X942" i="3"/>
  <x:c r="W942" i="3"/>
  <x:c r="V942" i="3"/>
  <x:c r="U942" i="3"/>
  <x:c r="T942" i="3"/>
  <x:c r="E942" i="3"/>
  <x:c r="B942" i="3"/>
  <x:c r="A942" i="3"/>
  <x:c r="AG941" i="3"/>
  <x:c r="AF941" i="3"/>
  <x:c r="AE941" i="3"/>
  <x:c r="AD941" i="3"/>
  <x:c r="AC941" i="3"/>
  <x:c r="AB941" i="3"/>
  <x:c r="AA941" i="3"/>
  <x:c r="Z941" i="3"/>
  <x:c r="Y941" i="3"/>
  <x:c r="X941" i="3"/>
  <x:c r="W941" i="3"/>
  <x:c r="V941" i="3"/>
  <x:c r="U941" i="3"/>
  <x:c r="T941" i="3"/>
  <x:c r="E941" i="3"/>
  <x:c r="B941" i="3"/>
  <x:c r="A941" i="3"/>
  <x:c r="AG940" i="3"/>
  <x:c r="AF940" i="3"/>
  <x:c r="AE940" i="3"/>
  <x:c r="AD940" i="3"/>
  <x:c r="AC940" i="3"/>
  <x:c r="AB940" i="3"/>
  <x:c r="AA940" i="3"/>
  <x:c r="Z940" i="3"/>
  <x:c r="Y940" i="3"/>
  <x:c r="X940" i="3"/>
  <x:c r="W940" i="3"/>
  <x:c r="V940" i="3"/>
  <x:c r="U940" i="3"/>
  <x:c r="T940" i="3"/>
  <x:c r="E940" i="3"/>
  <x:c r="B940" i="3"/>
  <x:c r="A940" i="3"/>
  <x:c r="AG939" i="3"/>
  <x:c r="AF939" i="3"/>
  <x:c r="AE939" i="3"/>
  <x:c r="AD939" i="3"/>
  <x:c r="AC939" i="3"/>
  <x:c r="AB939" i="3"/>
  <x:c r="AA939" i="3"/>
  <x:c r="Z939" i="3"/>
  <x:c r="Y939" i="3"/>
  <x:c r="X939" i="3"/>
  <x:c r="W939" i="3"/>
  <x:c r="V939" i="3"/>
  <x:c r="U939" i="3"/>
  <x:c r="T939" i="3"/>
  <x:c r="E939" i="3"/>
  <x:c r="B939" i="3"/>
  <x:c r="A939" i="3"/>
  <x:c r="AG938" i="3"/>
  <x:c r="AF938" i="3"/>
  <x:c r="AE938" i="3"/>
  <x:c r="AD938" i="3"/>
  <x:c r="AC938" i="3"/>
  <x:c r="AB938" i="3"/>
  <x:c r="AA938" i="3"/>
  <x:c r="Z938" i="3"/>
  <x:c r="Y938" i="3"/>
  <x:c r="X938" i="3"/>
  <x:c r="W938" i="3"/>
  <x:c r="V938" i="3"/>
  <x:c r="U938" i="3"/>
  <x:c r="T938" i="3"/>
  <x:c r="E938" i="3"/>
  <x:c r="B938" i="3"/>
  <x:c r="A938" i="3"/>
  <x:c r="AG937" i="3"/>
  <x:c r="AF937" i="3"/>
  <x:c r="AE937" i="3"/>
  <x:c r="AD937" i="3"/>
  <x:c r="AC937" i="3"/>
  <x:c r="AB937" i="3"/>
  <x:c r="AA937" i="3"/>
  <x:c r="Z937" i="3"/>
  <x:c r="Y937" i="3"/>
  <x:c r="X937" i="3"/>
  <x:c r="W937" i="3"/>
  <x:c r="V937" i="3"/>
  <x:c r="U937" i="3"/>
  <x:c r="T937" i="3"/>
  <x:c r="E937" i="3"/>
  <x:c r="B937" i="3"/>
  <x:c r="A937" i="3"/>
  <x:c r="AG936" i="3"/>
  <x:c r="AF936" i="3"/>
  <x:c r="AE936" i="3"/>
  <x:c r="AD936" i="3"/>
  <x:c r="AC936" i="3"/>
  <x:c r="AB936" i="3"/>
  <x:c r="AA936" i="3"/>
  <x:c r="Z936" i="3"/>
  <x:c r="Y936" i="3"/>
  <x:c r="X936" i="3"/>
  <x:c r="W936" i="3"/>
  <x:c r="V936" i="3"/>
  <x:c r="U936" i="3"/>
  <x:c r="T936" i="3"/>
  <x:c r="E936" i="3"/>
  <x:c r="B936" i="3"/>
  <x:c r="A936" i="3"/>
  <x:c r="AG935" i="3"/>
  <x:c r="AF935" i="3"/>
  <x:c r="AE935" i="3"/>
  <x:c r="AD935" i="3"/>
  <x:c r="AC935" i="3"/>
  <x:c r="AB935" i="3"/>
  <x:c r="AA935" i="3"/>
  <x:c r="Z935" i="3"/>
  <x:c r="Y935" i="3"/>
  <x:c r="X935" i="3"/>
  <x:c r="W935" i="3"/>
  <x:c r="V935" i="3"/>
  <x:c r="U935" i="3"/>
  <x:c r="T935" i="3"/>
  <x:c r="E935" i="3"/>
  <x:c r="B935" i="3"/>
  <x:c r="A935" i="3"/>
  <x:c r="AG934" i="3"/>
  <x:c r="AF934" i="3"/>
  <x:c r="AE934" i="3"/>
  <x:c r="AD934" i="3"/>
  <x:c r="AC934" i="3"/>
  <x:c r="AB934" i="3"/>
  <x:c r="AA934" i="3"/>
  <x:c r="Z934" i="3"/>
  <x:c r="Y934" i="3"/>
  <x:c r="X934" i="3"/>
  <x:c r="W934" i="3"/>
  <x:c r="V934" i="3"/>
  <x:c r="U934" i="3"/>
  <x:c r="T934" i="3"/>
  <x:c r="E934" i="3"/>
  <x:c r="B934" i="3"/>
  <x:c r="A934" i="3"/>
  <x:c r="AG933" i="3"/>
  <x:c r="AF933" i="3"/>
  <x:c r="AE933" i="3"/>
  <x:c r="AD933" i="3"/>
  <x:c r="AC933" i="3"/>
  <x:c r="AB933" i="3"/>
  <x:c r="AA933" i="3"/>
  <x:c r="Z933" i="3"/>
  <x:c r="Y933" i="3"/>
  <x:c r="X933" i="3"/>
  <x:c r="W933" i="3"/>
  <x:c r="V933" i="3"/>
  <x:c r="U933" i="3"/>
  <x:c r="T933" i="3"/>
  <x:c r="E933" i="3"/>
  <x:c r="B933" i="3"/>
  <x:c r="A933" i="3"/>
  <x:c r="AG932" i="3"/>
  <x:c r="AF932" i="3"/>
  <x:c r="AE932" i="3"/>
  <x:c r="AD932" i="3"/>
  <x:c r="AC932" i="3"/>
  <x:c r="AB932" i="3"/>
  <x:c r="AA932" i="3"/>
  <x:c r="Z932" i="3"/>
  <x:c r="Y932" i="3"/>
  <x:c r="X932" i="3"/>
  <x:c r="W932" i="3"/>
  <x:c r="V932" i="3"/>
  <x:c r="U932" i="3"/>
  <x:c r="T932" i="3"/>
  <x:c r="E932" i="3"/>
  <x:c r="B932" i="3"/>
  <x:c r="A932" i="3"/>
  <x:c r="AG931" i="3"/>
  <x:c r="AF931" i="3"/>
  <x:c r="AE931" i="3"/>
  <x:c r="AD931" i="3"/>
  <x:c r="AC931" i="3"/>
  <x:c r="AB931" i="3"/>
  <x:c r="AA931" i="3"/>
  <x:c r="Z931" i="3"/>
  <x:c r="Y931" i="3"/>
  <x:c r="X931" i="3"/>
  <x:c r="W931" i="3"/>
  <x:c r="V931" i="3"/>
  <x:c r="U931" i="3"/>
  <x:c r="T931" i="3"/>
  <x:c r="E931" i="3"/>
  <x:c r="B931" i="3"/>
  <x:c r="A931" i="3"/>
  <x:c r="AG930" i="3"/>
  <x:c r="AF930" i="3"/>
  <x:c r="AE930" i="3"/>
  <x:c r="AD930" i="3"/>
  <x:c r="AC930" i="3"/>
  <x:c r="AB930" i="3"/>
  <x:c r="AA930" i="3"/>
  <x:c r="Z930" i="3"/>
  <x:c r="Y930" i="3"/>
  <x:c r="X930" i="3"/>
  <x:c r="W930" i="3"/>
  <x:c r="V930" i="3"/>
  <x:c r="U930" i="3"/>
  <x:c r="T930" i="3"/>
  <x:c r="E930" i="3"/>
  <x:c r="B930" i="3"/>
  <x:c r="A930" i="3"/>
  <x:c r="AG929" i="3"/>
  <x:c r="AF929" i="3"/>
  <x:c r="AE929" i="3"/>
  <x:c r="AD929" i="3"/>
  <x:c r="AC929" i="3"/>
  <x:c r="AB929" i="3"/>
  <x:c r="AA929" i="3"/>
  <x:c r="Z929" i="3"/>
  <x:c r="Y929" i="3"/>
  <x:c r="X929" i="3"/>
  <x:c r="W929" i="3"/>
  <x:c r="V929" i="3"/>
  <x:c r="U929" i="3"/>
  <x:c r="T929" i="3"/>
  <x:c r="E929" i="3"/>
  <x:c r="B929" i="3"/>
  <x:c r="A929" i="3"/>
  <x:c r="AG928" i="3"/>
  <x:c r="AF928" i="3"/>
  <x:c r="AE928" i="3"/>
  <x:c r="AD928" i="3"/>
  <x:c r="AC928" i="3"/>
  <x:c r="AB928" i="3"/>
  <x:c r="AA928" i="3"/>
  <x:c r="Z928" i="3"/>
  <x:c r="Y928" i="3"/>
  <x:c r="X928" i="3"/>
  <x:c r="W928" i="3"/>
  <x:c r="V928" i="3"/>
  <x:c r="U928" i="3"/>
  <x:c r="T928" i="3"/>
  <x:c r="E928" i="3"/>
  <x:c r="B928" i="3"/>
  <x:c r="A928" i="3"/>
  <x:c r="AG927" i="3"/>
  <x:c r="AF927" i="3"/>
  <x:c r="AE927" i="3"/>
  <x:c r="AD927" i="3"/>
  <x:c r="AC927" i="3"/>
  <x:c r="AB927" i="3"/>
  <x:c r="AA927" i="3"/>
  <x:c r="Z927" i="3"/>
  <x:c r="Y927" i="3"/>
  <x:c r="X927" i="3"/>
  <x:c r="W927" i="3"/>
  <x:c r="V927" i="3"/>
  <x:c r="U927" i="3"/>
  <x:c r="T927" i="3"/>
  <x:c r="E927" i="3"/>
  <x:c r="B927" i="3"/>
  <x:c r="A927" i="3"/>
  <x:c r="AG926" i="3"/>
  <x:c r="AF926" i="3"/>
  <x:c r="AE926" i="3"/>
  <x:c r="AD926" i="3"/>
  <x:c r="AC926" i="3"/>
  <x:c r="AB926" i="3"/>
  <x:c r="AA926" i="3"/>
  <x:c r="Z926" i="3"/>
  <x:c r="Y926" i="3"/>
  <x:c r="X926" i="3"/>
  <x:c r="W926" i="3"/>
  <x:c r="V926" i="3"/>
  <x:c r="U926" i="3"/>
  <x:c r="T926" i="3"/>
  <x:c r="E926" i="3"/>
  <x:c r="B926" i="3"/>
  <x:c r="A926" i="3"/>
  <x:c r="AG925" i="3"/>
  <x:c r="AF925" i="3"/>
  <x:c r="AE925" i="3"/>
  <x:c r="AD925" i="3"/>
  <x:c r="AC925" i="3"/>
  <x:c r="AB925" i="3"/>
  <x:c r="AA925" i="3"/>
  <x:c r="Z925" i="3"/>
  <x:c r="Y925" i="3"/>
  <x:c r="X925" i="3"/>
  <x:c r="W925" i="3"/>
  <x:c r="V925" i="3"/>
  <x:c r="U925" i="3"/>
  <x:c r="T925" i="3"/>
  <x:c r="E925" i="3"/>
  <x:c r="B925" i="3"/>
  <x:c r="A925" i="3"/>
  <x:c r="AG924" i="3"/>
  <x:c r="AF924" i="3"/>
  <x:c r="AE924" i="3"/>
  <x:c r="AD924" i="3"/>
  <x:c r="AC924" i="3"/>
  <x:c r="AB924" i="3"/>
  <x:c r="AA924" i="3"/>
  <x:c r="Z924" i="3"/>
  <x:c r="Y924" i="3"/>
  <x:c r="X924" i="3"/>
  <x:c r="W924" i="3"/>
  <x:c r="V924" i="3"/>
  <x:c r="U924" i="3"/>
  <x:c r="T924" i="3"/>
  <x:c r="E924" i="3"/>
  <x:c r="B924" i="3"/>
  <x:c r="A924" i="3"/>
  <x:c r="AG923" i="3"/>
  <x:c r="AF923" i="3"/>
  <x:c r="AE923" i="3"/>
  <x:c r="AD923" i="3"/>
  <x:c r="AC923" i="3"/>
  <x:c r="AB923" i="3"/>
  <x:c r="AA923" i="3"/>
  <x:c r="Z923" i="3"/>
  <x:c r="Y923" i="3"/>
  <x:c r="X923" i="3"/>
  <x:c r="W923" i="3"/>
  <x:c r="V923" i="3"/>
  <x:c r="U923" i="3"/>
  <x:c r="T923" i="3"/>
  <x:c r="E923" i="3"/>
  <x:c r="B923" i="3"/>
  <x:c r="A923" i="3"/>
  <x:c r="AG922" i="3"/>
  <x:c r="AF922" i="3"/>
  <x:c r="AE922" i="3"/>
  <x:c r="AD922" i="3"/>
  <x:c r="AC922" i="3"/>
  <x:c r="AB922" i="3"/>
  <x:c r="AA922" i="3"/>
  <x:c r="Z922" i="3"/>
  <x:c r="Y922" i="3"/>
  <x:c r="X922" i="3"/>
  <x:c r="W922" i="3"/>
  <x:c r="V922" i="3"/>
  <x:c r="U922" i="3"/>
  <x:c r="T922" i="3"/>
  <x:c r="E922" i="3"/>
  <x:c r="B922" i="3"/>
  <x:c r="A922" i="3"/>
  <x:c r="AG921" i="3"/>
  <x:c r="AF921" i="3"/>
  <x:c r="AE921" i="3"/>
  <x:c r="AD921" i="3"/>
  <x:c r="AC921" i="3"/>
  <x:c r="AB921" i="3"/>
  <x:c r="AA921" i="3"/>
  <x:c r="Z921" i="3"/>
  <x:c r="Y921" i="3"/>
  <x:c r="X921" i="3"/>
  <x:c r="W921" i="3"/>
  <x:c r="V921" i="3"/>
  <x:c r="U921" i="3"/>
  <x:c r="T921" i="3"/>
  <x:c r="E921" i="3"/>
  <x:c r="B921" i="3"/>
  <x:c r="A921" i="3"/>
  <x:c r="AG920" i="3"/>
  <x:c r="AF920" i="3"/>
  <x:c r="AE920" i="3"/>
  <x:c r="AD920" i="3"/>
  <x:c r="AC920" i="3"/>
  <x:c r="AB920" i="3"/>
  <x:c r="AA920" i="3"/>
  <x:c r="Z920" i="3"/>
  <x:c r="Y920" i="3"/>
  <x:c r="X920" i="3"/>
  <x:c r="W920" i="3"/>
  <x:c r="V920" i="3"/>
  <x:c r="U920" i="3"/>
  <x:c r="T920" i="3"/>
  <x:c r="E920" i="3"/>
  <x:c r="B920" i="3"/>
  <x:c r="A920" i="3"/>
  <x:c r="AG919" i="3"/>
  <x:c r="AF919" i="3"/>
  <x:c r="AE919" i="3"/>
  <x:c r="AD919" i="3"/>
  <x:c r="AC919" i="3"/>
  <x:c r="AB919" i="3"/>
  <x:c r="AA919" i="3"/>
  <x:c r="Z919" i="3"/>
  <x:c r="Y919" i="3"/>
  <x:c r="X919" i="3"/>
  <x:c r="W919" i="3"/>
  <x:c r="V919" i="3"/>
  <x:c r="U919" i="3"/>
  <x:c r="T919" i="3"/>
  <x:c r="E919" i="3"/>
  <x:c r="B919" i="3"/>
  <x:c r="A919" i="3"/>
  <x:c r="AG918" i="3"/>
  <x:c r="AF918" i="3"/>
  <x:c r="AE918" i="3"/>
  <x:c r="AD918" i="3"/>
  <x:c r="AC918" i="3"/>
  <x:c r="AB918" i="3"/>
  <x:c r="AA918" i="3"/>
  <x:c r="Z918" i="3"/>
  <x:c r="Y918" i="3"/>
  <x:c r="X918" i="3"/>
  <x:c r="W918" i="3"/>
  <x:c r="V918" i="3"/>
  <x:c r="U918" i="3"/>
  <x:c r="T918" i="3"/>
  <x:c r="E918" i="3"/>
  <x:c r="B918" i="3"/>
  <x:c r="A918" i="3"/>
  <x:c r="AG917" i="3"/>
  <x:c r="AF917" i="3"/>
  <x:c r="AE917" i="3"/>
  <x:c r="AD917" i="3"/>
  <x:c r="AC917" i="3"/>
  <x:c r="AB917" i="3"/>
  <x:c r="AA917" i="3"/>
  <x:c r="Z917" i="3"/>
  <x:c r="Y917" i="3"/>
  <x:c r="X917" i="3"/>
  <x:c r="W917" i="3"/>
  <x:c r="V917" i="3"/>
  <x:c r="U917" i="3"/>
  <x:c r="T917" i="3"/>
  <x:c r="E917" i="3"/>
  <x:c r="B917" i="3"/>
  <x:c r="A917" i="3"/>
  <x:c r="AG916" i="3"/>
  <x:c r="AF916" i="3"/>
  <x:c r="AE916" i="3"/>
  <x:c r="AD916" i="3"/>
  <x:c r="AC916" i="3"/>
  <x:c r="AB916" i="3"/>
  <x:c r="AA916" i="3"/>
  <x:c r="Z916" i="3"/>
  <x:c r="Y916" i="3"/>
  <x:c r="X916" i="3"/>
  <x:c r="W916" i="3"/>
  <x:c r="V916" i="3"/>
  <x:c r="U916" i="3"/>
  <x:c r="T916" i="3"/>
  <x:c r="E916" i="3"/>
  <x:c r="B916" i="3"/>
  <x:c r="A916" i="3"/>
  <x:c r="AG915" i="3"/>
  <x:c r="AF915" i="3"/>
  <x:c r="AE915" i="3"/>
  <x:c r="AD915" i="3"/>
  <x:c r="AC915" i="3"/>
  <x:c r="AB915" i="3"/>
  <x:c r="AA915" i="3"/>
  <x:c r="Z915" i="3"/>
  <x:c r="Y915" i="3"/>
  <x:c r="X915" i="3"/>
  <x:c r="W915" i="3"/>
  <x:c r="V915" i="3"/>
  <x:c r="U915" i="3"/>
  <x:c r="T915" i="3"/>
  <x:c r="E915" i="3"/>
  <x:c r="B915" i="3"/>
  <x:c r="A915" i="3"/>
  <x:c r="AG914" i="3"/>
  <x:c r="AF914" i="3"/>
  <x:c r="AE914" i="3"/>
  <x:c r="AD914" i="3"/>
  <x:c r="AC914" i="3"/>
  <x:c r="AB914" i="3"/>
  <x:c r="AA914" i="3"/>
  <x:c r="Z914" i="3"/>
  <x:c r="Y914" i="3"/>
  <x:c r="X914" i="3"/>
  <x:c r="W914" i="3"/>
  <x:c r="V914" i="3"/>
  <x:c r="U914" i="3"/>
  <x:c r="T914" i="3"/>
  <x:c r="E914" i="3"/>
  <x:c r="B914" i="3"/>
  <x:c r="A914" i="3"/>
  <x:c r="AG913" i="3"/>
  <x:c r="AF913" i="3"/>
  <x:c r="AE913" i="3"/>
  <x:c r="AD913" i="3"/>
  <x:c r="AC913" i="3"/>
  <x:c r="AB913" i="3"/>
  <x:c r="AA913" i="3"/>
  <x:c r="Z913" i="3"/>
  <x:c r="Y913" i="3"/>
  <x:c r="X913" i="3"/>
  <x:c r="W913" i="3"/>
  <x:c r="V913" i="3"/>
  <x:c r="U913" i="3"/>
  <x:c r="T913" i="3"/>
  <x:c r="E913" i="3"/>
  <x:c r="B913" i="3"/>
  <x:c r="A913" i="3"/>
  <x:c r="AG912" i="3"/>
  <x:c r="AF912" i="3"/>
  <x:c r="AE912" i="3"/>
  <x:c r="AD912" i="3"/>
  <x:c r="AC912" i="3"/>
  <x:c r="AB912" i="3"/>
  <x:c r="AA912" i="3"/>
  <x:c r="Z912" i="3"/>
  <x:c r="Y912" i="3"/>
  <x:c r="X912" i="3"/>
  <x:c r="W912" i="3"/>
  <x:c r="V912" i="3"/>
  <x:c r="U912" i="3"/>
  <x:c r="T912" i="3"/>
  <x:c r="E912" i="3"/>
  <x:c r="B912" i="3"/>
  <x:c r="A912" i="3"/>
  <x:c r="AG911" i="3"/>
  <x:c r="AF911" i="3"/>
  <x:c r="AE911" i="3"/>
  <x:c r="AD911" i="3"/>
  <x:c r="AC911" i="3"/>
  <x:c r="AB911" i="3"/>
  <x:c r="AA911" i="3"/>
  <x:c r="Z911" i="3"/>
  <x:c r="Y911" i="3"/>
  <x:c r="X911" i="3"/>
  <x:c r="W911" i="3"/>
  <x:c r="V911" i="3"/>
  <x:c r="U911" i="3"/>
  <x:c r="T911" i="3"/>
  <x:c r="E911" i="3"/>
  <x:c r="B911" i="3"/>
  <x:c r="A911" i="3"/>
  <x:c r="AG910" i="3"/>
  <x:c r="AF910" i="3"/>
  <x:c r="AE910" i="3"/>
  <x:c r="AD910" i="3"/>
  <x:c r="AC910" i="3"/>
  <x:c r="AB910" i="3"/>
  <x:c r="AA910" i="3"/>
  <x:c r="Z910" i="3"/>
  <x:c r="Y910" i="3"/>
  <x:c r="X910" i="3"/>
  <x:c r="W910" i="3"/>
  <x:c r="V910" i="3"/>
  <x:c r="U910" i="3"/>
  <x:c r="T910" i="3"/>
  <x:c r="E910" i="3"/>
  <x:c r="B910" i="3"/>
  <x:c r="A910" i="3"/>
  <x:c r="AG909" i="3"/>
  <x:c r="AF909" i="3"/>
  <x:c r="AE909" i="3"/>
  <x:c r="AD909" i="3"/>
  <x:c r="AC909" i="3"/>
  <x:c r="AB909" i="3"/>
  <x:c r="AA909" i="3"/>
  <x:c r="Z909" i="3"/>
  <x:c r="Y909" i="3"/>
  <x:c r="X909" i="3"/>
  <x:c r="W909" i="3"/>
  <x:c r="V909" i="3"/>
  <x:c r="U909" i="3"/>
  <x:c r="T909" i="3"/>
  <x:c r="E909" i="3"/>
  <x:c r="B909" i="3"/>
  <x:c r="A909" i="3"/>
  <x:c r="AG908" i="3"/>
  <x:c r="AF908" i="3"/>
  <x:c r="AE908" i="3"/>
  <x:c r="AD908" i="3"/>
  <x:c r="AC908" i="3"/>
  <x:c r="AB908" i="3"/>
  <x:c r="AA908" i="3"/>
  <x:c r="Z908" i="3"/>
  <x:c r="Y908" i="3"/>
  <x:c r="X908" i="3"/>
  <x:c r="W908" i="3"/>
  <x:c r="V908" i="3"/>
  <x:c r="U908" i="3"/>
  <x:c r="T908" i="3"/>
  <x:c r="E908" i="3"/>
  <x:c r="B908" i="3"/>
  <x:c r="A908" i="3"/>
  <x:c r="AG907" i="3"/>
  <x:c r="AF907" i="3"/>
  <x:c r="AE907" i="3"/>
  <x:c r="AD907" i="3"/>
  <x:c r="AC907" i="3"/>
  <x:c r="AB907" i="3"/>
  <x:c r="AA907" i="3"/>
  <x:c r="Z907" i="3"/>
  <x:c r="Y907" i="3"/>
  <x:c r="X907" i="3"/>
  <x:c r="W907" i="3"/>
  <x:c r="V907" i="3"/>
  <x:c r="U907" i="3"/>
  <x:c r="T907" i="3"/>
  <x:c r="E907" i="3"/>
  <x:c r="B907" i="3"/>
  <x:c r="A907" i="3"/>
  <x:c r="AG906" i="3"/>
  <x:c r="AF906" i="3"/>
  <x:c r="AE906" i="3"/>
  <x:c r="AD906" i="3"/>
  <x:c r="AC906" i="3"/>
  <x:c r="AB906" i="3"/>
  <x:c r="AA906" i="3"/>
  <x:c r="Z906" i="3"/>
  <x:c r="Y906" i="3"/>
  <x:c r="X906" i="3"/>
  <x:c r="W906" i="3"/>
  <x:c r="V906" i="3"/>
  <x:c r="U906" i="3"/>
  <x:c r="T906" i="3"/>
  <x:c r="E906" i="3"/>
  <x:c r="B906" i="3"/>
  <x:c r="A906" i="3"/>
  <x:c r="AG905" i="3"/>
  <x:c r="AF905" i="3"/>
  <x:c r="AE905" i="3"/>
  <x:c r="AD905" i="3"/>
  <x:c r="AC905" i="3"/>
  <x:c r="AB905" i="3"/>
  <x:c r="AA905" i="3"/>
  <x:c r="Z905" i="3"/>
  <x:c r="Y905" i="3"/>
  <x:c r="X905" i="3"/>
  <x:c r="W905" i="3"/>
  <x:c r="V905" i="3"/>
  <x:c r="U905" i="3"/>
  <x:c r="T905" i="3"/>
  <x:c r="E905" i="3"/>
  <x:c r="B905" i="3"/>
  <x:c r="A905" i="3"/>
  <x:c r="AG904" i="3"/>
  <x:c r="AF904" i="3"/>
  <x:c r="AE904" i="3"/>
  <x:c r="AD904" i="3"/>
  <x:c r="AC904" i="3"/>
  <x:c r="AB904" i="3"/>
  <x:c r="AA904" i="3"/>
  <x:c r="Z904" i="3"/>
  <x:c r="Y904" i="3"/>
  <x:c r="X904" i="3"/>
  <x:c r="W904" i="3"/>
  <x:c r="V904" i="3"/>
  <x:c r="U904" i="3"/>
  <x:c r="T904" i="3"/>
  <x:c r="E904" i="3"/>
  <x:c r="B904" i="3"/>
  <x:c r="A904" i="3"/>
  <x:c r="AG903" i="3"/>
  <x:c r="AF903" i="3"/>
  <x:c r="AE903" i="3"/>
  <x:c r="AD903" i="3"/>
  <x:c r="AC903" i="3"/>
  <x:c r="AB903" i="3"/>
  <x:c r="AA903" i="3"/>
  <x:c r="Z903" i="3"/>
  <x:c r="Y903" i="3"/>
  <x:c r="X903" i="3"/>
  <x:c r="W903" i="3"/>
  <x:c r="V903" i="3"/>
  <x:c r="U903" i="3"/>
  <x:c r="T903" i="3"/>
  <x:c r="E903" i="3"/>
  <x:c r="B903" i="3"/>
  <x:c r="A903" i="3"/>
  <x:c r="AG902" i="3"/>
  <x:c r="AF902" i="3"/>
  <x:c r="AE902" i="3"/>
  <x:c r="AD902" i="3"/>
  <x:c r="AC902" i="3"/>
  <x:c r="AB902" i="3"/>
  <x:c r="AA902" i="3"/>
  <x:c r="Z902" i="3"/>
  <x:c r="Y902" i="3"/>
  <x:c r="X902" i="3"/>
  <x:c r="W902" i="3"/>
  <x:c r="V902" i="3"/>
  <x:c r="U902" i="3"/>
  <x:c r="T902" i="3"/>
  <x:c r="E902" i="3"/>
  <x:c r="B902" i="3"/>
  <x:c r="A902" i="3"/>
  <x:c r="AG901" i="3"/>
  <x:c r="AF901" i="3"/>
  <x:c r="AE901" i="3"/>
  <x:c r="AD901" i="3"/>
  <x:c r="AC901" i="3"/>
  <x:c r="AB901" i="3"/>
  <x:c r="AA901" i="3"/>
  <x:c r="Z901" i="3"/>
  <x:c r="Y901" i="3"/>
  <x:c r="X901" i="3"/>
  <x:c r="W901" i="3"/>
  <x:c r="V901" i="3"/>
  <x:c r="U901" i="3"/>
  <x:c r="T901" i="3"/>
  <x:c r="E901" i="3"/>
  <x:c r="B901" i="3"/>
  <x:c r="A901" i="3"/>
  <x:c r="AG900" i="3"/>
  <x:c r="AF900" i="3"/>
  <x:c r="AE900" i="3"/>
  <x:c r="AD900" i="3"/>
  <x:c r="AC900" i="3"/>
  <x:c r="AB900" i="3"/>
  <x:c r="AA900" i="3"/>
  <x:c r="Z900" i="3"/>
  <x:c r="Y900" i="3"/>
  <x:c r="X900" i="3"/>
  <x:c r="W900" i="3"/>
  <x:c r="V900" i="3"/>
  <x:c r="U900" i="3"/>
  <x:c r="T900" i="3"/>
  <x:c r="E900" i="3"/>
  <x:c r="B900" i="3"/>
  <x:c r="A900" i="3"/>
  <x:c r="AG899" i="3"/>
  <x:c r="AF899" i="3"/>
  <x:c r="AE899" i="3"/>
  <x:c r="AD899" i="3"/>
  <x:c r="AC899" i="3"/>
  <x:c r="AB899" i="3"/>
  <x:c r="AA899" i="3"/>
  <x:c r="Z899" i="3"/>
  <x:c r="Y899" i="3"/>
  <x:c r="X899" i="3"/>
  <x:c r="W899" i="3"/>
  <x:c r="V899" i="3"/>
  <x:c r="U899" i="3"/>
  <x:c r="T899" i="3"/>
  <x:c r="E899" i="3"/>
  <x:c r="B899" i="3"/>
  <x:c r="A899" i="3"/>
  <x:c r="AG898" i="3"/>
  <x:c r="AF898" i="3"/>
  <x:c r="AE898" i="3"/>
  <x:c r="AD898" i="3"/>
  <x:c r="AC898" i="3"/>
  <x:c r="AB898" i="3"/>
  <x:c r="AA898" i="3"/>
  <x:c r="Z898" i="3"/>
  <x:c r="Y898" i="3"/>
  <x:c r="X898" i="3"/>
  <x:c r="W898" i="3"/>
  <x:c r="V898" i="3"/>
  <x:c r="U898" i="3"/>
  <x:c r="T898" i="3"/>
  <x:c r="E898" i="3"/>
  <x:c r="B898" i="3"/>
  <x:c r="A898" i="3"/>
  <x:c r="AG897" i="3"/>
  <x:c r="AF897" i="3"/>
  <x:c r="AE897" i="3"/>
  <x:c r="AD897" i="3"/>
  <x:c r="AC897" i="3"/>
  <x:c r="AB897" i="3"/>
  <x:c r="AA897" i="3"/>
  <x:c r="Z897" i="3"/>
  <x:c r="Y897" i="3"/>
  <x:c r="X897" i="3"/>
  <x:c r="W897" i="3"/>
  <x:c r="V897" i="3"/>
  <x:c r="U897" i="3"/>
  <x:c r="T897" i="3"/>
  <x:c r="E897" i="3"/>
  <x:c r="B897" i="3"/>
  <x:c r="A897" i="3"/>
  <x:c r="AG896" i="3"/>
  <x:c r="AF896" i="3"/>
  <x:c r="AE896" i="3"/>
  <x:c r="AD896" i="3"/>
  <x:c r="AC896" i="3"/>
  <x:c r="AB896" i="3"/>
  <x:c r="AA896" i="3"/>
  <x:c r="Z896" i="3"/>
  <x:c r="Y896" i="3"/>
  <x:c r="X896" i="3"/>
  <x:c r="W896" i="3"/>
  <x:c r="V896" i="3"/>
  <x:c r="U896" i="3"/>
  <x:c r="T896" i="3"/>
  <x:c r="E896" i="3"/>
  <x:c r="B896" i="3"/>
  <x:c r="A896" i="3"/>
  <x:c r="AG895" i="3"/>
  <x:c r="AF895" i="3"/>
  <x:c r="AE895" i="3"/>
  <x:c r="AD895" i="3"/>
  <x:c r="AC895" i="3"/>
  <x:c r="AB895" i="3"/>
  <x:c r="AA895" i="3"/>
  <x:c r="Z895" i="3"/>
  <x:c r="Y895" i="3"/>
  <x:c r="X895" i="3"/>
  <x:c r="W895" i="3"/>
  <x:c r="V895" i="3"/>
  <x:c r="U895" i="3"/>
  <x:c r="T895" i="3"/>
  <x:c r="E895" i="3"/>
  <x:c r="B895" i="3"/>
  <x:c r="A895" i="3"/>
  <x:c r="AG894" i="3"/>
  <x:c r="AF894" i="3"/>
  <x:c r="AE894" i="3"/>
  <x:c r="AD894" i="3"/>
  <x:c r="AC894" i="3"/>
  <x:c r="AB894" i="3"/>
  <x:c r="AA894" i="3"/>
  <x:c r="Z894" i="3"/>
  <x:c r="Y894" i="3"/>
  <x:c r="X894" i="3"/>
  <x:c r="W894" i="3"/>
  <x:c r="V894" i="3"/>
  <x:c r="U894" i="3"/>
  <x:c r="T894" i="3"/>
  <x:c r="E894" i="3"/>
  <x:c r="B894" i="3"/>
  <x:c r="A894" i="3"/>
  <x:c r="AG893" i="3"/>
  <x:c r="AF893" i="3"/>
  <x:c r="AE893" i="3"/>
  <x:c r="AD893" i="3"/>
  <x:c r="AC893" i="3"/>
  <x:c r="AB893" i="3"/>
  <x:c r="AA893" i="3"/>
  <x:c r="Z893" i="3"/>
  <x:c r="Y893" i="3"/>
  <x:c r="X893" i="3"/>
  <x:c r="W893" i="3"/>
  <x:c r="V893" i="3"/>
  <x:c r="U893" i="3"/>
  <x:c r="T893" i="3"/>
  <x:c r="E893" i="3"/>
  <x:c r="B893" i="3"/>
  <x:c r="A893" i="3"/>
  <x:c r="AG892" i="3"/>
  <x:c r="AF892" i="3"/>
  <x:c r="AE892" i="3"/>
  <x:c r="AD892" i="3"/>
  <x:c r="AC892" i="3"/>
  <x:c r="AB892" i="3"/>
  <x:c r="AA892" i="3"/>
  <x:c r="Z892" i="3"/>
  <x:c r="Y892" i="3"/>
  <x:c r="X892" i="3"/>
  <x:c r="W892" i="3"/>
  <x:c r="V892" i="3"/>
  <x:c r="U892" i="3"/>
  <x:c r="T892" i="3"/>
  <x:c r="E892" i="3"/>
  <x:c r="B892" i="3"/>
  <x:c r="A892" i="3"/>
  <x:c r="AG891" i="3"/>
  <x:c r="AF891" i="3"/>
  <x:c r="AE891" i="3"/>
  <x:c r="AD891" i="3"/>
  <x:c r="AC891" i="3"/>
  <x:c r="AB891" i="3"/>
  <x:c r="AA891" i="3"/>
  <x:c r="Z891" i="3"/>
  <x:c r="Y891" i="3"/>
  <x:c r="X891" i="3"/>
  <x:c r="W891" i="3"/>
  <x:c r="V891" i="3"/>
  <x:c r="U891" i="3"/>
  <x:c r="T891" i="3"/>
  <x:c r="E891" i="3"/>
  <x:c r="B891" i="3"/>
  <x:c r="A891" i="3"/>
  <x:c r="AG890" i="3"/>
  <x:c r="AF890" i="3"/>
  <x:c r="AE890" i="3"/>
  <x:c r="AD890" i="3"/>
  <x:c r="AC890" i="3"/>
  <x:c r="AB890" i="3"/>
  <x:c r="AA890" i="3"/>
  <x:c r="Z890" i="3"/>
  <x:c r="Y890" i="3"/>
  <x:c r="X890" i="3"/>
  <x:c r="W890" i="3"/>
  <x:c r="V890" i="3"/>
  <x:c r="U890" i="3"/>
  <x:c r="T890" i="3"/>
  <x:c r="E890" i="3"/>
  <x:c r="B890" i="3"/>
  <x:c r="A890" i="3"/>
  <x:c r="AG889" i="3"/>
  <x:c r="AF889" i="3"/>
  <x:c r="AE889" i="3"/>
  <x:c r="AD889" i="3"/>
  <x:c r="AC889" i="3"/>
  <x:c r="AB889" i="3"/>
  <x:c r="AA889" i="3"/>
  <x:c r="Z889" i="3"/>
  <x:c r="Y889" i="3"/>
  <x:c r="X889" i="3"/>
  <x:c r="W889" i="3"/>
  <x:c r="V889" i="3"/>
  <x:c r="U889" i="3"/>
  <x:c r="T889" i="3"/>
  <x:c r="E889" i="3"/>
  <x:c r="B889" i="3"/>
  <x:c r="A889" i="3"/>
  <x:c r="AG888" i="3"/>
  <x:c r="AF888" i="3"/>
  <x:c r="AE888" i="3"/>
  <x:c r="AD888" i="3"/>
  <x:c r="AC888" i="3"/>
  <x:c r="AB888" i="3"/>
  <x:c r="AA888" i="3"/>
  <x:c r="Z888" i="3"/>
  <x:c r="Y888" i="3"/>
  <x:c r="X888" i="3"/>
  <x:c r="W888" i="3"/>
  <x:c r="V888" i="3"/>
  <x:c r="U888" i="3"/>
  <x:c r="T888" i="3"/>
  <x:c r="E888" i="3"/>
  <x:c r="B888" i="3"/>
  <x:c r="A888" i="3"/>
  <x:c r="AG887" i="3"/>
  <x:c r="AF887" i="3"/>
  <x:c r="AE887" i="3"/>
  <x:c r="AD887" i="3"/>
  <x:c r="AC887" i="3"/>
  <x:c r="AB887" i="3"/>
  <x:c r="AA887" i="3"/>
  <x:c r="Z887" i="3"/>
  <x:c r="Y887" i="3"/>
  <x:c r="X887" i="3"/>
  <x:c r="W887" i="3"/>
  <x:c r="V887" i="3"/>
  <x:c r="U887" i="3"/>
  <x:c r="T887" i="3"/>
  <x:c r="E887" i="3"/>
  <x:c r="B887" i="3"/>
  <x:c r="A887" i="3"/>
  <x:c r="AG886" i="3"/>
  <x:c r="AF886" i="3"/>
  <x:c r="AE886" i="3"/>
  <x:c r="AD886" i="3"/>
  <x:c r="AC886" i="3"/>
  <x:c r="AB886" i="3"/>
  <x:c r="AA886" i="3"/>
  <x:c r="Z886" i="3"/>
  <x:c r="Y886" i="3"/>
  <x:c r="X886" i="3"/>
  <x:c r="W886" i="3"/>
  <x:c r="V886" i="3"/>
  <x:c r="U886" i="3"/>
  <x:c r="T886" i="3"/>
  <x:c r="E886" i="3"/>
  <x:c r="B886" i="3"/>
  <x:c r="A886" i="3"/>
  <x:c r="AG885" i="3"/>
  <x:c r="AF885" i="3"/>
  <x:c r="AE885" i="3"/>
  <x:c r="AD885" i="3"/>
  <x:c r="AC885" i="3"/>
  <x:c r="AB885" i="3"/>
  <x:c r="AA885" i="3"/>
  <x:c r="Z885" i="3"/>
  <x:c r="Y885" i="3"/>
  <x:c r="X885" i="3"/>
  <x:c r="W885" i="3"/>
  <x:c r="V885" i="3"/>
  <x:c r="U885" i="3"/>
  <x:c r="T885" i="3"/>
  <x:c r="E885" i="3"/>
  <x:c r="B885" i="3"/>
  <x:c r="A885" i="3"/>
  <x:c r="AG884" i="3"/>
  <x:c r="AF884" i="3"/>
  <x:c r="AE884" i="3"/>
  <x:c r="AD884" i="3"/>
  <x:c r="AC884" i="3"/>
  <x:c r="AB884" i="3"/>
  <x:c r="AA884" i="3"/>
  <x:c r="Z884" i="3"/>
  <x:c r="Y884" i="3"/>
  <x:c r="X884" i="3"/>
  <x:c r="W884" i="3"/>
  <x:c r="V884" i="3"/>
  <x:c r="U884" i="3"/>
  <x:c r="T884" i="3"/>
  <x:c r="E884" i="3"/>
  <x:c r="B884" i="3"/>
  <x:c r="A884" i="3"/>
  <x:c r="AG883" i="3"/>
  <x:c r="AF883" i="3"/>
  <x:c r="AE883" i="3"/>
  <x:c r="AD883" i="3"/>
  <x:c r="AC883" i="3"/>
  <x:c r="AB883" i="3"/>
  <x:c r="AA883" i="3"/>
  <x:c r="Z883" i="3"/>
  <x:c r="Y883" i="3"/>
  <x:c r="X883" i="3"/>
  <x:c r="W883" i="3"/>
  <x:c r="V883" i="3"/>
  <x:c r="U883" i="3"/>
  <x:c r="T883" i="3"/>
  <x:c r="E883" i="3"/>
  <x:c r="B883" i="3"/>
  <x:c r="A883" i="3"/>
  <x:c r="AG882" i="3"/>
  <x:c r="AF882" i="3"/>
  <x:c r="AE882" i="3"/>
  <x:c r="AD882" i="3"/>
  <x:c r="AC882" i="3"/>
  <x:c r="AB882" i="3"/>
  <x:c r="AA882" i="3"/>
  <x:c r="Z882" i="3"/>
  <x:c r="Y882" i="3"/>
  <x:c r="X882" i="3"/>
  <x:c r="W882" i="3"/>
  <x:c r="V882" i="3"/>
  <x:c r="U882" i="3"/>
  <x:c r="T882" i="3"/>
  <x:c r="E882" i="3"/>
  <x:c r="B882" i="3"/>
  <x:c r="A882" i="3"/>
  <x:c r="AG881" i="3"/>
  <x:c r="AF881" i="3"/>
  <x:c r="AE881" i="3"/>
  <x:c r="AD881" i="3"/>
  <x:c r="AC881" i="3"/>
  <x:c r="AB881" i="3"/>
  <x:c r="AA881" i="3"/>
  <x:c r="Z881" i="3"/>
  <x:c r="Y881" i="3"/>
  <x:c r="X881" i="3"/>
  <x:c r="W881" i="3"/>
  <x:c r="V881" i="3"/>
  <x:c r="U881" i="3"/>
  <x:c r="T881" i="3"/>
  <x:c r="E881" i="3"/>
  <x:c r="B881" i="3"/>
  <x:c r="A881" i="3"/>
  <x:c r="AG880" i="3"/>
  <x:c r="AF880" i="3"/>
  <x:c r="AE880" i="3"/>
  <x:c r="AD880" i="3"/>
  <x:c r="AC880" i="3"/>
  <x:c r="AB880" i="3"/>
  <x:c r="AA880" i="3"/>
  <x:c r="Z880" i="3"/>
  <x:c r="Y880" i="3"/>
  <x:c r="X880" i="3"/>
  <x:c r="W880" i="3"/>
  <x:c r="V880" i="3"/>
  <x:c r="U880" i="3"/>
  <x:c r="T880" i="3"/>
  <x:c r="E880" i="3"/>
  <x:c r="B880" i="3"/>
  <x:c r="A880" i="3"/>
  <x:c r="AG879" i="3"/>
  <x:c r="AF879" i="3"/>
  <x:c r="AE879" i="3"/>
  <x:c r="AD879" i="3"/>
  <x:c r="AC879" i="3"/>
  <x:c r="AB879" i="3"/>
  <x:c r="AA879" i="3"/>
  <x:c r="Z879" i="3"/>
  <x:c r="Y879" i="3"/>
  <x:c r="X879" i="3"/>
  <x:c r="W879" i="3"/>
  <x:c r="V879" i="3"/>
  <x:c r="U879" i="3"/>
  <x:c r="T879" i="3"/>
  <x:c r="E879" i="3"/>
  <x:c r="B879" i="3"/>
  <x:c r="A879" i="3"/>
  <x:c r="AG878" i="3"/>
  <x:c r="AF878" i="3"/>
  <x:c r="AE878" i="3"/>
  <x:c r="AD878" i="3"/>
  <x:c r="AC878" i="3"/>
  <x:c r="AB878" i="3"/>
  <x:c r="AA878" i="3"/>
  <x:c r="Z878" i="3"/>
  <x:c r="Y878" i="3"/>
  <x:c r="X878" i="3"/>
  <x:c r="W878" i="3"/>
  <x:c r="V878" i="3"/>
  <x:c r="U878" i="3"/>
  <x:c r="T878" i="3"/>
  <x:c r="E878" i="3"/>
  <x:c r="B878" i="3"/>
  <x:c r="A878" i="3"/>
  <x:c r="AG877" i="3"/>
  <x:c r="AF877" i="3"/>
  <x:c r="AE877" i="3"/>
  <x:c r="AD877" i="3"/>
  <x:c r="AC877" i="3"/>
  <x:c r="AB877" i="3"/>
  <x:c r="AA877" i="3"/>
  <x:c r="Z877" i="3"/>
  <x:c r="Y877" i="3"/>
  <x:c r="X877" i="3"/>
  <x:c r="W877" i="3"/>
  <x:c r="V877" i="3"/>
  <x:c r="U877" i="3"/>
  <x:c r="T877" i="3"/>
  <x:c r="E877" i="3"/>
  <x:c r="B877" i="3"/>
  <x:c r="A877" i="3"/>
  <x:c r="AG876" i="3"/>
  <x:c r="AF876" i="3"/>
  <x:c r="AE876" i="3"/>
  <x:c r="AD876" i="3"/>
  <x:c r="AC876" i="3"/>
  <x:c r="AB876" i="3"/>
  <x:c r="AA876" i="3"/>
  <x:c r="Z876" i="3"/>
  <x:c r="Y876" i="3"/>
  <x:c r="X876" i="3"/>
  <x:c r="W876" i="3"/>
  <x:c r="V876" i="3"/>
  <x:c r="U876" i="3"/>
  <x:c r="T876" i="3"/>
  <x:c r="E876" i="3"/>
  <x:c r="B876" i="3"/>
  <x:c r="A876" i="3"/>
  <x:c r="AG875" i="3"/>
  <x:c r="AF875" i="3"/>
  <x:c r="AE875" i="3"/>
  <x:c r="AD875" i="3"/>
  <x:c r="AC875" i="3"/>
  <x:c r="AB875" i="3"/>
  <x:c r="AA875" i="3"/>
  <x:c r="Z875" i="3"/>
  <x:c r="Y875" i="3"/>
  <x:c r="X875" i="3"/>
  <x:c r="W875" i="3"/>
  <x:c r="V875" i="3"/>
  <x:c r="U875" i="3"/>
  <x:c r="T875" i="3"/>
  <x:c r="E875" i="3"/>
  <x:c r="B875" i="3"/>
  <x:c r="A875" i="3"/>
  <x:c r="AG874" i="3"/>
  <x:c r="AF874" i="3"/>
  <x:c r="AE874" i="3"/>
  <x:c r="AD874" i="3"/>
  <x:c r="AC874" i="3"/>
  <x:c r="AB874" i="3"/>
  <x:c r="AA874" i="3"/>
  <x:c r="Z874" i="3"/>
  <x:c r="Y874" i="3"/>
  <x:c r="X874" i="3"/>
  <x:c r="W874" i="3"/>
  <x:c r="V874" i="3"/>
  <x:c r="U874" i="3"/>
  <x:c r="T874" i="3"/>
  <x:c r="E874" i="3"/>
  <x:c r="B874" i="3"/>
  <x:c r="A874" i="3"/>
  <x:c r="AG873" i="3"/>
  <x:c r="AF873" i="3"/>
  <x:c r="AE873" i="3"/>
  <x:c r="AD873" i="3"/>
  <x:c r="AC873" i="3"/>
  <x:c r="AB873" i="3"/>
  <x:c r="AA873" i="3"/>
  <x:c r="Z873" i="3"/>
  <x:c r="Y873" i="3"/>
  <x:c r="X873" i="3"/>
  <x:c r="W873" i="3"/>
  <x:c r="V873" i="3"/>
  <x:c r="U873" i="3"/>
  <x:c r="T873" i="3"/>
  <x:c r="E873" i="3"/>
  <x:c r="B873" i="3"/>
  <x:c r="A873" i="3"/>
  <x:c r="AG872" i="3"/>
  <x:c r="AF872" i="3"/>
  <x:c r="AE872" i="3"/>
  <x:c r="AD872" i="3"/>
  <x:c r="AC872" i="3"/>
  <x:c r="AB872" i="3"/>
  <x:c r="AA872" i="3"/>
  <x:c r="Z872" i="3"/>
  <x:c r="Y872" i="3"/>
  <x:c r="X872" i="3"/>
  <x:c r="W872" i="3"/>
  <x:c r="V872" i="3"/>
  <x:c r="U872" i="3"/>
  <x:c r="T872" i="3"/>
  <x:c r="E872" i="3"/>
  <x:c r="B872" i="3"/>
  <x:c r="A872" i="3"/>
  <x:c r="AG871" i="3"/>
  <x:c r="AF871" i="3"/>
  <x:c r="AE871" i="3"/>
  <x:c r="AD871" i="3"/>
  <x:c r="AC871" i="3"/>
  <x:c r="AB871" i="3"/>
  <x:c r="AA871" i="3"/>
  <x:c r="Z871" i="3"/>
  <x:c r="Y871" i="3"/>
  <x:c r="X871" i="3"/>
  <x:c r="W871" i="3"/>
  <x:c r="V871" i="3"/>
  <x:c r="U871" i="3"/>
  <x:c r="T871" i="3"/>
  <x:c r="E871" i="3"/>
  <x:c r="B871" i="3"/>
  <x:c r="A871" i="3"/>
  <x:c r="AG870" i="3"/>
  <x:c r="AF870" i="3"/>
  <x:c r="AE870" i="3"/>
  <x:c r="AD870" i="3"/>
  <x:c r="AC870" i="3"/>
  <x:c r="AB870" i="3"/>
  <x:c r="AA870" i="3"/>
  <x:c r="Z870" i="3"/>
  <x:c r="Y870" i="3"/>
  <x:c r="X870" i="3"/>
  <x:c r="W870" i="3"/>
  <x:c r="V870" i="3"/>
  <x:c r="U870" i="3"/>
  <x:c r="T870" i="3"/>
  <x:c r="E870" i="3"/>
  <x:c r="B870" i="3"/>
  <x:c r="A870" i="3"/>
  <x:c r="AG869" i="3"/>
  <x:c r="AF869" i="3"/>
  <x:c r="AE869" i="3"/>
  <x:c r="AD869" i="3"/>
  <x:c r="AC869" i="3"/>
  <x:c r="AB869" i="3"/>
  <x:c r="AA869" i="3"/>
  <x:c r="Z869" i="3"/>
  <x:c r="Y869" i="3"/>
  <x:c r="X869" i="3"/>
  <x:c r="W869" i="3"/>
  <x:c r="V869" i="3"/>
  <x:c r="U869" i="3"/>
  <x:c r="T869" i="3"/>
  <x:c r="E869" i="3"/>
  <x:c r="B869" i="3"/>
  <x:c r="A869" i="3"/>
  <x:c r="AG868" i="3"/>
  <x:c r="AF868" i="3"/>
  <x:c r="AE868" i="3"/>
  <x:c r="AD868" i="3"/>
  <x:c r="AC868" i="3"/>
  <x:c r="AB868" i="3"/>
  <x:c r="AA868" i="3"/>
  <x:c r="Z868" i="3"/>
  <x:c r="Y868" i="3"/>
  <x:c r="X868" i="3"/>
  <x:c r="W868" i="3"/>
  <x:c r="V868" i="3"/>
  <x:c r="U868" i="3"/>
  <x:c r="T868" i="3"/>
  <x:c r="E868" i="3"/>
  <x:c r="B868" i="3"/>
  <x:c r="A868" i="3"/>
  <x:c r="AG867" i="3"/>
  <x:c r="AF867" i="3"/>
  <x:c r="AE867" i="3"/>
  <x:c r="AD867" i="3"/>
  <x:c r="AC867" i="3"/>
  <x:c r="AB867" i="3"/>
  <x:c r="AA867" i="3"/>
  <x:c r="Z867" i="3"/>
  <x:c r="Y867" i="3"/>
  <x:c r="X867" i="3"/>
  <x:c r="W867" i="3"/>
  <x:c r="V867" i="3"/>
  <x:c r="U867" i="3"/>
  <x:c r="T867" i="3"/>
  <x:c r="E867" i="3"/>
  <x:c r="B867" i="3"/>
  <x:c r="A867" i="3"/>
  <x:c r="AG866" i="3"/>
  <x:c r="AF866" i="3"/>
  <x:c r="AE866" i="3"/>
  <x:c r="AD866" i="3"/>
  <x:c r="AC866" i="3"/>
  <x:c r="AB866" i="3"/>
  <x:c r="AA866" i="3"/>
  <x:c r="Z866" i="3"/>
  <x:c r="Y866" i="3"/>
  <x:c r="X866" i="3"/>
  <x:c r="W866" i="3"/>
  <x:c r="V866" i="3"/>
  <x:c r="U866" i="3"/>
  <x:c r="T866" i="3"/>
  <x:c r="E866" i="3"/>
  <x:c r="B866" i="3"/>
  <x:c r="A866" i="3"/>
  <x:c r="AG865" i="3"/>
  <x:c r="AF865" i="3"/>
  <x:c r="AE865" i="3"/>
  <x:c r="AD865" i="3"/>
  <x:c r="AC865" i="3"/>
  <x:c r="AB865" i="3"/>
  <x:c r="AA865" i="3"/>
  <x:c r="Z865" i="3"/>
  <x:c r="Y865" i="3"/>
  <x:c r="X865" i="3"/>
  <x:c r="W865" i="3"/>
  <x:c r="V865" i="3"/>
  <x:c r="U865" i="3"/>
  <x:c r="T865" i="3"/>
  <x:c r="E865" i="3"/>
  <x:c r="B865" i="3"/>
  <x:c r="A865" i="3"/>
  <x:c r="AG864" i="3"/>
  <x:c r="AF864" i="3"/>
  <x:c r="AE864" i="3"/>
  <x:c r="AD864" i="3"/>
  <x:c r="AC864" i="3"/>
  <x:c r="AB864" i="3"/>
  <x:c r="AA864" i="3"/>
  <x:c r="Z864" i="3"/>
  <x:c r="Y864" i="3"/>
  <x:c r="X864" i="3"/>
  <x:c r="W864" i="3"/>
  <x:c r="V864" i="3"/>
  <x:c r="U864" i="3"/>
  <x:c r="T864" i="3"/>
  <x:c r="E864" i="3"/>
  <x:c r="B864" i="3"/>
  <x:c r="A864" i="3"/>
  <x:c r="AG863" i="3"/>
  <x:c r="AF863" i="3"/>
  <x:c r="AE863" i="3"/>
  <x:c r="AD863" i="3"/>
  <x:c r="AC863" i="3"/>
  <x:c r="AB863" i="3"/>
  <x:c r="AA863" i="3"/>
  <x:c r="Z863" i="3"/>
  <x:c r="Y863" i="3"/>
  <x:c r="X863" i="3"/>
  <x:c r="W863" i="3"/>
  <x:c r="V863" i="3"/>
  <x:c r="U863" i="3"/>
  <x:c r="T863" i="3"/>
  <x:c r="E863" i="3"/>
  <x:c r="B863" i="3"/>
  <x:c r="A863" i="3"/>
  <x:c r="AG862" i="3"/>
  <x:c r="AF862" i="3"/>
  <x:c r="AE862" i="3"/>
  <x:c r="AD862" i="3"/>
  <x:c r="AC862" i="3"/>
  <x:c r="AB862" i="3"/>
  <x:c r="AA862" i="3"/>
  <x:c r="Z862" i="3"/>
  <x:c r="Y862" i="3"/>
  <x:c r="X862" i="3"/>
  <x:c r="W862" i="3"/>
  <x:c r="V862" i="3"/>
  <x:c r="U862" i="3"/>
  <x:c r="T862" i="3"/>
  <x:c r="E862" i="3"/>
  <x:c r="B862" i="3"/>
  <x:c r="A862" i="3"/>
  <x:c r="AG861" i="3"/>
  <x:c r="AF861" i="3"/>
  <x:c r="AE861" i="3"/>
  <x:c r="AD861" i="3"/>
  <x:c r="AC861" i="3"/>
  <x:c r="AB861" i="3"/>
  <x:c r="AA861" i="3"/>
  <x:c r="Z861" i="3"/>
  <x:c r="Y861" i="3"/>
  <x:c r="X861" i="3"/>
  <x:c r="W861" i="3"/>
  <x:c r="V861" i="3"/>
  <x:c r="U861" i="3"/>
  <x:c r="T861" i="3"/>
  <x:c r="E861" i="3"/>
  <x:c r="B861" i="3"/>
  <x:c r="A861" i="3"/>
  <x:c r="AG860" i="3"/>
  <x:c r="AF860" i="3"/>
  <x:c r="AE860" i="3"/>
  <x:c r="AD860" i="3"/>
  <x:c r="AC860" i="3"/>
  <x:c r="AB860" i="3"/>
  <x:c r="AA860" i="3"/>
  <x:c r="Z860" i="3"/>
  <x:c r="Y860" i="3"/>
  <x:c r="X860" i="3"/>
  <x:c r="W860" i="3"/>
  <x:c r="V860" i="3"/>
  <x:c r="U860" i="3"/>
  <x:c r="T860" i="3"/>
  <x:c r="E860" i="3"/>
  <x:c r="B860" i="3"/>
  <x:c r="A860" i="3"/>
  <x:c r="AG859" i="3"/>
  <x:c r="AF859" i="3"/>
  <x:c r="AE859" i="3"/>
  <x:c r="AD859" i="3"/>
  <x:c r="AC859" i="3"/>
  <x:c r="AB859" i="3"/>
  <x:c r="AA859" i="3"/>
  <x:c r="Z859" i="3"/>
  <x:c r="Y859" i="3"/>
  <x:c r="X859" i="3"/>
  <x:c r="W859" i="3"/>
  <x:c r="V859" i="3"/>
  <x:c r="U859" i="3"/>
  <x:c r="T859" i="3"/>
  <x:c r="E859" i="3"/>
  <x:c r="B859" i="3"/>
  <x:c r="A859" i="3"/>
  <x:c r="AG858" i="3"/>
  <x:c r="AF858" i="3"/>
  <x:c r="AE858" i="3"/>
  <x:c r="AD858" i="3"/>
  <x:c r="AC858" i="3"/>
  <x:c r="AB858" i="3"/>
  <x:c r="AA858" i="3"/>
  <x:c r="Z858" i="3"/>
  <x:c r="Y858" i="3"/>
  <x:c r="X858" i="3"/>
  <x:c r="W858" i="3"/>
  <x:c r="V858" i="3"/>
  <x:c r="U858" i="3"/>
  <x:c r="T858" i="3"/>
  <x:c r="E858" i="3"/>
  <x:c r="B858" i="3"/>
  <x:c r="A858" i="3"/>
  <x:c r="AG857" i="3"/>
  <x:c r="AF857" i="3"/>
  <x:c r="AE857" i="3"/>
  <x:c r="AD857" i="3"/>
  <x:c r="AC857" i="3"/>
  <x:c r="AB857" i="3"/>
  <x:c r="AA857" i="3"/>
  <x:c r="Z857" i="3"/>
  <x:c r="Y857" i="3"/>
  <x:c r="X857" i="3"/>
  <x:c r="W857" i="3"/>
  <x:c r="V857" i="3"/>
  <x:c r="U857" i="3"/>
  <x:c r="T857" i="3"/>
  <x:c r="E857" i="3"/>
  <x:c r="B857" i="3"/>
  <x:c r="A857" i="3"/>
  <x:c r="AG856" i="3"/>
  <x:c r="AF856" i="3"/>
  <x:c r="AE856" i="3"/>
  <x:c r="AD856" i="3"/>
  <x:c r="AC856" i="3"/>
  <x:c r="AB856" i="3"/>
  <x:c r="AA856" i="3"/>
  <x:c r="Z856" i="3"/>
  <x:c r="Y856" i="3"/>
  <x:c r="X856" i="3"/>
  <x:c r="W856" i="3"/>
  <x:c r="V856" i="3"/>
  <x:c r="U856" i="3"/>
  <x:c r="T856" i="3"/>
  <x:c r="E856" i="3"/>
  <x:c r="B856" i="3"/>
  <x:c r="A856" i="3"/>
  <x:c r="AG855" i="3"/>
  <x:c r="AF855" i="3"/>
  <x:c r="AE855" i="3"/>
  <x:c r="AD855" i="3"/>
  <x:c r="AC855" i="3"/>
  <x:c r="AB855" i="3"/>
  <x:c r="AA855" i="3"/>
  <x:c r="Z855" i="3"/>
  <x:c r="Y855" i="3"/>
  <x:c r="X855" i="3"/>
  <x:c r="W855" i="3"/>
  <x:c r="V855" i="3"/>
  <x:c r="U855" i="3"/>
  <x:c r="T855" i="3"/>
  <x:c r="E855" i="3"/>
  <x:c r="B855" i="3"/>
  <x:c r="A855" i="3"/>
  <x:c r="AG854" i="3"/>
  <x:c r="AF854" i="3"/>
  <x:c r="AE854" i="3"/>
  <x:c r="AD854" i="3"/>
  <x:c r="AC854" i="3"/>
  <x:c r="AB854" i="3"/>
  <x:c r="AA854" i="3"/>
  <x:c r="Z854" i="3"/>
  <x:c r="Y854" i="3"/>
  <x:c r="X854" i="3"/>
  <x:c r="W854" i="3"/>
  <x:c r="V854" i="3"/>
  <x:c r="U854" i="3"/>
  <x:c r="T854" i="3"/>
  <x:c r="E854" i="3"/>
  <x:c r="B854" i="3"/>
  <x:c r="A854" i="3"/>
  <x:c r="AG853" i="3"/>
  <x:c r="AF853" i="3"/>
  <x:c r="AE853" i="3"/>
  <x:c r="AD853" i="3"/>
  <x:c r="AC853" i="3"/>
  <x:c r="AB853" i="3"/>
  <x:c r="AA853" i="3"/>
  <x:c r="Z853" i="3"/>
  <x:c r="Y853" i="3"/>
  <x:c r="X853" i="3"/>
  <x:c r="W853" i="3"/>
  <x:c r="V853" i="3"/>
  <x:c r="U853" i="3"/>
  <x:c r="T853" i="3"/>
  <x:c r="E853" i="3"/>
  <x:c r="B853" i="3"/>
  <x:c r="A853" i="3"/>
  <x:c r="AG852" i="3"/>
  <x:c r="AF852" i="3"/>
  <x:c r="AE852" i="3"/>
  <x:c r="AD852" i="3"/>
  <x:c r="AC852" i="3"/>
  <x:c r="AB852" i="3"/>
  <x:c r="AA852" i="3"/>
  <x:c r="Z852" i="3"/>
  <x:c r="Y852" i="3"/>
  <x:c r="X852" i="3"/>
  <x:c r="W852" i="3"/>
  <x:c r="V852" i="3"/>
  <x:c r="U852" i="3"/>
  <x:c r="T852" i="3"/>
  <x:c r="E852" i="3"/>
  <x:c r="B852" i="3"/>
  <x:c r="A852" i="3"/>
  <x:c r="AG851" i="3"/>
  <x:c r="AF851" i="3"/>
  <x:c r="AE851" i="3"/>
  <x:c r="AD851" i="3"/>
  <x:c r="AC851" i="3"/>
  <x:c r="AB851" i="3"/>
  <x:c r="AA851" i="3"/>
  <x:c r="Z851" i="3"/>
  <x:c r="Y851" i="3"/>
  <x:c r="X851" i="3"/>
  <x:c r="W851" i="3"/>
  <x:c r="V851" i="3"/>
  <x:c r="U851" i="3"/>
  <x:c r="T851" i="3"/>
  <x:c r="E851" i="3"/>
  <x:c r="B851" i="3"/>
  <x:c r="A851" i="3"/>
  <x:c r="AG850" i="3"/>
  <x:c r="AF850" i="3"/>
  <x:c r="AE850" i="3"/>
  <x:c r="AD850" i="3"/>
  <x:c r="AC850" i="3"/>
  <x:c r="AB850" i="3"/>
  <x:c r="AA850" i="3"/>
  <x:c r="Z850" i="3"/>
  <x:c r="Y850" i="3"/>
  <x:c r="X850" i="3"/>
  <x:c r="W850" i="3"/>
  <x:c r="V850" i="3"/>
  <x:c r="U850" i="3"/>
  <x:c r="T850" i="3"/>
  <x:c r="E850" i="3"/>
  <x:c r="B850" i="3"/>
  <x:c r="A850" i="3"/>
  <x:c r="AG849" i="3"/>
  <x:c r="AF849" i="3"/>
  <x:c r="AE849" i="3"/>
  <x:c r="AD849" i="3"/>
  <x:c r="AC849" i="3"/>
  <x:c r="AB849" i="3"/>
  <x:c r="AA849" i="3"/>
  <x:c r="Z849" i="3"/>
  <x:c r="Y849" i="3"/>
  <x:c r="X849" i="3"/>
  <x:c r="W849" i="3"/>
  <x:c r="V849" i="3"/>
  <x:c r="U849" i="3"/>
  <x:c r="T849" i="3"/>
  <x:c r="E849" i="3"/>
  <x:c r="B849" i="3"/>
  <x:c r="A849" i="3"/>
  <x:c r="AG848" i="3"/>
  <x:c r="AF848" i="3"/>
  <x:c r="AE848" i="3"/>
  <x:c r="AD848" i="3"/>
  <x:c r="AC848" i="3"/>
  <x:c r="AB848" i="3"/>
  <x:c r="AA848" i="3"/>
  <x:c r="Z848" i="3"/>
  <x:c r="Y848" i="3"/>
  <x:c r="X848" i="3"/>
  <x:c r="W848" i="3"/>
  <x:c r="V848" i="3"/>
  <x:c r="U848" i="3"/>
  <x:c r="T848" i="3"/>
  <x:c r="E848" i="3"/>
  <x:c r="B848" i="3"/>
  <x:c r="A848" i="3"/>
  <x:c r="AG847" i="3"/>
  <x:c r="AF847" i="3"/>
  <x:c r="AE847" i="3"/>
  <x:c r="AD847" i="3"/>
  <x:c r="AC847" i="3"/>
  <x:c r="AB847" i="3"/>
  <x:c r="AA847" i="3"/>
  <x:c r="Z847" i="3"/>
  <x:c r="Y847" i="3"/>
  <x:c r="X847" i="3"/>
  <x:c r="W847" i="3"/>
  <x:c r="V847" i="3"/>
  <x:c r="U847" i="3"/>
  <x:c r="T847" i="3"/>
  <x:c r="E847" i="3"/>
  <x:c r="B847" i="3"/>
  <x:c r="A847" i="3"/>
  <x:c r="AG846" i="3"/>
  <x:c r="AF846" i="3"/>
  <x:c r="AE846" i="3"/>
  <x:c r="AD846" i="3"/>
  <x:c r="AC846" i="3"/>
  <x:c r="AB846" i="3"/>
  <x:c r="AA846" i="3"/>
  <x:c r="Z846" i="3"/>
  <x:c r="Y846" i="3"/>
  <x:c r="X846" i="3"/>
  <x:c r="W846" i="3"/>
  <x:c r="V846" i="3"/>
  <x:c r="U846" i="3"/>
  <x:c r="T846" i="3"/>
  <x:c r="E846" i="3"/>
  <x:c r="B846" i="3"/>
  <x:c r="A846" i="3"/>
  <x:c r="AG845" i="3"/>
  <x:c r="AF845" i="3"/>
  <x:c r="AE845" i="3"/>
  <x:c r="AD845" i="3"/>
  <x:c r="AC845" i="3"/>
  <x:c r="AB845" i="3"/>
  <x:c r="AA845" i="3"/>
  <x:c r="Z845" i="3"/>
  <x:c r="Y845" i="3"/>
  <x:c r="X845" i="3"/>
  <x:c r="W845" i="3"/>
  <x:c r="V845" i="3"/>
  <x:c r="U845" i="3"/>
  <x:c r="T845" i="3"/>
  <x:c r="E845" i="3"/>
  <x:c r="B845" i="3"/>
  <x:c r="A845" i="3"/>
  <x:c r="AG844" i="3"/>
  <x:c r="AF844" i="3"/>
  <x:c r="AE844" i="3"/>
  <x:c r="AD844" i="3"/>
  <x:c r="AC844" i="3"/>
  <x:c r="AB844" i="3"/>
  <x:c r="AA844" i="3"/>
  <x:c r="Z844" i="3"/>
  <x:c r="Y844" i="3"/>
  <x:c r="X844" i="3"/>
  <x:c r="W844" i="3"/>
  <x:c r="V844" i="3"/>
  <x:c r="U844" i="3"/>
  <x:c r="T844" i="3"/>
  <x:c r="E844" i="3"/>
  <x:c r="B844" i="3"/>
  <x:c r="A844" i="3"/>
  <x:c r="AG843" i="3"/>
  <x:c r="AF843" i="3"/>
  <x:c r="AE843" i="3"/>
  <x:c r="AD843" i="3"/>
  <x:c r="AC843" i="3"/>
  <x:c r="AB843" i="3"/>
  <x:c r="AA843" i="3"/>
  <x:c r="Z843" i="3"/>
  <x:c r="Y843" i="3"/>
  <x:c r="X843" i="3"/>
  <x:c r="W843" i="3"/>
  <x:c r="V843" i="3"/>
  <x:c r="U843" i="3"/>
  <x:c r="T843" i="3"/>
  <x:c r="E843" i="3"/>
  <x:c r="B843" i="3"/>
  <x:c r="A843" i="3"/>
  <x:c r="AG842" i="3"/>
  <x:c r="AF842" i="3"/>
  <x:c r="AE842" i="3"/>
  <x:c r="AD842" i="3"/>
  <x:c r="AC842" i="3"/>
  <x:c r="AB842" i="3"/>
  <x:c r="AA842" i="3"/>
  <x:c r="Z842" i="3"/>
  <x:c r="Y842" i="3"/>
  <x:c r="X842" i="3"/>
  <x:c r="W842" i="3"/>
  <x:c r="V842" i="3"/>
  <x:c r="U842" i="3"/>
  <x:c r="T842" i="3"/>
  <x:c r="E842" i="3"/>
  <x:c r="B842" i="3"/>
  <x:c r="A842" i="3"/>
  <x:c r="AG841" i="3"/>
  <x:c r="AF841" i="3"/>
  <x:c r="AE841" i="3"/>
  <x:c r="AD841" i="3"/>
  <x:c r="AC841" i="3"/>
  <x:c r="AB841" i="3"/>
  <x:c r="AA841" i="3"/>
  <x:c r="Z841" i="3"/>
  <x:c r="Y841" i="3"/>
  <x:c r="X841" i="3"/>
  <x:c r="W841" i="3"/>
  <x:c r="V841" i="3"/>
  <x:c r="U841" i="3"/>
  <x:c r="T841" i="3"/>
  <x:c r="E841" i="3"/>
  <x:c r="B841" i="3"/>
  <x:c r="A841" i="3"/>
  <x:c r="AG840" i="3"/>
  <x:c r="AF840" i="3"/>
  <x:c r="AE840" i="3"/>
  <x:c r="AD840" i="3"/>
  <x:c r="AC840" i="3"/>
  <x:c r="AB840" i="3"/>
  <x:c r="AA840" i="3"/>
  <x:c r="Z840" i="3"/>
  <x:c r="Y840" i="3"/>
  <x:c r="X840" i="3"/>
  <x:c r="W840" i="3"/>
  <x:c r="V840" i="3"/>
  <x:c r="U840" i="3"/>
  <x:c r="T840" i="3"/>
  <x:c r="E840" i="3"/>
  <x:c r="B840" i="3"/>
  <x:c r="A840" i="3"/>
  <x:c r="AG839" i="3"/>
  <x:c r="AF839" i="3"/>
  <x:c r="AE839" i="3"/>
  <x:c r="AD839" i="3"/>
  <x:c r="AC839" i="3"/>
  <x:c r="AB839" i="3"/>
  <x:c r="AA839" i="3"/>
  <x:c r="Z839" i="3"/>
  <x:c r="Y839" i="3"/>
  <x:c r="X839" i="3"/>
  <x:c r="W839" i="3"/>
  <x:c r="V839" i="3"/>
  <x:c r="U839" i="3"/>
  <x:c r="T839" i="3"/>
  <x:c r="E839" i="3"/>
  <x:c r="B839" i="3"/>
  <x:c r="A839" i="3"/>
  <x:c r="AG838" i="3"/>
  <x:c r="AF838" i="3"/>
  <x:c r="AE838" i="3"/>
  <x:c r="AD838" i="3"/>
  <x:c r="AC838" i="3"/>
  <x:c r="AB838" i="3"/>
  <x:c r="AA838" i="3"/>
  <x:c r="Z838" i="3"/>
  <x:c r="Y838" i="3"/>
  <x:c r="X838" i="3"/>
  <x:c r="W838" i="3"/>
  <x:c r="V838" i="3"/>
  <x:c r="U838" i="3"/>
  <x:c r="T838" i="3"/>
  <x:c r="E838" i="3"/>
  <x:c r="B838" i="3"/>
  <x:c r="A838" i="3"/>
  <x:c r="AG837" i="3"/>
  <x:c r="AF837" i="3"/>
  <x:c r="AE837" i="3"/>
  <x:c r="AD837" i="3"/>
  <x:c r="AC837" i="3"/>
  <x:c r="AB837" i="3"/>
  <x:c r="AA837" i="3"/>
  <x:c r="Z837" i="3"/>
  <x:c r="Y837" i="3"/>
  <x:c r="X837" i="3"/>
  <x:c r="W837" i="3"/>
  <x:c r="V837" i="3"/>
  <x:c r="U837" i="3"/>
  <x:c r="T837" i="3"/>
  <x:c r="E837" i="3"/>
  <x:c r="B837" i="3"/>
  <x:c r="A837" i="3"/>
  <x:c r="AG836" i="3"/>
  <x:c r="AF836" i="3"/>
  <x:c r="AE836" i="3"/>
  <x:c r="AD836" i="3"/>
  <x:c r="AC836" i="3"/>
  <x:c r="AB836" i="3"/>
  <x:c r="AA836" i="3"/>
  <x:c r="Z836" i="3"/>
  <x:c r="Y836" i="3"/>
  <x:c r="X836" i="3"/>
  <x:c r="W836" i="3"/>
  <x:c r="V836" i="3"/>
  <x:c r="U836" i="3"/>
  <x:c r="T836" i="3"/>
  <x:c r="E836" i="3"/>
  <x:c r="B836" i="3"/>
  <x:c r="A836" i="3"/>
  <x:c r="AG835" i="3"/>
  <x:c r="AF835" i="3"/>
  <x:c r="AE835" i="3"/>
  <x:c r="AD835" i="3"/>
  <x:c r="AC835" i="3"/>
  <x:c r="AB835" i="3"/>
  <x:c r="AA835" i="3"/>
  <x:c r="Z835" i="3"/>
  <x:c r="Y835" i="3"/>
  <x:c r="X835" i="3"/>
  <x:c r="W835" i="3"/>
  <x:c r="V835" i="3"/>
  <x:c r="U835" i="3"/>
  <x:c r="T835" i="3"/>
  <x:c r="E835" i="3"/>
  <x:c r="B835" i="3"/>
  <x:c r="A835" i="3"/>
  <x:c r="AG834" i="3"/>
  <x:c r="AF834" i="3"/>
  <x:c r="AE834" i="3"/>
  <x:c r="AD834" i="3"/>
  <x:c r="AC834" i="3"/>
  <x:c r="AB834" i="3"/>
  <x:c r="AA834" i="3"/>
  <x:c r="Z834" i="3"/>
  <x:c r="Y834" i="3"/>
  <x:c r="X834" i="3"/>
  <x:c r="W834" i="3"/>
  <x:c r="V834" i="3"/>
  <x:c r="U834" i="3"/>
  <x:c r="T834" i="3"/>
  <x:c r="E834" i="3"/>
  <x:c r="B834" i="3"/>
  <x:c r="A834" i="3"/>
  <x:c r="AG833" i="3"/>
  <x:c r="AF833" i="3"/>
  <x:c r="AE833" i="3"/>
  <x:c r="AD833" i="3"/>
  <x:c r="AC833" i="3"/>
  <x:c r="AB833" i="3"/>
  <x:c r="AA833" i="3"/>
  <x:c r="Z833" i="3"/>
  <x:c r="Y833" i="3"/>
  <x:c r="X833" i="3"/>
  <x:c r="W833" i="3"/>
  <x:c r="V833" i="3"/>
  <x:c r="U833" i="3"/>
  <x:c r="T833" i="3"/>
  <x:c r="E833" i="3"/>
  <x:c r="B833" i="3"/>
  <x:c r="A833" i="3"/>
  <x:c r="AG832" i="3"/>
  <x:c r="AF832" i="3"/>
  <x:c r="AE832" i="3"/>
  <x:c r="AD832" i="3"/>
  <x:c r="AC832" i="3"/>
  <x:c r="AB832" i="3"/>
  <x:c r="AA832" i="3"/>
  <x:c r="Z832" i="3"/>
  <x:c r="Y832" i="3"/>
  <x:c r="X832" i="3"/>
  <x:c r="W832" i="3"/>
  <x:c r="V832" i="3"/>
  <x:c r="U832" i="3"/>
  <x:c r="T832" i="3"/>
  <x:c r="E832" i="3"/>
  <x:c r="B832" i="3"/>
  <x:c r="A832" i="3"/>
  <x:c r="AG831" i="3"/>
  <x:c r="AF831" i="3"/>
  <x:c r="AE831" i="3"/>
  <x:c r="AD831" i="3"/>
  <x:c r="AC831" i="3"/>
  <x:c r="AB831" i="3"/>
  <x:c r="AA831" i="3"/>
  <x:c r="Z831" i="3"/>
  <x:c r="Y831" i="3"/>
  <x:c r="X831" i="3"/>
  <x:c r="W831" i="3"/>
  <x:c r="V831" i="3"/>
  <x:c r="U831" i="3"/>
  <x:c r="T831" i="3"/>
  <x:c r="E831" i="3"/>
  <x:c r="B831" i="3"/>
  <x:c r="A831" i="3"/>
  <x:c r="AG830" i="3"/>
  <x:c r="AF830" i="3"/>
  <x:c r="AE830" i="3"/>
  <x:c r="AD830" i="3"/>
  <x:c r="AC830" i="3"/>
  <x:c r="AB830" i="3"/>
  <x:c r="AA830" i="3"/>
  <x:c r="Z830" i="3"/>
  <x:c r="Y830" i="3"/>
  <x:c r="X830" i="3"/>
  <x:c r="W830" i="3"/>
  <x:c r="V830" i="3"/>
  <x:c r="U830" i="3"/>
  <x:c r="T830" i="3"/>
  <x:c r="E830" i="3"/>
  <x:c r="B830" i="3"/>
  <x:c r="A830" i="3"/>
  <x:c r="AG829" i="3"/>
  <x:c r="AF829" i="3"/>
  <x:c r="AE829" i="3"/>
  <x:c r="AD829" i="3"/>
  <x:c r="AC829" i="3"/>
  <x:c r="AB829" i="3"/>
  <x:c r="AA829" i="3"/>
  <x:c r="Z829" i="3"/>
  <x:c r="Y829" i="3"/>
  <x:c r="X829" i="3"/>
  <x:c r="W829" i="3"/>
  <x:c r="V829" i="3"/>
  <x:c r="U829" i="3"/>
  <x:c r="T829" i="3"/>
  <x:c r="E829" i="3"/>
  <x:c r="B829" i="3"/>
  <x:c r="A829" i="3"/>
  <x:c r="AG828" i="3"/>
  <x:c r="AF828" i="3"/>
  <x:c r="AE828" i="3"/>
  <x:c r="AD828" i="3"/>
  <x:c r="AC828" i="3"/>
  <x:c r="AB828" i="3"/>
  <x:c r="AA828" i="3"/>
  <x:c r="Z828" i="3"/>
  <x:c r="Y828" i="3"/>
  <x:c r="X828" i="3"/>
  <x:c r="W828" i="3"/>
  <x:c r="V828" i="3"/>
  <x:c r="U828" i="3"/>
  <x:c r="T828" i="3"/>
  <x:c r="E828" i="3"/>
  <x:c r="B828" i="3"/>
  <x:c r="A828" i="3"/>
  <x:c r="AG827" i="3"/>
  <x:c r="AF827" i="3"/>
  <x:c r="AE827" i="3"/>
  <x:c r="AD827" i="3"/>
  <x:c r="AC827" i="3"/>
  <x:c r="AB827" i="3"/>
  <x:c r="AA827" i="3"/>
  <x:c r="Z827" i="3"/>
  <x:c r="Y827" i="3"/>
  <x:c r="X827" i="3"/>
  <x:c r="W827" i="3"/>
  <x:c r="V827" i="3"/>
  <x:c r="U827" i="3"/>
  <x:c r="T827" i="3"/>
  <x:c r="E827" i="3"/>
  <x:c r="B827" i="3"/>
  <x:c r="A827" i="3"/>
  <x:c r="AG826" i="3"/>
  <x:c r="AF826" i="3"/>
  <x:c r="AE826" i="3"/>
  <x:c r="AD826" i="3"/>
  <x:c r="AC826" i="3"/>
  <x:c r="AB826" i="3"/>
  <x:c r="AA826" i="3"/>
  <x:c r="Z826" i="3"/>
  <x:c r="Y826" i="3"/>
  <x:c r="X826" i="3"/>
  <x:c r="W826" i="3"/>
  <x:c r="V826" i="3"/>
  <x:c r="U826" i="3"/>
  <x:c r="T826" i="3"/>
  <x:c r="E826" i="3"/>
  <x:c r="B826" i="3"/>
  <x:c r="A826" i="3"/>
  <x:c r="AG825" i="3"/>
  <x:c r="AF825" i="3"/>
  <x:c r="AE825" i="3"/>
  <x:c r="AD825" i="3"/>
  <x:c r="AC825" i="3"/>
  <x:c r="AB825" i="3"/>
  <x:c r="AA825" i="3"/>
  <x:c r="Z825" i="3"/>
  <x:c r="Y825" i="3"/>
  <x:c r="X825" i="3"/>
  <x:c r="W825" i="3"/>
  <x:c r="V825" i="3"/>
  <x:c r="U825" i="3"/>
  <x:c r="T825" i="3"/>
  <x:c r="E825" i="3"/>
  <x:c r="B825" i="3"/>
  <x:c r="A825" i="3"/>
  <x:c r="AG824" i="3"/>
  <x:c r="AF824" i="3"/>
  <x:c r="AE824" i="3"/>
  <x:c r="AD824" i="3"/>
  <x:c r="AC824" i="3"/>
  <x:c r="AB824" i="3"/>
  <x:c r="AA824" i="3"/>
  <x:c r="Z824" i="3"/>
  <x:c r="Y824" i="3"/>
  <x:c r="X824" i="3"/>
  <x:c r="W824" i="3"/>
  <x:c r="V824" i="3"/>
  <x:c r="U824" i="3"/>
  <x:c r="T824" i="3"/>
  <x:c r="E824" i="3"/>
  <x:c r="B824" i="3"/>
  <x:c r="A824" i="3"/>
  <x:c r="AG823" i="3"/>
  <x:c r="AF823" i="3"/>
  <x:c r="AE823" i="3"/>
  <x:c r="AD823" i="3"/>
  <x:c r="AC823" i="3"/>
  <x:c r="AB823" i="3"/>
  <x:c r="AA823" i="3"/>
  <x:c r="Z823" i="3"/>
  <x:c r="Y823" i="3"/>
  <x:c r="X823" i="3"/>
  <x:c r="W823" i="3"/>
  <x:c r="V823" i="3"/>
  <x:c r="U823" i="3"/>
  <x:c r="T823" i="3"/>
  <x:c r="E823" i="3"/>
  <x:c r="B823" i="3"/>
  <x:c r="A823" i="3"/>
  <x:c r="AG822" i="3"/>
  <x:c r="AF822" i="3"/>
  <x:c r="AE822" i="3"/>
  <x:c r="AD822" i="3"/>
  <x:c r="AC822" i="3"/>
  <x:c r="AB822" i="3"/>
  <x:c r="AA822" i="3"/>
  <x:c r="Z822" i="3"/>
  <x:c r="Y822" i="3"/>
  <x:c r="X822" i="3"/>
  <x:c r="W822" i="3"/>
  <x:c r="V822" i="3"/>
  <x:c r="U822" i="3"/>
  <x:c r="T822" i="3"/>
  <x:c r="E822" i="3"/>
  <x:c r="B822" i="3"/>
  <x:c r="A822" i="3"/>
  <x:c r="AG821" i="3"/>
  <x:c r="AF821" i="3"/>
  <x:c r="AE821" i="3"/>
  <x:c r="AD821" i="3"/>
  <x:c r="AC821" i="3"/>
  <x:c r="AB821" i="3"/>
  <x:c r="AA821" i="3"/>
  <x:c r="Z821" i="3"/>
  <x:c r="Y821" i="3"/>
  <x:c r="X821" i="3"/>
  <x:c r="W821" i="3"/>
  <x:c r="V821" i="3"/>
  <x:c r="U821" i="3"/>
  <x:c r="T821" i="3"/>
  <x:c r="E821" i="3"/>
  <x:c r="B821" i="3"/>
  <x:c r="A821" i="3"/>
  <x:c r="AG820" i="3"/>
  <x:c r="AF820" i="3"/>
  <x:c r="AE820" i="3"/>
  <x:c r="AD820" i="3"/>
  <x:c r="AC820" i="3"/>
  <x:c r="AB820" i="3"/>
  <x:c r="AA820" i="3"/>
  <x:c r="Z820" i="3"/>
  <x:c r="Y820" i="3"/>
  <x:c r="X820" i="3"/>
  <x:c r="W820" i="3"/>
  <x:c r="V820" i="3"/>
  <x:c r="U820" i="3"/>
  <x:c r="T820" i="3"/>
  <x:c r="E820" i="3"/>
  <x:c r="B820" i="3"/>
  <x:c r="A820" i="3"/>
  <x:c r="AG819" i="3"/>
  <x:c r="AF819" i="3"/>
  <x:c r="AE819" i="3"/>
  <x:c r="AD819" i="3"/>
  <x:c r="AC819" i="3"/>
  <x:c r="AB819" i="3"/>
  <x:c r="AA819" i="3"/>
  <x:c r="Z819" i="3"/>
  <x:c r="Y819" i="3"/>
  <x:c r="X819" i="3"/>
  <x:c r="W819" i="3"/>
  <x:c r="V819" i="3"/>
  <x:c r="U819" i="3"/>
  <x:c r="T819" i="3"/>
  <x:c r="E819" i="3"/>
  <x:c r="B819" i="3"/>
  <x:c r="A819" i="3"/>
  <x:c r="AG818" i="3"/>
  <x:c r="AF818" i="3"/>
  <x:c r="AE818" i="3"/>
  <x:c r="AD818" i="3"/>
  <x:c r="AC818" i="3"/>
  <x:c r="AB818" i="3"/>
  <x:c r="AA818" i="3"/>
  <x:c r="Z818" i="3"/>
  <x:c r="Y818" i="3"/>
  <x:c r="X818" i="3"/>
  <x:c r="W818" i="3"/>
  <x:c r="V818" i="3"/>
  <x:c r="U818" i="3"/>
  <x:c r="T818" i="3"/>
  <x:c r="E818" i="3"/>
  <x:c r="B818" i="3"/>
  <x:c r="A818" i="3"/>
  <x:c r="AG817" i="3"/>
  <x:c r="AF817" i="3"/>
  <x:c r="AE817" i="3"/>
  <x:c r="AD817" i="3"/>
  <x:c r="AC817" i="3"/>
  <x:c r="AB817" i="3"/>
  <x:c r="AA817" i="3"/>
  <x:c r="Z817" i="3"/>
  <x:c r="Y817" i="3"/>
  <x:c r="X817" i="3"/>
  <x:c r="W817" i="3"/>
  <x:c r="V817" i="3"/>
  <x:c r="U817" i="3"/>
  <x:c r="T817" i="3"/>
  <x:c r="E817" i="3"/>
  <x:c r="B817" i="3"/>
  <x:c r="A817" i="3"/>
  <x:c r="AG816" i="3"/>
  <x:c r="AF816" i="3"/>
  <x:c r="AE816" i="3"/>
  <x:c r="AD816" i="3"/>
  <x:c r="AC816" i="3"/>
  <x:c r="AB816" i="3"/>
  <x:c r="AA816" i="3"/>
  <x:c r="Z816" i="3"/>
  <x:c r="Y816" i="3"/>
  <x:c r="X816" i="3"/>
  <x:c r="W816" i="3"/>
  <x:c r="V816" i="3"/>
  <x:c r="U816" i="3"/>
  <x:c r="T816" i="3"/>
  <x:c r="E816" i="3"/>
  <x:c r="B816" i="3"/>
  <x:c r="A816" i="3"/>
  <x:c r="AG815" i="3"/>
  <x:c r="AF815" i="3"/>
  <x:c r="AE815" i="3"/>
  <x:c r="AD815" i="3"/>
  <x:c r="AC815" i="3"/>
  <x:c r="AB815" i="3"/>
  <x:c r="AA815" i="3"/>
  <x:c r="Z815" i="3"/>
  <x:c r="Y815" i="3"/>
  <x:c r="X815" i="3"/>
  <x:c r="W815" i="3"/>
  <x:c r="V815" i="3"/>
  <x:c r="U815" i="3"/>
  <x:c r="T815" i="3"/>
  <x:c r="E815" i="3"/>
  <x:c r="B815" i="3"/>
  <x:c r="A815" i="3"/>
  <x:c r="AG814" i="3"/>
  <x:c r="AF814" i="3"/>
  <x:c r="AE814" i="3"/>
  <x:c r="AD814" i="3"/>
  <x:c r="AC814" i="3"/>
  <x:c r="AB814" i="3"/>
  <x:c r="AA814" i="3"/>
  <x:c r="Z814" i="3"/>
  <x:c r="Y814" i="3"/>
  <x:c r="X814" i="3"/>
  <x:c r="W814" i="3"/>
  <x:c r="V814" i="3"/>
  <x:c r="U814" i="3"/>
  <x:c r="T814" i="3"/>
  <x:c r="E814" i="3"/>
  <x:c r="B814" i="3"/>
  <x:c r="A814" i="3"/>
  <x:c r="AG813" i="3"/>
  <x:c r="AF813" i="3"/>
  <x:c r="AE813" i="3"/>
  <x:c r="AD813" i="3"/>
  <x:c r="AC813" i="3"/>
  <x:c r="AB813" i="3"/>
  <x:c r="AA813" i="3"/>
  <x:c r="Z813" i="3"/>
  <x:c r="Y813" i="3"/>
  <x:c r="X813" i="3"/>
  <x:c r="W813" i="3"/>
  <x:c r="V813" i="3"/>
  <x:c r="U813" i="3"/>
  <x:c r="T813" i="3"/>
  <x:c r="E813" i="3"/>
  <x:c r="B813" i="3"/>
  <x:c r="A813" i="3"/>
  <x:c r="AG812" i="3"/>
  <x:c r="AF812" i="3"/>
  <x:c r="AE812" i="3"/>
  <x:c r="AD812" i="3"/>
  <x:c r="AC812" i="3"/>
  <x:c r="AB812" i="3"/>
  <x:c r="AA812" i="3"/>
  <x:c r="Z812" i="3"/>
  <x:c r="Y812" i="3"/>
  <x:c r="X812" i="3"/>
  <x:c r="W812" i="3"/>
  <x:c r="V812" i="3"/>
  <x:c r="U812" i="3"/>
  <x:c r="T812" i="3"/>
  <x:c r="E812" i="3"/>
  <x:c r="B812" i="3"/>
  <x:c r="A812" i="3"/>
  <x:c r="AG811" i="3"/>
  <x:c r="AF811" i="3"/>
  <x:c r="AE811" i="3"/>
  <x:c r="AD811" i="3"/>
  <x:c r="AC811" i="3"/>
  <x:c r="AB811" i="3"/>
  <x:c r="AA811" i="3"/>
  <x:c r="Z811" i="3"/>
  <x:c r="Y811" i="3"/>
  <x:c r="X811" i="3"/>
  <x:c r="W811" i="3"/>
  <x:c r="V811" i="3"/>
  <x:c r="U811" i="3"/>
  <x:c r="T811" i="3"/>
  <x:c r="E811" i="3"/>
  <x:c r="B811" i="3"/>
  <x:c r="A811" i="3"/>
  <x:c r="AG810" i="3"/>
  <x:c r="AF810" i="3"/>
  <x:c r="AE810" i="3"/>
  <x:c r="AD810" i="3"/>
  <x:c r="AC810" i="3"/>
  <x:c r="AB810" i="3"/>
  <x:c r="AA810" i="3"/>
  <x:c r="Z810" i="3"/>
  <x:c r="Y810" i="3"/>
  <x:c r="X810" i="3"/>
  <x:c r="W810" i="3"/>
  <x:c r="V810" i="3"/>
  <x:c r="U810" i="3"/>
  <x:c r="T810" i="3"/>
  <x:c r="E810" i="3"/>
  <x:c r="B810" i="3"/>
  <x:c r="A810" i="3"/>
  <x:c r="AG809" i="3"/>
  <x:c r="AF809" i="3"/>
  <x:c r="AE809" i="3"/>
  <x:c r="AD809" i="3"/>
  <x:c r="AC809" i="3"/>
  <x:c r="AB809" i="3"/>
  <x:c r="AA809" i="3"/>
  <x:c r="Z809" i="3"/>
  <x:c r="Y809" i="3"/>
  <x:c r="X809" i="3"/>
  <x:c r="W809" i="3"/>
  <x:c r="V809" i="3"/>
  <x:c r="U809" i="3"/>
  <x:c r="T809" i="3"/>
  <x:c r="E809" i="3"/>
  <x:c r="B809" i="3"/>
  <x:c r="A809" i="3"/>
  <x:c r="AG808" i="3"/>
  <x:c r="AF808" i="3"/>
  <x:c r="AE808" i="3"/>
  <x:c r="AD808" i="3"/>
  <x:c r="AC808" i="3"/>
  <x:c r="AB808" i="3"/>
  <x:c r="AA808" i="3"/>
  <x:c r="Z808" i="3"/>
  <x:c r="Y808" i="3"/>
  <x:c r="X808" i="3"/>
  <x:c r="W808" i="3"/>
  <x:c r="V808" i="3"/>
  <x:c r="U808" i="3"/>
  <x:c r="T808" i="3"/>
  <x:c r="E808" i="3"/>
  <x:c r="B808" i="3"/>
  <x:c r="A808" i="3"/>
  <x:c r="AG807" i="3"/>
  <x:c r="AF807" i="3"/>
  <x:c r="AE807" i="3"/>
  <x:c r="AD807" i="3"/>
  <x:c r="AC807" i="3"/>
  <x:c r="AB807" i="3"/>
  <x:c r="AA807" i="3"/>
  <x:c r="Z807" i="3"/>
  <x:c r="Y807" i="3"/>
  <x:c r="X807" i="3"/>
  <x:c r="W807" i="3"/>
  <x:c r="V807" i="3"/>
  <x:c r="U807" i="3"/>
  <x:c r="T807" i="3"/>
  <x:c r="E807" i="3"/>
  <x:c r="B807" i="3"/>
  <x:c r="A807" i="3"/>
  <x:c r="AG806" i="3"/>
  <x:c r="AF806" i="3"/>
  <x:c r="AE806" i="3"/>
  <x:c r="AD806" i="3"/>
  <x:c r="AC806" i="3"/>
  <x:c r="AB806" i="3"/>
  <x:c r="AA806" i="3"/>
  <x:c r="Z806" i="3"/>
  <x:c r="Y806" i="3"/>
  <x:c r="X806" i="3"/>
  <x:c r="W806" i="3"/>
  <x:c r="V806" i="3"/>
  <x:c r="U806" i="3"/>
  <x:c r="T806" i="3"/>
  <x:c r="E806" i="3"/>
  <x:c r="B806" i="3"/>
  <x:c r="A806" i="3"/>
  <x:c r="AG805" i="3"/>
  <x:c r="AF805" i="3"/>
  <x:c r="AE805" i="3"/>
  <x:c r="AD805" i="3"/>
  <x:c r="AC805" i="3"/>
  <x:c r="AB805" i="3"/>
  <x:c r="AA805" i="3"/>
  <x:c r="Z805" i="3"/>
  <x:c r="Y805" i="3"/>
  <x:c r="X805" i="3"/>
  <x:c r="W805" i="3"/>
  <x:c r="V805" i="3"/>
  <x:c r="U805" i="3"/>
  <x:c r="T805" i="3"/>
  <x:c r="E805" i="3"/>
  <x:c r="B805" i="3"/>
  <x:c r="A805" i="3"/>
  <x:c r="AG804" i="3"/>
  <x:c r="AF804" i="3"/>
  <x:c r="AE804" i="3"/>
  <x:c r="AD804" i="3"/>
  <x:c r="AC804" i="3"/>
  <x:c r="AB804" i="3"/>
  <x:c r="AA804" i="3"/>
  <x:c r="Z804" i="3"/>
  <x:c r="Y804" i="3"/>
  <x:c r="X804" i="3"/>
  <x:c r="W804" i="3"/>
  <x:c r="V804" i="3"/>
  <x:c r="U804" i="3"/>
  <x:c r="T804" i="3"/>
  <x:c r="E804" i="3"/>
  <x:c r="B804" i="3"/>
  <x:c r="A804" i="3"/>
  <x:c r="AG803" i="3"/>
  <x:c r="AF803" i="3"/>
  <x:c r="AE803" i="3"/>
  <x:c r="AD803" i="3"/>
  <x:c r="AC803" i="3"/>
  <x:c r="AB803" i="3"/>
  <x:c r="AA803" i="3"/>
  <x:c r="Z803" i="3"/>
  <x:c r="Y803" i="3"/>
  <x:c r="X803" i="3"/>
  <x:c r="W803" i="3"/>
  <x:c r="V803" i="3"/>
  <x:c r="U803" i="3"/>
  <x:c r="T803" i="3"/>
  <x:c r="E803" i="3"/>
  <x:c r="B803" i="3"/>
  <x:c r="A803" i="3"/>
  <x:c r="AG802" i="3"/>
  <x:c r="AF802" i="3"/>
  <x:c r="AE802" i="3"/>
  <x:c r="AD802" i="3"/>
  <x:c r="AC802" i="3"/>
  <x:c r="AB802" i="3"/>
  <x:c r="AA802" i="3"/>
  <x:c r="Z802" i="3"/>
  <x:c r="Y802" i="3"/>
  <x:c r="X802" i="3"/>
  <x:c r="W802" i="3"/>
  <x:c r="V802" i="3"/>
  <x:c r="U802" i="3"/>
  <x:c r="T802" i="3"/>
  <x:c r="E802" i="3"/>
  <x:c r="B802" i="3"/>
  <x:c r="A802" i="3"/>
  <x:c r="AG801" i="3"/>
  <x:c r="AF801" i="3"/>
  <x:c r="AE801" i="3"/>
  <x:c r="AD801" i="3"/>
  <x:c r="AC801" i="3"/>
  <x:c r="AB801" i="3"/>
  <x:c r="AA801" i="3"/>
  <x:c r="Z801" i="3"/>
  <x:c r="Y801" i="3"/>
  <x:c r="X801" i="3"/>
  <x:c r="W801" i="3"/>
  <x:c r="V801" i="3"/>
  <x:c r="U801" i="3"/>
  <x:c r="T801" i="3"/>
  <x:c r="E801" i="3"/>
  <x:c r="B801" i="3"/>
  <x:c r="A801" i="3"/>
  <x:c r="AG800" i="3"/>
  <x:c r="AF800" i="3"/>
  <x:c r="AE800" i="3"/>
  <x:c r="AD800" i="3"/>
  <x:c r="AC800" i="3"/>
  <x:c r="AB800" i="3"/>
  <x:c r="AA800" i="3"/>
  <x:c r="Z800" i="3"/>
  <x:c r="Y800" i="3"/>
  <x:c r="X800" i="3"/>
  <x:c r="W800" i="3"/>
  <x:c r="V800" i="3"/>
  <x:c r="U800" i="3"/>
  <x:c r="T800" i="3"/>
  <x:c r="E800" i="3"/>
  <x:c r="B800" i="3"/>
  <x:c r="A800" i="3"/>
  <x:c r="AG799" i="3"/>
  <x:c r="AF799" i="3"/>
  <x:c r="AE799" i="3"/>
  <x:c r="AD799" i="3"/>
  <x:c r="AC799" i="3"/>
  <x:c r="AB799" i="3"/>
  <x:c r="AA799" i="3"/>
  <x:c r="Z799" i="3"/>
  <x:c r="Y799" i="3"/>
  <x:c r="X799" i="3"/>
  <x:c r="W799" i="3"/>
  <x:c r="V799" i="3"/>
  <x:c r="U799" i="3"/>
  <x:c r="T799" i="3"/>
  <x:c r="E799" i="3"/>
  <x:c r="B799" i="3"/>
  <x:c r="A799" i="3"/>
  <x:c r="AG798" i="3"/>
  <x:c r="AF798" i="3"/>
  <x:c r="AE798" i="3"/>
  <x:c r="AD798" i="3"/>
  <x:c r="AC798" i="3"/>
  <x:c r="AB798" i="3"/>
  <x:c r="AA798" i="3"/>
  <x:c r="Z798" i="3"/>
  <x:c r="Y798" i="3"/>
  <x:c r="X798" i="3"/>
  <x:c r="W798" i="3"/>
  <x:c r="V798" i="3"/>
  <x:c r="U798" i="3"/>
  <x:c r="T798" i="3"/>
  <x:c r="E798" i="3"/>
  <x:c r="B798" i="3"/>
  <x:c r="A798" i="3"/>
  <x:c r="AG797" i="3"/>
  <x:c r="AF797" i="3"/>
  <x:c r="AE797" i="3"/>
  <x:c r="AD797" i="3"/>
  <x:c r="AC797" i="3"/>
  <x:c r="AB797" i="3"/>
  <x:c r="AA797" i="3"/>
  <x:c r="Z797" i="3"/>
  <x:c r="Y797" i="3"/>
  <x:c r="X797" i="3"/>
  <x:c r="W797" i="3"/>
  <x:c r="V797" i="3"/>
  <x:c r="U797" i="3"/>
  <x:c r="T797" i="3"/>
  <x:c r="E797" i="3"/>
  <x:c r="B797" i="3"/>
  <x:c r="A797" i="3"/>
  <x:c r="AG796" i="3"/>
  <x:c r="AF796" i="3"/>
  <x:c r="AE796" i="3"/>
  <x:c r="AD796" i="3"/>
  <x:c r="AC796" i="3"/>
  <x:c r="AB796" i="3"/>
  <x:c r="AA796" i="3"/>
  <x:c r="Z796" i="3"/>
  <x:c r="Y796" i="3"/>
  <x:c r="X796" i="3"/>
  <x:c r="W796" i="3"/>
  <x:c r="V796" i="3"/>
  <x:c r="U796" i="3"/>
  <x:c r="T796" i="3"/>
  <x:c r="E796" i="3"/>
  <x:c r="B796" i="3"/>
  <x:c r="A796" i="3"/>
  <x:c r="AG795" i="3"/>
  <x:c r="AF795" i="3"/>
  <x:c r="AE795" i="3"/>
  <x:c r="AD795" i="3"/>
  <x:c r="AC795" i="3"/>
  <x:c r="AB795" i="3"/>
  <x:c r="AA795" i="3"/>
  <x:c r="Z795" i="3"/>
  <x:c r="Y795" i="3"/>
  <x:c r="X795" i="3"/>
  <x:c r="W795" i="3"/>
  <x:c r="V795" i="3"/>
  <x:c r="U795" i="3"/>
  <x:c r="T795" i="3"/>
  <x:c r="E795" i="3"/>
  <x:c r="B795" i="3"/>
  <x:c r="A795" i="3"/>
  <x:c r="AG794" i="3"/>
  <x:c r="AF794" i="3"/>
  <x:c r="AE794" i="3"/>
  <x:c r="AD794" i="3"/>
  <x:c r="AC794" i="3"/>
  <x:c r="AB794" i="3"/>
  <x:c r="AA794" i="3"/>
  <x:c r="Z794" i="3"/>
  <x:c r="Y794" i="3"/>
  <x:c r="X794" i="3"/>
  <x:c r="W794" i="3"/>
  <x:c r="V794" i="3"/>
  <x:c r="U794" i="3"/>
  <x:c r="T794" i="3"/>
  <x:c r="E794" i="3"/>
  <x:c r="B794" i="3"/>
  <x:c r="A794" i="3"/>
  <x:c r="AG793" i="3"/>
  <x:c r="AF793" i="3"/>
  <x:c r="AE793" i="3"/>
  <x:c r="AD793" i="3"/>
  <x:c r="AC793" i="3"/>
  <x:c r="AB793" i="3"/>
  <x:c r="AA793" i="3"/>
  <x:c r="Z793" i="3"/>
  <x:c r="Y793" i="3"/>
  <x:c r="X793" i="3"/>
  <x:c r="W793" i="3"/>
  <x:c r="V793" i="3"/>
  <x:c r="U793" i="3"/>
  <x:c r="T793" i="3"/>
  <x:c r="E793" i="3"/>
  <x:c r="B793" i="3"/>
  <x:c r="A793" i="3"/>
  <x:c r="AG792" i="3"/>
  <x:c r="AF792" i="3"/>
  <x:c r="AE792" i="3"/>
  <x:c r="AD792" i="3"/>
  <x:c r="AC792" i="3"/>
  <x:c r="AB792" i="3"/>
  <x:c r="AA792" i="3"/>
  <x:c r="Z792" i="3"/>
  <x:c r="Y792" i="3"/>
  <x:c r="X792" i="3"/>
  <x:c r="W792" i="3"/>
  <x:c r="V792" i="3"/>
  <x:c r="U792" i="3"/>
  <x:c r="T792" i="3"/>
  <x:c r="E792" i="3"/>
  <x:c r="B792" i="3"/>
  <x:c r="A792" i="3"/>
  <x:c r="AG791" i="3"/>
  <x:c r="AF791" i="3"/>
  <x:c r="AE791" i="3"/>
  <x:c r="AD791" i="3"/>
  <x:c r="AC791" i="3"/>
  <x:c r="AB791" i="3"/>
  <x:c r="AA791" i="3"/>
  <x:c r="Z791" i="3"/>
  <x:c r="Y791" i="3"/>
  <x:c r="X791" i="3"/>
  <x:c r="W791" i="3"/>
  <x:c r="V791" i="3"/>
  <x:c r="U791" i="3"/>
  <x:c r="T791" i="3"/>
  <x:c r="E791" i="3"/>
  <x:c r="B791" i="3"/>
  <x:c r="A791" i="3"/>
  <x:c r="AG790" i="3"/>
  <x:c r="AF790" i="3"/>
  <x:c r="AE790" i="3"/>
  <x:c r="AD790" i="3"/>
  <x:c r="AC790" i="3"/>
  <x:c r="AB790" i="3"/>
  <x:c r="AA790" i="3"/>
  <x:c r="Z790" i="3"/>
  <x:c r="Y790" i="3"/>
  <x:c r="X790" i="3"/>
  <x:c r="W790" i="3"/>
  <x:c r="V790" i="3"/>
  <x:c r="U790" i="3"/>
  <x:c r="T790" i="3"/>
  <x:c r="E790" i="3"/>
  <x:c r="B790" i="3"/>
  <x:c r="A790" i="3"/>
  <x:c r="AG789" i="3"/>
  <x:c r="AF789" i="3"/>
  <x:c r="AE789" i="3"/>
  <x:c r="AD789" i="3"/>
  <x:c r="AC789" i="3"/>
  <x:c r="AB789" i="3"/>
  <x:c r="AA789" i="3"/>
  <x:c r="Z789" i="3"/>
  <x:c r="Y789" i="3"/>
  <x:c r="X789" i="3"/>
  <x:c r="W789" i="3"/>
  <x:c r="V789" i="3"/>
  <x:c r="U789" i="3"/>
  <x:c r="T789" i="3"/>
  <x:c r="E789" i="3"/>
  <x:c r="B789" i="3"/>
  <x:c r="A789" i="3"/>
  <x:c r="AG788" i="3"/>
  <x:c r="AF788" i="3"/>
  <x:c r="AE788" i="3"/>
  <x:c r="AD788" i="3"/>
  <x:c r="AC788" i="3"/>
  <x:c r="AB788" i="3"/>
  <x:c r="AA788" i="3"/>
  <x:c r="Z788" i="3"/>
  <x:c r="Y788" i="3"/>
  <x:c r="X788" i="3"/>
  <x:c r="W788" i="3"/>
  <x:c r="V788" i="3"/>
  <x:c r="U788" i="3"/>
  <x:c r="T788" i="3"/>
  <x:c r="E788" i="3"/>
  <x:c r="B788" i="3"/>
  <x:c r="A788" i="3"/>
  <x:c r="AG787" i="3"/>
  <x:c r="AF787" i="3"/>
  <x:c r="AE787" i="3"/>
  <x:c r="AD787" i="3"/>
  <x:c r="AC787" i="3"/>
  <x:c r="AB787" i="3"/>
  <x:c r="AA787" i="3"/>
  <x:c r="Z787" i="3"/>
  <x:c r="Y787" i="3"/>
  <x:c r="X787" i="3"/>
  <x:c r="W787" i="3"/>
  <x:c r="V787" i="3"/>
  <x:c r="U787" i="3"/>
  <x:c r="T787" i="3"/>
  <x:c r="E787" i="3"/>
  <x:c r="B787" i="3"/>
  <x:c r="A787" i="3"/>
  <x:c r="AG786" i="3"/>
  <x:c r="AF786" i="3"/>
  <x:c r="AE786" i="3"/>
  <x:c r="AD786" i="3"/>
  <x:c r="AC786" i="3"/>
  <x:c r="AB786" i="3"/>
  <x:c r="AA786" i="3"/>
  <x:c r="Z786" i="3"/>
  <x:c r="Y786" i="3"/>
  <x:c r="X786" i="3"/>
  <x:c r="W786" i="3"/>
  <x:c r="V786" i="3"/>
  <x:c r="U786" i="3"/>
  <x:c r="T786" i="3"/>
  <x:c r="E786" i="3"/>
  <x:c r="B786" i="3"/>
  <x:c r="A786" i="3"/>
  <x:c r="AG785" i="3"/>
  <x:c r="AF785" i="3"/>
  <x:c r="AE785" i="3"/>
  <x:c r="AD785" i="3"/>
  <x:c r="AC785" i="3"/>
  <x:c r="AB785" i="3"/>
  <x:c r="AA785" i="3"/>
  <x:c r="Z785" i="3"/>
  <x:c r="Y785" i="3"/>
  <x:c r="X785" i="3"/>
  <x:c r="W785" i="3"/>
  <x:c r="V785" i="3"/>
  <x:c r="U785" i="3"/>
  <x:c r="T785" i="3"/>
  <x:c r="E785" i="3"/>
  <x:c r="B785" i="3"/>
  <x:c r="A785" i="3"/>
  <x:c r="AG784" i="3"/>
  <x:c r="AF784" i="3"/>
  <x:c r="AE784" i="3"/>
  <x:c r="AD784" i="3"/>
  <x:c r="AC784" i="3"/>
  <x:c r="AB784" i="3"/>
  <x:c r="AA784" i="3"/>
  <x:c r="Z784" i="3"/>
  <x:c r="Y784" i="3"/>
  <x:c r="X784" i="3"/>
  <x:c r="W784" i="3"/>
  <x:c r="V784" i="3"/>
  <x:c r="U784" i="3"/>
  <x:c r="T784" i="3"/>
  <x:c r="E784" i="3"/>
  <x:c r="B784" i="3"/>
  <x:c r="A784" i="3"/>
  <x:c r="AG783" i="3"/>
  <x:c r="AF783" i="3"/>
  <x:c r="AE783" i="3"/>
  <x:c r="AD783" i="3"/>
  <x:c r="AC783" i="3"/>
  <x:c r="AB783" i="3"/>
  <x:c r="AA783" i="3"/>
  <x:c r="Z783" i="3"/>
  <x:c r="Y783" i="3"/>
  <x:c r="X783" i="3"/>
  <x:c r="W783" i="3"/>
  <x:c r="V783" i="3"/>
  <x:c r="U783" i="3"/>
  <x:c r="T783" i="3"/>
  <x:c r="E783" i="3"/>
  <x:c r="B783" i="3"/>
  <x:c r="A783" i="3"/>
  <x:c r="AG782" i="3"/>
  <x:c r="AF782" i="3"/>
  <x:c r="AE782" i="3"/>
  <x:c r="AD782" i="3"/>
  <x:c r="AC782" i="3"/>
  <x:c r="AB782" i="3"/>
  <x:c r="AA782" i="3"/>
  <x:c r="Z782" i="3"/>
  <x:c r="Y782" i="3"/>
  <x:c r="X782" i="3"/>
  <x:c r="W782" i="3"/>
  <x:c r="V782" i="3"/>
  <x:c r="U782" i="3"/>
  <x:c r="T782" i="3"/>
  <x:c r="E782" i="3"/>
  <x:c r="B782" i="3"/>
  <x:c r="A782" i="3"/>
  <x:c r="AG781" i="3"/>
  <x:c r="AF781" i="3"/>
  <x:c r="AE781" i="3"/>
  <x:c r="AD781" i="3"/>
  <x:c r="AC781" i="3"/>
  <x:c r="AB781" i="3"/>
  <x:c r="AA781" i="3"/>
  <x:c r="Z781" i="3"/>
  <x:c r="Y781" i="3"/>
  <x:c r="X781" i="3"/>
  <x:c r="W781" i="3"/>
  <x:c r="V781" i="3"/>
  <x:c r="U781" i="3"/>
  <x:c r="T781" i="3"/>
  <x:c r="E781" i="3"/>
  <x:c r="B781" i="3"/>
  <x:c r="A781" i="3"/>
  <x:c r="AG780" i="3"/>
  <x:c r="AF780" i="3"/>
  <x:c r="AE780" i="3"/>
  <x:c r="AD780" i="3"/>
  <x:c r="AC780" i="3"/>
  <x:c r="AB780" i="3"/>
  <x:c r="AA780" i="3"/>
  <x:c r="Z780" i="3"/>
  <x:c r="Y780" i="3"/>
  <x:c r="X780" i="3"/>
  <x:c r="W780" i="3"/>
  <x:c r="V780" i="3"/>
  <x:c r="U780" i="3"/>
  <x:c r="T780" i="3"/>
  <x:c r="E780" i="3"/>
  <x:c r="B780" i="3"/>
  <x:c r="A780" i="3"/>
  <x:c r="AG779" i="3"/>
  <x:c r="AF779" i="3"/>
  <x:c r="AE779" i="3"/>
  <x:c r="AD779" i="3"/>
  <x:c r="AC779" i="3"/>
  <x:c r="AB779" i="3"/>
  <x:c r="AA779" i="3"/>
  <x:c r="Z779" i="3"/>
  <x:c r="Y779" i="3"/>
  <x:c r="X779" i="3"/>
  <x:c r="W779" i="3"/>
  <x:c r="V779" i="3"/>
  <x:c r="U779" i="3"/>
  <x:c r="T779" i="3"/>
  <x:c r="E779" i="3"/>
  <x:c r="B779" i="3"/>
  <x:c r="A779" i="3"/>
  <x:c r="AG778" i="3"/>
  <x:c r="AF778" i="3"/>
  <x:c r="AE778" i="3"/>
  <x:c r="AD778" i="3"/>
  <x:c r="AC778" i="3"/>
  <x:c r="AB778" i="3"/>
  <x:c r="AA778" i="3"/>
  <x:c r="Z778" i="3"/>
  <x:c r="Y778" i="3"/>
  <x:c r="X778" i="3"/>
  <x:c r="W778" i="3"/>
  <x:c r="V778" i="3"/>
  <x:c r="U778" i="3"/>
  <x:c r="T778" i="3"/>
  <x:c r="E778" i="3"/>
  <x:c r="B778" i="3"/>
  <x:c r="A778" i="3"/>
  <x:c r="AG777" i="3"/>
  <x:c r="AF777" i="3"/>
  <x:c r="AE777" i="3"/>
  <x:c r="AD777" i="3"/>
  <x:c r="AC777" i="3"/>
  <x:c r="AB777" i="3"/>
  <x:c r="AA777" i="3"/>
  <x:c r="Z777" i="3"/>
  <x:c r="Y777" i="3"/>
  <x:c r="X777" i="3"/>
  <x:c r="W777" i="3"/>
  <x:c r="V777" i="3"/>
  <x:c r="U777" i="3"/>
  <x:c r="T777" i="3"/>
  <x:c r="E777" i="3"/>
  <x:c r="B777" i="3"/>
  <x:c r="A777" i="3"/>
  <x:c r="AG776" i="3"/>
  <x:c r="AF776" i="3"/>
  <x:c r="AE776" i="3"/>
  <x:c r="AD776" i="3"/>
  <x:c r="AC776" i="3"/>
  <x:c r="AB776" i="3"/>
  <x:c r="AA776" i="3"/>
  <x:c r="Z776" i="3"/>
  <x:c r="Y776" i="3"/>
  <x:c r="X776" i="3"/>
  <x:c r="W776" i="3"/>
  <x:c r="V776" i="3"/>
  <x:c r="U776" i="3"/>
  <x:c r="T776" i="3"/>
  <x:c r="E776" i="3"/>
  <x:c r="B776" i="3"/>
  <x:c r="A776" i="3"/>
  <x:c r="AG775" i="3"/>
  <x:c r="AF775" i="3"/>
  <x:c r="AE775" i="3"/>
  <x:c r="AD775" i="3"/>
  <x:c r="AC775" i="3"/>
  <x:c r="AB775" i="3"/>
  <x:c r="AA775" i="3"/>
  <x:c r="Z775" i="3"/>
  <x:c r="Y775" i="3"/>
  <x:c r="X775" i="3"/>
  <x:c r="W775" i="3"/>
  <x:c r="V775" i="3"/>
  <x:c r="U775" i="3"/>
  <x:c r="T775" i="3"/>
  <x:c r="E775" i="3"/>
  <x:c r="B775" i="3"/>
  <x:c r="A775" i="3"/>
  <x:c r="AG774" i="3"/>
  <x:c r="AF774" i="3"/>
  <x:c r="AE774" i="3"/>
  <x:c r="AD774" i="3"/>
  <x:c r="AC774" i="3"/>
  <x:c r="AB774" i="3"/>
  <x:c r="AA774" i="3"/>
  <x:c r="Z774" i="3"/>
  <x:c r="Y774" i="3"/>
  <x:c r="X774" i="3"/>
  <x:c r="W774" i="3"/>
  <x:c r="V774" i="3"/>
  <x:c r="U774" i="3"/>
  <x:c r="T774" i="3"/>
  <x:c r="E774" i="3"/>
  <x:c r="B774" i="3"/>
  <x:c r="A774" i="3"/>
  <x:c r="AG773" i="3"/>
  <x:c r="AF773" i="3"/>
  <x:c r="AE773" i="3"/>
  <x:c r="AD773" i="3"/>
  <x:c r="AC773" i="3"/>
  <x:c r="AB773" i="3"/>
  <x:c r="AA773" i="3"/>
  <x:c r="Z773" i="3"/>
  <x:c r="Y773" i="3"/>
  <x:c r="X773" i="3"/>
  <x:c r="W773" i="3"/>
  <x:c r="V773" i="3"/>
  <x:c r="U773" i="3"/>
  <x:c r="T773" i="3"/>
  <x:c r="E773" i="3"/>
  <x:c r="B773" i="3"/>
  <x:c r="A773" i="3"/>
  <x:c r="AG772" i="3"/>
  <x:c r="AF772" i="3"/>
  <x:c r="AE772" i="3"/>
  <x:c r="AD772" i="3"/>
  <x:c r="AC772" i="3"/>
  <x:c r="AB772" i="3"/>
  <x:c r="AA772" i="3"/>
  <x:c r="Z772" i="3"/>
  <x:c r="Y772" i="3"/>
  <x:c r="X772" i="3"/>
  <x:c r="W772" i="3"/>
  <x:c r="V772" i="3"/>
  <x:c r="U772" i="3"/>
  <x:c r="T772" i="3"/>
  <x:c r="E772" i="3"/>
  <x:c r="B772" i="3"/>
  <x:c r="A772" i="3"/>
  <x:c r="AG771" i="3"/>
  <x:c r="AF771" i="3"/>
  <x:c r="AE771" i="3"/>
  <x:c r="AD771" i="3"/>
  <x:c r="AC771" i="3"/>
  <x:c r="AB771" i="3"/>
  <x:c r="AA771" i="3"/>
  <x:c r="Z771" i="3"/>
  <x:c r="Y771" i="3"/>
  <x:c r="X771" i="3"/>
  <x:c r="W771" i="3"/>
  <x:c r="V771" i="3"/>
  <x:c r="U771" i="3"/>
  <x:c r="T771" i="3"/>
  <x:c r="E771" i="3"/>
  <x:c r="B771" i="3"/>
  <x:c r="A771" i="3"/>
  <x:c r="AG770" i="3"/>
  <x:c r="AF770" i="3"/>
  <x:c r="AE770" i="3"/>
  <x:c r="AD770" i="3"/>
  <x:c r="AC770" i="3"/>
  <x:c r="AB770" i="3"/>
  <x:c r="AA770" i="3"/>
  <x:c r="Z770" i="3"/>
  <x:c r="Y770" i="3"/>
  <x:c r="X770" i="3"/>
  <x:c r="W770" i="3"/>
  <x:c r="V770" i="3"/>
  <x:c r="U770" i="3"/>
  <x:c r="T770" i="3"/>
  <x:c r="E770" i="3"/>
  <x:c r="B770" i="3"/>
  <x:c r="A770" i="3"/>
  <x:c r="AG769" i="3"/>
  <x:c r="AF769" i="3"/>
  <x:c r="AE769" i="3"/>
  <x:c r="AD769" i="3"/>
  <x:c r="AC769" i="3"/>
  <x:c r="AB769" i="3"/>
  <x:c r="AA769" i="3"/>
  <x:c r="Z769" i="3"/>
  <x:c r="Y769" i="3"/>
  <x:c r="X769" i="3"/>
  <x:c r="W769" i="3"/>
  <x:c r="V769" i="3"/>
  <x:c r="U769" i="3"/>
  <x:c r="T769" i="3"/>
  <x:c r="E769" i="3"/>
  <x:c r="B769" i="3"/>
  <x:c r="A769" i="3"/>
  <x:c r="AG768" i="3"/>
  <x:c r="AF768" i="3"/>
  <x:c r="AE768" i="3"/>
  <x:c r="AD768" i="3"/>
  <x:c r="AC768" i="3"/>
  <x:c r="AB768" i="3"/>
  <x:c r="AA768" i="3"/>
  <x:c r="Z768" i="3"/>
  <x:c r="Y768" i="3"/>
  <x:c r="X768" i="3"/>
  <x:c r="W768" i="3"/>
  <x:c r="V768" i="3"/>
  <x:c r="U768" i="3"/>
  <x:c r="T768" i="3"/>
  <x:c r="E768" i="3"/>
  <x:c r="B768" i="3"/>
  <x:c r="A768" i="3"/>
  <x:c r="AG767" i="3"/>
  <x:c r="AF767" i="3"/>
  <x:c r="AE767" i="3"/>
  <x:c r="AD767" i="3"/>
  <x:c r="AC767" i="3"/>
  <x:c r="AB767" i="3"/>
  <x:c r="AA767" i="3"/>
  <x:c r="Z767" i="3"/>
  <x:c r="Y767" i="3"/>
  <x:c r="X767" i="3"/>
  <x:c r="W767" i="3"/>
  <x:c r="V767" i="3"/>
  <x:c r="U767" i="3"/>
  <x:c r="T767" i="3"/>
  <x:c r="E767" i="3"/>
  <x:c r="B767" i="3"/>
  <x:c r="A767" i="3"/>
  <x:c r="AG766" i="3"/>
  <x:c r="AF766" i="3"/>
  <x:c r="AE766" i="3"/>
  <x:c r="AD766" i="3"/>
  <x:c r="AC766" i="3"/>
  <x:c r="AB766" i="3"/>
  <x:c r="AA766" i="3"/>
  <x:c r="Z766" i="3"/>
  <x:c r="Y766" i="3"/>
  <x:c r="X766" i="3"/>
  <x:c r="W766" i="3"/>
  <x:c r="V766" i="3"/>
  <x:c r="U766" i="3"/>
  <x:c r="T766" i="3"/>
  <x:c r="E766" i="3"/>
  <x:c r="B766" i="3"/>
  <x:c r="A766" i="3"/>
  <x:c r="AG765" i="3"/>
  <x:c r="AF765" i="3"/>
  <x:c r="AE765" i="3"/>
  <x:c r="AD765" i="3"/>
  <x:c r="AC765" i="3"/>
  <x:c r="AB765" i="3"/>
  <x:c r="AA765" i="3"/>
  <x:c r="Z765" i="3"/>
  <x:c r="Y765" i="3"/>
  <x:c r="X765" i="3"/>
  <x:c r="W765" i="3"/>
  <x:c r="V765" i="3"/>
  <x:c r="U765" i="3"/>
  <x:c r="T765" i="3"/>
  <x:c r="E765" i="3"/>
  <x:c r="B765" i="3"/>
  <x:c r="A765" i="3"/>
  <x:c r="AG764" i="3"/>
  <x:c r="AF764" i="3"/>
  <x:c r="AE764" i="3"/>
  <x:c r="AD764" i="3"/>
  <x:c r="AC764" i="3"/>
  <x:c r="AB764" i="3"/>
  <x:c r="AA764" i="3"/>
  <x:c r="Z764" i="3"/>
  <x:c r="Y764" i="3"/>
  <x:c r="X764" i="3"/>
  <x:c r="W764" i="3"/>
  <x:c r="V764" i="3"/>
  <x:c r="U764" i="3"/>
  <x:c r="T764" i="3"/>
  <x:c r="E764" i="3"/>
  <x:c r="B764" i="3"/>
  <x:c r="A764" i="3"/>
  <x:c r="AG763" i="3"/>
  <x:c r="AF763" i="3"/>
  <x:c r="AE763" i="3"/>
  <x:c r="AD763" i="3"/>
  <x:c r="AC763" i="3"/>
  <x:c r="AB763" i="3"/>
  <x:c r="AA763" i="3"/>
  <x:c r="Z763" i="3"/>
  <x:c r="Y763" i="3"/>
  <x:c r="X763" i="3"/>
  <x:c r="W763" i="3"/>
  <x:c r="V763" i="3"/>
  <x:c r="U763" i="3"/>
  <x:c r="T763" i="3"/>
  <x:c r="E763" i="3"/>
  <x:c r="B763" i="3"/>
  <x:c r="A763" i="3"/>
  <x:c r="AG762" i="3"/>
  <x:c r="AF762" i="3"/>
  <x:c r="AE762" i="3"/>
  <x:c r="AD762" i="3"/>
  <x:c r="AC762" i="3"/>
  <x:c r="AB762" i="3"/>
  <x:c r="AA762" i="3"/>
  <x:c r="Z762" i="3"/>
  <x:c r="Y762" i="3"/>
  <x:c r="X762" i="3"/>
  <x:c r="W762" i="3"/>
  <x:c r="V762" i="3"/>
  <x:c r="U762" i="3"/>
  <x:c r="T762" i="3"/>
  <x:c r="E762" i="3"/>
  <x:c r="B762" i="3"/>
  <x:c r="A762" i="3"/>
  <x:c r="AG761" i="3"/>
  <x:c r="AF761" i="3"/>
  <x:c r="AE761" i="3"/>
  <x:c r="AD761" i="3"/>
  <x:c r="AC761" i="3"/>
  <x:c r="AB761" i="3"/>
  <x:c r="AA761" i="3"/>
  <x:c r="Z761" i="3"/>
  <x:c r="Y761" i="3"/>
  <x:c r="X761" i="3"/>
  <x:c r="W761" i="3"/>
  <x:c r="V761" i="3"/>
  <x:c r="U761" i="3"/>
  <x:c r="T761" i="3"/>
  <x:c r="E761" i="3"/>
  <x:c r="B761" i="3"/>
  <x:c r="A761" i="3"/>
  <x:c r="AG760" i="3"/>
  <x:c r="AF760" i="3"/>
  <x:c r="AE760" i="3"/>
  <x:c r="AD760" i="3"/>
  <x:c r="AC760" i="3"/>
  <x:c r="AB760" i="3"/>
  <x:c r="AA760" i="3"/>
  <x:c r="Z760" i="3"/>
  <x:c r="Y760" i="3"/>
  <x:c r="X760" i="3"/>
  <x:c r="W760" i="3"/>
  <x:c r="V760" i="3"/>
  <x:c r="U760" i="3"/>
  <x:c r="T760" i="3"/>
  <x:c r="E760" i="3"/>
  <x:c r="B760" i="3"/>
  <x:c r="A760" i="3"/>
  <x:c r="AG759" i="3"/>
  <x:c r="AF759" i="3"/>
  <x:c r="AE759" i="3"/>
  <x:c r="AD759" i="3"/>
  <x:c r="AC759" i="3"/>
  <x:c r="AB759" i="3"/>
  <x:c r="AA759" i="3"/>
  <x:c r="Z759" i="3"/>
  <x:c r="Y759" i="3"/>
  <x:c r="X759" i="3"/>
  <x:c r="W759" i="3"/>
  <x:c r="V759" i="3"/>
  <x:c r="U759" i="3"/>
  <x:c r="T759" i="3"/>
  <x:c r="E759" i="3"/>
  <x:c r="B759" i="3"/>
  <x:c r="A759" i="3"/>
  <x:c r="AG758" i="3"/>
  <x:c r="AF758" i="3"/>
  <x:c r="AE758" i="3"/>
  <x:c r="AD758" i="3"/>
  <x:c r="AC758" i="3"/>
  <x:c r="AB758" i="3"/>
  <x:c r="AA758" i="3"/>
  <x:c r="Z758" i="3"/>
  <x:c r="Y758" i="3"/>
  <x:c r="X758" i="3"/>
  <x:c r="W758" i="3"/>
  <x:c r="V758" i="3"/>
  <x:c r="U758" i="3"/>
  <x:c r="T758" i="3"/>
  <x:c r="E758" i="3"/>
  <x:c r="B758" i="3"/>
  <x:c r="A758" i="3"/>
  <x:c r="AG757" i="3"/>
  <x:c r="AF757" i="3"/>
  <x:c r="AE757" i="3"/>
  <x:c r="AD757" i="3"/>
  <x:c r="AC757" i="3"/>
  <x:c r="AB757" i="3"/>
  <x:c r="AA757" i="3"/>
  <x:c r="Z757" i="3"/>
  <x:c r="Y757" i="3"/>
  <x:c r="X757" i="3"/>
  <x:c r="W757" i="3"/>
  <x:c r="V757" i="3"/>
  <x:c r="U757" i="3"/>
  <x:c r="T757" i="3"/>
  <x:c r="E757" i="3"/>
  <x:c r="B757" i="3"/>
  <x:c r="A757" i="3"/>
  <x:c r="AG756" i="3"/>
  <x:c r="AF756" i="3"/>
  <x:c r="AE756" i="3"/>
  <x:c r="AD756" i="3"/>
  <x:c r="AC756" i="3"/>
  <x:c r="AB756" i="3"/>
  <x:c r="AA756" i="3"/>
  <x:c r="Z756" i="3"/>
  <x:c r="Y756" i="3"/>
  <x:c r="X756" i="3"/>
  <x:c r="W756" i="3"/>
  <x:c r="V756" i="3"/>
  <x:c r="U756" i="3"/>
  <x:c r="T756" i="3"/>
  <x:c r="E756" i="3"/>
  <x:c r="B756" i="3"/>
  <x:c r="A756" i="3"/>
  <x:c r="AG755" i="3"/>
  <x:c r="AF755" i="3"/>
  <x:c r="AE755" i="3"/>
  <x:c r="AD755" i="3"/>
  <x:c r="AC755" i="3"/>
  <x:c r="AB755" i="3"/>
  <x:c r="AA755" i="3"/>
  <x:c r="Z755" i="3"/>
  <x:c r="Y755" i="3"/>
  <x:c r="X755" i="3"/>
  <x:c r="W755" i="3"/>
  <x:c r="V755" i="3"/>
  <x:c r="U755" i="3"/>
  <x:c r="T755" i="3"/>
  <x:c r="E755" i="3"/>
  <x:c r="B755" i="3"/>
  <x:c r="A755" i="3"/>
  <x:c r="AG754" i="3"/>
  <x:c r="AF754" i="3"/>
  <x:c r="AE754" i="3"/>
  <x:c r="AD754" i="3"/>
  <x:c r="AC754" i="3"/>
  <x:c r="AB754" i="3"/>
  <x:c r="AA754" i="3"/>
  <x:c r="Z754" i="3"/>
  <x:c r="Y754" i="3"/>
  <x:c r="X754" i="3"/>
  <x:c r="W754" i="3"/>
  <x:c r="V754" i="3"/>
  <x:c r="U754" i="3"/>
  <x:c r="T754" i="3"/>
  <x:c r="E754" i="3"/>
  <x:c r="B754" i="3"/>
  <x:c r="A754" i="3"/>
  <x:c r="AG753" i="3"/>
  <x:c r="AF753" i="3"/>
  <x:c r="AE753" i="3"/>
  <x:c r="AD753" i="3"/>
  <x:c r="AC753" i="3"/>
  <x:c r="AB753" i="3"/>
  <x:c r="AA753" i="3"/>
  <x:c r="Z753" i="3"/>
  <x:c r="Y753" i="3"/>
  <x:c r="X753" i="3"/>
  <x:c r="W753" i="3"/>
  <x:c r="V753" i="3"/>
  <x:c r="U753" i="3"/>
  <x:c r="T753" i="3"/>
  <x:c r="E753" i="3"/>
  <x:c r="B753" i="3"/>
  <x:c r="A753" i="3"/>
  <x:c r="AG752" i="3"/>
  <x:c r="AF752" i="3"/>
  <x:c r="AE752" i="3"/>
  <x:c r="AD752" i="3"/>
  <x:c r="AC752" i="3"/>
  <x:c r="AB752" i="3"/>
  <x:c r="AA752" i="3"/>
  <x:c r="Z752" i="3"/>
  <x:c r="Y752" i="3"/>
  <x:c r="X752" i="3"/>
  <x:c r="W752" i="3"/>
  <x:c r="V752" i="3"/>
  <x:c r="U752" i="3"/>
  <x:c r="T752" i="3"/>
  <x:c r="E752" i="3"/>
  <x:c r="B752" i="3"/>
  <x:c r="A752" i="3"/>
  <x:c r="AG751" i="3"/>
  <x:c r="AF751" i="3"/>
  <x:c r="AE751" i="3"/>
  <x:c r="AD751" i="3"/>
  <x:c r="AC751" i="3"/>
  <x:c r="AB751" i="3"/>
  <x:c r="AA751" i="3"/>
  <x:c r="Z751" i="3"/>
  <x:c r="Y751" i="3"/>
  <x:c r="X751" i="3"/>
  <x:c r="W751" i="3"/>
  <x:c r="V751" i="3"/>
  <x:c r="U751" i="3"/>
  <x:c r="T751" i="3"/>
  <x:c r="E751" i="3"/>
  <x:c r="B751" i="3"/>
  <x:c r="A751" i="3"/>
  <x:c r="AG750" i="3"/>
  <x:c r="AF750" i="3"/>
  <x:c r="AE750" i="3"/>
  <x:c r="AD750" i="3"/>
  <x:c r="AC750" i="3"/>
  <x:c r="AB750" i="3"/>
  <x:c r="AA750" i="3"/>
  <x:c r="Z750" i="3"/>
  <x:c r="Y750" i="3"/>
  <x:c r="X750" i="3"/>
  <x:c r="W750" i="3"/>
  <x:c r="V750" i="3"/>
  <x:c r="U750" i="3"/>
  <x:c r="T750" i="3"/>
  <x:c r="E750" i="3"/>
  <x:c r="B750" i="3"/>
  <x:c r="A750" i="3"/>
  <x:c r="AG749" i="3"/>
  <x:c r="AF749" i="3"/>
  <x:c r="AE749" i="3"/>
  <x:c r="AD749" i="3"/>
  <x:c r="AC749" i="3"/>
  <x:c r="AB749" i="3"/>
  <x:c r="AA749" i="3"/>
  <x:c r="Z749" i="3"/>
  <x:c r="Y749" i="3"/>
  <x:c r="X749" i="3"/>
  <x:c r="W749" i="3"/>
  <x:c r="V749" i="3"/>
  <x:c r="U749" i="3"/>
  <x:c r="T749" i="3"/>
  <x:c r="E749" i="3"/>
  <x:c r="B749" i="3"/>
  <x:c r="A749" i="3"/>
  <x:c r="AG748" i="3"/>
  <x:c r="AF748" i="3"/>
  <x:c r="AE748" i="3"/>
  <x:c r="AD748" i="3"/>
  <x:c r="AC748" i="3"/>
  <x:c r="AB748" i="3"/>
  <x:c r="AA748" i="3"/>
  <x:c r="Z748" i="3"/>
  <x:c r="Y748" i="3"/>
  <x:c r="X748" i="3"/>
  <x:c r="W748" i="3"/>
  <x:c r="V748" i="3"/>
  <x:c r="U748" i="3"/>
  <x:c r="T748" i="3"/>
  <x:c r="E748" i="3"/>
  <x:c r="B748" i="3"/>
  <x:c r="A748" i="3"/>
  <x:c r="AG747" i="3"/>
  <x:c r="AF747" i="3"/>
  <x:c r="AE747" i="3"/>
  <x:c r="AD747" i="3"/>
  <x:c r="AC747" i="3"/>
  <x:c r="AB747" i="3"/>
  <x:c r="AA747" i="3"/>
  <x:c r="Z747" i="3"/>
  <x:c r="Y747" i="3"/>
  <x:c r="X747" i="3"/>
  <x:c r="W747" i="3"/>
  <x:c r="V747" i="3"/>
  <x:c r="U747" i="3"/>
  <x:c r="T747" i="3"/>
  <x:c r="E747" i="3"/>
  <x:c r="B747" i="3"/>
  <x:c r="A747" i="3"/>
  <x:c r="AG746" i="3"/>
  <x:c r="AF746" i="3"/>
  <x:c r="AE746" i="3"/>
  <x:c r="AD746" i="3"/>
  <x:c r="AC746" i="3"/>
  <x:c r="AB746" i="3"/>
  <x:c r="AA746" i="3"/>
  <x:c r="Z746" i="3"/>
  <x:c r="Y746" i="3"/>
  <x:c r="X746" i="3"/>
  <x:c r="W746" i="3"/>
  <x:c r="V746" i="3"/>
  <x:c r="U746" i="3"/>
  <x:c r="T746" i="3"/>
  <x:c r="E746" i="3"/>
  <x:c r="B746" i="3"/>
  <x:c r="A746" i="3"/>
  <x:c r="AG745" i="3"/>
  <x:c r="AF745" i="3"/>
  <x:c r="AE745" i="3"/>
  <x:c r="AD745" i="3"/>
  <x:c r="AC745" i="3"/>
  <x:c r="AB745" i="3"/>
  <x:c r="AA745" i="3"/>
  <x:c r="Z745" i="3"/>
  <x:c r="Y745" i="3"/>
  <x:c r="X745" i="3"/>
  <x:c r="W745" i="3"/>
  <x:c r="V745" i="3"/>
  <x:c r="U745" i="3"/>
  <x:c r="T745" i="3"/>
  <x:c r="E745" i="3"/>
  <x:c r="B745" i="3"/>
  <x:c r="A745" i="3"/>
  <x:c r="AG744" i="3"/>
  <x:c r="AF744" i="3"/>
  <x:c r="AE744" i="3"/>
  <x:c r="AD744" i="3"/>
  <x:c r="AC744" i="3"/>
  <x:c r="AB744" i="3"/>
  <x:c r="AA744" i="3"/>
  <x:c r="Z744" i="3"/>
  <x:c r="Y744" i="3"/>
  <x:c r="X744" i="3"/>
  <x:c r="W744" i="3"/>
  <x:c r="V744" i="3"/>
  <x:c r="U744" i="3"/>
  <x:c r="T744" i="3"/>
  <x:c r="E744" i="3"/>
  <x:c r="B744" i="3"/>
  <x:c r="A744" i="3"/>
  <x:c r="AG743" i="3"/>
  <x:c r="AF743" i="3"/>
  <x:c r="AE743" i="3"/>
  <x:c r="AD743" i="3"/>
  <x:c r="AC743" i="3"/>
  <x:c r="AB743" i="3"/>
  <x:c r="AA743" i="3"/>
  <x:c r="Z743" i="3"/>
  <x:c r="Y743" i="3"/>
  <x:c r="X743" i="3"/>
  <x:c r="W743" i="3"/>
  <x:c r="V743" i="3"/>
  <x:c r="U743" i="3"/>
  <x:c r="T743" i="3"/>
  <x:c r="E743" i="3"/>
  <x:c r="B743" i="3"/>
  <x:c r="A743" i="3"/>
  <x:c r="AG742" i="3"/>
  <x:c r="AF742" i="3"/>
  <x:c r="AE742" i="3"/>
  <x:c r="AD742" i="3"/>
  <x:c r="AC742" i="3"/>
  <x:c r="AB742" i="3"/>
  <x:c r="AA742" i="3"/>
  <x:c r="Z742" i="3"/>
  <x:c r="Y742" i="3"/>
  <x:c r="X742" i="3"/>
  <x:c r="W742" i="3"/>
  <x:c r="V742" i="3"/>
  <x:c r="U742" i="3"/>
  <x:c r="T742" i="3"/>
  <x:c r="E742" i="3"/>
  <x:c r="B742" i="3"/>
  <x:c r="A742" i="3"/>
  <x:c r="AG741" i="3"/>
  <x:c r="AF741" i="3"/>
  <x:c r="AE741" i="3"/>
  <x:c r="AD741" i="3"/>
  <x:c r="AC741" i="3"/>
  <x:c r="AB741" i="3"/>
  <x:c r="AA741" i="3"/>
  <x:c r="Z741" i="3"/>
  <x:c r="Y741" i="3"/>
  <x:c r="X741" i="3"/>
  <x:c r="W741" i="3"/>
  <x:c r="V741" i="3"/>
  <x:c r="U741" i="3"/>
  <x:c r="T741" i="3"/>
  <x:c r="E741" i="3"/>
  <x:c r="B741" i="3"/>
  <x:c r="A741" i="3"/>
  <x:c r="AG740" i="3"/>
  <x:c r="AF740" i="3"/>
  <x:c r="AE740" i="3"/>
  <x:c r="AD740" i="3"/>
  <x:c r="AC740" i="3"/>
  <x:c r="AB740" i="3"/>
  <x:c r="AA740" i="3"/>
  <x:c r="Z740" i="3"/>
  <x:c r="Y740" i="3"/>
  <x:c r="X740" i="3"/>
  <x:c r="W740" i="3"/>
  <x:c r="V740" i="3"/>
  <x:c r="U740" i="3"/>
  <x:c r="T740" i="3"/>
  <x:c r="E740" i="3"/>
  <x:c r="B740" i="3"/>
  <x:c r="A740" i="3"/>
  <x:c r="AG739" i="3"/>
  <x:c r="AF739" i="3"/>
  <x:c r="AE739" i="3"/>
  <x:c r="AD739" i="3"/>
  <x:c r="AC739" i="3"/>
  <x:c r="AB739" i="3"/>
  <x:c r="AA739" i="3"/>
  <x:c r="Z739" i="3"/>
  <x:c r="Y739" i="3"/>
  <x:c r="X739" i="3"/>
  <x:c r="W739" i="3"/>
  <x:c r="V739" i="3"/>
  <x:c r="U739" i="3"/>
  <x:c r="T739" i="3"/>
  <x:c r="E739" i="3"/>
  <x:c r="B739" i="3"/>
  <x:c r="A739" i="3"/>
  <x:c r="AG738" i="3"/>
  <x:c r="AF738" i="3"/>
  <x:c r="AE738" i="3"/>
  <x:c r="AD738" i="3"/>
  <x:c r="AC738" i="3"/>
  <x:c r="AB738" i="3"/>
  <x:c r="AA738" i="3"/>
  <x:c r="Z738" i="3"/>
  <x:c r="Y738" i="3"/>
  <x:c r="X738" i="3"/>
  <x:c r="W738" i="3"/>
  <x:c r="V738" i="3"/>
  <x:c r="U738" i="3"/>
  <x:c r="T738" i="3"/>
  <x:c r="E738" i="3"/>
  <x:c r="B738" i="3"/>
  <x:c r="A738" i="3"/>
  <x:c r="AG737" i="3"/>
  <x:c r="AF737" i="3"/>
  <x:c r="AE737" i="3"/>
  <x:c r="AD737" i="3"/>
  <x:c r="AC737" i="3"/>
  <x:c r="AB737" i="3"/>
  <x:c r="AA737" i="3"/>
  <x:c r="Z737" i="3"/>
  <x:c r="Y737" i="3"/>
  <x:c r="X737" i="3"/>
  <x:c r="W737" i="3"/>
  <x:c r="V737" i="3"/>
  <x:c r="U737" i="3"/>
  <x:c r="T737" i="3"/>
  <x:c r="E737" i="3"/>
  <x:c r="B737" i="3"/>
  <x:c r="A737" i="3"/>
  <x:c r="AG736" i="3"/>
  <x:c r="AF736" i="3"/>
  <x:c r="AE736" i="3"/>
  <x:c r="AD736" i="3"/>
  <x:c r="AC736" i="3"/>
  <x:c r="AB736" i="3"/>
  <x:c r="AA736" i="3"/>
  <x:c r="Z736" i="3"/>
  <x:c r="Y736" i="3"/>
  <x:c r="X736" i="3"/>
  <x:c r="W736" i="3"/>
  <x:c r="V736" i="3"/>
  <x:c r="U736" i="3"/>
  <x:c r="T736" i="3"/>
  <x:c r="E736" i="3"/>
  <x:c r="B736" i="3"/>
  <x:c r="A736" i="3"/>
  <x:c r="AG735" i="3"/>
  <x:c r="AF735" i="3"/>
  <x:c r="AE735" i="3"/>
  <x:c r="AD735" i="3"/>
  <x:c r="AC735" i="3"/>
  <x:c r="AB735" i="3"/>
  <x:c r="AA735" i="3"/>
  <x:c r="Z735" i="3"/>
  <x:c r="Y735" i="3"/>
  <x:c r="X735" i="3"/>
  <x:c r="W735" i="3"/>
  <x:c r="V735" i="3"/>
  <x:c r="U735" i="3"/>
  <x:c r="T735" i="3"/>
  <x:c r="E735" i="3"/>
  <x:c r="B735" i="3"/>
  <x:c r="A735" i="3"/>
  <x:c r="AG734" i="3"/>
  <x:c r="AF734" i="3"/>
  <x:c r="AE734" i="3"/>
  <x:c r="AD734" i="3"/>
  <x:c r="AC734" i="3"/>
  <x:c r="AB734" i="3"/>
  <x:c r="AA734" i="3"/>
  <x:c r="Z734" i="3"/>
  <x:c r="Y734" i="3"/>
  <x:c r="X734" i="3"/>
  <x:c r="W734" i="3"/>
  <x:c r="V734" i="3"/>
  <x:c r="U734" i="3"/>
  <x:c r="T734" i="3"/>
  <x:c r="E734" i="3"/>
  <x:c r="B734" i="3"/>
  <x:c r="A734" i="3"/>
  <x:c r="AG733" i="3"/>
  <x:c r="AF733" i="3"/>
  <x:c r="AE733" i="3"/>
  <x:c r="AD733" i="3"/>
  <x:c r="AC733" i="3"/>
  <x:c r="AB733" i="3"/>
  <x:c r="AA733" i="3"/>
  <x:c r="Z733" i="3"/>
  <x:c r="Y733" i="3"/>
  <x:c r="X733" i="3"/>
  <x:c r="W733" i="3"/>
  <x:c r="V733" i="3"/>
  <x:c r="U733" i="3"/>
  <x:c r="T733" i="3"/>
  <x:c r="E733" i="3"/>
  <x:c r="B733" i="3"/>
  <x:c r="A733" i="3"/>
  <x:c r="AG732" i="3"/>
  <x:c r="AF732" i="3"/>
  <x:c r="AE732" i="3"/>
  <x:c r="AD732" i="3"/>
  <x:c r="AC732" i="3"/>
  <x:c r="AB732" i="3"/>
  <x:c r="AA732" i="3"/>
  <x:c r="Z732" i="3"/>
  <x:c r="Y732" i="3"/>
  <x:c r="X732" i="3"/>
  <x:c r="W732" i="3"/>
  <x:c r="V732" i="3"/>
  <x:c r="U732" i="3"/>
  <x:c r="T732" i="3"/>
  <x:c r="E732" i="3"/>
  <x:c r="B732" i="3"/>
  <x:c r="A732" i="3"/>
  <x:c r="AG731" i="3"/>
  <x:c r="AF731" i="3"/>
  <x:c r="AE731" i="3"/>
  <x:c r="AD731" i="3"/>
  <x:c r="AC731" i="3"/>
  <x:c r="AB731" i="3"/>
  <x:c r="AA731" i="3"/>
  <x:c r="Z731" i="3"/>
  <x:c r="Y731" i="3"/>
  <x:c r="X731" i="3"/>
  <x:c r="W731" i="3"/>
  <x:c r="V731" i="3"/>
  <x:c r="U731" i="3"/>
  <x:c r="T731" i="3"/>
  <x:c r="E731" i="3"/>
  <x:c r="B731" i="3"/>
  <x:c r="A731" i="3"/>
  <x:c r="AG730" i="3"/>
  <x:c r="AF730" i="3"/>
  <x:c r="AE730" i="3"/>
  <x:c r="AD730" i="3"/>
  <x:c r="AC730" i="3"/>
  <x:c r="AB730" i="3"/>
  <x:c r="AA730" i="3"/>
  <x:c r="Z730" i="3"/>
  <x:c r="Y730" i="3"/>
  <x:c r="X730" i="3"/>
  <x:c r="W730" i="3"/>
  <x:c r="V730" i="3"/>
  <x:c r="U730" i="3"/>
  <x:c r="T730" i="3"/>
  <x:c r="E730" i="3"/>
  <x:c r="B730" i="3"/>
  <x:c r="A730" i="3"/>
  <x:c r="AG729" i="3"/>
  <x:c r="AF729" i="3"/>
  <x:c r="AE729" i="3"/>
  <x:c r="AD729" i="3"/>
  <x:c r="AC729" i="3"/>
  <x:c r="AB729" i="3"/>
  <x:c r="AA729" i="3"/>
  <x:c r="Z729" i="3"/>
  <x:c r="Y729" i="3"/>
  <x:c r="X729" i="3"/>
  <x:c r="W729" i="3"/>
  <x:c r="V729" i="3"/>
  <x:c r="U729" i="3"/>
  <x:c r="T729" i="3"/>
  <x:c r="E729" i="3"/>
  <x:c r="B729" i="3"/>
  <x:c r="A729" i="3"/>
  <x:c r="AG728" i="3"/>
  <x:c r="AF728" i="3"/>
  <x:c r="AE728" i="3"/>
  <x:c r="AD728" i="3"/>
  <x:c r="AC728" i="3"/>
  <x:c r="AB728" i="3"/>
  <x:c r="AA728" i="3"/>
  <x:c r="Z728" i="3"/>
  <x:c r="Y728" i="3"/>
  <x:c r="X728" i="3"/>
  <x:c r="W728" i="3"/>
  <x:c r="V728" i="3"/>
  <x:c r="U728" i="3"/>
  <x:c r="T728" i="3"/>
  <x:c r="E728" i="3"/>
  <x:c r="B728" i="3"/>
  <x:c r="A728" i="3"/>
  <x:c r="AG727" i="3"/>
  <x:c r="AF727" i="3"/>
  <x:c r="AE727" i="3"/>
  <x:c r="AD727" i="3"/>
  <x:c r="AC727" i="3"/>
  <x:c r="AB727" i="3"/>
  <x:c r="AA727" i="3"/>
  <x:c r="Z727" i="3"/>
  <x:c r="Y727" i="3"/>
  <x:c r="X727" i="3"/>
  <x:c r="W727" i="3"/>
  <x:c r="V727" i="3"/>
  <x:c r="U727" i="3"/>
  <x:c r="T727" i="3"/>
  <x:c r="E727" i="3"/>
  <x:c r="B727" i="3"/>
  <x:c r="A727" i="3"/>
  <x:c r="AG726" i="3"/>
  <x:c r="AF726" i="3"/>
  <x:c r="AE726" i="3"/>
  <x:c r="AD726" i="3"/>
  <x:c r="AC726" i="3"/>
  <x:c r="AB726" i="3"/>
  <x:c r="AA726" i="3"/>
  <x:c r="Z726" i="3"/>
  <x:c r="Y726" i="3"/>
  <x:c r="X726" i="3"/>
  <x:c r="W726" i="3"/>
  <x:c r="V726" i="3"/>
  <x:c r="U726" i="3"/>
  <x:c r="T726" i="3"/>
  <x:c r="E726" i="3"/>
  <x:c r="B726" i="3"/>
  <x:c r="A726" i="3"/>
  <x:c r="AG725" i="3"/>
  <x:c r="AF725" i="3"/>
  <x:c r="AE725" i="3"/>
  <x:c r="AD725" i="3"/>
  <x:c r="AC725" i="3"/>
  <x:c r="AB725" i="3"/>
  <x:c r="AA725" i="3"/>
  <x:c r="Z725" i="3"/>
  <x:c r="Y725" i="3"/>
  <x:c r="X725" i="3"/>
  <x:c r="W725" i="3"/>
  <x:c r="V725" i="3"/>
  <x:c r="U725" i="3"/>
  <x:c r="T725" i="3"/>
  <x:c r="E725" i="3"/>
  <x:c r="B725" i="3"/>
  <x:c r="A725" i="3"/>
  <x:c r="AG724" i="3"/>
  <x:c r="AF724" i="3"/>
  <x:c r="AE724" i="3"/>
  <x:c r="AD724" i="3"/>
  <x:c r="AC724" i="3"/>
  <x:c r="AB724" i="3"/>
  <x:c r="AA724" i="3"/>
  <x:c r="Z724" i="3"/>
  <x:c r="Y724" i="3"/>
  <x:c r="X724" i="3"/>
  <x:c r="W724" i="3"/>
  <x:c r="V724" i="3"/>
  <x:c r="U724" i="3"/>
  <x:c r="T724" i="3"/>
  <x:c r="E724" i="3"/>
  <x:c r="B724" i="3"/>
  <x:c r="A724" i="3"/>
  <x:c r="AG723" i="3"/>
  <x:c r="AF723" i="3"/>
  <x:c r="AE723" i="3"/>
  <x:c r="AD723" i="3"/>
  <x:c r="AC723" i="3"/>
  <x:c r="AB723" i="3"/>
  <x:c r="AA723" i="3"/>
  <x:c r="Z723" i="3"/>
  <x:c r="Y723" i="3"/>
  <x:c r="X723" i="3"/>
  <x:c r="W723" i="3"/>
  <x:c r="V723" i="3"/>
  <x:c r="U723" i="3"/>
  <x:c r="T723" i="3"/>
  <x:c r="E723" i="3"/>
  <x:c r="B723" i="3"/>
  <x:c r="A723" i="3"/>
  <x:c r="AG722" i="3"/>
  <x:c r="AF722" i="3"/>
  <x:c r="AE722" i="3"/>
  <x:c r="AD722" i="3"/>
  <x:c r="AC722" i="3"/>
  <x:c r="AB722" i="3"/>
  <x:c r="AA722" i="3"/>
  <x:c r="Z722" i="3"/>
  <x:c r="Y722" i="3"/>
  <x:c r="X722" i="3"/>
  <x:c r="W722" i="3"/>
  <x:c r="V722" i="3"/>
  <x:c r="U722" i="3"/>
  <x:c r="T722" i="3"/>
  <x:c r="E722" i="3"/>
  <x:c r="B722" i="3"/>
  <x:c r="A722" i="3"/>
  <x:c r="AG721" i="3"/>
  <x:c r="AF721" i="3"/>
  <x:c r="AE721" i="3"/>
  <x:c r="AD721" i="3"/>
  <x:c r="AC721" i="3"/>
  <x:c r="AB721" i="3"/>
  <x:c r="AA721" i="3"/>
  <x:c r="Z721" i="3"/>
  <x:c r="Y721" i="3"/>
  <x:c r="X721" i="3"/>
  <x:c r="W721" i="3"/>
  <x:c r="V721" i="3"/>
  <x:c r="U721" i="3"/>
  <x:c r="T721" i="3"/>
  <x:c r="E721" i="3"/>
  <x:c r="B721" i="3"/>
  <x:c r="A721" i="3"/>
  <x:c r="AG720" i="3"/>
  <x:c r="AF720" i="3"/>
  <x:c r="AE720" i="3"/>
  <x:c r="AD720" i="3"/>
  <x:c r="AC720" i="3"/>
  <x:c r="AB720" i="3"/>
  <x:c r="AA720" i="3"/>
  <x:c r="Z720" i="3"/>
  <x:c r="Y720" i="3"/>
  <x:c r="X720" i="3"/>
  <x:c r="W720" i="3"/>
  <x:c r="V720" i="3"/>
  <x:c r="U720" i="3"/>
  <x:c r="T720" i="3"/>
  <x:c r="E720" i="3"/>
  <x:c r="B720" i="3"/>
  <x:c r="A720" i="3"/>
  <x:c r="AG719" i="3"/>
  <x:c r="AF719" i="3"/>
  <x:c r="AE719" i="3"/>
  <x:c r="AD719" i="3"/>
  <x:c r="AC719" i="3"/>
  <x:c r="AB719" i="3"/>
  <x:c r="AA719" i="3"/>
  <x:c r="Z719" i="3"/>
  <x:c r="Y719" i="3"/>
  <x:c r="X719" i="3"/>
  <x:c r="W719" i="3"/>
  <x:c r="V719" i="3"/>
  <x:c r="U719" i="3"/>
  <x:c r="T719" i="3"/>
  <x:c r="E719" i="3"/>
  <x:c r="B719" i="3"/>
  <x:c r="A719" i="3"/>
  <x:c r="AG718" i="3"/>
  <x:c r="AF718" i="3"/>
  <x:c r="AE718" i="3"/>
  <x:c r="AD718" i="3"/>
  <x:c r="AC718" i="3"/>
  <x:c r="AB718" i="3"/>
  <x:c r="AA718" i="3"/>
  <x:c r="Z718" i="3"/>
  <x:c r="Y718" i="3"/>
  <x:c r="X718" i="3"/>
  <x:c r="W718" i="3"/>
  <x:c r="V718" i="3"/>
  <x:c r="U718" i="3"/>
  <x:c r="T718" i="3"/>
  <x:c r="E718" i="3"/>
  <x:c r="B718" i="3"/>
  <x:c r="A718" i="3"/>
  <x:c r="AG717" i="3"/>
  <x:c r="AF717" i="3"/>
  <x:c r="AE717" i="3"/>
  <x:c r="AD717" i="3"/>
  <x:c r="AC717" i="3"/>
  <x:c r="AB717" i="3"/>
  <x:c r="AA717" i="3"/>
  <x:c r="Z717" i="3"/>
  <x:c r="Y717" i="3"/>
  <x:c r="X717" i="3"/>
  <x:c r="W717" i="3"/>
  <x:c r="V717" i="3"/>
  <x:c r="U717" i="3"/>
  <x:c r="T717" i="3"/>
  <x:c r="E717" i="3"/>
  <x:c r="B717" i="3"/>
  <x:c r="A717" i="3"/>
  <x:c r="AG716" i="3"/>
  <x:c r="AF716" i="3"/>
  <x:c r="AE716" i="3"/>
  <x:c r="AD716" i="3"/>
  <x:c r="AC716" i="3"/>
  <x:c r="AB716" i="3"/>
  <x:c r="AA716" i="3"/>
  <x:c r="Z716" i="3"/>
  <x:c r="Y716" i="3"/>
  <x:c r="X716" i="3"/>
  <x:c r="W716" i="3"/>
  <x:c r="V716" i="3"/>
  <x:c r="U716" i="3"/>
  <x:c r="T716" i="3"/>
  <x:c r="E716" i="3"/>
  <x:c r="B716" i="3"/>
  <x:c r="A716" i="3"/>
  <x:c r="AG715" i="3"/>
  <x:c r="AF715" i="3"/>
  <x:c r="AE715" i="3"/>
  <x:c r="AD715" i="3"/>
  <x:c r="AC715" i="3"/>
  <x:c r="AB715" i="3"/>
  <x:c r="AA715" i="3"/>
  <x:c r="Z715" i="3"/>
  <x:c r="Y715" i="3"/>
  <x:c r="X715" i="3"/>
  <x:c r="W715" i="3"/>
  <x:c r="V715" i="3"/>
  <x:c r="U715" i="3"/>
  <x:c r="T715" i="3"/>
  <x:c r="E715" i="3"/>
  <x:c r="B715" i="3"/>
  <x:c r="A715" i="3"/>
  <x:c r="AG714" i="3"/>
  <x:c r="AF714" i="3"/>
  <x:c r="AE714" i="3"/>
  <x:c r="AD714" i="3"/>
  <x:c r="AC714" i="3"/>
  <x:c r="AB714" i="3"/>
  <x:c r="AA714" i="3"/>
  <x:c r="Z714" i="3"/>
  <x:c r="Y714" i="3"/>
  <x:c r="X714" i="3"/>
  <x:c r="W714" i="3"/>
  <x:c r="V714" i="3"/>
  <x:c r="U714" i="3"/>
  <x:c r="T714" i="3"/>
  <x:c r="E714" i="3"/>
  <x:c r="B714" i="3"/>
  <x:c r="A714" i="3"/>
  <x:c r="AG713" i="3"/>
  <x:c r="AF713" i="3"/>
  <x:c r="AE713" i="3"/>
  <x:c r="AD713" i="3"/>
  <x:c r="AC713" i="3"/>
  <x:c r="AB713" i="3"/>
  <x:c r="AA713" i="3"/>
  <x:c r="Z713" i="3"/>
  <x:c r="Y713" i="3"/>
  <x:c r="X713" i="3"/>
  <x:c r="W713" i="3"/>
  <x:c r="V713" i="3"/>
  <x:c r="U713" i="3"/>
  <x:c r="T713" i="3"/>
  <x:c r="E713" i="3"/>
  <x:c r="B713" i="3"/>
  <x:c r="A713" i="3"/>
  <x:c r="AG712" i="3"/>
  <x:c r="AF712" i="3"/>
  <x:c r="AE712" i="3"/>
  <x:c r="AD712" i="3"/>
  <x:c r="AC712" i="3"/>
  <x:c r="AB712" i="3"/>
  <x:c r="AA712" i="3"/>
  <x:c r="Z712" i="3"/>
  <x:c r="Y712" i="3"/>
  <x:c r="X712" i="3"/>
  <x:c r="W712" i="3"/>
  <x:c r="V712" i="3"/>
  <x:c r="U712" i="3"/>
  <x:c r="T712" i="3"/>
  <x:c r="E712" i="3"/>
  <x:c r="B712" i="3"/>
  <x:c r="A712" i="3"/>
  <x:c r="AG711" i="3"/>
  <x:c r="AF711" i="3"/>
  <x:c r="AE711" i="3"/>
  <x:c r="AD711" i="3"/>
  <x:c r="AC711" i="3"/>
  <x:c r="AB711" i="3"/>
  <x:c r="AA711" i="3"/>
  <x:c r="Z711" i="3"/>
  <x:c r="Y711" i="3"/>
  <x:c r="X711" i="3"/>
  <x:c r="W711" i="3"/>
  <x:c r="V711" i="3"/>
  <x:c r="U711" i="3"/>
  <x:c r="T711" i="3"/>
  <x:c r="E711" i="3"/>
  <x:c r="B711" i="3"/>
  <x:c r="A711" i="3"/>
  <x:c r="AG710" i="3"/>
  <x:c r="AF710" i="3"/>
  <x:c r="AE710" i="3"/>
  <x:c r="AD710" i="3"/>
  <x:c r="AC710" i="3"/>
  <x:c r="AB710" i="3"/>
  <x:c r="AA710" i="3"/>
  <x:c r="Z710" i="3"/>
  <x:c r="Y710" i="3"/>
  <x:c r="X710" i="3"/>
  <x:c r="W710" i="3"/>
  <x:c r="V710" i="3"/>
  <x:c r="U710" i="3"/>
  <x:c r="T710" i="3"/>
  <x:c r="E710" i="3"/>
  <x:c r="B710" i="3"/>
  <x:c r="A710" i="3"/>
  <x:c r="AG709" i="3"/>
  <x:c r="AF709" i="3"/>
  <x:c r="AE709" i="3"/>
  <x:c r="AD709" i="3"/>
  <x:c r="AC709" i="3"/>
  <x:c r="AB709" i="3"/>
  <x:c r="AA709" i="3"/>
  <x:c r="Z709" i="3"/>
  <x:c r="Y709" i="3"/>
  <x:c r="X709" i="3"/>
  <x:c r="W709" i="3"/>
  <x:c r="V709" i="3"/>
  <x:c r="U709" i="3"/>
  <x:c r="T709" i="3"/>
  <x:c r="E709" i="3"/>
  <x:c r="B709" i="3"/>
  <x:c r="A709" i="3"/>
  <x:c r="AG708" i="3"/>
  <x:c r="AF708" i="3"/>
  <x:c r="AE708" i="3"/>
  <x:c r="AD708" i="3"/>
  <x:c r="AC708" i="3"/>
  <x:c r="AB708" i="3"/>
  <x:c r="AA708" i="3"/>
  <x:c r="Z708" i="3"/>
  <x:c r="Y708" i="3"/>
  <x:c r="X708" i="3"/>
  <x:c r="W708" i="3"/>
  <x:c r="V708" i="3"/>
  <x:c r="U708" i="3"/>
  <x:c r="T708" i="3"/>
  <x:c r="E708" i="3"/>
  <x:c r="B708" i="3"/>
  <x:c r="A708" i="3"/>
  <x:c r="AG707" i="3"/>
  <x:c r="AF707" i="3"/>
  <x:c r="AE707" i="3"/>
  <x:c r="AD707" i="3"/>
  <x:c r="AC707" i="3"/>
  <x:c r="AB707" i="3"/>
  <x:c r="AA707" i="3"/>
  <x:c r="Z707" i="3"/>
  <x:c r="Y707" i="3"/>
  <x:c r="X707" i="3"/>
  <x:c r="W707" i="3"/>
  <x:c r="V707" i="3"/>
  <x:c r="U707" i="3"/>
  <x:c r="T707" i="3"/>
  <x:c r="E707" i="3"/>
  <x:c r="B707" i="3"/>
  <x:c r="A707" i="3"/>
  <x:c r="AG706" i="3"/>
  <x:c r="AF706" i="3"/>
  <x:c r="AE706" i="3"/>
  <x:c r="AD706" i="3"/>
  <x:c r="AC706" i="3"/>
  <x:c r="AB706" i="3"/>
  <x:c r="AA706" i="3"/>
  <x:c r="Z706" i="3"/>
  <x:c r="Y706" i="3"/>
  <x:c r="X706" i="3"/>
  <x:c r="W706" i="3"/>
  <x:c r="V706" i="3"/>
  <x:c r="U706" i="3"/>
  <x:c r="T706" i="3"/>
  <x:c r="E706" i="3"/>
  <x:c r="B706" i="3"/>
  <x:c r="A706" i="3"/>
  <x:c r="AG705" i="3"/>
  <x:c r="AF705" i="3"/>
  <x:c r="AE705" i="3"/>
  <x:c r="AD705" i="3"/>
  <x:c r="AC705" i="3"/>
  <x:c r="AB705" i="3"/>
  <x:c r="AA705" i="3"/>
  <x:c r="Z705" i="3"/>
  <x:c r="Y705" i="3"/>
  <x:c r="X705" i="3"/>
  <x:c r="W705" i="3"/>
  <x:c r="V705" i="3"/>
  <x:c r="U705" i="3"/>
  <x:c r="T705" i="3"/>
  <x:c r="E705" i="3"/>
  <x:c r="B705" i="3"/>
  <x:c r="A705" i="3"/>
  <x:c r="AG704" i="3"/>
  <x:c r="AF704" i="3"/>
  <x:c r="AE704" i="3"/>
  <x:c r="AD704" i="3"/>
  <x:c r="AC704" i="3"/>
  <x:c r="AB704" i="3"/>
  <x:c r="AA704" i="3"/>
  <x:c r="Z704" i="3"/>
  <x:c r="Y704" i="3"/>
  <x:c r="X704" i="3"/>
  <x:c r="W704" i="3"/>
  <x:c r="V704" i="3"/>
  <x:c r="U704" i="3"/>
  <x:c r="T704" i="3"/>
  <x:c r="E704" i="3"/>
  <x:c r="B704" i="3"/>
  <x:c r="A704" i="3"/>
  <x:c r="AG703" i="3"/>
  <x:c r="AF703" i="3"/>
  <x:c r="AE703" i="3"/>
  <x:c r="AD703" i="3"/>
  <x:c r="AC703" i="3"/>
  <x:c r="AB703" i="3"/>
  <x:c r="AA703" i="3"/>
  <x:c r="Z703" i="3"/>
  <x:c r="Y703" i="3"/>
  <x:c r="X703" i="3"/>
  <x:c r="W703" i="3"/>
  <x:c r="V703" i="3"/>
  <x:c r="U703" i="3"/>
  <x:c r="T703" i="3"/>
  <x:c r="E703" i="3"/>
  <x:c r="B703" i="3"/>
  <x:c r="A703" i="3"/>
  <x:c r="AG702" i="3"/>
  <x:c r="AF702" i="3"/>
  <x:c r="AE702" i="3"/>
  <x:c r="AD702" i="3"/>
  <x:c r="AC702" i="3"/>
  <x:c r="AB702" i="3"/>
  <x:c r="AA702" i="3"/>
  <x:c r="Z702" i="3"/>
  <x:c r="Y702" i="3"/>
  <x:c r="X702" i="3"/>
  <x:c r="W702" i="3"/>
  <x:c r="V702" i="3"/>
  <x:c r="U702" i="3"/>
  <x:c r="T702" i="3"/>
  <x:c r="E702" i="3"/>
  <x:c r="B702" i="3"/>
  <x:c r="A702" i="3"/>
  <x:c r="AG701" i="3"/>
  <x:c r="AF701" i="3"/>
  <x:c r="AE701" i="3"/>
  <x:c r="AD701" i="3"/>
  <x:c r="AC701" i="3"/>
  <x:c r="AB701" i="3"/>
  <x:c r="AA701" i="3"/>
  <x:c r="Z701" i="3"/>
  <x:c r="Y701" i="3"/>
  <x:c r="X701" i="3"/>
  <x:c r="W701" i="3"/>
  <x:c r="V701" i="3"/>
  <x:c r="U701" i="3"/>
  <x:c r="T701" i="3"/>
  <x:c r="E701" i="3"/>
  <x:c r="B701" i="3"/>
  <x:c r="A701" i="3"/>
  <x:c r="AG700" i="3"/>
  <x:c r="AF700" i="3"/>
  <x:c r="AE700" i="3"/>
  <x:c r="AD700" i="3"/>
  <x:c r="AC700" i="3"/>
  <x:c r="AB700" i="3"/>
  <x:c r="AA700" i="3"/>
  <x:c r="Z700" i="3"/>
  <x:c r="Y700" i="3"/>
  <x:c r="X700" i="3"/>
  <x:c r="W700" i="3"/>
  <x:c r="V700" i="3"/>
  <x:c r="U700" i="3"/>
  <x:c r="T700" i="3"/>
  <x:c r="E700" i="3"/>
  <x:c r="B700" i="3"/>
  <x:c r="A700" i="3"/>
  <x:c r="AG699" i="3"/>
  <x:c r="AF699" i="3"/>
  <x:c r="AE699" i="3"/>
  <x:c r="AD699" i="3"/>
  <x:c r="AC699" i="3"/>
  <x:c r="AB699" i="3"/>
  <x:c r="AA699" i="3"/>
  <x:c r="Z699" i="3"/>
  <x:c r="Y699" i="3"/>
  <x:c r="X699" i="3"/>
  <x:c r="W699" i="3"/>
  <x:c r="V699" i="3"/>
  <x:c r="U699" i="3"/>
  <x:c r="T699" i="3"/>
  <x:c r="E699" i="3"/>
  <x:c r="B699" i="3"/>
  <x:c r="A699" i="3"/>
  <x:c r="AG698" i="3"/>
  <x:c r="AF698" i="3"/>
  <x:c r="AE698" i="3"/>
  <x:c r="AD698" i="3"/>
  <x:c r="AC698" i="3"/>
  <x:c r="AB698" i="3"/>
  <x:c r="AA698" i="3"/>
  <x:c r="Z698" i="3"/>
  <x:c r="Y698" i="3"/>
  <x:c r="X698" i="3"/>
  <x:c r="W698" i="3"/>
  <x:c r="V698" i="3"/>
  <x:c r="U698" i="3"/>
  <x:c r="T698" i="3"/>
  <x:c r="E698" i="3"/>
  <x:c r="B698" i="3"/>
  <x:c r="A698" i="3"/>
  <x:c r="AG697" i="3"/>
  <x:c r="AF697" i="3"/>
  <x:c r="AE697" i="3"/>
  <x:c r="AD697" i="3"/>
  <x:c r="AC697" i="3"/>
  <x:c r="AB697" i="3"/>
  <x:c r="AA697" i="3"/>
  <x:c r="Z697" i="3"/>
  <x:c r="Y697" i="3"/>
  <x:c r="X697" i="3"/>
  <x:c r="W697" i="3"/>
  <x:c r="V697" i="3"/>
  <x:c r="U697" i="3"/>
  <x:c r="T697" i="3"/>
  <x:c r="E697" i="3"/>
  <x:c r="B697" i="3"/>
  <x:c r="A697" i="3"/>
  <x:c r="AG696" i="3"/>
  <x:c r="AF696" i="3"/>
  <x:c r="AE696" i="3"/>
  <x:c r="AD696" i="3"/>
  <x:c r="AC696" i="3"/>
  <x:c r="AB696" i="3"/>
  <x:c r="AA696" i="3"/>
  <x:c r="Z696" i="3"/>
  <x:c r="Y696" i="3"/>
  <x:c r="X696" i="3"/>
  <x:c r="W696" i="3"/>
  <x:c r="V696" i="3"/>
  <x:c r="U696" i="3"/>
  <x:c r="T696" i="3"/>
  <x:c r="E696" i="3"/>
  <x:c r="B696" i="3"/>
  <x:c r="A696" i="3"/>
  <x:c r="AG695" i="3"/>
  <x:c r="AF695" i="3"/>
  <x:c r="AE695" i="3"/>
  <x:c r="AD695" i="3"/>
  <x:c r="AC695" i="3"/>
  <x:c r="AB695" i="3"/>
  <x:c r="AA695" i="3"/>
  <x:c r="Z695" i="3"/>
  <x:c r="Y695" i="3"/>
  <x:c r="X695" i="3"/>
  <x:c r="W695" i="3"/>
  <x:c r="V695" i="3"/>
  <x:c r="U695" i="3"/>
  <x:c r="T695" i="3"/>
  <x:c r="E695" i="3"/>
  <x:c r="B695" i="3"/>
  <x:c r="A695" i="3"/>
  <x:c r="AG694" i="3"/>
  <x:c r="AF694" i="3"/>
  <x:c r="AE694" i="3"/>
  <x:c r="AD694" i="3"/>
  <x:c r="AC694" i="3"/>
  <x:c r="AB694" i="3"/>
  <x:c r="AA694" i="3"/>
  <x:c r="Z694" i="3"/>
  <x:c r="Y694" i="3"/>
  <x:c r="X694" i="3"/>
  <x:c r="W694" i="3"/>
  <x:c r="V694" i="3"/>
  <x:c r="U694" i="3"/>
  <x:c r="T694" i="3"/>
  <x:c r="E694" i="3"/>
  <x:c r="B694" i="3"/>
  <x:c r="A694" i="3"/>
  <x:c r="AG693" i="3"/>
  <x:c r="AF693" i="3"/>
  <x:c r="AE693" i="3"/>
  <x:c r="AD693" i="3"/>
  <x:c r="AC693" i="3"/>
  <x:c r="AB693" i="3"/>
  <x:c r="AA693" i="3"/>
  <x:c r="Z693" i="3"/>
  <x:c r="Y693" i="3"/>
  <x:c r="X693" i="3"/>
  <x:c r="W693" i="3"/>
  <x:c r="V693" i="3"/>
  <x:c r="U693" i="3"/>
  <x:c r="T693" i="3"/>
  <x:c r="E693" i="3"/>
  <x:c r="B693" i="3"/>
  <x:c r="A693" i="3"/>
  <x:c r="AG692" i="3"/>
  <x:c r="AF692" i="3"/>
  <x:c r="AE692" i="3"/>
  <x:c r="AD692" i="3"/>
  <x:c r="AC692" i="3"/>
  <x:c r="AB692" i="3"/>
  <x:c r="AA692" i="3"/>
  <x:c r="Z692" i="3"/>
  <x:c r="Y692" i="3"/>
  <x:c r="X692" i="3"/>
  <x:c r="W692" i="3"/>
  <x:c r="V692" i="3"/>
  <x:c r="U692" i="3"/>
  <x:c r="T692" i="3"/>
  <x:c r="E692" i="3"/>
  <x:c r="B692" i="3"/>
  <x:c r="A692" i="3"/>
  <x:c r="AG691" i="3"/>
  <x:c r="AF691" i="3"/>
  <x:c r="AE691" i="3"/>
  <x:c r="AD691" i="3"/>
  <x:c r="AC691" i="3"/>
  <x:c r="AB691" i="3"/>
  <x:c r="AA691" i="3"/>
  <x:c r="Z691" i="3"/>
  <x:c r="Y691" i="3"/>
  <x:c r="X691" i="3"/>
  <x:c r="W691" i="3"/>
  <x:c r="V691" i="3"/>
  <x:c r="U691" i="3"/>
  <x:c r="T691" i="3"/>
  <x:c r="E691" i="3"/>
  <x:c r="B691" i="3"/>
  <x:c r="A691" i="3"/>
  <x:c r="AG690" i="3"/>
  <x:c r="AF690" i="3"/>
  <x:c r="AE690" i="3"/>
  <x:c r="AD690" i="3"/>
  <x:c r="AC690" i="3"/>
  <x:c r="AB690" i="3"/>
  <x:c r="AA690" i="3"/>
  <x:c r="Z690" i="3"/>
  <x:c r="Y690" i="3"/>
  <x:c r="X690" i="3"/>
  <x:c r="W690" i="3"/>
  <x:c r="V690" i="3"/>
  <x:c r="U690" i="3"/>
  <x:c r="T690" i="3"/>
  <x:c r="E690" i="3"/>
  <x:c r="B690" i="3"/>
  <x:c r="A690" i="3"/>
  <x:c r="AG689" i="3"/>
  <x:c r="AF689" i="3"/>
  <x:c r="AE689" i="3"/>
  <x:c r="AD689" i="3"/>
  <x:c r="AC689" i="3"/>
  <x:c r="AB689" i="3"/>
  <x:c r="AA689" i="3"/>
  <x:c r="Z689" i="3"/>
  <x:c r="Y689" i="3"/>
  <x:c r="X689" i="3"/>
  <x:c r="W689" i="3"/>
  <x:c r="V689" i="3"/>
  <x:c r="U689" i="3"/>
  <x:c r="T689" i="3"/>
  <x:c r="E689" i="3"/>
  <x:c r="B689" i="3"/>
  <x:c r="A689" i="3"/>
  <x:c r="AG688" i="3"/>
  <x:c r="AF688" i="3"/>
  <x:c r="AE688" i="3"/>
  <x:c r="AD688" i="3"/>
  <x:c r="AC688" i="3"/>
  <x:c r="AB688" i="3"/>
  <x:c r="AA688" i="3"/>
  <x:c r="Z688" i="3"/>
  <x:c r="Y688" i="3"/>
  <x:c r="X688" i="3"/>
  <x:c r="W688" i="3"/>
  <x:c r="V688" i="3"/>
  <x:c r="U688" i="3"/>
  <x:c r="T688" i="3"/>
  <x:c r="E688" i="3"/>
  <x:c r="B688" i="3"/>
  <x:c r="A688" i="3"/>
  <x:c r="AG687" i="3"/>
  <x:c r="AF687" i="3"/>
  <x:c r="AE687" i="3"/>
  <x:c r="AD687" i="3"/>
  <x:c r="AC687" i="3"/>
  <x:c r="AB687" i="3"/>
  <x:c r="AA687" i="3"/>
  <x:c r="Z687" i="3"/>
  <x:c r="Y687" i="3"/>
  <x:c r="X687" i="3"/>
  <x:c r="W687" i="3"/>
  <x:c r="V687" i="3"/>
  <x:c r="U687" i="3"/>
  <x:c r="T687" i="3"/>
  <x:c r="E687" i="3"/>
  <x:c r="B687" i="3"/>
  <x:c r="A687" i="3"/>
  <x:c r="AG686" i="3"/>
  <x:c r="AF686" i="3"/>
  <x:c r="AE686" i="3"/>
  <x:c r="AD686" i="3"/>
  <x:c r="AC686" i="3"/>
  <x:c r="AB686" i="3"/>
  <x:c r="AA686" i="3"/>
  <x:c r="Z686" i="3"/>
  <x:c r="Y686" i="3"/>
  <x:c r="X686" i="3"/>
  <x:c r="W686" i="3"/>
  <x:c r="V686" i="3"/>
  <x:c r="U686" i="3"/>
  <x:c r="T686" i="3"/>
  <x:c r="E686" i="3"/>
  <x:c r="B686" i="3"/>
  <x:c r="A686" i="3"/>
  <x:c r="AG685" i="3"/>
  <x:c r="AF685" i="3"/>
  <x:c r="AE685" i="3"/>
  <x:c r="AD685" i="3"/>
  <x:c r="AC685" i="3"/>
  <x:c r="AB685" i="3"/>
  <x:c r="AA685" i="3"/>
  <x:c r="Z685" i="3"/>
  <x:c r="Y685" i="3"/>
  <x:c r="X685" i="3"/>
  <x:c r="W685" i="3"/>
  <x:c r="V685" i="3"/>
  <x:c r="U685" i="3"/>
  <x:c r="T685" i="3"/>
  <x:c r="E685" i="3"/>
  <x:c r="B685" i="3"/>
  <x:c r="A685" i="3"/>
  <x:c r="AG684" i="3"/>
  <x:c r="AF684" i="3"/>
  <x:c r="AE684" i="3"/>
  <x:c r="AD684" i="3"/>
  <x:c r="AC684" i="3"/>
  <x:c r="AB684" i="3"/>
  <x:c r="AA684" i="3"/>
  <x:c r="Z684" i="3"/>
  <x:c r="Y684" i="3"/>
  <x:c r="X684" i="3"/>
  <x:c r="W684" i="3"/>
  <x:c r="V684" i="3"/>
  <x:c r="U684" i="3"/>
  <x:c r="T684" i="3"/>
  <x:c r="E684" i="3"/>
  <x:c r="B684" i="3"/>
  <x:c r="A684" i="3"/>
  <x:c r="AG683" i="3"/>
  <x:c r="AF683" i="3"/>
  <x:c r="AE683" i="3"/>
  <x:c r="AD683" i="3"/>
  <x:c r="AC683" i="3"/>
  <x:c r="AB683" i="3"/>
  <x:c r="AA683" i="3"/>
  <x:c r="Z683" i="3"/>
  <x:c r="Y683" i="3"/>
  <x:c r="X683" i="3"/>
  <x:c r="W683" i="3"/>
  <x:c r="V683" i="3"/>
  <x:c r="U683" i="3"/>
  <x:c r="T683" i="3"/>
  <x:c r="E683" i="3"/>
  <x:c r="B683" i="3"/>
  <x:c r="A683" i="3"/>
  <x:c r="AG682" i="3"/>
  <x:c r="AF682" i="3"/>
  <x:c r="AE682" i="3"/>
  <x:c r="AD682" i="3"/>
  <x:c r="AC682" i="3"/>
  <x:c r="AB682" i="3"/>
  <x:c r="AA682" i="3"/>
  <x:c r="Z682" i="3"/>
  <x:c r="Y682" i="3"/>
  <x:c r="X682" i="3"/>
  <x:c r="W682" i="3"/>
  <x:c r="V682" i="3"/>
  <x:c r="U682" i="3"/>
  <x:c r="T682" i="3"/>
  <x:c r="E682" i="3"/>
  <x:c r="B682" i="3"/>
  <x:c r="A682" i="3"/>
  <x:c r="AG681" i="3"/>
  <x:c r="AF681" i="3"/>
  <x:c r="AE681" i="3"/>
  <x:c r="AD681" i="3"/>
  <x:c r="AC681" i="3"/>
  <x:c r="AB681" i="3"/>
  <x:c r="AA681" i="3"/>
  <x:c r="Z681" i="3"/>
  <x:c r="Y681" i="3"/>
  <x:c r="X681" i="3"/>
  <x:c r="W681" i="3"/>
  <x:c r="V681" i="3"/>
  <x:c r="U681" i="3"/>
  <x:c r="T681" i="3"/>
  <x:c r="E681" i="3"/>
  <x:c r="B681" i="3"/>
  <x:c r="A681" i="3"/>
  <x:c r="AG680" i="3"/>
  <x:c r="AF680" i="3"/>
  <x:c r="AE680" i="3"/>
  <x:c r="AD680" i="3"/>
  <x:c r="AC680" i="3"/>
  <x:c r="AB680" i="3"/>
  <x:c r="AA680" i="3"/>
  <x:c r="Z680" i="3"/>
  <x:c r="Y680" i="3"/>
  <x:c r="X680" i="3"/>
  <x:c r="W680" i="3"/>
  <x:c r="V680" i="3"/>
  <x:c r="U680" i="3"/>
  <x:c r="T680" i="3"/>
  <x:c r="E680" i="3"/>
  <x:c r="B680" i="3"/>
  <x:c r="A680" i="3"/>
  <x:c r="AG679" i="3"/>
  <x:c r="AF679" i="3"/>
  <x:c r="AE679" i="3"/>
  <x:c r="AD679" i="3"/>
  <x:c r="AC679" i="3"/>
  <x:c r="AB679" i="3"/>
  <x:c r="AA679" i="3"/>
  <x:c r="Z679" i="3"/>
  <x:c r="Y679" i="3"/>
  <x:c r="X679" i="3"/>
  <x:c r="W679" i="3"/>
  <x:c r="V679" i="3"/>
  <x:c r="U679" i="3"/>
  <x:c r="T679" i="3"/>
  <x:c r="E679" i="3"/>
  <x:c r="B679" i="3"/>
  <x:c r="A679" i="3"/>
  <x:c r="AG678" i="3"/>
  <x:c r="AF678" i="3"/>
  <x:c r="AE678" i="3"/>
  <x:c r="AD678" i="3"/>
  <x:c r="AC678" i="3"/>
  <x:c r="AB678" i="3"/>
  <x:c r="AA678" i="3"/>
  <x:c r="Z678" i="3"/>
  <x:c r="Y678" i="3"/>
  <x:c r="X678" i="3"/>
  <x:c r="W678" i="3"/>
  <x:c r="V678" i="3"/>
  <x:c r="U678" i="3"/>
  <x:c r="T678" i="3"/>
  <x:c r="E678" i="3"/>
  <x:c r="B678" i="3"/>
  <x:c r="A678" i="3"/>
  <x:c r="AG677" i="3"/>
  <x:c r="AF677" i="3"/>
  <x:c r="AE677" i="3"/>
  <x:c r="AD677" i="3"/>
  <x:c r="AC677" i="3"/>
  <x:c r="AB677" i="3"/>
  <x:c r="AA677" i="3"/>
  <x:c r="Z677" i="3"/>
  <x:c r="Y677" i="3"/>
  <x:c r="X677" i="3"/>
  <x:c r="W677" i="3"/>
  <x:c r="V677" i="3"/>
  <x:c r="U677" i="3"/>
  <x:c r="T677" i="3"/>
  <x:c r="E677" i="3"/>
  <x:c r="B677" i="3"/>
  <x:c r="A677" i="3"/>
  <x:c r="AG676" i="3"/>
  <x:c r="AF676" i="3"/>
  <x:c r="AE676" i="3"/>
  <x:c r="AD676" i="3"/>
  <x:c r="AC676" i="3"/>
  <x:c r="AB676" i="3"/>
  <x:c r="AA676" i="3"/>
  <x:c r="Z676" i="3"/>
  <x:c r="Y676" i="3"/>
  <x:c r="X676" i="3"/>
  <x:c r="W676" i="3"/>
  <x:c r="V676" i="3"/>
  <x:c r="U676" i="3"/>
  <x:c r="T676" i="3"/>
  <x:c r="E676" i="3"/>
  <x:c r="B676" i="3"/>
  <x:c r="A676" i="3"/>
  <x:c r="AG675" i="3"/>
  <x:c r="AF675" i="3"/>
  <x:c r="AE675" i="3"/>
  <x:c r="AD675" i="3"/>
  <x:c r="AC675" i="3"/>
  <x:c r="AB675" i="3"/>
  <x:c r="AA675" i="3"/>
  <x:c r="Z675" i="3"/>
  <x:c r="Y675" i="3"/>
  <x:c r="X675" i="3"/>
  <x:c r="W675" i="3"/>
  <x:c r="V675" i="3"/>
  <x:c r="U675" i="3"/>
  <x:c r="T675" i="3"/>
  <x:c r="E675" i="3"/>
  <x:c r="B675" i="3"/>
  <x:c r="A675" i="3"/>
  <x:c r="AG674" i="3"/>
  <x:c r="AF674" i="3"/>
  <x:c r="AE674" i="3"/>
  <x:c r="AD674" i="3"/>
  <x:c r="AC674" i="3"/>
  <x:c r="AB674" i="3"/>
  <x:c r="AA674" i="3"/>
  <x:c r="Z674" i="3"/>
  <x:c r="Y674" i="3"/>
  <x:c r="X674" i="3"/>
  <x:c r="W674" i="3"/>
  <x:c r="V674" i="3"/>
  <x:c r="U674" i="3"/>
  <x:c r="T674" i="3"/>
  <x:c r="E674" i="3"/>
  <x:c r="B674" i="3"/>
  <x:c r="A674" i="3"/>
  <x:c r="AG673" i="3"/>
  <x:c r="AF673" i="3"/>
  <x:c r="AE673" i="3"/>
  <x:c r="AD673" i="3"/>
  <x:c r="AC673" i="3"/>
  <x:c r="AB673" i="3"/>
  <x:c r="AA673" i="3"/>
  <x:c r="Z673" i="3"/>
  <x:c r="Y673" i="3"/>
  <x:c r="X673" i="3"/>
  <x:c r="W673" i="3"/>
  <x:c r="V673" i="3"/>
  <x:c r="U673" i="3"/>
  <x:c r="T673" i="3"/>
  <x:c r="E673" i="3"/>
  <x:c r="B673" i="3"/>
  <x:c r="A673" i="3"/>
  <x:c r="AG672" i="3"/>
  <x:c r="AF672" i="3"/>
  <x:c r="AE672" i="3"/>
  <x:c r="AD672" i="3"/>
  <x:c r="AC672" i="3"/>
  <x:c r="AB672" i="3"/>
  <x:c r="AA672" i="3"/>
  <x:c r="Z672" i="3"/>
  <x:c r="Y672" i="3"/>
  <x:c r="X672" i="3"/>
  <x:c r="W672" i="3"/>
  <x:c r="V672" i="3"/>
  <x:c r="U672" i="3"/>
  <x:c r="T672" i="3"/>
  <x:c r="E672" i="3"/>
  <x:c r="B672" i="3"/>
  <x:c r="A672" i="3"/>
  <x:c r="AG671" i="3"/>
  <x:c r="AF671" i="3"/>
  <x:c r="AE671" i="3"/>
  <x:c r="AD671" i="3"/>
  <x:c r="AC671" i="3"/>
  <x:c r="AB671" i="3"/>
  <x:c r="AA671" i="3"/>
  <x:c r="Z671" i="3"/>
  <x:c r="Y671" i="3"/>
  <x:c r="X671" i="3"/>
  <x:c r="W671" i="3"/>
  <x:c r="V671" i="3"/>
  <x:c r="U671" i="3"/>
  <x:c r="T671" i="3"/>
  <x:c r="E671" i="3"/>
  <x:c r="B671" i="3"/>
  <x:c r="A671" i="3"/>
  <x:c r="AG670" i="3"/>
  <x:c r="AF670" i="3"/>
  <x:c r="AE670" i="3"/>
  <x:c r="AD670" i="3"/>
  <x:c r="AC670" i="3"/>
  <x:c r="AB670" i="3"/>
  <x:c r="AA670" i="3"/>
  <x:c r="Z670" i="3"/>
  <x:c r="Y670" i="3"/>
  <x:c r="X670" i="3"/>
  <x:c r="W670" i="3"/>
  <x:c r="V670" i="3"/>
  <x:c r="U670" i="3"/>
  <x:c r="T670" i="3"/>
  <x:c r="E670" i="3"/>
  <x:c r="B670" i="3"/>
  <x:c r="A670" i="3"/>
  <x:c r="AG669" i="3"/>
  <x:c r="AF669" i="3"/>
  <x:c r="AE669" i="3"/>
  <x:c r="AD669" i="3"/>
  <x:c r="AC669" i="3"/>
  <x:c r="AB669" i="3"/>
  <x:c r="AA669" i="3"/>
  <x:c r="Z669" i="3"/>
  <x:c r="Y669" i="3"/>
  <x:c r="X669" i="3"/>
  <x:c r="W669" i="3"/>
  <x:c r="V669" i="3"/>
  <x:c r="U669" i="3"/>
  <x:c r="T669" i="3"/>
  <x:c r="E669" i="3"/>
  <x:c r="B669" i="3"/>
  <x:c r="A669" i="3"/>
  <x:c r="AG668" i="3"/>
  <x:c r="AF668" i="3"/>
  <x:c r="AE668" i="3"/>
  <x:c r="AD668" i="3"/>
  <x:c r="AC668" i="3"/>
  <x:c r="AB668" i="3"/>
  <x:c r="AA668" i="3"/>
  <x:c r="Z668" i="3"/>
  <x:c r="Y668" i="3"/>
  <x:c r="X668" i="3"/>
  <x:c r="W668" i="3"/>
  <x:c r="V668" i="3"/>
  <x:c r="U668" i="3"/>
  <x:c r="T668" i="3"/>
  <x:c r="E668" i="3"/>
  <x:c r="B668" i="3"/>
  <x:c r="A668" i="3"/>
  <x:c r="AG667" i="3"/>
  <x:c r="AF667" i="3"/>
  <x:c r="AE667" i="3"/>
  <x:c r="AD667" i="3"/>
  <x:c r="AC667" i="3"/>
  <x:c r="AB667" i="3"/>
  <x:c r="AA667" i="3"/>
  <x:c r="Z667" i="3"/>
  <x:c r="Y667" i="3"/>
  <x:c r="X667" i="3"/>
  <x:c r="W667" i="3"/>
  <x:c r="V667" i="3"/>
  <x:c r="U667" i="3"/>
  <x:c r="T667" i="3"/>
  <x:c r="E667" i="3"/>
  <x:c r="B667" i="3"/>
  <x:c r="A667" i="3"/>
  <x:c r="AG666" i="3"/>
  <x:c r="AF666" i="3"/>
  <x:c r="AE666" i="3"/>
  <x:c r="AD666" i="3"/>
  <x:c r="AC666" i="3"/>
  <x:c r="AB666" i="3"/>
  <x:c r="AA666" i="3"/>
  <x:c r="Z666" i="3"/>
  <x:c r="Y666" i="3"/>
  <x:c r="X666" i="3"/>
  <x:c r="W666" i="3"/>
  <x:c r="V666" i="3"/>
  <x:c r="U666" i="3"/>
  <x:c r="T666" i="3"/>
  <x:c r="E666" i="3"/>
  <x:c r="B666" i="3"/>
  <x:c r="A666" i="3"/>
  <x:c r="AG665" i="3"/>
  <x:c r="AF665" i="3"/>
  <x:c r="AE665" i="3"/>
  <x:c r="AD665" i="3"/>
  <x:c r="AC665" i="3"/>
  <x:c r="AB665" i="3"/>
  <x:c r="AA665" i="3"/>
  <x:c r="Z665" i="3"/>
  <x:c r="Y665" i="3"/>
  <x:c r="X665" i="3"/>
  <x:c r="W665" i="3"/>
  <x:c r="V665" i="3"/>
  <x:c r="U665" i="3"/>
  <x:c r="T665" i="3"/>
  <x:c r="E665" i="3"/>
  <x:c r="B665" i="3"/>
  <x:c r="A665" i="3"/>
  <x:c r="AG664" i="3"/>
  <x:c r="AF664" i="3"/>
  <x:c r="AE664" i="3"/>
  <x:c r="AD664" i="3"/>
  <x:c r="AC664" i="3"/>
  <x:c r="AB664" i="3"/>
  <x:c r="AA664" i="3"/>
  <x:c r="Z664" i="3"/>
  <x:c r="Y664" i="3"/>
  <x:c r="X664" i="3"/>
  <x:c r="W664" i="3"/>
  <x:c r="V664" i="3"/>
  <x:c r="U664" i="3"/>
  <x:c r="T664" i="3"/>
  <x:c r="E664" i="3"/>
  <x:c r="B664" i="3"/>
  <x:c r="A664" i="3"/>
  <x:c r="AG663" i="3"/>
  <x:c r="AF663" i="3"/>
  <x:c r="AE663" i="3"/>
  <x:c r="AD663" i="3"/>
  <x:c r="AC663" i="3"/>
  <x:c r="AB663" i="3"/>
  <x:c r="AA663" i="3"/>
  <x:c r="Z663" i="3"/>
  <x:c r="Y663" i="3"/>
  <x:c r="X663" i="3"/>
  <x:c r="W663" i="3"/>
  <x:c r="V663" i="3"/>
  <x:c r="U663" i="3"/>
  <x:c r="T663" i="3"/>
  <x:c r="E663" i="3"/>
  <x:c r="B663" i="3"/>
  <x:c r="A663" i="3"/>
  <x:c r="AG662" i="3"/>
  <x:c r="AF662" i="3"/>
  <x:c r="AE662" i="3"/>
  <x:c r="AD662" i="3"/>
  <x:c r="AC662" i="3"/>
  <x:c r="AB662" i="3"/>
  <x:c r="AA662" i="3"/>
  <x:c r="Z662" i="3"/>
  <x:c r="Y662" i="3"/>
  <x:c r="X662" i="3"/>
  <x:c r="W662" i="3"/>
  <x:c r="V662" i="3"/>
  <x:c r="U662" i="3"/>
  <x:c r="T662" i="3"/>
  <x:c r="E662" i="3"/>
  <x:c r="B662" i="3"/>
  <x:c r="A662" i="3"/>
  <x:c r="AG661" i="3"/>
  <x:c r="AF661" i="3"/>
  <x:c r="AE661" i="3"/>
  <x:c r="AD661" i="3"/>
  <x:c r="AC661" i="3"/>
  <x:c r="AB661" i="3"/>
  <x:c r="AA661" i="3"/>
  <x:c r="Z661" i="3"/>
  <x:c r="Y661" i="3"/>
  <x:c r="X661" i="3"/>
  <x:c r="W661" i="3"/>
  <x:c r="V661" i="3"/>
  <x:c r="U661" i="3"/>
  <x:c r="T661" i="3"/>
  <x:c r="E661" i="3"/>
  <x:c r="B661" i="3"/>
  <x:c r="A661" i="3"/>
  <x:c r="AG660" i="3"/>
  <x:c r="AF660" i="3"/>
  <x:c r="AE660" i="3"/>
  <x:c r="AD660" i="3"/>
  <x:c r="AC660" i="3"/>
  <x:c r="AB660" i="3"/>
  <x:c r="AA660" i="3"/>
  <x:c r="Z660" i="3"/>
  <x:c r="Y660" i="3"/>
  <x:c r="X660" i="3"/>
  <x:c r="W660" i="3"/>
  <x:c r="V660" i="3"/>
  <x:c r="U660" i="3"/>
  <x:c r="T660" i="3"/>
  <x:c r="E660" i="3"/>
  <x:c r="B660" i="3"/>
  <x:c r="A660" i="3"/>
  <x:c r="AG659" i="3"/>
  <x:c r="AF659" i="3"/>
  <x:c r="AE659" i="3"/>
  <x:c r="AD659" i="3"/>
  <x:c r="AC659" i="3"/>
  <x:c r="AB659" i="3"/>
  <x:c r="AA659" i="3"/>
  <x:c r="Z659" i="3"/>
  <x:c r="Y659" i="3"/>
  <x:c r="X659" i="3"/>
  <x:c r="W659" i="3"/>
  <x:c r="V659" i="3"/>
  <x:c r="U659" i="3"/>
  <x:c r="T659" i="3"/>
  <x:c r="E659" i="3"/>
  <x:c r="B659" i="3"/>
  <x:c r="A659" i="3"/>
  <x:c r="AG658" i="3"/>
  <x:c r="AF658" i="3"/>
  <x:c r="AE658" i="3"/>
  <x:c r="AD658" i="3"/>
  <x:c r="AC658" i="3"/>
  <x:c r="AB658" i="3"/>
  <x:c r="AA658" i="3"/>
  <x:c r="Z658" i="3"/>
  <x:c r="Y658" i="3"/>
  <x:c r="X658" i="3"/>
  <x:c r="W658" i="3"/>
  <x:c r="V658" i="3"/>
  <x:c r="U658" i="3"/>
  <x:c r="T658" i="3"/>
  <x:c r="E658" i="3"/>
  <x:c r="B658" i="3"/>
  <x:c r="A658" i="3"/>
  <x:c r="AG657" i="3"/>
  <x:c r="AF657" i="3"/>
  <x:c r="AE657" i="3"/>
  <x:c r="AD657" i="3"/>
  <x:c r="AC657" i="3"/>
  <x:c r="AB657" i="3"/>
  <x:c r="AA657" i="3"/>
  <x:c r="Z657" i="3"/>
  <x:c r="Y657" i="3"/>
  <x:c r="X657" i="3"/>
  <x:c r="W657" i="3"/>
  <x:c r="V657" i="3"/>
  <x:c r="U657" i="3"/>
  <x:c r="T657" i="3"/>
  <x:c r="E657" i="3"/>
  <x:c r="B657" i="3"/>
  <x:c r="A657" i="3"/>
  <x:c r="AG656" i="3"/>
  <x:c r="AF656" i="3"/>
  <x:c r="AE656" i="3"/>
  <x:c r="AD656" i="3"/>
  <x:c r="AC656" i="3"/>
  <x:c r="AB656" i="3"/>
  <x:c r="AA656" i="3"/>
  <x:c r="Z656" i="3"/>
  <x:c r="Y656" i="3"/>
  <x:c r="X656" i="3"/>
  <x:c r="W656" i="3"/>
  <x:c r="V656" i="3"/>
  <x:c r="U656" i="3"/>
  <x:c r="T656" i="3"/>
  <x:c r="E656" i="3"/>
  <x:c r="B656" i="3"/>
  <x:c r="A656" i="3"/>
  <x:c r="AG655" i="3"/>
  <x:c r="AF655" i="3"/>
  <x:c r="AE655" i="3"/>
  <x:c r="AD655" i="3"/>
  <x:c r="AC655" i="3"/>
  <x:c r="AB655" i="3"/>
  <x:c r="AA655" i="3"/>
  <x:c r="Z655" i="3"/>
  <x:c r="Y655" i="3"/>
  <x:c r="X655" i="3"/>
  <x:c r="W655" i="3"/>
  <x:c r="V655" i="3"/>
  <x:c r="U655" i="3"/>
  <x:c r="T655" i="3"/>
  <x:c r="E655" i="3"/>
  <x:c r="B655" i="3"/>
  <x:c r="A655" i="3"/>
  <x:c r="AG654" i="3"/>
  <x:c r="AF654" i="3"/>
  <x:c r="AE654" i="3"/>
  <x:c r="AD654" i="3"/>
  <x:c r="AC654" i="3"/>
  <x:c r="AB654" i="3"/>
  <x:c r="AA654" i="3"/>
  <x:c r="Z654" i="3"/>
  <x:c r="Y654" i="3"/>
  <x:c r="X654" i="3"/>
  <x:c r="W654" i="3"/>
  <x:c r="V654" i="3"/>
  <x:c r="U654" i="3"/>
  <x:c r="T654" i="3"/>
  <x:c r="E654" i="3"/>
  <x:c r="B654" i="3"/>
  <x:c r="A654" i="3"/>
  <x:c r="AG653" i="3"/>
  <x:c r="AF653" i="3"/>
  <x:c r="AE653" i="3"/>
  <x:c r="AD653" i="3"/>
  <x:c r="AC653" i="3"/>
  <x:c r="AB653" i="3"/>
  <x:c r="AA653" i="3"/>
  <x:c r="Z653" i="3"/>
  <x:c r="Y653" i="3"/>
  <x:c r="X653" i="3"/>
  <x:c r="W653" i="3"/>
  <x:c r="V653" i="3"/>
  <x:c r="U653" i="3"/>
  <x:c r="T653" i="3"/>
  <x:c r="E653" i="3"/>
  <x:c r="B653" i="3"/>
  <x:c r="A653" i="3"/>
  <x:c r="AG652" i="3"/>
  <x:c r="AF652" i="3"/>
  <x:c r="AE652" i="3"/>
  <x:c r="AD652" i="3"/>
  <x:c r="AC652" i="3"/>
  <x:c r="AB652" i="3"/>
  <x:c r="AA652" i="3"/>
  <x:c r="Z652" i="3"/>
  <x:c r="Y652" i="3"/>
  <x:c r="X652" i="3"/>
  <x:c r="W652" i="3"/>
  <x:c r="V652" i="3"/>
  <x:c r="U652" i="3"/>
  <x:c r="T652" i="3"/>
  <x:c r="E652" i="3"/>
  <x:c r="B652" i="3"/>
  <x:c r="A652" i="3"/>
  <x:c r="AG651" i="3"/>
  <x:c r="AF651" i="3"/>
  <x:c r="AE651" i="3"/>
  <x:c r="AD651" i="3"/>
  <x:c r="AC651" i="3"/>
  <x:c r="AB651" i="3"/>
  <x:c r="AA651" i="3"/>
  <x:c r="Z651" i="3"/>
  <x:c r="Y651" i="3"/>
  <x:c r="X651" i="3"/>
  <x:c r="W651" i="3"/>
  <x:c r="V651" i="3"/>
  <x:c r="U651" i="3"/>
  <x:c r="T651" i="3"/>
  <x:c r="E651" i="3"/>
  <x:c r="B651" i="3"/>
  <x:c r="A651" i="3"/>
  <x:c r="AG650" i="3"/>
  <x:c r="AF650" i="3"/>
  <x:c r="AE650" i="3"/>
  <x:c r="AD650" i="3"/>
  <x:c r="AC650" i="3"/>
  <x:c r="AB650" i="3"/>
  <x:c r="AA650" i="3"/>
  <x:c r="Z650" i="3"/>
  <x:c r="Y650" i="3"/>
  <x:c r="X650" i="3"/>
  <x:c r="W650" i="3"/>
  <x:c r="V650" i="3"/>
  <x:c r="U650" i="3"/>
  <x:c r="T650" i="3"/>
  <x:c r="E650" i="3"/>
  <x:c r="B650" i="3"/>
  <x:c r="A650" i="3"/>
  <x:c r="AG649" i="3"/>
  <x:c r="AF649" i="3"/>
  <x:c r="AE649" i="3"/>
  <x:c r="AD649" i="3"/>
  <x:c r="AC649" i="3"/>
  <x:c r="AB649" i="3"/>
  <x:c r="AA649" i="3"/>
  <x:c r="Z649" i="3"/>
  <x:c r="Y649" i="3"/>
  <x:c r="X649" i="3"/>
  <x:c r="W649" i="3"/>
  <x:c r="V649" i="3"/>
  <x:c r="U649" i="3"/>
  <x:c r="T649" i="3"/>
  <x:c r="E649" i="3"/>
  <x:c r="B649" i="3"/>
  <x:c r="A649" i="3"/>
  <x:c r="AG648" i="3"/>
  <x:c r="AF648" i="3"/>
  <x:c r="AE648" i="3"/>
  <x:c r="AD648" i="3"/>
  <x:c r="AC648" i="3"/>
  <x:c r="AB648" i="3"/>
  <x:c r="AA648" i="3"/>
  <x:c r="Z648" i="3"/>
  <x:c r="Y648" i="3"/>
  <x:c r="X648" i="3"/>
  <x:c r="W648" i="3"/>
  <x:c r="V648" i="3"/>
  <x:c r="U648" i="3"/>
  <x:c r="T648" i="3"/>
  <x:c r="E648" i="3"/>
  <x:c r="B648" i="3"/>
  <x:c r="A648" i="3"/>
  <x:c r="AG647" i="3"/>
  <x:c r="AF647" i="3"/>
  <x:c r="AE647" i="3"/>
  <x:c r="AD647" i="3"/>
  <x:c r="AC647" i="3"/>
  <x:c r="AB647" i="3"/>
  <x:c r="AA647" i="3"/>
  <x:c r="Z647" i="3"/>
  <x:c r="Y647" i="3"/>
  <x:c r="X647" i="3"/>
  <x:c r="W647" i="3"/>
  <x:c r="V647" i="3"/>
  <x:c r="U647" i="3"/>
  <x:c r="T647" i="3"/>
  <x:c r="E647" i="3"/>
  <x:c r="B647" i="3"/>
  <x:c r="A647" i="3"/>
  <x:c r="AG646" i="3"/>
  <x:c r="AF646" i="3"/>
  <x:c r="AE646" i="3"/>
  <x:c r="AD646" i="3"/>
  <x:c r="AC646" i="3"/>
  <x:c r="AB646" i="3"/>
  <x:c r="AA646" i="3"/>
  <x:c r="Z646" i="3"/>
  <x:c r="Y646" i="3"/>
  <x:c r="X646" i="3"/>
  <x:c r="W646" i="3"/>
  <x:c r="V646" i="3"/>
  <x:c r="U646" i="3"/>
  <x:c r="T646" i="3"/>
  <x:c r="E646" i="3"/>
  <x:c r="B646" i="3"/>
  <x:c r="A646" i="3"/>
  <x:c r="AG645" i="3"/>
  <x:c r="AF645" i="3"/>
  <x:c r="AE645" i="3"/>
  <x:c r="AD645" i="3"/>
  <x:c r="AC645" i="3"/>
  <x:c r="AB645" i="3"/>
  <x:c r="AA645" i="3"/>
  <x:c r="Z645" i="3"/>
  <x:c r="Y645" i="3"/>
  <x:c r="X645" i="3"/>
  <x:c r="W645" i="3"/>
  <x:c r="V645" i="3"/>
  <x:c r="U645" i="3"/>
  <x:c r="T645" i="3"/>
  <x:c r="E645" i="3"/>
  <x:c r="B645" i="3"/>
  <x:c r="A645" i="3"/>
  <x:c r="AG644" i="3"/>
  <x:c r="AF644" i="3"/>
  <x:c r="AE644" i="3"/>
  <x:c r="AD644" i="3"/>
  <x:c r="AC644" i="3"/>
  <x:c r="AB644" i="3"/>
  <x:c r="AA644" i="3"/>
  <x:c r="Z644" i="3"/>
  <x:c r="Y644" i="3"/>
  <x:c r="X644" i="3"/>
  <x:c r="W644" i="3"/>
  <x:c r="V644" i="3"/>
  <x:c r="U644" i="3"/>
  <x:c r="T644" i="3"/>
  <x:c r="E644" i="3"/>
  <x:c r="B644" i="3"/>
  <x:c r="A644" i="3"/>
  <x:c r="AG643" i="3"/>
  <x:c r="AF643" i="3"/>
  <x:c r="AE643" i="3"/>
  <x:c r="AD643" i="3"/>
  <x:c r="AC643" i="3"/>
  <x:c r="AB643" i="3"/>
  <x:c r="AA643" i="3"/>
  <x:c r="Z643" i="3"/>
  <x:c r="Y643" i="3"/>
  <x:c r="X643" i="3"/>
  <x:c r="W643" i="3"/>
  <x:c r="V643" i="3"/>
  <x:c r="U643" i="3"/>
  <x:c r="T643" i="3"/>
  <x:c r="E643" i="3"/>
  <x:c r="B643" i="3"/>
  <x:c r="A643" i="3"/>
  <x:c r="AG642" i="3"/>
  <x:c r="AF642" i="3"/>
  <x:c r="AE642" i="3"/>
  <x:c r="AD642" i="3"/>
  <x:c r="AC642" i="3"/>
  <x:c r="AB642" i="3"/>
  <x:c r="AA642" i="3"/>
  <x:c r="Z642" i="3"/>
  <x:c r="Y642" i="3"/>
  <x:c r="X642" i="3"/>
  <x:c r="W642" i="3"/>
  <x:c r="V642" i="3"/>
  <x:c r="U642" i="3"/>
  <x:c r="T642" i="3"/>
  <x:c r="E642" i="3"/>
  <x:c r="B642" i="3"/>
  <x:c r="A642" i="3"/>
  <x:c r="AG641" i="3"/>
  <x:c r="AF641" i="3"/>
  <x:c r="AE641" i="3"/>
  <x:c r="AD641" i="3"/>
  <x:c r="AC641" i="3"/>
  <x:c r="AB641" i="3"/>
  <x:c r="AA641" i="3"/>
  <x:c r="Z641" i="3"/>
  <x:c r="Y641" i="3"/>
  <x:c r="X641" i="3"/>
  <x:c r="W641" i="3"/>
  <x:c r="V641" i="3"/>
  <x:c r="U641" i="3"/>
  <x:c r="T641" i="3"/>
  <x:c r="E641" i="3"/>
  <x:c r="B641" i="3"/>
  <x:c r="A641" i="3"/>
  <x:c r="AG640" i="3"/>
  <x:c r="AF640" i="3"/>
  <x:c r="AE640" i="3"/>
  <x:c r="AD640" i="3"/>
  <x:c r="AC640" i="3"/>
  <x:c r="AB640" i="3"/>
  <x:c r="AA640" i="3"/>
  <x:c r="Z640" i="3"/>
  <x:c r="Y640" i="3"/>
  <x:c r="X640" i="3"/>
  <x:c r="W640" i="3"/>
  <x:c r="V640" i="3"/>
  <x:c r="U640" i="3"/>
  <x:c r="T640" i="3"/>
  <x:c r="E640" i="3"/>
  <x:c r="B640" i="3"/>
  <x:c r="A640" i="3"/>
  <x:c r="AG639" i="3"/>
  <x:c r="AF639" i="3"/>
  <x:c r="AE639" i="3"/>
  <x:c r="AD639" i="3"/>
  <x:c r="AC639" i="3"/>
  <x:c r="AB639" i="3"/>
  <x:c r="AA639" i="3"/>
  <x:c r="Z639" i="3"/>
  <x:c r="Y639" i="3"/>
  <x:c r="X639" i="3"/>
  <x:c r="W639" i="3"/>
  <x:c r="V639" i="3"/>
  <x:c r="U639" i="3"/>
  <x:c r="T639" i="3"/>
  <x:c r="E639" i="3"/>
  <x:c r="B639" i="3"/>
  <x:c r="A639" i="3"/>
  <x:c r="AG638" i="3"/>
  <x:c r="AF638" i="3"/>
  <x:c r="AE638" i="3"/>
  <x:c r="AD638" i="3"/>
  <x:c r="AC638" i="3"/>
  <x:c r="AB638" i="3"/>
  <x:c r="AA638" i="3"/>
  <x:c r="Z638" i="3"/>
  <x:c r="Y638" i="3"/>
  <x:c r="X638" i="3"/>
  <x:c r="W638" i="3"/>
  <x:c r="V638" i="3"/>
  <x:c r="U638" i="3"/>
  <x:c r="T638" i="3"/>
  <x:c r="E638" i="3"/>
  <x:c r="B638" i="3"/>
  <x:c r="A638" i="3"/>
  <x:c r="AG637" i="3"/>
  <x:c r="AF637" i="3"/>
  <x:c r="AE637" i="3"/>
  <x:c r="AD637" i="3"/>
  <x:c r="AC637" i="3"/>
  <x:c r="AB637" i="3"/>
  <x:c r="AA637" i="3"/>
  <x:c r="Z637" i="3"/>
  <x:c r="Y637" i="3"/>
  <x:c r="X637" i="3"/>
  <x:c r="W637" i="3"/>
  <x:c r="V637" i="3"/>
  <x:c r="U637" i="3"/>
  <x:c r="T637" i="3"/>
  <x:c r="E637" i="3"/>
  <x:c r="B637" i="3"/>
  <x:c r="A637" i="3"/>
  <x:c r="AG636" i="3"/>
  <x:c r="AF636" i="3"/>
  <x:c r="AE636" i="3"/>
  <x:c r="AD636" i="3"/>
  <x:c r="AC636" i="3"/>
  <x:c r="AB636" i="3"/>
  <x:c r="AA636" i="3"/>
  <x:c r="Z636" i="3"/>
  <x:c r="Y636" i="3"/>
  <x:c r="X636" i="3"/>
  <x:c r="W636" i="3"/>
  <x:c r="V636" i="3"/>
  <x:c r="U636" i="3"/>
  <x:c r="T636" i="3"/>
  <x:c r="E636" i="3"/>
  <x:c r="B636" i="3"/>
  <x:c r="A636" i="3"/>
  <x:c r="AG635" i="3"/>
  <x:c r="AF635" i="3"/>
  <x:c r="AE635" i="3"/>
  <x:c r="AD635" i="3"/>
  <x:c r="AC635" i="3"/>
  <x:c r="AB635" i="3"/>
  <x:c r="AA635" i="3"/>
  <x:c r="Z635" i="3"/>
  <x:c r="Y635" i="3"/>
  <x:c r="X635" i="3"/>
  <x:c r="W635" i="3"/>
  <x:c r="V635" i="3"/>
  <x:c r="U635" i="3"/>
  <x:c r="T635" i="3"/>
  <x:c r="E635" i="3"/>
  <x:c r="B635" i="3"/>
  <x:c r="A635" i="3"/>
  <x:c r="AG634" i="3"/>
  <x:c r="AF634" i="3"/>
  <x:c r="AE634" i="3"/>
  <x:c r="AD634" i="3"/>
  <x:c r="AC634" i="3"/>
  <x:c r="AB634" i="3"/>
  <x:c r="AA634" i="3"/>
  <x:c r="Z634" i="3"/>
  <x:c r="Y634" i="3"/>
  <x:c r="X634" i="3"/>
  <x:c r="W634" i="3"/>
  <x:c r="V634" i="3"/>
  <x:c r="U634" i="3"/>
  <x:c r="T634" i="3"/>
  <x:c r="E634" i="3"/>
  <x:c r="B634" i="3"/>
  <x:c r="A634" i="3"/>
  <x:c r="AG633" i="3"/>
  <x:c r="AF633" i="3"/>
  <x:c r="AE633" i="3"/>
  <x:c r="AD633" i="3"/>
  <x:c r="AC633" i="3"/>
  <x:c r="AB633" i="3"/>
  <x:c r="AA633" i="3"/>
  <x:c r="Z633" i="3"/>
  <x:c r="Y633" i="3"/>
  <x:c r="X633" i="3"/>
  <x:c r="W633" i="3"/>
  <x:c r="V633" i="3"/>
  <x:c r="U633" i="3"/>
  <x:c r="T633" i="3"/>
  <x:c r="E633" i="3"/>
  <x:c r="B633" i="3"/>
  <x:c r="A633" i="3"/>
  <x:c r="AG632" i="3"/>
  <x:c r="AF632" i="3"/>
  <x:c r="AE632" i="3"/>
  <x:c r="AD632" i="3"/>
  <x:c r="AC632" i="3"/>
  <x:c r="AB632" i="3"/>
  <x:c r="AA632" i="3"/>
  <x:c r="Z632" i="3"/>
  <x:c r="Y632" i="3"/>
  <x:c r="X632" i="3"/>
  <x:c r="W632" i="3"/>
  <x:c r="V632" i="3"/>
  <x:c r="U632" i="3"/>
  <x:c r="T632" i="3"/>
  <x:c r="E632" i="3"/>
  <x:c r="B632" i="3"/>
  <x:c r="A632" i="3"/>
  <x:c r="AG631" i="3"/>
  <x:c r="AF631" i="3"/>
  <x:c r="AE631" i="3"/>
  <x:c r="AD631" i="3"/>
  <x:c r="AC631" i="3"/>
  <x:c r="AB631" i="3"/>
  <x:c r="AA631" i="3"/>
  <x:c r="Z631" i="3"/>
  <x:c r="Y631" i="3"/>
  <x:c r="X631" i="3"/>
  <x:c r="W631" i="3"/>
  <x:c r="V631" i="3"/>
  <x:c r="U631" i="3"/>
  <x:c r="T631" i="3"/>
  <x:c r="E631" i="3"/>
  <x:c r="B631" i="3"/>
  <x:c r="A631" i="3"/>
  <x:c r="AG630" i="3"/>
  <x:c r="AF630" i="3"/>
  <x:c r="AE630" i="3"/>
  <x:c r="AD630" i="3"/>
  <x:c r="AC630" i="3"/>
  <x:c r="AB630" i="3"/>
  <x:c r="AA630" i="3"/>
  <x:c r="Z630" i="3"/>
  <x:c r="Y630" i="3"/>
  <x:c r="X630" i="3"/>
  <x:c r="W630" i="3"/>
  <x:c r="V630" i="3"/>
  <x:c r="U630" i="3"/>
  <x:c r="T630" i="3"/>
  <x:c r="E630" i="3"/>
  <x:c r="B630" i="3"/>
  <x:c r="A630" i="3"/>
  <x:c r="AG629" i="3"/>
  <x:c r="AF629" i="3"/>
  <x:c r="AE629" i="3"/>
  <x:c r="AD629" i="3"/>
  <x:c r="AC629" i="3"/>
  <x:c r="AB629" i="3"/>
  <x:c r="AA629" i="3"/>
  <x:c r="Z629" i="3"/>
  <x:c r="Y629" i="3"/>
  <x:c r="X629" i="3"/>
  <x:c r="W629" i="3"/>
  <x:c r="V629" i="3"/>
  <x:c r="U629" i="3"/>
  <x:c r="T629" i="3"/>
  <x:c r="E629" i="3"/>
  <x:c r="B629" i="3"/>
  <x:c r="A629" i="3"/>
  <x:c r="AG628" i="3"/>
  <x:c r="AF628" i="3"/>
  <x:c r="AE628" i="3"/>
  <x:c r="AD628" i="3"/>
  <x:c r="AC628" i="3"/>
  <x:c r="AB628" i="3"/>
  <x:c r="AA628" i="3"/>
  <x:c r="Z628" i="3"/>
  <x:c r="Y628" i="3"/>
  <x:c r="X628" i="3"/>
  <x:c r="W628" i="3"/>
  <x:c r="V628" i="3"/>
  <x:c r="U628" i="3"/>
  <x:c r="T628" i="3"/>
  <x:c r="E628" i="3"/>
  <x:c r="B628" i="3"/>
  <x:c r="A628" i="3"/>
  <x:c r="AG627" i="3"/>
  <x:c r="AF627" i="3"/>
  <x:c r="AE627" i="3"/>
  <x:c r="AD627" i="3"/>
  <x:c r="AC627" i="3"/>
  <x:c r="AB627" i="3"/>
  <x:c r="AA627" i="3"/>
  <x:c r="Z627" i="3"/>
  <x:c r="Y627" i="3"/>
  <x:c r="X627" i="3"/>
  <x:c r="W627" i="3"/>
  <x:c r="V627" i="3"/>
  <x:c r="U627" i="3"/>
  <x:c r="T627" i="3"/>
  <x:c r="E627" i="3"/>
  <x:c r="B627" i="3"/>
  <x:c r="A627" i="3"/>
  <x:c r="AG626" i="3"/>
  <x:c r="AF626" i="3"/>
  <x:c r="AE626" i="3"/>
  <x:c r="AD626" i="3"/>
  <x:c r="AC626" i="3"/>
  <x:c r="AB626" i="3"/>
  <x:c r="AA626" i="3"/>
  <x:c r="Z626" i="3"/>
  <x:c r="Y626" i="3"/>
  <x:c r="X626" i="3"/>
  <x:c r="W626" i="3"/>
  <x:c r="V626" i="3"/>
  <x:c r="U626" i="3"/>
  <x:c r="T626" i="3"/>
  <x:c r="E626" i="3"/>
  <x:c r="B626" i="3"/>
  <x:c r="A626" i="3"/>
  <x:c r="AG625" i="3"/>
  <x:c r="AF625" i="3"/>
  <x:c r="AE625" i="3"/>
  <x:c r="AD625" i="3"/>
  <x:c r="AC625" i="3"/>
  <x:c r="AB625" i="3"/>
  <x:c r="AA625" i="3"/>
  <x:c r="Z625" i="3"/>
  <x:c r="Y625" i="3"/>
  <x:c r="X625" i="3"/>
  <x:c r="W625" i="3"/>
  <x:c r="V625" i="3"/>
  <x:c r="U625" i="3"/>
  <x:c r="T625" i="3"/>
  <x:c r="E625" i="3"/>
  <x:c r="B625" i="3"/>
  <x:c r="A625" i="3"/>
  <x:c r="AG624" i="3"/>
  <x:c r="AF624" i="3"/>
  <x:c r="AE624" i="3"/>
  <x:c r="AD624" i="3"/>
  <x:c r="AC624" i="3"/>
  <x:c r="AB624" i="3"/>
  <x:c r="AA624" i="3"/>
  <x:c r="Z624" i="3"/>
  <x:c r="Y624" i="3"/>
  <x:c r="X624" i="3"/>
  <x:c r="W624" i="3"/>
  <x:c r="V624" i="3"/>
  <x:c r="U624" i="3"/>
  <x:c r="T624" i="3"/>
  <x:c r="E624" i="3"/>
  <x:c r="B624" i="3"/>
  <x:c r="A624" i="3"/>
  <x:c r="AG623" i="3"/>
  <x:c r="AF623" i="3"/>
  <x:c r="AE623" i="3"/>
  <x:c r="AD623" i="3"/>
  <x:c r="AC623" i="3"/>
  <x:c r="AB623" i="3"/>
  <x:c r="AA623" i="3"/>
  <x:c r="Z623" i="3"/>
  <x:c r="Y623" i="3"/>
  <x:c r="X623" i="3"/>
  <x:c r="W623" i="3"/>
  <x:c r="V623" i="3"/>
  <x:c r="U623" i="3"/>
  <x:c r="T623" i="3"/>
  <x:c r="E623" i="3"/>
  <x:c r="B623" i="3"/>
  <x:c r="A623" i="3"/>
  <x:c r="AG622" i="3"/>
  <x:c r="AF622" i="3"/>
  <x:c r="AE622" i="3"/>
  <x:c r="AD622" i="3"/>
  <x:c r="AC622" i="3"/>
  <x:c r="AB622" i="3"/>
  <x:c r="AA622" i="3"/>
  <x:c r="Z622" i="3"/>
  <x:c r="Y622" i="3"/>
  <x:c r="X622" i="3"/>
  <x:c r="W622" i="3"/>
  <x:c r="V622" i="3"/>
  <x:c r="U622" i="3"/>
  <x:c r="T622" i="3"/>
  <x:c r="E622" i="3"/>
  <x:c r="B622" i="3"/>
  <x:c r="A622" i="3"/>
  <x:c r="AG621" i="3"/>
  <x:c r="AF621" i="3"/>
  <x:c r="AE621" i="3"/>
  <x:c r="AD621" i="3"/>
  <x:c r="AC621" i="3"/>
  <x:c r="AB621" i="3"/>
  <x:c r="AA621" i="3"/>
  <x:c r="Z621" i="3"/>
  <x:c r="Y621" i="3"/>
  <x:c r="X621" i="3"/>
  <x:c r="W621" i="3"/>
  <x:c r="V621" i="3"/>
  <x:c r="U621" i="3"/>
  <x:c r="T621" i="3"/>
  <x:c r="E621" i="3"/>
  <x:c r="B621" i="3"/>
  <x:c r="A621" i="3"/>
  <x:c r="AG620" i="3"/>
  <x:c r="AF620" i="3"/>
  <x:c r="AE620" i="3"/>
  <x:c r="AD620" i="3"/>
  <x:c r="AC620" i="3"/>
  <x:c r="AB620" i="3"/>
  <x:c r="AA620" i="3"/>
  <x:c r="Z620" i="3"/>
  <x:c r="Y620" i="3"/>
  <x:c r="X620" i="3"/>
  <x:c r="W620" i="3"/>
  <x:c r="V620" i="3"/>
  <x:c r="U620" i="3"/>
  <x:c r="T620" i="3"/>
  <x:c r="E620" i="3"/>
  <x:c r="B620" i="3"/>
  <x:c r="A620" i="3"/>
  <x:c r="AG619" i="3"/>
  <x:c r="AF619" i="3"/>
  <x:c r="AE619" i="3"/>
  <x:c r="AD619" i="3"/>
  <x:c r="AC619" i="3"/>
  <x:c r="AB619" i="3"/>
  <x:c r="AA619" i="3"/>
  <x:c r="Z619" i="3"/>
  <x:c r="Y619" i="3"/>
  <x:c r="X619" i="3"/>
  <x:c r="W619" i="3"/>
  <x:c r="V619" i="3"/>
  <x:c r="U619" i="3"/>
  <x:c r="T619" i="3"/>
  <x:c r="E619" i="3"/>
  <x:c r="B619" i="3"/>
  <x:c r="A619" i="3"/>
  <x:c r="AG618" i="3"/>
  <x:c r="AF618" i="3"/>
  <x:c r="AE618" i="3"/>
  <x:c r="AD618" i="3"/>
  <x:c r="AC618" i="3"/>
  <x:c r="AB618" i="3"/>
  <x:c r="AA618" i="3"/>
  <x:c r="Z618" i="3"/>
  <x:c r="Y618" i="3"/>
  <x:c r="X618" i="3"/>
  <x:c r="W618" i="3"/>
  <x:c r="V618" i="3"/>
  <x:c r="U618" i="3"/>
  <x:c r="T618" i="3"/>
  <x:c r="E618" i="3"/>
  <x:c r="B618" i="3"/>
  <x:c r="A618" i="3"/>
  <x:c r="AG617" i="3"/>
  <x:c r="AF617" i="3"/>
  <x:c r="AE617" i="3"/>
  <x:c r="AD617" i="3"/>
  <x:c r="AC617" i="3"/>
  <x:c r="AB617" i="3"/>
  <x:c r="AA617" i="3"/>
  <x:c r="Z617" i="3"/>
  <x:c r="Y617" i="3"/>
  <x:c r="X617" i="3"/>
  <x:c r="W617" i="3"/>
  <x:c r="V617" i="3"/>
  <x:c r="U617" i="3"/>
  <x:c r="T617" i="3"/>
  <x:c r="E617" i="3"/>
  <x:c r="B617" i="3"/>
  <x:c r="A617" i="3"/>
  <x:c r="AG616" i="3"/>
  <x:c r="AF616" i="3"/>
  <x:c r="AE616" i="3"/>
  <x:c r="AD616" i="3"/>
  <x:c r="AC616" i="3"/>
  <x:c r="AB616" i="3"/>
  <x:c r="AA616" i="3"/>
  <x:c r="Z616" i="3"/>
  <x:c r="Y616" i="3"/>
  <x:c r="X616" i="3"/>
  <x:c r="W616" i="3"/>
  <x:c r="V616" i="3"/>
  <x:c r="U616" i="3"/>
  <x:c r="T616" i="3"/>
  <x:c r="E616" i="3"/>
  <x:c r="B616" i="3"/>
  <x:c r="A616" i="3"/>
  <x:c r="AG615" i="3"/>
  <x:c r="AF615" i="3"/>
  <x:c r="AE615" i="3"/>
  <x:c r="AD615" i="3"/>
  <x:c r="AC615" i="3"/>
  <x:c r="AB615" i="3"/>
  <x:c r="AA615" i="3"/>
  <x:c r="Z615" i="3"/>
  <x:c r="Y615" i="3"/>
  <x:c r="X615" i="3"/>
  <x:c r="W615" i="3"/>
  <x:c r="V615" i="3"/>
  <x:c r="U615" i="3"/>
  <x:c r="T615" i="3"/>
  <x:c r="E615" i="3"/>
  <x:c r="B615" i="3"/>
  <x:c r="A615" i="3"/>
  <x:c r="AG614" i="3"/>
  <x:c r="AF614" i="3"/>
  <x:c r="AE614" i="3"/>
  <x:c r="AD614" i="3"/>
  <x:c r="AC614" i="3"/>
  <x:c r="AB614" i="3"/>
  <x:c r="AA614" i="3"/>
  <x:c r="Z614" i="3"/>
  <x:c r="Y614" i="3"/>
  <x:c r="X614" i="3"/>
  <x:c r="W614" i="3"/>
  <x:c r="V614" i="3"/>
  <x:c r="U614" i="3"/>
  <x:c r="T614" i="3"/>
  <x:c r="E614" i="3"/>
  <x:c r="B614" i="3"/>
  <x:c r="A614" i="3"/>
  <x:c r="AG613" i="3"/>
  <x:c r="AF613" i="3"/>
  <x:c r="AE613" i="3"/>
  <x:c r="AD613" i="3"/>
  <x:c r="AC613" i="3"/>
  <x:c r="AB613" i="3"/>
  <x:c r="AA613" i="3"/>
  <x:c r="Z613" i="3"/>
  <x:c r="Y613" i="3"/>
  <x:c r="X613" i="3"/>
  <x:c r="W613" i="3"/>
  <x:c r="V613" i="3"/>
  <x:c r="U613" i="3"/>
  <x:c r="T613" i="3"/>
  <x:c r="E613" i="3"/>
  <x:c r="B613" i="3"/>
  <x:c r="A613" i="3"/>
  <x:c r="AG612" i="3"/>
  <x:c r="AF612" i="3"/>
  <x:c r="AE612" i="3"/>
  <x:c r="AD612" i="3"/>
  <x:c r="AC612" i="3"/>
  <x:c r="AB612" i="3"/>
  <x:c r="AA612" i="3"/>
  <x:c r="Z612" i="3"/>
  <x:c r="Y612" i="3"/>
  <x:c r="X612" i="3"/>
  <x:c r="W612" i="3"/>
  <x:c r="V612" i="3"/>
  <x:c r="U612" i="3"/>
  <x:c r="T612" i="3"/>
  <x:c r="E612" i="3"/>
  <x:c r="B612" i="3"/>
  <x:c r="A612" i="3"/>
  <x:c r="AG611" i="3"/>
  <x:c r="AF611" i="3"/>
  <x:c r="AE611" i="3"/>
  <x:c r="AD611" i="3"/>
  <x:c r="AC611" i="3"/>
  <x:c r="AB611" i="3"/>
  <x:c r="AA611" i="3"/>
  <x:c r="Z611" i="3"/>
  <x:c r="Y611" i="3"/>
  <x:c r="X611" i="3"/>
  <x:c r="W611" i="3"/>
  <x:c r="V611" i="3"/>
  <x:c r="U611" i="3"/>
  <x:c r="T611" i="3"/>
  <x:c r="E611" i="3"/>
  <x:c r="B611" i="3"/>
  <x:c r="A611" i="3"/>
  <x:c r="AG610" i="3"/>
  <x:c r="AF610" i="3"/>
  <x:c r="AE610" i="3"/>
  <x:c r="AD610" i="3"/>
  <x:c r="AC610" i="3"/>
  <x:c r="AB610" i="3"/>
  <x:c r="AA610" i="3"/>
  <x:c r="Z610" i="3"/>
  <x:c r="Y610" i="3"/>
  <x:c r="X610" i="3"/>
  <x:c r="W610" i="3"/>
  <x:c r="V610" i="3"/>
  <x:c r="U610" i="3"/>
  <x:c r="T610" i="3"/>
  <x:c r="E610" i="3"/>
  <x:c r="B610" i="3"/>
  <x:c r="A610" i="3"/>
  <x:c r="AG609" i="3"/>
  <x:c r="AF609" i="3"/>
  <x:c r="AE609" i="3"/>
  <x:c r="AD609" i="3"/>
  <x:c r="AC609" i="3"/>
  <x:c r="AB609" i="3"/>
  <x:c r="AA609" i="3"/>
  <x:c r="Z609" i="3"/>
  <x:c r="Y609" i="3"/>
  <x:c r="X609" i="3"/>
  <x:c r="W609" i="3"/>
  <x:c r="V609" i="3"/>
  <x:c r="U609" i="3"/>
  <x:c r="T609" i="3"/>
  <x:c r="E609" i="3"/>
  <x:c r="B609" i="3"/>
  <x:c r="A609" i="3"/>
  <x:c r="AG608" i="3"/>
  <x:c r="AF608" i="3"/>
  <x:c r="AE608" i="3"/>
  <x:c r="AD608" i="3"/>
  <x:c r="AC608" i="3"/>
  <x:c r="AB608" i="3"/>
  <x:c r="AA608" i="3"/>
  <x:c r="Z608" i="3"/>
  <x:c r="Y608" i="3"/>
  <x:c r="X608" i="3"/>
  <x:c r="W608" i="3"/>
  <x:c r="V608" i="3"/>
  <x:c r="U608" i="3"/>
  <x:c r="T608" i="3"/>
  <x:c r="E608" i="3"/>
  <x:c r="B608" i="3"/>
  <x:c r="A608" i="3"/>
  <x:c r="AG607" i="3"/>
  <x:c r="AF607" i="3"/>
  <x:c r="AE607" i="3"/>
  <x:c r="AD607" i="3"/>
  <x:c r="AC607" i="3"/>
  <x:c r="AB607" i="3"/>
  <x:c r="AA607" i="3"/>
  <x:c r="Z607" i="3"/>
  <x:c r="Y607" i="3"/>
  <x:c r="X607" i="3"/>
  <x:c r="W607" i="3"/>
  <x:c r="V607" i="3"/>
  <x:c r="U607" i="3"/>
  <x:c r="T607" i="3"/>
  <x:c r="E607" i="3"/>
  <x:c r="B607" i="3"/>
  <x:c r="A607" i="3"/>
  <x:c r="AG606" i="3"/>
  <x:c r="AF606" i="3"/>
  <x:c r="AE606" i="3"/>
  <x:c r="AD606" i="3"/>
  <x:c r="AC606" i="3"/>
  <x:c r="AB606" i="3"/>
  <x:c r="AA606" i="3"/>
  <x:c r="Z606" i="3"/>
  <x:c r="Y606" i="3"/>
  <x:c r="X606" i="3"/>
  <x:c r="W606" i="3"/>
  <x:c r="V606" i="3"/>
  <x:c r="U606" i="3"/>
  <x:c r="T606" i="3"/>
  <x:c r="E606" i="3"/>
  <x:c r="B606" i="3"/>
  <x:c r="A606" i="3"/>
  <x:c r="AG605" i="3"/>
  <x:c r="AF605" i="3"/>
  <x:c r="AE605" i="3"/>
  <x:c r="AD605" i="3"/>
  <x:c r="AC605" i="3"/>
  <x:c r="AB605" i="3"/>
  <x:c r="AA605" i="3"/>
  <x:c r="Z605" i="3"/>
  <x:c r="Y605" i="3"/>
  <x:c r="X605" i="3"/>
  <x:c r="W605" i="3"/>
  <x:c r="V605" i="3"/>
  <x:c r="U605" i="3"/>
  <x:c r="T605" i="3"/>
  <x:c r="E605" i="3"/>
  <x:c r="B605" i="3"/>
  <x:c r="A605" i="3"/>
  <x:c r="AG604" i="3"/>
  <x:c r="AF604" i="3"/>
  <x:c r="AE604" i="3"/>
  <x:c r="AD604" i="3"/>
  <x:c r="AC604" i="3"/>
  <x:c r="AB604" i="3"/>
  <x:c r="AA604" i="3"/>
  <x:c r="Z604" i="3"/>
  <x:c r="Y604" i="3"/>
  <x:c r="X604" i="3"/>
  <x:c r="W604" i="3"/>
  <x:c r="V604" i="3"/>
  <x:c r="U604" i="3"/>
  <x:c r="T604" i="3"/>
  <x:c r="E604" i="3"/>
  <x:c r="B604" i="3"/>
  <x:c r="A604" i="3"/>
  <x:c r="AG603" i="3"/>
  <x:c r="AF603" i="3"/>
  <x:c r="AE603" i="3"/>
  <x:c r="AD603" i="3"/>
  <x:c r="AC603" i="3"/>
  <x:c r="AB603" i="3"/>
  <x:c r="AA603" i="3"/>
  <x:c r="Z603" i="3"/>
  <x:c r="Y603" i="3"/>
  <x:c r="X603" i="3"/>
  <x:c r="W603" i="3"/>
  <x:c r="V603" i="3"/>
  <x:c r="U603" i="3"/>
  <x:c r="T603" i="3"/>
  <x:c r="E603" i="3"/>
  <x:c r="B603" i="3"/>
  <x:c r="A603" i="3"/>
  <x:c r="AG602" i="3"/>
  <x:c r="AF602" i="3"/>
  <x:c r="AE602" i="3"/>
  <x:c r="AD602" i="3"/>
  <x:c r="AC602" i="3"/>
  <x:c r="AB602" i="3"/>
  <x:c r="AA602" i="3"/>
  <x:c r="Z602" i="3"/>
  <x:c r="Y602" i="3"/>
  <x:c r="X602" i="3"/>
  <x:c r="W602" i="3"/>
  <x:c r="V602" i="3"/>
  <x:c r="U602" i="3"/>
  <x:c r="T602" i="3"/>
  <x:c r="E602" i="3"/>
  <x:c r="B602" i="3"/>
  <x:c r="A602" i="3"/>
  <x:c r="AG601" i="3"/>
  <x:c r="AF601" i="3"/>
  <x:c r="AE601" i="3"/>
  <x:c r="AD601" i="3"/>
  <x:c r="AC601" i="3"/>
  <x:c r="AB601" i="3"/>
  <x:c r="AA601" i="3"/>
  <x:c r="Z601" i="3"/>
  <x:c r="Y601" i="3"/>
  <x:c r="X601" i="3"/>
  <x:c r="W601" i="3"/>
  <x:c r="V601" i="3"/>
  <x:c r="U601" i="3"/>
  <x:c r="T601" i="3"/>
  <x:c r="E601" i="3"/>
  <x:c r="B601" i="3"/>
  <x:c r="A601" i="3"/>
  <x:c r="AG600" i="3"/>
  <x:c r="AF600" i="3"/>
  <x:c r="AE600" i="3"/>
  <x:c r="AD600" i="3"/>
  <x:c r="AC600" i="3"/>
  <x:c r="AB600" i="3"/>
  <x:c r="AA600" i="3"/>
  <x:c r="Z600" i="3"/>
  <x:c r="Y600" i="3"/>
  <x:c r="X600" i="3"/>
  <x:c r="W600" i="3"/>
  <x:c r="V600" i="3"/>
  <x:c r="U600" i="3"/>
  <x:c r="T600" i="3"/>
  <x:c r="E600" i="3"/>
  <x:c r="B600" i="3"/>
  <x:c r="A600" i="3"/>
  <x:c r="AG599" i="3"/>
  <x:c r="AF599" i="3"/>
  <x:c r="AE599" i="3"/>
  <x:c r="AD599" i="3"/>
  <x:c r="AC599" i="3"/>
  <x:c r="AB599" i="3"/>
  <x:c r="AA599" i="3"/>
  <x:c r="Z599" i="3"/>
  <x:c r="Y599" i="3"/>
  <x:c r="X599" i="3"/>
  <x:c r="W599" i="3"/>
  <x:c r="V599" i="3"/>
  <x:c r="U599" i="3"/>
  <x:c r="T599" i="3"/>
  <x:c r="E599" i="3"/>
  <x:c r="B599" i="3"/>
  <x:c r="A599" i="3"/>
  <x:c r="AG598" i="3"/>
  <x:c r="AF598" i="3"/>
  <x:c r="AE598" i="3"/>
  <x:c r="AD598" i="3"/>
  <x:c r="AC598" i="3"/>
  <x:c r="AB598" i="3"/>
  <x:c r="AA598" i="3"/>
  <x:c r="Z598" i="3"/>
  <x:c r="Y598" i="3"/>
  <x:c r="X598" i="3"/>
  <x:c r="W598" i="3"/>
  <x:c r="V598" i="3"/>
  <x:c r="U598" i="3"/>
  <x:c r="T598" i="3"/>
  <x:c r="E598" i="3"/>
  <x:c r="B598" i="3"/>
  <x:c r="A598" i="3"/>
  <x:c r="AG597" i="3"/>
  <x:c r="AF597" i="3"/>
  <x:c r="AE597" i="3"/>
  <x:c r="AD597" i="3"/>
  <x:c r="AC597" i="3"/>
  <x:c r="AB597" i="3"/>
  <x:c r="AA597" i="3"/>
  <x:c r="Z597" i="3"/>
  <x:c r="Y597" i="3"/>
  <x:c r="X597" i="3"/>
  <x:c r="W597" i="3"/>
  <x:c r="V597" i="3"/>
  <x:c r="U597" i="3"/>
  <x:c r="T597" i="3"/>
  <x:c r="E597" i="3"/>
  <x:c r="B597" i="3"/>
  <x:c r="A597" i="3"/>
  <x:c r="AG596" i="3"/>
  <x:c r="AF596" i="3"/>
  <x:c r="AE596" i="3"/>
  <x:c r="AD596" i="3"/>
  <x:c r="AC596" i="3"/>
  <x:c r="AB596" i="3"/>
  <x:c r="AA596" i="3"/>
  <x:c r="Z596" i="3"/>
  <x:c r="Y596" i="3"/>
  <x:c r="X596" i="3"/>
  <x:c r="W596" i="3"/>
  <x:c r="V596" i="3"/>
  <x:c r="U596" i="3"/>
  <x:c r="T596" i="3"/>
  <x:c r="E596" i="3"/>
  <x:c r="B596" i="3"/>
  <x:c r="A596" i="3"/>
  <x:c r="AG595" i="3"/>
  <x:c r="AF595" i="3"/>
  <x:c r="AE595" i="3"/>
  <x:c r="AD595" i="3"/>
  <x:c r="AC595" i="3"/>
  <x:c r="AB595" i="3"/>
  <x:c r="AA595" i="3"/>
  <x:c r="Z595" i="3"/>
  <x:c r="Y595" i="3"/>
  <x:c r="X595" i="3"/>
  <x:c r="W595" i="3"/>
  <x:c r="V595" i="3"/>
  <x:c r="U595" i="3"/>
  <x:c r="T595" i="3"/>
  <x:c r="E595" i="3"/>
  <x:c r="B595" i="3"/>
  <x:c r="A595" i="3"/>
  <x:c r="AG594" i="3"/>
  <x:c r="AF594" i="3"/>
  <x:c r="AE594" i="3"/>
  <x:c r="AD594" i="3"/>
  <x:c r="AC594" i="3"/>
  <x:c r="AB594" i="3"/>
  <x:c r="AA594" i="3"/>
  <x:c r="Z594" i="3"/>
  <x:c r="Y594" i="3"/>
  <x:c r="X594" i="3"/>
  <x:c r="W594" i="3"/>
  <x:c r="V594" i="3"/>
  <x:c r="U594" i="3"/>
  <x:c r="T594" i="3"/>
  <x:c r="E594" i="3"/>
  <x:c r="B594" i="3"/>
  <x:c r="A594" i="3"/>
  <x:c r="AG593" i="3"/>
  <x:c r="AF593" i="3"/>
  <x:c r="AE593" i="3"/>
  <x:c r="AD593" i="3"/>
  <x:c r="AC593" i="3"/>
  <x:c r="AB593" i="3"/>
  <x:c r="AA593" i="3"/>
  <x:c r="Z593" i="3"/>
  <x:c r="Y593" i="3"/>
  <x:c r="X593" i="3"/>
  <x:c r="W593" i="3"/>
  <x:c r="V593" i="3"/>
  <x:c r="U593" i="3"/>
  <x:c r="T593" i="3"/>
  <x:c r="E593" i="3"/>
  <x:c r="B593" i="3"/>
  <x:c r="A593" i="3"/>
  <x:c r="AG592" i="3"/>
  <x:c r="AF592" i="3"/>
  <x:c r="AE592" i="3"/>
  <x:c r="AD592" i="3"/>
  <x:c r="AC592" i="3"/>
  <x:c r="AB592" i="3"/>
  <x:c r="AA592" i="3"/>
  <x:c r="Z592" i="3"/>
  <x:c r="Y592" i="3"/>
  <x:c r="X592" i="3"/>
  <x:c r="W592" i="3"/>
  <x:c r="V592" i="3"/>
  <x:c r="U592" i="3"/>
  <x:c r="T592" i="3"/>
  <x:c r="E592" i="3"/>
  <x:c r="B592" i="3"/>
  <x:c r="A592" i="3"/>
  <x:c r="AG591" i="3"/>
  <x:c r="AF591" i="3"/>
  <x:c r="AE591" i="3"/>
  <x:c r="AD591" i="3"/>
  <x:c r="AC591" i="3"/>
  <x:c r="AB591" i="3"/>
  <x:c r="AA591" i="3"/>
  <x:c r="Z591" i="3"/>
  <x:c r="Y591" i="3"/>
  <x:c r="X591" i="3"/>
  <x:c r="W591" i="3"/>
  <x:c r="V591" i="3"/>
  <x:c r="U591" i="3"/>
  <x:c r="T591" i="3"/>
  <x:c r="E591" i="3"/>
  <x:c r="B591" i="3"/>
  <x:c r="A591" i="3"/>
  <x:c r="AG590" i="3"/>
  <x:c r="AF590" i="3"/>
  <x:c r="AE590" i="3"/>
  <x:c r="AD590" i="3"/>
  <x:c r="AC590" i="3"/>
  <x:c r="AB590" i="3"/>
  <x:c r="AA590" i="3"/>
  <x:c r="Z590" i="3"/>
  <x:c r="Y590" i="3"/>
  <x:c r="X590" i="3"/>
  <x:c r="W590" i="3"/>
  <x:c r="V590" i="3"/>
  <x:c r="U590" i="3"/>
  <x:c r="T590" i="3"/>
  <x:c r="E590" i="3"/>
  <x:c r="B590" i="3"/>
  <x:c r="A590" i="3"/>
  <x:c r="AG589" i="3"/>
  <x:c r="AF589" i="3"/>
  <x:c r="AE589" i="3"/>
  <x:c r="AD589" i="3"/>
  <x:c r="AC589" i="3"/>
  <x:c r="AB589" i="3"/>
  <x:c r="AA589" i="3"/>
  <x:c r="Z589" i="3"/>
  <x:c r="Y589" i="3"/>
  <x:c r="X589" i="3"/>
  <x:c r="W589" i="3"/>
  <x:c r="V589" i="3"/>
  <x:c r="U589" i="3"/>
  <x:c r="T589" i="3"/>
  <x:c r="E589" i="3"/>
  <x:c r="B589" i="3"/>
  <x:c r="A589" i="3"/>
  <x:c r="AG588" i="3"/>
  <x:c r="AF588" i="3"/>
  <x:c r="AE588" i="3"/>
  <x:c r="AD588" i="3"/>
  <x:c r="AC588" i="3"/>
  <x:c r="AB588" i="3"/>
  <x:c r="AA588" i="3"/>
  <x:c r="Z588" i="3"/>
  <x:c r="Y588" i="3"/>
  <x:c r="X588" i="3"/>
  <x:c r="W588" i="3"/>
  <x:c r="V588" i="3"/>
  <x:c r="U588" i="3"/>
  <x:c r="T588" i="3"/>
  <x:c r="E588" i="3"/>
  <x:c r="B588" i="3"/>
  <x:c r="A588" i="3"/>
  <x:c r="AG587" i="3"/>
  <x:c r="AF587" i="3"/>
  <x:c r="AE587" i="3"/>
  <x:c r="AD587" i="3"/>
  <x:c r="AC587" i="3"/>
  <x:c r="AB587" i="3"/>
  <x:c r="AA587" i="3"/>
  <x:c r="Z587" i="3"/>
  <x:c r="Y587" i="3"/>
  <x:c r="X587" i="3"/>
  <x:c r="W587" i="3"/>
  <x:c r="V587" i="3"/>
  <x:c r="U587" i="3"/>
  <x:c r="T587" i="3"/>
  <x:c r="E587" i="3"/>
  <x:c r="B587" i="3"/>
  <x:c r="A587" i="3"/>
  <x:c r="AG586" i="3"/>
  <x:c r="AF586" i="3"/>
  <x:c r="AE586" i="3"/>
  <x:c r="AD586" i="3"/>
  <x:c r="AC586" i="3"/>
  <x:c r="AB586" i="3"/>
  <x:c r="AA586" i="3"/>
  <x:c r="Z586" i="3"/>
  <x:c r="Y586" i="3"/>
  <x:c r="X586" i="3"/>
  <x:c r="W586" i="3"/>
  <x:c r="V586" i="3"/>
  <x:c r="U586" i="3"/>
  <x:c r="T586" i="3"/>
  <x:c r="E586" i="3"/>
  <x:c r="B586" i="3"/>
  <x:c r="A586" i="3"/>
  <x:c r="AG585" i="3"/>
  <x:c r="AF585" i="3"/>
  <x:c r="AE585" i="3"/>
  <x:c r="AD585" i="3"/>
  <x:c r="AC585" i="3"/>
  <x:c r="AB585" i="3"/>
  <x:c r="AA585" i="3"/>
  <x:c r="Z585" i="3"/>
  <x:c r="Y585" i="3"/>
  <x:c r="X585" i="3"/>
  <x:c r="W585" i="3"/>
  <x:c r="V585" i="3"/>
  <x:c r="U585" i="3"/>
  <x:c r="T585" i="3"/>
  <x:c r="E585" i="3"/>
  <x:c r="B585" i="3"/>
  <x:c r="A585" i="3"/>
  <x:c r="AG584" i="3"/>
  <x:c r="AF584" i="3"/>
  <x:c r="AE584" i="3"/>
  <x:c r="AD584" i="3"/>
  <x:c r="AC584" i="3"/>
  <x:c r="AB584" i="3"/>
  <x:c r="AA584" i="3"/>
  <x:c r="Z584" i="3"/>
  <x:c r="Y584" i="3"/>
  <x:c r="X584" i="3"/>
  <x:c r="W584" i="3"/>
  <x:c r="V584" i="3"/>
  <x:c r="U584" i="3"/>
  <x:c r="T584" i="3"/>
  <x:c r="E584" i="3"/>
  <x:c r="B584" i="3"/>
  <x:c r="A584" i="3"/>
  <x:c r="AG583" i="3"/>
  <x:c r="AF583" i="3"/>
  <x:c r="AE583" i="3"/>
  <x:c r="AD583" i="3"/>
  <x:c r="AC583" i="3"/>
  <x:c r="AB583" i="3"/>
  <x:c r="AA583" i="3"/>
  <x:c r="Z583" i="3"/>
  <x:c r="Y583" i="3"/>
  <x:c r="X583" i="3"/>
  <x:c r="W583" i="3"/>
  <x:c r="V583" i="3"/>
  <x:c r="U583" i="3"/>
  <x:c r="T583" i="3"/>
  <x:c r="E583" i="3"/>
  <x:c r="B583" i="3"/>
  <x:c r="A583" i="3"/>
  <x:c r="AG582" i="3"/>
  <x:c r="AF582" i="3"/>
  <x:c r="AE582" i="3"/>
  <x:c r="AD582" i="3"/>
  <x:c r="AC582" i="3"/>
  <x:c r="AB582" i="3"/>
  <x:c r="AA582" i="3"/>
  <x:c r="Z582" i="3"/>
  <x:c r="Y582" i="3"/>
  <x:c r="X582" i="3"/>
  <x:c r="W582" i="3"/>
  <x:c r="V582" i="3"/>
  <x:c r="U582" i="3"/>
  <x:c r="T582" i="3"/>
  <x:c r="E582" i="3"/>
  <x:c r="B582" i="3"/>
  <x:c r="A582" i="3"/>
  <x:c r="AG581" i="3"/>
  <x:c r="AF581" i="3"/>
  <x:c r="AE581" i="3"/>
  <x:c r="AD581" i="3"/>
  <x:c r="AC581" i="3"/>
  <x:c r="AB581" i="3"/>
  <x:c r="AA581" i="3"/>
  <x:c r="Z581" i="3"/>
  <x:c r="Y581" i="3"/>
  <x:c r="X581" i="3"/>
  <x:c r="W581" i="3"/>
  <x:c r="V581" i="3"/>
  <x:c r="U581" i="3"/>
  <x:c r="T581" i="3"/>
  <x:c r="E581" i="3"/>
  <x:c r="B581" i="3"/>
  <x:c r="A581" i="3"/>
  <x:c r="AG580" i="3"/>
  <x:c r="AF580" i="3"/>
  <x:c r="AE580" i="3"/>
  <x:c r="AD580" i="3"/>
  <x:c r="AC580" i="3"/>
  <x:c r="AB580" i="3"/>
  <x:c r="AA580" i="3"/>
  <x:c r="Z580" i="3"/>
  <x:c r="Y580" i="3"/>
  <x:c r="X580" i="3"/>
  <x:c r="W580" i="3"/>
  <x:c r="V580" i="3"/>
  <x:c r="U580" i="3"/>
  <x:c r="T580" i="3"/>
  <x:c r="E580" i="3"/>
  <x:c r="B580" i="3"/>
  <x:c r="A580" i="3"/>
  <x:c r="AG579" i="3"/>
  <x:c r="AF579" i="3"/>
  <x:c r="AE579" i="3"/>
  <x:c r="AD579" i="3"/>
  <x:c r="AC579" i="3"/>
  <x:c r="AB579" i="3"/>
  <x:c r="AA579" i="3"/>
  <x:c r="Z579" i="3"/>
  <x:c r="Y579" i="3"/>
  <x:c r="X579" i="3"/>
  <x:c r="W579" i="3"/>
  <x:c r="V579" i="3"/>
  <x:c r="U579" i="3"/>
  <x:c r="T579" i="3"/>
  <x:c r="E579" i="3"/>
  <x:c r="B579" i="3"/>
  <x:c r="A579" i="3"/>
  <x:c r="AG578" i="3"/>
  <x:c r="AF578" i="3"/>
  <x:c r="AE578" i="3"/>
  <x:c r="AD578" i="3"/>
  <x:c r="AC578" i="3"/>
  <x:c r="AB578" i="3"/>
  <x:c r="AA578" i="3"/>
  <x:c r="Z578" i="3"/>
  <x:c r="Y578" i="3"/>
  <x:c r="X578" i="3"/>
  <x:c r="W578" i="3"/>
  <x:c r="V578" i="3"/>
  <x:c r="U578" i="3"/>
  <x:c r="T578" i="3"/>
  <x:c r="E578" i="3"/>
  <x:c r="B578" i="3"/>
  <x:c r="A578" i="3"/>
  <x:c r="AG577" i="3"/>
  <x:c r="AF577" i="3"/>
  <x:c r="AE577" i="3"/>
  <x:c r="AD577" i="3"/>
  <x:c r="AC577" i="3"/>
  <x:c r="AB577" i="3"/>
  <x:c r="AA577" i="3"/>
  <x:c r="Z577" i="3"/>
  <x:c r="Y577" i="3"/>
  <x:c r="X577" i="3"/>
  <x:c r="W577" i="3"/>
  <x:c r="V577" i="3"/>
  <x:c r="U577" i="3"/>
  <x:c r="T577" i="3"/>
  <x:c r="E577" i="3"/>
  <x:c r="B577" i="3"/>
  <x:c r="A577" i="3"/>
  <x:c r="AG576" i="3"/>
  <x:c r="AF576" i="3"/>
  <x:c r="AE576" i="3"/>
  <x:c r="AD576" i="3"/>
  <x:c r="AC576" i="3"/>
  <x:c r="AB576" i="3"/>
  <x:c r="AA576" i="3"/>
  <x:c r="Z576" i="3"/>
  <x:c r="Y576" i="3"/>
  <x:c r="X576" i="3"/>
  <x:c r="W576" i="3"/>
  <x:c r="V576" i="3"/>
  <x:c r="U576" i="3"/>
  <x:c r="T576" i="3"/>
  <x:c r="E576" i="3"/>
  <x:c r="B576" i="3"/>
  <x:c r="A576" i="3"/>
  <x:c r="AG575" i="3"/>
  <x:c r="AF575" i="3"/>
  <x:c r="AE575" i="3"/>
  <x:c r="AD575" i="3"/>
  <x:c r="AC575" i="3"/>
  <x:c r="AB575" i="3"/>
  <x:c r="AA575" i="3"/>
  <x:c r="Z575" i="3"/>
  <x:c r="Y575" i="3"/>
  <x:c r="X575" i="3"/>
  <x:c r="W575" i="3"/>
  <x:c r="V575" i="3"/>
  <x:c r="U575" i="3"/>
  <x:c r="T575" i="3"/>
  <x:c r="E575" i="3"/>
  <x:c r="B575" i="3"/>
  <x:c r="A575" i="3"/>
  <x:c r="AG574" i="3"/>
  <x:c r="AF574" i="3"/>
  <x:c r="AE574" i="3"/>
  <x:c r="AD574" i="3"/>
  <x:c r="AC574" i="3"/>
  <x:c r="AB574" i="3"/>
  <x:c r="AA574" i="3"/>
  <x:c r="Z574" i="3"/>
  <x:c r="Y574" i="3"/>
  <x:c r="X574" i="3"/>
  <x:c r="W574" i="3"/>
  <x:c r="V574" i="3"/>
  <x:c r="U574" i="3"/>
  <x:c r="T574" i="3"/>
  <x:c r="E574" i="3"/>
  <x:c r="B574" i="3"/>
  <x:c r="A574" i="3"/>
  <x:c r="AG573" i="3"/>
  <x:c r="AF573" i="3"/>
  <x:c r="AE573" i="3"/>
  <x:c r="AD573" i="3"/>
  <x:c r="AC573" i="3"/>
  <x:c r="AB573" i="3"/>
  <x:c r="AA573" i="3"/>
  <x:c r="Z573" i="3"/>
  <x:c r="Y573" i="3"/>
  <x:c r="X573" i="3"/>
  <x:c r="W573" i="3"/>
  <x:c r="V573" i="3"/>
  <x:c r="U573" i="3"/>
  <x:c r="T573" i="3"/>
  <x:c r="E573" i="3"/>
  <x:c r="B573" i="3"/>
  <x:c r="A573" i="3"/>
  <x:c r="AG572" i="3"/>
  <x:c r="AF572" i="3"/>
  <x:c r="AE572" i="3"/>
  <x:c r="AD572" i="3"/>
  <x:c r="AC572" i="3"/>
  <x:c r="AB572" i="3"/>
  <x:c r="AA572" i="3"/>
  <x:c r="Z572" i="3"/>
  <x:c r="Y572" i="3"/>
  <x:c r="X572" i="3"/>
  <x:c r="W572" i="3"/>
  <x:c r="V572" i="3"/>
  <x:c r="U572" i="3"/>
  <x:c r="T572" i="3"/>
  <x:c r="E572" i="3"/>
  <x:c r="B572" i="3"/>
  <x:c r="A572" i="3"/>
  <x:c r="AG571" i="3"/>
  <x:c r="AF571" i="3"/>
  <x:c r="AE571" i="3"/>
  <x:c r="AD571" i="3"/>
  <x:c r="AC571" i="3"/>
  <x:c r="AB571" i="3"/>
  <x:c r="AA571" i="3"/>
  <x:c r="Z571" i="3"/>
  <x:c r="Y571" i="3"/>
  <x:c r="X571" i="3"/>
  <x:c r="W571" i="3"/>
  <x:c r="V571" i="3"/>
  <x:c r="U571" i="3"/>
  <x:c r="T571" i="3"/>
  <x:c r="E571" i="3"/>
  <x:c r="B571" i="3"/>
  <x:c r="A571" i="3"/>
  <x:c r="AG570" i="3"/>
  <x:c r="AF570" i="3"/>
  <x:c r="AE570" i="3"/>
  <x:c r="AD570" i="3"/>
  <x:c r="AC570" i="3"/>
  <x:c r="AB570" i="3"/>
  <x:c r="AA570" i="3"/>
  <x:c r="Z570" i="3"/>
  <x:c r="Y570" i="3"/>
  <x:c r="X570" i="3"/>
  <x:c r="W570" i="3"/>
  <x:c r="V570" i="3"/>
  <x:c r="U570" i="3"/>
  <x:c r="T570" i="3"/>
  <x:c r="E570" i="3"/>
  <x:c r="B570" i="3"/>
  <x:c r="A570" i="3"/>
  <x:c r="AG569" i="3"/>
  <x:c r="AF569" i="3"/>
  <x:c r="AE569" i="3"/>
  <x:c r="AD569" i="3"/>
  <x:c r="AC569" i="3"/>
  <x:c r="AB569" i="3"/>
  <x:c r="AA569" i="3"/>
  <x:c r="Z569" i="3"/>
  <x:c r="Y569" i="3"/>
  <x:c r="X569" i="3"/>
  <x:c r="W569" i="3"/>
  <x:c r="V569" i="3"/>
  <x:c r="U569" i="3"/>
  <x:c r="T569" i="3"/>
  <x:c r="E569" i="3"/>
  <x:c r="B569" i="3"/>
  <x:c r="A569" i="3"/>
  <x:c r="AG568" i="3"/>
  <x:c r="AF568" i="3"/>
  <x:c r="AE568" i="3"/>
  <x:c r="AD568" i="3"/>
  <x:c r="AC568" i="3"/>
  <x:c r="AB568" i="3"/>
  <x:c r="AA568" i="3"/>
  <x:c r="Z568" i="3"/>
  <x:c r="Y568" i="3"/>
  <x:c r="X568" i="3"/>
  <x:c r="W568" i="3"/>
  <x:c r="V568" i="3"/>
  <x:c r="U568" i="3"/>
  <x:c r="T568" i="3"/>
  <x:c r="E568" i="3"/>
  <x:c r="B568" i="3"/>
  <x:c r="A568" i="3"/>
  <x:c r="AG567" i="3"/>
  <x:c r="AF567" i="3"/>
  <x:c r="AE567" i="3"/>
  <x:c r="AD567" i="3"/>
  <x:c r="AC567" i="3"/>
  <x:c r="AB567" i="3"/>
  <x:c r="AA567" i="3"/>
  <x:c r="Z567" i="3"/>
  <x:c r="Y567" i="3"/>
  <x:c r="X567" i="3"/>
  <x:c r="W567" i="3"/>
  <x:c r="V567" i="3"/>
  <x:c r="U567" i="3"/>
  <x:c r="T567" i="3"/>
  <x:c r="E567" i="3"/>
  <x:c r="B567" i="3"/>
  <x:c r="A567" i="3"/>
  <x:c r="AG566" i="3"/>
  <x:c r="AF566" i="3"/>
  <x:c r="AE566" i="3"/>
  <x:c r="AD566" i="3"/>
  <x:c r="AC566" i="3"/>
  <x:c r="AB566" i="3"/>
  <x:c r="AA566" i="3"/>
  <x:c r="Z566" i="3"/>
  <x:c r="Y566" i="3"/>
  <x:c r="X566" i="3"/>
  <x:c r="W566" i="3"/>
  <x:c r="V566" i="3"/>
  <x:c r="U566" i="3"/>
  <x:c r="T566" i="3"/>
  <x:c r="E566" i="3"/>
  <x:c r="B566" i="3"/>
  <x:c r="A566" i="3"/>
  <x:c r="AG565" i="3"/>
  <x:c r="AF565" i="3"/>
  <x:c r="AE565" i="3"/>
  <x:c r="AD565" i="3"/>
  <x:c r="AC565" i="3"/>
  <x:c r="AB565" i="3"/>
  <x:c r="AA565" i="3"/>
  <x:c r="Z565" i="3"/>
  <x:c r="Y565" i="3"/>
  <x:c r="X565" i="3"/>
  <x:c r="W565" i="3"/>
  <x:c r="V565" i="3"/>
  <x:c r="U565" i="3"/>
  <x:c r="T565" i="3"/>
  <x:c r="E565" i="3"/>
  <x:c r="B565" i="3"/>
  <x:c r="A565" i="3"/>
  <x:c r="AG564" i="3"/>
  <x:c r="AF564" i="3"/>
  <x:c r="AE564" i="3"/>
  <x:c r="AD564" i="3"/>
  <x:c r="AC564" i="3"/>
  <x:c r="AB564" i="3"/>
  <x:c r="AA564" i="3"/>
  <x:c r="Z564" i="3"/>
  <x:c r="Y564" i="3"/>
  <x:c r="X564" i="3"/>
  <x:c r="W564" i="3"/>
  <x:c r="V564" i="3"/>
  <x:c r="U564" i="3"/>
  <x:c r="T564" i="3"/>
  <x:c r="E564" i="3"/>
  <x:c r="B564" i="3"/>
  <x:c r="A564" i="3"/>
  <x:c r="AG563" i="3"/>
  <x:c r="AF563" i="3"/>
  <x:c r="AE563" i="3"/>
  <x:c r="AD563" i="3"/>
  <x:c r="AC563" i="3"/>
  <x:c r="AB563" i="3"/>
  <x:c r="AA563" i="3"/>
  <x:c r="Z563" i="3"/>
  <x:c r="Y563" i="3"/>
  <x:c r="X563" i="3"/>
  <x:c r="W563" i="3"/>
  <x:c r="V563" i="3"/>
  <x:c r="U563" i="3"/>
  <x:c r="T563" i="3"/>
  <x:c r="E563" i="3"/>
  <x:c r="B563" i="3"/>
  <x:c r="A563" i="3"/>
  <x:c r="AG562" i="3"/>
  <x:c r="AF562" i="3"/>
  <x:c r="AE562" i="3"/>
  <x:c r="AD562" i="3"/>
  <x:c r="AC562" i="3"/>
  <x:c r="AB562" i="3"/>
  <x:c r="AA562" i="3"/>
  <x:c r="Z562" i="3"/>
  <x:c r="Y562" i="3"/>
  <x:c r="X562" i="3"/>
  <x:c r="W562" i="3"/>
  <x:c r="V562" i="3"/>
  <x:c r="U562" i="3"/>
  <x:c r="T562" i="3"/>
  <x:c r="E562" i="3"/>
  <x:c r="B562" i="3"/>
  <x:c r="A562" i="3"/>
  <x:c r="AG561" i="3"/>
  <x:c r="AF561" i="3"/>
  <x:c r="AE561" i="3"/>
  <x:c r="AD561" i="3"/>
  <x:c r="AC561" i="3"/>
  <x:c r="AB561" i="3"/>
  <x:c r="AA561" i="3"/>
  <x:c r="Z561" i="3"/>
  <x:c r="Y561" i="3"/>
  <x:c r="X561" i="3"/>
  <x:c r="W561" i="3"/>
  <x:c r="V561" i="3"/>
  <x:c r="U561" i="3"/>
  <x:c r="T561" i="3"/>
  <x:c r="E561" i="3"/>
  <x:c r="B561" i="3"/>
  <x:c r="A561" i="3"/>
  <x:c r="AG560" i="3"/>
  <x:c r="AF560" i="3"/>
  <x:c r="AE560" i="3"/>
  <x:c r="AD560" i="3"/>
  <x:c r="AC560" i="3"/>
  <x:c r="AB560" i="3"/>
  <x:c r="AA560" i="3"/>
  <x:c r="Z560" i="3"/>
  <x:c r="Y560" i="3"/>
  <x:c r="X560" i="3"/>
  <x:c r="W560" i="3"/>
  <x:c r="V560" i="3"/>
  <x:c r="U560" i="3"/>
  <x:c r="T560" i="3"/>
  <x:c r="E560" i="3"/>
  <x:c r="B560" i="3"/>
  <x:c r="A560" i="3"/>
  <x:c r="AG559" i="3"/>
  <x:c r="AF559" i="3"/>
  <x:c r="AE559" i="3"/>
  <x:c r="AD559" i="3"/>
  <x:c r="AC559" i="3"/>
  <x:c r="AB559" i="3"/>
  <x:c r="AA559" i="3"/>
  <x:c r="Z559" i="3"/>
  <x:c r="Y559" i="3"/>
  <x:c r="X559" i="3"/>
  <x:c r="W559" i="3"/>
  <x:c r="V559" i="3"/>
  <x:c r="U559" i="3"/>
  <x:c r="T559" i="3"/>
  <x:c r="E559" i="3"/>
  <x:c r="B559" i="3"/>
  <x:c r="A559" i="3"/>
  <x:c r="AG558" i="3"/>
  <x:c r="AF558" i="3"/>
  <x:c r="AE558" i="3"/>
  <x:c r="AD558" i="3"/>
  <x:c r="AC558" i="3"/>
  <x:c r="AB558" i="3"/>
  <x:c r="AA558" i="3"/>
  <x:c r="Z558" i="3"/>
  <x:c r="Y558" i="3"/>
  <x:c r="X558" i="3"/>
  <x:c r="W558" i="3"/>
  <x:c r="V558" i="3"/>
  <x:c r="U558" i="3"/>
  <x:c r="T558" i="3"/>
  <x:c r="E558" i="3"/>
  <x:c r="B558" i="3"/>
  <x:c r="A558" i="3"/>
  <x:c r="AG557" i="3"/>
  <x:c r="AF557" i="3"/>
  <x:c r="AE557" i="3"/>
  <x:c r="AD557" i="3"/>
  <x:c r="AC557" i="3"/>
  <x:c r="AB557" i="3"/>
  <x:c r="AA557" i="3"/>
  <x:c r="Z557" i="3"/>
  <x:c r="Y557" i="3"/>
  <x:c r="X557" i="3"/>
  <x:c r="W557" i="3"/>
  <x:c r="V557" i="3"/>
  <x:c r="U557" i="3"/>
  <x:c r="T557" i="3"/>
  <x:c r="E557" i="3"/>
  <x:c r="B557" i="3"/>
  <x:c r="A557" i="3"/>
  <x:c r="AG556" i="3"/>
  <x:c r="AF556" i="3"/>
  <x:c r="AE556" i="3"/>
  <x:c r="AD556" i="3"/>
  <x:c r="AC556" i="3"/>
  <x:c r="AB556" i="3"/>
  <x:c r="AA556" i="3"/>
  <x:c r="Z556" i="3"/>
  <x:c r="Y556" i="3"/>
  <x:c r="X556" i="3"/>
  <x:c r="W556" i="3"/>
  <x:c r="V556" i="3"/>
  <x:c r="U556" i="3"/>
  <x:c r="T556" i="3"/>
  <x:c r="E556" i="3"/>
  <x:c r="B556" i="3"/>
  <x:c r="A556" i="3"/>
  <x:c r="AG555" i="3"/>
  <x:c r="AF555" i="3"/>
  <x:c r="AE555" i="3"/>
  <x:c r="AD555" i="3"/>
  <x:c r="AC555" i="3"/>
  <x:c r="AB555" i="3"/>
  <x:c r="AA555" i="3"/>
  <x:c r="Z555" i="3"/>
  <x:c r="Y555" i="3"/>
  <x:c r="X555" i="3"/>
  <x:c r="W555" i="3"/>
  <x:c r="V555" i="3"/>
  <x:c r="U555" i="3"/>
  <x:c r="T555" i="3"/>
  <x:c r="E555" i="3"/>
  <x:c r="B555" i="3"/>
  <x:c r="A555" i="3"/>
  <x:c r="AG554" i="3"/>
  <x:c r="AF554" i="3"/>
  <x:c r="AE554" i="3"/>
  <x:c r="AD554" i="3"/>
  <x:c r="AC554" i="3"/>
  <x:c r="AB554" i="3"/>
  <x:c r="AA554" i="3"/>
  <x:c r="Z554" i="3"/>
  <x:c r="Y554" i="3"/>
  <x:c r="X554" i="3"/>
  <x:c r="W554" i="3"/>
  <x:c r="V554" i="3"/>
  <x:c r="U554" i="3"/>
  <x:c r="T554" i="3"/>
  <x:c r="E554" i="3"/>
  <x:c r="B554" i="3"/>
  <x:c r="A554" i="3"/>
  <x:c r="AG553" i="3"/>
  <x:c r="AF553" i="3"/>
  <x:c r="AE553" i="3"/>
  <x:c r="AD553" i="3"/>
  <x:c r="AC553" i="3"/>
  <x:c r="AB553" i="3"/>
  <x:c r="AA553" i="3"/>
  <x:c r="Z553" i="3"/>
  <x:c r="Y553" i="3"/>
  <x:c r="X553" i="3"/>
  <x:c r="W553" i="3"/>
  <x:c r="V553" i="3"/>
  <x:c r="U553" i="3"/>
  <x:c r="T553" i="3"/>
  <x:c r="E553" i="3"/>
  <x:c r="B553" i="3"/>
  <x:c r="A553" i="3"/>
  <x:c r="AG552" i="3"/>
  <x:c r="AF552" i="3"/>
  <x:c r="AE552" i="3"/>
  <x:c r="AD552" i="3"/>
  <x:c r="AC552" i="3"/>
  <x:c r="AB552" i="3"/>
  <x:c r="AA552" i="3"/>
  <x:c r="Z552" i="3"/>
  <x:c r="Y552" i="3"/>
  <x:c r="X552" i="3"/>
  <x:c r="W552" i="3"/>
  <x:c r="V552" i="3"/>
  <x:c r="U552" i="3"/>
  <x:c r="T552" i="3"/>
  <x:c r="E552" i="3"/>
  <x:c r="B552" i="3"/>
  <x:c r="A552" i="3"/>
  <x:c r="AG551" i="3"/>
  <x:c r="AF551" i="3"/>
  <x:c r="AE551" i="3"/>
  <x:c r="AD551" i="3"/>
  <x:c r="AC551" i="3"/>
  <x:c r="AB551" i="3"/>
  <x:c r="AA551" i="3"/>
  <x:c r="Z551" i="3"/>
  <x:c r="Y551" i="3"/>
  <x:c r="X551" i="3"/>
  <x:c r="W551" i="3"/>
  <x:c r="V551" i="3"/>
  <x:c r="U551" i="3"/>
  <x:c r="T551" i="3"/>
  <x:c r="E551" i="3"/>
  <x:c r="B551" i="3"/>
  <x:c r="A551" i="3"/>
  <x:c r="AG550" i="3"/>
  <x:c r="AF550" i="3"/>
  <x:c r="AE550" i="3"/>
  <x:c r="AD550" i="3"/>
  <x:c r="AC550" i="3"/>
  <x:c r="AB550" i="3"/>
  <x:c r="AA550" i="3"/>
  <x:c r="Z550" i="3"/>
  <x:c r="Y550" i="3"/>
  <x:c r="X550" i="3"/>
  <x:c r="W550" i="3"/>
  <x:c r="V550" i="3"/>
  <x:c r="U550" i="3"/>
  <x:c r="T550" i="3"/>
  <x:c r="E550" i="3"/>
  <x:c r="B550" i="3"/>
  <x:c r="A550" i="3"/>
  <x:c r="AG549" i="3"/>
  <x:c r="AF549" i="3"/>
  <x:c r="AE549" i="3"/>
  <x:c r="AD549" i="3"/>
  <x:c r="AC549" i="3"/>
  <x:c r="AB549" i="3"/>
  <x:c r="AA549" i="3"/>
  <x:c r="Z549" i="3"/>
  <x:c r="Y549" i="3"/>
  <x:c r="X549" i="3"/>
  <x:c r="W549" i="3"/>
  <x:c r="V549" i="3"/>
  <x:c r="U549" i="3"/>
  <x:c r="T549" i="3"/>
  <x:c r="E549" i="3"/>
  <x:c r="B549" i="3"/>
  <x:c r="A549" i="3"/>
  <x:c r="AG548" i="3"/>
  <x:c r="AF548" i="3"/>
  <x:c r="AE548" i="3"/>
  <x:c r="AD548" i="3"/>
  <x:c r="AC548" i="3"/>
  <x:c r="AB548" i="3"/>
  <x:c r="AA548" i="3"/>
  <x:c r="Z548" i="3"/>
  <x:c r="Y548" i="3"/>
  <x:c r="X548" i="3"/>
  <x:c r="W548" i="3"/>
  <x:c r="V548" i="3"/>
  <x:c r="U548" i="3"/>
  <x:c r="T548" i="3"/>
  <x:c r="E548" i="3"/>
  <x:c r="B548" i="3"/>
  <x:c r="A548" i="3"/>
  <x:c r="AG547" i="3"/>
  <x:c r="AF547" i="3"/>
  <x:c r="AE547" i="3"/>
  <x:c r="AD547" i="3"/>
  <x:c r="AC547" i="3"/>
  <x:c r="AB547" i="3"/>
  <x:c r="AA547" i="3"/>
  <x:c r="Z547" i="3"/>
  <x:c r="Y547" i="3"/>
  <x:c r="X547" i="3"/>
  <x:c r="W547" i="3"/>
  <x:c r="V547" i="3"/>
  <x:c r="U547" i="3"/>
  <x:c r="T547" i="3"/>
  <x:c r="E547" i="3"/>
  <x:c r="B547" i="3"/>
  <x:c r="A547" i="3"/>
  <x:c r="AG546" i="3"/>
  <x:c r="AF546" i="3"/>
  <x:c r="AE546" i="3"/>
  <x:c r="AD546" i="3"/>
  <x:c r="AC546" i="3"/>
  <x:c r="AB546" i="3"/>
  <x:c r="AA546" i="3"/>
  <x:c r="Z546" i="3"/>
  <x:c r="Y546" i="3"/>
  <x:c r="X546" i="3"/>
  <x:c r="W546" i="3"/>
  <x:c r="V546" i="3"/>
  <x:c r="U546" i="3"/>
  <x:c r="T546" i="3"/>
  <x:c r="E546" i="3"/>
  <x:c r="B546" i="3"/>
  <x:c r="A546" i="3"/>
  <x:c r="AG545" i="3"/>
  <x:c r="AF545" i="3"/>
  <x:c r="AE545" i="3"/>
  <x:c r="AD545" i="3"/>
  <x:c r="AC545" i="3"/>
  <x:c r="AB545" i="3"/>
  <x:c r="AA545" i="3"/>
  <x:c r="Z545" i="3"/>
  <x:c r="Y545" i="3"/>
  <x:c r="X545" i="3"/>
  <x:c r="W545" i="3"/>
  <x:c r="V545" i="3"/>
  <x:c r="U545" i="3"/>
  <x:c r="T545" i="3"/>
  <x:c r="E545" i="3"/>
  <x:c r="B545" i="3"/>
  <x:c r="A545" i="3"/>
  <x:c r="AG544" i="3"/>
  <x:c r="AF544" i="3"/>
  <x:c r="AE544" i="3"/>
  <x:c r="AD544" i="3"/>
  <x:c r="AC544" i="3"/>
  <x:c r="AB544" i="3"/>
  <x:c r="AA544" i="3"/>
  <x:c r="Z544" i="3"/>
  <x:c r="Y544" i="3"/>
  <x:c r="X544" i="3"/>
  <x:c r="W544" i="3"/>
  <x:c r="V544" i="3"/>
  <x:c r="U544" i="3"/>
  <x:c r="T544" i="3"/>
  <x:c r="E544" i="3"/>
  <x:c r="B544" i="3"/>
  <x:c r="A544" i="3"/>
  <x:c r="AG543" i="3"/>
  <x:c r="AF543" i="3"/>
  <x:c r="AE543" i="3"/>
  <x:c r="AD543" i="3"/>
  <x:c r="AC543" i="3"/>
  <x:c r="AB543" i="3"/>
  <x:c r="AA543" i="3"/>
  <x:c r="Z543" i="3"/>
  <x:c r="Y543" i="3"/>
  <x:c r="X543" i="3"/>
  <x:c r="W543" i="3"/>
  <x:c r="V543" i="3"/>
  <x:c r="U543" i="3"/>
  <x:c r="T543" i="3"/>
  <x:c r="E543" i="3"/>
  <x:c r="B543" i="3"/>
  <x:c r="A543" i="3"/>
  <x:c r="AG542" i="3"/>
  <x:c r="AF542" i="3"/>
  <x:c r="AE542" i="3"/>
  <x:c r="AD542" i="3"/>
  <x:c r="AC542" i="3"/>
  <x:c r="AB542" i="3"/>
  <x:c r="AA542" i="3"/>
  <x:c r="Z542" i="3"/>
  <x:c r="Y542" i="3"/>
  <x:c r="X542" i="3"/>
  <x:c r="W542" i="3"/>
  <x:c r="V542" i="3"/>
  <x:c r="U542" i="3"/>
  <x:c r="T542" i="3"/>
  <x:c r="E542" i="3"/>
  <x:c r="B542" i="3"/>
  <x:c r="A542" i="3"/>
  <x:c r="AG541" i="3"/>
  <x:c r="AF541" i="3"/>
  <x:c r="AE541" i="3"/>
  <x:c r="AD541" i="3"/>
  <x:c r="AC541" i="3"/>
  <x:c r="AB541" i="3"/>
  <x:c r="AA541" i="3"/>
  <x:c r="Z541" i="3"/>
  <x:c r="Y541" i="3"/>
  <x:c r="X541" i="3"/>
  <x:c r="W541" i="3"/>
  <x:c r="V541" i="3"/>
  <x:c r="U541" i="3"/>
  <x:c r="T541" i="3"/>
  <x:c r="E541" i="3"/>
  <x:c r="B541" i="3"/>
  <x:c r="A541" i="3"/>
  <x:c r="AG540" i="3"/>
  <x:c r="AF540" i="3"/>
  <x:c r="AE540" i="3"/>
  <x:c r="AD540" i="3"/>
  <x:c r="AC540" i="3"/>
  <x:c r="AB540" i="3"/>
  <x:c r="AA540" i="3"/>
  <x:c r="Z540" i="3"/>
  <x:c r="Y540" i="3"/>
  <x:c r="X540" i="3"/>
  <x:c r="W540" i="3"/>
  <x:c r="V540" i="3"/>
  <x:c r="U540" i="3"/>
  <x:c r="T540" i="3"/>
  <x:c r="E540" i="3"/>
  <x:c r="B540" i="3"/>
  <x:c r="A540" i="3"/>
  <x:c r="AG539" i="3"/>
  <x:c r="AF539" i="3"/>
  <x:c r="AE539" i="3"/>
  <x:c r="AD539" i="3"/>
  <x:c r="AC539" i="3"/>
  <x:c r="AB539" i="3"/>
  <x:c r="AA539" i="3"/>
  <x:c r="Z539" i="3"/>
  <x:c r="Y539" i="3"/>
  <x:c r="X539" i="3"/>
  <x:c r="W539" i="3"/>
  <x:c r="V539" i="3"/>
  <x:c r="U539" i="3"/>
  <x:c r="T539" i="3"/>
  <x:c r="E539" i="3"/>
  <x:c r="B539" i="3"/>
  <x:c r="A539" i="3"/>
  <x:c r="AG538" i="3"/>
  <x:c r="AF538" i="3"/>
  <x:c r="AE538" i="3"/>
  <x:c r="AD538" i="3"/>
  <x:c r="AC538" i="3"/>
  <x:c r="AB538" i="3"/>
  <x:c r="AA538" i="3"/>
  <x:c r="Z538" i="3"/>
  <x:c r="Y538" i="3"/>
  <x:c r="X538" i="3"/>
  <x:c r="W538" i="3"/>
  <x:c r="V538" i="3"/>
  <x:c r="U538" i="3"/>
  <x:c r="T538" i="3"/>
  <x:c r="E538" i="3"/>
  <x:c r="B538" i="3"/>
  <x:c r="A538" i="3"/>
  <x:c r="AG537" i="3"/>
  <x:c r="AF537" i="3"/>
  <x:c r="AE537" i="3"/>
  <x:c r="AD537" i="3"/>
  <x:c r="AC537" i="3"/>
  <x:c r="AB537" i="3"/>
  <x:c r="AA537" i="3"/>
  <x:c r="Z537" i="3"/>
  <x:c r="Y537" i="3"/>
  <x:c r="X537" i="3"/>
  <x:c r="W537" i="3"/>
  <x:c r="V537" i="3"/>
  <x:c r="U537" i="3"/>
  <x:c r="T537" i="3"/>
  <x:c r="E537" i="3"/>
  <x:c r="B537" i="3"/>
  <x:c r="A537" i="3"/>
  <x:c r="AG536" i="3"/>
  <x:c r="AF536" i="3"/>
  <x:c r="AE536" i="3"/>
  <x:c r="AD536" i="3"/>
  <x:c r="AC536" i="3"/>
  <x:c r="AB536" i="3"/>
  <x:c r="AA536" i="3"/>
  <x:c r="Z536" i="3"/>
  <x:c r="Y536" i="3"/>
  <x:c r="X536" i="3"/>
  <x:c r="W536" i="3"/>
  <x:c r="V536" i="3"/>
  <x:c r="U536" i="3"/>
  <x:c r="T536" i="3"/>
  <x:c r="E536" i="3"/>
  <x:c r="B536" i="3"/>
  <x:c r="A536" i="3"/>
  <x:c r="AG535" i="3"/>
  <x:c r="AF535" i="3"/>
  <x:c r="AE535" i="3"/>
  <x:c r="AD535" i="3"/>
  <x:c r="AC535" i="3"/>
  <x:c r="AB535" i="3"/>
  <x:c r="AA535" i="3"/>
  <x:c r="Z535" i="3"/>
  <x:c r="Y535" i="3"/>
  <x:c r="X535" i="3"/>
  <x:c r="W535" i="3"/>
  <x:c r="V535" i="3"/>
  <x:c r="U535" i="3"/>
  <x:c r="T535" i="3"/>
  <x:c r="E535" i="3"/>
  <x:c r="B535" i="3"/>
  <x:c r="A535" i="3"/>
  <x:c r="AG534" i="3"/>
  <x:c r="AF534" i="3"/>
  <x:c r="AE534" i="3"/>
  <x:c r="AD534" i="3"/>
  <x:c r="AC534" i="3"/>
  <x:c r="AB534" i="3"/>
  <x:c r="AA534" i="3"/>
  <x:c r="Z534" i="3"/>
  <x:c r="Y534" i="3"/>
  <x:c r="X534" i="3"/>
  <x:c r="W534" i="3"/>
  <x:c r="V534" i="3"/>
  <x:c r="U534" i="3"/>
  <x:c r="T534" i="3"/>
  <x:c r="E534" i="3"/>
  <x:c r="B534" i="3"/>
  <x:c r="A534" i="3"/>
  <x:c r="AG533" i="3"/>
  <x:c r="AF533" i="3"/>
  <x:c r="AE533" i="3"/>
  <x:c r="AD533" i="3"/>
  <x:c r="AC533" i="3"/>
  <x:c r="AB533" i="3"/>
  <x:c r="AA533" i="3"/>
  <x:c r="Z533" i="3"/>
  <x:c r="Y533" i="3"/>
  <x:c r="X533" i="3"/>
  <x:c r="W533" i="3"/>
  <x:c r="V533" i="3"/>
  <x:c r="U533" i="3"/>
  <x:c r="T533" i="3"/>
  <x:c r="E533" i="3"/>
  <x:c r="B533" i="3"/>
  <x:c r="A533" i="3"/>
  <x:c r="AG532" i="3"/>
  <x:c r="AF532" i="3"/>
  <x:c r="AE532" i="3"/>
  <x:c r="AD532" i="3"/>
  <x:c r="AC532" i="3"/>
  <x:c r="AB532" i="3"/>
  <x:c r="AA532" i="3"/>
  <x:c r="Z532" i="3"/>
  <x:c r="Y532" i="3"/>
  <x:c r="X532" i="3"/>
  <x:c r="W532" i="3"/>
  <x:c r="V532" i="3"/>
  <x:c r="U532" i="3"/>
  <x:c r="T532" i="3"/>
  <x:c r="E532" i="3"/>
  <x:c r="B532" i="3"/>
  <x:c r="A532" i="3"/>
  <x:c r="AG531" i="3"/>
  <x:c r="AF531" i="3"/>
  <x:c r="AE531" i="3"/>
  <x:c r="AD531" i="3"/>
  <x:c r="AC531" i="3"/>
  <x:c r="AB531" i="3"/>
  <x:c r="AA531" i="3"/>
  <x:c r="Z531" i="3"/>
  <x:c r="Y531" i="3"/>
  <x:c r="X531" i="3"/>
  <x:c r="W531" i="3"/>
  <x:c r="V531" i="3"/>
  <x:c r="U531" i="3"/>
  <x:c r="T531" i="3"/>
  <x:c r="E531" i="3"/>
  <x:c r="B531" i="3"/>
  <x:c r="A531" i="3"/>
  <x:c r="AG530" i="3"/>
  <x:c r="AF530" i="3"/>
  <x:c r="AE530" i="3"/>
  <x:c r="AD530" i="3"/>
  <x:c r="AC530" i="3"/>
  <x:c r="AB530" i="3"/>
  <x:c r="AA530" i="3"/>
  <x:c r="Z530" i="3"/>
  <x:c r="Y530" i="3"/>
  <x:c r="X530" i="3"/>
  <x:c r="W530" i="3"/>
  <x:c r="V530" i="3"/>
  <x:c r="U530" i="3"/>
  <x:c r="T530" i="3"/>
  <x:c r="E530" i="3"/>
  <x:c r="B530" i="3"/>
  <x:c r="A530" i="3"/>
  <x:c r="AG529" i="3"/>
  <x:c r="AF529" i="3"/>
  <x:c r="AE529" i="3"/>
  <x:c r="AD529" i="3"/>
  <x:c r="AC529" i="3"/>
  <x:c r="AB529" i="3"/>
  <x:c r="AA529" i="3"/>
  <x:c r="Z529" i="3"/>
  <x:c r="Y529" i="3"/>
  <x:c r="X529" i="3"/>
  <x:c r="W529" i="3"/>
  <x:c r="V529" i="3"/>
  <x:c r="U529" i="3"/>
  <x:c r="T529" i="3"/>
  <x:c r="E529" i="3"/>
  <x:c r="B529" i="3"/>
  <x:c r="A529" i="3"/>
  <x:c r="AG528" i="3"/>
  <x:c r="AF528" i="3"/>
  <x:c r="AE528" i="3"/>
  <x:c r="AD528" i="3"/>
  <x:c r="AC528" i="3"/>
  <x:c r="AB528" i="3"/>
  <x:c r="AA528" i="3"/>
  <x:c r="Z528" i="3"/>
  <x:c r="Y528" i="3"/>
  <x:c r="X528" i="3"/>
  <x:c r="W528" i="3"/>
  <x:c r="V528" i="3"/>
  <x:c r="U528" i="3"/>
  <x:c r="T528" i="3"/>
  <x:c r="E528" i="3"/>
  <x:c r="B528" i="3"/>
  <x:c r="A528" i="3"/>
  <x:c r="AG527" i="3"/>
  <x:c r="AF527" i="3"/>
  <x:c r="AE527" i="3"/>
  <x:c r="AD527" i="3"/>
  <x:c r="AC527" i="3"/>
  <x:c r="AB527" i="3"/>
  <x:c r="AA527" i="3"/>
  <x:c r="Z527" i="3"/>
  <x:c r="Y527" i="3"/>
  <x:c r="X527" i="3"/>
  <x:c r="W527" i="3"/>
  <x:c r="V527" i="3"/>
  <x:c r="U527" i="3"/>
  <x:c r="T527" i="3"/>
  <x:c r="E527" i="3"/>
  <x:c r="B527" i="3"/>
  <x:c r="A527" i="3"/>
  <x:c r="AG526" i="3"/>
  <x:c r="AF526" i="3"/>
  <x:c r="AE526" i="3"/>
  <x:c r="AD526" i="3"/>
  <x:c r="AC526" i="3"/>
  <x:c r="AB526" i="3"/>
  <x:c r="AA526" i="3"/>
  <x:c r="Z526" i="3"/>
  <x:c r="Y526" i="3"/>
  <x:c r="X526" i="3"/>
  <x:c r="W526" i="3"/>
  <x:c r="V526" i="3"/>
  <x:c r="U526" i="3"/>
  <x:c r="T526" i="3"/>
  <x:c r="E526" i="3"/>
  <x:c r="B526" i="3"/>
  <x:c r="A526" i="3"/>
  <x:c r="AG525" i="3"/>
  <x:c r="AF525" i="3"/>
  <x:c r="AE525" i="3"/>
  <x:c r="AD525" i="3"/>
  <x:c r="AC525" i="3"/>
  <x:c r="AB525" i="3"/>
  <x:c r="AA525" i="3"/>
  <x:c r="Z525" i="3"/>
  <x:c r="Y525" i="3"/>
  <x:c r="X525" i="3"/>
  <x:c r="W525" i="3"/>
  <x:c r="V525" i="3"/>
  <x:c r="U525" i="3"/>
  <x:c r="T525" i="3"/>
  <x:c r="E525" i="3"/>
  <x:c r="B525" i="3"/>
  <x:c r="A525" i="3"/>
  <x:c r="AG524" i="3"/>
  <x:c r="AF524" i="3"/>
  <x:c r="AE524" i="3"/>
  <x:c r="AD524" i="3"/>
  <x:c r="AC524" i="3"/>
  <x:c r="AB524" i="3"/>
  <x:c r="AA524" i="3"/>
  <x:c r="Z524" i="3"/>
  <x:c r="Y524" i="3"/>
  <x:c r="X524" i="3"/>
  <x:c r="W524" i="3"/>
  <x:c r="V524" i="3"/>
  <x:c r="U524" i="3"/>
  <x:c r="T524" i="3"/>
  <x:c r="E524" i="3"/>
  <x:c r="B524" i="3"/>
  <x:c r="A524" i="3"/>
  <x:c r="AG523" i="3"/>
  <x:c r="AF523" i="3"/>
  <x:c r="AE523" i="3"/>
  <x:c r="AD523" i="3"/>
  <x:c r="AC523" i="3"/>
  <x:c r="AB523" i="3"/>
  <x:c r="AA523" i="3"/>
  <x:c r="Z523" i="3"/>
  <x:c r="Y523" i="3"/>
  <x:c r="X523" i="3"/>
  <x:c r="W523" i="3"/>
  <x:c r="V523" i="3"/>
  <x:c r="U523" i="3"/>
  <x:c r="T523" i="3"/>
  <x:c r="E523" i="3"/>
  <x:c r="B523" i="3"/>
  <x:c r="A523" i="3"/>
  <x:c r="AG522" i="3"/>
  <x:c r="AF522" i="3"/>
  <x:c r="AE522" i="3"/>
  <x:c r="AD522" i="3"/>
  <x:c r="AC522" i="3"/>
  <x:c r="AB522" i="3"/>
  <x:c r="AA522" i="3"/>
  <x:c r="Z522" i="3"/>
  <x:c r="Y522" i="3"/>
  <x:c r="X522" i="3"/>
  <x:c r="W522" i="3"/>
  <x:c r="V522" i="3"/>
  <x:c r="U522" i="3"/>
  <x:c r="T522" i="3"/>
  <x:c r="E522" i="3"/>
  <x:c r="B522" i="3"/>
  <x:c r="A522" i="3"/>
  <x:c r="AG521" i="3"/>
  <x:c r="AF521" i="3"/>
  <x:c r="AE521" i="3"/>
  <x:c r="AD521" i="3"/>
  <x:c r="AC521" i="3"/>
  <x:c r="AB521" i="3"/>
  <x:c r="AA521" i="3"/>
  <x:c r="Z521" i="3"/>
  <x:c r="Y521" i="3"/>
  <x:c r="X521" i="3"/>
  <x:c r="W521" i="3"/>
  <x:c r="V521" i="3"/>
  <x:c r="U521" i="3"/>
  <x:c r="T521" i="3"/>
  <x:c r="E521" i="3"/>
  <x:c r="B521" i="3"/>
  <x:c r="A521" i="3"/>
  <x:c r="AG520" i="3"/>
  <x:c r="AF520" i="3"/>
  <x:c r="AE520" i="3"/>
  <x:c r="AD520" i="3"/>
  <x:c r="AC520" i="3"/>
  <x:c r="AB520" i="3"/>
  <x:c r="AA520" i="3"/>
  <x:c r="Z520" i="3"/>
  <x:c r="Y520" i="3"/>
  <x:c r="X520" i="3"/>
  <x:c r="W520" i="3"/>
  <x:c r="V520" i="3"/>
  <x:c r="U520" i="3"/>
  <x:c r="T520" i="3"/>
  <x:c r="E520" i="3"/>
  <x:c r="B520" i="3"/>
  <x:c r="A520" i="3"/>
  <x:c r="AG519" i="3"/>
  <x:c r="AF519" i="3"/>
  <x:c r="AE519" i="3"/>
  <x:c r="AD519" i="3"/>
  <x:c r="AC519" i="3"/>
  <x:c r="AB519" i="3"/>
  <x:c r="AA519" i="3"/>
  <x:c r="Z519" i="3"/>
  <x:c r="Y519" i="3"/>
  <x:c r="X519" i="3"/>
  <x:c r="W519" i="3"/>
  <x:c r="V519" i="3"/>
  <x:c r="U519" i="3"/>
  <x:c r="T519" i="3"/>
  <x:c r="E519" i="3"/>
  <x:c r="B519" i="3"/>
  <x:c r="A519" i="3"/>
  <x:c r="AG518" i="3"/>
  <x:c r="AF518" i="3"/>
  <x:c r="AE518" i="3"/>
  <x:c r="AD518" i="3"/>
  <x:c r="AC518" i="3"/>
  <x:c r="AB518" i="3"/>
  <x:c r="AA518" i="3"/>
  <x:c r="Z518" i="3"/>
  <x:c r="Y518" i="3"/>
  <x:c r="X518" i="3"/>
  <x:c r="W518" i="3"/>
  <x:c r="V518" i="3"/>
  <x:c r="U518" i="3"/>
  <x:c r="T518" i="3"/>
  <x:c r="E518" i="3"/>
  <x:c r="B518" i="3"/>
  <x:c r="A518" i="3"/>
  <x:c r="AG517" i="3"/>
  <x:c r="AF517" i="3"/>
  <x:c r="AE517" i="3"/>
  <x:c r="AD517" i="3"/>
  <x:c r="AC517" i="3"/>
  <x:c r="AB517" i="3"/>
  <x:c r="AA517" i="3"/>
  <x:c r="Z517" i="3"/>
  <x:c r="Y517" i="3"/>
  <x:c r="X517" i="3"/>
  <x:c r="W517" i="3"/>
  <x:c r="V517" i="3"/>
  <x:c r="U517" i="3"/>
  <x:c r="T517" i="3"/>
  <x:c r="E517" i="3"/>
  <x:c r="B517" i="3"/>
  <x:c r="A517" i="3"/>
  <x:c r="AG516" i="3"/>
  <x:c r="AF516" i="3"/>
  <x:c r="AE516" i="3"/>
  <x:c r="AD516" i="3"/>
  <x:c r="AC516" i="3"/>
  <x:c r="AB516" i="3"/>
  <x:c r="AA516" i="3"/>
  <x:c r="Z516" i="3"/>
  <x:c r="Y516" i="3"/>
  <x:c r="X516" i="3"/>
  <x:c r="W516" i="3"/>
  <x:c r="V516" i="3"/>
  <x:c r="U516" i="3"/>
  <x:c r="T516" i="3"/>
  <x:c r="E516" i="3"/>
  <x:c r="B516" i="3"/>
  <x:c r="A516" i="3"/>
  <x:c r="AG515" i="3"/>
  <x:c r="AF515" i="3"/>
  <x:c r="AE515" i="3"/>
  <x:c r="AD515" i="3"/>
  <x:c r="AC515" i="3"/>
  <x:c r="AB515" i="3"/>
  <x:c r="AA515" i="3"/>
  <x:c r="Z515" i="3"/>
  <x:c r="Y515" i="3"/>
  <x:c r="X515" i="3"/>
  <x:c r="W515" i="3"/>
  <x:c r="V515" i="3"/>
  <x:c r="U515" i="3"/>
  <x:c r="T515" i="3"/>
  <x:c r="E515" i="3"/>
  <x:c r="B515" i="3"/>
  <x:c r="A515" i="3"/>
  <x:c r="AG514" i="3"/>
  <x:c r="AF514" i="3"/>
  <x:c r="AE514" i="3"/>
  <x:c r="AD514" i="3"/>
  <x:c r="AC514" i="3"/>
  <x:c r="AB514" i="3"/>
  <x:c r="AA514" i="3"/>
  <x:c r="Z514" i="3"/>
  <x:c r="Y514" i="3"/>
  <x:c r="X514" i="3"/>
  <x:c r="W514" i="3"/>
  <x:c r="V514" i="3"/>
  <x:c r="U514" i="3"/>
  <x:c r="T514" i="3"/>
  <x:c r="E514" i="3"/>
  <x:c r="B514" i="3"/>
  <x:c r="A514" i="3"/>
  <x:c r="AG513" i="3"/>
  <x:c r="AF513" i="3"/>
  <x:c r="AE513" i="3"/>
  <x:c r="AD513" i="3"/>
  <x:c r="AC513" i="3"/>
  <x:c r="AB513" i="3"/>
  <x:c r="AA513" i="3"/>
  <x:c r="Z513" i="3"/>
  <x:c r="Y513" i="3"/>
  <x:c r="X513" i="3"/>
  <x:c r="W513" i="3"/>
  <x:c r="V513" i="3"/>
  <x:c r="U513" i="3"/>
  <x:c r="T513" i="3"/>
  <x:c r="E513" i="3"/>
  <x:c r="B513" i="3"/>
  <x:c r="A513" i="3"/>
  <x:c r="AG512" i="3"/>
  <x:c r="AF512" i="3"/>
  <x:c r="AE512" i="3"/>
  <x:c r="AD512" i="3"/>
  <x:c r="AC512" i="3"/>
  <x:c r="AB512" i="3"/>
  <x:c r="AA512" i="3"/>
  <x:c r="Z512" i="3"/>
  <x:c r="Y512" i="3"/>
  <x:c r="X512" i="3"/>
  <x:c r="W512" i="3"/>
  <x:c r="V512" i="3"/>
  <x:c r="U512" i="3"/>
  <x:c r="T512" i="3"/>
  <x:c r="E512" i="3"/>
  <x:c r="B512" i="3"/>
  <x:c r="A512" i="3"/>
  <x:c r="AG511" i="3"/>
  <x:c r="AF511" i="3"/>
  <x:c r="AE511" i="3"/>
  <x:c r="AD511" i="3"/>
  <x:c r="AC511" i="3"/>
  <x:c r="AB511" i="3"/>
  <x:c r="AA511" i="3"/>
  <x:c r="Z511" i="3"/>
  <x:c r="Y511" i="3"/>
  <x:c r="X511" i="3"/>
  <x:c r="W511" i="3"/>
  <x:c r="V511" i="3"/>
  <x:c r="U511" i="3"/>
  <x:c r="T511" i="3"/>
  <x:c r="E511" i="3"/>
  <x:c r="B511" i="3"/>
  <x:c r="A511" i="3"/>
  <x:c r="AG510" i="3"/>
  <x:c r="AF510" i="3"/>
  <x:c r="AE510" i="3"/>
  <x:c r="AD510" i="3"/>
  <x:c r="AC510" i="3"/>
  <x:c r="AB510" i="3"/>
  <x:c r="AA510" i="3"/>
  <x:c r="Z510" i="3"/>
  <x:c r="Y510" i="3"/>
  <x:c r="X510" i="3"/>
  <x:c r="W510" i="3"/>
  <x:c r="V510" i="3"/>
  <x:c r="U510" i="3"/>
  <x:c r="T510" i="3"/>
  <x:c r="E510" i="3"/>
  <x:c r="B510" i="3"/>
  <x:c r="A510" i="3"/>
  <x:c r="AG509" i="3"/>
  <x:c r="AF509" i="3"/>
  <x:c r="AE509" i="3"/>
  <x:c r="AD509" i="3"/>
  <x:c r="AC509" i="3"/>
  <x:c r="AB509" i="3"/>
  <x:c r="AA509" i="3"/>
  <x:c r="Z509" i="3"/>
  <x:c r="Y509" i="3"/>
  <x:c r="X509" i="3"/>
  <x:c r="W509" i="3"/>
  <x:c r="V509" i="3"/>
  <x:c r="U509" i="3"/>
  <x:c r="T509" i="3"/>
  <x:c r="E509" i="3"/>
  <x:c r="B509" i="3"/>
  <x:c r="A509" i="3"/>
  <x:c r="AG508" i="3"/>
  <x:c r="AF508" i="3"/>
  <x:c r="AE508" i="3"/>
  <x:c r="AD508" i="3"/>
  <x:c r="AC508" i="3"/>
  <x:c r="AB508" i="3"/>
  <x:c r="AA508" i="3"/>
  <x:c r="Z508" i="3"/>
  <x:c r="Y508" i="3"/>
  <x:c r="X508" i="3"/>
  <x:c r="W508" i="3"/>
  <x:c r="V508" i="3"/>
  <x:c r="U508" i="3"/>
  <x:c r="T508" i="3"/>
  <x:c r="E508" i="3"/>
  <x:c r="B508" i="3"/>
  <x:c r="A508" i="3"/>
  <x:c r="AG507" i="3"/>
  <x:c r="AF507" i="3"/>
  <x:c r="AE507" i="3"/>
  <x:c r="AD507" i="3"/>
  <x:c r="AC507" i="3"/>
  <x:c r="AB507" i="3"/>
  <x:c r="AA507" i="3"/>
  <x:c r="Z507" i="3"/>
  <x:c r="Y507" i="3"/>
  <x:c r="X507" i="3"/>
  <x:c r="W507" i="3"/>
  <x:c r="V507" i="3"/>
  <x:c r="U507" i="3"/>
  <x:c r="T507" i="3"/>
  <x:c r="E507" i="3"/>
  <x:c r="B507" i="3"/>
  <x:c r="A507" i="3"/>
  <x:c r="AG506" i="3"/>
  <x:c r="AF506" i="3"/>
  <x:c r="AE506" i="3"/>
  <x:c r="AD506" i="3"/>
  <x:c r="AC506" i="3"/>
  <x:c r="AB506" i="3"/>
  <x:c r="AA506" i="3"/>
  <x:c r="Z506" i="3"/>
  <x:c r="Y506" i="3"/>
  <x:c r="X506" i="3"/>
  <x:c r="W506" i="3"/>
  <x:c r="V506" i="3"/>
  <x:c r="U506" i="3"/>
  <x:c r="T506" i="3"/>
  <x:c r="E506" i="3"/>
  <x:c r="B506" i="3"/>
  <x:c r="A506" i="3"/>
  <x:c r="AG505" i="3"/>
  <x:c r="AF505" i="3"/>
  <x:c r="AE505" i="3"/>
  <x:c r="AD505" i="3"/>
  <x:c r="AC505" i="3"/>
  <x:c r="AB505" i="3"/>
  <x:c r="AA505" i="3"/>
  <x:c r="Z505" i="3"/>
  <x:c r="Y505" i="3"/>
  <x:c r="X505" i="3"/>
  <x:c r="W505" i="3"/>
  <x:c r="V505" i="3"/>
  <x:c r="U505" i="3"/>
  <x:c r="T505" i="3"/>
  <x:c r="E505" i="3"/>
  <x:c r="B505" i="3"/>
  <x:c r="A505" i="3"/>
  <x:c r="AG504" i="3"/>
  <x:c r="AF504" i="3"/>
  <x:c r="AE504" i="3"/>
  <x:c r="AD504" i="3"/>
  <x:c r="AC504" i="3"/>
  <x:c r="AB504" i="3"/>
  <x:c r="AA504" i="3"/>
  <x:c r="Z504" i="3"/>
  <x:c r="Y504" i="3"/>
  <x:c r="X504" i="3"/>
  <x:c r="W504" i="3"/>
  <x:c r="V504" i="3"/>
  <x:c r="U504" i="3"/>
  <x:c r="T504" i="3"/>
  <x:c r="E504" i="3"/>
  <x:c r="B504" i="3"/>
  <x:c r="A504" i="3"/>
  <x:c r="AG503" i="3"/>
  <x:c r="AF503" i="3"/>
  <x:c r="AE503" i="3"/>
  <x:c r="AD503" i="3"/>
  <x:c r="AC503" i="3"/>
  <x:c r="AB503" i="3"/>
  <x:c r="AA503" i="3"/>
  <x:c r="Z503" i="3"/>
  <x:c r="Y503" i="3"/>
  <x:c r="X503" i="3"/>
  <x:c r="W503" i="3"/>
  <x:c r="V503" i="3"/>
  <x:c r="U503" i="3"/>
  <x:c r="T503" i="3"/>
  <x:c r="E503" i="3"/>
  <x:c r="B503" i="3"/>
  <x:c r="A503" i="3"/>
  <x:c r="AG502" i="3"/>
  <x:c r="AF502" i="3"/>
  <x:c r="AE502" i="3"/>
  <x:c r="AD502" i="3"/>
  <x:c r="AC502" i="3"/>
  <x:c r="AB502" i="3"/>
  <x:c r="AA502" i="3"/>
  <x:c r="Z502" i="3"/>
  <x:c r="Y502" i="3"/>
  <x:c r="X502" i="3"/>
  <x:c r="W502" i="3"/>
  <x:c r="V502" i="3"/>
  <x:c r="U502" i="3"/>
  <x:c r="T502" i="3"/>
  <x:c r="E502" i="3"/>
  <x:c r="B502" i="3"/>
  <x:c r="A502" i="3"/>
  <x:c r="AG501" i="3"/>
  <x:c r="AF501" i="3"/>
  <x:c r="AE501" i="3"/>
  <x:c r="AD501" i="3"/>
  <x:c r="AC501" i="3"/>
  <x:c r="AB501" i="3"/>
  <x:c r="AA501" i="3"/>
  <x:c r="Z501" i="3"/>
  <x:c r="Y501" i="3"/>
  <x:c r="X501" i="3"/>
  <x:c r="W501" i="3"/>
  <x:c r="V501" i="3"/>
  <x:c r="U501" i="3"/>
  <x:c r="T501" i="3"/>
  <x:c r="E501" i="3"/>
  <x:c r="B501" i="3"/>
  <x:c r="A501" i="3"/>
  <x:c r="AG500" i="3"/>
  <x:c r="AF500" i="3"/>
  <x:c r="AE500" i="3"/>
  <x:c r="AD500" i="3"/>
  <x:c r="AC500" i="3"/>
  <x:c r="AB500" i="3"/>
  <x:c r="AA500" i="3"/>
  <x:c r="Z500" i="3"/>
  <x:c r="Y500" i="3"/>
  <x:c r="X500" i="3"/>
  <x:c r="W500" i="3"/>
  <x:c r="V500" i="3"/>
  <x:c r="U500" i="3"/>
  <x:c r="T500" i="3"/>
  <x:c r="E500" i="3"/>
  <x:c r="B500" i="3"/>
  <x:c r="A500" i="3"/>
  <x:c r="AG499" i="3"/>
  <x:c r="AF499" i="3"/>
  <x:c r="AE499" i="3"/>
  <x:c r="AD499" i="3"/>
  <x:c r="AC499" i="3"/>
  <x:c r="AB499" i="3"/>
  <x:c r="AA499" i="3"/>
  <x:c r="Z499" i="3"/>
  <x:c r="Y499" i="3"/>
  <x:c r="X499" i="3"/>
  <x:c r="W499" i="3"/>
  <x:c r="V499" i="3"/>
  <x:c r="U499" i="3"/>
  <x:c r="T499" i="3"/>
  <x:c r="E499" i="3"/>
  <x:c r="B499" i="3"/>
  <x:c r="A499" i="3"/>
  <x:c r="AG498" i="3"/>
  <x:c r="AF498" i="3"/>
  <x:c r="AE498" i="3"/>
  <x:c r="AD498" i="3"/>
  <x:c r="AC498" i="3"/>
  <x:c r="AB498" i="3"/>
  <x:c r="AA498" i="3"/>
  <x:c r="Z498" i="3"/>
  <x:c r="Y498" i="3"/>
  <x:c r="X498" i="3"/>
  <x:c r="W498" i="3"/>
  <x:c r="V498" i="3"/>
  <x:c r="U498" i="3"/>
  <x:c r="T498" i="3"/>
  <x:c r="E498" i="3"/>
  <x:c r="B498" i="3"/>
  <x:c r="A498" i="3"/>
  <x:c r="AG497" i="3"/>
  <x:c r="AF497" i="3"/>
  <x:c r="AE497" i="3"/>
  <x:c r="AD497" i="3"/>
  <x:c r="AC497" i="3"/>
  <x:c r="AB497" i="3"/>
  <x:c r="AA497" i="3"/>
  <x:c r="Z497" i="3"/>
  <x:c r="Y497" i="3"/>
  <x:c r="X497" i="3"/>
  <x:c r="W497" i="3"/>
  <x:c r="V497" i="3"/>
  <x:c r="U497" i="3"/>
  <x:c r="T497" i="3"/>
  <x:c r="E497" i="3"/>
  <x:c r="B497" i="3"/>
  <x:c r="A497" i="3"/>
  <x:c r="AG496" i="3"/>
  <x:c r="AF496" i="3"/>
  <x:c r="AE496" i="3"/>
  <x:c r="AD496" i="3"/>
  <x:c r="AC496" i="3"/>
  <x:c r="AB496" i="3"/>
  <x:c r="AA496" i="3"/>
  <x:c r="Z496" i="3"/>
  <x:c r="Y496" i="3"/>
  <x:c r="X496" i="3"/>
  <x:c r="W496" i="3"/>
  <x:c r="V496" i="3"/>
  <x:c r="U496" i="3"/>
  <x:c r="T496" i="3"/>
  <x:c r="E496" i="3"/>
  <x:c r="B496" i="3"/>
  <x:c r="A496" i="3"/>
  <x:c r="AG495" i="3"/>
  <x:c r="AF495" i="3"/>
  <x:c r="AE495" i="3"/>
  <x:c r="AD495" i="3"/>
  <x:c r="AC495" i="3"/>
  <x:c r="AB495" i="3"/>
  <x:c r="AA495" i="3"/>
  <x:c r="Z495" i="3"/>
  <x:c r="Y495" i="3"/>
  <x:c r="X495" i="3"/>
  <x:c r="W495" i="3"/>
  <x:c r="V495" i="3"/>
  <x:c r="U495" i="3"/>
  <x:c r="T495" i="3"/>
  <x:c r="E495" i="3"/>
  <x:c r="B495" i="3"/>
  <x:c r="A495" i="3"/>
  <x:c r="AG494" i="3"/>
  <x:c r="AF494" i="3"/>
  <x:c r="AE494" i="3"/>
  <x:c r="AD494" i="3"/>
  <x:c r="AC494" i="3"/>
  <x:c r="AB494" i="3"/>
  <x:c r="AA494" i="3"/>
  <x:c r="Z494" i="3"/>
  <x:c r="Y494" i="3"/>
  <x:c r="X494" i="3"/>
  <x:c r="W494" i="3"/>
  <x:c r="V494" i="3"/>
  <x:c r="U494" i="3"/>
  <x:c r="T494" i="3"/>
  <x:c r="E494" i="3"/>
  <x:c r="B494" i="3"/>
  <x:c r="A494" i="3"/>
  <x:c r="AG493" i="3"/>
  <x:c r="AF493" i="3"/>
  <x:c r="AE493" i="3"/>
  <x:c r="AD493" i="3"/>
  <x:c r="AC493" i="3"/>
  <x:c r="AB493" i="3"/>
  <x:c r="AA493" i="3"/>
  <x:c r="Z493" i="3"/>
  <x:c r="Y493" i="3"/>
  <x:c r="X493" i="3"/>
  <x:c r="W493" i="3"/>
  <x:c r="V493" i="3"/>
  <x:c r="U493" i="3"/>
  <x:c r="T493" i="3"/>
  <x:c r="E493" i="3"/>
  <x:c r="B493" i="3"/>
  <x:c r="A493" i="3"/>
  <x:c r="AG492" i="3"/>
  <x:c r="AF492" i="3"/>
  <x:c r="AE492" i="3"/>
  <x:c r="AD492" i="3"/>
  <x:c r="AC492" i="3"/>
  <x:c r="AB492" i="3"/>
  <x:c r="AA492" i="3"/>
  <x:c r="Z492" i="3"/>
  <x:c r="Y492" i="3"/>
  <x:c r="X492" i="3"/>
  <x:c r="W492" i="3"/>
  <x:c r="V492" i="3"/>
  <x:c r="U492" i="3"/>
  <x:c r="T492" i="3"/>
  <x:c r="E492" i="3"/>
  <x:c r="B492" i="3"/>
  <x:c r="A492" i="3"/>
  <x:c r="AG491" i="3"/>
  <x:c r="AF491" i="3"/>
  <x:c r="AE491" i="3"/>
  <x:c r="AD491" i="3"/>
  <x:c r="AC491" i="3"/>
  <x:c r="AB491" i="3"/>
  <x:c r="AA491" i="3"/>
  <x:c r="Z491" i="3"/>
  <x:c r="Y491" i="3"/>
  <x:c r="X491" i="3"/>
  <x:c r="W491" i="3"/>
  <x:c r="V491" i="3"/>
  <x:c r="U491" i="3"/>
  <x:c r="T491" i="3"/>
  <x:c r="E491" i="3"/>
  <x:c r="B491" i="3"/>
  <x:c r="A491" i="3"/>
  <x:c r="AG490" i="3"/>
  <x:c r="AF490" i="3"/>
  <x:c r="AE490" i="3"/>
  <x:c r="AD490" i="3"/>
  <x:c r="AC490" i="3"/>
  <x:c r="AB490" i="3"/>
  <x:c r="AA490" i="3"/>
  <x:c r="Z490" i="3"/>
  <x:c r="Y490" i="3"/>
  <x:c r="X490" i="3"/>
  <x:c r="W490" i="3"/>
  <x:c r="V490" i="3"/>
  <x:c r="U490" i="3"/>
  <x:c r="T490" i="3"/>
  <x:c r="E490" i="3"/>
  <x:c r="B490" i="3"/>
  <x:c r="A490" i="3"/>
  <x:c r="AG489" i="3"/>
  <x:c r="AF489" i="3"/>
  <x:c r="AE489" i="3"/>
  <x:c r="AD489" i="3"/>
  <x:c r="AC489" i="3"/>
  <x:c r="AB489" i="3"/>
  <x:c r="AA489" i="3"/>
  <x:c r="Z489" i="3"/>
  <x:c r="Y489" i="3"/>
  <x:c r="X489" i="3"/>
  <x:c r="W489" i="3"/>
  <x:c r="V489" i="3"/>
  <x:c r="U489" i="3"/>
  <x:c r="T489" i="3"/>
  <x:c r="E489" i="3"/>
  <x:c r="B489" i="3"/>
  <x:c r="A489" i="3"/>
  <x:c r="AG488" i="3"/>
  <x:c r="AF488" i="3"/>
  <x:c r="AE488" i="3"/>
  <x:c r="AD488" i="3"/>
  <x:c r="AC488" i="3"/>
  <x:c r="AB488" i="3"/>
  <x:c r="AA488" i="3"/>
  <x:c r="Z488" i="3"/>
  <x:c r="Y488" i="3"/>
  <x:c r="X488" i="3"/>
  <x:c r="W488" i="3"/>
  <x:c r="V488" i="3"/>
  <x:c r="U488" i="3"/>
  <x:c r="T488" i="3"/>
  <x:c r="E488" i="3"/>
  <x:c r="B488" i="3"/>
  <x:c r="A488" i="3"/>
  <x:c r="AG487" i="3"/>
  <x:c r="AF487" i="3"/>
  <x:c r="AE487" i="3"/>
  <x:c r="AD487" i="3"/>
  <x:c r="AC487" i="3"/>
  <x:c r="AB487" i="3"/>
  <x:c r="AA487" i="3"/>
  <x:c r="Z487" i="3"/>
  <x:c r="Y487" i="3"/>
  <x:c r="X487" i="3"/>
  <x:c r="W487" i="3"/>
  <x:c r="V487" i="3"/>
  <x:c r="U487" i="3"/>
  <x:c r="T487" i="3"/>
  <x:c r="E487" i="3"/>
  <x:c r="B487" i="3"/>
  <x:c r="A487" i="3"/>
  <x:c r="AG486" i="3"/>
  <x:c r="AF486" i="3"/>
  <x:c r="AE486" i="3"/>
  <x:c r="AD486" i="3"/>
  <x:c r="AC486" i="3"/>
  <x:c r="AB486" i="3"/>
  <x:c r="AA486" i="3"/>
  <x:c r="Z486" i="3"/>
  <x:c r="Y486" i="3"/>
  <x:c r="X486" i="3"/>
  <x:c r="W486" i="3"/>
  <x:c r="V486" i="3"/>
  <x:c r="U486" i="3"/>
  <x:c r="T486" i="3"/>
  <x:c r="E486" i="3"/>
  <x:c r="B486" i="3"/>
  <x:c r="A486" i="3"/>
  <x:c r="AG485" i="3"/>
  <x:c r="AF485" i="3"/>
  <x:c r="AE485" i="3"/>
  <x:c r="AD485" i="3"/>
  <x:c r="AC485" i="3"/>
  <x:c r="AB485" i="3"/>
  <x:c r="AA485" i="3"/>
  <x:c r="Z485" i="3"/>
  <x:c r="Y485" i="3"/>
  <x:c r="X485" i="3"/>
  <x:c r="W485" i="3"/>
  <x:c r="V485" i="3"/>
  <x:c r="U485" i="3"/>
  <x:c r="T485" i="3"/>
  <x:c r="E485" i="3"/>
  <x:c r="B485" i="3"/>
  <x:c r="A485" i="3"/>
  <x:c r="AG484" i="3"/>
  <x:c r="AF484" i="3"/>
  <x:c r="AE484" i="3"/>
  <x:c r="AD484" i="3"/>
  <x:c r="AC484" i="3"/>
  <x:c r="AB484" i="3"/>
  <x:c r="AA484" i="3"/>
  <x:c r="Z484" i="3"/>
  <x:c r="Y484" i="3"/>
  <x:c r="X484" i="3"/>
  <x:c r="W484" i="3"/>
  <x:c r="V484" i="3"/>
  <x:c r="U484" i="3"/>
  <x:c r="T484" i="3"/>
  <x:c r="E484" i="3"/>
  <x:c r="B484" i="3"/>
  <x:c r="A484" i="3"/>
  <x:c r="AG483" i="3"/>
  <x:c r="AF483" i="3"/>
  <x:c r="AE483" i="3"/>
  <x:c r="AD483" i="3"/>
  <x:c r="AC483" i="3"/>
  <x:c r="AB483" i="3"/>
  <x:c r="AA483" i="3"/>
  <x:c r="Z483" i="3"/>
  <x:c r="Y483" i="3"/>
  <x:c r="X483" i="3"/>
  <x:c r="W483" i="3"/>
  <x:c r="V483" i="3"/>
  <x:c r="U483" i="3"/>
  <x:c r="T483" i="3"/>
  <x:c r="E483" i="3"/>
  <x:c r="B483" i="3"/>
  <x:c r="A483" i="3"/>
  <x:c r="AG482" i="3"/>
  <x:c r="AF482" i="3"/>
  <x:c r="AE482" i="3"/>
  <x:c r="AD482" i="3"/>
  <x:c r="AC482" i="3"/>
  <x:c r="AB482" i="3"/>
  <x:c r="AA482" i="3"/>
  <x:c r="Z482" i="3"/>
  <x:c r="Y482" i="3"/>
  <x:c r="X482" i="3"/>
  <x:c r="W482" i="3"/>
  <x:c r="V482" i="3"/>
  <x:c r="U482" i="3"/>
  <x:c r="T482" i="3"/>
  <x:c r="E482" i="3"/>
  <x:c r="B482" i="3"/>
  <x:c r="A482" i="3"/>
  <x:c r="AG481" i="3"/>
  <x:c r="AF481" i="3"/>
  <x:c r="AE481" i="3"/>
  <x:c r="AD481" i="3"/>
  <x:c r="AC481" i="3"/>
  <x:c r="AB481" i="3"/>
  <x:c r="AA481" i="3"/>
  <x:c r="Z481" i="3"/>
  <x:c r="Y481" i="3"/>
  <x:c r="X481" i="3"/>
  <x:c r="W481" i="3"/>
  <x:c r="V481" i="3"/>
  <x:c r="U481" i="3"/>
  <x:c r="T481" i="3"/>
  <x:c r="E481" i="3"/>
  <x:c r="B481" i="3"/>
  <x:c r="A481" i="3"/>
  <x:c r="AG480" i="3"/>
  <x:c r="AF480" i="3"/>
  <x:c r="AE480" i="3"/>
  <x:c r="AD480" i="3"/>
  <x:c r="AC480" i="3"/>
  <x:c r="AB480" i="3"/>
  <x:c r="AA480" i="3"/>
  <x:c r="Z480" i="3"/>
  <x:c r="Y480" i="3"/>
  <x:c r="X480" i="3"/>
  <x:c r="W480" i="3"/>
  <x:c r="V480" i="3"/>
  <x:c r="U480" i="3"/>
  <x:c r="T480" i="3"/>
  <x:c r="E480" i="3"/>
  <x:c r="B480" i="3"/>
  <x:c r="A480" i="3"/>
  <x:c r="AG479" i="3"/>
  <x:c r="AF479" i="3"/>
  <x:c r="AE479" i="3"/>
  <x:c r="AD479" i="3"/>
  <x:c r="AC479" i="3"/>
  <x:c r="AB479" i="3"/>
  <x:c r="AA479" i="3"/>
  <x:c r="Z479" i="3"/>
  <x:c r="Y479" i="3"/>
  <x:c r="X479" i="3"/>
  <x:c r="W479" i="3"/>
  <x:c r="V479" i="3"/>
  <x:c r="U479" i="3"/>
  <x:c r="T479" i="3"/>
  <x:c r="E479" i="3"/>
  <x:c r="B479" i="3"/>
  <x:c r="A479" i="3"/>
  <x:c r="AG478" i="3"/>
  <x:c r="AF478" i="3"/>
  <x:c r="AE478" i="3"/>
  <x:c r="AD478" i="3"/>
  <x:c r="AC478" i="3"/>
  <x:c r="AB478" i="3"/>
  <x:c r="AA478" i="3"/>
  <x:c r="Z478" i="3"/>
  <x:c r="Y478" i="3"/>
  <x:c r="X478" i="3"/>
  <x:c r="W478" i="3"/>
  <x:c r="V478" i="3"/>
  <x:c r="U478" i="3"/>
  <x:c r="T478" i="3"/>
  <x:c r="E478" i="3"/>
  <x:c r="B478" i="3"/>
  <x:c r="A478" i="3"/>
  <x:c r="AG477" i="3"/>
  <x:c r="AF477" i="3"/>
  <x:c r="AE477" i="3"/>
  <x:c r="AD477" i="3"/>
  <x:c r="AC477" i="3"/>
  <x:c r="AB477" i="3"/>
  <x:c r="AA477" i="3"/>
  <x:c r="Z477" i="3"/>
  <x:c r="Y477" i="3"/>
  <x:c r="X477" i="3"/>
  <x:c r="W477" i="3"/>
  <x:c r="V477" i="3"/>
  <x:c r="U477" i="3"/>
  <x:c r="T477" i="3"/>
  <x:c r="E477" i="3"/>
  <x:c r="B477" i="3"/>
  <x:c r="A477" i="3"/>
  <x:c r="AG476" i="3"/>
  <x:c r="AF476" i="3"/>
  <x:c r="AE476" i="3"/>
  <x:c r="AD476" i="3"/>
  <x:c r="AC476" i="3"/>
  <x:c r="AB476" i="3"/>
  <x:c r="AA476" i="3"/>
  <x:c r="Z476" i="3"/>
  <x:c r="Y476" i="3"/>
  <x:c r="X476" i="3"/>
  <x:c r="W476" i="3"/>
  <x:c r="V476" i="3"/>
  <x:c r="U476" i="3"/>
  <x:c r="T476" i="3"/>
  <x:c r="E476" i="3"/>
  <x:c r="B476" i="3"/>
  <x:c r="A476" i="3"/>
  <x:c r="AG475" i="3"/>
  <x:c r="AF475" i="3"/>
  <x:c r="AE475" i="3"/>
  <x:c r="AD475" i="3"/>
  <x:c r="AC475" i="3"/>
  <x:c r="AB475" i="3"/>
  <x:c r="AA475" i="3"/>
  <x:c r="Z475" i="3"/>
  <x:c r="Y475" i="3"/>
  <x:c r="X475" i="3"/>
  <x:c r="W475" i="3"/>
  <x:c r="V475" i="3"/>
  <x:c r="U475" i="3"/>
  <x:c r="T475" i="3"/>
  <x:c r="E475" i="3"/>
  <x:c r="B475" i="3"/>
  <x:c r="A475" i="3"/>
  <x:c r="AG474" i="3"/>
  <x:c r="AF474" i="3"/>
  <x:c r="AE474" i="3"/>
  <x:c r="AD474" i="3"/>
  <x:c r="AC474" i="3"/>
  <x:c r="AB474" i="3"/>
  <x:c r="AA474" i="3"/>
  <x:c r="Z474" i="3"/>
  <x:c r="Y474" i="3"/>
  <x:c r="X474" i="3"/>
  <x:c r="W474" i="3"/>
  <x:c r="V474" i="3"/>
  <x:c r="U474" i="3"/>
  <x:c r="T474" i="3"/>
  <x:c r="E474" i="3"/>
  <x:c r="B474" i="3"/>
  <x:c r="A474" i="3"/>
  <x:c r="AG473" i="3"/>
  <x:c r="AF473" i="3"/>
  <x:c r="AE473" i="3"/>
  <x:c r="AD473" i="3"/>
  <x:c r="AC473" i="3"/>
  <x:c r="AB473" i="3"/>
  <x:c r="AA473" i="3"/>
  <x:c r="Z473" i="3"/>
  <x:c r="Y473" i="3"/>
  <x:c r="X473" i="3"/>
  <x:c r="W473" i="3"/>
  <x:c r="V473" i="3"/>
  <x:c r="U473" i="3"/>
  <x:c r="T473" i="3"/>
  <x:c r="E473" i="3"/>
  <x:c r="B473" i="3"/>
  <x:c r="A473" i="3"/>
  <x:c r="AG472" i="3"/>
  <x:c r="AF472" i="3"/>
  <x:c r="AE472" i="3"/>
  <x:c r="AD472" i="3"/>
  <x:c r="AC472" i="3"/>
  <x:c r="AB472" i="3"/>
  <x:c r="AA472" i="3"/>
  <x:c r="Z472" i="3"/>
  <x:c r="Y472" i="3"/>
  <x:c r="X472" i="3"/>
  <x:c r="W472" i="3"/>
  <x:c r="V472" i="3"/>
  <x:c r="U472" i="3"/>
  <x:c r="T472" i="3"/>
  <x:c r="E472" i="3"/>
  <x:c r="B472" i="3"/>
  <x:c r="A472" i="3"/>
  <x:c r="AG471" i="3"/>
  <x:c r="AF471" i="3"/>
  <x:c r="AE471" i="3"/>
  <x:c r="AD471" i="3"/>
  <x:c r="AC471" i="3"/>
  <x:c r="AB471" i="3"/>
  <x:c r="AA471" i="3"/>
  <x:c r="Z471" i="3"/>
  <x:c r="Y471" i="3"/>
  <x:c r="X471" i="3"/>
  <x:c r="W471" i="3"/>
  <x:c r="V471" i="3"/>
  <x:c r="U471" i="3"/>
  <x:c r="T471" i="3"/>
  <x:c r="E471" i="3"/>
  <x:c r="B471" i="3"/>
  <x:c r="A471" i="3"/>
  <x:c r="AG470" i="3"/>
  <x:c r="AF470" i="3"/>
  <x:c r="AE470" i="3"/>
  <x:c r="AD470" i="3"/>
  <x:c r="AC470" i="3"/>
  <x:c r="AB470" i="3"/>
  <x:c r="AA470" i="3"/>
  <x:c r="Z470" i="3"/>
  <x:c r="Y470" i="3"/>
  <x:c r="X470" i="3"/>
  <x:c r="W470" i="3"/>
  <x:c r="V470" i="3"/>
  <x:c r="U470" i="3"/>
  <x:c r="T470" i="3"/>
  <x:c r="E470" i="3"/>
  <x:c r="B470" i="3"/>
  <x:c r="A470" i="3"/>
  <x:c r="AG469" i="3"/>
  <x:c r="AF469" i="3"/>
  <x:c r="AE469" i="3"/>
  <x:c r="AD469" i="3"/>
  <x:c r="AC469" i="3"/>
  <x:c r="AB469" i="3"/>
  <x:c r="AA469" i="3"/>
  <x:c r="Z469" i="3"/>
  <x:c r="Y469" i="3"/>
  <x:c r="X469" i="3"/>
  <x:c r="W469" i="3"/>
  <x:c r="V469" i="3"/>
  <x:c r="U469" i="3"/>
  <x:c r="T469" i="3"/>
  <x:c r="E469" i="3"/>
  <x:c r="B469" i="3"/>
  <x:c r="A469" i="3"/>
  <x:c r="AG468" i="3"/>
  <x:c r="AF468" i="3"/>
  <x:c r="AE468" i="3"/>
  <x:c r="AD468" i="3"/>
  <x:c r="AC468" i="3"/>
  <x:c r="AB468" i="3"/>
  <x:c r="AA468" i="3"/>
  <x:c r="Z468" i="3"/>
  <x:c r="Y468" i="3"/>
  <x:c r="X468" i="3"/>
  <x:c r="W468" i="3"/>
  <x:c r="V468" i="3"/>
  <x:c r="U468" i="3"/>
  <x:c r="T468" i="3"/>
  <x:c r="E468" i="3"/>
  <x:c r="B468" i="3"/>
  <x:c r="A468" i="3"/>
  <x:c r="AG467" i="3"/>
  <x:c r="AF467" i="3"/>
  <x:c r="AE467" i="3"/>
  <x:c r="AD467" i="3"/>
  <x:c r="AC467" i="3"/>
  <x:c r="AB467" i="3"/>
  <x:c r="AA467" i="3"/>
  <x:c r="Z467" i="3"/>
  <x:c r="Y467" i="3"/>
  <x:c r="X467" i="3"/>
  <x:c r="W467" i="3"/>
  <x:c r="V467" i="3"/>
  <x:c r="U467" i="3"/>
  <x:c r="T467" i="3"/>
  <x:c r="E467" i="3"/>
  <x:c r="B467" i="3"/>
  <x:c r="A467" i="3"/>
  <x:c r="AG466" i="3"/>
  <x:c r="AF466" i="3"/>
  <x:c r="AE466" i="3"/>
  <x:c r="AD466" i="3"/>
  <x:c r="AC466" i="3"/>
  <x:c r="AB466" i="3"/>
  <x:c r="AA466" i="3"/>
  <x:c r="Z466" i="3"/>
  <x:c r="Y466" i="3"/>
  <x:c r="X466" i="3"/>
  <x:c r="W466" i="3"/>
  <x:c r="V466" i="3"/>
  <x:c r="U466" i="3"/>
  <x:c r="T466" i="3"/>
  <x:c r="E466" i="3"/>
  <x:c r="B466" i="3"/>
  <x:c r="A466" i="3"/>
  <x:c r="AG465" i="3"/>
  <x:c r="AF465" i="3"/>
  <x:c r="AE465" i="3"/>
  <x:c r="AD465" i="3"/>
  <x:c r="AC465" i="3"/>
  <x:c r="AB465" i="3"/>
  <x:c r="AA465" i="3"/>
  <x:c r="Z465" i="3"/>
  <x:c r="Y465" i="3"/>
  <x:c r="X465" i="3"/>
  <x:c r="W465" i="3"/>
  <x:c r="V465" i="3"/>
  <x:c r="U465" i="3"/>
  <x:c r="T465" i="3"/>
  <x:c r="E465" i="3"/>
  <x:c r="B465" i="3"/>
  <x:c r="A465" i="3"/>
  <x:c r="AG464" i="3"/>
  <x:c r="AF464" i="3"/>
  <x:c r="AE464" i="3"/>
  <x:c r="AD464" i="3"/>
  <x:c r="AC464" i="3"/>
  <x:c r="AB464" i="3"/>
  <x:c r="AA464" i="3"/>
  <x:c r="Z464" i="3"/>
  <x:c r="Y464" i="3"/>
  <x:c r="X464" i="3"/>
  <x:c r="W464" i="3"/>
  <x:c r="V464" i="3"/>
  <x:c r="U464" i="3"/>
  <x:c r="T464" i="3"/>
  <x:c r="E464" i="3"/>
  <x:c r="B464" i="3"/>
  <x:c r="A464" i="3"/>
  <x:c r="AG463" i="3"/>
  <x:c r="AF463" i="3"/>
  <x:c r="AE463" i="3"/>
  <x:c r="AD463" i="3"/>
  <x:c r="AC463" i="3"/>
  <x:c r="AB463" i="3"/>
  <x:c r="AA463" i="3"/>
  <x:c r="Z463" i="3"/>
  <x:c r="Y463" i="3"/>
  <x:c r="X463" i="3"/>
  <x:c r="W463" i="3"/>
  <x:c r="V463" i="3"/>
  <x:c r="U463" i="3"/>
  <x:c r="T463" i="3"/>
  <x:c r="E463" i="3"/>
  <x:c r="B463" i="3"/>
  <x:c r="A463" i="3"/>
  <x:c r="AG462" i="3"/>
  <x:c r="AF462" i="3"/>
  <x:c r="AE462" i="3"/>
  <x:c r="AD462" i="3"/>
  <x:c r="AC462" i="3"/>
  <x:c r="AB462" i="3"/>
  <x:c r="AA462" i="3"/>
  <x:c r="Z462" i="3"/>
  <x:c r="Y462" i="3"/>
  <x:c r="X462" i="3"/>
  <x:c r="W462" i="3"/>
  <x:c r="V462" i="3"/>
  <x:c r="U462" i="3"/>
  <x:c r="T462" i="3"/>
  <x:c r="E462" i="3"/>
  <x:c r="B462" i="3"/>
  <x:c r="A462" i="3"/>
  <x:c r="AG461" i="3"/>
  <x:c r="AF461" i="3"/>
  <x:c r="AE461" i="3"/>
  <x:c r="AD461" i="3"/>
  <x:c r="AC461" i="3"/>
  <x:c r="AB461" i="3"/>
  <x:c r="AA461" i="3"/>
  <x:c r="Z461" i="3"/>
  <x:c r="Y461" i="3"/>
  <x:c r="X461" i="3"/>
  <x:c r="W461" i="3"/>
  <x:c r="V461" i="3"/>
  <x:c r="U461" i="3"/>
  <x:c r="T461" i="3"/>
  <x:c r="E461" i="3"/>
  <x:c r="B461" i="3"/>
  <x:c r="A461" i="3"/>
  <x:c r="AG460" i="3"/>
  <x:c r="AF460" i="3"/>
  <x:c r="AE460" i="3"/>
  <x:c r="AD460" i="3"/>
  <x:c r="AC460" i="3"/>
  <x:c r="AB460" i="3"/>
  <x:c r="AA460" i="3"/>
  <x:c r="Z460" i="3"/>
  <x:c r="Y460" i="3"/>
  <x:c r="X460" i="3"/>
  <x:c r="W460" i="3"/>
  <x:c r="V460" i="3"/>
  <x:c r="U460" i="3"/>
  <x:c r="T460" i="3"/>
  <x:c r="E460" i="3"/>
  <x:c r="B460" i="3"/>
  <x:c r="A460" i="3"/>
  <x:c r="AG459" i="3"/>
  <x:c r="AF459" i="3"/>
  <x:c r="AE459" i="3"/>
  <x:c r="AD459" i="3"/>
  <x:c r="AC459" i="3"/>
  <x:c r="AB459" i="3"/>
  <x:c r="AA459" i="3"/>
  <x:c r="Z459" i="3"/>
  <x:c r="Y459" i="3"/>
  <x:c r="X459" i="3"/>
  <x:c r="W459" i="3"/>
  <x:c r="V459" i="3"/>
  <x:c r="U459" i="3"/>
  <x:c r="T459" i="3"/>
  <x:c r="E459" i="3"/>
  <x:c r="B459" i="3"/>
  <x:c r="A459" i="3"/>
  <x:c r="AG458" i="3"/>
  <x:c r="AF458" i="3"/>
  <x:c r="AE458" i="3"/>
  <x:c r="AD458" i="3"/>
  <x:c r="AC458" i="3"/>
  <x:c r="AB458" i="3"/>
  <x:c r="AA458" i="3"/>
  <x:c r="Z458" i="3"/>
  <x:c r="Y458" i="3"/>
  <x:c r="X458" i="3"/>
  <x:c r="W458" i="3"/>
  <x:c r="V458" i="3"/>
  <x:c r="U458" i="3"/>
  <x:c r="T458" i="3"/>
  <x:c r="E458" i="3"/>
  <x:c r="B458" i="3"/>
  <x:c r="A458" i="3"/>
  <x:c r="AG457" i="3"/>
  <x:c r="AF457" i="3"/>
  <x:c r="AE457" i="3"/>
  <x:c r="AD457" i="3"/>
  <x:c r="AC457" i="3"/>
  <x:c r="AB457" i="3"/>
  <x:c r="AA457" i="3"/>
  <x:c r="Z457" i="3"/>
  <x:c r="Y457" i="3"/>
  <x:c r="X457" i="3"/>
  <x:c r="W457" i="3"/>
  <x:c r="V457" i="3"/>
  <x:c r="U457" i="3"/>
  <x:c r="T457" i="3"/>
  <x:c r="E457" i="3"/>
  <x:c r="B457" i="3"/>
  <x:c r="A457" i="3"/>
  <x:c r="AG456" i="3"/>
  <x:c r="AF456" i="3"/>
  <x:c r="AE456" i="3"/>
  <x:c r="AD456" i="3"/>
  <x:c r="AC456" i="3"/>
  <x:c r="AB456" i="3"/>
  <x:c r="AA456" i="3"/>
  <x:c r="Z456" i="3"/>
  <x:c r="Y456" i="3"/>
  <x:c r="X456" i="3"/>
  <x:c r="W456" i="3"/>
  <x:c r="V456" i="3"/>
  <x:c r="U456" i="3"/>
  <x:c r="T456" i="3"/>
  <x:c r="E456" i="3"/>
  <x:c r="B456" i="3"/>
  <x:c r="A456" i="3"/>
  <x:c r="AG455" i="3"/>
  <x:c r="AF455" i="3"/>
  <x:c r="AE455" i="3"/>
  <x:c r="AD455" i="3"/>
  <x:c r="AC455" i="3"/>
  <x:c r="AB455" i="3"/>
  <x:c r="AA455" i="3"/>
  <x:c r="Z455" i="3"/>
  <x:c r="Y455" i="3"/>
  <x:c r="X455" i="3"/>
  <x:c r="W455" i="3"/>
  <x:c r="V455" i="3"/>
  <x:c r="U455" i="3"/>
  <x:c r="T455" i="3"/>
  <x:c r="E455" i="3"/>
  <x:c r="B455" i="3"/>
  <x:c r="A455" i="3"/>
  <x:c r="AG454" i="3"/>
  <x:c r="AF454" i="3"/>
  <x:c r="AE454" i="3"/>
  <x:c r="AD454" i="3"/>
  <x:c r="AC454" i="3"/>
  <x:c r="AB454" i="3"/>
  <x:c r="AA454" i="3"/>
  <x:c r="Z454" i="3"/>
  <x:c r="Y454" i="3"/>
  <x:c r="X454" i="3"/>
  <x:c r="W454" i="3"/>
  <x:c r="V454" i="3"/>
  <x:c r="U454" i="3"/>
  <x:c r="T454" i="3"/>
  <x:c r="E454" i="3"/>
  <x:c r="B454" i="3"/>
  <x:c r="A454" i="3"/>
  <x:c r="AG453" i="3"/>
  <x:c r="AF453" i="3"/>
  <x:c r="AE453" i="3"/>
  <x:c r="AD453" i="3"/>
  <x:c r="AC453" i="3"/>
  <x:c r="AB453" i="3"/>
  <x:c r="AA453" i="3"/>
  <x:c r="Z453" i="3"/>
  <x:c r="Y453" i="3"/>
  <x:c r="X453" i="3"/>
  <x:c r="W453" i="3"/>
  <x:c r="V453" i="3"/>
  <x:c r="U453" i="3"/>
  <x:c r="T453" i="3"/>
  <x:c r="E453" i="3"/>
  <x:c r="B453" i="3"/>
  <x:c r="A453" i="3"/>
  <x:c r="AG452" i="3"/>
  <x:c r="AF452" i="3"/>
  <x:c r="AE452" i="3"/>
  <x:c r="AD452" i="3"/>
  <x:c r="AC452" i="3"/>
  <x:c r="AB452" i="3"/>
  <x:c r="AA452" i="3"/>
  <x:c r="Z452" i="3"/>
  <x:c r="Y452" i="3"/>
  <x:c r="X452" i="3"/>
  <x:c r="W452" i="3"/>
  <x:c r="V452" i="3"/>
  <x:c r="U452" i="3"/>
  <x:c r="T452" i="3"/>
  <x:c r="E452" i="3"/>
  <x:c r="B452" i="3"/>
  <x:c r="A452" i="3"/>
  <x:c r="AG451" i="3"/>
  <x:c r="AF451" i="3"/>
  <x:c r="AE451" i="3"/>
  <x:c r="AD451" i="3"/>
  <x:c r="AC451" i="3"/>
  <x:c r="AB451" i="3"/>
  <x:c r="AA451" i="3"/>
  <x:c r="Z451" i="3"/>
  <x:c r="Y451" i="3"/>
  <x:c r="X451" i="3"/>
  <x:c r="W451" i="3"/>
  <x:c r="V451" i="3"/>
  <x:c r="U451" i="3"/>
  <x:c r="T451" i="3"/>
  <x:c r="E451" i="3"/>
  <x:c r="B451" i="3"/>
  <x:c r="A451" i="3"/>
  <x:c r="AG450" i="3"/>
  <x:c r="AF450" i="3"/>
  <x:c r="AE450" i="3"/>
  <x:c r="AD450" i="3"/>
  <x:c r="AC450" i="3"/>
  <x:c r="AB450" i="3"/>
  <x:c r="AA450" i="3"/>
  <x:c r="Z450" i="3"/>
  <x:c r="Y450" i="3"/>
  <x:c r="X450" i="3"/>
  <x:c r="W450" i="3"/>
  <x:c r="V450" i="3"/>
  <x:c r="U450" i="3"/>
  <x:c r="T450" i="3"/>
  <x:c r="E450" i="3"/>
  <x:c r="B450" i="3"/>
  <x:c r="A450" i="3"/>
  <x:c r="AG449" i="3"/>
  <x:c r="AF449" i="3"/>
  <x:c r="AE449" i="3"/>
  <x:c r="AD449" i="3"/>
  <x:c r="AC449" i="3"/>
  <x:c r="AB449" i="3"/>
  <x:c r="AA449" i="3"/>
  <x:c r="Z449" i="3"/>
  <x:c r="Y449" i="3"/>
  <x:c r="X449" i="3"/>
  <x:c r="W449" i="3"/>
  <x:c r="V449" i="3"/>
  <x:c r="U449" i="3"/>
  <x:c r="T449" i="3"/>
  <x:c r="E449" i="3"/>
  <x:c r="B449" i="3"/>
  <x:c r="A449" i="3"/>
  <x:c r="AG448" i="3"/>
  <x:c r="AF448" i="3"/>
  <x:c r="AE448" i="3"/>
  <x:c r="AD448" i="3"/>
  <x:c r="AC448" i="3"/>
  <x:c r="AB448" i="3"/>
  <x:c r="AA448" i="3"/>
  <x:c r="Z448" i="3"/>
  <x:c r="Y448" i="3"/>
  <x:c r="X448" i="3"/>
  <x:c r="W448" i="3"/>
  <x:c r="V448" i="3"/>
  <x:c r="U448" i="3"/>
  <x:c r="T448" i="3"/>
  <x:c r="E448" i="3"/>
  <x:c r="B448" i="3"/>
  <x:c r="A448" i="3"/>
  <x:c r="AG447" i="3"/>
  <x:c r="AF447" i="3"/>
  <x:c r="AE447" i="3"/>
  <x:c r="AD447" i="3"/>
  <x:c r="AC447" i="3"/>
  <x:c r="AB447" i="3"/>
  <x:c r="AA447" i="3"/>
  <x:c r="Z447" i="3"/>
  <x:c r="Y447" i="3"/>
  <x:c r="X447" i="3"/>
  <x:c r="W447" i="3"/>
  <x:c r="V447" i="3"/>
  <x:c r="U447" i="3"/>
  <x:c r="T447" i="3"/>
  <x:c r="E447" i="3"/>
  <x:c r="B447" i="3"/>
  <x:c r="A447" i="3"/>
  <x:c r="AG446" i="3"/>
  <x:c r="AF446" i="3"/>
  <x:c r="AE446" i="3"/>
  <x:c r="AD446" i="3"/>
  <x:c r="AC446" i="3"/>
  <x:c r="AB446" i="3"/>
  <x:c r="AA446" i="3"/>
  <x:c r="Z446" i="3"/>
  <x:c r="Y446" i="3"/>
  <x:c r="X446" i="3"/>
  <x:c r="W446" i="3"/>
  <x:c r="V446" i="3"/>
  <x:c r="U446" i="3"/>
  <x:c r="T446" i="3"/>
  <x:c r="E446" i="3"/>
  <x:c r="B446" i="3"/>
  <x:c r="A446" i="3"/>
  <x:c r="AG445" i="3"/>
  <x:c r="AF445" i="3"/>
  <x:c r="AE445" i="3"/>
  <x:c r="AD445" i="3"/>
  <x:c r="AC445" i="3"/>
  <x:c r="AB445" i="3"/>
  <x:c r="AA445" i="3"/>
  <x:c r="Z445" i="3"/>
  <x:c r="Y445" i="3"/>
  <x:c r="X445" i="3"/>
  <x:c r="W445" i="3"/>
  <x:c r="V445" i="3"/>
  <x:c r="U445" i="3"/>
  <x:c r="T445" i="3"/>
  <x:c r="E445" i="3"/>
  <x:c r="B445" i="3"/>
  <x:c r="A445" i="3"/>
  <x:c r="AG444" i="3"/>
  <x:c r="AF444" i="3"/>
  <x:c r="AE444" i="3"/>
  <x:c r="AD444" i="3"/>
  <x:c r="AC444" i="3"/>
  <x:c r="AB444" i="3"/>
  <x:c r="AA444" i="3"/>
  <x:c r="Z444" i="3"/>
  <x:c r="Y444" i="3"/>
  <x:c r="X444" i="3"/>
  <x:c r="W444" i="3"/>
  <x:c r="V444" i="3"/>
  <x:c r="U444" i="3"/>
  <x:c r="T444" i="3"/>
  <x:c r="E444" i="3"/>
  <x:c r="B444" i="3"/>
  <x:c r="A444" i="3"/>
  <x:c r="AG443" i="3"/>
  <x:c r="AF443" i="3"/>
  <x:c r="AE443" i="3"/>
  <x:c r="AD443" i="3"/>
  <x:c r="AC443" i="3"/>
  <x:c r="AB443" i="3"/>
  <x:c r="AA443" i="3"/>
  <x:c r="Z443" i="3"/>
  <x:c r="Y443" i="3"/>
  <x:c r="X443" i="3"/>
  <x:c r="W443" i="3"/>
  <x:c r="V443" i="3"/>
  <x:c r="U443" i="3"/>
  <x:c r="T443" i="3"/>
  <x:c r="E443" i="3"/>
  <x:c r="B443" i="3"/>
  <x:c r="A443" i="3"/>
  <x:c r="AG442" i="3"/>
  <x:c r="AF442" i="3"/>
  <x:c r="AE442" i="3"/>
  <x:c r="AD442" i="3"/>
  <x:c r="AC442" i="3"/>
  <x:c r="AB442" i="3"/>
  <x:c r="AA442" i="3"/>
  <x:c r="Z442" i="3"/>
  <x:c r="Y442" i="3"/>
  <x:c r="X442" i="3"/>
  <x:c r="W442" i="3"/>
  <x:c r="V442" i="3"/>
  <x:c r="U442" i="3"/>
  <x:c r="T442" i="3"/>
  <x:c r="E442" i="3"/>
  <x:c r="B442" i="3"/>
  <x:c r="A442" i="3"/>
  <x:c r="AG441" i="3"/>
  <x:c r="AF441" i="3"/>
  <x:c r="AE441" i="3"/>
  <x:c r="AD441" i="3"/>
  <x:c r="AC441" i="3"/>
  <x:c r="AB441" i="3"/>
  <x:c r="AA441" i="3"/>
  <x:c r="Z441" i="3"/>
  <x:c r="Y441" i="3"/>
  <x:c r="X441" i="3"/>
  <x:c r="W441" i="3"/>
  <x:c r="V441" i="3"/>
  <x:c r="U441" i="3"/>
  <x:c r="T441" i="3"/>
  <x:c r="E441" i="3"/>
  <x:c r="B441" i="3"/>
  <x:c r="A441" i="3"/>
  <x:c r="AG440" i="3"/>
  <x:c r="AF440" i="3"/>
  <x:c r="AE440" i="3"/>
  <x:c r="AD440" i="3"/>
  <x:c r="AC440" i="3"/>
  <x:c r="AB440" i="3"/>
  <x:c r="AA440" i="3"/>
  <x:c r="Z440" i="3"/>
  <x:c r="Y440" i="3"/>
  <x:c r="X440" i="3"/>
  <x:c r="W440" i="3"/>
  <x:c r="V440" i="3"/>
  <x:c r="U440" i="3"/>
  <x:c r="T440" i="3"/>
  <x:c r="E440" i="3"/>
  <x:c r="B440" i="3"/>
  <x:c r="A440" i="3"/>
  <x:c r="AG439" i="3"/>
  <x:c r="AF439" i="3"/>
  <x:c r="AE439" i="3"/>
  <x:c r="AD439" i="3"/>
  <x:c r="AC439" i="3"/>
  <x:c r="AB439" i="3"/>
  <x:c r="AA439" i="3"/>
  <x:c r="Z439" i="3"/>
  <x:c r="Y439" i="3"/>
  <x:c r="X439" i="3"/>
  <x:c r="W439" i="3"/>
  <x:c r="V439" i="3"/>
  <x:c r="U439" i="3"/>
  <x:c r="T439" i="3"/>
  <x:c r="E439" i="3"/>
  <x:c r="B439" i="3"/>
  <x:c r="A439" i="3"/>
  <x:c r="AG438" i="3"/>
  <x:c r="AF438" i="3"/>
  <x:c r="AE438" i="3"/>
  <x:c r="AD438" i="3"/>
  <x:c r="AC438" i="3"/>
  <x:c r="AB438" i="3"/>
  <x:c r="AA438" i="3"/>
  <x:c r="Z438" i="3"/>
  <x:c r="Y438" i="3"/>
  <x:c r="X438" i="3"/>
  <x:c r="W438" i="3"/>
  <x:c r="V438" i="3"/>
  <x:c r="U438" i="3"/>
  <x:c r="T438" i="3"/>
  <x:c r="E438" i="3"/>
  <x:c r="B438" i="3"/>
  <x:c r="A438" i="3"/>
  <x:c r="AG437" i="3"/>
  <x:c r="AF437" i="3"/>
  <x:c r="AE437" i="3"/>
  <x:c r="AD437" i="3"/>
  <x:c r="AC437" i="3"/>
  <x:c r="AB437" i="3"/>
  <x:c r="AA437" i="3"/>
  <x:c r="Z437" i="3"/>
  <x:c r="Y437" i="3"/>
  <x:c r="X437" i="3"/>
  <x:c r="W437" i="3"/>
  <x:c r="V437" i="3"/>
  <x:c r="U437" i="3"/>
  <x:c r="T437" i="3"/>
  <x:c r="E437" i="3"/>
  <x:c r="B437" i="3"/>
  <x:c r="A437" i="3"/>
  <x:c r="AG436" i="3"/>
  <x:c r="AF436" i="3"/>
  <x:c r="AE436" i="3"/>
  <x:c r="AD436" i="3"/>
  <x:c r="AC436" i="3"/>
  <x:c r="AB436" i="3"/>
  <x:c r="AA436" i="3"/>
  <x:c r="Z436" i="3"/>
  <x:c r="Y436" i="3"/>
  <x:c r="X436" i="3"/>
  <x:c r="W436" i="3"/>
  <x:c r="V436" i="3"/>
  <x:c r="U436" i="3"/>
  <x:c r="T436" i="3"/>
  <x:c r="E436" i="3"/>
  <x:c r="B436" i="3"/>
  <x:c r="A436" i="3"/>
  <x:c r="AG435" i="3"/>
  <x:c r="AF435" i="3"/>
  <x:c r="AE435" i="3"/>
  <x:c r="AD435" i="3"/>
  <x:c r="AC435" i="3"/>
  <x:c r="AB435" i="3"/>
  <x:c r="AA435" i="3"/>
  <x:c r="Z435" i="3"/>
  <x:c r="Y435" i="3"/>
  <x:c r="X435" i="3"/>
  <x:c r="W435" i="3"/>
  <x:c r="V435" i="3"/>
  <x:c r="U435" i="3"/>
  <x:c r="T435" i="3"/>
  <x:c r="E435" i="3"/>
  <x:c r="B435" i="3"/>
  <x:c r="A435" i="3"/>
  <x:c r="AG434" i="3"/>
  <x:c r="AF434" i="3"/>
  <x:c r="AE434" i="3"/>
  <x:c r="AD434" i="3"/>
  <x:c r="AC434" i="3"/>
  <x:c r="AB434" i="3"/>
  <x:c r="AA434" i="3"/>
  <x:c r="Z434" i="3"/>
  <x:c r="Y434" i="3"/>
  <x:c r="X434" i="3"/>
  <x:c r="W434" i="3"/>
  <x:c r="V434" i="3"/>
  <x:c r="U434" i="3"/>
  <x:c r="T434" i="3"/>
  <x:c r="E434" i="3"/>
  <x:c r="B434" i="3"/>
  <x:c r="A434" i="3"/>
  <x:c r="AG433" i="3"/>
  <x:c r="AF433" i="3"/>
  <x:c r="AE433" i="3"/>
  <x:c r="AD433" i="3"/>
  <x:c r="AC433" i="3"/>
  <x:c r="AB433" i="3"/>
  <x:c r="AA433" i="3"/>
  <x:c r="Z433" i="3"/>
  <x:c r="Y433" i="3"/>
  <x:c r="X433" i="3"/>
  <x:c r="W433" i="3"/>
  <x:c r="V433" i="3"/>
  <x:c r="U433" i="3"/>
  <x:c r="T433" i="3"/>
  <x:c r="E433" i="3"/>
  <x:c r="B433" i="3"/>
  <x:c r="A433" i="3"/>
  <x:c r="AG432" i="3"/>
  <x:c r="AF432" i="3"/>
  <x:c r="AE432" i="3"/>
  <x:c r="AD432" i="3"/>
  <x:c r="AC432" i="3"/>
  <x:c r="AB432" i="3"/>
  <x:c r="AA432" i="3"/>
  <x:c r="Z432" i="3"/>
  <x:c r="Y432" i="3"/>
  <x:c r="X432" i="3"/>
  <x:c r="W432" i="3"/>
  <x:c r="V432" i="3"/>
  <x:c r="U432" i="3"/>
  <x:c r="T432" i="3"/>
  <x:c r="E432" i="3"/>
  <x:c r="B432" i="3"/>
  <x:c r="A432" i="3"/>
  <x:c r="AG431" i="3"/>
  <x:c r="AF431" i="3"/>
  <x:c r="AE431" i="3"/>
  <x:c r="AD431" i="3"/>
  <x:c r="AC431" i="3"/>
  <x:c r="AB431" i="3"/>
  <x:c r="AA431" i="3"/>
  <x:c r="Z431" i="3"/>
  <x:c r="Y431" i="3"/>
  <x:c r="X431" i="3"/>
  <x:c r="W431" i="3"/>
  <x:c r="V431" i="3"/>
  <x:c r="U431" i="3"/>
  <x:c r="T431" i="3"/>
  <x:c r="E431" i="3"/>
  <x:c r="B431" i="3"/>
  <x:c r="A431" i="3"/>
  <x:c r="AG430" i="3"/>
  <x:c r="AF430" i="3"/>
  <x:c r="AE430" i="3"/>
  <x:c r="AD430" i="3"/>
  <x:c r="AC430" i="3"/>
  <x:c r="AB430" i="3"/>
  <x:c r="AA430" i="3"/>
  <x:c r="Z430" i="3"/>
  <x:c r="Y430" i="3"/>
  <x:c r="X430" i="3"/>
  <x:c r="W430" i="3"/>
  <x:c r="V430" i="3"/>
  <x:c r="U430" i="3"/>
  <x:c r="T430" i="3"/>
  <x:c r="E430" i="3"/>
  <x:c r="B430" i="3"/>
  <x:c r="A430" i="3"/>
  <x:c r="AG429" i="3"/>
  <x:c r="AF429" i="3"/>
  <x:c r="AE429" i="3"/>
  <x:c r="AD429" i="3"/>
  <x:c r="AC429" i="3"/>
  <x:c r="AB429" i="3"/>
  <x:c r="AA429" i="3"/>
  <x:c r="Z429" i="3"/>
  <x:c r="Y429" i="3"/>
  <x:c r="X429" i="3"/>
  <x:c r="W429" i="3"/>
  <x:c r="V429" i="3"/>
  <x:c r="U429" i="3"/>
  <x:c r="T429" i="3"/>
  <x:c r="E429" i="3"/>
  <x:c r="B429" i="3"/>
  <x:c r="A429" i="3"/>
  <x:c r="AG428" i="3"/>
  <x:c r="AF428" i="3"/>
  <x:c r="AE428" i="3"/>
  <x:c r="AD428" i="3"/>
  <x:c r="AC428" i="3"/>
  <x:c r="AB428" i="3"/>
  <x:c r="AA428" i="3"/>
  <x:c r="Z428" i="3"/>
  <x:c r="Y428" i="3"/>
  <x:c r="X428" i="3"/>
  <x:c r="W428" i="3"/>
  <x:c r="V428" i="3"/>
  <x:c r="U428" i="3"/>
  <x:c r="T428" i="3"/>
  <x:c r="E428" i="3"/>
  <x:c r="B428" i="3"/>
  <x:c r="A428" i="3"/>
  <x:c r="AG427" i="3"/>
  <x:c r="AF427" i="3"/>
  <x:c r="AE427" i="3"/>
  <x:c r="AD427" i="3"/>
  <x:c r="AC427" i="3"/>
  <x:c r="AB427" i="3"/>
  <x:c r="AA427" i="3"/>
  <x:c r="Z427" i="3"/>
  <x:c r="Y427" i="3"/>
  <x:c r="X427" i="3"/>
  <x:c r="W427" i="3"/>
  <x:c r="V427" i="3"/>
  <x:c r="U427" i="3"/>
  <x:c r="T427" i="3"/>
  <x:c r="E427" i="3"/>
  <x:c r="B427" i="3"/>
  <x:c r="A427" i="3"/>
  <x:c r="AG426" i="3"/>
  <x:c r="AF426" i="3"/>
  <x:c r="AE426" i="3"/>
  <x:c r="AD426" i="3"/>
  <x:c r="AC426" i="3"/>
  <x:c r="AB426" i="3"/>
  <x:c r="AA426" i="3"/>
  <x:c r="Z426" i="3"/>
  <x:c r="Y426" i="3"/>
  <x:c r="X426" i="3"/>
  <x:c r="W426" i="3"/>
  <x:c r="V426" i="3"/>
  <x:c r="U426" i="3"/>
  <x:c r="T426" i="3"/>
  <x:c r="E426" i="3"/>
  <x:c r="B426" i="3"/>
  <x:c r="A426" i="3"/>
  <x:c r="AG425" i="3"/>
  <x:c r="AF425" i="3"/>
  <x:c r="AE425" i="3"/>
  <x:c r="AD425" i="3"/>
  <x:c r="AC425" i="3"/>
  <x:c r="AB425" i="3"/>
  <x:c r="AA425" i="3"/>
  <x:c r="Z425" i="3"/>
  <x:c r="Y425" i="3"/>
  <x:c r="X425" i="3"/>
  <x:c r="W425" i="3"/>
  <x:c r="V425" i="3"/>
  <x:c r="U425" i="3"/>
  <x:c r="T425" i="3"/>
  <x:c r="E425" i="3"/>
  <x:c r="B425" i="3"/>
  <x:c r="A425" i="3"/>
  <x:c r="AG424" i="3"/>
  <x:c r="AF424" i="3"/>
  <x:c r="AE424" i="3"/>
  <x:c r="AD424" i="3"/>
  <x:c r="AC424" i="3"/>
  <x:c r="AB424" i="3"/>
  <x:c r="AA424" i="3"/>
  <x:c r="Z424" i="3"/>
  <x:c r="Y424" i="3"/>
  <x:c r="X424" i="3"/>
  <x:c r="W424" i="3"/>
  <x:c r="V424" i="3"/>
  <x:c r="U424" i="3"/>
  <x:c r="T424" i="3"/>
  <x:c r="E424" i="3"/>
  <x:c r="B424" i="3"/>
  <x:c r="A424" i="3"/>
  <x:c r="AG423" i="3"/>
  <x:c r="AF423" i="3"/>
  <x:c r="AE423" i="3"/>
  <x:c r="AD423" i="3"/>
  <x:c r="AC423" i="3"/>
  <x:c r="AB423" i="3"/>
  <x:c r="AA423" i="3"/>
  <x:c r="Z423" i="3"/>
  <x:c r="Y423" i="3"/>
  <x:c r="X423" i="3"/>
  <x:c r="W423" i="3"/>
  <x:c r="V423" i="3"/>
  <x:c r="U423" i="3"/>
  <x:c r="T423" i="3"/>
  <x:c r="E423" i="3"/>
  <x:c r="B423" i="3"/>
  <x:c r="A423" i="3"/>
  <x:c r="AG422" i="3"/>
  <x:c r="AF422" i="3"/>
  <x:c r="AE422" i="3"/>
  <x:c r="AD422" i="3"/>
  <x:c r="AC422" i="3"/>
  <x:c r="AB422" i="3"/>
  <x:c r="AA422" i="3"/>
  <x:c r="Z422" i="3"/>
  <x:c r="Y422" i="3"/>
  <x:c r="X422" i="3"/>
  <x:c r="W422" i="3"/>
  <x:c r="V422" i="3"/>
  <x:c r="U422" i="3"/>
  <x:c r="T422" i="3"/>
  <x:c r="E422" i="3"/>
  <x:c r="B422" i="3"/>
  <x:c r="A422" i="3"/>
  <x:c r="AG421" i="3"/>
  <x:c r="AF421" i="3"/>
  <x:c r="AE421" i="3"/>
  <x:c r="AD421" i="3"/>
  <x:c r="AC421" i="3"/>
  <x:c r="AB421" i="3"/>
  <x:c r="AA421" i="3"/>
  <x:c r="Z421" i="3"/>
  <x:c r="Y421" i="3"/>
  <x:c r="X421" i="3"/>
  <x:c r="W421" i="3"/>
  <x:c r="V421" i="3"/>
  <x:c r="U421" i="3"/>
  <x:c r="T421" i="3"/>
  <x:c r="E421" i="3"/>
  <x:c r="B421" i="3"/>
  <x:c r="A421" i="3"/>
  <x:c r="AG420" i="3"/>
  <x:c r="AF420" i="3"/>
  <x:c r="AE420" i="3"/>
  <x:c r="AD420" i="3"/>
  <x:c r="AC420" i="3"/>
  <x:c r="AB420" i="3"/>
  <x:c r="AA420" i="3"/>
  <x:c r="Z420" i="3"/>
  <x:c r="Y420" i="3"/>
  <x:c r="X420" i="3"/>
  <x:c r="W420" i="3"/>
  <x:c r="V420" i="3"/>
  <x:c r="U420" i="3"/>
  <x:c r="T420" i="3"/>
  <x:c r="E420" i="3"/>
  <x:c r="B420" i="3"/>
  <x:c r="A420" i="3"/>
  <x:c r="AG419" i="3"/>
  <x:c r="AF419" i="3"/>
  <x:c r="AE419" i="3"/>
  <x:c r="AD419" i="3"/>
  <x:c r="AC419" i="3"/>
  <x:c r="AB419" i="3"/>
  <x:c r="AA419" i="3"/>
  <x:c r="Z419" i="3"/>
  <x:c r="Y419" i="3"/>
  <x:c r="X419" i="3"/>
  <x:c r="W419" i="3"/>
  <x:c r="V419" i="3"/>
  <x:c r="U419" i="3"/>
  <x:c r="T419" i="3"/>
  <x:c r="E419" i="3"/>
  <x:c r="B419" i="3"/>
  <x:c r="A419" i="3"/>
  <x:c r="AG418" i="3"/>
  <x:c r="AF418" i="3"/>
  <x:c r="AE418" i="3"/>
  <x:c r="AD418" i="3"/>
  <x:c r="AC418" i="3"/>
  <x:c r="AB418" i="3"/>
  <x:c r="AA418" i="3"/>
  <x:c r="Z418" i="3"/>
  <x:c r="Y418" i="3"/>
  <x:c r="X418" i="3"/>
  <x:c r="W418" i="3"/>
  <x:c r="V418" i="3"/>
  <x:c r="U418" i="3"/>
  <x:c r="T418" i="3"/>
  <x:c r="E418" i="3"/>
  <x:c r="B418" i="3"/>
  <x:c r="A418" i="3"/>
  <x:c r="AG417" i="3"/>
  <x:c r="AF417" i="3"/>
  <x:c r="AE417" i="3"/>
  <x:c r="AD417" i="3"/>
  <x:c r="AC417" i="3"/>
  <x:c r="AB417" i="3"/>
  <x:c r="AA417" i="3"/>
  <x:c r="Z417" i="3"/>
  <x:c r="Y417" i="3"/>
  <x:c r="X417" i="3"/>
  <x:c r="W417" i="3"/>
  <x:c r="V417" i="3"/>
  <x:c r="U417" i="3"/>
  <x:c r="T417" i="3"/>
  <x:c r="E417" i="3"/>
  <x:c r="B417" i="3"/>
  <x:c r="A417" i="3"/>
  <x:c r="AG416" i="3"/>
  <x:c r="AF416" i="3"/>
  <x:c r="AE416" i="3"/>
  <x:c r="AD416" i="3"/>
  <x:c r="AC416" i="3"/>
  <x:c r="AB416" i="3"/>
  <x:c r="AA416" i="3"/>
  <x:c r="Z416" i="3"/>
  <x:c r="Y416" i="3"/>
  <x:c r="X416" i="3"/>
  <x:c r="W416" i="3"/>
  <x:c r="V416" i="3"/>
  <x:c r="U416" i="3"/>
  <x:c r="T416" i="3"/>
  <x:c r="E416" i="3"/>
  <x:c r="B416" i="3"/>
  <x:c r="A416" i="3"/>
  <x:c r="AG415" i="3"/>
  <x:c r="AF415" i="3"/>
  <x:c r="AE415" i="3"/>
  <x:c r="AD415" i="3"/>
  <x:c r="AC415" i="3"/>
  <x:c r="AB415" i="3"/>
  <x:c r="AA415" i="3"/>
  <x:c r="Z415" i="3"/>
  <x:c r="Y415" i="3"/>
  <x:c r="X415" i="3"/>
  <x:c r="W415" i="3"/>
  <x:c r="V415" i="3"/>
  <x:c r="U415" i="3"/>
  <x:c r="T415" i="3"/>
  <x:c r="E415" i="3"/>
  <x:c r="B415" i="3"/>
  <x:c r="A415" i="3"/>
  <x:c r="AG414" i="3"/>
  <x:c r="AF414" i="3"/>
  <x:c r="AE414" i="3"/>
  <x:c r="AD414" i="3"/>
  <x:c r="AC414" i="3"/>
  <x:c r="AB414" i="3"/>
  <x:c r="AA414" i="3"/>
  <x:c r="Z414" i="3"/>
  <x:c r="Y414" i="3"/>
  <x:c r="X414" i="3"/>
  <x:c r="W414" i="3"/>
  <x:c r="V414" i="3"/>
  <x:c r="U414" i="3"/>
  <x:c r="T414" i="3"/>
  <x:c r="E414" i="3"/>
  <x:c r="B414" i="3"/>
  <x:c r="A414" i="3"/>
  <x:c r="AG413" i="3"/>
  <x:c r="AF413" i="3"/>
  <x:c r="AE413" i="3"/>
  <x:c r="AD413" i="3"/>
  <x:c r="AC413" i="3"/>
  <x:c r="AB413" i="3"/>
  <x:c r="AA413" i="3"/>
  <x:c r="Z413" i="3"/>
  <x:c r="Y413" i="3"/>
  <x:c r="X413" i="3"/>
  <x:c r="W413" i="3"/>
  <x:c r="V413" i="3"/>
  <x:c r="U413" i="3"/>
  <x:c r="T413" i="3"/>
  <x:c r="E413" i="3"/>
  <x:c r="B413" i="3"/>
  <x:c r="A413" i="3"/>
  <x:c r="AG412" i="3"/>
  <x:c r="AF412" i="3"/>
  <x:c r="AE412" i="3"/>
  <x:c r="AD412" i="3"/>
  <x:c r="AC412" i="3"/>
  <x:c r="AB412" i="3"/>
  <x:c r="AA412" i="3"/>
  <x:c r="Z412" i="3"/>
  <x:c r="Y412" i="3"/>
  <x:c r="X412" i="3"/>
  <x:c r="W412" i="3"/>
  <x:c r="V412" i="3"/>
  <x:c r="U412" i="3"/>
  <x:c r="T412" i="3"/>
  <x:c r="E412" i="3"/>
  <x:c r="B412" i="3"/>
  <x:c r="A412" i="3"/>
  <x:c r="AG411" i="3"/>
  <x:c r="AF411" i="3"/>
  <x:c r="AE411" i="3"/>
  <x:c r="AD411" i="3"/>
  <x:c r="AC411" i="3"/>
  <x:c r="AB411" i="3"/>
  <x:c r="AA411" i="3"/>
  <x:c r="Z411" i="3"/>
  <x:c r="Y411" i="3"/>
  <x:c r="X411" i="3"/>
  <x:c r="W411" i="3"/>
  <x:c r="V411" i="3"/>
  <x:c r="U411" i="3"/>
  <x:c r="T411" i="3"/>
  <x:c r="E411" i="3"/>
  <x:c r="B411" i="3"/>
  <x:c r="A411" i="3"/>
  <x:c r="AG410" i="3"/>
  <x:c r="AF410" i="3"/>
  <x:c r="AE410" i="3"/>
  <x:c r="AD410" i="3"/>
  <x:c r="AC410" i="3"/>
  <x:c r="AB410" i="3"/>
  <x:c r="AA410" i="3"/>
  <x:c r="Z410" i="3"/>
  <x:c r="Y410" i="3"/>
  <x:c r="X410" i="3"/>
  <x:c r="W410" i="3"/>
  <x:c r="V410" i="3"/>
  <x:c r="U410" i="3"/>
  <x:c r="T410" i="3"/>
  <x:c r="E410" i="3"/>
  <x:c r="B410" i="3"/>
  <x:c r="A410" i="3"/>
  <x:c r="AG409" i="3"/>
  <x:c r="AF409" i="3"/>
  <x:c r="AE409" i="3"/>
  <x:c r="AD409" i="3"/>
  <x:c r="AC409" i="3"/>
  <x:c r="AB409" i="3"/>
  <x:c r="AA409" i="3"/>
  <x:c r="Z409" i="3"/>
  <x:c r="Y409" i="3"/>
  <x:c r="X409" i="3"/>
  <x:c r="W409" i="3"/>
  <x:c r="V409" i="3"/>
  <x:c r="U409" i="3"/>
  <x:c r="T409" i="3"/>
  <x:c r="E409" i="3"/>
  <x:c r="B409" i="3"/>
  <x:c r="A409" i="3"/>
  <x:c r="AG408" i="3"/>
  <x:c r="AF408" i="3"/>
  <x:c r="AE408" i="3"/>
  <x:c r="AD408" i="3"/>
  <x:c r="AC408" i="3"/>
  <x:c r="AB408" i="3"/>
  <x:c r="AA408" i="3"/>
  <x:c r="Z408" i="3"/>
  <x:c r="Y408" i="3"/>
  <x:c r="X408" i="3"/>
  <x:c r="W408" i="3"/>
  <x:c r="V408" i="3"/>
  <x:c r="U408" i="3"/>
  <x:c r="T408" i="3"/>
  <x:c r="E408" i="3"/>
  <x:c r="B408" i="3"/>
  <x:c r="A408" i="3"/>
  <x:c r="AG407" i="3"/>
  <x:c r="AF407" i="3"/>
  <x:c r="AE407" i="3"/>
  <x:c r="AD407" i="3"/>
  <x:c r="AC407" i="3"/>
  <x:c r="AB407" i="3"/>
  <x:c r="AA407" i="3"/>
  <x:c r="Z407" i="3"/>
  <x:c r="Y407" i="3"/>
  <x:c r="X407" i="3"/>
  <x:c r="W407" i="3"/>
  <x:c r="V407" i="3"/>
  <x:c r="U407" i="3"/>
  <x:c r="T407" i="3"/>
  <x:c r="E407" i="3"/>
  <x:c r="B407" i="3"/>
  <x:c r="A407" i="3"/>
  <x:c r="AG406" i="3"/>
  <x:c r="AF406" i="3"/>
  <x:c r="AE406" i="3"/>
  <x:c r="AD406" i="3"/>
  <x:c r="AC406" i="3"/>
  <x:c r="AB406" i="3"/>
  <x:c r="AA406" i="3"/>
  <x:c r="Z406" i="3"/>
  <x:c r="Y406" i="3"/>
  <x:c r="X406" i="3"/>
  <x:c r="W406" i="3"/>
  <x:c r="V406" i="3"/>
  <x:c r="U406" i="3"/>
  <x:c r="T406" i="3"/>
  <x:c r="E406" i="3"/>
  <x:c r="B406" i="3"/>
  <x:c r="A406" i="3"/>
  <x:c r="AG405" i="3"/>
  <x:c r="AF405" i="3"/>
  <x:c r="AE405" i="3"/>
  <x:c r="AD405" i="3"/>
  <x:c r="AC405" i="3"/>
  <x:c r="AB405" i="3"/>
  <x:c r="AA405" i="3"/>
  <x:c r="Z405" i="3"/>
  <x:c r="Y405" i="3"/>
  <x:c r="X405" i="3"/>
  <x:c r="W405" i="3"/>
  <x:c r="V405" i="3"/>
  <x:c r="U405" i="3"/>
  <x:c r="T405" i="3"/>
  <x:c r="E405" i="3"/>
  <x:c r="B405" i="3"/>
  <x:c r="A405" i="3"/>
  <x:c r="AG404" i="3"/>
  <x:c r="AF404" i="3"/>
  <x:c r="AE404" i="3"/>
  <x:c r="AD404" i="3"/>
  <x:c r="AC404" i="3"/>
  <x:c r="AB404" i="3"/>
  <x:c r="AA404" i="3"/>
  <x:c r="Z404" i="3"/>
  <x:c r="Y404" i="3"/>
  <x:c r="X404" i="3"/>
  <x:c r="W404" i="3"/>
  <x:c r="V404" i="3"/>
  <x:c r="U404" i="3"/>
  <x:c r="T404" i="3"/>
  <x:c r="E404" i="3"/>
  <x:c r="B404" i="3"/>
  <x:c r="A404" i="3"/>
  <x:c r="AG403" i="3"/>
  <x:c r="AF403" i="3"/>
  <x:c r="AE403" i="3"/>
  <x:c r="AD403" i="3"/>
  <x:c r="AC403" i="3"/>
  <x:c r="AB403" i="3"/>
  <x:c r="AA403" i="3"/>
  <x:c r="Z403" i="3"/>
  <x:c r="Y403" i="3"/>
  <x:c r="X403" i="3"/>
  <x:c r="W403" i="3"/>
  <x:c r="V403" i="3"/>
  <x:c r="U403" i="3"/>
  <x:c r="T403" i="3"/>
  <x:c r="E403" i="3"/>
  <x:c r="B403" i="3"/>
  <x:c r="A403" i="3"/>
  <x:c r="AG402" i="3"/>
  <x:c r="AF402" i="3"/>
  <x:c r="AE402" i="3"/>
  <x:c r="AD402" i="3"/>
  <x:c r="AC402" i="3"/>
  <x:c r="AB402" i="3"/>
  <x:c r="AA402" i="3"/>
  <x:c r="Z402" i="3"/>
  <x:c r="Y402" i="3"/>
  <x:c r="X402" i="3"/>
  <x:c r="W402" i="3"/>
  <x:c r="V402" i="3"/>
  <x:c r="U402" i="3"/>
  <x:c r="T402" i="3"/>
  <x:c r="E402" i="3"/>
  <x:c r="B402" i="3"/>
  <x:c r="A402" i="3"/>
  <x:c r="AG401" i="3"/>
  <x:c r="AF401" i="3"/>
  <x:c r="AE401" i="3"/>
  <x:c r="AD401" i="3"/>
  <x:c r="AC401" i="3"/>
  <x:c r="AB401" i="3"/>
  <x:c r="AA401" i="3"/>
  <x:c r="Z401" i="3"/>
  <x:c r="Y401" i="3"/>
  <x:c r="X401" i="3"/>
  <x:c r="W401" i="3"/>
  <x:c r="V401" i="3"/>
  <x:c r="U401" i="3"/>
  <x:c r="T401" i="3"/>
  <x:c r="E401" i="3"/>
  <x:c r="B401" i="3"/>
  <x:c r="A401" i="3"/>
  <x:c r="AG400" i="3"/>
  <x:c r="AF400" i="3"/>
  <x:c r="AE400" i="3"/>
  <x:c r="AD400" i="3"/>
  <x:c r="AC400" i="3"/>
  <x:c r="AB400" i="3"/>
  <x:c r="AA400" i="3"/>
  <x:c r="Z400" i="3"/>
  <x:c r="Y400" i="3"/>
  <x:c r="X400" i="3"/>
  <x:c r="W400" i="3"/>
  <x:c r="V400" i="3"/>
  <x:c r="U400" i="3"/>
  <x:c r="T400" i="3"/>
  <x:c r="E400" i="3"/>
  <x:c r="B400" i="3"/>
  <x:c r="A400" i="3"/>
  <x:c r="AG399" i="3"/>
  <x:c r="AF399" i="3"/>
  <x:c r="AE399" i="3"/>
  <x:c r="AD399" i="3"/>
  <x:c r="AC399" i="3"/>
  <x:c r="AB399" i="3"/>
  <x:c r="AA399" i="3"/>
  <x:c r="Z399" i="3"/>
  <x:c r="Y399" i="3"/>
  <x:c r="X399" i="3"/>
  <x:c r="W399" i="3"/>
  <x:c r="V399" i="3"/>
  <x:c r="U399" i="3"/>
  <x:c r="T399" i="3"/>
  <x:c r="E399" i="3"/>
  <x:c r="B399" i="3"/>
  <x:c r="A399" i="3"/>
  <x:c r="AG398" i="3"/>
  <x:c r="AF398" i="3"/>
  <x:c r="AE398" i="3"/>
  <x:c r="AD398" i="3"/>
  <x:c r="AC398" i="3"/>
  <x:c r="AB398" i="3"/>
  <x:c r="AA398" i="3"/>
  <x:c r="Z398" i="3"/>
  <x:c r="Y398" i="3"/>
  <x:c r="X398" i="3"/>
  <x:c r="W398" i="3"/>
  <x:c r="V398" i="3"/>
  <x:c r="U398" i="3"/>
  <x:c r="T398" i="3"/>
  <x:c r="E398" i="3"/>
  <x:c r="B398" i="3"/>
  <x:c r="A398" i="3"/>
  <x:c r="AG397" i="3"/>
  <x:c r="AF397" i="3"/>
  <x:c r="AE397" i="3"/>
  <x:c r="AD397" i="3"/>
  <x:c r="AC397" i="3"/>
  <x:c r="AB397" i="3"/>
  <x:c r="AA397" i="3"/>
  <x:c r="Z397" i="3"/>
  <x:c r="Y397" i="3"/>
  <x:c r="X397" i="3"/>
  <x:c r="W397" i="3"/>
  <x:c r="V397" i="3"/>
  <x:c r="U397" i="3"/>
  <x:c r="T397" i="3"/>
  <x:c r="E397" i="3"/>
  <x:c r="B397" i="3"/>
  <x:c r="A397" i="3"/>
  <x:c r="AG396" i="3"/>
  <x:c r="AF396" i="3"/>
  <x:c r="AE396" i="3"/>
  <x:c r="AD396" i="3"/>
  <x:c r="AC396" i="3"/>
  <x:c r="AB396" i="3"/>
  <x:c r="AA396" i="3"/>
  <x:c r="Z396" i="3"/>
  <x:c r="Y396" i="3"/>
  <x:c r="X396" i="3"/>
  <x:c r="W396" i="3"/>
  <x:c r="V396" i="3"/>
  <x:c r="U396" i="3"/>
  <x:c r="T396" i="3"/>
  <x:c r="E396" i="3"/>
  <x:c r="B396" i="3"/>
  <x:c r="A396" i="3"/>
  <x:c r="AG395" i="3"/>
  <x:c r="AF395" i="3"/>
  <x:c r="AE395" i="3"/>
  <x:c r="AD395" i="3"/>
  <x:c r="AC395" i="3"/>
  <x:c r="AB395" i="3"/>
  <x:c r="AA395" i="3"/>
  <x:c r="Z395" i="3"/>
  <x:c r="Y395" i="3"/>
  <x:c r="X395" i="3"/>
  <x:c r="W395" i="3"/>
  <x:c r="V395" i="3"/>
  <x:c r="U395" i="3"/>
  <x:c r="T395" i="3"/>
  <x:c r="E395" i="3"/>
  <x:c r="B395" i="3"/>
  <x:c r="A395" i="3"/>
  <x:c r="AG394" i="3"/>
  <x:c r="AF394" i="3"/>
  <x:c r="AE394" i="3"/>
  <x:c r="AD394" i="3"/>
  <x:c r="AC394" i="3"/>
  <x:c r="AB394" i="3"/>
  <x:c r="AA394" i="3"/>
  <x:c r="Z394" i="3"/>
  <x:c r="Y394" i="3"/>
  <x:c r="X394" i="3"/>
  <x:c r="W394" i="3"/>
  <x:c r="V394" i="3"/>
  <x:c r="U394" i="3"/>
  <x:c r="T394" i="3"/>
  <x:c r="E394" i="3"/>
  <x:c r="B394" i="3"/>
  <x:c r="A394" i="3"/>
  <x:c r="AG393" i="3"/>
  <x:c r="AF393" i="3"/>
  <x:c r="AE393" i="3"/>
  <x:c r="AD393" i="3"/>
  <x:c r="AC393" i="3"/>
  <x:c r="AB393" i="3"/>
  <x:c r="AA393" i="3"/>
  <x:c r="Z393" i="3"/>
  <x:c r="Y393" i="3"/>
  <x:c r="X393" i="3"/>
  <x:c r="W393" i="3"/>
  <x:c r="V393" i="3"/>
  <x:c r="U393" i="3"/>
  <x:c r="T393" i="3"/>
  <x:c r="E393" i="3"/>
  <x:c r="B393" i="3"/>
  <x:c r="A393" i="3"/>
  <x:c r="AG392" i="3"/>
  <x:c r="AF392" i="3"/>
  <x:c r="AE392" i="3"/>
  <x:c r="AD392" i="3"/>
  <x:c r="AC392" i="3"/>
  <x:c r="AB392" i="3"/>
  <x:c r="AA392" i="3"/>
  <x:c r="Z392" i="3"/>
  <x:c r="Y392" i="3"/>
  <x:c r="X392" i="3"/>
  <x:c r="W392" i="3"/>
  <x:c r="V392" i="3"/>
  <x:c r="U392" i="3"/>
  <x:c r="T392" i="3"/>
  <x:c r="E392" i="3"/>
  <x:c r="B392" i="3"/>
  <x:c r="A392" i="3"/>
  <x:c r="AG391" i="3"/>
  <x:c r="AF391" i="3"/>
  <x:c r="AE391" i="3"/>
  <x:c r="AD391" i="3"/>
  <x:c r="AC391" i="3"/>
  <x:c r="AB391" i="3"/>
  <x:c r="AA391" i="3"/>
  <x:c r="Z391" i="3"/>
  <x:c r="Y391" i="3"/>
  <x:c r="X391" i="3"/>
  <x:c r="W391" i="3"/>
  <x:c r="V391" i="3"/>
  <x:c r="U391" i="3"/>
  <x:c r="T391" i="3"/>
  <x:c r="E391" i="3"/>
  <x:c r="B391" i="3"/>
  <x:c r="A391" i="3"/>
  <x:c r="AG390" i="3"/>
  <x:c r="AF390" i="3"/>
  <x:c r="AE390" i="3"/>
  <x:c r="AD390" i="3"/>
  <x:c r="AC390" i="3"/>
  <x:c r="AB390" i="3"/>
  <x:c r="AA390" i="3"/>
  <x:c r="Z390" i="3"/>
  <x:c r="Y390" i="3"/>
  <x:c r="X390" i="3"/>
  <x:c r="W390" i="3"/>
  <x:c r="V390" i="3"/>
  <x:c r="U390" i="3"/>
  <x:c r="T390" i="3"/>
  <x:c r="E390" i="3"/>
  <x:c r="B390" i="3"/>
  <x:c r="A390" i="3"/>
  <x:c r="AG389" i="3"/>
  <x:c r="AF389" i="3"/>
  <x:c r="AE389" i="3"/>
  <x:c r="AD389" i="3"/>
  <x:c r="AC389" i="3"/>
  <x:c r="AB389" i="3"/>
  <x:c r="AA389" i="3"/>
  <x:c r="Z389" i="3"/>
  <x:c r="Y389" i="3"/>
  <x:c r="X389" i="3"/>
  <x:c r="W389" i="3"/>
  <x:c r="V389" i="3"/>
  <x:c r="U389" i="3"/>
  <x:c r="T389" i="3"/>
  <x:c r="E389" i="3"/>
  <x:c r="B389" i="3"/>
  <x:c r="A389" i="3"/>
  <x:c r="AG388" i="3"/>
  <x:c r="AF388" i="3"/>
  <x:c r="AE388" i="3"/>
  <x:c r="AD388" i="3"/>
  <x:c r="AC388" i="3"/>
  <x:c r="AB388" i="3"/>
  <x:c r="AA388" i="3"/>
  <x:c r="Z388" i="3"/>
  <x:c r="Y388" i="3"/>
  <x:c r="X388" i="3"/>
  <x:c r="W388" i="3"/>
  <x:c r="V388" i="3"/>
  <x:c r="U388" i="3"/>
  <x:c r="T388" i="3"/>
  <x:c r="E388" i="3"/>
  <x:c r="B388" i="3"/>
  <x:c r="A388" i="3"/>
  <x:c r="AG387" i="3"/>
  <x:c r="AF387" i="3"/>
  <x:c r="AE387" i="3"/>
  <x:c r="AD387" i="3"/>
  <x:c r="AC387" i="3"/>
  <x:c r="AB387" i="3"/>
  <x:c r="AA387" i="3"/>
  <x:c r="Z387" i="3"/>
  <x:c r="Y387" i="3"/>
  <x:c r="X387" i="3"/>
  <x:c r="W387" i="3"/>
  <x:c r="V387" i="3"/>
  <x:c r="U387" i="3"/>
  <x:c r="T387" i="3"/>
  <x:c r="E387" i="3"/>
  <x:c r="B387" i="3"/>
  <x:c r="A387" i="3"/>
  <x:c r="AG386" i="3"/>
  <x:c r="AF386" i="3"/>
  <x:c r="AE386" i="3"/>
  <x:c r="AD386" i="3"/>
  <x:c r="AC386" i="3"/>
  <x:c r="AB386" i="3"/>
  <x:c r="AA386" i="3"/>
  <x:c r="Z386" i="3"/>
  <x:c r="Y386" i="3"/>
  <x:c r="X386" i="3"/>
  <x:c r="W386" i="3"/>
  <x:c r="V386" i="3"/>
  <x:c r="U386" i="3"/>
  <x:c r="T386" i="3"/>
  <x:c r="E386" i="3"/>
  <x:c r="B386" i="3"/>
  <x:c r="A386" i="3"/>
  <x:c r="AG385" i="3"/>
  <x:c r="AF385" i="3"/>
  <x:c r="AE385" i="3"/>
  <x:c r="AD385" i="3"/>
  <x:c r="AC385" i="3"/>
  <x:c r="AB385" i="3"/>
  <x:c r="AA385" i="3"/>
  <x:c r="Z385" i="3"/>
  <x:c r="Y385" i="3"/>
  <x:c r="X385" i="3"/>
  <x:c r="W385" i="3"/>
  <x:c r="V385" i="3"/>
  <x:c r="U385" i="3"/>
  <x:c r="T385" i="3"/>
  <x:c r="E385" i="3"/>
  <x:c r="B385" i="3"/>
  <x:c r="A385" i="3"/>
  <x:c r="AG384" i="3"/>
  <x:c r="AF384" i="3"/>
  <x:c r="AE384" i="3"/>
  <x:c r="AD384" i="3"/>
  <x:c r="AC384" i="3"/>
  <x:c r="AB384" i="3"/>
  <x:c r="AA384" i="3"/>
  <x:c r="Z384" i="3"/>
  <x:c r="Y384" i="3"/>
  <x:c r="X384" i="3"/>
  <x:c r="W384" i="3"/>
  <x:c r="V384" i="3"/>
  <x:c r="U384" i="3"/>
  <x:c r="T384" i="3"/>
  <x:c r="E384" i="3"/>
  <x:c r="B384" i="3"/>
  <x:c r="A384" i="3"/>
  <x:c r="AG383" i="3"/>
  <x:c r="AF383" i="3"/>
  <x:c r="AE383" i="3"/>
  <x:c r="AD383" i="3"/>
  <x:c r="AC383" i="3"/>
  <x:c r="AB383" i="3"/>
  <x:c r="AA383" i="3"/>
  <x:c r="Z383" i="3"/>
  <x:c r="Y383" i="3"/>
  <x:c r="X383" i="3"/>
  <x:c r="W383" i="3"/>
  <x:c r="V383" i="3"/>
  <x:c r="U383" i="3"/>
  <x:c r="T383" i="3"/>
  <x:c r="E383" i="3"/>
  <x:c r="B383" i="3"/>
  <x:c r="A383" i="3"/>
  <x:c r="AG382" i="3"/>
  <x:c r="AF382" i="3"/>
  <x:c r="AE382" i="3"/>
  <x:c r="AD382" i="3"/>
  <x:c r="AC382" i="3"/>
  <x:c r="AB382" i="3"/>
  <x:c r="AA382" i="3"/>
  <x:c r="Z382" i="3"/>
  <x:c r="Y382" i="3"/>
  <x:c r="X382" i="3"/>
  <x:c r="W382" i="3"/>
  <x:c r="V382" i="3"/>
  <x:c r="U382" i="3"/>
  <x:c r="T382" i="3"/>
  <x:c r="E382" i="3"/>
  <x:c r="B382" i="3"/>
  <x:c r="A382" i="3"/>
  <x:c r="AG381" i="3"/>
  <x:c r="AF381" i="3"/>
  <x:c r="AE381" i="3"/>
  <x:c r="AD381" i="3"/>
  <x:c r="AC381" i="3"/>
  <x:c r="AB381" i="3"/>
  <x:c r="AA381" i="3"/>
  <x:c r="Z381" i="3"/>
  <x:c r="Y381" i="3"/>
  <x:c r="X381" i="3"/>
  <x:c r="W381" i="3"/>
  <x:c r="V381" i="3"/>
  <x:c r="U381" i="3"/>
  <x:c r="T381" i="3"/>
  <x:c r="E381" i="3"/>
  <x:c r="B381" i="3"/>
  <x:c r="A381" i="3"/>
  <x:c r="AG380" i="3"/>
  <x:c r="AF380" i="3"/>
  <x:c r="AE380" i="3"/>
  <x:c r="AD380" i="3"/>
  <x:c r="AC380" i="3"/>
  <x:c r="AB380" i="3"/>
  <x:c r="AA380" i="3"/>
  <x:c r="Z380" i="3"/>
  <x:c r="Y380" i="3"/>
  <x:c r="X380" i="3"/>
  <x:c r="W380" i="3"/>
  <x:c r="V380" i="3"/>
  <x:c r="U380" i="3"/>
  <x:c r="T380" i="3"/>
  <x:c r="E380" i="3"/>
  <x:c r="B380" i="3"/>
  <x:c r="A380" i="3"/>
  <x:c r="AG379" i="3"/>
  <x:c r="AF379" i="3"/>
  <x:c r="AE379" i="3"/>
  <x:c r="AD379" i="3"/>
  <x:c r="AC379" i="3"/>
  <x:c r="AB379" i="3"/>
  <x:c r="AA379" i="3"/>
  <x:c r="Z379" i="3"/>
  <x:c r="Y379" i="3"/>
  <x:c r="X379" i="3"/>
  <x:c r="W379" i="3"/>
  <x:c r="V379" i="3"/>
  <x:c r="U379" i="3"/>
  <x:c r="T379" i="3"/>
  <x:c r="E379" i="3"/>
  <x:c r="B379" i="3"/>
  <x:c r="A379" i="3"/>
  <x:c r="AG378" i="3"/>
  <x:c r="AF378" i="3"/>
  <x:c r="AE378" i="3"/>
  <x:c r="AD378" i="3"/>
  <x:c r="AC378" i="3"/>
  <x:c r="AB378" i="3"/>
  <x:c r="AA378" i="3"/>
  <x:c r="Z378" i="3"/>
  <x:c r="Y378" i="3"/>
  <x:c r="X378" i="3"/>
  <x:c r="W378" i="3"/>
  <x:c r="V378" i="3"/>
  <x:c r="U378" i="3"/>
  <x:c r="T378" i="3"/>
  <x:c r="E378" i="3"/>
  <x:c r="B378" i="3"/>
  <x:c r="A378" i="3"/>
  <x:c r="AG377" i="3"/>
  <x:c r="AF377" i="3"/>
  <x:c r="AE377" i="3"/>
  <x:c r="AD377" i="3"/>
  <x:c r="AC377" i="3"/>
  <x:c r="AB377" i="3"/>
  <x:c r="AA377" i="3"/>
  <x:c r="Z377" i="3"/>
  <x:c r="Y377" i="3"/>
  <x:c r="X377" i="3"/>
  <x:c r="W377" i="3"/>
  <x:c r="V377" i="3"/>
  <x:c r="U377" i="3"/>
  <x:c r="T377" i="3"/>
  <x:c r="E377" i="3"/>
  <x:c r="B377" i="3"/>
  <x:c r="A377" i="3"/>
  <x:c r="AG376" i="3"/>
  <x:c r="AF376" i="3"/>
  <x:c r="AE376" i="3"/>
  <x:c r="AD376" i="3"/>
  <x:c r="AC376" i="3"/>
  <x:c r="AB376" i="3"/>
  <x:c r="AA376" i="3"/>
  <x:c r="Z376" i="3"/>
  <x:c r="Y376" i="3"/>
  <x:c r="X376" i="3"/>
  <x:c r="W376" i="3"/>
  <x:c r="V376" i="3"/>
  <x:c r="U376" i="3"/>
  <x:c r="T376" i="3"/>
  <x:c r="E376" i="3"/>
  <x:c r="B376" i="3"/>
  <x:c r="A376" i="3"/>
  <x:c r="AG375" i="3"/>
  <x:c r="AF375" i="3"/>
  <x:c r="AE375" i="3"/>
  <x:c r="AD375" i="3"/>
  <x:c r="AC375" i="3"/>
  <x:c r="AB375" i="3"/>
  <x:c r="AA375" i="3"/>
  <x:c r="Z375" i="3"/>
  <x:c r="Y375" i="3"/>
  <x:c r="X375" i="3"/>
  <x:c r="W375" i="3"/>
  <x:c r="V375" i="3"/>
  <x:c r="U375" i="3"/>
  <x:c r="T375" i="3"/>
  <x:c r="E375" i="3"/>
  <x:c r="B375" i="3"/>
  <x:c r="A375" i="3"/>
  <x:c r="AG374" i="3"/>
  <x:c r="AF374" i="3"/>
  <x:c r="AE374" i="3"/>
  <x:c r="AD374" i="3"/>
  <x:c r="AC374" i="3"/>
  <x:c r="AB374" i="3"/>
  <x:c r="AA374" i="3"/>
  <x:c r="Z374" i="3"/>
  <x:c r="Y374" i="3"/>
  <x:c r="X374" i="3"/>
  <x:c r="W374" i="3"/>
  <x:c r="V374" i="3"/>
  <x:c r="U374" i="3"/>
  <x:c r="T374" i="3"/>
  <x:c r="E374" i="3"/>
  <x:c r="B374" i="3"/>
  <x:c r="A374" i="3"/>
  <x:c r="AG373" i="3"/>
  <x:c r="AF373" i="3"/>
  <x:c r="AE373" i="3"/>
  <x:c r="AD373" i="3"/>
  <x:c r="AC373" i="3"/>
  <x:c r="AB373" i="3"/>
  <x:c r="AA373" i="3"/>
  <x:c r="Z373" i="3"/>
  <x:c r="Y373" i="3"/>
  <x:c r="X373" i="3"/>
  <x:c r="W373" i="3"/>
  <x:c r="V373" i="3"/>
  <x:c r="U373" i="3"/>
  <x:c r="T373" i="3"/>
  <x:c r="E373" i="3"/>
  <x:c r="B373" i="3"/>
  <x:c r="A373" i="3"/>
  <x:c r="AG372" i="3"/>
  <x:c r="AF372" i="3"/>
  <x:c r="AE372" i="3"/>
  <x:c r="AD372" i="3"/>
  <x:c r="AC372" i="3"/>
  <x:c r="AB372" i="3"/>
  <x:c r="AA372" i="3"/>
  <x:c r="Z372" i="3"/>
  <x:c r="Y372" i="3"/>
  <x:c r="X372" i="3"/>
  <x:c r="W372" i="3"/>
  <x:c r="V372" i="3"/>
  <x:c r="U372" i="3"/>
  <x:c r="T372" i="3"/>
  <x:c r="E372" i="3"/>
  <x:c r="B372" i="3"/>
  <x:c r="A372" i="3"/>
  <x:c r="AG371" i="3"/>
  <x:c r="AF371" i="3"/>
  <x:c r="AE371" i="3"/>
  <x:c r="AD371" i="3"/>
  <x:c r="AC371" i="3"/>
  <x:c r="AB371" i="3"/>
  <x:c r="AA371" i="3"/>
  <x:c r="Z371" i="3"/>
  <x:c r="Y371" i="3"/>
  <x:c r="X371" i="3"/>
  <x:c r="W371" i="3"/>
  <x:c r="V371" i="3"/>
  <x:c r="U371" i="3"/>
  <x:c r="T371" i="3"/>
  <x:c r="E371" i="3"/>
  <x:c r="B371" i="3"/>
  <x:c r="A371" i="3"/>
  <x:c r="AG370" i="3"/>
  <x:c r="AF370" i="3"/>
  <x:c r="AE370" i="3"/>
  <x:c r="AD370" i="3"/>
  <x:c r="AC370" i="3"/>
  <x:c r="AB370" i="3"/>
  <x:c r="AA370" i="3"/>
  <x:c r="Z370" i="3"/>
  <x:c r="Y370" i="3"/>
  <x:c r="X370" i="3"/>
  <x:c r="W370" i="3"/>
  <x:c r="V370" i="3"/>
  <x:c r="U370" i="3"/>
  <x:c r="T370" i="3"/>
  <x:c r="E370" i="3"/>
  <x:c r="B370" i="3"/>
  <x:c r="A370" i="3"/>
  <x:c r="AG369" i="3"/>
  <x:c r="AF369" i="3"/>
  <x:c r="AE369" i="3"/>
  <x:c r="AD369" i="3"/>
  <x:c r="AC369" i="3"/>
  <x:c r="AB369" i="3"/>
  <x:c r="AA369" i="3"/>
  <x:c r="Z369" i="3"/>
  <x:c r="Y369" i="3"/>
  <x:c r="X369" i="3"/>
  <x:c r="W369" i="3"/>
  <x:c r="V369" i="3"/>
  <x:c r="U369" i="3"/>
  <x:c r="T369" i="3"/>
  <x:c r="E369" i="3"/>
  <x:c r="B369" i="3"/>
  <x:c r="A369" i="3"/>
  <x:c r="AG368" i="3"/>
  <x:c r="AF368" i="3"/>
  <x:c r="AE368" i="3"/>
  <x:c r="AD368" i="3"/>
  <x:c r="AC368" i="3"/>
  <x:c r="AB368" i="3"/>
  <x:c r="AA368" i="3"/>
  <x:c r="Z368" i="3"/>
  <x:c r="Y368" i="3"/>
  <x:c r="X368" i="3"/>
  <x:c r="W368" i="3"/>
  <x:c r="V368" i="3"/>
  <x:c r="U368" i="3"/>
  <x:c r="T368" i="3"/>
  <x:c r="E368" i="3"/>
  <x:c r="B368" i="3"/>
  <x:c r="A368" i="3"/>
  <x:c r="AG367" i="3"/>
  <x:c r="AF367" i="3"/>
  <x:c r="AE367" i="3"/>
  <x:c r="AD367" i="3"/>
  <x:c r="AC367" i="3"/>
  <x:c r="AB367" i="3"/>
  <x:c r="AA367" i="3"/>
  <x:c r="Z367" i="3"/>
  <x:c r="Y367" i="3"/>
  <x:c r="X367" i="3"/>
  <x:c r="W367" i="3"/>
  <x:c r="V367" i="3"/>
  <x:c r="U367" i="3"/>
  <x:c r="T367" i="3"/>
  <x:c r="E367" i="3"/>
  <x:c r="B367" i="3"/>
  <x:c r="A367" i="3"/>
  <x:c r="AG366" i="3"/>
  <x:c r="AF366" i="3"/>
  <x:c r="AE366" i="3"/>
  <x:c r="AD366" i="3"/>
  <x:c r="AC366" i="3"/>
  <x:c r="AB366" i="3"/>
  <x:c r="AA366" i="3"/>
  <x:c r="Z366" i="3"/>
  <x:c r="Y366" i="3"/>
  <x:c r="X366" i="3"/>
  <x:c r="W366" i="3"/>
  <x:c r="V366" i="3"/>
  <x:c r="U366" i="3"/>
  <x:c r="T366" i="3"/>
  <x:c r="E366" i="3"/>
  <x:c r="B366" i="3"/>
  <x:c r="A366" i="3"/>
  <x:c r="AG365" i="3"/>
  <x:c r="AF365" i="3"/>
  <x:c r="AE365" i="3"/>
  <x:c r="AD365" i="3"/>
  <x:c r="AC365" i="3"/>
  <x:c r="AB365" i="3"/>
  <x:c r="AA365" i="3"/>
  <x:c r="Z365" i="3"/>
  <x:c r="Y365" i="3"/>
  <x:c r="X365" i="3"/>
  <x:c r="W365" i="3"/>
  <x:c r="V365" i="3"/>
  <x:c r="U365" i="3"/>
  <x:c r="T365" i="3"/>
  <x:c r="E365" i="3"/>
  <x:c r="B365" i="3"/>
  <x:c r="A365" i="3"/>
  <x:c r="AG364" i="3"/>
  <x:c r="AF364" i="3"/>
  <x:c r="AE364" i="3"/>
  <x:c r="AD364" i="3"/>
  <x:c r="AC364" i="3"/>
  <x:c r="AB364" i="3"/>
  <x:c r="AA364" i="3"/>
  <x:c r="Z364" i="3"/>
  <x:c r="Y364" i="3"/>
  <x:c r="X364" i="3"/>
  <x:c r="W364" i="3"/>
  <x:c r="V364" i="3"/>
  <x:c r="U364" i="3"/>
  <x:c r="T364" i="3"/>
  <x:c r="E364" i="3"/>
  <x:c r="B364" i="3"/>
  <x:c r="A364" i="3"/>
  <x:c r="AG363" i="3"/>
  <x:c r="AF363" i="3"/>
  <x:c r="AE363" i="3"/>
  <x:c r="AD363" i="3"/>
  <x:c r="AC363" i="3"/>
  <x:c r="AB363" i="3"/>
  <x:c r="AA363" i="3"/>
  <x:c r="Z363" i="3"/>
  <x:c r="Y363" i="3"/>
  <x:c r="X363" i="3"/>
  <x:c r="W363" i="3"/>
  <x:c r="V363" i="3"/>
  <x:c r="U363" i="3"/>
  <x:c r="T363" i="3"/>
  <x:c r="E363" i="3"/>
  <x:c r="B363" i="3"/>
  <x:c r="A363" i="3"/>
  <x:c r="AG362" i="3"/>
  <x:c r="AF362" i="3"/>
  <x:c r="AE362" i="3"/>
  <x:c r="AD362" i="3"/>
  <x:c r="AC362" i="3"/>
  <x:c r="AB362" i="3"/>
  <x:c r="AA362" i="3"/>
  <x:c r="Z362" i="3"/>
  <x:c r="Y362" i="3"/>
  <x:c r="X362" i="3"/>
  <x:c r="W362" i="3"/>
  <x:c r="V362" i="3"/>
  <x:c r="U362" i="3"/>
  <x:c r="T362" i="3"/>
  <x:c r="E362" i="3"/>
  <x:c r="B362" i="3"/>
  <x:c r="A362" i="3"/>
  <x:c r="AG361" i="3"/>
  <x:c r="AF361" i="3"/>
  <x:c r="AE361" i="3"/>
  <x:c r="AD361" i="3"/>
  <x:c r="AC361" i="3"/>
  <x:c r="AB361" i="3"/>
  <x:c r="AA361" i="3"/>
  <x:c r="Z361" i="3"/>
  <x:c r="Y361" i="3"/>
  <x:c r="X361" i="3"/>
  <x:c r="W361" i="3"/>
  <x:c r="V361" i="3"/>
  <x:c r="U361" i="3"/>
  <x:c r="T361" i="3"/>
  <x:c r="E361" i="3"/>
  <x:c r="B361" i="3"/>
  <x:c r="A361" i="3"/>
  <x:c r="AG360" i="3"/>
  <x:c r="AF360" i="3"/>
  <x:c r="AE360" i="3"/>
  <x:c r="AD360" i="3"/>
  <x:c r="AC360" i="3"/>
  <x:c r="AB360" i="3"/>
  <x:c r="AA360" i="3"/>
  <x:c r="Z360" i="3"/>
  <x:c r="Y360" i="3"/>
  <x:c r="X360" i="3"/>
  <x:c r="W360" i="3"/>
  <x:c r="V360" i="3"/>
  <x:c r="U360" i="3"/>
  <x:c r="T360" i="3"/>
  <x:c r="E360" i="3"/>
  <x:c r="B360" i="3"/>
  <x:c r="A360" i="3"/>
  <x:c r="AG359" i="3"/>
  <x:c r="AF359" i="3"/>
  <x:c r="AE359" i="3"/>
  <x:c r="AD359" i="3"/>
  <x:c r="AC359" i="3"/>
  <x:c r="AB359" i="3"/>
  <x:c r="AA359" i="3"/>
  <x:c r="Z359" i="3"/>
  <x:c r="Y359" i="3"/>
  <x:c r="X359" i="3"/>
  <x:c r="W359" i="3"/>
  <x:c r="V359" i="3"/>
  <x:c r="U359" i="3"/>
  <x:c r="T359" i="3"/>
  <x:c r="E359" i="3"/>
  <x:c r="B359" i="3"/>
  <x:c r="A359" i="3"/>
  <x:c r="AG358" i="3"/>
  <x:c r="AF358" i="3"/>
  <x:c r="AE358" i="3"/>
  <x:c r="AD358" i="3"/>
  <x:c r="AC358" i="3"/>
  <x:c r="AB358" i="3"/>
  <x:c r="AA358" i="3"/>
  <x:c r="Z358" i="3"/>
  <x:c r="Y358" i="3"/>
  <x:c r="X358" i="3"/>
  <x:c r="W358" i="3"/>
  <x:c r="V358" i="3"/>
  <x:c r="U358" i="3"/>
  <x:c r="T358" i="3"/>
  <x:c r="E358" i="3"/>
  <x:c r="B358" i="3"/>
  <x:c r="A358" i="3"/>
  <x:c r="AG357" i="3"/>
  <x:c r="AF357" i="3"/>
  <x:c r="AE357" i="3"/>
  <x:c r="AD357" i="3"/>
  <x:c r="AC357" i="3"/>
  <x:c r="AB357" i="3"/>
  <x:c r="AA357" i="3"/>
  <x:c r="Z357" i="3"/>
  <x:c r="Y357" i="3"/>
  <x:c r="X357" i="3"/>
  <x:c r="W357" i="3"/>
  <x:c r="V357" i="3"/>
  <x:c r="U357" i="3"/>
  <x:c r="T357" i="3"/>
  <x:c r="E357" i="3"/>
  <x:c r="B357" i="3"/>
  <x:c r="A357" i="3"/>
  <x:c r="AG356" i="3"/>
  <x:c r="AF356" i="3"/>
  <x:c r="AE356" i="3"/>
  <x:c r="AD356" i="3"/>
  <x:c r="AC356" i="3"/>
  <x:c r="AB356" i="3"/>
  <x:c r="AA356" i="3"/>
  <x:c r="Z356" i="3"/>
  <x:c r="Y356" i="3"/>
  <x:c r="X356" i="3"/>
  <x:c r="W356" i="3"/>
  <x:c r="V356" i="3"/>
  <x:c r="U356" i="3"/>
  <x:c r="T356" i="3"/>
  <x:c r="E356" i="3"/>
  <x:c r="B356" i="3"/>
  <x:c r="A356" i="3"/>
  <x:c r="AG355" i="3"/>
  <x:c r="AF355" i="3"/>
  <x:c r="AE355" i="3"/>
  <x:c r="AD355" i="3"/>
  <x:c r="AC355" i="3"/>
  <x:c r="AB355" i="3"/>
  <x:c r="AA355" i="3"/>
  <x:c r="Z355" i="3"/>
  <x:c r="Y355" i="3"/>
  <x:c r="X355" i="3"/>
  <x:c r="W355" i="3"/>
  <x:c r="V355" i="3"/>
  <x:c r="U355" i="3"/>
  <x:c r="T355" i="3"/>
  <x:c r="E355" i="3"/>
  <x:c r="B355" i="3"/>
  <x:c r="A355" i="3"/>
  <x:c r="AG354" i="3"/>
  <x:c r="AF354" i="3"/>
  <x:c r="AE354" i="3"/>
  <x:c r="AD354" i="3"/>
  <x:c r="AC354" i="3"/>
  <x:c r="AB354" i="3"/>
  <x:c r="AA354" i="3"/>
  <x:c r="Z354" i="3"/>
  <x:c r="Y354" i="3"/>
  <x:c r="X354" i="3"/>
  <x:c r="W354" i="3"/>
  <x:c r="V354" i="3"/>
  <x:c r="U354" i="3"/>
  <x:c r="T354" i="3"/>
  <x:c r="E354" i="3"/>
  <x:c r="B354" i="3"/>
  <x:c r="A354" i="3"/>
  <x:c r="AG353" i="3"/>
  <x:c r="AF353" i="3"/>
  <x:c r="AE353" i="3"/>
  <x:c r="AD353" i="3"/>
  <x:c r="AC353" i="3"/>
  <x:c r="AB353" i="3"/>
  <x:c r="AA353" i="3"/>
  <x:c r="Z353" i="3"/>
  <x:c r="Y353" i="3"/>
  <x:c r="X353" i="3"/>
  <x:c r="W353" i="3"/>
  <x:c r="V353" i="3"/>
  <x:c r="U353" i="3"/>
  <x:c r="T353" i="3"/>
  <x:c r="E353" i="3"/>
  <x:c r="B353" i="3"/>
  <x:c r="A353" i="3"/>
  <x:c r="AG352" i="3"/>
  <x:c r="AF352" i="3"/>
  <x:c r="AE352" i="3"/>
  <x:c r="AD352" i="3"/>
  <x:c r="AC352" i="3"/>
  <x:c r="AB352" i="3"/>
  <x:c r="AA352" i="3"/>
  <x:c r="Z352" i="3"/>
  <x:c r="Y352" i="3"/>
  <x:c r="X352" i="3"/>
  <x:c r="W352" i="3"/>
  <x:c r="V352" i="3"/>
  <x:c r="U352" i="3"/>
  <x:c r="T352" i="3"/>
  <x:c r="E352" i="3"/>
  <x:c r="B352" i="3"/>
  <x:c r="A352" i="3"/>
  <x:c r="AG351" i="3"/>
  <x:c r="AF351" i="3"/>
  <x:c r="AE351" i="3"/>
  <x:c r="AD351" i="3"/>
  <x:c r="AC351" i="3"/>
  <x:c r="AB351" i="3"/>
  <x:c r="AA351" i="3"/>
  <x:c r="Z351" i="3"/>
  <x:c r="Y351" i="3"/>
  <x:c r="X351" i="3"/>
  <x:c r="W351" i="3"/>
  <x:c r="V351" i="3"/>
  <x:c r="U351" i="3"/>
  <x:c r="T351" i="3"/>
  <x:c r="E351" i="3"/>
  <x:c r="B351" i="3"/>
  <x:c r="A351" i="3"/>
  <x:c r="AG350" i="3"/>
  <x:c r="AF350" i="3"/>
  <x:c r="AE350" i="3"/>
  <x:c r="AD350" i="3"/>
  <x:c r="AC350" i="3"/>
  <x:c r="AB350" i="3"/>
  <x:c r="AA350" i="3"/>
  <x:c r="Z350" i="3"/>
  <x:c r="Y350" i="3"/>
  <x:c r="X350" i="3"/>
  <x:c r="W350" i="3"/>
  <x:c r="V350" i="3"/>
  <x:c r="U350" i="3"/>
  <x:c r="T350" i="3"/>
  <x:c r="E350" i="3"/>
  <x:c r="B350" i="3"/>
  <x:c r="A350" i="3"/>
  <x:c r="AG349" i="3"/>
  <x:c r="AF349" i="3"/>
  <x:c r="AE349" i="3"/>
  <x:c r="AD349" i="3"/>
  <x:c r="AC349" i="3"/>
  <x:c r="AB349" i="3"/>
  <x:c r="AA349" i="3"/>
  <x:c r="Z349" i="3"/>
  <x:c r="Y349" i="3"/>
  <x:c r="X349" i="3"/>
  <x:c r="W349" i="3"/>
  <x:c r="V349" i="3"/>
  <x:c r="U349" i="3"/>
  <x:c r="T349" i="3"/>
  <x:c r="E349" i="3"/>
  <x:c r="B349" i="3"/>
  <x:c r="A349" i="3"/>
  <x:c r="AG348" i="3"/>
  <x:c r="AF348" i="3"/>
  <x:c r="AE348" i="3"/>
  <x:c r="AD348" i="3"/>
  <x:c r="AC348" i="3"/>
  <x:c r="AB348" i="3"/>
  <x:c r="AA348" i="3"/>
  <x:c r="Z348" i="3"/>
  <x:c r="Y348" i="3"/>
  <x:c r="X348" i="3"/>
  <x:c r="W348" i="3"/>
  <x:c r="V348" i="3"/>
  <x:c r="U348" i="3"/>
  <x:c r="T348" i="3"/>
  <x:c r="E348" i="3"/>
  <x:c r="B348" i="3"/>
  <x:c r="A348" i="3"/>
  <x:c r="AG347" i="3"/>
  <x:c r="AF347" i="3"/>
  <x:c r="AE347" i="3"/>
  <x:c r="AD347" i="3"/>
  <x:c r="AC347" i="3"/>
  <x:c r="AB347" i="3"/>
  <x:c r="AA347" i="3"/>
  <x:c r="Z347" i="3"/>
  <x:c r="Y347" i="3"/>
  <x:c r="X347" i="3"/>
  <x:c r="W347" i="3"/>
  <x:c r="V347" i="3"/>
  <x:c r="U347" i="3"/>
  <x:c r="T347" i="3"/>
  <x:c r="E347" i="3"/>
  <x:c r="B347" i="3"/>
  <x:c r="A347" i="3"/>
  <x:c r="AG346" i="3"/>
  <x:c r="AF346" i="3"/>
  <x:c r="AE346" i="3"/>
  <x:c r="AD346" i="3"/>
  <x:c r="AC346" i="3"/>
  <x:c r="AB346" i="3"/>
  <x:c r="AA346" i="3"/>
  <x:c r="Z346" i="3"/>
  <x:c r="Y346" i="3"/>
  <x:c r="X346" i="3"/>
  <x:c r="W346" i="3"/>
  <x:c r="V346" i="3"/>
  <x:c r="U346" i="3"/>
  <x:c r="T346" i="3"/>
  <x:c r="E346" i="3"/>
  <x:c r="B346" i="3"/>
  <x:c r="A346" i="3"/>
  <x:c r="AG345" i="3"/>
  <x:c r="AF345" i="3"/>
  <x:c r="AE345" i="3"/>
  <x:c r="AD345" i="3"/>
  <x:c r="AC345" i="3"/>
  <x:c r="AB345" i="3"/>
  <x:c r="AA345" i="3"/>
  <x:c r="Z345" i="3"/>
  <x:c r="Y345" i="3"/>
  <x:c r="X345" i="3"/>
  <x:c r="W345" i="3"/>
  <x:c r="V345" i="3"/>
  <x:c r="U345" i="3"/>
  <x:c r="T345" i="3"/>
  <x:c r="E345" i="3"/>
  <x:c r="B345" i="3"/>
  <x:c r="A345" i="3"/>
  <x:c r="AG344" i="3"/>
  <x:c r="AF344" i="3"/>
  <x:c r="AE344" i="3"/>
  <x:c r="AD344" i="3"/>
  <x:c r="AC344" i="3"/>
  <x:c r="AB344" i="3"/>
  <x:c r="AA344" i="3"/>
  <x:c r="Z344" i="3"/>
  <x:c r="Y344" i="3"/>
  <x:c r="X344" i="3"/>
  <x:c r="W344" i="3"/>
  <x:c r="V344" i="3"/>
  <x:c r="U344" i="3"/>
  <x:c r="T344" i="3"/>
  <x:c r="E344" i="3"/>
  <x:c r="B344" i="3"/>
  <x:c r="A344" i="3"/>
  <x:c r="AG343" i="3"/>
  <x:c r="AF343" i="3"/>
  <x:c r="AE343" i="3"/>
  <x:c r="AD343" i="3"/>
  <x:c r="AC343" i="3"/>
  <x:c r="AB343" i="3"/>
  <x:c r="AA343" i="3"/>
  <x:c r="Z343" i="3"/>
  <x:c r="Y343" i="3"/>
  <x:c r="X343" i="3"/>
  <x:c r="W343" i="3"/>
  <x:c r="V343" i="3"/>
  <x:c r="U343" i="3"/>
  <x:c r="T343" i="3"/>
  <x:c r="E343" i="3"/>
  <x:c r="B343" i="3"/>
  <x:c r="A343" i="3"/>
  <x:c r="AG342" i="3"/>
  <x:c r="AF342" i="3"/>
  <x:c r="AE342" i="3"/>
  <x:c r="AD342" i="3"/>
  <x:c r="AC342" i="3"/>
  <x:c r="AB342" i="3"/>
  <x:c r="AA342" i="3"/>
  <x:c r="Z342" i="3"/>
  <x:c r="Y342" i="3"/>
  <x:c r="X342" i="3"/>
  <x:c r="W342" i="3"/>
  <x:c r="V342" i="3"/>
  <x:c r="U342" i="3"/>
  <x:c r="T342" i="3"/>
  <x:c r="E342" i="3"/>
  <x:c r="B342" i="3"/>
  <x:c r="A342" i="3"/>
  <x:c r="AG341" i="3"/>
  <x:c r="AF341" i="3"/>
  <x:c r="AE341" i="3"/>
  <x:c r="AD341" i="3"/>
  <x:c r="AC341" i="3"/>
  <x:c r="AB341" i="3"/>
  <x:c r="AA341" i="3"/>
  <x:c r="Z341" i="3"/>
  <x:c r="Y341" i="3"/>
  <x:c r="X341" i="3"/>
  <x:c r="W341" i="3"/>
  <x:c r="V341" i="3"/>
  <x:c r="U341" i="3"/>
  <x:c r="T341" i="3"/>
  <x:c r="E341" i="3"/>
  <x:c r="B341" i="3"/>
  <x:c r="A341" i="3"/>
  <x:c r="AG340" i="3"/>
  <x:c r="AF340" i="3"/>
  <x:c r="AE340" i="3"/>
  <x:c r="AD340" i="3"/>
  <x:c r="AC340" i="3"/>
  <x:c r="AB340" i="3"/>
  <x:c r="AA340" i="3"/>
  <x:c r="Z340" i="3"/>
  <x:c r="Y340" i="3"/>
  <x:c r="X340" i="3"/>
  <x:c r="W340" i="3"/>
  <x:c r="V340" i="3"/>
  <x:c r="U340" i="3"/>
  <x:c r="T340" i="3"/>
  <x:c r="E340" i="3"/>
  <x:c r="B340" i="3"/>
  <x:c r="A340" i="3"/>
  <x:c r="AG339" i="3"/>
  <x:c r="AF339" i="3"/>
  <x:c r="AE339" i="3"/>
  <x:c r="AD339" i="3"/>
  <x:c r="AC339" i="3"/>
  <x:c r="AB339" i="3"/>
  <x:c r="AA339" i="3"/>
  <x:c r="Z339" i="3"/>
  <x:c r="Y339" i="3"/>
  <x:c r="X339" i="3"/>
  <x:c r="W339" i="3"/>
  <x:c r="V339" i="3"/>
  <x:c r="U339" i="3"/>
  <x:c r="T339" i="3"/>
  <x:c r="E339" i="3"/>
  <x:c r="B339" i="3"/>
  <x:c r="A339" i="3"/>
  <x:c r="AG338" i="3"/>
  <x:c r="AF338" i="3"/>
  <x:c r="AE338" i="3"/>
  <x:c r="AD338" i="3"/>
  <x:c r="AC338" i="3"/>
  <x:c r="AB338" i="3"/>
  <x:c r="AA338" i="3"/>
  <x:c r="Z338" i="3"/>
  <x:c r="Y338" i="3"/>
  <x:c r="X338" i="3"/>
  <x:c r="W338" i="3"/>
  <x:c r="V338" i="3"/>
  <x:c r="U338" i="3"/>
  <x:c r="T338" i="3"/>
  <x:c r="E338" i="3"/>
  <x:c r="B338" i="3"/>
  <x:c r="A338" i="3"/>
  <x:c r="AG337" i="3"/>
  <x:c r="AF337" i="3"/>
  <x:c r="AE337" i="3"/>
  <x:c r="AD337" i="3"/>
  <x:c r="AC337" i="3"/>
  <x:c r="AB337" i="3"/>
  <x:c r="AA337" i="3"/>
  <x:c r="Z337" i="3"/>
  <x:c r="Y337" i="3"/>
  <x:c r="X337" i="3"/>
  <x:c r="W337" i="3"/>
  <x:c r="V337" i="3"/>
  <x:c r="U337" i="3"/>
  <x:c r="T337" i="3"/>
  <x:c r="E337" i="3"/>
  <x:c r="B337" i="3"/>
  <x:c r="A337" i="3"/>
  <x:c r="AG336" i="3"/>
  <x:c r="AF336" i="3"/>
  <x:c r="AE336" i="3"/>
  <x:c r="AD336" i="3"/>
  <x:c r="AC336" i="3"/>
  <x:c r="AB336" i="3"/>
  <x:c r="AA336" i="3"/>
  <x:c r="Z336" i="3"/>
  <x:c r="Y336" i="3"/>
  <x:c r="X336" i="3"/>
  <x:c r="W336" i="3"/>
  <x:c r="V336" i="3"/>
  <x:c r="U336" i="3"/>
  <x:c r="T336" i="3"/>
  <x:c r="E336" i="3"/>
  <x:c r="B336" i="3"/>
  <x:c r="A336" i="3"/>
  <x:c r="AG335" i="3"/>
  <x:c r="AF335" i="3"/>
  <x:c r="AE335" i="3"/>
  <x:c r="AD335" i="3"/>
  <x:c r="AC335" i="3"/>
  <x:c r="AB335" i="3"/>
  <x:c r="AA335" i="3"/>
  <x:c r="Z335" i="3"/>
  <x:c r="Y335" i="3"/>
  <x:c r="X335" i="3"/>
  <x:c r="W335" i="3"/>
  <x:c r="V335" i="3"/>
  <x:c r="U335" i="3"/>
  <x:c r="T335" i="3"/>
  <x:c r="E335" i="3"/>
  <x:c r="B335" i="3"/>
  <x:c r="A335" i="3"/>
  <x:c r="AG334" i="3"/>
  <x:c r="AF334" i="3"/>
  <x:c r="AE334" i="3"/>
  <x:c r="AD334" i="3"/>
  <x:c r="AC334" i="3"/>
  <x:c r="AB334" i="3"/>
  <x:c r="AA334" i="3"/>
  <x:c r="Z334" i="3"/>
  <x:c r="Y334" i="3"/>
  <x:c r="X334" i="3"/>
  <x:c r="W334" i="3"/>
  <x:c r="V334" i="3"/>
  <x:c r="U334" i="3"/>
  <x:c r="T334" i="3"/>
  <x:c r="E334" i="3"/>
  <x:c r="B334" i="3"/>
  <x:c r="A334" i="3"/>
  <x:c r="AG333" i="3"/>
  <x:c r="AF333" i="3"/>
  <x:c r="AE333" i="3"/>
  <x:c r="AD333" i="3"/>
  <x:c r="AC333" i="3"/>
  <x:c r="AB333" i="3"/>
  <x:c r="AA333" i="3"/>
  <x:c r="Z333" i="3"/>
  <x:c r="Y333" i="3"/>
  <x:c r="X333" i="3"/>
  <x:c r="W333" i="3"/>
  <x:c r="V333" i="3"/>
  <x:c r="U333" i="3"/>
  <x:c r="T333" i="3"/>
  <x:c r="E333" i="3"/>
  <x:c r="B333" i="3"/>
  <x:c r="A333" i="3"/>
  <x:c r="AG332" i="3"/>
  <x:c r="AF332" i="3"/>
  <x:c r="AE332" i="3"/>
  <x:c r="AD332" i="3"/>
  <x:c r="AC332" i="3"/>
  <x:c r="AB332" i="3"/>
  <x:c r="AA332" i="3"/>
  <x:c r="Z332" i="3"/>
  <x:c r="Y332" i="3"/>
  <x:c r="X332" i="3"/>
  <x:c r="W332" i="3"/>
  <x:c r="V332" i="3"/>
  <x:c r="U332" i="3"/>
  <x:c r="T332" i="3"/>
  <x:c r="E332" i="3"/>
  <x:c r="B332" i="3"/>
  <x:c r="A332" i="3"/>
  <x:c r="AG331" i="3"/>
  <x:c r="AF331" i="3"/>
  <x:c r="AE331" i="3"/>
  <x:c r="AD331" i="3"/>
  <x:c r="AC331" i="3"/>
  <x:c r="AB331" i="3"/>
  <x:c r="AA331" i="3"/>
  <x:c r="Z331" i="3"/>
  <x:c r="Y331" i="3"/>
  <x:c r="X331" i="3"/>
  <x:c r="W331" i="3"/>
  <x:c r="V331" i="3"/>
  <x:c r="U331" i="3"/>
  <x:c r="T331" i="3"/>
  <x:c r="E331" i="3"/>
  <x:c r="B331" i="3"/>
  <x:c r="A331" i="3"/>
  <x:c r="AG330" i="3"/>
  <x:c r="AF330" i="3"/>
  <x:c r="AE330" i="3"/>
  <x:c r="AD330" i="3"/>
  <x:c r="AC330" i="3"/>
  <x:c r="AB330" i="3"/>
  <x:c r="AA330" i="3"/>
  <x:c r="Z330" i="3"/>
  <x:c r="Y330" i="3"/>
  <x:c r="X330" i="3"/>
  <x:c r="W330" i="3"/>
  <x:c r="V330" i="3"/>
  <x:c r="U330" i="3"/>
  <x:c r="T330" i="3"/>
  <x:c r="E330" i="3"/>
  <x:c r="B330" i="3"/>
  <x:c r="A330" i="3"/>
  <x:c r="AG329" i="3"/>
  <x:c r="AF329" i="3"/>
  <x:c r="AE329" i="3"/>
  <x:c r="AD329" i="3"/>
  <x:c r="AC329" i="3"/>
  <x:c r="AB329" i="3"/>
  <x:c r="AA329" i="3"/>
  <x:c r="Z329" i="3"/>
  <x:c r="Y329" i="3"/>
  <x:c r="X329" i="3"/>
  <x:c r="W329" i="3"/>
  <x:c r="V329" i="3"/>
  <x:c r="U329" i="3"/>
  <x:c r="T329" i="3"/>
  <x:c r="E329" i="3"/>
  <x:c r="B329" i="3"/>
  <x:c r="A329" i="3"/>
  <x:c r="AG328" i="3"/>
  <x:c r="AF328" i="3"/>
  <x:c r="AE328" i="3"/>
  <x:c r="AD328" i="3"/>
  <x:c r="AC328" i="3"/>
  <x:c r="AB328" i="3"/>
  <x:c r="AA328" i="3"/>
  <x:c r="Z328" i="3"/>
  <x:c r="Y328" i="3"/>
  <x:c r="X328" i="3"/>
  <x:c r="W328" i="3"/>
  <x:c r="V328" i="3"/>
  <x:c r="U328" i="3"/>
  <x:c r="T328" i="3"/>
  <x:c r="E328" i="3"/>
  <x:c r="B328" i="3"/>
  <x:c r="A328" i="3"/>
  <x:c r="AG327" i="3"/>
  <x:c r="AF327" i="3"/>
  <x:c r="AE327" i="3"/>
  <x:c r="AD327" i="3"/>
  <x:c r="AC327" i="3"/>
  <x:c r="AB327" i="3"/>
  <x:c r="AA327" i="3"/>
  <x:c r="Z327" i="3"/>
  <x:c r="Y327" i="3"/>
  <x:c r="X327" i="3"/>
  <x:c r="W327" i="3"/>
  <x:c r="V327" i="3"/>
  <x:c r="U327" i="3"/>
  <x:c r="T327" i="3"/>
  <x:c r="E327" i="3"/>
  <x:c r="B327" i="3"/>
  <x:c r="A327" i="3"/>
  <x:c r="AG326" i="3"/>
  <x:c r="AF326" i="3"/>
  <x:c r="AE326" i="3"/>
  <x:c r="AD326" i="3"/>
  <x:c r="AC326" i="3"/>
  <x:c r="AB326" i="3"/>
  <x:c r="AA326" i="3"/>
  <x:c r="Z326" i="3"/>
  <x:c r="Y326" i="3"/>
  <x:c r="X326" i="3"/>
  <x:c r="W326" i="3"/>
  <x:c r="V326" i="3"/>
  <x:c r="U326" i="3"/>
  <x:c r="T326" i="3"/>
  <x:c r="E326" i="3"/>
  <x:c r="B326" i="3"/>
  <x:c r="A326" i="3"/>
  <x:c r="AG325" i="3"/>
  <x:c r="AF325" i="3"/>
  <x:c r="AE325" i="3"/>
  <x:c r="AD325" i="3"/>
  <x:c r="AC325" i="3"/>
  <x:c r="AB325" i="3"/>
  <x:c r="AA325" i="3"/>
  <x:c r="Z325" i="3"/>
  <x:c r="Y325" i="3"/>
  <x:c r="X325" i="3"/>
  <x:c r="W325" i="3"/>
  <x:c r="V325" i="3"/>
  <x:c r="U325" i="3"/>
  <x:c r="T325" i="3"/>
  <x:c r="E325" i="3"/>
  <x:c r="B325" i="3"/>
  <x:c r="A325" i="3"/>
  <x:c r="AG324" i="3"/>
  <x:c r="AF324" i="3"/>
  <x:c r="AE324" i="3"/>
  <x:c r="AD324" i="3"/>
  <x:c r="AC324" i="3"/>
  <x:c r="AB324" i="3"/>
  <x:c r="AA324" i="3"/>
  <x:c r="Z324" i="3"/>
  <x:c r="Y324" i="3"/>
  <x:c r="X324" i="3"/>
  <x:c r="W324" i="3"/>
  <x:c r="V324" i="3"/>
  <x:c r="U324" i="3"/>
  <x:c r="T324" i="3"/>
  <x:c r="E324" i="3"/>
  <x:c r="B324" i="3"/>
  <x:c r="A324" i="3"/>
  <x:c r="AG323" i="3"/>
  <x:c r="AF323" i="3"/>
  <x:c r="AE323" i="3"/>
  <x:c r="AD323" i="3"/>
  <x:c r="AC323" i="3"/>
  <x:c r="AB323" i="3"/>
  <x:c r="AA323" i="3"/>
  <x:c r="Z323" i="3"/>
  <x:c r="Y323" i="3"/>
  <x:c r="X323" i="3"/>
  <x:c r="W323" i="3"/>
  <x:c r="V323" i="3"/>
  <x:c r="U323" i="3"/>
  <x:c r="T323" i="3"/>
  <x:c r="E323" i="3"/>
  <x:c r="B323" i="3"/>
  <x:c r="A323" i="3"/>
  <x:c r="AG322" i="3"/>
  <x:c r="AF322" i="3"/>
  <x:c r="AE322" i="3"/>
  <x:c r="AD322" i="3"/>
  <x:c r="AC322" i="3"/>
  <x:c r="AB322" i="3"/>
  <x:c r="AA322" i="3"/>
  <x:c r="Z322" i="3"/>
  <x:c r="Y322" i="3"/>
  <x:c r="X322" i="3"/>
  <x:c r="W322" i="3"/>
  <x:c r="V322" i="3"/>
  <x:c r="U322" i="3"/>
  <x:c r="T322" i="3"/>
  <x:c r="E322" i="3"/>
  <x:c r="B322" i="3"/>
  <x:c r="A322" i="3"/>
  <x:c r="AG321" i="3"/>
  <x:c r="AF321" i="3"/>
  <x:c r="AE321" i="3"/>
  <x:c r="AD321" i="3"/>
  <x:c r="AC321" i="3"/>
  <x:c r="AB321" i="3"/>
  <x:c r="AA321" i="3"/>
  <x:c r="Z321" i="3"/>
  <x:c r="Y321" i="3"/>
  <x:c r="X321" i="3"/>
  <x:c r="W321" i="3"/>
  <x:c r="V321" i="3"/>
  <x:c r="U321" i="3"/>
  <x:c r="T321" i="3"/>
  <x:c r="E321" i="3"/>
  <x:c r="B321" i="3"/>
  <x:c r="A321" i="3"/>
  <x:c r="AG320" i="3"/>
  <x:c r="AF320" i="3"/>
  <x:c r="AE320" i="3"/>
  <x:c r="AD320" i="3"/>
  <x:c r="AC320" i="3"/>
  <x:c r="AB320" i="3"/>
  <x:c r="AA320" i="3"/>
  <x:c r="Z320" i="3"/>
  <x:c r="Y320" i="3"/>
  <x:c r="X320" i="3"/>
  <x:c r="W320" i="3"/>
  <x:c r="V320" i="3"/>
  <x:c r="U320" i="3"/>
  <x:c r="T320" i="3"/>
  <x:c r="E320" i="3"/>
  <x:c r="B320" i="3"/>
  <x:c r="A320" i="3"/>
  <x:c r="AG319" i="3"/>
  <x:c r="AF319" i="3"/>
  <x:c r="AE319" i="3"/>
  <x:c r="AD319" i="3"/>
  <x:c r="AC319" i="3"/>
  <x:c r="AB319" i="3"/>
  <x:c r="AA319" i="3"/>
  <x:c r="Z319" i="3"/>
  <x:c r="Y319" i="3"/>
  <x:c r="X319" i="3"/>
  <x:c r="W319" i="3"/>
  <x:c r="V319" i="3"/>
  <x:c r="U319" i="3"/>
  <x:c r="T319" i="3"/>
  <x:c r="E319" i="3"/>
  <x:c r="B319" i="3"/>
  <x:c r="A319" i="3"/>
  <x:c r="AG318" i="3"/>
  <x:c r="AF318" i="3"/>
  <x:c r="AE318" i="3"/>
  <x:c r="AD318" i="3"/>
  <x:c r="AC318" i="3"/>
  <x:c r="AB318" i="3"/>
  <x:c r="AA318" i="3"/>
  <x:c r="Z318" i="3"/>
  <x:c r="Y318" i="3"/>
  <x:c r="X318" i="3"/>
  <x:c r="W318" i="3"/>
  <x:c r="V318" i="3"/>
  <x:c r="U318" i="3"/>
  <x:c r="T318" i="3"/>
  <x:c r="E318" i="3"/>
  <x:c r="B318" i="3"/>
  <x:c r="A318" i="3"/>
  <x:c r="AG317" i="3"/>
  <x:c r="AF317" i="3"/>
  <x:c r="AE317" i="3"/>
  <x:c r="AD317" i="3"/>
  <x:c r="AC317" i="3"/>
  <x:c r="AB317" i="3"/>
  <x:c r="AA317" i="3"/>
  <x:c r="Z317" i="3"/>
  <x:c r="Y317" i="3"/>
  <x:c r="X317" i="3"/>
  <x:c r="W317" i="3"/>
  <x:c r="V317" i="3"/>
  <x:c r="U317" i="3"/>
  <x:c r="T317" i="3"/>
  <x:c r="E317" i="3"/>
  <x:c r="B317" i="3"/>
  <x:c r="A317" i="3"/>
  <x:c r="AG316" i="3"/>
  <x:c r="AF316" i="3"/>
  <x:c r="AE316" i="3"/>
  <x:c r="AD316" i="3"/>
  <x:c r="AC316" i="3"/>
  <x:c r="AB316" i="3"/>
  <x:c r="AA316" i="3"/>
  <x:c r="Z316" i="3"/>
  <x:c r="Y316" i="3"/>
  <x:c r="X316" i="3"/>
  <x:c r="W316" i="3"/>
  <x:c r="V316" i="3"/>
  <x:c r="U316" i="3"/>
  <x:c r="T316" i="3"/>
  <x:c r="E316" i="3"/>
  <x:c r="B316" i="3"/>
  <x:c r="A316" i="3"/>
  <x:c r="AG315" i="3"/>
  <x:c r="AF315" i="3"/>
  <x:c r="AE315" i="3"/>
  <x:c r="AD315" i="3"/>
  <x:c r="AC315" i="3"/>
  <x:c r="AB315" i="3"/>
  <x:c r="AA315" i="3"/>
  <x:c r="Z315" i="3"/>
  <x:c r="Y315" i="3"/>
  <x:c r="X315" i="3"/>
  <x:c r="W315" i="3"/>
  <x:c r="V315" i="3"/>
  <x:c r="U315" i="3"/>
  <x:c r="T315" i="3"/>
  <x:c r="E315" i="3"/>
  <x:c r="B315" i="3"/>
  <x:c r="A315" i="3"/>
  <x:c r="AG314" i="3"/>
  <x:c r="AF314" i="3"/>
  <x:c r="AE314" i="3"/>
  <x:c r="AD314" i="3"/>
  <x:c r="AC314" i="3"/>
  <x:c r="AB314" i="3"/>
  <x:c r="AA314" i="3"/>
  <x:c r="Z314" i="3"/>
  <x:c r="Y314" i="3"/>
  <x:c r="X314" i="3"/>
  <x:c r="W314" i="3"/>
  <x:c r="V314" i="3"/>
  <x:c r="U314" i="3"/>
  <x:c r="T314" i="3"/>
  <x:c r="E314" i="3"/>
  <x:c r="B314" i="3"/>
  <x:c r="A314" i="3"/>
  <x:c r="AG313" i="3"/>
  <x:c r="AF313" i="3"/>
  <x:c r="AE313" i="3"/>
  <x:c r="AD313" i="3"/>
  <x:c r="AC313" i="3"/>
  <x:c r="AB313" i="3"/>
  <x:c r="AA313" i="3"/>
  <x:c r="Z313" i="3"/>
  <x:c r="Y313" i="3"/>
  <x:c r="X313" i="3"/>
  <x:c r="W313" i="3"/>
  <x:c r="V313" i="3"/>
  <x:c r="U313" i="3"/>
  <x:c r="T313" i="3"/>
  <x:c r="E313" i="3"/>
  <x:c r="B313" i="3"/>
  <x:c r="A313" i="3"/>
  <x:c r="AG312" i="3"/>
  <x:c r="AF312" i="3"/>
  <x:c r="AE312" i="3"/>
  <x:c r="AD312" i="3"/>
  <x:c r="AC312" i="3"/>
  <x:c r="AB312" i="3"/>
  <x:c r="AA312" i="3"/>
  <x:c r="Z312" i="3"/>
  <x:c r="Y312" i="3"/>
  <x:c r="X312" i="3"/>
  <x:c r="W312" i="3"/>
  <x:c r="V312" i="3"/>
  <x:c r="U312" i="3"/>
  <x:c r="T312" i="3"/>
  <x:c r="E312" i="3"/>
  <x:c r="B312" i="3"/>
  <x:c r="A312" i="3"/>
  <x:c r="AG311" i="3"/>
  <x:c r="AF311" i="3"/>
  <x:c r="AE311" i="3"/>
  <x:c r="AD311" i="3"/>
  <x:c r="AC311" i="3"/>
  <x:c r="AB311" i="3"/>
  <x:c r="AA311" i="3"/>
  <x:c r="Z311" i="3"/>
  <x:c r="Y311" i="3"/>
  <x:c r="X311" i="3"/>
  <x:c r="W311" i="3"/>
  <x:c r="V311" i="3"/>
  <x:c r="U311" i="3"/>
  <x:c r="T311" i="3"/>
  <x:c r="E311" i="3"/>
  <x:c r="B311" i="3"/>
  <x:c r="A311" i="3"/>
  <x:c r="AG310" i="3"/>
  <x:c r="AF310" i="3"/>
  <x:c r="AE310" i="3"/>
  <x:c r="AD310" i="3"/>
  <x:c r="AC310" i="3"/>
  <x:c r="AB310" i="3"/>
  <x:c r="AA310" i="3"/>
  <x:c r="Z310" i="3"/>
  <x:c r="Y310" i="3"/>
  <x:c r="X310" i="3"/>
  <x:c r="W310" i="3"/>
  <x:c r="V310" i="3"/>
  <x:c r="U310" i="3"/>
  <x:c r="T310" i="3"/>
  <x:c r="E310" i="3"/>
  <x:c r="B310" i="3"/>
  <x:c r="A310" i="3"/>
  <x:c r="AG309" i="3"/>
  <x:c r="AF309" i="3"/>
  <x:c r="AE309" i="3"/>
  <x:c r="AD309" i="3"/>
  <x:c r="AC309" i="3"/>
  <x:c r="AB309" i="3"/>
  <x:c r="AA309" i="3"/>
  <x:c r="Z309" i="3"/>
  <x:c r="Y309" i="3"/>
  <x:c r="X309" i="3"/>
  <x:c r="W309" i="3"/>
  <x:c r="V309" i="3"/>
  <x:c r="U309" i="3"/>
  <x:c r="T309" i="3"/>
  <x:c r="E309" i="3"/>
  <x:c r="B309" i="3"/>
  <x:c r="A309" i="3"/>
  <x:c r="AG308" i="3"/>
  <x:c r="AF308" i="3"/>
  <x:c r="AE308" i="3"/>
  <x:c r="AD308" i="3"/>
  <x:c r="AC308" i="3"/>
  <x:c r="AB308" i="3"/>
  <x:c r="AA308" i="3"/>
  <x:c r="Z308" i="3"/>
  <x:c r="Y308" i="3"/>
  <x:c r="X308" i="3"/>
  <x:c r="W308" i="3"/>
  <x:c r="V308" i="3"/>
  <x:c r="U308" i="3"/>
  <x:c r="T308" i="3"/>
  <x:c r="E308" i="3"/>
  <x:c r="B308" i="3"/>
  <x:c r="A308" i="3"/>
  <x:c r="AG307" i="3"/>
  <x:c r="AF307" i="3"/>
  <x:c r="AE307" i="3"/>
  <x:c r="AD307" i="3"/>
  <x:c r="AC307" i="3"/>
  <x:c r="AB307" i="3"/>
  <x:c r="AA307" i="3"/>
  <x:c r="Z307" i="3"/>
  <x:c r="Y307" i="3"/>
  <x:c r="X307" i="3"/>
  <x:c r="W307" i="3"/>
  <x:c r="V307" i="3"/>
  <x:c r="U307" i="3"/>
  <x:c r="T307" i="3"/>
  <x:c r="E307" i="3"/>
  <x:c r="B307" i="3"/>
  <x:c r="A307" i="3"/>
  <x:c r="AG306" i="3"/>
  <x:c r="AF306" i="3"/>
  <x:c r="AE306" i="3"/>
  <x:c r="AD306" i="3"/>
  <x:c r="AC306" i="3"/>
  <x:c r="AB306" i="3"/>
  <x:c r="AA306" i="3"/>
  <x:c r="Z306" i="3"/>
  <x:c r="Y306" i="3"/>
  <x:c r="X306" i="3"/>
  <x:c r="W306" i="3"/>
  <x:c r="V306" i="3"/>
  <x:c r="U306" i="3"/>
  <x:c r="T306" i="3"/>
  <x:c r="E306" i="3"/>
  <x:c r="B306" i="3"/>
  <x:c r="A306" i="3"/>
  <x:c r="AG305" i="3"/>
  <x:c r="AF305" i="3"/>
  <x:c r="AE305" i="3"/>
  <x:c r="AD305" i="3"/>
  <x:c r="AC305" i="3"/>
  <x:c r="AB305" i="3"/>
  <x:c r="AA305" i="3"/>
  <x:c r="Z305" i="3"/>
  <x:c r="Y305" i="3"/>
  <x:c r="X305" i="3"/>
  <x:c r="W305" i="3"/>
  <x:c r="V305" i="3"/>
  <x:c r="U305" i="3"/>
  <x:c r="T305" i="3"/>
  <x:c r="E305" i="3"/>
  <x:c r="B305" i="3"/>
  <x:c r="A305" i="3"/>
  <x:c r="AG304" i="3"/>
  <x:c r="AF304" i="3"/>
  <x:c r="AE304" i="3"/>
  <x:c r="AD304" i="3"/>
  <x:c r="AC304" i="3"/>
  <x:c r="AB304" i="3"/>
  <x:c r="AA304" i="3"/>
  <x:c r="Z304" i="3"/>
  <x:c r="Y304" i="3"/>
  <x:c r="X304" i="3"/>
  <x:c r="W304" i="3"/>
  <x:c r="V304" i="3"/>
  <x:c r="U304" i="3"/>
  <x:c r="T304" i="3"/>
  <x:c r="E304" i="3"/>
  <x:c r="B304" i="3"/>
  <x:c r="A304" i="3"/>
  <x:c r="AG303" i="3"/>
  <x:c r="AF303" i="3"/>
  <x:c r="AE303" i="3"/>
  <x:c r="AD303" i="3"/>
  <x:c r="AC303" i="3"/>
  <x:c r="AB303" i="3"/>
  <x:c r="AA303" i="3"/>
  <x:c r="Z303" i="3"/>
  <x:c r="Y303" i="3"/>
  <x:c r="X303" i="3"/>
  <x:c r="W303" i="3"/>
  <x:c r="V303" i="3"/>
  <x:c r="U303" i="3"/>
  <x:c r="T303" i="3"/>
  <x:c r="E303" i="3"/>
  <x:c r="B303" i="3"/>
  <x:c r="A303" i="3"/>
  <x:c r="AG302" i="3"/>
  <x:c r="AF302" i="3"/>
  <x:c r="AE302" i="3"/>
  <x:c r="AD302" i="3"/>
  <x:c r="AC302" i="3"/>
  <x:c r="AB302" i="3"/>
  <x:c r="AA302" i="3"/>
  <x:c r="Z302" i="3"/>
  <x:c r="Y302" i="3"/>
  <x:c r="X302" i="3"/>
  <x:c r="W302" i="3"/>
  <x:c r="V302" i="3"/>
  <x:c r="U302" i="3"/>
  <x:c r="T302" i="3"/>
  <x:c r="E302" i="3"/>
  <x:c r="B302" i="3"/>
  <x:c r="A302" i="3"/>
  <x:c r="AG301" i="3"/>
  <x:c r="AF301" i="3"/>
  <x:c r="AE301" i="3"/>
  <x:c r="AD301" i="3"/>
  <x:c r="AC301" i="3"/>
  <x:c r="AB301" i="3"/>
  <x:c r="AA301" i="3"/>
  <x:c r="Z301" i="3"/>
  <x:c r="Y301" i="3"/>
  <x:c r="X301" i="3"/>
  <x:c r="W301" i="3"/>
  <x:c r="V301" i="3"/>
  <x:c r="U301" i="3"/>
  <x:c r="T301" i="3"/>
  <x:c r="E301" i="3"/>
  <x:c r="B301" i="3"/>
  <x:c r="A301" i="3"/>
  <x:c r="AG300" i="3"/>
  <x:c r="AF300" i="3"/>
  <x:c r="AE300" i="3"/>
  <x:c r="AD300" i="3"/>
  <x:c r="AC300" i="3"/>
  <x:c r="AB300" i="3"/>
  <x:c r="AA300" i="3"/>
  <x:c r="Z300" i="3"/>
  <x:c r="Y300" i="3"/>
  <x:c r="X300" i="3"/>
  <x:c r="W300" i="3"/>
  <x:c r="V300" i="3"/>
  <x:c r="U300" i="3"/>
  <x:c r="T300" i="3"/>
  <x:c r="E300" i="3"/>
  <x:c r="B300" i="3"/>
  <x:c r="A300" i="3"/>
  <x:c r="AG299" i="3"/>
  <x:c r="AF299" i="3"/>
  <x:c r="AE299" i="3"/>
  <x:c r="AD299" i="3"/>
  <x:c r="AC299" i="3"/>
  <x:c r="AB299" i="3"/>
  <x:c r="AA299" i="3"/>
  <x:c r="Z299" i="3"/>
  <x:c r="Y299" i="3"/>
  <x:c r="X299" i="3"/>
  <x:c r="W299" i="3"/>
  <x:c r="V299" i="3"/>
  <x:c r="U299" i="3"/>
  <x:c r="T299" i="3"/>
  <x:c r="E299" i="3"/>
  <x:c r="B299" i="3"/>
  <x:c r="A299" i="3"/>
  <x:c r="AG298" i="3"/>
  <x:c r="AF298" i="3"/>
  <x:c r="AE298" i="3"/>
  <x:c r="AD298" i="3"/>
  <x:c r="AC298" i="3"/>
  <x:c r="AB298" i="3"/>
  <x:c r="AA298" i="3"/>
  <x:c r="Z298" i="3"/>
  <x:c r="Y298" i="3"/>
  <x:c r="X298" i="3"/>
  <x:c r="W298" i="3"/>
  <x:c r="V298" i="3"/>
  <x:c r="U298" i="3"/>
  <x:c r="T298" i="3"/>
  <x:c r="E298" i="3"/>
  <x:c r="B298" i="3"/>
  <x:c r="A298" i="3"/>
  <x:c r="AG297" i="3"/>
  <x:c r="AF297" i="3"/>
  <x:c r="AE297" i="3"/>
  <x:c r="AD297" i="3"/>
  <x:c r="AC297" i="3"/>
  <x:c r="AB297" i="3"/>
  <x:c r="AA297" i="3"/>
  <x:c r="Z297" i="3"/>
  <x:c r="Y297" i="3"/>
  <x:c r="X297" i="3"/>
  <x:c r="W297" i="3"/>
  <x:c r="V297" i="3"/>
  <x:c r="U297" i="3"/>
  <x:c r="T297" i="3"/>
  <x:c r="E297" i="3"/>
  <x:c r="B297" i="3"/>
  <x:c r="A297" i="3"/>
  <x:c r="AG296" i="3"/>
  <x:c r="AF296" i="3"/>
  <x:c r="AE296" i="3"/>
  <x:c r="AD296" i="3"/>
  <x:c r="AC296" i="3"/>
  <x:c r="AB296" i="3"/>
  <x:c r="AA296" i="3"/>
  <x:c r="Z296" i="3"/>
  <x:c r="Y296" i="3"/>
  <x:c r="X296" i="3"/>
  <x:c r="W296" i="3"/>
  <x:c r="V296" i="3"/>
  <x:c r="U296" i="3"/>
  <x:c r="T296" i="3"/>
  <x:c r="E296" i="3"/>
  <x:c r="B296" i="3"/>
  <x:c r="A296" i="3"/>
  <x:c r="AG295" i="3"/>
  <x:c r="AF295" i="3"/>
  <x:c r="AE295" i="3"/>
  <x:c r="AD295" i="3"/>
  <x:c r="AC295" i="3"/>
  <x:c r="AB295" i="3"/>
  <x:c r="AA295" i="3"/>
  <x:c r="Z295" i="3"/>
  <x:c r="Y295" i="3"/>
  <x:c r="X295" i="3"/>
  <x:c r="W295" i="3"/>
  <x:c r="V295" i="3"/>
  <x:c r="U295" i="3"/>
  <x:c r="T295" i="3"/>
  <x:c r="E295" i="3"/>
  <x:c r="B295" i="3"/>
  <x:c r="A295" i="3"/>
  <x:c r="AG294" i="3"/>
  <x:c r="AF294" i="3"/>
  <x:c r="AE294" i="3"/>
  <x:c r="AD294" i="3"/>
  <x:c r="AC294" i="3"/>
  <x:c r="AB294" i="3"/>
  <x:c r="AA294" i="3"/>
  <x:c r="Z294" i="3"/>
  <x:c r="Y294" i="3"/>
  <x:c r="X294" i="3"/>
  <x:c r="W294" i="3"/>
  <x:c r="V294" i="3"/>
  <x:c r="U294" i="3"/>
  <x:c r="T294" i="3"/>
  <x:c r="E294" i="3"/>
  <x:c r="B294" i="3"/>
  <x:c r="A294" i="3"/>
  <x:c r="AG293" i="3"/>
  <x:c r="AF293" i="3"/>
  <x:c r="AE293" i="3"/>
  <x:c r="AD293" i="3"/>
  <x:c r="AC293" i="3"/>
  <x:c r="AB293" i="3"/>
  <x:c r="AA293" i="3"/>
  <x:c r="Z293" i="3"/>
  <x:c r="Y293" i="3"/>
  <x:c r="X293" i="3"/>
  <x:c r="W293" i="3"/>
  <x:c r="V293" i="3"/>
  <x:c r="U293" i="3"/>
  <x:c r="T293" i="3"/>
  <x:c r="E293" i="3"/>
  <x:c r="B293" i="3"/>
  <x:c r="A293" i="3"/>
  <x:c r="AG292" i="3"/>
  <x:c r="AF292" i="3"/>
  <x:c r="AE292" i="3"/>
  <x:c r="AD292" i="3"/>
  <x:c r="AC292" i="3"/>
  <x:c r="AB292" i="3"/>
  <x:c r="AA292" i="3"/>
  <x:c r="Z292" i="3"/>
  <x:c r="Y292" i="3"/>
  <x:c r="X292" i="3"/>
  <x:c r="W292" i="3"/>
  <x:c r="V292" i="3"/>
  <x:c r="U292" i="3"/>
  <x:c r="T292" i="3"/>
  <x:c r="E292" i="3"/>
  <x:c r="B292" i="3"/>
  <x:c r="A292" i="3"/>
  <x:c r="AG291" i="3"/>
  <x:c r="AF291" i="3"/>
  <x:c r="AE291" i="3"/>
  <x:c r="AD291" i="3"/>
  <x:c r="AC291" i="3"/>
  <x:c r="AB291" i="3"/>
  <x:c r="AA291" i="3"/>
  <x:c r="Z291" i="3"/>
  <x:c r="Y291" i="3"/>
  <x:c r="X291" i="3"/>
  <x:c r="W291" i="3"/>
  <x:c r="V291" i="3"/>
  <x:c r="U291" i="3"/>
  <x:c r="T291" i="3"/>
  <x:c r="E291" i="3"/>
  <x:c r="B291" i="3"/>
  <x:c r="A291" i="3"/>
  <x:c r="AG290" i="3"/>
  <x:c r="AF290" i="3"/>
  <x:c r="AE290" i="3"/>
  <x:c r="AD290" i="3"/>
  <x:c r="AC290" i="3"/>
  <x:c r="AB290" i="3"/>
  <x:c r="AA290" i="3"/>
  <x:c r="Z290" i="3"/>
  <x:c r="Y290" i="3"/>
  <x:c r="X290" i="3"/>
  <x:c r="W290" i="3"/>
  <x:c r="V290" i="3"/>
  <x:c r="U290" i="3"/>
  <x:c r="T290" i="3"/>
  <x:c r="E290" i="3"/>
  <x:c r="B290" i="3"/>
  <x:c r="A290" i="3"/>
  <x:c r="AG289" i="3"/>
  <x:c r="AF289" i="3"/>
  <x:c r="AE289" i="3"/>
  <x:c r="AD289" i="3"/>
  <x:c r="AC289" i="3"/>
  <x:c r="AB289" i="3"/>
  <x:c r="AA289" i="3"/>
  <x:c r="Z289" i="3"/>
  <x:c r="Y289" i="3"/>
  <x:c r="X289" i="3"/>
  <x:c r="W289" i="3"/>
  <x:c r="V289" i="3"/>
  <x:c r="U289" i="3"/>
  <x:c r="T289" i="3"/>
  <x:c r="E289" i="3"/>
  <x:c r="B289" i="3"/>
  <x:c r="A289" i="3"/>
  <x:c r="AG288" i="3"/>
  <x:c r="AF288" i="3"/>
  <x:c r="AE288" i="3"/>
  <x:c r="AD288" i="3"/>
  <x:c r="AC288" i="3"/>
  <x:c r="AB288" i="3"/>
  <x:c r="AA288" i="3"/>
  <x:c r="Z288" i="3"/>
  <x:c r="Y288" i="3"/>
  <x:c r="X288" i="3"/>
  <x:c r="W288" i="3"/>
  <x:c r="V288" i="3"/>
  <x:c r="U288" i="3"/>
  <x:c r="T288" i="3"/>
  <x:c r="E288" i="3"/>
  <x:c r="B288" i="3"/>
  <x:c r="A288" i="3"/>
  <x:c r="AG287" i="3"/>
  <x:c r="AF287" i="3"/>
  <x:c r="AE287" i="3"/>
  <x:c r="AD287" i="3"/>
  <x:c r="AC287" i="3"/>
  <x:c r="AB287" i="3"/>
  <x:c r="AA287" i="3"/>
  <x:c r="Z287" i="3"/>
  <x:c r="Y287" i="3"/>
  <x:c r="X287" i="3"/>
  <x:c r="W287" i="3"/>
  <x:c r="V287" i="3"/>
  <x:c r="U287" i="3"/>
  <x:c r="T287" i="3"/>
  <x:c r="E287" i="3"/>
  <x:c r="B287" i="3"/>
  <x:c r="A287" i="3"/>
  <x:c r="AG286" i="3"/>
  <x:c r="AF286" i="3"/>
  <x:c r="AE286" i="3"/>
  <x:c r="AD286" i="3"/>
  <x:c r="AC286" i="3"/>
  <x:c r="AB286" i="3"/>
  <x:c r="AA286" i="3"/>
  <x:c r="Z286" i="3"/>
  <x:c r="Y286" i="3"/>
  <x:c r="X286" i="3"/>
  <x:c r="W286" i="3"/>
  <x:c r="V286" i="3"/>
  <x:c r="U286" i="3"/>
  <x:c r="T286" i="3"/>
  <x:c r="E286" i="3"/>
  <x:c r="B286" i="3"/>
  <x:c r="A286" i="3"/>
  <x:c r="AG285" i="3"/>
  <x:c r="AF285" i="3"/>
  <x:c r="AE285" i="3"/>
  <x:c r="AD285" i="3"/>
  <x:c r="AC285" i="3"/>
  <x:c r="AB285" i="3"/>
  <x:c r="AA285" i="3"/>
  <x:c r="Z285" i="3"/>
  <x:c r="Y285" i="3"/>
  <x:c r="X285" i="3"/>
  <x:c r="W285" i="3"/>
  <x:c r="V285" i="3"/>
  <x:c r="U285" i="3"/>
  <x:c r="T285" i="3"/>
  <x:c r="E285" i="3"/>
  <x:c r="B285" i="3"/>
  <x:c r="A285" i="3"/>
  <x:c r="AG284" i="3"/>
  <x:c r="AF284" i="3"/>
  <x:c r="AE284" i="3"/>
  <x:c r="AD284" i="3"/>
  <x:c r="AC284" i="3"/>
  <x:c r="AB284" i="3"/>
  <x:c r="AA284" i="3"/>
  <x:c r="Z284" i="3"/>
  <x:c r="Y284" i="3"/>
  <x:c r="X284" i="3"/>
  <x:c r="W284" i="3"/>
  <x:c r="V284" i="3"/>
  <x:c r="U284" i="3"/>
  <x:c r="T284" i="3"/>
  <x:c r="E284" i="3"/>
  <x:c r="B284" i="3"/>
  <x:c r="A284" i="3"/>
  <x:c r="AG283" i="3"/>
  <x:c r="AF283" i="3"/>
  <x:c r="AE283" i="3"/>
  <x:c r="AD283" i="3"/>
  <x:c r="AC283" i="3"/>
  <x:c r="AB283" i="3"/>
  <x:c r="AA283" i="3"/>
  <x:c r="Z283" i="3"/>
  <x:c r="Y283" i="3"/>
  <x:c r="X283" i="3"/>
  <x:c r="W283" i="3"/>
  <x:c r="V283" i="3"/>
  <x:c r="U283" i="3"/>
  <x:c r="T283" i="3"/>
  <x:c r="E283" i="3"/>
  <x:c r="B283" i="3"/>
  <x:c r="A283" i="3"/>
  <x:c r="AG282" i="3"/>
  <x:c r="AF282" i="3"/>
  <x:c r="AE282" i="3"/>
  <x:c r="AD282" i="3"/>
  <x:c r="AC282" i="3"/>
  <x:c r="AB282" i="3"/>
  <x:c r="AA282" i="3"/>
  <x:c r="Z282" i="3"/>
  <x:c r="Y282" i="3"/>
  <x:c r="X282" i="3"/>
  <x:c r="W282" i="3"/>
  <x:c r="V282" i="3"/>
  <x:c r="U282" i="3"/>
  <x:c r="T282" i="3"/>
  <x:c r="E282" i="3"/>
  <x:c r="B282" i="3"/>
  <x:c r="A282" i="3"/>
  <x:c r="AG281" i="3"/>
  <x:c r="AF281" i="3"/>
  <x:c r="AE281" i="3"/>
  <x:c r="AD281" i="3"/>
  <x:c r="AC281" i="3"/>
  <x:c r="AB281" i="3"/>
  <x:c r="AA281" i="3"/>
  <x:c r="Z281" i="3"/>
  <x:c r="Y281" i="3"/>
  <x:c r="X281" i="3"/>
  <x:c r="W281" i="3"/>
  <x:c r="V281" i="3"/>
  <x:c r="U281" i="3"/>
  <x:c r="T281" i="3"/>
  <x:c r="E281" i="3"/>
  <x:c r="B281" i="3"/>
  <x:c r="A281" i="3"/>
  <x:c r="AG280" i="3"/>
  <x:c r="AF280" i="3"/>
  <x:c r="AE280" i="3"/>
  <x:c r="AD280" i="3"/>
  <x:c r="AC280" i="3"/>
  <x:c r="AB280" i="3"/>
  <x:c r="AA280" i="3"/>
  <x:c r="Z280" i="3"/>
  <x:c r="Y280" i="3"/>
  <x:c r="X280" i="3"/>
  <x:c r="W280" i="3"/>
  <x:c r="V280" i="3"/>
  <x:c r="U280" i="3"/>
  <x:c r="T280" i="3"/>
  <x:c r="E280" i="3"/>
  <x:c r="B280" i="3"/>
  <x:c r="A280" i="3"/>
  <x:c r="AG279" i="3"/>
  <x:c r="AF279" i="3"/>
  <x:c r="AE279" i="3"/>
  <x:c r="AD279" i="3"/>
  <x:c r="AC279" i="3"/>
  <x:c r="AB279" i="3"/>
  <x:c r="AA279" i="3"/>
  <x:c r="Z279" i="3"/>
  <x:c r="Y279" i="3"/>
  <x:c r="X279" i="3"/>
  <x:c r="W279" i="3"/>
  <x:c r="V279" i="3"/>
  <x:c r="U279" i="3"/>
  <x:c r="T279" i="3"/>
  <x:c r="E279" i="3"/>
  <x:c r="B279" i="3"/>
  <x:c r="A279" i="3"/>
  <x:c r="AG278" i="3"/>
  <x:c r="AF278" i="3"/>
  <x:c r="AE278" i="3"/>
  <x:c r="AD278" i="3"/>
  <x:c r="AC278" i="3"/>
  <x:c r="AB278" i="3"/>
  <x:c r="AA278" i="3"/>
  <x:c r="Z278" i="3"/>
  <x:c r="Y278" i="3"/>
  <x:c r="X278" i="3"/>
  <x:c r="W278" i="3"/>
  <x:c r="V278" i="3"/>
  <x:c r="U278" i="3"/>
  <x:c r="T278" i="3"/>
  <x:c r="E278" i="3"/>
  <x:c r="B278" i="3"/>
  <x:c r="A278" i="3"/>
  <x:c r="AG277" i="3"/>
  <x:c r="AF277" i="3"/>
  <x:c r="AE277" i="3"/>
  <x:c r="AD277" i="3"/>
  <x:c r="AC277" i="3"/>
  <x:c r="AB277" i="3"/>
  <x:c r="AA277" i="3"/>
  <x:c r="Z277" i="3"/>
  <x:c r="Y277" i="3"/>
  <x:c r="X277" i="3"/>
  <x:c r="W277" i="3"/>
  <x:c r="V277" i="3"/>
  <x:c r="U277" i="3"/>
  <x:c r="T277" i="3"/>
  <x:c r="E277" i="3"/>
  <x:c r="B277" i="3"/>
  <x:c r="A277" i="3"/>
  <x:c r="AG276" i="3"/>
  <x:c r="AF276" i="3"/>
  <x:c r="AE276" i="3"/>
  <x:c r="AD276" i="3"/>
  <x:c r="AC276" i="3"/>
  <x:c r="AB276" i="3"/>
  <x:c r="AA276" i="3"/>
  <x:c r="Z276" i="3"/>
  <x:c r="Y276" i="3"/>
  <x:c r="X276" i="3"/>
  <x:c r="W276" i="3"/>
  <x:c r="V276" i="3"/>
  <x:c r="U276" i="3"/>
  <x:c r="T276" i="3"/>
  <x:c r="E276" i="3"/>
  <x:c r="B276" i="3"/>
  <x:c r="A276" i="3"/>
  <x:c r="AG275" i="3"/>
  <x:c r="AF275" i="3"/>
  <x:c r="AE275" i="3"/>
  <x:c r="AD275" i="3"/>
  <x:c r="AC275" i="3"/>
  <x:c r="AB275" i="3"/>
  <x:c r="AA275" i="3"/>
  <x:c r="Z275" i="3"/>
  <x:c r="Y275" i="3"/>
  <x:c r="X275" i="3"/>
  <x:c r="W275" i="3"/>
  <x:c r="V275" i="3"/>
  <x:c r="U275" i="3"/>
  <x:c r="T275" i="3"/>
  <x:c r="E275" i="3"/>
  <x:c r="B275" i="3"/>
  <x:c r="A275" i="3"/>
  <x:c r="AG274" i="3"/>
  <x:c r="AF274" i="3"/>
  <x:c r="AE274" i="3"/>
  <x:c r="AD274" i="3"/>
  <x:c r="AC274" i="3"/>
  <x:c r="AB274" i="3"/>
  <x:c r="AA274" i="3"/>
  <x:c r="Z274" i="3"/>
  <x:c r="Y274" i="3"/>
  <x:c r="X274" i="3"/>
  <x:c r="W274" i="3"/>
  <x:c r="V274" i="3"/>
  <x:c r="U274" i="3"/>
  <x:c r="T274" i="3"/>
  <x:c r="E274" i="3"/>
  <x:c r="B274" i="3"/>
  <x:c r="A274" i="3"/>
  <x:c r="AG273" i="3"/>
  <x:c r="AF273" i="3"/>
  <x:c r="AE273" i="3"/>
  <x:c r="AD273" i="3"/>
  <x:c r="AC273" i="3"/>
  <x:c r="AB273" i="3"/>
  <x:c r="AA273" i="3"/>
  <x:c r="Z273" i="3"/>
  <x:c r="Y273" i="3"/>
  <x:c r="X273" i="3"/>
  <x:c r="W273" i="3"/>
  <x:c r="V273" i="3"/>
  <x:c r="U273" i="3"/>
  <x:c r="T273" i="3"/>
  <x:c r="E273" i="3"/>
  <x:c r="B273" i="3"/>
  <x:c r="A273" i="3"/>
  <x:c r="AG272" i="3"/>
  <x:c r="AF272" i="3"/>
  <x:c r="AE272" i="3"/>
  <x:c r="AD272" i="3"/>
  <x:c r="AC272" i="3"/>
  <x:c r="AB272" i="3"/>
  <x:c r="AA272" i="3"/>
  <x:c r="Z272" i="3"/>
  <x:c r="Y272" i="3"/>
  <x:c r="X272" i="3"/>
  <x:c r="W272" i="3"/>
  <x:c r="V272" i="3"/>
  <x:c r="U272" i="3"/>
  <x:c r="T272" i="3"/>
  <x:c r="E272" i="3"/>
  <x:c r="B272" i="3"/>
  <x:c r="A272" i="3"/>
  <x:c r="AG271" i="3"/>
  <x:c r="AF271" i="3"/>
  <x:c r="AE271" i="3"/>
  <x:c r="AD271" i="3"/>
  <x:c r="AC271" i="3"/>
  <x:c r="AB271" i="3"/>
  <x:c r="AA271" i="3"/>
  <x:c r="Z271" i="3"/>
  <x:c r="Y271" i="3"/>
  <x:c r="X271" i="3"/>
  <x:c r="W271" i="3"/>
  <x:c r="V271" i="3"/>
  <x:c r="U271" i="3"/>
  <x:c r="T271" i="3"/>
  <x:c r="E271" i="3"/>
  <x:c r="B271" i="3"/>
  <x:c r="A271" i="3"/>
  <x:c r="AG270" i="3"/>
  <x:c r="AF270" i="3"/>
  <x:c r="AE270" i="3"/>
  <x:c r="AD270" i="3"/>
  <x:c r="AC270" i="3"/>
  <x:c r="AB270" i="3"/>
  <x:c r="AA270" i="3"/>
  <x:c r="Z270" i="3"/>
  <x:c r="Y270" i="3"/>
  <x:c r="X270" i="3"/>
  <x:c r="W270" i="3"/>
  <x:c r="V270" i="3"/>
  <x:c r="U270" i="3"/>
  <x:c r="T270" i="3"/>
  <x:c r="E270" i="3"/>
  <x:c r="B270" i="3"/>
  <x:c r="A270" i="3"/>
  <x:c r="AG269" i="3"/>
  <x:c r="AF269" i="3"/>
  <x:c r="AE269" i="3"/>
  <x:c r="AD269" i="3"/>
  <x:c r="AC269" i="3"/>
  <x:c r="AB269" i="3"/>
  <x:c r="AA269" i="3"/>
  <x:c r="Z269" i="3"/>
  <x:c r="Y269" i="3"/>
  <x:c r="X269" i="3"/>
  <x:c r="W269" i="3"/>
  <x:c r="V269" i="3"/>
  <x:c r="U269" i="3"/>
  <x:c r="T269" i="3"/>
  <x:c r="E269" i="3"/>
  <x:c r="B269" i="3"/>
  <x:c r="A269" i="3"/>
  <x:c r="AG268" i="3"/>
  <x:c r="AF268" i="3"/>
  <x:c r="AE268" i="3"/>
  <x:c r="AD268" i="3"/>
  <x:c r="AC268" i="3"/>
  <x:c r="AB268" i="3"/>
  <x:c r="AA268" i="3"/>
  <x:c r="Z268" i="3"/>
  <x:c r="Y268" i="3"/>
  <x:c r="X268" i="3"/>
  <x:c r="W268" i="3"/>
  <x:c r="V268" i="3"/>
  <x:c r="U268" i="3"/>
  <x:c r="T268" i="3"/>
  <x:c r="E268" i="3"/>
  <x:c r="B268" i="3"/>
  <x:c r="A268" i="3"/>
  <x:c r="AG267" i="3"/>
  <x:c r="AF267" i="3"/>
  <x:c r="AE267" i="3"/>
  <x:c r="AD267" i="3"/>
  <x:c r="AC267" i="3"/>
  <x:c r="AB267" i="3"/>
  <x:c r="AA267" i="3"/>
  <x:c r="Z267" i="3"/>
  <x:c r="Y267" i="3"/>
  <x:c r="X267" i="3"/>
  <x:c r="W267" i="3"/>
  <x:c r="V267" i="3"/>
  <x:c r="U267" i="3"/>
  <x:c r="T267" i="3"/>
  <x:c r="E267" i="3"/>
  <x:c r="B267" i="3"/>
  <x:c r="A267" i="3"/>
  <x:c r="AG266" i="3"/>
  <x:c r="AF266" i="3"/>
  <x:c r="AE266" i="3"/>
  <x:c r="AD266" i="3"/>
  <x:c r="AC266" i="3"/>
  <x:c r="AB266" i="3"/>
  <x:c r="AA266" i="3"/>
  <x:c r="Z266" i="3"/>
  <x:c r="Y266" i="3"/>
  <x:c r="X266" i="3"/>
  <x:c r="W266" i="3"/>
  <x:c r="V266" i="3"/>
  <x:c r="U266" i="3"/>
  <x:c r="T266" i="3"/>
  <x:c r="E266" i="3"/>
  <x:c r="B266" i="3"/>
  <x:c r="A266" i="3"/>
  <x:c r="AG265" i="3"/>
  <x:c r="AF265" i="3"/>
  <x:c r="AE265" i="3"/>
  <x:c r="AD265" i="3"/>
  <x:c r="AC265" i="3"/>
  <x:c r="AB265" i="3"/>
  <x:c r="AA265" i="3"/>
  <x:c r="Z265" i="3"/>
  <x:c r="Y265" i="3"/>
  <x:c r="X265" i="3"/>
  <x:c r="W265" i="3"/>
  <x:c r="V265" i="3"/>
  <x:c r="U265" i="3"/>
  <x:c r="T265" i="3"/>
  <x:c r="E265" i="3"/>
  <x:c r="B265" i="3"/>
  <x:c r="A265" i="3"/>
  <x:c r="AG264" i="3"/>
  <x:c r="AF264" i="3"/>
  <x:c r="AE264" i="3"/>
  <x:c r="AD264" i="3"/>
  <x:c r="AC264" i="3"/>
  <x:c r="AB264" i="3"/>
  <x:c r="AA264" i="3"/>
  <x:c r="Z264" i="3"/>
  <x:c r="Y264" i="3"/>
  <x:c r="X264" i="3"/>
  <x:c r="W264" i="3"/>
  <x:c r="V264" i="3"/>
  <x:c r="U264" i="3"/>
  <x:c r="T264" i="3"/>
  <x:c r="E264" i="3"/>
  <x:c r="B264" i="3"/>
  <x:c r="A264" i="3"/>
  <x:c r="AG263" i="3"/>
  <x:c r="AF263" i="3"/>
  <x:c r="AE263" i="3"/>
  <x:c r="AD263" i="3"/>
  <x:c r="AC263" i="3"/>
  <x:c r="AB263" i="3"/>
  <x:c r="AA263" i="3"/>
  <x:c r="Z263" i="3"/>
  <x:c r="Y263" i="3"/>
  <x:c r="X263" i="3"/>
  <x:c r="W263" i="3"/>
  <x:c r="V263" i="3"/>
  <x:c r="U263" i="3"/>
  <x:c r="T263" i="3"/>
  <x:c r="E263" i="3"/>
  <x:c r="B263" i="3"/>
  <x:c r="A263" i="3"/>
  <x:c r="AG262" i="3"/>
  <x:c r="AF262" i="3"/>
  <x:c r="AE262" i="3"/>
  <x:c r="AD262" i="3"/>
  <x:c r="AC262" i="3"/>
  <x:c r="AB262" i="3"/>
  <x:c r="AA262" i="3"/>
  <x:c r="Z262" i="3"/>
  <x:c r="Y262" i="3"/>
  <x:c r="X262" i="3"/>
  <x:c r="W262" i="3"/>
  <x:c r="V262" i="3"/>
  <x:c r="U262" i="3"/>
  <x:c r="T262" i="3"/>
  <x:c r="E262" i="3"/>
  <x:c r="B262" i="3"/>
  <x:c r="A262" i="3"/>
  <x:c r="AG261" i="3"/>
  <x:c r="AF261" i="3"/>
  <x:c r="AE261" i="3"/>
  <x:c r="AD261" i="3"/>
  <x:c r="AC261" i="3"/>
  <x:c r="AB261" i="3"/>
  <x:c r="AA261" i="3"/>
  <x:c r="Z261" i="3"/>
  <x:c r="Y261" i="3"/>
  <x:c r="X261" i="3"/>
  <x:c r="W261" i="3"/>
  <x:c r="V261" i="3"/>
  <x:c r="U261" i="3"/>
  <x:c r="T261" i="3"/>
  <x:c r="E261" i="3"/>
  <x:c r="B261" i="3"/>
  <x:c r="A261" i="3"/>
  <x:c r="AG260" i="3"/>
  <x:c r="AF260" i="3"/>
  <x:c r="AE260" i="3"/>
  <x:c r="AD260" i="3"/>
  <x:c r="AC260" i="3"/>
  <x:c r="AB260" i="3"/>
  <x:c r="AA260" i="3"/>
  <x:c r="Z260" i="3"/>
  <x:c r="Y260" i="3"/>
  <x:c r="X260" i="3"/>
  <x:c r="W260" i="3"/>
  <x:c r="V260" i="3"/>
  <x:c r="U260" i="3"/>
  <x:c r="T260" i="3"/>
  <x:c r="E260" i="3"/>
  <x:c r="B260" i="3"/>
  <x:c r="A260" i="3"/>
  <x:c r="AG259" i="3"/>
  <x:c r="AF259" i="3"/>
  <x:c r="AE259" i="3"/>
  <x:c r="AD259" i="3"/>
  <x:c r="AC259" i="3"/>
  <x:c r="AB259" i="3"/>
  <x:c r="AA259" i="3"/>
  <x:c r="Z259" i="3"/>
  <x:c r="Y259" i="3"/>
  <x:c r="X259" i="3"/>
  <x:c r="W259" i="3"/>
  <x:c r="V259" i="3"/>
  <x:c r="U259" i="3"/>
  <x:c r="T259" i="3"/>
  <x:c r="E259" i="3"/>
  <x:c r="B259" i="3"/>
  <x:c r="A259" i="3"/>
  <x:c r="AG258" i="3"/>
  <x:c r="AF258" i="3"/>
  <x:c r="AE258" i="3"/>
  <x:c r="AD258" i="3"/>
  <x:c r="AC258" i="3"/>
  <x:c r="AB258" i="3"/>
  <x:c r="AA258" i="3"/>
  <x:c r="Z258" i="3"/>
  <x:c r="Y258" i="3"/>
  <x:c r="X258" i="3"/>
  <x:c r="W258" i="3"/>
  <x:c r="V258" i="3"/>
  <x:c r="U258" i="3"/>
  <x:c r="T258" i="3"/>
  <x:c r="E258" i="3"/>
  <x:c r="B258" i="3"/>
  <x:c r="A258" i="3"/>
  <x:c r="AG257" i="3"/>
  <x:c r="AF257" i="3"/>
  <x:c r="AE257" i="3"/>
  <x:c r="AD257" i="3"/>
  <x:c r="AC257" i="3"/>
  <x:c r="AB257" i="3"/>
  <x:c r="AA257" i="3"/>
  <x:c r="Z257" i="3"/>
  <x:c r="Y257" i="3"/>
  <x:c r="X257" i="3"/>
  <x:c r="W257" i="3"/>
  <x:c r="V257" i="3"/>
  <x:c r="U257" i="3"/>
  <x:c r="T257" i="3"/>
  <x:c r="E257" i="3"/>
  <x:c r="B257" i="3"/>
  <x:c r="A257" i="3"/>
  <x:c r="AG256" i="3"/>
  <x:c r="AF256" i="3"/>
  <x:c r="AE256" i="3"/>
  <x:c r="AD256" i="3"/>
  <x:c r="AC256" i="3"/>
  <x:c r="AB256" i="3"/>
  <x:c r="AA256" i="3"/>
  <x:c r="Z256" i="3"/>
  <x:c r="Y256" i="3"/>
  <x:c r="X256" i="3"/>
  <x:c r="W256" i="3"/>
  <x:c r="V256" i="3"/>
  <x:c r="U256" i="3"/>
  <x:c r="T256" i="3"/>
  <x:c r="E256" i="3"/>
  <x:c r="B256" i="3"/>
  <x:c r="A256" i="3"/>
  <x:c r="AG255" i="3"/>
  <x:c r="AF255" i="3"/>
  <x:c r="AE255" i="3"/>
  <x:c r="AD255" i="3"/>
  <x:c r="AC255" i="3"/>
  <x:c r="AB255" i="3"/>
  <x:c r="AA255" i="3"/>
  <x:c r="Z255" i="3"/>
  <x:c r="Y255" i="3"/>
  <x:c r="X255" i="3"/>
  <x:c r="W255" i="3"/>
  <x:c r="V255" i="3"/>
  <x:c r="U255" i="3"/>
  <x:c r="T255" i="3"/>
  <x:c r="E255" i="3"/>
  <x:c r="B255" i="3"/>
  <x:c r="A255" i="3"/>
  <x:c r="AG254" i="3"/>
  <x:c r="AF254" i="3"/>
  <x:c r="AE254" i="3"/>
  <x:c r="AD254" i="3"/>
  <x:c r="AC254" i="3"/>
  <x:c r="AB254" i="3"/>
  <x:c r="AA254" i="3"/>
  <x:c r="Z254" i="3"/>
  <x:c r="Y254" i="3"/>
  <x:c r="X254" i="3"/>
  <x:c r="W254" i="3"/>
  <x:c r="V254" i="3"/>
  <x:c r="U254" i="3"/>
  <x:c r="T254" i="3"/>
  <x:c r="E254" i="3"/>
  <x:c r="B254" i="3"/>
  <x:c r="A254" i="3"/>
  <x:c r="AG253" i="3"/>
  <x:c r="AF253" i="3"/>
  <x:c r="AE253" i="3"/>
  <x:c r="AD253" i="3"/>
  <x:c r="AC253" i="3"/>
  <x:c r="AB253" i="3"/>
  <x:c r="AA253" i="3"/>
  <x:c r="Z253" i="3"/>
  <x:c r="Y253" i="3"/>
  <x:c r="X253" i="3"/>
  <x:c r="W253" i="3"/>
  <x:c r="V253" i="3"/>
  <x:c r="U253" i="3"/>
  <x:c r="T253" i="3"/>
  <x:c r="E253" i="3"/>
  <x:c r="B253" i="3"/>
  <x:c r="A253" i="3"/>
  <x:c r="AG252" i="3"/>
  <x:c r="AF252" i="3"/>
  <x:c r="AE252" i="3"/>
  <x:c r="AD252" i="3"/>
  <x:c r="AC252" i="3"/>
  <x:c r="AB252" i="3"/>
  <x:c r="AA252" i="3"/>
  <x:c r="Z252" i="3"/>
  <x:c r="Y252" i="3"/>
  <x:c r="X252" i="3"/>
  <x:c r="W252" i="3"/>
  <x:c r="V252" i="3"/>
  <x:c r="U252" i="3"/>
  <x:c r="T252" i="3"/>
  <x:c r="E252" i="3"/>
  <x:c r="B252" i="3"/>
  <x:c r="A252" i="3"/>
  <x:c r="AG251" i="3"/>
  <x:c r="AF251" i="3"/>
  <x:c r="AE251" i="3"/>
  <x:c r="AD251" i="3"/>
  <x:c r="AC251" i="3"/>
  <x:c r="AB251" i="3"/>
  <x:c r="AA251" i="3"/>
  <x:c r="Z251" i="3"/>
  <x:c r="Y251" i="3"/>
  <x:c r="X251" i="3"/>
  <x:c r="W251" i="3"/>
  <x:c r="V251" i="3"/>
  <x:c r="U251" i="3"/>
  <x:c r="T251" i="3"/>
  <x:c r="E251" i="3"/>
  <x:c r="B251" i="3"/>
  <x:c r="A251" i="3"/>
  <x:c r="AG250" i="3"/>
  <x:c r="AF250" i="3"/>
  <x:c r="AE250" i="3"/>
  <x:c r="AD250" i="3"/>
  <x:c r="AC250" i="3"/>
  <x:c r="AB250" i="3"/>
  <x:c r="AA250" i="3"/>
  <x:c r="Z250" i="3"/>
  <x:c r="Y250" i="3"/>
  <x:c r="X250" i="3"/>
  <x:c r="W250" i="3"/>
  <x:c r="V250" i="3"/>
  <x:c r="U250" i="3"/>
  <x:c r="T250" i="3"/>
  <x:c r="E250" i="3"/>
  <x:c r="B250" i="3"/>
  <x:c r="A250" i="3"/>
  <x:c r="AG249" i="3"/>
  <x:c r="AF249" i="3"/>
  <x:c r="AE249" i="3"/>
  <x:c r="AD249" i="3"/>
  <x:c r="AC249" i="3"/>
  <x:c r="AB249" i="3"/>
  <x:c r="AA249" i="3"/>
  <x:c r="Z249" i="3"/>
  <x:c r="Y249" i="3"/>
  <x:c r="X249" i="3"/>
  <x:c r="W249" i="3"/>
  <x:c r="V249" i="3"/>
  <x:c r="U249" i="3"/>
  <x:c r="T249" i="3"/>
  <x:c r="E249" i="3"/>
  <x:c r="B249" i="3"/>
  <x:c r="A249" i="3"/>
  <x:c r="AG248" i="3"/>
  <x:c r="AF248" i="3"/>
  <x:c r="AE248" i="3"/>
  <x:c r="AD248" i="3"/>
  <x:c r="AC248" i="3"/>
  <x:c r="AB248" i="3"/>
  <x:c r="AA248" i="3"/>
  <x:c r="Z248" i="3"/>
  <x:c r="Y248" i="3"/>
  <x:c r="X248" i="3"/>
  <x:c r="W248" i="3"/>
  <x:c r="V248" i="3"/>
  <x:c r="U248" i="3"/>
  <x:c r="T248" i="3"/>
  <x:c r="E248" i="3"/>
  <x:c r="B248" i="3"/>
  <x:c r="A248" i="3"/>
  <x:c r="AG247" i="3"/>
  <x:c r="AF247" i="3"/>
  <x:c r="AE247" i="3"/>
  <x:c r="AD247" i="3"/>
  <x:c r="AC247" i="3"/>
  <x:c r="AB247" i="3"/>
  <x:c r="AA247" i="3"/>
  <x:c r="Z247" i="3"/>
  <x:c r="Y247" i="3"/>
  <x:c r="X247" i="3"/>
  <x:c r="W247" i="3"/>
  <x:c r="V247" i="3"/>
  <x:c r="U247" i="3"/>
  <x:c r="T247" i="3"/>
  <x:c r="E247" i="3"/>
  <x:c r="B247" i="3"/>
  <x:c r="A247" i="3"/>
  <x:c r="AG246" i="3"/>
  <x:c r="AF246" i="3"/>
  <x:c r="AE246" i="3"/>
  <x:c r="AD246" i="3"/>
  <x:c r="AC246" i="3"/>
  <x:c r="AB246" i="3"/>
  <x:c r="AA246" i="3"/>
  <x:c r="Z246" i="3"/>
  <x:c r="Y246" i="3"/>
  <x:c r="X246" i="3"/>
  <x:c r="W246" i="3"/>
  <x:c r="V246" i="3"/>
  <x:c r="U246" i="3"/>
  <x:c r="T246" i="3"/>
  <x:c r="E246" i="3"/>
  <x:c r="B246" i="3"/>
  <x:c r="A246" i="3"/>
  <x:c r="AG245" i="3"/>
  <x:c r="AF245" i="3"/>
  <x:c r="AE245" i="3"/>
  <x:c r="AD245" i="3"/>
  <x:c r="AC245" i="3"/>
  <x:c r="AB245" i="3"/>
  <x:c r="AA245" i="3"/>
  <x:c r="Z245" i="3"/>
  <x:c r="Y245" i="3"/>
  <x:c r="X245" i="3"/>
  <x:c r="W245" i="3"/>
  <x:c r="V245" i="3"/>
  <x:c r="U245" i="3"/>
  <x:c r="T245" i="3"/>
  <x:c r="E245" i="3"/>
  <x:c r="B245" i="3"/>
  <x:c r="A245" i="3"/>
  <x:c r="AG244" i="3"/>
  <x:c r="AF244" i="3"/>
  <x:c r="AE244" i="3"/>
  <x:c r="AD244" i="3"/>
  <x:c r="AC244" i="3"/>
  <x:c r="AB244" i="3"/>
  <x:c r="AA244" i="3"/>
  <x:c r="Z244" i="3"/>
  <x:c r="Y244" i="3"/>
  <x:c r="X244" i="3"/>
  <x:c r="W244" i="3"/>
  <x:c r="V244" i="3"/>
  <x:c r="U244" i="3"/>
  <x:c r="T244" i="3"/>
  <x:c r="E244" i="3"/>
  <x:c r="B244" i="3"/>
  <x:c r="A244" i="3"/>
  <x:c r="AG243" i="3"/>
  <x:c r="AF243" i="3"/>
  <x:c r="AE243" i="3"/>
  <x:c r="AD243" i="3"/>
  <x:c r="AC243" i="3"/>
  <x:c r="AB243" i="3"/>
  <x:c r="AA243" i="3"/>
  <x:c r="Z243" i="3"/>
  <x:c r="Y243" i="3"/>
  <x:c r="X243" i="3"/>
  <x:c r="W243" i="3"/>
  <x:c r="V243" i="3"/>
  <x:c r="U243" i="3"/>
  <x:c r="T243" i="3"/>
  <x:c r="E243" i="3"/>
  <x:c r="B243" i="3"/>
  <x:c r="A243" i="3"/>
  <x:c r="AG242" i="3"/>
  <x:c r="AF242" i="3"/>
  <x:c r="AE242" i="3"/>
  <x:c r="AD242" i="3"/>
  <x:c r="AC242" i="3"/>
  <x:c r="AB242" i="3"/>
  <x:c r="AA242" i="3"/>
  <x:c r="Z242" i="3"/>
  <x:c r="Y242" i="3"/>
  <x:c r="X242" i="3"/>
  <x:c r="W242" i="3"/>
  <x:c r="V242" i="3"/>
  <x:c r="U242" i="3"/>
  <x:c r="T242" i="3"/>
  <x:c r="E242" i="3"/>
  <x:c r="B242" i="3"/>
  <x:c r="A242" i="3"/>
  <x:c r="AG241" i="3"/>
  <x:c r="AF241" i="3"/>
  <x:c r="AE241" i="3"/>
  <x:c r="AD241" i="3"/>
  <x:c r="AC241" i="3"/>
  <x:c r="AB241" i="3"/>
  <x:c r="AA241" i="3"/>
  <x:c r="Z241" i="3"/>
  <x:c r="Y241" i="3"/>
  <x:c r="X241" i="3"/>
  <x:c r="W241" i="3"/>
  <x:c r="V241" i="3"/>
  <x:c r="U241" i="3"/>
  <x:c r="T241" i="3"/>
  <x:c r="E241" i="3"/>
  <x:c r="B241" i="3"/>
  <x:c r="A241" i="3"/>
  <x:c r="AG240" i="3"/>
  <x:c r="AF240" i="3"/>
  <x:c r="AE240" i="3"/>
  <x:c r="AD240" i="3"/>
  <x:c r="AC240" i="3"/>
  <x:c r="AB240" i="3"/>
  <x:c r="AA240" i="3"/>
  <x:c r="Z240" i="3"/>
  <x:c r="Y240" i="3"/>
  <x:c r="X240" i="3"/>
  <x:c r="W240" i="3"/>
  <x:c r="V240" i="3"/>
  <x:c r="U240" i="3"/>
  <x:c r="T240" i="3"/>
  <x:c r="E240" i="3"/>
  <x:c r="B240" i="3"/>
  <x:c r="A240" i="3"/>
  <x:c r="AG239" i="3"/>
  <x:c r="AF239" i="3"/>
  <x:c r="AE239" i="3"/>
  <x:c r="AD239" i="3"/>
  <x:c r="AC239" i="3"/>
  <x:c r="AB239" i="3"/>
  <x:c r="AA239" i="3"/>
  <x:c r="Z239" i="3"/>
  <x:c r="Y239" i="3"/>
  <x:c r="X239" i="3"/>
  <x:c r="W239" i="3"/>
  <x:c r="V239" i="3"/>
  <x:c r="U239" i="3"/>
  <x:c r="T239" i="3"/>
  <x:c r="E239" i="3"/>
  <x:c r="B239" i="3"/>
  <x:c r="A239" i="3"/>
  <x:c r="AG238" i="3"/>
  <x:c r="AF238" i="3"/>
  <x:c r="AE238" i="3"/>
  <x:c r="AD238" i="3"/>
  <x:c r="AC238" i="3"/>
  <x:c r="AB238" i="3"/>
  <x:c r="AA238" i="3"/>
  <x:c r="Z238" i="3"/>
  <x:c r="Y238" i="3"/>
  <x:c r="X238" i="3"/>
  <x:c r="W238" i="3"/>
  <x:c r="V238" i="3"/>
  <x:c r="U238" i="3"/>
  <x:c r="T238" i="3"/>
  <x:c r="E238" i="3"/>
  <x:c r="B238" i="3"/>
  <x:c r="A238" i="3"/>
  <x:c r="AG237" i="3"/>
  <x:c r="AF237" i="3"/>
  <x:c r="AE237" i="3"/>
  <x:c r="AD237" i="3"/>
  <x:c r="AC237" i="3"/>
  <x:c r="AB237" i="3"/>
  <x:c r="AA237" i="3"/>
  <x:c r="Z237" i="3"/>
  <x:c r="Y237" i="3"/>
  <x:c r="X237" i="3"/>
  <x:c r="W237" i="3"/>
  <x:c r="V237" i="3"/>
  <x:c r="U237" i="3"/>
  <x:c r="T237" i="3"/>
  <x:c r="E237" i="3"/>
  <x:c r="B237" i="3"/>
  <x:c r="A237" i="3"/>
  <x:c r="AG236" i="3"/>
  <x:c r="AF236" i="3"/>
  <x:c r="AE236" i="3"/>
  <x:c r="AD236" i="3"/>
  <x:c r="AC236" i="3"/>
  <x:c r="AB236" i="3"/>
  <x:c r="AA236" i="3"/>
  <x:c r="Z236" i="3"/>
  <x:c r="Y236" i="3"/>
  <x:c r="X236" i="3"/>
  <x:c r="W236" i="3"/>
  <x:c r="V236" i="3"/>
  <x:c r="U236" i="3"/>
  <x:c r="T236" i="3"/>
  <x:c r="E236" i="3"/>
  <x:c r="B236" i="3"/>
  <x:c r="A236" i="3"/>
  <x:c r="AG235" i="3"/>
  <x:c r="AF235" i="3"/>
  <x:c r="AE235" i="3"/>
  <x:c r="AD235" i="3"/>
  <x:c r="AC235" i="3"/>
  <x:c r="AB235" i="3"/>
  <x:c r="AA235" i="3"/>
  <x:c r="Z235" i="3"/>
  <x:c r="Y235" i="3"/>
  <x:c r="X235" i="3"/>
  <x:c r="W235" i="3"/>
  <x:c r="V235" i="3"/>
  <x:c r="U235" i="3"/>
  <x:c r="T235" i="3"/>
  <x:c r="E235" i="3"/>
  <x:c r="B235" i="3"/>
  <x:c r="A235" i="3"/>
  <x:c r="AG234" i="3"/>
  <x:c r="AF234" i="3"/>
  <x:c r="AE234" i="3"/>
  <x:c r="AD234" i="3"/>
  <x:c r="AC234" i="3"/>
  <x:c r="AB234" i="3"/>
  <x:c r="AA234" i="3"/>
  <x:c r="Z234" i="3"/>
  <x:c r="Y234" i="3"/>
  <x:c r="X234" i="3"/>
  <x:c r="W234" i="3"/>
  <x:c r="V234" i="3"/>
  <x:c r="U234" i="3"/>
  <x:c r="T234" i="3"/>
  <x:c r="E234" i="3"/>
  <x:c r="B234" i="3"/>
  <x:c r="A234" i="3"/>
  <x:c r="AG233" i="3"/>
  <x:c r="AF233" i="3"/>
  <x:c r="AE233" i="3"/>
  <x:c r="AD233" i="3"/>
  <x:c r="AC233" i="3"/>
  <x:c r="AB233" i="3"/>
  <x:c r="AA233" i="3"/>
  <x:c r="Z233" i="3"/>
  <x:c r="Y233" i="3"/>
  <x:c r="X233" i="3"/>
  <x:c r="W233" i="3"/>
  <x:c r="V233" i="3"/>
  <x:c r="U233" i="3"/>
  <x:c r="T233" i="3"/>
  <x:c r="E233" i="3"/>
  <x:c r="B233" i="3"/>
  <x:c r="A233" i="3"/>
  <x:c r="AG232" i="3"/>
  <x:c r="AF232" i="3"/>
  <x:c r="AE232" i="3"/>
  <x:c r="AD232" i="3"/>
  <x:c r="AC232" i="3"/>
  <x:c r="AB232" i="3"/>
  <x:c r="AA232" i="3"/>
  <x:c r="Z232" i="3"/>
  <x:c r="Y232" i="3"/>
  <x:c r="X232" i="3"/>
  <x:c r="W232" i="3"/>
  <x:c r="V232" i="3"/>
  <x:c r="U232" i="3"/>
  <x:c r="T232" i="3"/>
  <x:c r="E232" i="3"/>
  <x:c r="B232" i="3"/>
  <x:c r="A232" i="3"/>
  <x:c r="AG231" i="3"/>
  <x:c r="AF231" i="3"/>
  <x:c r="AE231" i="3"/>
  <x:c r="AD231" i="3"/>
  <x:c r="AC231" i="3"/>
  <x:c r="AB231" i="3"/>
  <x:c r="AA231" i="3"/>
  <x:c r="Z231" i="3"/>
  <x:c r="Y231" i="3"/>
  <x:c r="X231" i="3"/>
  <x:c r="W231" i="3"/>
  <x:c r="V231" i="3"/>
  <x:c r="U231" i="3"/>
  <x:c r="T231" i="3"/>
  <x:c r="E231" i="3"/>
  <x:c r="B231" i="3"/>
  <x:c r="A231" i="3"/>
  <x:c r="AG230" i="3"/>
  <x:c r="AF230" i="3"/>
  <x:c r="AE230" i="3"/>
  <x:c r="AD230" i="3"/>
  <x:c r="AC230" i="3"/>
  <x:c r="AB230" i="3"/>
  <x:c r="AA230" i="3"/>
  <x:c r="Z230" i="3"/>
  <x:c r="Y230" i="3"/>
  <x:c r="X230" i="3"/>
  <x:c r="W230" i="3"/>
  <x:c r="V230" i="3"/>
  <x:c r="U230" i="3"/>
  <x:c r="T230" i="3"/>
  <x:c r="E230" i="3"/>
  <x:c r="B230" i="3"/>
  <x:c r="A230" i="3"/>
  <x:c r="AG229" i="3"/>
  <x:c r="AF229" i="3"/>
  <x:c r="AE229" i="3"/>
  <x:c r="AD229" i="3"/>
  <x:c r="AC229" i="3"/>
  <x:c r="AB229" i="3"/>
  <x:c r="AA229" i="3"/>
  <x:c r="Z229" i="3"/>
  <x:c r="Y229" i="3"/>
  <x:c r="X229" i="3"/>
  <x:c r="W229" i="3"/>
  <x:c r="V229" i="3"/>
  <x:c r="U229" i="3"/>
  <x:c r="T229" i="3"/>
  <x:c r="E229" i="3"/>
  <x:c r="B229" i="3"/>
  <x:c r="A229" i="3"/>
  <x:c r="AG228" i="3"/>
  <x:c r="AF228" i="3"/>
  <x:c r="AE228" i="3"/>
  <x:c r="AD228" i="3"/>
  <x:c r="AC228" i="3"/>
  <x:c r="AB228" i="3"/>
  <x:c r="AA228" i="3"/>
  <x:c r="Z228" i="3"/>
  <x:c r="Y228" i="3"/>
  <x:c r="X228" i="3"/>
  <x:c r="W228" i="3"/>
  <x:c r="V228" i="3"/>
  <x:c r="U228" i="3"/>
  <x:c r="T228" i="3"/>
  <x:c r="E228" i="3"/>
  <x:c r="B228" i="3"/>
  <x:c r="A228" i="3"/>
  <x:c r="AG227" i="3"/>
  <x:c r="AF227" i="3"/>
  <x:c r="AE227" i="3"/>
  <x:c r="AD227" i="3"/>
  <x:c r="AC227" i="3"/>
  <x:c r="AB227" i="3"/>
  <x:c r="AA227" i="3"/>
  <x:c r="Z227" i="3"/>
  <x:c r="Y227" i="3"/>
  <x:c r="X227" i="3"/>
  <x:c r="W227" i="3"/>
  <x:c r="V227" i="3"/>
  <x:c r="U227" i="3"/>
  <x:c r="T227" i="3"/>
  <x:c r="E227" i="3"/>
  <x:c r="B227" i="3"/>
  <x:c r="A227" i="3"/>
  <x:c r="AG226" i="3"/>
  <x:c r="AF226" i="3"/>
  <x:c r="AE226" i="3"/>
  <x:c r="AD226" i="3"/>
  <x:c r="AC226" i="3"/>
  <x:c r="AB226" i="3"/>
  <x:c r="AA226" i="3"/>
  <x:c r="Z226" i="3"/>
  <x:c r="Y226" i="3"/>
  <x:c r="X226" i="3"/>
  <x:c r="W226" i="3"/>
  <x:c r="V226" i="3"/>
  <x:c r="U226" i="3"/>
  <x:c r="T226" i="3"/>
  <x:c r="E226" i="3"/>
  <x:c r="B226" i="3"/>
  <x:c r="A226" i="3"/>
  <x:c r="AG225" i="3"/>
  <x:c r="AF225" i="3"/>
  <x:c r="AE225" i="3"/>
  <x:c r="AD225" i="3"/>
  <x:c r="AC225" i="3"/>
  <x:c r="AB225" i="3"/>
  <x:c r="AA225" i="3"/>
  <x:c r="Z225" i="3"/>
  <x:c r="Y225" i="3"/>
  <x:c r="X225" i="3"/>
  <x:c r="W225" i="3"/>
  <x:c r="V225" i="3"/>
  <x:c r="U225" i="3"/>
  <x:c r="T225" i="3"/>
  <x:c r="E225" i="3"/>
  <x:c r="B225" i="3"/>
  <x:c r="A225" i="3"/>
  <x:c r="AG224" i="3"/>
  <x:c r="AF224" i="3"/>
  <x:c r="AE224" i="3"/>
  <x:c r="AD224" i="3"/>
  <x:c r="AC224" i="3"/>
  <x:c r="AB224" i="3"/>
  <x:c r="AA224" i="3"/>
  <x:c r="Z224" i="3"/>
  <x:c r="Y224" i="3"/>
  <x:c r="X224" i="3"/>
  <x:c r="W224" i="3"/>
  <x:c r="V224" i="3"/>
  <x:c r="U224" i="3"/>
  <x:c r="T224" i="3"/>
  <x:c r="E224" i="3"/>
  <x:c r="B224" i="3"/>
  <x:c r="A224" i="3"/>
  <x:c r="AG223" i="3"/>
  <x:c r="AF223" i="3"/>
  <x:c r="AE223" i="3"/>
  <x:c r="AD223" i="3"/>
  <x:c r="AC223" i="3"/>
  <x:c r="AB223" i="3"/>
  <x:c r="AA223" i="3"/>
  <x:c r="Z223" i="3"/>
  <x:c r="Y223" i="3"/>
  <x:c r="X223" i="3"/>
  <x:c r="W223" i="3"/>
  <x:c r="V223" i="3"/>
  <x:c r="U223" i="3"/>
  <x:c r="T223" i="3"/>
  <x:c r="E223" i="3"/>
  <x:c r="B223" i="3"/>
  <x:c r="A223" i="3"/>
  <x:c r="AG222" i="3"/>
  <x:c r="AF222" i="3"/>
  <x:c r="AE222" i="3"/>
  <x:c r="AD222" i="3"/>
  <x:c r="AC222" i="3"/>
  <x:c r="AB222" i="3"/>
  <x:c r="AA222" i="3"/>
  <x:c r="Z222" i="3"/>
  <x:c r="Y222" i="3"/>
  <x:c r="X222" i="3"/>
  <x:c r="W222" i="3"/>
  <x:c r="V222" i="3"/>
  <x:c r="U222" i="3"/>
  <x:c r="T222" i="3"/>
  <x:c r="E222" i="3"/>
  <x:c r="B222" i="3"/>
  <x:c r="A222" i="3"/>
  <x:c r="AG221" i="3"/>
  <x:c r="AF221" i="3"/>
  <x:c r="AE221" i="3"/>
  <x:c r="AD221" i="3"/>
  <x:c r="AC221" i="3"/>
  <x:c r="AB221" i="3"/>
  <x:c r="AA221" i="3"/>
  <x:c r="Z221" i="3"/>
  <x:c r="Y221" i="3"/>
  <x:c r="X221" i="3"/>
  <x:c r="W221" i="3"/>
  <x:c r="V221" i="3"/>
  <x:c r="U221" i="3"/>
  <x:c r="T221" i="3"/>
  <x:c r="E221" i="3"/>
  <x:c r="B221" i="3"/>
  <x:c r="A221" i="3"/>
  <x:c r="AG220" i="3"/>
  <x:c r="AF220" i="3"/>
  <x:c r="AE220" i="3"/>
  <x:c r="AD220" i="3"/>
  <x:c r="AC220" i="3"/>
  <x:c r="AB220" i="3"/>
  <x:c r="AA220" i="3"/>
  <x:c r="Z220" i="3"/>
  <x:c r="Y220" i="3"/>
  <x:c r="X220" i="3"/>
  <x:c r="W220" i="3"/>
  <x:c r="V220" i="3"/>
  <x:c r="U220" i="3"/>
  <x:c r="T220" i="3"/>
  <x:c r="E220" i="3"/>
  <x:c r="B220" i="3"/>
  <x:c r="A220" i="3"/>
  <x:c r="AG219" i="3"/>
  <x:c r="AF219" i="3"/>
  <x:c r="AE219" i="3"/>
  <x:c r="AD219" i="3"/>
  <x:c r="AC219" i="3"/>
  <x:c r="AB219" i="3"/>
  <x:c r="AA219" i="3"/>
  <x:c r="Z219" i="3"/>
  <x:c r="Y219" i="3"/>
  <x:c r="X219" i="3"/>
  <x:c r="W219" i="3"/>
  <x:c r="V219" i="3"/>
  <x:c r="U219" i="3"/>
  <x:c r="T219" i="3"/>
  <x:c r="E219" i="3"/>
  <x:c r="B219" i="3"/>
  <x:c r="A219" i="3"/>
  <x:c r="AG218" i="3"/>
  <x:c r="AF218" i="3"/>
  <x:c r="AE218" i="3"/>
  <x:c r="AD218" i="3"/>
  <x:c r="AC218" i="3"/>
  <x:c r="AB218" i="3"/>
  <x:c r="AA218" i="3"/>
  <x:c r="Z218" i="3"/>
  <x:c r="Y218" i="3"/>
  <x:c r="X218" i="3"/>
  <x:c r="W218" i="3"/>
  <x:c r="V218" i="3"/>
  <x:c r="U218" i="3"/>
  <x:c r="T218" i="3"/>
  <x:c r="E218" i="3"/>
  <x:c r="B218" i="3"/>
  <x:c r="A218" i="3"/>
  <x:c r="AG217" i="3"/>
  <x:c r="AF217" i="3"/>
  <x:c r="AE217" i="3"/>
  <x:c r="AD217" i="3"/>
  <x:c r="AC217" i="3"/>
  <x:c r="AB217" i="3"/>
  <x:c r="AA217" i="3"/>
  <x:c r="Z217" i="3"/>
  <x:c r="Y217" i="3"/>
  <x:c r="X217" i="3"/>
  <x:c r="W217" i="3"/>
  <x:c r="V217" i="3"/>
  <x:c r="U217" i="3"/>
  <x:c r="T217" i="3"/>
  <x:c r="E217" i="3"/>
  <x:c r="B217" i="3"/>
  <x:c r="A217" i="3"/>
  <x:c r="AG216" i="3"/>
  <x:c r="AF216" i="3"/>
  <x:c r="AE216" i="3"/>
  <x:c r="AD216" i="3"/>
  <x:c r="AC216" i="3"/>
  <x:c r="AB216" i="3"/>
  <x:c r="AA216" i="3"/>
  <x:c r="Z216" i="3"/>
  <x:c r="Y216" i="3"/>
  <x:c r="X216" i="3"/>
  <x:c r="W216" i="3"/>
  <x:c r="V216" i="3"/>
  <x:c r="U216" i="3"/>
  <x:c r="T216" i="3"/>
  <x:c r="E216" i="3"/>
  <x:c r="B216" i="3"/>
  <x:c r="A216" i="3"/>
  <x:c r="AG215" i="3"/>
  <x:c r="AF215" i="3"/>
  <x:c r="AE215" i="3"/>
  <x:c r="AD215" i="3"/>
  <x:c r="AC215" i="3"/>
  <x:c r="AB215" i="3"/>
  <x:c r="AA215" i="3"/>
  <x:c r="Z215" i="3"/>
  <x:c r="Y215" i="3"/>
  <x:c r="X215" i="3"/>
  <x:c r="W215" i="3"/>
  <x:c r="V215" i="3"/>
  <x:c r="U215" i="3"/>
  <x:c r="T215" i="3"/>
  <x:c r="E215" i="3"/>
  <x:c r="B215" i="3"/>
  <x:c r="A215" i="3"/>
  <x:c r="AG214" i="3"/>
  <x:c r="AF214" i="3"/>
  <x:c r="AE214" i="3"/>
  <x:c r="AD214" i="3"/>
  <x:c r="AC214" i="3"/>
  <x:c r="AB214" i="3"/>
  <x:c r="AA214" i="3"/>
  <x:c r="Z214" i="3"/>
  <x:c r="Y214" i="3"/>
  <x:c r="X214" i="3"/>
  <x:c r="W214" i="3"/>
  <x:c r="V214" i="3"/>
  <x:c r="U214" i="3"/>
  <x:c r="T214" i="3"/>
  <x:c r="E214" i="3"/>
  <x:c r="B214" i="3"/>
  <x:c r="A214" i="3"/>
  <x:c r="AG213" i="3"/>
  <x:c r="AF213" i="3"/>
  <x:c r="AE213" i="3"/>
  <x:c r="AD213" i="3"/>
  <x:c r="AC213" i="3"/>
  <x:c r="AB213" i="3"/>
  <x:c r="AA213" i="3"/>
  <x:c r="Z213" i="3"/>
  <x:c r="Y213" i="3"/>
  <x:c r="X213" i="3"/>
  <x:c r="W213" i="3"/>
  <x:c r="V213" i="3"/>
  <x:c r="U213" i="3"/>
  <x:c r="T213" i="3"/>
  <x:c r="E213" i="3"/>
  <x:c r="B213" i="3"/>
  <x:c r="A213" i="3"/>
  <x:c r="AG212" i="3"/>
  <x:c r="AF212" i="3"/>
  <x:c r="AE212" i="3"/>
  <x:c r="AD212" i="3"/>
  <x:c r="AC212" i="3"/>
  <x:c r="AB212" i="3"/>
  <x:c r="AA212" i="3"/>
  <x:c r="Z212" i="3"/>
  <x:c r="Y212" i="3"/>
  <x:c r="X212" i="3"/>
  <x:c r="W212" i="3"/>
  <x:c r="V212" i="3"/>
  <x:c r="U212" i="3"/>
  <x:c r="T212" i="3"/>
  <x:c r="E212" i="3"/>
  <x:c r="B212" i="3"/>
  <x:c r="A212" i="3"/>
  <x:c r="AG211" i="3"/>
  <x:c r="AF211" i="3"/>
  <x:c r="AE211" i="3"/>
  <x:c r="AD211" i="3"/>
  <x:c r="AC211" i="3"/>
  <x:c r="AB211" i="3"/>
  <x:c r="AA211" i="3"/>
  <x:c r="Z211" i="3"/>
  <x:c r="Y211" i="3"/>
  <x:c r="X211" i="3"/>
  <x:c r="W211" i="3"/>
  <x:c r="V211" i="3"/>
  <x:c r="U211" i="3"/>
  <x:c r="T211" i="3"/>
  <x:c r="E211" i="3"/>
  <x:c r="B211" i="3"/>
  <x:c r="A211" i="3"/>
  <x:c r="AG210" i="3"/>
  <x:c r="AF210" i="3"/>
  <x:c r="AE210" i="3"/>
  <x:c r="AD210" i="3"/>
  <x:c r="AC210" i="3"/>
  <x:c r="AB210" i="3"/>
  <x:c r="AA210" i="3"/>
  <x:c r="Z210" i="3"/>
  <x:c r="Y210" i="3"/>
  <x:c r="X210" i="3"/>
  <x:c r="W210" i="3"/>
  <x:c r="V210" i="3"/>
  <x:c r="U210" i="3"/>
  <x:c r="T210" i="3"/>
  <x:c r="E210" i="3"/>
  <x:c r="B210" i="3"/>
  <x:c r="A210" i="3"/>
  <x:c r="AG209" i="3"/>
  <x:c r="AF209" i="3"/>
  <x:c r="AE209" i="3"/>
  <x:c r="AD209" i="3"/>
  <x:c r="AC209" i="3"/>
  <x:c r="AB209" i="3"/>
  <x:c r="AA209" i="3"/>
  <x:c r="Z209" i="3"/>
  <x:c r="Y209" i="3"/>
  <x:c r="X209" i="3"/>
  <x:c r="W209" i="3"/>
  <x:c r="V209" i="3"/>
  <x:c r="U209" i="3"/>
  <x:c r="T209" i="3"/>
  <x:c r="E209" i="3"/>
  <x:c r="B209" i="3"/>
  <x:c r="A209" i="3"/>
  <x:c r="AG208" i="3"/>
  <x:c r="AF208" i="3"/>
  <x:c r="AE208" i="3"/>
  <x:c r="AD208" i="3"/>
  <x:c r="AC208" i="3"/>
  <x:c r="AB208" i="3"/>
  <x:c r="AA208" i="3"/>
  <x:c r="Z208" i="3"/>
  <x:c r="Y208" i="3"/>
  <x:c r="X208" i="3"/>
  <x:c r="W208" i="3"/>
  <x:c r="V208" i="3"/>
  <x:c r="U208" i="3"/>
  <x:c r="T208" i="3"/>
  <x:c r="E208" i="3"/>
  <x:c r="B208" i="3"/>
  <x:c r="A208" i="3"/>
  <x:c r="AG207" i="3"/>
  <x:c r="AF207" i="3"/>
  <x:c r="AE207" i="3"/>
  <x:c r="AD207" i="3"/>
  <x:c r="AC207" i="3"/>
  <x:c r="AB207" i="3"/>
  <x:c r="AA207" i="3"/>
  <x:c r="Z207" i="3"/>
  <x:c r="Y207" i="3"/>
  <x:c r="X207" i="3"/>
  <x:c r="W207" i="3"/>
  <x:c r="V207" i="3"/>
  <x:c r="U207" i="3"/>
  <x:c r="T207" i="3"/>
  <x:c r="E207" i="3"/>
  <x:c r="B207" i="3"/>
  <x:c r="A207" i="3"/>
  <x:c r="AG206" i="3"/>
  <x:c r="AF206" i="3"/>
  <x:c r="AE206" i="3"/>
  <x:c r="AD206" i="3"/>
  <x:c r="AC206" i="3"/>
  <x:c r="AB206" i="3"/>
  <x:c r="AA206" i="3"/>
  <x:c r="Z206" i="3"/>
  <x:c r="Y206" i="3"/>
  <x:c r="X206" i="3"/>
  <x:c r="W206" i="3"/>
  <x:c r="V206" i="3"/>
  <x:c r="U206" i="3"/>
  <x:c r="T206" i="3"/>
  <x:c r="E206" i="3"/>
  <x:c r="B206" i="3"/>
  <x:c r="A206" i="3"/>
  <x:c r="AG205" i="3"/>
  <x:c r="AF205" i="3"/>
  <x:c r="AE205" i="3"/>
  <x:c r="AD205" i="3"/>
  <x:c r="AC205" i="3"/>
  <x:c r="AB205" i="3"/>
  <x:c r="AA205" i="3"/>
  <x:c r="Z205" i="3"/>
  <x:c r="Y205" i="3"/>
  <x:c r="X205" i="3"/>
  <x:c r="W205" i="3"/>
  <x:c r="V205" i="3"/>
  <x:c r="U205" i="3"/>
  <x:c r="T205" i="3"/>
  <x:c r="E205" i="3"/>
  <x:c r="B205" i="3"/>
  <x:c r="A205" i="3"/>
  <x:c r="AG204" i="3"/>
  <x:c r="AF204" i="3"/>
  <x:c r="AE204" i="3"/>
  <x:c r="AD204" i="3"/>
  <x:c r="AC204" i="3"/>
  <x:c r="AB204" i="3"/>
  <x:c r="AA204" i="3"/>
  <x:c r="Z204" i="3"/>
  <x:c r="Y204" i="3"/>
  <x:c r="X204" i="3"/>
  <x:c r="W204" i="3"/>
  <x:c r="V204" i="3"/>
  <x:c r="U204" i="3"/>
  <x:c r="T204" i="3"/>
  <x:c r="E204" i="3"/>
  <x:c r="B204" i="3"/>
  <x:c r="A204" i="3"/>
  <x:c r="AG203" i="3"/>
  <x:c r="AF203" i="3"/>
  <x:c r="AE203" i="3"/>
  <x:c r="AD203" i="3"/>
  <x:c r="AC203" i="3"/>
  <x:c r="AB203" i="3"/>
  <x:c r="AA203" i="3"/>
  <x:c r="Z203" i="3"/>
  <x:c r="Y203" i="3"/>
  <x:c r="X203" i="3"/>
  <x:c r="W203" i="3"/>
  <x:c r="V203" i="3"/>
  <x:c r="U203" i="3"/>
  <x:c r="T203" i="3"/>
  <x:c r="E203" i="3"/>
  <x:c r="B203" i="3"/>
  <x:c r="A203" i="3"/>
  <x:c r="AG202" i="3"/>
  <x:c r="AF202" i="3"/>
  <x:c r="AE202" i="3"/>
  <x:c r="AD202" i="3"/>
  <x:c r="AC202" i="3"/>
  <x:c r="AB202" i="3"/>
  <x:c r="AA202" i="3"/>
  <x:c r="Z202" i="3"/>
  <x:c r="Y202" i="3"/>
  <x:c r="X202" i="3"/>
  <x:c r="W202" i="3"/>
  <x:c r="V202" i="3"/>
  <x:c r="U202" i="3"/>
  <x:c r="T202" i="3"/>
  <x:c r="E202" i="3"/>
  <x:c r="B202" i="3"/>
  <x:c r="A202" i="3"/>
  <x:c r="AG201" i="3"/>
  <x:c r="AF201" i="3"/>
  <x:c r="AE201" i="3"/>
  <x:c r="AD201" i="3"/>
  <x:c r="AC201" i="3"/>
  <x:c r="AB201" i="3"/>
  <x:c r="AA201" i="3"/>
  <x:c r="Z201" i="3"/>
  <x:c r="Y201" i="3"/>
  <x:c r="X201" i="3"/>
  <x:c r="W201" i="3"/>
  <x:c r="V201" i="3"/>
  <x:c r="U201" i="3"/>
  <x:c r="T201" i="3"/>
  <x:c r="E201" i="3"/>
  <x:c r="B201" i="3"/>
  <x:c r="A201" i="3"/>
  <x:c r="AG200" i="3"/>
  <x:c r="AF200" i="3"/>
  <x:c r="AE200" i="3"/>
  <x:c r="AD200" i="3"/>
  <x:c r="AC200" i="3"/>
  <x:c r="AB200" i="3"/>
  <x:c r="AA200" i="3"/>
  <x:c r="Z200" i="3"/>
  <x:c r="Y200" i="3"/>
  <x:c r="X200" i="3"/>
  <x:c r="W200" i="3"/>
  <x:c r="V200" i="3"/>
  <x:c r="U200" i="3"/>
  <x:c r="T200" i="3"/>
  <x:c r="E200" i="3"/>
  <x:c r="B200" i="3"/>
  <x:c r="A200" i="3"/>
  <x:c r="AG199" i="3"/>
  <x:c r="AF199" i="3"/>
  <x:c r="AE199" i="3"/>
  <x:c r="AD199" i="3"/>
  <x:c r="AC199" i="3"/>
  <x:c r="AB199" i="3"/>
  <x:c r="AA199" i="3"/>
  <x:c r="Z199" i="3"/>
  <x:c r="Y199" i="3"/>
  <x:c r="X199" i="3"/>
  <x:c r="W199" i="3"/>
  <x:c r="V199" i="3"/>
  <x:c r="U199" i="3"/>
  <x:c r="T199" i="3"/>
  <x:c r="E199" i="3"/>
  <x:c r="B199" i="3"/>
  <x:c r="A199" i="3"/>
  <x:c r="AG198" i="3"/>
  <x:c r="AF198" i="3"/>
  <x:c r="AE198" i="3"/>
  <x:c r="AD198" i="3"/>
  <x:c r="AC198" i="3"/>
  <x:c r="AB198" i="3"/>
  <x:c r="AA198" i="3"/>
  <x:c r="Z198" i="3"/>
  <x:c r="Y198" i="3"/>
  <x:c r="X198" i="3"/>
  <x:c r="W198" i="3"/>
  <x:c r="V198" i="3"/>
  <x:c r="U198" i="3"/>
  <x:c r="T198" i="3"/>
  <x:c r="E198" i="3"/>
  <x:c r="B198" i="3"/>
  <x:c r="A198" i="3"/>
  <x:c r="AG197" i="3"/>
  <x:c r="AF197" i="3"/>
  <x:c r="AE197" i="3"/>
  <x:c r="AD197" i="3"/>
  <x:c r="AC197" i="3"/>
  <x:c r="AB197" i="3"/>
  <x:c r="AA197" i="3"/>
  <x:c r="Z197" i="3"/>
  <x:c r="Y197" i="3"/>
  <x:c r="X197" i="3"/>
  <x:c r="W197" i="3"/>
  <x:c r="V197" i="3"/>
  <x:c r="U197" i="3"/>
  <x:c r="T197" i="3"/>
  <x:c r="E197" i="3"/>
  <x:c r="B197" i="3"/>
  <x:c r="A197" i="3"/>
  <x:c r="AG196" i="3"/>
  <x:c r="AF196" i="3"/>
  <x:c r="AE196" i="3"/>
  <x:c r="AD196" i="3"/>
  <x:c r="AC196" i="3"/>
  <x:c r="AB196" i="3"/>
  <x:c r="AA196" i="3"/>
  <x:c r="Z196" i="3"/>
  <x:c r="Y196" i="3"/>
  <x:c r="X196" i="3"/>
  <x:c r="W196" i="3"/>
  <x:c r="V196" i="3"/>
  <x:c r="U196" i="3"/>
  <x:c r="T196" i="3"/>
  <x:c r="E196" i="3"/>
  <x:c r="B196" i="3"/>
  <x:c r="A196" i="3"/>
  <x:c r="AG195" i="3"/>
  <x:c r="AF195" i="3"/>
  <x:c r="AE195" i="3"/>
  <x:c r="AD195" i="3"/>
  <x:c r="AC195" i="3"/>
  <x:c r="AB195" i="3"/>
  <x:c r="AA195" i="3"/>
  <x:c r="Z195" i="3"/>
  <x:c r="Y195" i="3"/>
  <x:c r="X195" i="3"/>
  <x:c r="W195" i="3"/>
  <x:c r="V195" i="3"/>
  <x:c r="U195" i="3"/>
  <x:c r="T195" i="3"/>
  <x:c r="E195" i="3"/>
  <x:c r="B195" i="3"/>
  <x:c r="A195" i="3"/>
  <x:c r="AG194" i="3"/>
  <x:c r="AF194" i="3"/>
  <x:c r="AE194" i="3"/>
  <x:c r="AD194" i="3"/>
  <x:c r="AC194" i="3"/>
  <x:c r="AB194" i="3"/>
  <x:c r="AA194" i="3"/>
  <x:c r="Z194" i="3"/>
  <x:c r="Y194" i="3"/>
  <x:c r="X194" i="3"/>
  <x:c r="W194" i="3"/>
  <x:c r="V194" i="3"/>
  <x:c r="U194" i="3"/>
  <x:c r="T194" i="3"/>
  <x:c r="E194" i="3"/>
  <x:c r="B194" i="3"/>
  <x:c r="A194" i="3"/>
  <x:c r="AG193" i="3"/>
  <x:c r="AF193" i="3"/>
  <x:c r="AE193" i="3"/>
  <x:c r="AD193" i="3"/>
  <x:c r="AC193" i="3"/>
  <x:c r="AB193" i="3"/>
  <x:c r="AA193" i="3"/>
  <x:c r="Z193" i="3"/>
  <x:c r="Y193" i="3"/>
  <x:c r="X193" i="3"/>
  <x:c r="W193" i="3"/>
  <x:c r="V193" i="3"/>
  <x:c r="U193" i="3"/>
  <x:c r="T193" i="3"/>
  <x:c r="E193" i="3"/>
  <x:c r="B193" i="3"/>
  <x:c r="A193" i="3"/>
  <x:c r="AG192" i="3"/>
  <x:c r="AF192" i="3"/>
  <x:c r="AE192" i="3"/>
  <x:c r="AD192" i="3"/>
  <x:c r="AC192" i="3"/>
  <x:c r="AB192" i="3"/>
  <x:c r="AA192" i="3"/>
  <x:c r="Z192" i="3"/>
  <x:c r="Y192" i="3"/>
  <x:c r="X192" i="3"/>
  <x:c r="W192" i="3"/>
  <x:c r="V192" i="3"/>
  <x:c r="U192" i="3"/>
  <x:c r="T192" i="3"/>
  <x:c r="E192" i="3"/>
  <x:c r="B192" i="3"/>
  <x:c r="A192" i="3"/>
  <x:c r="AG191" i="3"/>
  <x:c r="AF191" i="3"/>
  <x:c r="AE191" i="3"/>
  <x:c r="AD191" i="3"/>
  <x:c r="AC191" i="3"/>
  <x:c r="AB191" i="3"/>
  <x:c r="AA191" i="3"/>
  <x:c r="Z191" i="3"/>
  <x:c r="Y191" i="3"/>
  <x:c r="X191" i="3"/>
  <x:c r="W191" i="3"/>
  <x:c r="V191" i="3"/>
  <x:c r="U191" i="3"/>
  <x:c r="T191" i="3"/>
  <x:c r="E191" i="3"/>
  <x:c r="B191" i="3"/>
  <x:c r="A191" i="3"/>
  <x:c r="AG190" i="3"/>
  <x:c r="AF190" i="3"/>
  <x:c r="AE190" i="3"/>
  <x:c r="AD190" i="3"/>
  <x:c r="AC190" i="3"/>
  <x:c r="AB190" i="3"/>
  <x:c r="AA190" i="3"/>
  <x:c r="Z190" i="3"/>
  <x:c r="Y190" i="3"/>
  <x:c r="X190" i="3"/>
  <x:c r="W190" i="3"/>
  <x:c r="V190" i="3"/>
  <x:c r="U190" i="3"/>
  <x:c r="T190" i="3"/>
  <x:c r="E190" i="3"/>
  <x:c r="B190" i="3"/>
  <x:c r="A190" i="3"/>
  <x:c r="AG189" i="3"/>
  <x:c r="AF189" i="3"/>
  <x:c r="AE189" i="3"/>
  <x:c r="AD189" i="3"/>
  <x:c r="AC189" i="3"/>
  <x:c r="AB189" i="3"/>
  <x:c r="AA189" i="3"/>
  <x:c r="Z189" i="3"/>
  <x:c r="Y189" i="3"/>
  <x:c r="X189" i="3"/>
  <x:c r="W189" i="3"/>
  <x:c r="V189" i="3"/>
  <x:c r="U189" i="3"/>
  <x:c r="T189" i="3"/>
  <x:c r="E189" i="3"/>
  <x:c r="B189" i="3"/>
  <x:c r="A189" i="3"/>
  <x:c r="AG188" i="3"/>
  <x:c r="AF188" i="3"/>
  <x:c r="AE188" i="3"/>
  <x:c r="AD188" i="3"/>
  <x:c r="AC188" i="3"/>
  <x:c r="AB188" i="3"/>
  <x:c r="AA188" i="3"/>
  <x:c r="Z188" i="3"/>
  <x:c r="Y188" i="3"/>
  <x:c r="X188" i="3"/>
  <x:c r="W188" i="3"/>
  <x:c r="V188" i="3"/>
  <x:c r="U188" i="3"/>
  <x:c r="T188" i="3"/>
  <x:c r="E188" i="3"/>
  <x:c r="B188" i="3"/>
  <x:c r="A188" i="3"/>
  <x:c r="AG187" i="3"/>
  <x:c r="AF187" i="3"/>
  <x:c r="AE187" i="3"/>
  <x:c r="AD187" i="3"/>
  <x:c r="AC187" i="3"/>
  <x:c r="AB187" i="3"/>
  <x:c r="AA187" i="3"/>
  <x:c r="Z187" i="3"/>
  <x:c r="Y187" i="3"/>
  <x:c r="X187" i="3"/>
  <x:c r="W187" i="3"/>
  <x:c r="V187" i="3"/>
  <x:c r="U187" i="3"/>
  <x:c r="T187" i="3"/>
  <x:c r="E187" i="3"/>
  <x:c r="B187" i="3"/>
  <x:c r="A187" i="3"/>
  <x:c r="AG186" i="3"/>
  <x:c r="AF186" i="3"/>
  <x:c r="AE186" i="3"/>
  <x:c r="AD186" i="3"/>
  <x:c r="AC186" i="3"/>
  <x:c r="AB186" i="3"/>
  <x:c r="AA186" i="3"/>
  <x:c r="Z186" i="3"/>
  <x:c r="Y186" i="3"/>
  <x:c r="X186" i="3"/>
  <x:c r="W186" i="3"/>
  <x:c r="V186" i="3"/>
  <x:c r="U186" i="3"/>
  <x:c r="T186" i="3"/>
  <x:c r="E186" i="3"/>
  <x:c r="B186" i="3"/>
  <x:c r="A186" i="3"/>
  <x:c r="AG185" i="3"/>
  <x:c r="AF185" i="3"/>
  <x:c r="AE185" i="3"/>
  <x:c r="AD185" i="3"/>
  <x:c r="AC185" i="3"/>
  <x:c r="AB185" i="3"/>
  <x:c r="AA185" i="3"/>
  <x:c r="Z185" i="3"/>
  <x:c r="Y185" i="3"/>
  <x:c r="X185" i="3"/>
  <x:c r="W185" i="3"/>
  <x:c r="V185" i="3"/>
  <x:c r="U185" i="3"/>
  <x:c r="T185" i="3"/>
  <x:c r="E185" i="3"/>
  <x:c r="B185" i="3"/>
  <x:c r="A185" i="3"/>
  <x:c r="AG184" i="3"/>
  <x:c r="AF184" i="3"/>
  <x:c r="AE184" i="3"/>
  <x:c r="AD184" i="3"/>
  <x:c r="AC184" i="3"/>
  <x:c r="AB184" i="3"/>
  <x:c r="AA184" i="3"/>
  <x:c r="Z184" i="3"/>
  <x:c r="Y184" i="3"/>
  <x:c r="X184" i="3"/>
  <x:c r="W184" i="3"/>
  <x:c r="V184" i="3"/>
  <x:c r="U184" i="3"/>
  <x:c r="T184" i="3"/>
  <x:c r="E184" i="3"/>
  <x:c r="B184" i="3"/>
  <x:c r="A184" i="3"/>
  <x:c r="AG183" i="3"/>
  <x:c r="AF183" i="3"/>
  <x:c r="AE183" i="3"/>
  <x:c r="AD183" i="3"/>
  <x:c r="AC183" i="3"/>
  <x:c r="AB183" i="3"/>
  <x:c r="AA183" i="3"/>
  <x:c r="Z183" i="3"/>
  <x:c r="Y183" i="3"/>
  <x:c r="X183" i="3"/>
  <x:c r="W183" i="3"/>
  <x:c r="V183" i="3"/>
  <x:c r="U183" i="3"/>
  <x:c r="T183" i="3"/>
  <x:c r="E183" i="3"/>
  <x:c r="B183" i="3"/>
  <x:c r="A183" i="3"/>
  <x:c r="AG182" i="3"/>
  <x:c r="AF182" i="3"/>
  <x:c r="AE182" i="3"/>
  <x:c r="AD182" i="3"/>
  <x:c r="AC182" i="3"/>
  <x:c r="AB182" i="3"/>
  <x:c r="AA182" i="3"/>
  <x:c r="Z182" i="3"/>
  <x:c r="Y182" i="3"/>
  <x:c r="X182" i="3"/>
  <x:c r="W182" i="3"/>
  <x:c r="V182" i="3"/>
  <x:c r="U182" i="3"/>
  <x:c r="T182" i="3"/>
  <x:c r="E182" i="3"/>
  <x:c r="B182" i="3"/>
  <x:c r="A182" i="3"/>
  <x:c r="AG181" i="3"/>
  <x:c r="AF181" i="3"/>
  <x:c r="AE181" i="3"/>
  <x:c r="AD181" i="3"/>
  <x:c r="AC181" i="3"/>
  <x:c r="AB181" i="3"/>
  <x:c r="AA181" i="3"/>
  <x:c r="Z181" i="3"/>
  <x:c r="Y181" i="3"/>
  <x:c r="X181" i="3"/>
  <x:c r="W181" i="3"/>
  <x:c r="V181" i="3"/>
  <x:c r="U181" i="3"/>
  <x:c r="T181" i="3"/>
  <x:c r="E181" i="3"/>
  <x:c r="B181" i="3"/>
  <x:c r="A181" i="3"/>
  <x:c r="AG180" i="3"/>
  <x:c r="AF180" i="3"/>
  <x:c r="AE180" i="3"/>
  <x:c r="AD180" i="3"/>
  <x:c r="AC180" i="3"/>
  <x:c r="AB180" i="3"/>
  <x:c r="AA180" i="3"/>
  <x:c r="Z180" i="3"/>
  <x:c r="Y180" i="3"/>
  <x:c r="X180" i="3"/>
  <x:c r="W180" i="3"/>
  <x:c r="V180" i="3"/>
  <x:c r="U180" i="3"/>
  <x:c r="T180" i="3"/>
  <x:c r="E180" i="3"/>
  <x:c r="B180" i="3"/>
  <x:c r="A180" i="3"/>
  <x:c r="AG179" i="3"/>
  <x:c r="AF179" i="3"/>
  <x:c r="AE179" i="3"/>
  <x:c r="AD179" i="3"/>
  <x:c r="AC179" i="3"/>
  <x:c r="AB179" i="3"/>
  <x:c r="AA179" i="3"/>
  <x:c r="Z179" i="3"/>
  <x:c r="Y179" i="3"/>
  <x:c r="X179" i="3"/>
  <x:c r="W179" i="3"/>
  <x:c r="V179" i="3"/>
  <x:c r="U179" i="3"/>
  <x:c r="T179" i="3"/>
  <x:c r="E179" i="3"/>
  <x:c r="B179" i="3"/>
  <x:c r="A179" i="3"/>
  <x:c r="AG178" i="3"/>
  <x:c r="AF178" i="3"/>
  <x:c r="AE178" i="3"/>
  <x:c r="AD178" i="3"/>
  <x:c r="AC178" i="3"/>
  <x:c r="AB178" i="3"/>
  <x:c r="AA178" i="3"/>
  <x:c r="Z178" i="3"/>
  <x:c r="Y178" i="3"/>
  <x:c r="X178" i="3"/>
  <x:c r="W178" i="3"/>
  <x:c r="V178" i="3"/>
  <x:c r="U178" i="3"/>
  <x:c r="T178" i="3"/>
  <x:c r="E178" i="3"/>
  <x:c r="B178" i="3"/>
  <x:c r="A178" i="3"/>
  <x:c r="AG177" i="3"/>
  <x:c r="AF177" i="3"/>
  <x:c r="AE177" i="3"/>
  <x:c r="AD177" i="3"/>
  <x:c r="AC177" i="3"/>
  <x:c r="AB177" i="3"/>
  <x:c r="AA177" i="3"/>
  <x:c r="Z177" i="3"/>
  <x:c r="Y177" i="3"/>
  <x:c r="X177" i="3"/>
  <x:c r="W177" i="3"/>
  <x:c r="V177" i="3"/>
  <x:c r="U177" i="3"/>
  <x:c r="T177" i="3"/>
  <x:c r="E177" i="3"/>
  <x:c r="B177" i="3"/>
  <x:c r="A177" i="3"/>
  <x:c r="AG176" i="3"/>
  <x:c r="AF176" i="3"/>
  <x:c r="AE176" i="3"/>
  <x:c r="AD176" i="3"/>
  <x:c r="AC176" i="3"/>
  <x:c r="AB176" i="3"/>
  <x:c r="AA176" i="3"/>
  <x:c r="Z176" i="3"/>
  <x:c r="Y176" i="3"/>
  <x:c r="X176" i="3"/>
  <x:c r="W176" i="3"/>
  <x:c r="V176" i="3"/>
  <x:c r="U176" i="3"/>
  <x:c r="T176" i="3"/>
  <x:c r="E176" i="3"/>
  <x:c r="B176" i="3"/>
  <x:c r="A176" i="3"/>
  <x:c r="AG175" i="3"/>
  <x:c r="AF175" i="3"/>
  <x:c r="AE175" i="3"/>
  <x:c r="AD175" i="3"/>
  <x:c r="AC175" i="3"/>
  <x:c r="AB175" i="3"/>
  <x:c r="AA175" i="3"/>
  <x:c r="Z175" i="3"/>
  <x:c r="Y175" i="3"/>
  <x:c r="X175" i="3"/>
  <x:c r="W175" i="3"/>
  <x:c r="V175" i="3"/>
  <x:c r="U175" i="3"/>
  <x:c r="T175" i="3"/>
  <x:c r="E175" i="3"/>
  <x:c r="B175" i="3"/>
  <x:c r="A175" i="3"/>
  <x:c r="AG174" i="3"/>
  <x:c r="AF174" i="3"/>
  <x:c r="AE174" i="3"/>
  <x:c r="AD174" i="3"/>
  <x:c r="AC174" i="3"/>
  <x:c r="AB174" i="3"/>
  <x:c r="AA174" i="3"/>
  <x:c r="Z174" i="3"/>
  <x:c r="Y174" i="3"/>
  <x:c r="X174" i="3"/>
  <x:c r="W174" i="3"/>
  <x:c r="V174" i="3"/>
  <x:c r="U174" i="3"/>
  <x:c r="T174" i="3"/>
  <x:c r="E174" i="3"/>
  <x:c r="B174" i="3"/>
  <x:c r="A174" i="3"/>
  <x:c r="AG173" i="3"/>
  <x:c r="AF173" i="3"/>
  <x:c r="AE173" i="3"/>
  <x:c r="AD173" i="3"/>
  <x:c r="AC173" i="3"/>
  <x:c r="AB173" i="3"/>
  <x:c r="AA173" i="3"/>
  <x:c r="Z173" i="3"/>
  <x:c r="Y173" i="3"/>
  <x:c r="X173" i="3"/>
  <x:c r="W173" i="3"/>
  <x:c r="V173" i="3"/>
  <x:c r="U173" i="3"/>
  <x:c r="T173" i="3"/>
  <x:c r="E173" i="3"/>
  <x:c r="B173" i="3"/>
  <x:c r="A173" i="3"/>
  <x:c r="AG172" i="3"/>
  <x:c r="AF172" i="3"/>
  <x:c r="AE172" i="3"/>
  <x:c r="AD172" i="3"/>
  <x:c r="AC172" i="3"/>
  <x:c r="AB172" i="3"/>
  <x:c r="AA172" i="3"/>
  <x:c r="Z172" i="3"/>
  <x:c r="Y172" i="3"/>
  <x:c r="X172" i="3"/>
  <x:c r="W172" i="3"/>
  <x:c r="V172" i="3"/>
  <x:c r="U172" i="3"/>
  <x:c r="T172" i="3"/>
  <x:c r="E172" i="3"/>
  <x:c r="B172" i="3"/>
  <x:c r="A172" i="3"/>
  <x:c r="AG171" i="3"/>
  <x:c r="AF171" i="3"/>
  <x:c r="AE171" i="3"/>
  <x:c r="AD171" i="3"/>
  <x:c r="AC171" i="3"/>
  <x:c r="AB171" i="3"/>
  <x:c r="AA171" i="3"/>
  <x:c r="Z171" i="3"/>
  <x:c r="Y171" i="3"/>
  <x:c r="X171" i="3"/>
  <x:c r="W171" i="3"/>
  <x:c r="V171" i="3"/>
  <x:c r="U171" i="3"/>
  <x:c r="T171" i="3"/>
  <x:c r="E171" i="3"/>
  <x:c r="B171" i="3"/>
  <x:c r="A171" i="3"/>
  <x:c r="AG170" i="3"/>
  <x:c r="AF170" i="3"/>
  <x:c r="AE170" i="3"/>
  <x:c r="AD170" i="3"/>
  <x:c r="AC170" i="3"/>
  <x:c r="AB170" i="3"/>
  <x:c r="AA170" i="3"/>
  <x:c r="Z170" i="3"/>
  <x:c r="Y170" i="3"/>
  <x:c r="X170" i="3"/>
  <x:c r="W170" i="3"/>
  <x:c r="V170" i="3"/>
  <x:c r="U170" i="3"/>
  <x:c r="T170" i="3"/>
  <x:c r="E170" i="3"/>
  <x:c r="B170" i="3"/>
  <x:c r="A170" i="3"/>
  <x:c r="AG169" i="3"/>
  <x:c r="AF169" i="3"/>
  <x:c r="AE169" i="3"/>
  <x:c r="AD169" i="3"/>
  <x:c r="AC169" i="3"/>
  <x:c r="AB169" i="3"/>
  <x:c r="AA169" i="3"/>
  <x:c r="Z169" i="3"/>
  <x:c r="Y169" i="3"/>
  <x:c r="X169" i="3"/>
  <x:c r="W169" i="3"/>
  <x:c r="V169" i="3"/>
  <x:c r="U169" i="3"/>
  <x:c r="T169" i="3"/>
  <x:c r="E169" i="3"/>
  <x:c r="B169" i="3"/>
  <x:c r="A169" i="3"/>
  <x:c r="AG168" i="3"/>
  <x:c r="AF168" i="3"/>
  <x:c r="AE168" i="3"/>
  <x:c r="AD168" i="3"/>
  <x:c r="AC168" i="3"/>
  <x:c r="AB168" i="3"/>
  <x:c r="AA168" i="3"/>
  <x:c r="Z168" i="3"/>
  <x:c r="Y168" i="3"/>
  <x:c r="X168" i="3"/>
  <x:c r="W168" i="3"/>
  <x:c r="V168" i="3"/>
  <x:c r="U168" i="3"/>
  <x:c r="T168" i="3"/>
  <x:c r="E168" i="3"/>
  <x:c r="B168" i="3"/>
  <x:c r="A168" i="3"/>
  <x:c r="AG167" i="3"/>
  <x:c r="AF167" i="3"/>
  <x:c r="AE167" i="3"/>
  <x:c r="AD167" i="3"/>
  <x:c r="AC167" i="3"/>
  <x:c r="AB167" i="3"/>
  <x:c r="AA167" i="3"/>
  <x:c r="Z167" i="3"/>
  <x:c r="Y167" i="3"/>
  <x:c r="X167" i="3"/>
  <x:c r="W167" i="3"/>
  <x:c r="V167" i="3"/>
  <x:c r="U167" i="3"/>
  <x:c r="T167" i="3"/>
  <x:c r="E167" i="3"/>
  <x:c r="B167" i="3"/>
  <x:c r="A167" i="3"/>
  <x:c r="AG166" i="3"/>
  <x:c r="AF166" i="3"/>
  <x:c r="AE166" i="3"/>
  <x:c r="AD166" i="3"/>
  <x:c r="AC166" i="3"/>
  <x:c r="AB166" i="3"/>
  <x:c r="AA166" i="3"/>
  <x:c r="Z166" i="3"/>
  <x:c r="Y166" i="3"/>
  <x:c r="X166" i="3"/>
  <x:c r="W166" i="3"/>
  <x:c r="V166" i="3"/>
  <x:c r="U166" i="3"/>
  <x:c r="T166" i="3"/>
  <x:c r="E166" i="3"/>
  <x:c r="B166" i="3"/>
  <x:c r="A166" i="3"/>
  <x:c r="AG165" i="3"/>
  <x:c r="AF165" i="3"/>
  <x:c r="AE165" i="3"/>
  <x:c r="AD165" i="3"/>
  <x:c r="AC165" i="3"/>
  <x:c r="AB165" i="3"/>
  <x:c r="AA165" i="3"/>
  <x:c r="Z165" i="3"/>
  <x:c r="Y165" i="3"/>
  <x:c r="X165" i="3"/>
  <x:c r="W165" i="3"/>
  <x:c r="V165" i="3"/>
  <x:c r="U165" i="3"/>
  <x:c r="T165" i="3"/>
  <x:c r="E165" i="3"/>
  <x:c r="B165" i="3"/>
  <x:c r="A165" i="3"/>
  <x:c r="AG164" i="3"/>
  <x:c r="AF164" i="3"/>
  <x:c r="AE164" i="3"/>
  <x:c r="AD164" i="3"/>
  <x:c r="AC164" i="3"/>
  <x:c r="AB164" i="3"/>
  <x:c r="AA164" i="3"/>
  <x:c r="Z164" i="3"/>
  <x:c r="Y164" i="3"/>
  <x:c r="X164" i="3"/>
  <x:c r="W164" i="3"/>
  <x:c r="V164" i="3"/>
  <x:c r="U164" i="3"/>
  <x:c r="T164" i="3"/>
  <x:c r="E164" i="3"/>
  <x:c r="B164" i="3"/>
  <x:c r="A164" i="3"/>
  <x:c r="AG163" i="3"/>
  <x:c r="AF163" i="3"/>
  <x:c r="AE163" i="3"/>
  <x:c r="AD163" i="3"/>
  <x:c r="AC163" i="3"/>
  <x:c r="AB163" i="3"/>
  <x:c r="AA163" i="3"/>
  <x:c r="Z163" i="3"/>
  <x:c r="Y163" i="3"/>
  <x:c r="X163" i="3"/>
  <x:c r="W163" i="3"/>
  <x:c r="V163" i="3"/>
  <x:c r="U163" i="3"/>
  <x:c r="T163" i="3"/>
  <x:c r="E163" i="3"/>
  <x:c r="B163" i="3"/>
  <x:c r="A163" i="3"/>
  <x:c r="AG162" i="3"/>
  <x:c r="AF162" i="3"/>
  <x:c r="AE162" i="3"/>
  <x:c r="AD162" i="3"/>
  <x:c r="AC162" i="3"/>
  <x:c r="AB162" i="3"/>
  <x:c r="AA162" i="3"/>
  <x:c r="Z162" i="3"/>
  <x:c r="Y162" i="3"/>
  <x:c r="X162" i="3"/>
  <x:c r="W162" i="3"/>
  <x:c r="V162" i="3"/>
  <x:c r="U162" i="3"/>
  <x:c r="T162" i="3"/>
  <x:c r="E162" i="3"/>
  <x:c r="B162" i="3"/>
  <x:c r="A162" i="3"/>
  <x:c r="AG161" i="3"/>
  <x:c r="AF161" i="3"/>
  <x:c r="AE161" i="3"/>
  <x:c r="AD161" i="3"/>
  <x:c r="AC161" i="3"/>
  <x:c r="AB161" i="3"/>
  <x:c r="AA161" i="3"/>
  <x:c r="Z161" i="3"/>
  <x:c r="Y161" i="3"/>
  <x:c r="X161" i="3"/>
  <x:c r="W161" i="3"/>
  <x:c r="V161" i="3"/>
  <x:c r="U161" i="3"/>
  <x:c r="T161" i="3"/>
  <x:c r="E161" i="3"/>
  <x:c r="B161" i="3"/>
  <x:c r="A161" i="3"/>
  <x:c r="AG160" i="3"/>
  <x:c r="AF160" i="3"/>
  <x:c r="AE160" i="3"/>
  <x:c r="AD160" i="3"/>
  <x:c r="AC160" i="3"/>
  <x:c r="AB160" i="3"/>
  <x:c r="AA160" i="3"/>
  <x:c r="Z160" i="3"/>
  <x:c r="Y160" i="3"/>
  <x:c r="X160" i="3"/>
  <x:c r="W160" i="3"/>
  <x:c r="V160" i="3"/>
  <x:c r="U160" i="3"/>
  <x:c r="T160" i="3"/>
  <x:c r="E160" i="3"/>
  <x:c r="B160" i="3"/>
  <x:c r="A160" i="3"/>
  <x:c r="AG159" i="3"/>
  <x:c r="AF159" i="3"/>
  <x:c r="AE159" i="3"/>
  <x:c r="AD159" i="3"/>
  <x:c r="AC159" i="3"/>
  <x:c r="AB159" i="3"/>
  <x:c r="AA159" i="3"/>
  <x:c r="Z159" i="3"/>
  <x:c r="Y159" i="3"/>
  <x:c r="X159" i="3"/>
  <x:c r="W159" i="3"/>
  <x:c r="V159" i="3"/>
  <x:c r="U159" i="3"/>
  <x:c r="T159" i="3"/>
  <x:c r="E159" i="3"/>
  <x:c r="B159" i="3"/>
  <x:c r="A159" i="3"/>
  <x:c r="AG158" i="3"/>
  <x:c r="AF158" i="3"/>
  <x:c r="AE158" i="3"/>
  <x:c r="AD158" i="3"/>
  <x:c r="AC158" i="3"/>
  <x:c r="AB158" i="3"/>
  <x:c r="AA158" i="3"/>
  <x:c r="Z158" i="3"/>
  <x:c r="Y158" i="3"/>
  <x:c r="X158" i="3"/>
  <x:c r="W158" i="3"/>
  <x:c r="V158" i="3"/>
  <x:c r="U158" i="3"/>
  <x:c r="T158" i="3"/>
  <x:c r="E158" i="3"/>
  <x:c r="B158" i="3"/>
  <x:c r="A158" i="3"/>
  <x:c r="AG157" i="3"/>
  <x:c r="AF157" i="3"/>
  <x:c r="AE157" i="3"/>
  <x:c r="AD157" i="3"/>
  <x:c r="AC157" i="3"/>
  <x:c r="AB157" i="3"/>
  <x:c r="AA157" i="3"/>
  <x:c r="Z157" i="3"/>
  <x:c r="Y157" i="3"/>
  <x:c r="X157" i="3"/>
  <x:c r="W157" i="3"/>
  <x:c r="V157" i="3"/>
  <x:c r="U157" i="3"/>
  <x:c r="T157" i="3"/>
  <x:c r="E157" i="3"/>
  <x:c r="B157" i="3"/>
  <x:c r="A157" i="3"/>
  <x:c r="AG156" i="3"/>
  <x:c r="AF156" i="3"/>
  <x:c r="AE156" i="3"/>
  <x:c r="AD156" i="3"/>
  <x:c r="AC156" i="3"/>
  <x:c r="AB156" i="3"/>
  <x:c r="AA156" i="3"/>
  <x:c r="Z156" i="3"/>
  <x:c r="Y156" i="3"/>
  <x:c r="X156" i="3"/>
  <x:c r="W156" i="3"/>
  <x:c r="V156" i="3"/>
  <x:c r="U156" i="3"/>
  <x:c r="T156" i="3"/>
  <x:c r="E156" i="3"/>
  <x:c r="B156" i="3"/>
  <x:c r="A156" i="3"/>
  <x:c r="AG155" i="3"/>
  <x:c r="AF155" i="3"/>
  <x:c r="AE155" i="3"/>
  <x:c r="AD155" i="3"/>
  <x:c r="AC155" i="3"/>
  <x:c r="AB155" i="3"/>
  <x:c r="AA155" i="3"/>
  <x:c r="Z155" i="3"/>
  <x:c r="Y155" i="3"/>
  <x:c r="X155" i="3"/>
  <x:c r="W155" i="3"/>
  <x:c r="V155" i="3"/>
  <x:c r="U155" i="3"/>
  <x:c r="T155" i="3"/>
  <x:c r="E155" i="3"/>
  <x:c r="B155" i="3"/>
  <x:c r="A155" i="3"/>
  <x:c r="AG154" i="3"/>
  <x:c r="AF154" i="3"/>
  <x:c r="AE154" i="3"/>
  <x:c r="AD154" i="3"/>
  <x:c r="AC154" i="3"/>
  <x:c r="AB154" i="3"/>
  <x:c r="AA154" i="3"/>
  <x:c r="Z154" i="3"/>
  <x:c r="Y154" i="3"/>
  <x:c r="X154" i="3"/>
  <x:c r="W154" i="3"/>
  <x:c r="V154" i="3"/>
  <x:c r="U154" i="3"/>
  <x:c r="T154" i="3"/>
  <x:c r="E154" i="3"/>
  <x:c r="B154" i="3"/>
  <x:c r="A154" i="3"/>
  <x:c r="AG153" i="3"/>
  <x:c r="AF153" i="3"/>
  <x:c r="AE153" i="3"/>
  <x:c r="AD153" i="3"/>
  <x:c r="AC153" i="3"/>
  <x:c r="AB153" i="3"/>
  <x:c r="AA153" i="3"/>
  <x:c r="Z153" i="3"/>
  <x:c r="Y153" i="3"/>
  <x:c r="X153" i="3"/>
  <x:c r="W153" i="3"/>
  <x:c r="V153" i="3"/>
  <x:c r="U153" i="3"/>
  <x:c r="T153" i="3"/>
  <x:c r="E153" i="3"/>
  <x:c r="B153" i="3"/>
  <x:c r="A153" i="3"/>
  <x:c r="AG152" i="3"/>
  <x:c r="AF152" i="3"/>
  <x:c r="AE152" i="3"/>
  <x:c r="AD152" i="3"/>
  <x:c r="AC152" i="3"/>
  <x:c r="AB152" i="3"/>
  <x:c r="AA152" i="3"/>
  <x:c r="Z152" i="3"/>
  <x:c r="Y152" i="3"/>
  <x:c r="X152" i="3"/>
  <x:c r="W152" i="3"/>
  <x:c r="V152" i="3"/>
  <x:c r="U152" i="3"/>
  <x:c r="T152" i="3"/>
  <x:c r="E152" i="3"/>
  <x:c r="B152" i="3"/>
  <x:c r="A152" i="3"/>
  <x:c r="AG151" i="3"/>
  <x:c r="AF151" i="3"/>
  <x:c r="AE151" i="3"/>
  <x:c r="AD151" i="3"/>
  <x:c r="AC151" i="3"/>
  <x:c r="AB151" i="3"/>
  <x:c r="AA151" i="3"/>
  <x:c r="Z151" i="3"/>
  <x:c r="Y151" i="3"/>
  <x:c r="X151" i="3"/>
  <x:c r="W151" i="3"/>
  <x:c r="V151" i="3"/>
  <x:c r="U151" i="3"/>
  <x:c r="T151" i="3"/>
  <x:c r="E151" i="3"/>
  <x:c r="B151" i="3"/>
  <x:c r="A151" i="3"/>
  <x:c r="AG150" i="3"/>
  <x:c r="AF150" i="3"/>
  <x:c r="AE150" i="3"/>
  <x:c r="AD150" i="3"/>
  <x:c r="AC150" i="3"/>
  <x:c r="AB150" i="3"/>
  <x:c r="AA150" i="3"/>
  <x:c r="Z150" i="3"/>
  <x:c r="Y150" i="3"/>
  <x:c r="X150" i="3"/>
  <x:c r="W150" i="3"/>
  <x:c r="V150" i="3"/>
  <x:c r="U150" i="3"/>
  <x:c r="T150" i="3"/>
  <x:c r="E150" i="3"/>
  <x:c r="B150" i="3"/>
  <x:c r="A150" i="3"/>
  <x:c r="AG149" i="3"/>
  <x:c r="AF149" i="3"/>
  <x:c r="AE149" i="3"/>
  <x:c r="AD149" i="3"/>
  <x:c r="AC149" i="3"/>
  <x:c r="AB149" i="3"/>
  <x:c r="AA149" i="3"/>
  <x:c r="Z149" i="3"/>
  <x:c r="Y149" i="3"/>
  <x:c r="X149" i="3"/>
  <x:c r="W149" i="3"/>
  <x:c r="V149" i="3"/>
  <x:c r="U149" i="3"/>
  <x:c r="T149" i="3"/>
  <x:c r="E149" i="3"/>
  <x:c r="B149" i="3"/>
  <x:c r="A149" i="3"/>
  <x:c r="AG148" i="3"/>
  <x:c r="AF148" i="3"/>
  <x:c r="AE148" i="3"/>
  <x:c r="AD148" i="3"/>
  <x:c r="AC148" i="3"/>
  <x:c r="AB148" i="3"/>
  <x:c r="AA148" i="3"/>
  <x:c r="Z148" i="3"/>
  <x:c r="Y148" i="3"/>
  <x:c r="X148" i="3"/>
  <x:c r="W148" i="3"/>
  <x:c r="V148" i="3"/>
  <x:c r="U148" i="3"/>
  <x:c r="T148" i="3"/>
  <x:c r="E148" i="3"/>
  <x:c r="B148" i="3"/>
  <x:c r="A148" i="3"/>
  <x:c r="AG147" i="3"/>
  <x:c r="AF147" i="3"/>
  <x:c r="AE147" i="3"/>
  <x:c r="AD147" i="3"/>
  <x:c r="AC147" i="3"/>
  <x:c r="AB147" i="3"/>
  <x:c r="AA147" i="3"/>
  <x:c r="Z147" i="3"/>
  <x:c r="Y147" i="3"/>
  <x:c r="X147" i="3"/>
  <x:c r="W147" i="3"/>
  <x:c r="V147" i="3"/>
  <x:c r="U147" i="3"/>
  <x:c r="T147" i="3"/>
  <x:c r="E147" i="3"/>
  <x:c r="B147" i="3"/>
  <x:c r="A147" i="3"/>
  <x:c r="AG146" i="3"/>
  <x:c r="AF146" i="3"/>
  <x:c r="AE146" i="3"/>
  <x:c r="AD146" i="3"/>
  <x:c r="AC146" i="3"/>
  <x:c r="AB146" i="3"/>
  <x:c r="AA146" i="3"/>
  <x:c r="Z146" i="3"/>
  <x:c r="Y146" i="3"/>
  <x:c r="X146" i="3"/>
  <x:c r="W146" i="3"/>
  <x:c r="V146" i="3"/>
  <x:c r="U146" i="3"/>
  <x:c r="T146" i="3"/>
  <x:c r="E146" i="3"/>
  <x:c r="B146" i="3"/>
  <x:c r="A146" i="3"/>
  <x:c r="AG145" i="3"/>
  <x:c r="AF145" i="3"/>
  <x:c r="AE145" i="3"/>
  <x:c r="AD145" i="3"/>
  <x:c r="AC145" i="3"/>
  <x:c r="AB145" i="3"/>
  <x:c r="AA145" i="3"/>
  <x:c r="Z145" i="3"/>
  <x:c r="Y145" i="3"/>
  <x:c r="X145" i="3"/>
  <x:c r="W145" i="3"/>
  <x:c r="V145" i="3"/>
  <x:c r="U145" i="3"/>
  <x:c r="T145" i="3"/>
  <x:c r="E145" i="3"/>
  <x:c r="B145" i="3"/>
  <x:c r="A145" i="3"/>
  <x:c r="AG144" i="3"/>
  <x:c r="AF144" i="3"/>
  <x:c r="AE144" i="3"/>
  <x:c r="AD144" i="3"/>
  <x:c r="AC144" i="3"/>
  <x:c r="AB144" i="3"/>
  <x:c r="AA144" i="3"/>
  <x:c r="Z144" i="3"/>
  <x:c r="Y144" i="3"/>
  <x:c r="X144" i="3"/>
  <x:c r="W144" i="3"/>
  <x:c r="V144" i="3"/>
  <x:c r="U144" i="3"/>
  <x:c r="T144" i="3"/>
  <x:c r="E144" i="3"/>
  <x:c r="B144" i="3"/>
  <x:c r="A144" i="3"/>
  <x:c r="AG143" i="3"/>
  <x:c r="AF143" i="3"/>
  <x:c r="AE143" i="3"/>
  <x:c r="AD143" i="3"/>
  <x:c r="AC143" i="3"/>
  <x:c r="AB143" i="3"/>
  <x:c r="AA143" i="3"/>
  <x:c r="Z143" i="3"/>
  <x:c r="Y143" i="3"/>
  <x:c r="X143" i="3"/>
  <x:c r="W143" i="3"/>
  <x:c r="V143" i="3"/>
  <x:c r="U143" i="3"/>
  <x:c r="T143" i="3"/>
  <x:c r="E143" i="3"/>
  <x:c r="B143" i="3"/>
  <x:c r="A143" i="3"/>
  <x:c r="AG142" i="3"/>
  <x:c r="AF142" i="3"/>
  <x:c r="AE142" i="3"/>
  <x:c r="AD142" i="3"/>
  <x:c r="AC142" i="3"/>
  <x:c r="AB142" i="3"/>
  <x:c r="AA142" i="3"/>
  <x:c r="Z142" i="3"/>
  <x:c r="Y142" i="3"/>
  <x:c r="X142" i="3"/>
  <x:c r="W142" i="3"/>
  <x:c r="V142" i="3"/>
  <x:c r="U142" i="3"/>
  <x:c r="T142" i="3"/>
  <x:c r="E142" i="3"/>
  <x:c r="B142" i="3"/>
  <x:c r="A142" i="3"/>
  <x:c r="AG141" i="3"/>
  <x:c r="AF141" i="3"/>
  <x:c r="AE141" i="3"/>
  <x:c r="AD141" i="3"/>
  <x:c r="AC141" i="3"/>
  <x:c r="AB141" i="3"/>
  <x:c r="AA141" i="3"/>
  <x:c r="Z141" i="3"/>
  <x:c r="Y141" i="3"/>
  <x:c r="X141" i="3"/>
  <x:c r="W141" i="3"/>
  <x:c r="V141" i="3"/>
  <x:c r="U141" i="3"/>
  <x:c r="T141" i="3"/>
  <x:c r="E141" i="3"/>
  <x:c r="B141" i="3"/>
  <x:c r="A141" i="3"/>
  <x:c r="AG140" i="3"/>
  <x:c r="AF140" i="3"/>
  <x:c r="AE140" i="3"/>
  <x:c r="AD140" i="3"/>
  <x:c r="AC140" i="3"/>
  <x:c r="AB140" i="3"/>
  <x:c r="AA140" i="3"/>
  <x:c r="Z140" i="3"/>
  <x:c r="Y140" i="3"/>
  <x:c r="X140" i="3"/>
  <x:c r="W140" i="3"/>
  <x:c r="V140" i="3"/>
  <x:c r="U140" i="3"/>
  <x:c r="T140" i="3"/>
  <x:c r="E140" i="3"/>
  <x:c r="B140" i="3"/>
  <x:c r="A140" i="3"/>
  <x:c r="AG139" i="3"/>
  <x:c r="AF139" i="3"/>
  <x:c r="AE139" i="3"/>
  <x:c r="AD139" i="3"/>
  <x:c r="AC139" i="3"/>
  <x:c r="AB139" i="3"/>
  <x:c r="AA139" i="3"/>
  <x:c r="Z139" i="3"/>
  <x:c r="Y139" i="3"/>
  <x:c r="X139" i="3"/>
  <x:c r="W139" i="3"/>
  <x:c r="V139" i="3"/>
  <x:c r="U139" i="3"/>
  <x:c r="T139" i="3"/>
  <x:c r="E139" i="3"/>
  <x:c r="B139" i="3"/>
  <x:c r="A139" i="3"/>
  <x:c r="AG138" i="3"/>
  <x:c r="AF138" i="3"/>
  <x:c r="AE138" i="3"/>
  <x:c r="AD138" i="3"/>
  <x:c r="AC138" i="3"/>
  <x:c r="AB138" i="3"/>
  <x:c r="AA138" i="3"/>
  <x:c r="Z138" i="3"/>
  <x:c r="Y138" i="3"/>
  <x:c r="X138" i="3"/>
  <x:c r="W138" i="3"/>
  <x:c r="V138" i="3"/>
  <x:c r="U138" i="3"/>
  <x:c r="T138" i="3"/>
  <x:c r="E138" i="3"/>
  <x:c r="B138" i="3"/>
  <x:c r="A138" i="3"/>
  <x:c r="AG137" i="3"/>
  <x:c r="AF137" i="3"/>
  <x:c r="AE137" i="3"/>
  <x:c r="AD137" i="3"/>
  <x:c r="AC137" i="3"/>
  <x:c r="AB137" i="3"/>
  <x:c r="AA137" i="3"/>
  <x:c r="Z137" i="3"/>
  <x:c r="Y137" i="3"/>
  <x:c r="X137" i="3"/>
  <x:c r="W137" i="3"/>
  <x:c r="V137" i="3"/>
  <x:c r="U137" i="3"/>
  <x:c r="T137" i="3"/>
  <x:c r="E137" i="3"/>
  <x:c r="B137" i="3"/>
  <x:c r="A137" i="3"/>
  <x:c r="AG136" i="3"/>
  <x:c r="AF136" i="3"/>
  <x:c r="AE136" i="3"/>
  <x:c r="AD136" i="3"/>
  <x:c r="AC136" i="3"/>
  <x:c r="AB136" i="3"/>
  <x:c r="AA136" i="3"/>
  <x:c r="Z136" i="3"/>
  <x:c r="Y136" i="3"/>
  <x:c r="X136" i="3"/>
  <x:c r="W136" i="3"/>
  <x:c r="V136" i="3"/>
  <x:c r="U136" i="3"/>
  <x:c r="T136" i="3"/>
  <x:c r="E136" i="3"/>
  <x:c r="B136" i="3"/>
  <x:c r="A136" i="3"/>
  <x:c r="AG135" i="3"/>
  <x:c r="AF135" i="3"/>
  <x:c r="AE135" i="3"/>
  <x:c r="AD135" i="3"/>
  <x:c r="AC135" i="3"/>
  <x:c r="AB135" i="3"/>
  <x:c r="AA135" i="3"/>
  <x:c r="Z135" i="3"/>
  <x:c r="Y135" i="3"/>
  <x:c r="X135" i="3"/>
  <x:c r="W135" i="3"/>
  <x:c r="V135" i="3"/>
  <x:c r="U135" i="3"/>
  <x:c r="T135" i="3"/>
  <x:c r="E135" i="3"/>
  <x:c r="B135" i="3"/>
  <x:c r="A135" i="3"/>
  <x:c r="AG134" i="3"/>
  <x:c r="AF134" i="3"/>
  <x:c r="AE134" i="3"/>
  <x:c r="AD134" i="3"/>
  <x:c r="AC134" i="3"/>
  <x:c r="AB134" i="3"/>
  <x:c r="AA134" i="3"/>
  <x:c r="Z134" i="3"/>
  <x:c r="Y134" i="3"/>
  <x:c r="X134" i="3"/>
  <x:c r="W134" i="3"/>
  <x:c r="V134" i="3"/>
  <x:c r="U134" i="3"/>
  <x:c r="T134" i="3"/>
  <x:c r="E134" i="3"/>
  <x:c r="B134" i="3"/>
  <x:c r="A134" i="3"/>
  <x:c r="AG133" i="3"/>
  <x:c r="AF133" i="3"/>
  <x:c r="AE133" i="3"/>
  <x:c r="AD133" i="3"/>
  <x:c r="AC133" i="3"/>
  <x:c r="AB133" i="3"/>
  <x:c r="AA133" i="3"/>
  <x:c r="Z133" i="3"/>
  <x:c r="Y133" i="3"/>
  <x:c r="X133" i="3"/>
  <x:c r="W133" i="3"/>
  <x:c r="V133" i="3"/>
  <x:c r="U133" i="3"/>
  <x:c r="T133" i="3"/>
  <x:c r="E133" i="3"/>
  <x:c r="B133" i="3"/>
  <x:c r="A133" i="3"/>
  <x:c r="AG132" i="3"/>
  <x:c r="AF132" i="3"/>
  <x:c r="AE132" i="3"/>
  <x:c r="AD132" i="3"/>
  <x:c r="AC132" i="3"/>
  <x:c r="AB132" i="3"/>
  <x:c r="AA132" i="3"/>
  <x:c r="Z132" i="3"/>
  <x:c r="Y132" i="3"/>
  <x:c r="X132" i="3"/>
  <x:c r="W132" i="3"/>
  <x:c r="V132" i="3"/>
  <x:c r="U132" i="3"/>
  <x:c r="T132" i="3"/>
  <x:c r="E132" i="3"/>
  <x:c r="B132" i="3"/>
  <x:c r="A132" i="3"/>
  <x:c r="AG131" i="3"/>
  <x:c r="AF131" i="3"/>
  <x:c r="AE131" i="3"/>
  <x:c r="AD131" i="3"/>
  <x:c r="AC131" i="3"/>
  <x:c r="AB131" i="3"/>
  <x:c r="AA131" i="3"/>
  <x:c r="Z131" i="3"/>
  <x:c r="Y131" i="3"/>
  <x:c r="X131" i="3"/>
  <x:c r="W131" i="3"/>
  <x:c r="V131" i="3"/>
  <x:c r="U131" i="3"/>
  <x:c r="T131" i="3"/>
  <x:c r="E131" i="3"/>
  <x:c r="B131" i="3"/>
  <x:c r="A131" i="3"/>
  <x:c r="AG130" i="3"/>
  <x:c r="AF130" i="3"/>
  <x:c r="AE130" i="3"/>
  <x:c r="AD130" i="3"/>
  <x:c r="AC130" i="3"/>
  <x:c r="AB130" i="3"/>
  <x:c r="AA130" i="3"/>
  <x:c r="Z130" i="3"/>
  <x:c r="Y130" i="3"/>
  <x:c r="X130" i="3"/>
  <x:c r="W130" i="3"/>
  <x:c r="V130" i="3"/>
  <x:c r="U130" i="3"/>
  <x:c r="T130" i="3"/>
  <x:c r="E130" i="3"/>
  <x:c r="B130" i="3"/>
  <x:c r="A130" i="3"/>
  <x:c r="AG129" i="3"/>
  <x:c r="AF129" i="3"/>
  <x:c r="AE129" i="3"/>
  <x:c r="AD129" i="3"/>
  <x:c r="AC129" i="3"/>
  <x:c r="AB129" i="3"/>
  <x:c r="AA129" i="3"/>
  <x:c r="Z129" i="3"/>
  <x:c r="Y129" i="3"/>
  <x:c r="X129" i="3"/>
  <x:c r="W129" i="3"/>
  <x:c r="V129" i="3"/>
  <x:c r="U129" i="3"/>
  <x:c r="T129" i="3"/>
  <x:c r="E129" i="3"/>
  <x:c r="B129" i="3"/>
  <x:c r="A129" i="3"/>
  <x:c r="AG128" i="3"/>
  <x:c r="AF128" i="3"/>
  <x:c r="AE128" i="3"/>
  <x:c r="AD128" i="3"/>
  <x:c r="AC128" i="3"/>
  <x:c r="AB128" i="3"/>
  <x:c r="AA128" i="3"/>
  <x:c r="Z128" i="3"/>
  <x:c r="Y128" i="3"/>
  <x:c r="X128" i="3"/>
  <x:c r="W128" i="3"/>
  <x:c r="V128" i="3"/>
  <x:c r="U128" i="3"/>
  <x:c r="T128" i="3"/>
  <x:c r="E128" i="3"/>
  <x:c r="B128" i="3"/>
  <x:c r="A128" i="3"/>
  <x:c r="AG127" i="3"/>
  <x:c r="AF127" i="3"/>
  <x:c r="AE127" i="3"/>
  <x:c r="AD127" i="3"/>
  <x:c r="AC127" i="3"/>
  <x:c r="AB127" i="3"/>
  <x:c r="AA127" i="3"/>
  <x:c r="Z127" i="3"/>
  <x:c r="Y127" i="3"/>
  <x:c r="X127" i="3"/>
  <x:c r="W127" i="3"/>
  <x:c r="V127" i="3"/>
  <x:c r="U127" i="3"/>
  <x:c r="T127" i="3"/>
  <x:c r="E127" i="3"/>
  <x:c r="B127" i="3"/>
  <x:c r="A127" i="3"/>
  <x:c r="AG126" i="3"/>
  <x:c r="AF126" i="3"/>
  <x:c r="AE126" i="3"/>
  <x:c r="AD126" i="3"/>
  <x:c r="AC126" i="3"/>
  <x:c r="AB126" i="3"/>
  <x:c r="AA126" i="3"/>
  <x:c r="Z126" i="3"/>
  <x:c r="Y126" i="3"/>
  <x:c r="X126" i="3"/>
  <x:c r="W126" i="3"/>
  <x:c r="V126" i="3"/>
  <x:c r="U126" i="3"/>
  <x:c r="T126" i="3"/>
  <x:c r="E126" i="3"/>
  <x:c r="B126" i="3"/>
  <x:c r="A126" i="3"/>
  <x:c r="AG125" i="3"/>
  <x:c r="AF125" i="3"/>
  <x:c r="AE125" i="3"/>
  <x:c r="AD125" i="3"/>
  <x:c r="AC125" i="3"/>
  <x:c r="AB125" i="3"/>
  <x:c r="AA125" i="3"/>
  <x:c r="Z125" i="3"/>
  <x:c r="Y125" i="3"/>
  <x:c r="X125" i="3"/>
  <x:c r="W125" i="3"/>
  <x:c r="V125" i="3"/>
  <x:c r="U125" i="3"/>
  <x:c r="T125" i="3"/>
  <x:c r="E125" i="3"/>
  <x:c r="B125" i="3"/>
  <x:c r="A125" i="3"/>
  <x:c r="AG124" i="3"/>
  <x:c r="AF124" i="3"/>
  <x:c r="AE124" i="3"/>
  <x:c r="AD124" i="3"/>
  <x:c r="AC124" i="3"/>
  <x:c r="AB124" i="3"/>
  <x:c r="AA124" i="3"/>
  <x:c r="Z124" i="3"/>
  <x:c r="Y124" i="3"/>
  <x:c r="X124" i="3"/>
  <x:c r="W124" i="3"/>
  <x:c r="V124" i="3"/>
  <x:c r="U124" i="3"/>
  <x:c r="T124" i="3"/>
  <x:c r="E124" i="3"/>
  <x:c r="B124" i="3"/>
  <x:c r="A124" i="3"/>
  <x:c r="AG123" i="3"/>
  <x:c r="AF123" i="3"/>
  <x:c r="AE123" i="3"/>
  <x:c r="AD123" i="3"/>
  <x:c r="AC123" i="3"/>
  <x:c r="AB123" i="3"/>
  <x:c r="AA123" i="3"/>
  <x:c r="Z123" i="3"/>
  <x:c r="Y123" i="3"/>
  <x:c r="X123" i="3"/>
  <x:c r="W123" i="3"/>
  <x:c r="V123" i="3"/>
  <x:c r="U123" i="3"/>
  <x:c r="T123" i="3"/>
  <x:c r="E123" i="3"/>
  <x:c r="B123" i="3"/>
  <x:c r="A123" i="3"/>
  <x:c r="AG122" i="3"/>
  <x:c r="AF122" i="3"/>
  <x:c r="AE122" i="3"/>
  <x:c r="AD122" i="3"/>
  <x:c r="AC122" i="3"/>
  <x:c r="AB122" i="3"/>
  <x:c r="AA122" i="3"/>
  <x:c r="Z122" i="3"/>
  <x:c r="Y122" i="3"/>
  <x:c r="X122" i="3"/>
  <x:c r="W122" i="3"/>
  <x:c r="V122" i="3"/>
  <x:c r="U122" i="3"/>
  <x:c r="T122" i="3"/>
  <x:c r="E122" i="3"/>
  <x:c r="B122" i="3"/>
  <x:c r="A122" i="3"/>
  <x:c r="AG121" i="3"/>
  <x:c r="AF121" i="3"/>
  <x:c r="AE121" i="3"/>
  <x:c r="AD121" i="3"/>
  <x:c r="AC121" i="3"/>
  <x:c r="AB121" i="3"/>
  <x:c r="AA121" i="3"/>
  <x:c r="Z121" i="3"/>
  <x:c r="Y121" i="3"/>
  <x:c r="X121" i="3"/>
  <x:c r="W121" i="3"/>
  <x:c r="V121" i="3"/>
  <x:c r="U121" i="3"/>
  <x:c r="T121" i="3"/>
  <x:c r="E121" i="3"/>
  <x:c r="B121" i="3"/>
  <x:c r="A121" i="3"/>
  <x:c r="AG120" i="3"/>
  <x:c r="AF120" i="3"/>
  <x:c r="AE120" i="3"/>
  <x:c r="AD120" i="3"/>
  <x:c r="AC120" i="3"/>
  <x:c r="AB120" i="3"/>
  <x:c r="AA120" i="3"/>
  <x:c r="Z120" i="3"/>
  <x:c r="Y120" i="3"/>
  <x:c r="X120" i="3"/>
  <x:c r="W120" i="3"/>
  <x:c r="V120" i="3"/>
  <x:c r="U120" i="3"/>
  <x:c r="T120" i="3"/>
  <x:c r="E120" i="3"/>
  <x:c r="B120" i="3"/>
  <x:c r="A120" i="3"/>
  <x:c r="AG119" i="3"/>
  <x:c r="AF119" i="3"/>
  <x:c r="AE119" i="3"/>
  <x:c r="AD119" i="3"/>
  <x:c r="AC119" i="3"/>
  <x:c r="AB119" i="3"/>
  <x:c r="AA119" i="3"/>
  <x:c r="Z119" i="3"/>
  <x:c r="Y119" i="3"/>
  <x:c r="X119" i="3"/>
  <x:c r="W119" i="3"/>
  <x:c r="V119" i="3"/>
  <x:c r="U119" i="3"/>
  <x:c r="T119" i="3"/>
  <x:c r="E119" i="3"/>
  <x:c r="B119" i="3"/>
  <x:c r="A119" i="3"/>
  <x:c r="AG118" i="3"/>
  <x:c r="AF118" i="3"/>
  <x:c r="AE118" i="3"/>
  <x:c r="AD118" i="3"/>
  <x:c r="AC118" i="3"/>
  <x:c r="AB118" i="3"/>
  <x:c r="AA118" i="3"/>
  <x:c r="Z118" i="3"/>
  <x:c r="Y118" i="3"/>
  <x:c r="X118" i="3"/>
  <x:c r="W118" i="3"/>
  <x:c r="V118" i="3"/>
  <x:c r="U118" i="3"/>
  <x:c r="T118" i="3"/>
  <x:c r="E118" i="3"/>
  <x:c r="B118" i="3"/>
  <x:c r="A118" i="3"/>
  <x:c r="AG117" i="3"/>
  <x:c r="AF117" i="3"/>
  <x:c r="AE117" i="3"/>
  <x:c r="AD117" i="3"/>
  <x:c r="AC117" i="3"/>
  <x:c r="AB117" i="3"/>
  <x:c r="AA117" i="3"/>
  <x:c r="Z117" i="3"/>
  <x:c r="Y117" i="3"/>
  <x:c r="X117" i="3"/>
  <x:c r="W117" i="3"/>
  <x:c r="V117" i="3"/>
  <x:c r="U117" i="3"/>
  <x:c r="T117" i="3"/>
  <x:c r="E117" i="3"/>
  <x:c r="B117" i="3"/>
  <x:c r="A117" i="3"/>
  <x:c r="AG116" i="3"/>
  <x:c r="AF116" i="3"/>
  <x:c r="AE116" i="3"/>
  <x:c r="AD116" i="3"/>
  <x:c r="AC116" i="3"/>
  <x:c r="AB116" i="3"/>
  <x:c r="AA116" i="3"/>
  <x:c r="Z116" i="3"/>
  <x:c r="Y116" i="3"/>
  <x:c r="X116" i="3"/>
  <x:c r="W116" i="3"/>
  <x:c r="V116" i="3"/>
  <x:c r="U116" i="3"/>
  <x:c r="T116" i="3"/>
  <x:c r="E116" i="3"/>
  <x:c r="B116" i="3"/>
  <x:c r="A116" i="3"/>
  <x:c r="AG115" i="3"/>
  <x:c r="AF115" i="3"/>
  <x:c r="AE115" i="3"/>
  <x:c r="AD115" i="3"/>
  <x:c r="AC115" i="3"/>
  <x:c r="AB115" i="3"/>
  <x:c r="AA115" i="3"/>
  <x:c r="Z115" i="3"/>
  <x:c r="Y115" i="3"/>
  <x:c r="X115" i="3"/>
  <x:c r="W115" i="3"/>
  <x:c r="V115" i="3"/>
  <x:c r="U115" i="3"/>
  <x:c r="T115" i="3"/>
  <x:c r="E115" i="3"/>
  <x:c r="B115" i="3"/>
  <x:c r="A115" i="3"/>
  <x:c r="AG114" i="3"/>
  <x:c r="AF114" i="3"/>
  <x:c r="AE114" i="3"/>
  <x:c r="AD114" i="3"/>
  <x:c r="AC114" i="3"/>
  <x:c r="AB114" i="3"/>
  <x:c r="AA114" i="3"/>
  <x:c r="Z114" i="3"/>
  <x:c r="Y114" i="3"/>
  <x:c r="X114" i="3"/>
  <x:c r="W114" i="3"/>
  <x:c r="V114" i="3"/>
  <x:c r="U114" i="3"/>
  <x:c r="T114" i="3"/>
  <x:c r="E114" i="3"/>
  <x:c r="B114" i="3"/>
  <x:c r="A114" i="3"/>
  <x:c r="AG113" i="3"/>
  <x:c r="AF113" i="3"/>
  <x:c r="AE113" i="3"/>
  <x:c r="AD113" i="3"/>
  <x:c r="AC113" i="3"/>
  <x:c r="AB113" i="3"/>
  <x:c r="AA113" i="3"/>
  <x:c r="Z113" i="3"/>
  <x:c r="Y113" i="3"/>
  <x:c r="X113" i="3"/>
  <x:c r="W113" i="3"/>
  <x:c r="V113" i="3"/>
  <x:c r="U113" i="3"/>
  <x:c r="T113" i="3"/>
  <x:c r="E113" i="3"/>
  <x:c r="B113" i="3"/>
  <x:c r="A113" i="3"/>
  <x:c r="AG112" i="3"/>
  <x:c r="AF112" i="3"/>
  <x:c r="AE112" i="3"/>
  <x:c r="AD112" i="3"/>
  <x:c r="AC112" i="3"/>
  <x:c r="AB112" i="3"/>
  <x:c r="AA112" i="3"/>
  <x:c r="Z112" i="3"/>
  <x:c r="Y112" i="3"/>
  <x:c r="X112" i="3"/>
  <x:c r="W112" i="3"/>
  <x:c r="V112" i="3"/>
  <x:c r="U112" i="3"/>
  <x:c r="T112" i="3"/>
  <x:c r="E112" i="3"/>
  <x:c r="B112" i="3"/>
  <x:c r="A112" i="3"/>
  <x:c r="AG111" i="3"/>
  <x:c r="AF111" i="3"/>
  <x:c r="AE111" i="3"/>
  <x:c r="AD111" i="3"/>
  <x:c r="AC111" i="3"/>
  <x:c r="AB111" i="3"/>
  <x:c r="AA111" i="3"/>
  <x:c r="Z111" i="3"/>
  <x:c r="Y111" i="3"/>
  <x:c r="X111" i="3"/>
  <x:c r="W111" i="3"/>
  <x:c r="V111" i="3"/>
  <x:c r="U111" i="3"/>
  <x:c r="T111" i="3"/>
  <x:c r="E111" i="3"/>
  <x:c r="B111" i="3"/>
  <x:c r="A111" i="3"/>
  <x:c r="AG110" i="3"/>
  <x:c r="AF110" i="3"/>
  <x:c r="AE110" i="3"/>
  <x:c r="AD110" i="3"/>
  <x:c r="AC110" i="3"/>
  <x:c r="AB110" i="3"/>
  <x:c r="AA110" i="3"/>
  <x:c r="Z110" i="3"/>
  <x:c r="Y110" i="3"/>
  <x:c r="X110" i="3"/>
  <x:c r="W110" i="3"/>
  <x:c r="V110" i="3"/>
  <x:c r="U110" i="3"/>
  <x:c r="T110" i="3"/>
  <x:c r="E110" i="3"/>
  <x:c r="B110" i="3"/>
  <x:c r="A110" i="3"/>
  <x:c r="AG109" i="3"/>
  <x:c r="AF109" i="3"/>
  <x:c r="AE109" i="3"/>
  <x:c r="AD109" i="3"/>
  <x:c r="AC109" i="3"/>
  <x:c r="AB109" i="3"/>
  <x:c r="AA109" i="3"/>
  <x:c r="Z109" i="3"/>
  <x:c r="Y109" i="3"/>
  <x:c r="X109" i="3"/>
  <x:c r="W109" i="3"/>
  <x:c r="V109" i="3"/>
  <x:c r="U109" i="3"/>
  <x:c r="T109" i="3"/>
  <x:c r="E109" i="3"/>
  <x:c r="B109" i="3"/>
  <x:c r="A109" i="3"/>
  <x:c r="AG108" i="3"/>
  <x:c r="AF108" i="3"/>
  <x:c r="AE108" i="3"/>
  <x:c r="AD108" i="3"/>
  <x:c r="AC108" i="3"/>
  <x:c r="AB108" i="3"/>
  <x:c r="AA108" i="3"/>
  <x:c r="Z108" i="3"/>
  <x:c r="Y108" i="3"/>
  <x:c r="X108" i="3"/>
  <x:c r="W108" i="3"/>
  <x:c r="V108" i="3"/>
  <x:c r="U108" i="3"/>
  <x:c r="T108" i="3"/>
  <x:c r="E108" i="3"/>
  <x:c r="B108" i="3"/>
  <x:c r="A108" i="3"/>
  <x:c r="AG107" i="3"/>
  <x:c r="AF107" i="3"/>
  <x:c r="AE107" i="3"/>
  <x:c r="AD107" i="3"/>
  <x:c r="AC107" i="3"/>
  <x:c r="AB107" i="3"/>
  <x:c r="AA107" i="3"/>
  <x:c r="Z107" i="3"/>
  <x:c r="Y107" i="3"/>
  <x:c r="X107" i="3"/>
  <x:c r="W107" i="3"/>
  <x:c r="V107" i="3"/>
  <x:c r="U107" i="3"/>
  <x:c r="T107" i="3"/>
  <x:c r="E107" i="3"/>
  <x:c r="B107" i="3"/>
  <x:c r="A107" i="3"/>
  <x:c r="AG106" i="3"/>
  <x:c r="AF106" i="3"/>
  <x:c r="AE106" i="3"/>
  <x:c r="AD106" i="3"/>
  <x:c r="AC106" i="3"/>
  <x:c r="AB106" i="3"/>
  <x:c r="AA106" i="3"/>
  <x:c r="Z106" i="3"/>
  <x:c r="Y106" i="3"/>
  <x:c r="X106" i="3"/>
  <x:c r="W106" i="3"/>
  <x:c r="V106" i="3"/>
  <x:c r="U106" i="3"/>
  <x:c r="T106" i="3"/>
  <x:c r="E106" i="3"/>
  <x:c r="B106" i="3"/>
  <x:c r="A106" i="3"/>
  <x:c r="AG105" i="3"/>
  <x:c r="AF105" i="3"/>
  <x:c r="AE105" i="3"/>
  <x:c r="AD105" i="3"/>
  <x:c r="AC105" i="3"/>
  <x:c r="AB105" i="3"/>
  <x:c r="AA105" i="3"/>
  <x:c r="Z105" i="3"/>
  <x:c r="Y105" i="3"/>
  <x:c r="X105" i="3"/>
  <x:c r="W105" i="3"/>
  <x:c r="V105" i="3"/>
  <x:c r="U105" i="3"/>
  <x:c r="T105" i="3"/>
  <x:c r="E105" i="3"/>
  <x:c r="B105" i="3"/>
  <x:c r="A105" i="3"/>
  <x:c r="AG104" i="3"/>
  <x:c r="AF104" i="3"/>
  <x:c r="AE104" i="3"/>
  <x:c r="AD104" i="3"/>
  <x:c r="AC104" i="3"/>
  <x:c r="AB104" i="3"/>
  <x:c r="AA104" i="3"/>
  <x:c r="Z104" i="3"/>
  <x:c r="Y104" i="3"/>
  <x:c r="X104" i="3"/>
  <x:c r="W104" i="3"/>
  <x:c r="V104" i="3"/>
  <x:c r="U104" i="3"/>
  <x:c r="T104" i="3"/>
  <x:c r="E104" i="3"/>
  <x:c r="B104" i="3"/>
  <x:c r="A104" i="3"/>
  <x:c r="AG103" i="3"/>
  <x:c r="AF103" i="3"/>
  <x:c r="AE103" i="3"/>
  <x:c r="AD103" i="3"/>
  <x:c r="AC103" i="3"/>
  <x:c r="AB103" i="3"/>
  <x:c r="AA103" i="3"/>
  <x:c r="Z103" i="3"/>
  <x:c r="Y103" i="3"/>
  <x:c r="X103" i="3"/>
  <x:c r="W103" i="3"/>
  <x:c r="V103" i="3"/>
  <x:c r="U103" i="3"/>
  <x:c r="T103" i="3"/>
  <x:c r="E103" i="3"/>
  <x:c r="B103" i="3"/>
  <x:c r="A103" i="3"/>
  <x:c r="AG102" i="3"/>
  <x:c r="AF102" i="3"/>
  <x:c r="AE102" i="3"/>
  <x:c r="AD102" i="3"/>
  <x:c r="AC102" i="3"/>
  <x:c r="AB102" i="3"/>
  <x:c r="AA102" i="3"/>
  <x:c r="Z102" i="3"/>
  <x:c r="Y102" i="3"/>
  <x:c r="X102" i="3"/>
  <x:c r="W102" i="3"/>
  <x:c r="V102" i="3"/>
  <x:c r="U102" i="3"/>
  <x:c r="T102" i="3"/>
  <x:c r="E102" i="3"/>
  <x:c r="B102" i="3"/>
  <x:c r="A102" i="3"/>
  <x:c r="AG101" i="3"/>
  <x:c r="AF101" i="3"/>
  <x:c r="AE101" i="3"/>
  <x:c r="AD101" i="3"/>
  <x:c r="AC101" i="3"/>
  <x:c r="AB101" i="3"/>
  <x:c r="AA101" i="3"/>
  <x:c r="Z101" i="3"/>
  <x:c r="Y101" i="3"/>
  <x:c r="X101" i="3"/>
  <x:c r="W101" i="3"/>
  <x:c r="V101" i="3"/>
  <x:c r="U101" i="3"/>
  <x:c r="T101" i="3"/>
  <x:c r="E101" i="3"/>
  <x:c r="B101" i="3"/>
  <x:c r="A101" i="3"/>
  <x:c r="AG100" i="3"/>
  <x:c r="AF100" i="3"/>
  <x:c r="AE100" i="3"/>
  <x:c r="AD100" i="3"/>
  <x:c r="AC100" i="3"/>
  <x:c r="AB100" i="3"/>
  <x:c r="AA100" i="3"/>
  <x:c r="Z100" i="3"/>
  <x:c r="Y100" i="3"/>
  <x:c r="X100" i="3"/>
  <x:c r="W100" i="3"/>
  <x:c r="V100" i="3"/>
  <x:c r="U100" i="3"/>
  <x:c r="T100" i="3"/>
  <x:c r="E100" i="3"/>
  <x:c r="B100" i="3"/>
  <x:c r="A100" i="3"/>
  <x:c r="AG99" i="3"/>
  <x:c r="AF99" i="3"/>
  <x:c r="AE99" i="3"/>
  <x:c r="AD99" i="3"/>
  <x:c r="AC99" i="3"/>
  <x:c r="AB99" i="3"/>
  <x:c r="AA99" i="3"/>
  <x:c r="Z99" i="3"/>
  <x:c r="Y99" i="3"/>
  <x:c r="X99" i="3"/>
  <x:c r="W99" i="3"/>
  <x:c r="V99" i="3"/>
  <x:c r="U99" i="3"/>
  <x:c r="T99" i="3"/>
  <x:c r="E99" i="3"/>
  <x:c r="B99" i="3"/>
  <x:c r="A99" i="3"/>
  <x:c r="AG98" i="3"/>
  <x:c r="AF98" i="3"/>
  <x:c r="AE98" i="3"/>
  <x:c r="AD98" i="3"/>
  <x:c r="AC98" i="3"/>
  <x:c r="AB98" i="3"/>
  <x:c r="AA98" i="3"/>
  <x:c r="Z98" i="3"/>
  <x:c r="Y98" i="3"/>
  <x:c r="X98" i="3"/>
  <x:c r="W98" i="3"/>
  <x:c r="V98" i="3"/>
  <x:c r="U98" i="3"/>
  <x:c r="T98" i="3"/>
  <x:c r="E98" i="3"/>
  <x:c r="B98" i="3"/>
  <x:c r="A98" i="3"/>
  <x:c r="AG97" i="3"/>
  <x:c r="AF97" i="3"/>
  <x:c r="AE97" i="3"/>
  <x:c r="AD97" i="3"/>
  <x:c r="AC97" i="3"/>
  <x:c r="AB97" i="3"/>
  <x:c r="AA97" i="3"/>
  <x:c r="Z97" i="3"/>
  <x:c r="Y97" i="3"/>
  <x:c r="X97" i="3"/>
  <x:c r="W97" i="3"/>
  <x:c r="V97" i="3"/>
  <x:c r="U97" i="3"/>
  <x:c r="T97" i="3"/>
  <x:c r="E97" i="3"/>
  <x:c r="B97" i="3"/>
  <x:c r="A97" i="3"/>
  <x:c r="AG96" i="3"/>
  <x:c r="AF96" i="3"/>
  <x:c r="AE96" i="3"/>
  <x:c r="AD96" i="3"/>
  <x:c r="AC96" i="3"/>
  <x:c r="AB96" i="3"/>
  <x:c r="AA96" i="3"/>
  <x:c r="Z96" i="3"/>
  <x:c r="Y96" i="3"/>
  <x:c r="X96" i="3"/>
  <x:c r="W96" i="3"/>
  <x:c r="V96" i="3"/>
  <x:c r="U96" i="3"/>
  <x:c r="T96" i="3"/>
  <x:c r="E96" i="3"/>
  <x:c r="B96" i="3"/>
  <x:c r="A96" i="3"/>
  <x:c r="AG95" i="3"/>
  <x:c r="AF95" i="3"/>
  <x:c r="AE95" i="3"/>
  <x:c r="AD95" i="3"/>
  <x:c r="AC95" i="3"/>
  <x:c r="AB95" i="3"/>
  <x:c r="AA95" i="3"/>
  <x:c r="Z95" i="3"/>
  <x:c r="Y95" i="3"/>
  <x:c r="X95" i="3"/>
  <x:c r="W95" i="3"/>
  <x:c r="V95" i="3"/>
  <x:c r="U95" i="3"/>
  <x:c r="T95" i="3"/>
  <x:c r="E95" i="3"/>
  <x:c r="B95" i="3"/>
  <x:c r="A95" i="3"/>
  <x:c r="AG94" i="3"/>
  <x:c r="AF94" i="3"/>
  <x:c r="AE94" i="3"/>
  <x:c r="AD94" i="3"/>
  <x:c r="AC94" i="3"/>
  <x:c r="AB94" i="3"/>
  <x:c r="AA94" i="3"/>
  <x:c r="Z94" i="3"/>
  <x:c r="Y94" i="3"/>
  <x:c r="X94" i="3"/>
  <x:c r="W94" i="3"/>
  <x:c r="V94" i="3"/>
  <x:c r="U94" i="3"/>
  <x:c r="T94" i="3"/>
  <x:c r="E94" i="3"/>
  <x:c r="B94" i="3"/>
  <x:c r="A94" i="3"/>
  <x:c r="AG93" i="3"/>
  <x:c r="AF93" i="3"/>
  <x:c r="AE93" i="3"/>
  <x:c r="AD93" i="3"/>
  <x:c r="AC93" i="3"/>
  <x:c r="AB93" i="3"/>
  <x:c r="AA93" i="3"/>
  <x:c r="Z93" i="3"/>
  <x:c r="Y93" i="3"/>
  <x:c r="X93" i="3"/>
  <x:c r="W93" i="3"/>
  <x:c r="V93" i="3"/>
  <x:c r="U93" i="3"/>
  <x:c r="T93" i="3"/>
  <x:c r="E93" i="3"/>
  <x:c r="B93" i="3"/>
  <x:c r="A93" i="3"/>
  <x:c r="AG92" i="3"/>
  <x:c r="AF92" i="3"/>
  <x:c r="AE92" i="3"/>
  <x:c r="AD92" i="3"/>
  <x:c r="AC92" i="3"/>
  <x:c r="AB92" i="3"/>
  <x:c r="AA92" i="3"/>
  <x:c r="Z92" i="3"/>
  <x:c r="Y92" i="3"/>
  <x:c r="X92" i="3"/>
  <x:c r="W92" i="3"/>
  <x:c r="V92" i="3"/>
  <x:c r="U92" i="3"/>
  <x:c r="T92" i="3"/>
  <x:c r="E92" i="3"/>
  <x:c r="B92" i="3"/>
  <x:c r="A92" i="3"/>
  <x:c r="AG91" i="3"/>
  <x:c r="AF91" i="3"/>
  <x:c r="AE91" i="3"/>
  <x:c r="AD91" i="3"/>
  <x:c r="AC91" i="3"/>
  <x:c r="AB91" i="3"/>
  <x:c r="AA91" i="3"/>
  <x:c r="Z91" i="3"/>
  <x:c r="Y91" i="3"/>
  <x:c r="X91" i="3"/>
  <x:c r="W91" i="3"/>
  <x:c r="V91" i="3"/>
  <x:c r="U91" i="3"/>
  <x:c r="T91" i="3"/>
  <x:c r="E91" i="3"/>
  <x:c r="B91" i="3"/>
  <x:c r="A91" i="3"/>
  <x:c r="AG90" i="3"/>
  <x:c r="AF90" i="3"/>
  <x:c r="AE90" i="3"/>
  <x:c r="AD90" i="3"/>
  <x:c r="AC90" i="3"/>
  <x:c r="AB90" i="3"/>
  <x:c r="AA90" i="3"/>
  <x:c r="Z90" i="3"/>
  <x:c r="Y90" i="3"/>
  <x:c r="X90" i="3"/>
  <x:c r="W90" i="3"/>
  <x:c r="V90" i="3"/>
  <x:c r="U90" i="3"/>
  <x:c r="T90" i="3"/>
  <x:c r="E90" i="3"/>
  <x:c r="B90" i="3"/>
  <x:c r="A90" i="3"/>
  <x:c r="AG89" i="3"/>
  <x:c r="AF89" i="3"/>
  <x:c r="AE89" i="3"/>
  <x:c r="AD89" i="3"/>
  <x:c r="AC89" i="3"/>
  <x:c r="AB89" i="3"/>
  <x:c r="AA89" i="3"/>
  <x:c r="Z89" i="3"/>
  <x:c r="Y89" i="3"/>
  <x:c r="X89" i="3"/>
  <x:c r="W89" i="3"/>
  <x:c r="V89" i="3"/>
  <x:c r="U89" i="3"/>
  <x:c r="T89" i="3"/>
  <x:c r="E89" i="3"/>
  <x:c r="B89" i="3"/>
  <x:c r="A89" i="3"/>
  <x:c r="AG88" i="3"/>
  <x:c r="AF88" i="3"/>
  <x:c r="AE88" i="3"/>
  <x:c r="AD88" i="3"/>
  <x:c r="AC88" i="3"/>
  <x:c r="AB88" i="3"/>
  <x:c r="AA88" i="3"/>
  <x:c r="Z88" i="3"/>
  <x:c r="Y88" i="3"/>
  <x:c r="X88" i="3"/>
  <x:c r="W88" i="3"/>
  <x:c r="V88" i="3"/>
  <x:c r="U88" i="3"/>
  <x:c r="T88" i="3"/>
  <x:c r="E88" i="3"/>
  <x:c r="B88" i="3"/>
  <x:c r="A88" i="3"/>
  <x:c r="AG87" i="3"/>
  <x:c r="AF87" i="3"/>
  <x:c r="AE87" i="3"/>
  <x:c r="AD87" i="3"/>
  <x:c r="AC87" i="3"/>
  <x:c r="AB87" i="3"/>
  <x:c r="AA87" i="3"/>
  <x:c r="Z87" i="3"/>
  <x:c r="Y87" i="3"/>
  <x:c r="X87" i="3"/>
  <x:c r="W87" i="3"/>
  <x:c r="V87" i="3"/>
  <x:c r="U87" i="3"/>
  <x:c r="T87" i="3"/>
  <x:c r="E87" i="3"/>
  <x:c r="B87" i="3"/>
  <x:c r="A87" i="3"/>
  <x:c r="AG86" i="3"/>
  <x:c r="AF86" i="3"/>
  <x:c r="AE86" i="3"/>
  <x:c r="AD86" i="3"/>
  <x:c r="AC86" i="3"/>
  <x:c r="AB86" i="3"/>
  <x:c r="AA86" i="3"/>
  <x:c r="Z86" i="3"/>
  <x:c r="Y86" i="3"/>
  <x:c r="X86" i="3"/>
  <x:c r="W86" i="3"/>
  <x:c r="V86" i="3"/>
  <x:c r="U86" i="3"/>
  <x:c r="T86" i="3"/>
  <x:c r="E86" i="3"/>
  <x:c r="B86" i="3"/>
  <x:c r="A86" i="3"/>
  <x:c r="AG85" i="3"/>
  <x:c r="AF85" i="3"/>
  <x:c r="AE85" i="3"/>
  <x:c r="AD85" i="3"/>
  <x:c r="AC85" i="3"/>
  <x:c r="AB85" i="3"/>
  <x:c r="AA85" i="3"/>
  <x:c r="Z85" i="3"/>
  <x:c r="Y85" i="3"/>
  <x:c r="X85" i="3"/>
  <x:c r="W85" i="3"/>
  <x:c r="V85" i="3"/>
  <x:c r="U85" i="3"/>
  <x:c r="T85" i="3"/>
  <x:c r="E85" i="3"/>
  <x:c r="B85" i="3"/>
  <x:c r="A85" i="3"/>
  <x:c r="AG84" i="3"/>
  <x:c r="AF84" i="3"/>
  <x:c r="AE84" i="3"/>
  <x:c r="AD84" i="3"/>
  <x:c r="AC84" i="3"/>
  <x:c r="AB84" i="3"/>
  <x:c r="AA84" i="3"/>
  <x:c r="Z84" i="3"/>
  <x:c r="Y84" i="3"/>
  <x:c r="X84" i="3"/>
  <x:c r="W84" i="3"/>
  <x:c r="V84" i="3"/>
  <x:c r="U84" i="3"/>
  <x:c r="T84" i="3"/>
  <x:c r="E84" i="3"/>
  <x:c r="B84" i="3"/>
  <x:c r="A84" i="3"/>
  <x:c r="AG83" i="3"/>
  <x:c r="AF83" i="3"/>
  <x:c r="AE83" i="3"/>
  <x:c r="AD83" i="3"/>
  <x:c r="AC83" i="3"/>
  <x:c r="AB83" i="3"/>
  <x:c r="AA83" i="3"/>
  <x:c r="Z83" i="3"/>
  <x:c r="Y83" i="3"/>
  <x:c r="X83" i="3"/>
  <x:c r="W83" i="3"/>
  <x:c r="V83" i="3"/>
  <x:c r="U83" i="3"/>
  <x:c r="T83" i="3"/>
  <x:c r="E83" i="3"/>
  <x:c r="B83" i="3"/>
  <x:c r="A83" i="3"/>
  <x:c r="AG82" i="3"/>
  <x:c r="AF82" i="3"/>
  <x:c r="AE82" i="3"/>
  <x:c r="AD82" i="3"/>
  <x:c r="AC82" i="3"/>
  <x:c r="AB82" i="3"/>
  <x:c r="AA82" i="3"/>
  <x:c r="Z82" i="3"/>
  <x:c r="Y82" i="3"/>
  <x:c r="X82" i="3"/>
  <x:c r="W82" i="3"/>
  <x:c r="V82" i="3"/>
  <x:c r="U82" i="3"/>
  <x:c r="T82" i="3"/>
  <x:c r="E82" i="3"/>
  <x:c r="B82" i="3"/>
  <x:c r="A82" i="3"/>
  <x:c r="AG81" i="3"/>
  <x:c r="AF81" i="3"/>
  <x:c r="AE81" i="3"/>
  <x:c r="AD81" i="3"/>
  <x:c r="AC81" i="3"/>
  <x:c r="AB81" i="3"/>
  <x:c r="AA81" i="3"/>
  <x:c r="Z81" i="3"/>
  <x:c r="Y81" i="3"/>
  <x:c r="X81" i="3"/>
  <x:c r="W81" i="3"/>
  <x:c r="V81" i="3"/>
  <x:c r="U81" i="3"/>
  <x:c r="T81" i="3"/>
  <x:c r="E81" i="3"/>
  <x:c r="B81" i="3"/>
  <x:c r="A81" i="3"/>
  <x:c r="AG80" i="3"/>
  <x:c r="AF80" i="3"/>
  <x:c r="AE80" i="3"/>
  <x:c r="AD80" i="3"/>
  <x:c r="AC80" i="3"/>
  <x:c r="AB80" i="3"/>
  <x:c r="AA80" i="3"/>
  <x:c r="Z80" i="3"/>
  <x:c r="Y80" i="3"/>
  <x:c r="X80" i="3"/>
  <x:c r="W80" i="3"/>
  <x:c r="V80" i="3"/>
  <x:c r="U80" i="3"/>
  <x:c r="T80" i="3"/>
  <x:c r="E80" i="3"/>
  <x:c r="B80" i="3"/>
  <x:c r="A80" i="3"/>
  <x:c r="AG79" i="3"/>
  <x:c r="AF79" i="3"/>
  <x:c r="AE79" i="3"/>
  <x:c r="AD79" i="3"/>
  <x:c r="AC79" i="3"/>
  <x:c r="AB79" i="3"/>
  <x:c r="AA79" i="3"/>
  <x:c r="Z79" i="3"/>
  <x:c r="Y79" i="3"/>
  <x:c r="X79" i="3"/>
  <x:c r="W79" i="3"/>
  <x:c r="V79" i="3"/>
  <x:c r="U79" i="3"/>
  <x:c r="T79" i="3"/>
  <x:c r="E79" i="3"/>
  <x:c r="B79" i="3"/>
  <x:c r="A79" i="3"/>
  <x:c r="AG78" i="3"/>
  <x:c r="AF78" i="3"/>
  <x:c r="AE78" i="3"/>
  <x:c r="AD78" i="3"/>
  <x:c r="AC78" i="3"/>
  <x:c r="AB78" i="3"/>
  <x:c r="AA78" i="3"/>
  <x:c r="Z78" i="3"/>
  <x:c r="Y78" i="3"/>
  <x:c r="X78" i="3"/>
  <x:c r="W78" i="3"/>
  <x:c r="V78" i="3"/>
  <x:c r="U78" i="3"/>
  <x:c r="T78" i="3"/>
  <x:c r="E78" i="3"/>
  <x:c r="B78" i="3"/>
  <x:c r="A78" i="3"/>
  <x:c r="AG77" i="3"/>
  <x:c r="AF77" i="3"/>
  <x:c r="AE77" i="3"/>
  <x:c r="AD77" i="3"/>
  <x:c r="AC77" i="3"/>
  <x:c r="AB77" i="3"/>
  <x:c r="AA77" i="3"/>
  <x:c r="Z77" i="3"/>
  <x:c r="Y77" i="3"/>
  <x:c r="X77" i="3"/>
  <x:c r="W77" i="3"/>
  <x:c r="V77" i="3"/>
  <x:c r="U77" i="3"/>
  <x:c r="T77" i="3"/>
  <x:c r="E77" i="3"/>
  <x:c r="B77" i="3"/>
  <x:c r="A77" i="3"/>
  <x:c r="AG76" i="3"/>
  <x:c r="AF76" i="3"/>
  <x:c r="AE76" i="3"/>
  <x:c r="AD76" i="3"/>
  <x:c r="AC76" i="3"/>
  <x:c r="AB76" i="3"/>
  <x:c r="AA76" i="3"/>
  <x:c r="Z76" i="3"/>
  <x:c r="Y76" i="3"/>
  <x:c r="X76" i="3"/>
  <x:c r="W76" i="3"/>
  <x:c r="V76" i="3"/>
  <x:c r="U76" i="3"/>
  <x:c r="T76" i="3"/>
  <x:c r="E76" i="3"/>
  <x:c r="B76" i="3"/>
  <x:c r="A76" i="3"/>
  <x:c r="AG75" i="3"/>
  <x:c r="AF75" i="3"/>
  <x:c r="AE75" i="3"/>
  <x:c r="AD75" i="3"/>
  <x:c r="AC75" i="3"/>
  <x:c r="AB75" i="3"/>
  <x:c r="AA75" i="3"/>
  <x:c r="Z75" i="3"/>
  <x:c r="Y75" i="3"/>
  <x:c r="X75" i="3"/>
  <x:c r="W75" i="3"/>
  <x:c r="V75" i="3"/>
  <x:c r="U75" i="3"/>
  <x:c r="T75" i="3"/>
  <x:c r="E75" i="3"/>
  <x:c r="B75" i="3"/>
  <x:c r="A75" i="3"/>
  <x:c r="AG74" i="3"/>
  <x:c r="AF74" i="3"/>
  <x:c r="AE74" i="3"/>
  <x:c r="AD74" i="3"/>
  <x:c r="AC74" i="3"/>
  <x:c r="AB74" i="3"/>
  <x:c r="AA74" i="3"/>
  <x:c r="Z74" i="3"/>
  <x:c r="Y74" i="3"/>
  <x:c r="X74" i="3"/>
  <x:c r="W74" i="3"/>
  <x:c r="V74" i="3"/>
  <x:c r="U74" i="3"/>
  <x:c r="T74" i="3"/>
  <x:c r="E74" i="3"/>
  <x:c r="B74" i="3"/>
  <x:c r="A74" i="3"/>
  <x:c r="AG73" i="3"/>
  <x:c r="AF73" i="3"/>
  <x:c r="AE73" i="3"/>
  <x:c r="AD73" i="3"/>
  <x:c r="AC73" i="3"/>
  <x:c r="AB73" i="3"/>
  <x:c r="AA73" i="3"/>
  <x:c r="Z73" i="3"/>
  <x:c r="Y73" i="3"/>
  <x:c r="X73" i="3"/>
  <x:c r="W73" i="3"/>
  <x:c r="V73" i="3"/>
  <x:c r="U73" i="3"/>
  <x:c r="T73" i="3"/>
  <x:c r="E73" i="3"/>
  <x:c r="B73" i="3"/>
  <x:c r="A73" i="3"/>
  <x:c r="AG72" i="3"/>
  <x:c r="AF72" i="3"/>
  <x:c r="AE72" i="3"/>
  <x:c r="AD72" i="3"/>
  <x:c r="AC72" i="3"/>
  <x:c r="AB72" i="3"/>
  <x:c r="AA72" i="3"/>
  <x:c r="Z72" i="3"/>
  <x:c r="Y72" i="3"/>
  <x:c r="X72" i="3"/>
  <x:c r="W72" i="3"/>
  <x:c r="V72" i="3"/>
  <x:c r="U72" i="3"/>
  <x:c r="T72" i="3"/>
  <x:c r="E72" i="3"/>
  <x:c r="B72" i="3"/>
  <x:c r="A72" i="3"/>
  <x:c r="AG71" i="3"/>
  <x:c r="AF71" i="3"/>
  <x:c r="AE71" i="3"/>
  <x:c r="AD71" i="3"/>
  <x:c r="AC71" i="3"/>
  <x:c r="AB71" i="3"/>
  <x:c r="AA71" i="3"/>
  <x:c r="Z71" i="3"/>
  <x:c r="Y71" i="3"/>
  <x:c r="X71" i="3"/>
  <x:c r="W71" i="3"/>
  <x:c r="V71" i="3"/>
  <x:c r="U71" i="3"/>
  <x:c r="T71" i="3"/>
  <x:c r="E71" i="3"/>
  <x:c r="B71" i="3"/>
  <x:c r="A71" i="3"/>
  <x:c r="AG70" i="3"/>
  <x:c r="AF70" i="3"/>
  <x:c r="AE70" i="3"/>
  <x:c r="AD70" i="3"/>
  <x:c r="AC70" i="3"/>
  <x:c r="AB70" i="3"/>
  <x:c r="AA70" i="3"/>
  <x:c r="Z70" i="3"/>
  <x:c r="Y70" i="3"/>
  <x:c r="X70" i="3"/>
  <x:c r="W70" i="3"/>
  <x:c r="V70" i="3"/>
  <x:c r="U70" i="3"/>
  <x:c r="T70" i="3"/>
  <x:c r="E70" i="3"/>
  <x:c r="B70" i="3"/>
  <x:c r="A70" i="3"/>
  <x:c r="AG69" i="3"/>
  <x:c r="AF69" i="3"/>
  <x:c r="AE69" i="3"/>
  <x:c r="AD69" i="3"/>
  <x:c r="AC69" i="3"/>
  <x:c r="AB69" i="3"/>
  <x:c r="AA69" i="3"/>
  <x:c r="Z69" i="3"/>
  <x:c r="Y69" i="3"/>
  <x:c r="X69" i="3"/>
  <x:c r="W69" i="3"/>
  <x:c r="V69" i="3"/>
  <x:c r="U69" i="3"/>
  <x:c r="T69" i="3"/>
  <x:c r="E69" i="3"/>
  <x:c r="B69" i="3"/>
  <x:c r="A69" i="3"/>
  <x:c r="AG68" i="3"/>
  <x:c r="AF68" i="3"/>
  <x:c r="AE68" i="3"/>
  <x:c r="AD68" i="3"/>
  <x:c r="AC68" i="3"/>
  <x:c r="AB68" i="3"/>
  <x:c r="AA68" i="3"/>
  <x:c r="Z68" i="3"/>
  <x:c r="Y68" i="3"/>
  <x:c r="X68" i="3"/>
  <x:c r="W68" i="3"/>
  <x:c r="V68" i="3"/>
  <x:c r="U68" i="3"/>
  <x:c r="T68" i="3"/>
  <x:c r="E68" i="3"/>
  <x:c r="B68" i="3"/>
  <x:c r="A68" i="3"/>
  <x:c r="AG67" i="3"/>
  <x:c r="AF67" i="3"/>
  <x:c r="AE67" i="3"/>
  <x:c r="AD67" i="3"/>
  <x:c r="AC67" i="3"/>
  <x:c r="AB67" i="3"/>
  <x:c r="AA67" i="3"/>
  <x:c r="Z67" i="3"/>
  <x:c r="Y67" i="3"/>
  <x:c r="X67" i="3"/>
  <x:c r="W67" i="3"/>
  <x:c r="V67" i="3"/>
  <x:c r="U67" i="3"/>
  <x:c r="T67" i="3"/>
  <x:c r="E67" i="3"/>
  <x:c r="B67" i="3"/>
  <x:c r="A67" i="3"/>
  <x:c r="AG66" i="3"/>
  <x:c r="AF66" i="3"/>
  <x:c r="AE66" i="3"/>
  <x:c r="AD66" i="3"/>
  <x:c r="AC66" i="3"/>
  <x:c r="AB66" i="3"/>
  <x:c r="AA66" i="3"/>
  <x:c r="Z66" i="3"/>
  <x:c r="Y66" i="3"/>
  <x:c r="X66" i="3"/>
  <x:c r="W66" i="3"/>
  <x:c r="V66" i="3"/>
  <x:c r="U66" i="3"/>
  <x:c r="T66" i="3"/>
  <x:c r="E66" i="3"/>
  <x:c r="B66" i="3"/>
  <x:c r="A66" i="3"/>
  <x:c r="AG65" i="3"/>
  <x:c r="AF65" i="3"/>
  <x:c r="AE65" i="3"/>
  <x:c r="AD65" i="3"/>
  <x:c r="AC65" i="3"/>
  <x:c r="AB65" i="3"/>
  <x:c r="AA65" i="3"/>
  <x:c r="Z65" i="3"/>
  <x:c r="Y65" i="3"/>
  <x:c r="X65" i="3"/>
  <x:c r="W65" i="3"/>
  <x:c r="V65" i="3"/>
  <x:c r="U65" i="3"/>
  <x:c r="T65" i="3"/>
  <x:c r="E65" i="3"/>
  <x:c r="B65" i="3"/>
  <x:c r="A65" i="3"/>
  <x:c r="AG64" i="3"/>
  <x:c r="AF64" i="3"/>
  <x:c r="AE64" i="3"/>
  <x:c r="AD64" i="3"/>
  <x:c r="AC64" i="3"/>
  <x:c r="AB64" i="3"/>
  <x:c r="AA64" i="3"/>
  <x:c r="Z64" i="3"/>
  <x:c r="Y64" i="3"/>
  <x:c r="X64" i="3"/>
  <x:c r="W64" i="3"/>
  <x:c r="V64" i="3"/>
  <x:c r="U64" i="3"/>
  <x:c r="T64" i="3"/>
  <x:c r="E64" i="3"/>
  <x:c r="B64" i="3"/>
  <x:c r="A64" i="3"/>
  <x:c r="AG63" i="3"/>
  <x:c r="AF63" i="3"/>
  <x:c r="AE63" i="3"/>
  <x:c r="AD63" i="3"/>
  <x:c r="AC63" i="3"/>
  <x:c r="AB63" i="3"/>
  <x:c r="AA63" i="3"/>
  <x:c r="Z63" i="3"/>
  <x:c r="Y63" i="3"/>
  <x:c r="X63" i="3"/>
  <x:c r="W63" i="3"/>
  <x:c r="V63" i="3"/>
  <x:c r="U63" i="3"/>
  <x:c r="T63" i="3"/>
  <x:c r="E63" i="3"/>
  <x:c r="B63" i="3"/>
  <x:c r="A63" i="3"/>
  <x:c r="AG62" i="3"/>
  <x:c r="AF62" i="3"/>
  <x:c r="AE62" i="3"/>
  <x:c r="AD62" i="3"/>
  <x:c r="AC62" i="3"/>
  <x:c r="AB62" i="3"/>
  <x:c r="AA62" i="3"/>
  <x:c r="Z62" i="3"/>
  <x:c r="Y62" i="3"/>
  <x:c r="X62" i="3"/>
  <x:c r="W62" i="3"/>
  <x:c r="V62" i="3"/>
  <x:c r="U62" i="3"/>
  <x:c r="T62" i="3"/>
  <x:c r="E62" i="3"/>
  <x:c r="B62" i="3"/>
  <x:c r="A62" i="3"/>
  <x:c r="AG61" i="3"/>
  <x:c r="AF61" i="3"/>
  <x:c r="AE61" i="3"/>
  <x:c r="AD61" i="3"/>
  <x:c r="AC61" i="3"/>
  <x:c r="AB61" i="3"/>
  <x:c r="AA61" i="3"/>
  <x:c r="Z61" i="3"/>
  <x:c r="Y61" i="3"/>
  <x:c r="X61" i="3"/>
  <x:c r="W61" i="3"/>
  <x:c r="V61" i="3"/>
  <x:c r="U61" i="3"/>
  <x:c r="T61" i="3"/>
  <x:c r="E61" i="3"/>
  <x:c r="B61" i="3"/>
  <x:c r="A61" i="3"/>
  <x:c r="AG60" i="3"/>
  <x:c r="AF60" i="3"/>
  <x:c r="AE60" i="3"/>
  <x:c r="AD60" i="3"/>
  <x:c r="AC60" i="3"/>
  <x:c r="AB60" i="3"/>
  <x:c r="AA60" i="3"/>
  <x:c r="Z60" i="3"/>
  <x:c r="Y60" i="3"/>
  <x:c r="X60" i="3"/>
  <x:c r="W60" i="3"/>
  <x:c r="V60" i="3"/>
  <x:c r="U60" i="3"/>
  <x:c r="T60" i="3"/>
  <x:c r="E60" i="3"/>
  <x:c r="B60" i="3"/>
  <x:c r="A60" i="3"/>
  <x:c r="AG59" i="3"/>
  <x:c r="AF59" i="3"/>
  <x:c r="AE59" i="3"/>
  <x:c r="AD59" i="3"/>
  <x:c r="AC59" i="3"/>
  <x:c r="AB59" i="3"/>
  <x:c r="AA59" i="3"/>
  <x:c r="Z59" i="3"/>
  <x:c r="Y59" i="3"/>
  <x:c r="X59" i="3"/>
  <x:c r="W59" i="3"/>
  <x:c r="V59" i="3"/>
  <x:c r="U59" i="3"/>
  <x:c r="T59" i="3"/>
  <x:c r="E59" i="3"/>
  <x:c r="B59" i="3"/>
  <x:c r="A59" i="3"/>
  <x:c r="AG58" i="3"/>
  <x:c r="AF58" i="3"/>
  <x:c r="AE58" i="3"/>
  <x:c r="AD58" i="3"/>
  <x:c r="AC58" i="3"/>
  <x:c r="AB58" i="3"/>
  <x:c r="AA58" i="3"/>
  <x:c r="Z58" i="3"/>
  <x:c r="Y58" i="3"/>
  <x:c r="X58" i="3"/>
  <x:c r="W58" i="3"/>
  <x:c r="V58" i="3"/>
  <x:c r="U58" i="3"/>
  <x:c r="T58" i="3"/>
  <x:c r="E58" i="3"/>
  <x:c r="B58" i="3"/>
  <x:c r="A58" i="3"/>
  <x:c r="AG57" i="3"/>
  <x:c r="AF57" i="3"/>
  <x:c r="AE57" i="3"/>
  <x:c r="AD57" i="3"/>
  <x:c r="AC57" i="3"/>
  <x:c r="AB57" i="3"/>
  <x:c r="AA57" i="3"/>
  <x:c r="Z57" i="3"/>
  <x:c r="Y57" i="3"/>
  <x:c r="X57" i="3"/>
  <x:c r="W57" i="3"/>
  <x:c r="V57" i="3"/>
  <x:c r="U57" i="3"/>
  <x:c r="T57" i="3"/>
  <x:c r="E57" i="3"/>
  <x:c r="B57" i="3"/>
  <x:c r="A57" i="3"/>
  <x:c r="AG56" i="3"/>
  <x:c r="AF56" i="3"/>
  <x:c r="AE56" i="3"/>
  <x:c r="AD56" i="3"/>
  <x:c r="AC56" i="3"/>
  <x:c r="AB56" i="3"/>
  <x:c r="AA56" i="3"/>
  <x:c r="Z56" i="3"/>
  <x:c r="Y56" i="3"/>
  <x:c r="X56" i="3"/>
  <x:c r="W56" i="3"/>
  <x:c r="V56" i="3"/>
  <x:c r="U56" i="3"/>
  <x:c r="T56" i="3"/>
  <x:c r="E56" i="3"/>
  <x:c r="B56" i="3"/>
  <x:c r="A56" i="3"/>
  <x:c r="AG55" i="3"/>
  <x:c r="AF55" i="3"/>
  <x:c r="AE55" i="3"/>
  <x:c r="AD55" i="3"/>
  <x:c r="AC55" i="3"/>
  <x:c r="AB55" i="3"/>
  <x:c r="AA55" i="3"/>
  <x:c r="Z55" i="3"/>
  <x:c r="Y55" i="3"/>
  <x:c r="X55" i="3"/>
  <x:c r="W55" i="3"/>
  <x:c r="V55" i="3"/>
  <x:c r="U55" i="3"/>
  <x:c r="T55" i="3"/>
  <x:c r="E55" i="3"/>
  <x:c r="B55" i="3"/>
  <x:c r="A55" i="3"/>
  <x:c r="AG54" i="3"/>
  <x:c r="AF54" i="3"/>
  <x:c r="AE54" i="3"/>
  <x:c r="AD54" i="3"/>
  <x:c r="AC54" i="3"/>
  <x:c r="AB54" i="3"/>
  <x:c r="AA54" i="3"/>
  <x:c r="Z54" i="3"/>
  <x:c r="Y54" i="3"/>
  <x:c r="X54" i="3"/>
  <x:c r="W54" i="3"/>
  <x:c r="V54" i="3"/>
  <x:c r="U54" i="3"/>
  <x:c r="T54" i="3"/>
  <x:c r="E54" i="3"/>
  <x:c r="B54" i="3"/>
  <x:c r="A54" i="3"/>
  <x:c r="AG53" i="3"/>
  <x:c r="AF53" i="3"/>
  <x:c r="AE53" i="3"/>
  <x:c r="AD53" i="3"/>
  <x:c r="AC53" i="3"/>
  <x:c r="AB53" i="3"/>
  <x:c r="AA53" i="3"/>
  <x:c r="Z53" i="3"/>
  <x:c r="Y53" i="3"/>
  <x:c r="X53" i="3"/>
  <x:c r="W53" i="3"/>
  <x:c r="V53" i="3"/>
  <x:c r="U53" i="3"/>
  <x:c r="T53" i="3"/>
  <x:c r="E53" i="3"/>
  <x:c r="B53" i="3"/>
  <x:c r="A53" i="3"/>
  <x:c r="AG52" i="3"/>
  <x:c r="AF52" i="3"/>
  <x:c r="AE52" i="3"/>
  <x:c r="AD52" i="3"/>
  <x:c r="AC52" i="3"/>
  <x:c r="AB52" i="3"/>
  <x:c r="AA52" i="3"/>
  <x:c r="Z52" i="3"/>
  <x:c r="Y52" i="3"/>
  <x:c r="X52" i="3"/>
  <x:c r="W52" i="3"/>
  <x:c r="V52" i="3"/>
  <x:c r="U52" i="3"/>
  <x:c r="T52" i="3"/>
  <x:c r="E52" i="3"/>
  <x:c r="B52" i="3"/>
  <x:c r="A52" i="3"/>
  <x:c r="AG51" i="3"/>
  <x:c r="AF51" i="3"/>
  <x:c r="AE51" i="3"/>
  <x:c r="AD51" i="3"/>
  <x:c r="AC51" i="3"/>
  <x:c r="AB51" i="3"/>
  <x:c r="AA51" i="3"/>
  <x:c r="Z51" i="3"/>
  <x:c r="Y51" i="3"/>
  <x:c r="X51" i="3"/>
  <x:c r="W51" i="3"/>
  <x:c r="V51" i="3"/>
  <x:c r="U51" i="3"/>
  <x:c r="T51" i="3"/>
  <x:c r="E51" i="3"/>
  <x:c r="B51" i="3"/>
  <x:c r="A51" i="3"/>
  <x:c r="AG50" i="3"/>
  <x:c r="AF50" i="3"/>
  <x:c r="AE50" i="3"/>
  <x:c r="AD50" i="3"/>
  <x:c r="AC50" i="3"/>
  <x:c r="AB50" i="3"/>
  <x:c r="AA50" i="3"/>
  <x:c r="Z50" i="3"/>
  <x:c r="Y50" i="3"/>
  <x:c r="X50" i="3"/>
  <x:c r="W50" i="3"/>
  <x:c r="V50" i="3"/>
  <x:c r="U50" i="3"/>
  <x:c r="T50" i="3"/>
  <x:c r="E50" i="3"/>
  <x:c r="B50" i="3"/>
  <x:c r="A50" i="3"/>
  <x:c r="AG49" i="3"/>
  <x:c r="AF49" i="3"/>
  <x:c r="AE49" i="3"/>
  <x:c r="AD49" i="3"/>
  <x:c r="AC49" i="3"/>
  <x:c r="AB49" i="3"/>
  <x:c r="AA49" i="3"/>
  <x:c r="Z49" i="3"/>
  <x:c r="Y49" i="3"/>
  <x:c r="X49" i="3"/>
  <x:c r="W49" i="3"/>
  <x:c r="V49" i="3"/>
  <x:c r="U49" i="3"/>
  <x:c r="T49" i="3"/>
  <x:c r="E49" i="3"/>
  <x:c r="B49" i="3"/>
  <x:c r="A49" i="3"/>
  <x:c r="AG48" i="3"/>
  <x:c r="AF48" i="3"/>
  <x:c r="AE48" i="3"/>
  <x:c r="AD48" i="3"/>
  <x:c r="AC48" i="3"/>
  <x:c r="AB48" i="3"/>
  <x:c r="AA48" i="3"/>
  <x:c r="Z48" i="3"/>
  <x:c r="Y48" i="3"/>
  <x:c r="X48" i="3"/>
  <x:c r="W48" i="3"/>
  <x:c r="V48" i="3"/>
  <x:c r="U48" i="3"/>
  <x:c r="T48" i="3"/>
  <x:c r="E48" i="3"/>
  <x:c r="B48" i="3"/>
  <x:c r="A48" i="3"/>
  <x:c r="AG47" i="3"/>
  <x:c r="AF47" i="3"/>
  <x:c r="AE47" i="3"/>
  <x:c r="AD47" i="3"/>
  <x:c r="AC47" i="3"/>
  <x:c r="AB47" i="3"/>
  <x:c r="AA47" i="3"/>
  <x:c r="Z47" i="3"/>
  <x:c r="Y47" i="3"/>
  <x:c r="X47" i="3"/>
  <x:c r="W47" i="3"/>
  <x:c r="V47" i="3"/>
  <x:c r="U47" i="3"/>
  <x:c r="T47" i="3"/>
  <x:c r="E47" i="3"/>
  <x:c r="B47" i="3"/>
  <x:c r="A47" i="3"/>
  <x:c r="AG46" i="3"/>
  <x:c r="AF46" i="3"/>
  <x:c r="AE46" i="3"/>
  <x:c r="AD46" i="3"/>
  <x:c r="AC46" i="3"/>
  <x:c r="AB46" i="3"/>
  <x:c r="AA46" i="3"/>
  <x:c r="Z46" i="3"/>
  <x:c r="Y46" i="3"/>
  <x:c r="X46" i="3"/>
  <x:c r="W46" i="3"/>
  <x:c r="V46" i="3"/>
  <x:c r="U46" i="3"/>
  <x:c r="T46" i="3"/>
  <x:c r="E46" i="3"/>
  <x:c r="B46" i="3"/>
  <x:c r="A46" i="3"/>
  <x:c r="AG45" i="3"/>
  <x:c r="AF45" i="3"/>
  <x:c r="AE45" i="3"/>
  <x:c r="AD45" i="3"/>
  <x:c r="AC45" i="3"/>
  <x:c r="AB45" i="3"/>
  <x:c r="AA45" i="3"/>
  <x:c r="Z45" i="3"/>
  <x:c r="Y45" i="3"/>
  <x:c r="X45" i="3"/>
  <x:c r="W45" i="3"/>
  <x:c r="V45" i="3"/>
  <x:c r="U45" i="3"/>
  <x:c r="T45" i="3"/>
  <x:c r="E45" i="3"/>
  <x:c r="B45" i="3"/>
  <x:c r="A45" i="3"/>
  <x:c r="AG44" i="3"/>
  <x:c r="AF44" i="3"/>
  <x:c r="AE44" i="3"/>
  <x:c r="AD44" i="3"/>
  <x:c r="AC44" i="3"/>
  <x:c r="AB44" i="3"/>
  <x:c r="AA44" i="3"/>
  <x:c r="Z44" i="3"/>
  <x:c r="Y44" i="3"/>
  <x:c r="X44" i="3"/>
  <x:c r="W44" i="3"/>
  <x:c r="V44" i="3"/>
  <x:c r="U44" i="3"/>
  <x:c r="T44" i="3"/>
  <x:c r="E44" i="3"/>
  <x:c r="B44" i="3"/>
  <x:c r="A44" i="3"/>
  <x:c r="AG43" i="3"/>
  <x:c r="AF43" i="3"/>
  <x:c r="AE43" i="3"/>
  <x:c r="AD43" i="3"/>
  <x:c r="AC43" i="3"/>
  <x:c r="AB43" i="3"/>
  <x:c r="AA43" i="3"/>
  <x:c r="Z43" i="3"/>
  <x:c r="Y43" i="3"/>
  <x:c r="X43" i="3"/>
  <x:c r="W43" i="3"/>
  <x:c r="V43" i="3"/>
  <x:c r="U43" i="3"/>
  <x:c r="T43" i="3"/>
  <x:c r="E43" i="3"/>
  <x:c r="B43" i="3"/>
  <x:c r="A43" i="3"/>
  <x:c r="AG42" i="3"/>
  <x:c r="AF42" i="3"/>
  <x:c r="AE42" i="3"/>
  <x:c r="AD42" i="3"/>
  <x:c r="AC42" i="3"/>
  <x:c r="AB42" i="3"/>
  <x:c r="AA42" i="3"/>
  <x:c r="Z42" i="3"/>
  <x:c r="Y42" i="3"/>
  <x:c r="X42" i="3"/>
  <x:c r="W42" i="3"/>
  <x:c r="V42" i="3"/>
  <x:c r="U42" i="3"/>
  <x:c r="T42" i="3"/>
  <x:c r="E42" i="3"/>
  <x:c r="B42" i="3"/>
  <x:c r="A42" i="3"/>
  <x:c r="AG41" i="3"/>
  <x:c r="AF41" i="3"/>
  <x:c r="AE41" i="3"/>
  <x:c r="AD41" i="3"/>
  <x:c r="AC41" i="3"/>
  <x:c r="AB41" i="3"/>
  <x:c r="AA41" i="3"/>
  <x:c r="Z41" i="3"/>
  <x:c r="Y41" i="3"/>
  <x:c r="X41" i="3"/>
  <x:c r="W41" i="3"/>
  <x:c r="V41" i="3"/>
  <x:c r="U41" i="3"/>
  <x:c r="T41" i="3"/>
  <x:c r="E41" i="3"/>
  <x:c r="B41" i="3"/>
  <x:c r="A41" i="3"/>
  <x:c r="AG40" i="3"/>
  <x:c r="AF40" i="3"/>
  <x:c r="AE40" i="3"/>
  <x:c r="AD40" i="3"/>
  <x:c r="AC40" i="3"/>
  <x:c r="AB40" i="3"/>
  <x:c r="AA40" i="3"/>
  <x:c r="Z40" i="3"/>
  <x:c r="Y40" i="3"/>
  <x:c r="X40" i="3"/>
  <x:c r="W40" i="3"/>
  <x:c r="V40" i="3"/>
  <x:c r="U40" i="3"/>
  <x:c r="T40" i="3"/>
  <x:c r="E40" i="3"/>
  <x:c r="B40" i="3"/>
  <x:c r="A40" i="3"/>
  <x:c r="AG39" i="3"/>
  <x:c r="AF39" i="3"/>
  <x:c r="AE39" i="3"/>
  <x:c r="AD39" i="3"/>
  <x:c r="AC39" i="3"/>
  <x:c r="AB39" i="3"/>
  <x:c r="AA39" i="3"/>
  <x:c r="Z39" i="3"/>
  <x:c r="Y39" i="3"/>
  <x:c r="X39" i="3"/>
  <x:c r="W39" i="3"/>
  <x:c r="V39" i="3"/>
  <x:c r="U39" i="3"/>
  <x:c r="T39" i="3"/>
  <x:c r="E39" i="3"/>
  <x:c r="B39" i="3"/>
  <x:c r="A39" i="3"/>
  <x:c r="AG38" i="3"/>
  <x:c r="AF38" i="3"/>
  <x:c r="AE38" i="3"/>
  <x:c r="AD38" i="3"/>
  <x:c r="AC38" i="3"/>
  <x:c r="AB38" i="3"/>
  <x:c r="AA38" i="3"/>
  <x:c r="Z38" i="3"/>
  <x:c r="Y38" i="3"/>
  <x:c r="X38" i="3"/>
  <x:c r="W38" i="3"/>
  <x:c r="V38" i="3"/>
  <x:c r="U38" i="3"/>
  <x:c r="T38" i="3"/>
  <x:c r="E38" i="3"/>
  <x:c r="B38" i="3"/>
  <x:c r="A38" i="3"/>
  <x:c r="AG37" i="3"/>
  <x:c r="AF37" i="3"/>
  <x:c r="AE37" i="3"/>
  <x:c r="AD37" i="3"/>
  <x:c r="AC37" i="3"/>
  <x:c r="AB37" i="3"/>
  <x:c r="AA37" i="3"/>
  <x:c r="Z37" i="3"/>
  <x:c r="Y37" i="3"/>
  <x:c r="X37" i="3"/>
  <x:c r="W37" i="3"/>
  <x:c r="V37" i="3"/>
  <x:c r="U37" i="3"/>
  <x:c r="T37" i="3"/>
  <x:c r="E37" i="3"/>
  <x:c r="B37" i="3"/>
  <x:c r="A37" i="3"/>
  <x:c r="AG36" i="3"/>
  <x:c r="AF36" i="3"/>
  <x:c r="AE36" i="3"/>
  <x:c r="AD36" i="3"/>
  <x:c r="AC36" i="3"/>
  <x:c r="AB36" i="3"/>
  <x:c r="AA36" i="3"/>
  <x:c r="Z36" i="3"/>
  <x:c r="Y36" i="3"/>
  <x:c r="X36" i="3"/>
  <x:c r="W36" i="3"/>
  <x:c r="V36" i="3"/>
  <x:c r="U36" i="3"/>
  <x:c r="T36" i="3"/>
  <x:c r="E36" i="3"/>
  <x:c r="B36" i="3"/>
  <x:c r="A36" i="3"/>
  <x:c r="AG35" i="3"/>
  <x:c r="AF35" i="3"/>
  <x:c r="AE35" i="3"/>
  <x:c r="AD35" i="3"/>
  <x:c r="AC35" i="3"/>
  <x:c r="AB35" i="3"/>
  <x:c r="AA35" i="3"/>
  <x:c r="Z35" i="3"/>
  <x:c r="Y35" i="3"/>
  <x:c r="X35" i="3"/>
  <x:c r="W35" i="3"/>
  <x:c r="V35" i="3"/>
  <x:c r="U35" i="3"/>
  <x:c r="T35" i="3"/>
  <x:c r="E35" i="3"/>
  <x:c r="B35" i="3"/>
  <x:c r="A35" i="3"/>
  <x:c r="AG34" i="3"/>
  <x:c r="AF34" i="3"/>
  <x:c r="AE34" i="3"/>
  <x:c r="AD34" i="3"/>
  <x:c r="AC34" i="3"/>
  <x:c r="AB34" i="3"/>
  <x:c r="AA34" i="3"/>
  <x:c r="Z34" i="3"/>
  <x:c r="Y34" i="3"/>
  <x:c r="X34" i="3"/>
  <x:c r="W34" i="3"/>
  <x:c r="V34" i="3"/>
  <x:c r="U34" i="3"/>
  <x:c r="T34" i="3"/>
  <x:c r="E34" i="3"/>
  <x:c r="B34" i="3"/>
  <x:c r="A34" i="3"/>
  <x:c r="AG33" i="3"/>
  <x:c r="AF33" i="3"/>
  <x:c r="AE33" i="3"/>
  <x:c r="AD33" i="3"/>
  <x:c r="AC33" i="3"/>
  <x:c r="AB33" i="3"/>
  <x:c r="AA33" i="3"/>
  <x:c r="Z33" i="3"/>
  <x:c r="Y33" i="3"/>
  <x:c r="X33" i="3"/>
  <x:c r="W33" i="3"/>
  <x:c r="V33" i="3"/>
  <x:c r="U33" i="3"/>
  <x:c r="T33" i="3"/>
  <x:c r="E33" i="3"/>
  <x:c r="B33" i="3"/>
  <x:c r="A33" i="3"/>
  <x:c r="AG32" i="3"/>
  <x:c r="AF32" i="3"/>
  <x:c r="AE32" i="3"/>
  <x:c r="AD32" i="3"/>
  <x:c r="AC32" i="3"/>
  <x:c r="AB32" i="3"/>
  <x:c r="AA32" i="3"/>
  <x:c r="Z32" i="3"/>
  <x:c r="Y32" i="3"/>
  <x:c r="X32" i="3"/>
  <x:c r="W32" i="3"/>
  <x:c r="V32" i="3"/>
  <x:c r="U32" i="3"/>
  <x:c r="T32" i="3"/>
  <x:c r="E32" i="3"/>
  <x:c r="B32" i="3"/>
  <x:c r="A32" i="3"/>
  <x:c r="AG31" i="3"/>
  <x:c r="AF31" i="3"/>
  <x:c r="AE31" i="3"/>
  <x:c r="AD31" i="3"/>
  <x:c r="AC31" i="3"/>
  <x:c r="AB31" i="3"/>
  <x:c r="AA31" i="3"/>
  <x:c r="Z31" i="3"/>
  <x:c r="Y31" i="3"/>
  <x:c r="X31" i="3"/>
  <x:c r="W31" i="3"/>
  <x:c r="V31" i="3"/>
  <x:c r="U31" i="3"/>
  <x:c r="T31" i="3"/>
  <x:c r="E31" i="3"/>
  <x:c r="B31" i="3"/>
  <x:c r="A31" i="3"/>
  <x:c r="AG30" i="3"/>
  <x:c r="AF30" i="3"/>
  <x:c r="AE30" i="3"/>
  <x:c r="AD30" i="3"/>
  <x:c r="AC30" i="3"/>
  <x:c r="AB30" i="3"/>
  <x:c r="AA30" i="3"/>
  <x:c r="Z30" i="3"/>
  <x:c r="Y30" i="3"/>
  <x:c r="X30" i="3"/>
  <x:c r="W30" i="3"/>
  <x:c r="V30" i="3"/>
  <x:c r="U30" i="3"/>
  <x:c r="T30" i="3"/>
  <x:c r="E30" i="3"/>
  <x:c r="B30" i="3"/>
  <x:c r="A30" i="3"/>
  <x:c r="AG29" i="3"/>
  <x:c r="AF29" i="3"/>
  <x:c r="AE29" i="3"/>
  <x:c r="AD29" i="3"/>
  <x:c r="AC29" i="3"/>
  <x:c r="AB29" i="3"/>
  <x:c r="AA29" i="3"/>
  <x:c r="Z29" i="3"/>
  <x:c r="Y29" i="3"/>
  <x:c r="X29" i="3"/>
  <x:c r="W29" i="3"/>
  <x:c r="V29" i="3"/>
  <x:c r="U29" i="3"/>
  <x:c r="T29" i="3"/>
  <x:c r="E29" i="3"/>
  <x:c r="B29" i="3"/>
  <x:c r="A29" i="3"/>
  <x:c r="AG28" i="3"/>
  <x:c r="AF28" i="3"/>
  <x:c r="AE28" i="3"/>
  <x:c r="AD28" i="3"/>
  <x:c r="AC28" i="3"/>
  <x:c r="AB28" i="3"/>
  <x:c r="AA28" i="3"/>
  <x:c r="Z28" i="3"/>
  <x:c r="Y28" i="3"/>
  <x:c r="X28" i="3"/>
  <x:c r="W28" i="3"/>
  <x:c r="V28" i="3"/>
  <x:c r="U28" i="3"/>
  <x:c r="T28" i="3"/>
  <x:c r="E28" i="3"/>
  <x:c r="B28" i="3"/>
  <x:c r="A28" i="3"/>
  <x:c r="AG27" i="3"/>
  <x:c r="AF27" i="3"/>
  <x:c r="AE27" i="3"/>
  <x:c r="AD27" i="3"/>
  <x:c r="AC27" i="3"/>
  <x:c r="AB27" i="3"/>
  <x:c r="AA27" i="3"/>
  <x:c r="Z27" i="3"/>
  <x:c r="Y27" i="3"/>
  <x:c r="X27" i="3"/>
  <x:c r="W27" i="3"/>
  <x:c r="V27" i="3"/>
  <x:c r="U27" i="3"/>
  <x:c r="T27" i="3"/>
  <x:c r="E27" i="3"/>
  <x:c r="B27" i="3"/>
  <x:c r="A27" i="3"/>
  <x:c r="AG26" i="3"/>
  <x:c r="AF26" i="3"/>
  <x:c r="AE26" i="3"/>
  <x:c r="AD26" i="3"/>
  <x:c r="AC26" i="3"/>
  <x:c r="AB26" i="3"/>
  <x:c r="AA26" i="3"/>
  <x:c r="Z26" i="3"/>
  <x:c r="Y26" i="3"/>
  <x:c r="X26" i="3"/>
  <x:c r="W26" i="3"/>
  <x:c r="V26" i="3"/>
  <x:c r="U26" i="3"/>
  <x:c r="T26" i="3"/>
  <x:c r="E26" i="3"/>
  <x:c r="B26" i="3"/>
  <x:c r="A26" i="3"/>
  <x:c r="AG25" i="3"/>
  <x:c r="AF25" i="3"/>
  <x:c r="AE25" i="3"/>
  <x:c r="AD25" i="3"/>
  <x:c r="AC25" i="3"/>
  <x:c r="AB25" i="3"/>
  <x:c r="AA25" i="3"/>
  <x:c r="Z25" i="3"/>
  <x:c r="Y25" i="3"/>
  <x:c r="X25" i="3"/>
  <x:c r="W25" i="3"/>
  <x:c r="V25" i="3"/>
  <x:c r="U25" i="3"/>
  <x:c r="T25" i="3"/>
  <x:c r="E25" i="3"/>
  <x:c r="B25" i="3"/>
  <x:c r="A25" i="3"/>
  <x:c r="AG24" i="3"/>
  <x:c r="AF24" i="3"/>
  <x:c r="AE24" i="3"/>
  <x:c r="AD24" i="3"/>
  <x:c r="AC24" i="3"/>
  <x:c r="AB24" i="3"/>
  <x:c r="AA24" i="3"/>
  <x:c r="Z24" i="3"/>
  <x:c r="Y24" i="3"/>
  <x:c r="X24" i="3"/>
  <x:c r="W24" i="3"/>
  <x:c r="V24" i="3"/>
  <x:c r="U24" i="3"/>
  <x:c r="T24" i="3"/>
  <x:c r="E24" i="3"/>
  <x:c r="B24" i="3"/>
  <x:c r="A24" i="3"/>
  <x:c r="AG23" i="3"/>
  <x:c r="AF23" i="3"/>
  <x:c r="AE23" i="3"/>
  <x:c r="AD23" i="3"/>
  <x:c r="AC23" i="3"/>
  <x:c r="AB23" i="3"/>
  <x:c r="AA23" i="3"/>
  <x:c r="Z23" i="3"/>
  <x:c r="Y23" i="3"/>
  <x:c r="X23" i="3"/>
  <x:c r="W23" i="3"/>
  <x:c r="V23" i="3"/>
  <x:c r="U23" i="3"/>
  <x:c r="T23" i="3"/>
  <x:c r="E23" i="3"/>
  <x:c r="B23" i="3"/>
  <x:c r="A23" i="3"/>
  <x:c r="AG22" i="3"/>
  <x:c r="AF22" i="3"/>
  <x:c r="AE22" i="3"/>
  <x:c r="AD22" i="3"/>
  <x:c r="AC22" i="3"/>
  <x:c r="AB22" i="3"/>
  <x:c r="AA22" i="3"/>
  <x:c r="Z22" i="3"/>
  <x:c r="Y22" i="3"/>
  <x:c r="X22" i="3"/>
  <x:c r="W22" i="3"/>
  <x:c r="V22" i="3"/>
  <x:c r="U22" i="3"/>
  <x:c r="T22" i="3"/>
  <x:c r="E22" i="3"/>
  <x:c r="B22" i="3"/>
  <x:c r="A22" i="3"/>
  <x:c r="AG21" i="3"/>
  <x:c r="AF21" i="3"/>
  <x:c r="AE21" i="3"/>
  <x:c r="AD21" i="3"/>
  <x:c r="AC21" i="3"/>
  <x:c r="AB21" i="3"/>
  <x:c r="AA21" i="3"/>
  <x:c r="Z21" i="3"/>
  <x:c r="Y21" i="3"/>
  <x:c r="X21" i="3"/>
  <x:c r="W21" i="3"/>
  <x:c r="V21" i="3"/>
  <x:c r="U21" i="3"/>
  <x:c r="T21" i="3"/>
  <x:c r="E21" i="3"/>
  <x:c r="B21" i="3"/>
  <x:c r="A21" i="3"/>
  <x:c r="AG20" i="3"/>
  <x:c r="AF20" i="3"/>
  <x:c r="AE20" i="3"/>
  <x:c r="AD20" i="3"/>
  <x:c r="AC20" i="3"/>
  <x:c r="AB20" i="3"/>
  <x:c r="AA20" i="3"/>
  <x:c r="Z20" i="3"/>
  <x:c r="Y20" i="3"/>
  <x:c r="X20" i="3"/>
  <x:c r="W20" i="3"/>
  <x:c r="V20" i="3"/>
  <x:c r="U20" i="3"/>
  <x:c r="T20" i="3"/>
  <x:c r="E20" i="3"/>
  <x:c r="B20" i="3"/>
  <x:c r="A20" i="3"/>
  <x:c r="AG19" i="3"/>
  <x:c r="AF19" i="3"/>
  <x:c r="AE19" i="3"/>
  <x:c r="AD19" i="3"/>
  <x:c r="AC19" i="3"/>
  <x:c r="AB19" i="3"/>
  <x:c r="AA19" i="3"/>
  <x:c r="Z19" i="3"/>
  <x:c r="Y19" i="3"/>
  <x:c r="X19" i="3"/>
  <x:c r="W19" i="3"/>
  <x:c r="V19" i="3"/>
  <x:c r="U19" i="3"/>
  <x:c r="T19" i="3"/>
  <x:c r="E19" i="3"/>
  <x:c r="B19" i="3"/>
  <x:c r="A19" i="3"/>
  <x:c r="AG18" i="3"/>
  <x:c r="AF18" i="3"/>
  <x:c r="AE18" i="3"/>
  <x:c r="AD18" i="3"/>
  <x:c r="AC18" i="3"/>
  <x:c r="AB18" i="3"/>
  <x:c r="AA18" i="3"/>
  <x:c r="Z18" i="3"/>
  <x:c r="Y18" i="3"/>
  <x:c r="X18" i="3"/>
  <x:c r="W18" i="3"/>
  <x:c r="V18" i="3"/>
  <x:c r="U18" i="3"/>
  <x:c r="T18" i="3"/>
  <x:c r="E18" i="3"/>
  <x:c r="B18" i="3"/>
  <x:c r="A18" i="3"/>
  <x:c r="AG17" i="3"/>
  <x:c r="AF17" i="3"/>
  <x:c r="AE17" i="3"/>
  <x:c r="AD17" i="3"/>
  <x:c r="AC17" i="3"/>
  <x:c r="AB17" i="3"/>
  <x:c r="AA17" i="3"/>
  <x:c r="Z17" i="3"/>
  <x:c r="Y17" i="3"/>
  <x:c r="X17" i="3"/>
  <x:c r="W17" i="3"/>
  <x:c r="V17" i="3"/>
  <x:c r="U17" i="3"/>
  <x:c r="T17" i="3"/>
  <x:c r="E17" i="3"/>
  <x:c r="B17" i="3"/>
  <x:c r="A17" i="3"/>
  <x:c r="AG16" i="3"/>
  <x:c r="AF16" i="3"/>
  <x:c r="AE16" i="3"/>
  <x:c r="AD16" i="3"/>
  <x:c r="AC16" i="3"/>
  <x:c r="AB16" i="3"/>
  <x:c r="AA16" i="3"/>
  <x:c r="Z16" i="3"/>
  <x:c r="Y16" i="3"/>
  <x:c r="X16" i="3"/>
  <x:c r="W16" i="3"/>
  <x:c r="V16" i="3"/>
  <x:c r="U16" i="3"/>
  <x:c r="T16" i="3"/>
  <x:c r="E16" i="3"/>
  <x:c r="B16" i="3"/>
  <x:c r="A16" i="3"/>
  <x:c r="AG15" i="3"/>
  <x:c r="AF15" i="3"/>
  <x:c r="AE15" i="3"/>
  <x:c r="AD15" i="3"/>
  <x:c r="AC15" i="3"/>
  <x:c r="AB15" i="3"/>
  <x:c r="AA15" i="3"/>
  <x:c r="Z15" i="3"/>
  <x:c r="Y15" i="3"/>
  <x:c r="X15" i="3"/>
  <x:c r="W15" i="3"/>
  <x:c r="V15" i="3"/>
  <x:c r="U15" i="3"/>
  <x:c r="T15" i="3"/>
  <x:c r="E15" i="3"/>
  <x:c r="B15" i="3"/>
  <x:c r="A15" i="3"/>
  <x:c r="AG14" i="3"/>
  <x:c r="AF14" i="3"/>
  <x:c r="AE14" i="3"/>
  <x:c r="AD14" i="3"/>
  <x:c r="AC14" i="3"/>
  <x:c r="AB14" i="3"/>
  <x:c r="AA14" i="3"/>
  <x:c r="Z14" i="3"/>
  <x:c r="Y14" i="3"/>
  <x:c r="X14" i="3"/>
  <x:c r="W14" i="3"/>
  <x:c r="V14" i="3"/>
  <x:c r="U14" i="3"/>
  <x:c r="T14" i="3"/>
  <x:c r="E14" i="3"/>
  <x:c r="B14" i="3"/>
  <x:c r="A14" i="3"/>
  <x:c r="AG13" i="3"/>
  <x:c r="AF13" i="3"/>
  <x:c r="AE13" i="3"/>
  <x:c r="AD13" i="3"/>
  <x:c r="AC13" i="3"/>
  <x:c r="AB13" i="3"/>
  <x:c r="AA13" i="3"/>
  <x:c r="Z13" i="3"/>
  <x:c r="Y13" i="3"/>
  <x:c r="X13" i="3"/>
  <x:c r="W13" i="3"/>
  <x:c r="V13" i="3"/>
  <x:c r="U13" i="3"/>
  <x:c r="T13" i="3"/>
  <x:c r="E13" i="3"/>
  <x:c r="B13" i="3"/>
  <x:c r="A13" i="3"/>
  <x:c r="AG12" i="3"/>
  <x:c r="AF12" i="3"/>
  <x:c r="AE12" i="3"/>
  <x:c r="AD12" i="3"/>
  <x:c r="AC12" i="3"/>
  <x:c r="AB12" i="3"/>
  <x:c r="AA12" i="3"/>
  <x:c r="Z12" i="3"/>
  <x:c r="Y12" i="3"/>
  <x:c r="X12" i="3"/>
  <x:c r="W12" i="3"/>
  <x:c r="V12" i="3"/>
  <x:c r="U12" i="3"/>
  <x:c r="T12" i="3"/>
  <x:c r="E12" i="3"/>
  <x:c r="B12" i="3"/>
  <x:c r="A12" i="3"/>
  <x:c r="AG11" i="3"/>
  <x:c r="AF11" i="3"/>
  <x:c r="AE11" i="3"/>
  <x:c r="AD11" i="3"/>
  <x:c r="AC11" i="3"/>
  <x:c r="AB11" i="3"/>
  <x:c r="AA11" i="3"/>
  <x:c r="Z11" i="3"/>
  <x:c r="Y11" i="3"/>
  <x:c r="X11" i="3"/>
  <x:c r="W11" i="3"/>
  <x:c r="V11" i="3"/>
  <x:c r="U11" i="3"/>
  <x:c r="T11" i="3"/>
  <x:c r="E11" i="3"/>
  <x:c r="B11" i="3"/>
  <x:c r="A11" i="3"/>
  <x:c r="AG10" i="3"/>
  <x:c r="AF10" i="3"/>
  <x:c r="AE10" i="3"/>
  <x:c r="AD10" i="3"/>
  <x:c r="AC10" i="3"/>
  <x:c r="AB10" i="3"/>
  <x:c r="AA10" i="3"/>
  <x:c r="Z10" i="3"/>
  <x:c r="Y10" i="3"/>
  <x:c r="X10" i="3"/>
  <x:c r="W10" i="3"/>
  <x:c r="V10" i="3"/>
  <x:c r="U10" i="3"/>
  <x:c r="T10" i="3"/>
  <x:c r="E10" i="3"/>
  <x:c r="B10" i="3"/>
  <x:c r="A10" i="3"/>
  <x:c r="AG9" i="3"/>
  <x:c r="AF9" i="3"/>
  <x:c r="AE9" i="3"/>
  <x:c r="AD9" i="3"/>
  <x:c r="AC9" i="3"/>
  <x:c r="AB9" i="3"/>
  <x:c r="AA9" i="3"/>
  <x:c r="Z9" i="3"/>
  <x:c r="Y9" i="3"/>
  <x:c r="X9" i="3"/>
  <x:c r="W9" i="3"/>
  <x:c r="V9" i="3"/>
  <x:c r="U9" i="3"/>
  <x:c r="T9" i="3"/>
  <x:c r="E9" i="3"/>
  <x:c r="B9" i="3"/>
  <x:c r="A9" i="3"/>
  <x:c r="AG8" i="3"/>
  <x:c r="AF8" i="3"/>
  <x:c r="AE8" i="3"/>
  <x:c r="AD8" i="3"/>
  <x:c r="AC8" i="3"/>
  <x:c r="AB8" i="3"/>
  <x:c r="AA8" i="3"/>
  <x:c r="Z8" i="3"/>
  <x:c r="Y8" i="3"/>
  <x:c r="X8" i="3"/>
  <x:c r="W8" i="3"/>
  <x:c r="V8" i="3"/>
  <x:c r="U8" i="3"/>
  <x:c r="T8" i="3"/>
  <x:c r="E8" i="3"/>
  <x:c r="B8" i="3"/>
  <x:c r="A8" i="3"/>
  <x:c r="AG7" i="3"/>
  <x:c r="AF7" i="3"/>
  <x:c r="AE7" i="3"/>
  <x:c r="AD7" i="3"/>
  <x:c r="AC7" i="3"/>
  <x:c r="AB7" i="3"/>
  <x:c r="AA7" i="3"/>
  <x:c r="Z7" i="3"/>
  <x:c r="Y7" i="3"/>
  <x:c r="X7" i="3"/>
  <x:c r="W7" i="3"/>
  <x:c r="V7" i="3"/>
  <x:c r="U7" i="3"/>
  <x:c r="T7" i="3"/>
  <x:c r="E7" i="3"/>
  <x:c r="B7" i="3"/>
  <x:c r="A7" i="3"/>
  <x:c r="AG6" i="3"/>
  <x:c r="AF6" i="3"/>
  <x:c r="AE6" i="3"/>
  <x:c r="AD6" i="3"/>
  <x:c r="AC6" i="3"/>
  <x:c r="AB6" i="3"/>
  <x:c r="AA6" i="3"/>
  <x:c r="Z6" i="3"/>
  <x:c r="Y6" i="3"/>
  <x:c r="X6" i="3"/>
  <x:c r="W6" i="3"/>
  <x:c r="V6" i="3"/>
  <x:c r="U6" i="3"/>
  <x:c r="T6" i="3"/>
  <x:c r="E6" i="3"/>
  <x:c r="B6" i="3"/>
  <x:c r="A6" i="3"/>
  <x:c r="AG5" i="3"/>
  <x:c r="AF5" i="3"/>
  <x:c r="AE5" i="3"/>
  <x:c r="AD5" i="3"/>
  <x:c r="AC5" i="3"/>
  <x:c r="AB5" i="3"/>
  <x:c r="AA5" i="3"/>
  <x:c r="Z5" i="3"/>
  <x:c r="Y5" i="3"/>
  <x:c r="X5" i="3"/>
  <x:c r="W5" i="3"/>
  <x:c r="V5" i="3"/>
  <x:c r="U5" i="3"/>
  <x:c r="T5" i="3"/>
  <x:c r="E5" i="3"/>
  <x:c r="B5" i="3"/>
  <x:c r="A5" i="3"/>
  <x:c r="AG4" i="3"/>
  <x:c r="AF4" i="3"/>
  <x:c r="AE4" i="3"/>
  <x:c r="AD4" i="3"/>
  <x:c r="AC4" i="3"/>
  <x:c r="AB4" i="3"/>
  <x:c r="AA4" i="3"/>
  <x:c r="Z4" i="3"/>
  <x:c r="Y4" i="3"/>
  <x:c r="X4" i="3"/>
  <x:c r="W4" i="3"/>
  <x:c r="V4" i="3"/>
  <x:c r="U4" i="3"/>
  <x:c r="T4" i="3"/>
  <x:c r="E4" i="3"/>
  <x:c r="B4" i="3"/>
  <x:c r="A4" i="3"/>
  <x:c r="AG3" i="3"/>
  <x:c r="AF3" i="3"/>
  <x:c r="AE3" i="3"/>
  <x:c r="AD3" i="3"/>
  <x:c r="AC3" i="3"/>
  <x:c r="AB3" i="3"/>
  <x:c r="AA3" i="3"/>
  <x:c r="Z3" i="3"/>
  <x:c r="Y3" i="3"/>
  <x:c r="X3" i="3"/>
  <x:c r="W3" i="3"/>
  <x:c r="V3" i="3"/>
  <x:c r="U3" i="3"/>
  <x:c r="T3" i="3"/>
  <x:c r="E3" i="3"/>
  <x:c r="B3" i="3"/>
  <x:c r="A3" i="3"/>
  <x:c r="E2" i="3"/>
  <x:c r="D2" i="3"/>
  <x:c r="C2" i="3"/>
  <x:c r="B2" i="3"/>
  <x:c r="A2" i="3"/>
  <x:c r="S996" i="2"/>
  <x:c r="R996" i="2"/>
  <x:c r="Q996" i="2"/>
  <x:c r="P996" i="2"/>
  <x:c r="O996" i="2"/>
  <x:c r="N996" i="2"/>
  <x:c r="M996" i="2"/>
  <x:c r="L996" i="2"/>
  <x:c r="K996" i="2"/>
  <x:c r="J996" i="2"/>
  <x:c r="I996" i="2"/>
  <x:c r="H996" i="2"/>
  <x:c r="G996" i="2"/>
  <x:c r="F996" i="2"/>
  <x:c r="E996" i="2"/>
  <x:c r="D996" i="2"/>
  <x:c r="C996" i="2"/>
  <x:c r="B996" i="2"/>
  <x:c r="A996" i="2"/>
  <x:c r="E995" i="2"/>
  <x:c r="D995" i="2"/>
  <x:c r="C995" i="2"/>
  <x:c r="B995" i="2"/>
  <x:c r="A995" i="2"/>
  <x:c r="E994" i="2"/>
  <x:c r="D994" i="2"/>
  <x:c r="C994" i="2"/>
  <x:c r="B994" i="2"/>
  <x:c r="A994" i="2"/>
  <x:c r="E993" i="2"/>
  <x:c r="D993" i="2"/>
  <x:c r="C993" i="2"/>
  <x:c r="B993" i="2"/>
  <x:c r="A993" i="2"/>
  <x:c r="E992" i="2"/>
  <x:c r="D992" i="2"/>
  <x:c r="C992" i="2"/>
  <x:c r="B992" i="2"/>
  <x:c r="A992" i="2"/>
  <x:c r="E991" i="2"/>
  <x:c r="D991" i="2"/>
  <x:c r="C991" i="2"/>
  <x:c r="B991" i="2"/>
  <x:c r="A991" i="2"/>
  <x:c r="E990" i="2"/>
  <x:c r="D990" i="2"/>
  <x:c r="C990" i="2"/>
  <x:c r="B990" i="2"/>
  <x:c r="A990" i="2"/>
  <x:c r="E989" i="2"/>
  <x:c r="D989" i="2"/>
  <x:c r="C989" i="2"/>
  <x:c r="B989" i="2"/>
  <x:c r="A989" i="2"/>
  <x:c r="E988" i="2"/>
  <x:c r="D988" i="2"/>
  <x:c r="C988" i="2"/>
  <x:c r="B988" i="2"/>
  <x:c r="A988" i="2"/>
  <x:c r="E987" i="2"/>
  <x:c r="D987" i="2"/>
  <x:c r="C987" i="2"/>
  <x:c r="B987" i="2"/>
  <x:c r="A987" i="2"/>
  <x:c r="E986" i="2"/>
  <x:c r="D986" i="2"/>
  <x:c r="C986" i="2"/>
  <x:c r="B986" i="2"/>
  <x:c r="A986" i="2"/>
  <x:c r="E985" i="2"/>
  <x:c r="D985" i="2"/>
  <x:c r="C985" i="2"/>
  <x:c r="B985" i="2"/>
  <x:c r="A985" i="2"/>
  <x:c r="E984" i="2"/>
  <x:c r="D984" i="2"/>
  <x:c r="C984" i="2"/>
  <x:c r="B984" i="2"/>
  <x:c r="A984" i="2"/>
  <x:c r="E983" i="2"/>
  <x:c r="D983" i="2"/>
  <x:c r="C983" i="2"/>
  <x:c r="B983" i="2"/>
  <x:c r="A983" i="2"/>
  <x:c r="E982" i="2"/>
  <x:c r="D982" i="2"/>
  <x:c r="C982" i="2"/>
  <x:c r="B982" i="2"/>
  <x:c r="A982" i="2"/>
  <x:c r="E981" i="2"/>
  <x:c r="D981" i="2"/>
  <x:c r="C981" i="2"/>
  <x:c r="B981" i="2"/>
  <x:c r="A981" i="2"/>
  <x:c r="E980" i="2"/>
  <x:c r="D980" i="2"/>
  <x:c r="C980" i="2"/>
  <x:c r="B980" i="2"/>
  <x:c r="A980" i="2"/>
  <x:c r="E979" i="2"/>
  <x:c r="D979" i="2"/>
  <x:c r="C979" i="2"/>
  <x:c r="B979" i="2"/>
  <x:c r="A979" i="2"/>
  <x:c r="E978" i="2"/>
  <x:c r="D978" i="2"/>
  <x:c r="C978" i="2"/>
  <x:c r="B978" i="2"/>
  <x:c r="A978" i="2"/>
  <x:c r="E977" i="2"/>
  <x:c r="D977" i="2"/>
  <x:c r="C977" i="2"/>
  <x:c r="B977" i="2"/>
  <x:c r="A977" i="2"/>
  <x:c r="E976" i="2"/>
  <x:c r="D976" i="2"/>
  <x:c r="C976" i="2"/>
  <x:c r="B976" i="2"/>
  <x:c r="A976" i="2"/>
  <x:c r="E975" i="2"/>
  <x:c r="D975" i="2"/>
  <x:c r="C975" i="2"/>
  <x:c r="B975" i="2"/>
  <x:c r="A975" i="2"/>
  <x:c r="E974" i="2"/>
  <x:c r="D974" i="2"/>
  <x:c r="C974" i="2"/>
  <x:c r="B974" i="2"/>
  <x:c r="A974" i="2"/>
  <x:c r="E973" i="2"/>
  <x:c r="D973" i="2"/>
  <x:c r="C973" i="2"/>
  <x:c r="B973" i="2"/>
  <x:c r="A973" i="2"/>
  <x:c r="E972" i="2"/>
  <x:c r="D972" i="2"/>
  <x:c r="C972" i="2"/>
  <x:c r="B972" i="2"/>
  <x:c r="A972" i="2"/>
  <x:c r="E971" i="2"/>
  <x:c r="D971" i="2"/>
  <x:c r="C971" i="2"/>
  <x:c r="B971" i="2"/>
  <x:c r="A971" i="2"/>
  <x:c r="E970" i="2"/>
  <x:c r="D970" i="2"/>
  <x:c r="C970" i="2"/>
  <x:c r="B970" i="2"/>
  <x:c r="A970" i="2"/>
  <x:c r="E969" i="2"/>
  <x:c r="D969" i="2"/>
  <x:c r="C969" i="2"/>
  <x:c r="B969" i="2"/>
  <x:c r="A969" i="2"/>
  <x:c r="E968" i="2"/>
  <x:c r="D968" i="2"/>
  <x:c r="C968" i="2"/>
  <x:c r="B968" i="2"/>
  <x:c r="A968" i="2"/>
  <x:c r="E967" i="2"/>
  <x:c r="D967" i="2"/>
  <x:c r="C967" i="2"/>
  <x:c r="B967" i="2"/>
  <x:c r="A967" i="2"/>
  <x:c r="E966" i="2"/>
  <x:c r="D966" i="2"/>
  <x:c r="C966" i="2"/>
  <x:c r="B966" i="2"/>
  <x:c r="A966" i="2"/>
  <x:c r="E965" i="2"/>
  <x:c r="D965" i="2"/>
  <x:c r="C965" i="2"/>
  <x:c r="B965" i="2"/>
  <x:c r="A965" i="2"/>
  <x:c r="E964" i="2"/>
  <x:c r="D964" i="2"/>
  <x:c r="C964" i="2"/>
  <x:c r="B964" i="2"/>
  <x:c r="A964" i="2"/>
  <x:c r="E963" i="2"/>
  <x:c r="D963" i="2"/>
  <x:c r="C963" i="2"/>
  <x:c r="B963" i="2"/>
  <x:c r="A963" i="2"/>
  <x:c r="E962" i="2"/>
  <x:c r="D962" i="2"/>
  <x:c r="C962" i="2"/>
  <x:c r="B962" i="2"/>
  <x:c r="A962" i="2"/>
  <x:c r="E961" i="2"/>
  <x:c r="D961" i="2"/>
  <x:c r="C961" i="2"/>
  <x:c r="B961" i="2"/>
  <x:c r="A961" i="2"/>
  <x:c r="E960" i="2"/>
  <x:c r="D960" i="2"/>
  <x:c r="C960" i="2"/>
  <x:c r="B960" i="2"/>
  <x:c r="A960" i="2"/>
  <x:c r="E959" i="2"/>
  <x:c r="D959" i="2"/>
  <x:c r="C959" i="2"/>
  <x:c r="B959" i="2"/>
  <x:c r="A959" i="2"/>
  <x:c r="E958" i="2"/>
  <x:c r="D958" i="2"/>
  <x:c r="C958" i="2"/>
  <x:c r="B958" i="2"/>
  <x:c r="A958" i="2"/>
  <x:c r="E957" i="2"/>
  <x:c r="D957" i="2"/>
  <x:c r="C957" i="2"/>
  <x:c r="B957" i="2"/>
  <x:c r="A957" i="2"/>
  <x:c r="E956" i="2"/>
  <x:c r="D956" i="2"/>
  <x:c r="C956" i="2"/>
  <x:c r="B956" i="2"/>
  <x:c r="A956" i="2"/>
  <x:c r="E955" i="2"/>
  <x:c r="D955" i="2"/>
  <x:c r="C955" i="2"/>
  <x:c r="B955" i="2"/>
  <x:c r="A955" i="2"/>
  <x:c r="E954" i="2"/>
  <x:c r="D954" i="2"/>
  <x:c r="C954" i="2"/>
  <x:c r="B954" i="2"/>
  <x:c r="A954" i="2"/>
  <x:c r="E953" i="2"/>
  <x:c r="D953" i="2"/>
  <x:c r="C953" i="2"/>
  <x:c r="B953" i="2"/>
  <x:c r="A953" i="2"/>
  <x:c r="E952" i="2"/>
  <x:c r="D952" i="2"/>
  <x:c r="C952" i="2"/>
  <x:c r="B952" i="2"/>
  <x:c r="A952" i="2"/>
  <x:c r="E951" i="2"/>
  <x:c r="D951" i="2"/>
  <x:c r="C951" i="2"/>
  <x:c r="B951" i="2"/>
  <x:c r="A951" i="2"/>
  <x:c r="E950" i="2"/>
  <x:c r="D950" i="2"/>
  <x:c r="C950" i="2"/>
  <x:c r="B950" i="2"/>
  <x:c r="A950" i="2"/>
  <x:c r="E949" i="2"/>
  <x:c r="D949" i="2"/>
  <x:c r="C949" i="2"/>
  <x:c r="B949" i="2"/>
  <x:c r="A949" i="2"/>
  <x:c r="E948" i="2"/>
  <x:c r="D948" i="2"/>
  <x:c r="C948" i="2"/>
  <x:c r="B948" i="2"/>
  <x:c r="A948" i="2"/>
  <x:c r="E947" i="2"/>
  <x:c r="D947" i="2"/>
  <x:c r="C947" i="2"/>
  <x:c r="B947" i="2"/>
  <x:c r="A947" i="2"/>
  <x:c r="E946" i="2"/>
  <x:c r="D946" i="2"/>
  <x:c r="C946" i="2"/>
  <x:c r="B946" i="2"/>
  <x:c r="A946" i="2"/>
  <x:c r="E945" i="2"/>
  <x:c r="D945" i="2"/>
  <x:c r="C945" i="2"/>
  <x:c r="B945" i="2"/>
  <x:c r="A945" i="2"/>
  <x:c r="E944" i="2"/>
  <x:c r="D944" i="2"/>
  <x:c r="C944" i="2"/>
  <x:c r="B944" i="2"/>
  <x:c r="A944" i="2"/>
  <x:c r="E943" i="2"/>
  <x:c r="D943" i="2"/>
  <x:c r="C943" i="2"/>
  <x:c r="B943" i="2"/>
  <x:c r="A943" i="2"/>
  <x:c r="E942" i="2"/>
  <x:c r="D942" i="2"/>
  <x:c r="C942" i="2"/>
  <x:c r="B942" i="2"/>
  <x:c r="A942" i="2"/>
  <x:c r="E941" i="2"/>
  <x:c r="D941" i="2"/>
  <x:c r="C941" i="2"/>
  <x:c r="B941" i="2"/>
  <x:c r="A941" i="2"/>
  <x:c r="E940" i="2"/>
  <x:c r="D940" i="2"/>
  <x:c r="C940" i="2"/>
  <x:c r="B940" i="2"/>
  <x:c r="A940" i="2"/>
  <x:c r="E939" i="2"/>
  <x:c r="D939" i="2"/>
  <x:c r="C939" i="2"/>
  <x:c r="B939" i="2"/>
  <x:c r="A939" i="2"/>
  <x:c r="E938" i="2"/>
  <x:c r="D938" i="2"/>
  <x:c r="C938" i="2"/>
  <x:c r="B938" i="2"/>
  <x:c r="A938" i="2"/>
  <x:c r="E937" i="2"/>
  <x:c r="D937" i="2"/>
  <x:c r="C937" i="2"/>
  <x:c r="B937" i="2"/>
  <x:c r="A937" i="2"/>
  <x:c r="E936" i="2"/>
  <x:c r="D936" i="2"/>
  <x:c r="C936" i="2"/>
  <x:c r="B936" i="2"/>
  <x:c r="A936" i="2"/>
  <x:c r="E935" i="2"/>
  <x:c r="D935" i="2"/>
  <x:c r="C935" i="2"/>
  <x:c r="B935" i="2"/>
  <x:c r="A935" i="2"/>
  <x:c r="E934" i="2"/>
  <x:c r="D934" i="2"/>
  <x:c r="C934" i="2"/>
  <x:c r="B934" i="2"/>
  <x:c r="A934" i="2"/>
  <x:c r="E933" i="2"/>
  <x:c r="D933" i="2"/>
  <x:c r="C933" i="2"/>
  <x:c r="B933" i="2"/>
  <x:c r="A933" i="2"/>
  <x:c r="E932" i="2"/>
  <x:c r="D932" i="2"/>
  <x:c r="C932" i="2"/>
  <x:c r="B932" i="2"/>
  <x:c r="A932" i="2"/>
  <x:c r="E931" i="2"/>
  <x:c r="D931" i="2"/>
  <x:c r="C931" i="2"/>
  <x:c r="B931" i="2"/>
  <x:c r="A931" i="2"/>
  <x:c r="E930" i="2"/>
  <x:c r="D930" i="2"/>
  <x:c r="C930" i="2"/>
  <x:c r="B930" i="2"/>
  <x:c r="A930" i="2"/>
  <x:c r="E929" i="2"/>
  <x:c r="D929" i="2"/>
  <x:c r="C929" i="2"/>
  <x:c r="B929" i="2"/>
  <x:c r="A929" i="2"/>
  <x:c r="E928" i="2"/>
  <x:c r="D928" i="2"/>
  <x:c r="C928" i="2"/>
  <x:c r="B928" i="2"/>
  <x:c r="A928" i="2"/>
  <x:c r="E927" i="2"/>
  <x:c r="D927" i="2"/>
  <x:c r="C927" i="2"/>
  <x:c r="B927" i="2"/>
  <x:c r="A927" i="2"/>
  <x:c r="E926" i="2"/>
  <x:c r="D926" i="2"/>
  <x:c r="C926" i="2"/>
  <x:c r="B926" i="2"/>
  <x:c r="A926" i="2"/>
  <x:c r="E925" i="2"/>
  <x:c r="D925" i="2"/>
  <x:c r="C925" i="2"/>
  <x:c r="B925" i="2"/>
  <x:c r="A925" i="2"/>
  <x:c r="E924" i="2"/>
  <x:c r="D924" i="2"/>
  <x:c r="C924" i="2"/>
  <x:c r="B924" i="2"/>
  <x:c r="A924" i="2"/>
  <x:c r="E923" i="2"/>
  <x:c r="D923" i="2"/>
  <x:c r="C923" i="2"/>
  <x:c r="B923" i="2"/>
  <x:c r="A923" i="2"/>
  <x:c r="E922" i="2"/>
  <x:c r="D922" i="2"/>
  <x:c r="C922" i="2"/>
  <x:c r="B922" i="2"/>
  <x:c r="A922" i="2"/>
  <x:c r="E921" i="2"/>
  <x:c r="D921" i="2"/>
  <x:c r="C921" i="2"/>
  <x:c r="B921" i="2"/>
  <x:c r="A921" i="2"/>
  <x:c r="E920" i="2"/>
  <x:c r="D920" i="2"/>
  <x:c r="C920" i="2"/>
  <x:c r="B920" i="2"/>
  <x:c r="A920" i="2"/>
  <x:c r="E919" i="2"/>
  <x:c r="D919" i="2"/>
  <x:c r="C919" i="2"/>
  <x:c r="B919" i="2"/>
  <x:c r="A919" i="2"/>
  <x:c r="E918" i="2"/>
  <x:c r="D918" i="2"/>
  <x:c r="C918" i="2"/>
  <x:c r="B918" i="2"/>
  <x:c r="A918" i="2"/>
  <x:c r="E917" i="2"/>
  <x:c r="D917" i="2"/>
  <x:c r="C917" i="2"/>
  <x:c r="B917" i="2"/>
  <x:c r="A917" i="2"/>
  <x:c r="E916" i="2"/>
  <x:c r="D916" i="2"/>
  <x:c r="C916" i="2"/>
  <x:c r="B916" i="2"/>
  <x:c r="A916" i="2"/>
  <x:c r="E915" i="2"/>
  <x:c r="D915" i="2"/>
  <x:c r="C915" i="2"/>
  <x:c r="B915" i="2"/>
  <x:c r="A915" i="2"/>
  <x:c r="E914" i="2"/>
  <x:c r="D914" i="2"/>
  <x:c r="C914" i="2"/>
  <x:c r="B914" i="2"/>
  <x:c r="A914" i="2"/>
  <x:c r="E913" i="2"/>
  <x:c r="D913" i="2"/>
  <x:c r="C913" i="2"/>
  <x:c r="B913" i="2"/>
  <x:c r="A913" i="2"/>
  <x:c r="E912" i="2"/>
  <x:c r="D912" i="2"/>
  <x:c r="C912" i="2"/>
  <x:c r="B912" i="2"/>
  <x:c r="A912" i="2"/>
  <x:c r="E911" i="2"/>
  <x:c r="D911" i="2"/>
  <x:c r="C911" i="2"/>
  <x:c r="B911" i="2"/>
  <x:c r="A911" i="2"/>
  <x:c r="E910" i="2"/>
  <x:c r="D910" i="2"/>
  <x:c r="C910" i="2"/>
  <x:c r="B910" i="2"/>
  <x:c r="A910" i="2"/>
  <x:c r="E909" i="2"/>
  <x:c r="D909" i="2"/>
  <x:c r="C909" i="2"/>
  <x:c r="B909" i="2"/>
  <x:c r="A909" i="2"/>
  <x:c r="E908" i="2"/>
  <x:c r="D908" i="2"/>
  <x:c r="C908" i="2"/>
  <x:c r="B908" i="2"/>
  <x:c r="A908" i="2"/>
  <x:c r="E907" i="2"/>
  <x:c r="D907" i="2"/>
  <x:c r="C907" i="2"/>
  <x:c r="B907" i="2"/>
  <x:c r="A907" i="2"/>
  <x:c r="E906" i="2"/>
  <x:c r="D906" i="2"/>
  <x:c r="C906" i="2"/>
  <x:c r="B906" i="2"/>
  <x:c r="A906" i="2"/>
  <x:c r="E905" i="2"/>
  <x:c r="D905" i="2"/>
  <x:c r="C905" i="2"/>
  <x:c r="B905" i="2"/>
  <x:c r="A905" i="2"/>
  <x:c r="E904" i="2"/>
  <x:c r="D904" i="2"/>
  <x:c r="C904" i="2"/>
  <x:c r="B904" i="2"/>
  <x:c r="A904" i="2"/>
  <x:c r="E903" i="2"/>
  <x:c r="D903" i="2"/>
  <x:c r="C903" i="2"/>
  <x:c r="B903" i="2"/>
  <x:c r="A903" i="2"/>
  <x:c r="E902" i="2"/>
  <x:c r="D902" i="2"/>
  <x:c r="C902" i="2"/>
  <x:c r="B902" i="2"/>
  <x:c r="A902" i="2"/>
  <x:c r="E901" i="2"/>
  <x:c r="D901" i="2"/>
  <x:c r="C901" i="2"/>
  <x:c r="B901" i="2"/>
  <x:c r="A901" i="2"/>
  <x:c r="E900" i="2"/>
  <x:c r="D900" i="2"/>
  <x:c r="C900" i="2"/>
  <x:c r="B900" i="2"/>
  <x:c r="A900" i="2"/>
  <x:c r="E899" i="2"/>
  <x:c r="D899" i="2"/>
  <x:c r="C899" i="2"/>
  <x:c r="B899" i="2"/>
  <x:c r="A899" i="2"/>
  <x:c r="E898" i="2"/>
  <x:c r="D898" i="2"/>
  <x:c r="C898" i="2"/>
  <x:c r="B898" i="2"/>
  <x:c r="A898" i="2"/>
  <x:c r="E897" i="2"/>
  <x:c r="D897" i="2"/>
  <x:c r="C897" i="2"/>
  <x:c r="B897" i="2"/>
  <x:c r="A897" i="2"/>
  <x:c r="E896" i="2"/>
  <x:c r="D896" i="2"/>
  <x:c r="C896" i="2"/>
  <x:c r="B896" i="2"/>
  <x:c r="A896" i="2"/>
  <x:c r="E895" i="2"/>
  <x:c r="D895" i="2"/>
  <x:c r="C895" i="2"/>
  <x:c r="B895" i="2"/>
  <x:c r="A895" i="2"/>
  <x:c r="E894" i="2"/>
  <x:c r="D894" i="2"/>
  <x:c r="C894" i="2"/>
  <x:c r="B894" i="2"/>
  <x:c r="A894" i="2"/>
  <x:c r="E893" i="2"/>
  <x:c r="D893" i="2"/>
  <x:c r="C893" i="2"/>
  <x:c r="B893" i="2"/>
  <x:c r="A893" i="2"/>
  <x:c r="E892" i="2"/>
  <x:c r="D892" i="2"/>
  <x:c r="C892" i="2"/>
  <x:c r="B892" i="2"/>
  <x:c r="A892" i="2"/>
  <x:c r="E891" i="2"/>
  <x:c r="D891" i="2"/>
  <x:c r="C891" i="2"/>
  <x:c r="B891" i="2"/>
  <x:c r="A891" i="2"/>
  <x:c r="E890" i="2"/>
  <x:c r="D890" i="2"/>
  <x:c r="C890" i="2"/>
  <x:c r="B890" i="2"/>
  <x:c r="A890" i="2"/>
  <x:c r="E889" i="2"/>
  <x:c r="D889" i="2"/>
  <x:c r="C889" i="2"/>
  <x:c r="B889" i="2"/>
  <x:c r="A889" i="2"/>
  <x:c r="E888" i="2"/>
  <x:c r="D888" i="2"/>
  <x:c r="C888" i="2"/>
  <x:c r="B888" i="2"/>
  <x:c r="A888" i="2"/>
  <x:c r="E887" i="2"/>
  <x:c r="D887" i="2"/>
  <x:c r="C887" i="2"/>
  <x:c r="B887" i="2"/>
  <x:c r="A887" i="2"/>
  <x:c r="E886" i="2"/>
  <x:c r="D886" i="2"/>
  <x:c r="C886" i="2"/>
  <x:c r="B886" i="2"/>
  <x:c r="A886" i="2"/>
  <x:c r="E885" i="2"/>
  <x:c r="D885" i="2"/>
  <x:c r="C885" i="2"/>
  <x:c r="B885" i="2"/>
  <x:c r="A885" i="2"/>
  <x:c r="E884" i="2"/>
  <x:c r="D884" i="2"/>
  <x:c r="C884" i="2"/>
  <x:c r="B884" i="2"/>
  <x:c r="A884" i="2"/>
  <x:c r="E883" i="2"/>
  <x:c r="D883" i="2"/>
  <x:c r="C883" i="2"/>
  <x:c r="B883" i="2"/>
  <x:c r="A883" i="2"/>
  <x:c r="E882" i="2"/>
  <x:c r="D882" i="2"/>
  <x:c r="C882" i="2"/>
  <x:c r="B882" i="2"/>
  <x:c r="A882" i="2"/>
  <x:c r="E881" i="2"/>
  <x:c r="D881" i="2"/>
  <x:c r="C881" i="2"/>
  <x:c r="B881" i="2"/>
  <x:c r="A881" i="2"/>
  <x:c r="E880" i="2"/>
  <x:c r="D880" i="2"/>
  <x:c r="C880" i="2"/>
  <x:c r="B880" i="2"/>
  <x:c r="A880" i="2"/>
  <x:c r="E879" i="2"/>
  <x:c r="D879" i="2"/>
  <x:c r="C879" i="2"/>
  <x:c r="B879" i="2"/>
  <x:c r="A879" i="2"/>
  <x:c r="E878" i="2"/>
  <x:c r="D878" i="2"/>
  <x:c r="C878" i="2"/>
  <x:c r="B878" i="2"/>
  <x:c r="A878" i="2"/>
  <x:c r="E877" i="2"/>
  <x:c r="D877" i="2"/>
  <x:c r="C877" i="2"/>
  <x:c r="B877" i="2"/>
  <x:c r="A877" i="2"/>
  <x:c r="E876" i="2"/>
  <x:c r="D876" i="2"/>
  <x:c r="C876" i="2"/>
  <x:c r="B876" i="2"/>
  <x:c r="A876" i="2"/>
  <x:c r="E875" i="2"/>
  <x:c r="D875" i="2"/>
  <x:c r="C875" i="2"/>
  <x:c r="B875" i="2"/>
  <x:c r="A875" i="2"/>
  <x:c r="E874" i="2"/>
  <x:c r="D874" i="2"/>
  <x:c r="C874" i="2"/>
  <x:c r="B874" i="2"/>
  <x:c r="A874" i="2"/>
  <x:c r="E873" i="2"/>
  <x:c r="D873" i="2"/>
  <x:c r="C873" i="2"/>
  <x:c r="B873" i="2"/>
  <x:c r="A873" i="2"/>
  <x:c r="E872" i="2"/>
  <x:c r="D872" i="2"/>
  <x:c r="C872" i="2"/>
  <x:c r="B872" i="2"/>
  <x:c r="A872" i="2"/>
  <x:c r="E871" i="2"/>
  <x:c r="D871" i="2"/>
  <x:c r="C871" i="2"/>
  <x:c r="B871" i="2"/>
  <x:c r="A871" i="2"/>
  <x:c r="E870" i="2"/>
  <x:c r="D870" i="2"/>
  <x:c r="C870" i="2"/>
  <x:c r="B870" i="2"/>
  <x:c r="A870" i="2"/>
  <x:c r="E869" i="2"/>
  <x:c r="D869" i="2"/>
  <x:c r="C869" i="2"/>
  <x:c r="B869" i="2"/>
  <x:c r="A869" i="2"/>
  <x:c r="E868" i="2"/>
  <x:c r="D868" i="2"/>
  <x:c r="C868" i="2"/>
  <x:c r="B868" i="2"/>
  <x:c r="A868" i="2"/>
  <x:c r="E867" i="2"/>
  <x:c r="D867" i="2"/>
  <x:c r="C867" i="2"/>
  <x:c r="B867" i="2"/>
  <x:c r="A867" i="2"/>
  <x:c r="E866" i="2"/>
  <x:c r="D866" i="2"/>
  <x:c r="C866" i="2"/>
  <x:c r="B866" i="2"/>
  <x:c r="A866" i="2"/>
  <x:c r="E865" i="2"/>
  <x:c r="D865" i="2"/>
  <x:c r="C865" i="2"/>
  <x:c r="B865" i="2"/>
  <x:c r="A865" i="2"/>
  <x:c r="E864" i="2"/>
  <x:c r="D864" i="2"/>
  <x:c r="C864" i="2"/>
  <x:c r="B864" i="2"/>
  <x:c r="A864" i="2"/>
  <x:c r="E863" i="2"/>
  <x:c r="D863" i="2"/>
  <x:c r="C863" i="2"/>
  <x:c r="B863" i="2"/>
  <x:c r="A863" i="2"/>
  <x:c r="E862" i="2"/>
  <x:c r="D862" i="2"/>
  <x:c r="C862" i="2"/>
  <x:c r="B862" i="2"/>
  <x:c r="A862" i="2"/>
  <x:c r="E861" i="2"/>
  <x:c r="D861" i="2"/>
  <x:c r="C861" i="2"/>
  <x:c r="B861" i="2"/>
  <x:c r="A861" i="2"/>
  <x:c r="E860" i="2"/>
  <x:c r="D860" i="2"/>
  <x:c r="C860" i="2"/>
  <x:c r="B860" i="2"/>
  <x:c r="A860" i="2"/>
  <x:c r="E859" i="2"/>
  <x:c r="D859" i="2"/>
  <x:c r="C859" i="2"/>
  <x:c r="B859" i="2"/>
  <x:c r="A859" i="2"/>
  <x:c r="E858" i="2"/>
  <x:c r="D858" i="2"/>
  <x:c r="C858" i="2"/>
  <x:c r="B858" i="2"/>
  <x:c r="A858" i="2"/>
  <x:c r="E857" i="2"/>
  <x:c r="D857" i="2"/>
  <x:c r="C857" i="2"/>
  <x:c r="B857" i="2"/>
  <x:c r="A857" i="2"/>
  <x:c r="E856" i="2"/>
  <x:c r="D856" i="2"/>
  <x:c r="C856" i="2"/>
  <x:c r="B856" i="2"/>
  <x:c r="A856" i="2"/>
  <x:c r="E855" i="2"/>
  <x:c r="D855" i="2"/>
  <x:c r="C855" i="2"/>
  <x:c r="B855" i="2"/>
  <x:c r="A855" i="2"/>
  <x:c r="E854" i="2"/>
  <x:c r="D854" i="2"/>
  <x:c r="C854" i="2"/>
  <x:c r="B854" i="2"/>
  <x:c r="A854" i="2"/>
  <x:c r="E853" i="2"/>
  <x:c r="D853" i="2"/>
  <x:c r="C853" i="2"/>
  <x:c r="B853" i="2"/>
  <x:c r="A853" i="2"/>
  <x:c r="E852" i="2"/>
  <x:c r="D852" i="2"/>
  <x:c r="C852" i="2"/>
  <x:c r="B852" i="2"/>
  <x:c r="A852" i="2"/>
  <x:c r="E851" i="2"/>
  <x:c r="D851" i="2"/>
  <x:c r="C851" i="2"/>
  <x:c r="B851" i="2"/>
  <x:c r="A851" i="2"/>
  <x:c r="E850" i="2"/>
  <x:c r="D850" i="2"/>
  <x:c r="C850" i="2"/>
  <x:c r="B850" i="2"/>
  <x:c r="A850" i="2"/>
  <x:c r="E849" i="2"/>
  <x:c r="D849" i="2"/>
  <x:c r="C849" i="2"/>
  <x:c r="B849" i="2"/>
  <x:c r="A849" i="2"/>
  <x:c r="E848" i="2"/>
  <x:c r="D848" i="2"/>
  <x:c r="C848" i="2"/>
  <x:c r="B848" i="2"/>
  <x:c r="A848" i="2"/>
  <x:c r="E847" i="2"/>
  <x:c r="D847" i="2"/>
  <x:c r="C847" i="2"/>
  <x:c r="B847" i="2"/>
  <x:c r="A847" i="2"/>
  <x:c r="E846" i="2"/>
  <x:c r="D846" i="2"/>
  <x:c r="C846" i="2"/>
  <x:c r="B846" i="2"/>
  <x:c r="A846" i="2"/>
  <x:c r="E845" i="2"/>
  <x:c r="D845" i="2"/>
  <x:c r="C845" i="2"/>
  <x:c r="B845" i="2"/>
  <x:c r="A845" i="2"/>
  <x:c r="E844" i="2"/>
  <x:c r="D844" i="2"/>
  <x:c r="C844" i="2"/>
  <x:c r="B844" i="2"/>
  <x:c r="A844" i="2"/>
  <x:c r="E843" i="2"/>
  <x:c r="D843" i="2"/>
  <x:c r="C843" i="2"/>
  <x:c r="B843" i="2"/>
  <x:c r="A843" i="2"/>
  <x:c r="E842" i="2"/>
  <x:c r="D842" i="2"/>
  <x:c r="C842" i="2"/>
  <x:c r="B842" i="2"/>
  <x:c r="A842" i="2"/>
  <x:c r="E841" i="2"/>
  <x:c r="D841" i="2"/>
  <x:c r="C841" i="2"/>
  <x:c r="B841" i="2"/>
  <x:c r="A841" i="2"/>
  <x:c r="E840" i="2"/>
  <x:c r="D840" i="2"/>
  <x:c r="C840" i="2"/>
  <x:c r="B840" i="2"/>
  <x:c r="A840" i="2"/>
  <x:c r="E839" i="2"/>
  <x:c r="D839" i="2"/>
  <x:c r="C839" i="2"/>
  <x:c r="B839" i="2"/>
  <x:c r="A839" i="2"/>
  <x:c r="E838" i="2"/>
  <x:c r="D838" i="2"/>
  <x:c r="C838" i="2"/>
  <x:c r="B838" i="2"/>
  <x:c r="A838" i="2"/>
  <x:c r="E837" i="2"/>
  <x:c r="D837" i="2"/>
  <x:c r="C837" i="2"/>
  <x:c r="B837" i="2"/>
  <x:c r="A837" i="2"/>
  <x:c r="E836" i="2"/>
  <x:c r="D836" i="2"/>
  <x:c r="C836" i="2"/>
  <x:c r="B836" i="2"/>
  <x:c r="A836" i="2"/>
  <x:c r="E835" i="2"/>
  <x:c r="D835" i="2"/>
  <x:c r="C835" i="2"/>
  <x:c r="B835" i="2"/>
  <x:c r="A835" i="2"/>
  <x:c r="E834" i="2"/>
  <x:c r="D834" i="2"/>
  <x:c r="C834" i="2"/>
  <x:c r="B834" i="2"/>
  <x:c r="A834" i="2"/>
  <x:c r="E833" i="2"/>
  <x:c r="D833" i="2"/>
  <x:c r="C833" i="2"/>
  <x:c r="B833" i="2"/>
  <x:c r="A833" i="2"/>
  <x:c r="E832" i="2"/>
  <x:c r="D832" i="2"/>
  <x:c r="C832" i="2"/>
  <x:c r="B832" i="2"/>
  <x:c r="A832" i="2"/>
  <x:c r="E831" i="2"/>
  <x:c r="D831" i="2"/>
  <x:c r="C831" i="2"/>
  <x:c r="B831" i="2"/>
  <x:c r="A831" i="2"/>
  <x:c r="E830" i="2"/>
  <x:c r="D830" i="2"/>
  <x:c r="C830" i="2"/>
  <x:c r="B830" i="2"/>
  <x:c r="A830" i="2"/>
  <x:c r="E829" i="2"/>
  <x:c r="D829" i="2"/>
  <x:c r="C829" i="2"/>
  <x:c r="B829" i="2"/>
  <x:c r="A829" i="2"/>
  <x:c r="E828" i="2"/>
  <x:c r="D828" i="2"/>
  <x:c r="C828" i="2"/>
  <x:c r="B828" i="2"/>
  <x:c r="A828" i="2"/>
  <x:c r="E827" i="2"/>
  <x:c r="D827" i="2"/>
  <x:c r="C827" i="2"/>
  <x:c r="B827" i="2"/>
  <x:c r="A827" i="2"/>
  <x:c r="E826" i="2"/>
  <x:c r="D826" i="2"/>
  <x:c r="C826" i="2"/>
  <x:c r="B826" i="2"/>
  <x:c r="A826" i="2"/>
  <x:c r="E825" i="2"/>
  <x:c r="D825" i="2"/>
  <x:c r="C825" i="2"/>
  <x:c r="B825" i="2"/>
  <x:c r="A825" i="2"/>
  <x:c r="E824" i="2"/>
  <x:c r="D824" i="2"/>
  <x:c r="C824" i="2"/>
  <x:c r="B824" i="2"/>
  <x:c r="A824" i="2"/>
  <x:c r="E823" i="2"/>
  <x:c r="D823" i="2"/>
  <x:c r="C823" i="2"/>
  <x:c r="B823" i="2"/>
  <x:c r="A823" i="2"/>
  <x:c r="E822" i="2"/>
  <x:c r="D822" i="2"/>
  <x:c r="C822" i="2"/>
  <x:c r="B822" i="2"/>
  <x:c r="A822" i="2"/>
  <x:c r="E821" i="2"/>
  <x:c r="D821" i="2"/>
  <x:c r="C821" i="2"/>
  <x:c r="B821" i="2"/>
  <x:c r="A821" i="2"/>
  <x:c r="E820" i="2"/>
  <x:c r="D820" i="2"/>
  <x:c r="C820" i="2"/>
  <x:c r="B820" i="2"/>
  <x:c r="A820" i="2"/>
  <x:c r="E819" i="2"/>
  <x:c r="D819" i="2"/>
  <x:c r="C819" i="2"/>
  <x:c r="B819" i="2"/>
  <x:c r="A819" i="2"/>
  <x:c r="E818" i="2"/>
  <x:c r="D818" i="2"/>
  <x:c r="C818" i="2"/>
  <x:c r="B818" i="2"/>
  <x:c r="A818" i="2"/>
  <x:c r="E817" i="2"/>
  <x:c r="D817" i="2"/>
  <x:c r="C817" i="2"/>
  <x:c r="B817" i="2"/>
  <x:c r="A817" i="2"/>
  <x:c r="E816" i="2"/>
  <x:c r="D816" i="2"/>
  <x:c r="C816" i="2"/>
  <x:c r="B816" i="2"/>
  <x:c r="A816" i="2"/>
  <x:c r="E815" i="2"/>
  <x:c r="D815" i="2"/>
  <x:c r="C815" i="2"/>
  <x:c r="B815" i="2"/>
  <x:c r="A815" i="2"/>
  <x:c r="E814" i="2"/>
  <x:c r="D814" i="2"/>
  <x:c r="C814" i="2"/>
  <x:c r="B814" i="2"/>
  <x:c r="A814" i="2"/>
  <x:c r="E813" i="2"/>
  <x:c r="D813" i="2"/>
  <x:c r="C813" i="2"/>
  <x:c r="B813" i="2"/>
  <x:c r="A813" i="2"/>
  <x:c r="E812" i="2"/>
  <x:c r="D812" i="2"/>
  <x:c r="C812" i="2"/>
  <x:c r="B812" i="2"/>
  <x:c r="A812" i="2"/>
  <x:c r="E811" i="2"/>
  <x:c r="D811" i="2"/>
  <x:c r="C811" i="2"/>
  <x:c r="B811" i="2"/>
  <x:c r="A811" i="2"/>
  <x:c r="E810" i="2"/>
  <x:c r="D810" i="2"/>
  <x:c r="C810" i="2"/>
  <x:c r="B810" i="2"/>
  <x:c r="A810" i="2"/>
  <x:c r="E809" i="2"/>
  <x:c r="D809" i="2"/>
  <x:c r="C809" i="2"/>
  <x:c r="B809" i="2"/>
  <x:c r="A809" i="2"/>
  <x:c r="E808" i="2"/>
  <x:c r="D808" i="2"/>
  <x:c r="C808" i="2"/>
  <x:c r="B808" i="2"/>
  <x:c r="A808" i="2"/>
  <x:c r="E807" i="2"/>
  <x:c r="D807" i="2"/>
  <x:c r="C807" i="2"/>
  <x:c r="B807" i="2"/>
  <x:c r="A807" i="2"/>
  <x:c r="E806" i="2"/>
  <x:c r="D806" i="2"/>
  <x:c r="C806" i="2"/>
  <x:c r="B806" i="2"/>
  <x:c r="A806" i="2"/>
  <x:c r="E805" i="2"/>
  <x:c r="D805" i="2"/>
  <x:c r="C805" i="2"/>
  <x:c r="B805" i="2"/>
  <x:c r="A805" i="2"/>
  <x:c r="E804" i="2"/>
  <x:c r="D804" i="2"/>
  <x:c r="C804" i="2"/>
  <x:c r="B804" i="2"/>
  <x:c r="A804" i="2"/>
  <x:c r="E803" i="2"/>
  <x:c r="D803" i="2"/>
  <x:c r="C803" i="2"/>
  <x:c r="B803" i="2"/>
  <x:c r="A803" i="2"/>
  <x:c r="E802" i="2"/>
  <x:c r="D802" i="2"/>
  <x:c r="C802" i="2"/>
  <x:c r="B802" i="2"/>
  <x:c r="A802" i="2"/>
  <x:c r="E801" i="2"/>
  <x:c r="D801" i="2"/>
  <x:c r="C801" i="2"/>
  <x:c r="B801" i="2"/>
  <x:c r="A801" i="2"/>
  <x:c r="E800" i="2"/>
  <x:c r="D800" i="2"/>
  <x:c r="C800" i="2"/>
  <x:c r="B800" i="2"/>
  <x:c r="A800" i="2"/>
  <x:c r="E799" i="2"/>
  <x:c r="D799" i="2"/>
  <x:c r="C799" i="2"/>
  <x:c r="B799" i="2"/>
  <x:c r="A799" i="2"/>
  <x:c r="E798" i="2"/>
  <x:c r="D798" i="2"/>
  <x:c r="C798" i="2"/>
  <x:c r="B798" i="2"/>
  <x:c r="A798" i="2"/>
  <x:c r="E797" i="2"/>
  <x:c r="D797" i="2"/>
  <x:c r="C797" i="2"/>
  <x:c r="B797" i="2"/>
  <x:c r="A797" i="2"/>
  <x:c r="E796" i="2"/>
  <x:c r="D796" i="2"/>
  <x:c r="C796" i="2"/>
  <x:c r="B796" i="2"/>
  <x:c r="A796" i="2"/>
  <x:c r="E795" i="2"/>
  <x:c r="D795" i="2"/>
  <x:c r="C795" i="2"/>
  <x:c r="B795" i="2"/>
  <x:c r="A795" i="2"/>
  <x:c r="E794" i="2"/>
  <x:c r="D794" i="2"/>
  <x:c r="C794" i="2"/>
  <x:c r="B794" i="2"/>
  <x:c r="A794" i="2"/>
  <x:c r="E793" i="2"/>
  <x:c r="D793" i="2"/>
  <x:c r="C793" i="2"/>
  <x:c r="B793" i="2"/>
  <x:c r="A793" i="2"/>
  <x:c r="E792" i="2"/>
  <x:c r="D792" i="2"/>
  <x:c r="C792" i="2"/>
  <x:c r="B792" i="2"/>
  <x:c r="A792" i="2"/>
  <x:c r="E791" i="2"/>
  <x:c r="D791" i="2"/>
  <x:c r="C791" i="2"/>
  <x:c r="B791" i="2"/>
  <x:c r="A791" i="2"/>
  <x:c r="E790" i="2"/>
  <x:c r="D790" i="2"/>
  <x:c r="C790" i="2"/>
  <x:c r="B790" i="2"/>
  <x:c r="A790" i="2"/>
  <x:c r="E789" i="2"/>
  <x:c r="D789" i="2"/>
  <x:c r="C789" i="2"/>
  <x:c r="B789" i="2"/>
  <x:c r="A789" i="2"/>
  <x:c r="E788" i="2"/>
  <x:c r="D788" i="2"/>
  <x:c r="C788" i="2"/>
  <x:c r="B788" i="2"/>
  <x:c r="A788" i="2"/>
  <x:c r="E787" i="2"/>
  <x:c r="D787" i="2"/>
  <x:c r="C787" i="2"/>
  <x:c r="B787" i="2"/>
  <x:c r="A787" i="2"/>
  <x:c r="E786" i="2"/>
  <x:c r="D786" i="2"/>
  <x:c r="C786" i="2"/>
  <x:c r="B786" i="2"/>
  <x:c r="A786" i="2"/>
  <x:c r="E785" i="2"/>
  <x:c r="D785" i="2"/>
  <x:c r="C785" i="2"/>
  <x:c r="B785" i="2"/>
  <x:c r="A785" i="2"/>
  <x:c r="E784" i="2"/>
  <x:c r="D784" i="2"/>
  <x:c r="C784" i="2"/>
  <x:c r="B784" i="2"/>
  <x:c r="A784" i="2"/>
  <x:c r="E783" i="2"/>
  <x:c r="D783" i="2"/>
  <x:c r="C783" i="2"/>
  <x:c r="B783" i="2"/>
  <x:c r="A783" i="2"/>
  <x:c r="E782" i="2"/>
  <x:c r="D782" i="2"/>
  <x:c r="C782" i="2"/>
  <x:c r="B782" i="2"/>
  <x:c r="A782" i="2"/>
  <x:c r="E781" i="2"/>
  <x:c r="D781" i="2"/>
  <x:c r="C781" i="2"/>
  <x:c r="B781" i="2"/>
  <x:c r="A781" i="2"/>
  <x:c r="E780" i="2"/>
  <x:c r="D780" i="2"/>
  <x:c r="C780" i="2"/>
  <x:c r="B780" i="2"/>
  <x:c r="A780" i="2"/>
  <x:c r="E779" i="2"/>
  <x:c r="D779" i="2"/>
  <x:c r="C779" i="2"/>
  <x:c r="B779" i="2"/>
  <x:c r="A779" i="2"/>
  <x:c r="E778" i="2"/>
  <x:c r="D778" i="2"/>
  <x:c r="C778" i="2"/>
  <x:c r="B778" i="2"/>
  <x:c r="A778" i="2"/>
  <x:c r="E777" i="2"/>
  <x:c r="D777" i="2"/>
  <x:c r="C777" i="2"/>
  <x:c r="B777" i="2"/>
  <x:c r="A777" i="2"/>
  <x:c r="E776" i="2"/>
  <x:c r="D776" i="2"/>
  <x:c r="C776" i="2"/>
  <x:c r="B776" i="2"/>
  <x:c r="A776" i="2"/>
  <x:c r="E775" i="2"/>
  <x:c r="D775" i="2"/>
  <x:c r="C775" i="2"/>
  <x:c r="B775" i="2"/>
  <x:c r="A775" i="2"/>
  <x:c r="E774" i="2"/>
  <x:c r="D774" i="2"/>
  <x:c r="C774" i="2"/>
  <x:c r="B774" i="2"/>
  <x:c r="A774" i="2"/>
  <x:c r="E773" i="2"/>
  <x:c r="D773" i="2"/>
  <x:c r="C773" i="2"/>
  <x:c r="B773" i="2"/>
  <x:c r="A773" i="2"/>
  <x:c r="E772" i="2"/>
  <x:c r="D772" i="2"/>
  <x:c r="C772" i="2"/>
  <x:c r="B772" i="2"/>
  <x:c r="A772" i="2"/>
  <x:c r="E771" i="2"/>
  <x:c r="D771" i="2"/>
  <x:c r="C771" i="2"/>
  <x:c r="B771" i="2"/>
  <x:c r="A771" i="2"/>
  <x:c r="E770" i="2"/>
  <x:c r="D770" i="2"/>
  <x:c r="C770" i="2"/>
  <x:c r="B770" i="2"/>
  <x:c r="A770" i="2"/>
  <x:c r="E769" i="2"/>
  <x:c r="D769" i="2"/>
  <x:c r="C769" i="2"/>
  <x:c r="B769" i="2"/>
  <x:c r="A769" i="2"/>
  <x:c r="E768" i="2"/>
  <x:c r="D768" i="2"/>
  <x:c r="C768" i="2"/>
  <x:c r="B768" i="2"/>
  <x:c r="A768" i="2"/>
  <x:c r="E767" i="2"/>
  <x:c r="D767" i="2"/>
  <x:c r="C767" i="2"/>
  <x:c r="B767" i="2"/>
  <x:c r="A767" i="2"/>
  <x:c r="E766" i="2"/>
  <x:c r="D766" i="2"/>
  <x:c r="C766" i="2"/>
  <x:c r="B766" i="2"/>
  <x:c r="A766" i="2"/>
  <x:c r="E765" i="2"/>
  <x:c r="D765" i="2"/>
  <x:c r="C765" i="2"/>
  <x:c r="B765" i="2"/>
  <x:c r="A765" i="2"/>
  <x:c r="E764" i="2"/>
  <x:c r="D764" i="2"/>
  <x:c r="C764" i="2"/>
  <x:c r="B764" i="2"/>
  <x:c r="A764" i="2"/>
  <x:c r="E763" i="2"/>
  <x:c r="D763" i="2"/>
  <x:c r="C763" i="2"/>
  <x:c r="B763" i="2"/>
  <x:c r="A763" i="2"/>
  <x:c r="E762" i="2"/>
  <x:c r="D762" i="2"/>
  <x:c r="C762" i="2"/>
  <x:c r="B762" i="2"/>
  <x:c r="A762" i="2"/>
  <x:c r="E761" i="2"/>
  <x:c r="D761" i="2"/>
  <x:c r="C761" i="2"/>
  <x:c r="B761" i="2"/>
  <x:c r="A761" i="2"/>
  <x:c r="E760" i="2"/>
  <x:c r="D760" i="2"/>
  <x:c r="C760" i="2"/>
  <x:c r="B760" i="2"/>
  <x:c r="A760" i="2"/>
  <x:c r="E759" i="2"/>
  <x:c r="D759" i="2"/>
  <x:c r="C759" i="2"/>
  <x:c r="B759" i="2"/>
  <x:c r="A759" i="2"/>
  <x:c r="E758" i="2"/>
  <x:c r="D758" i="2"/>
  <x:c r="C758" i="2"/>
  <x:c r="B758" i="2"/>
  <x:c r="A758" i="2"/>
  <x:c r="E757" i="2"/>
  <x:c r="D757" i="2"/>
  <x:c r="C757" i="2"/>
  <x:c r="B757" i="2"/>
  <x:c r="A757" i="2"/>
  <x:c r="E756" i="2"/>
  <x:c r="D756" i="2"/>
  <x:c r="C756" i="2"/>
  <x:c r="B756" i="2"/>
  <x:c r="A756" i="2"/>
  <x:c r="E755" i="2"/>
  <x:c r="D755" i="2"/>
  <x:c r="C755" i="2"/>
  <x:c r="B755" i="2"/>
  <x:c r="A755" i="2"/>
  <x:c r="E754" i="2"/>
  <x:c r="D754" i="2"/>
  <x:c r="C754" i="2"/>
  <x:c r="B754" i="2"/>
  <x:c r="A754" i="2"/>
  <x:c r="E753" i="2"/>
  <x:c r="D753" i="2"/>
  <x:c r="C753" i="2"/>
  <x:c r="B753" i="2"/>
  <x:c r="A753" i="2"/>
  <x:c r="E752" i="2"/>
  <x:c r="D752" i="2"/>
  <x:c r="C752" i="2"/>
  <x:c r="B752" i="2"/>
  <x:c r="A752" i="2"/>
  <x:c r="E751" i="2"/>
  <x:c r="D751" i="2"/>
  <x:c r="C751" i="2"/>
  <x:c r="B751" i="2"/>
  <x:c r="A751" i="2"/>
  <x:c r="E750" i="2"/>
  <x:c r="D750" i="2"/>
  <x:c r="C750" i="2"/>
  <x:c r="B750" i="2"/>
  <x:c r="A750" i="2"/>
  <x:c r="E749" i="2"/>
  <x:c r="D749" i="2"/>
  <x:c r="C749" i="2"/>
  <x:c r="B749" i="2"/>
  <x:c r="A749" i="2"/>
  <x:c r="E748" i="2"/>
  <x:c r="D748" i="2"/>
  <x:c r="C748" i="2"/>
  <x:c r="B748" i="2"/>
  <x:c r="A748" i="2"/>
  <x:c r="E747" i="2"/>
  <x:c r="D747" i="2"/>
  <x:c r="C747" i="2"/>
  <x:c r="B747" i="2"/>
  <x:c r="A747" i="2"/>
  <x:c r="E746" i="2"/>
  <x:c r="D746" i="2"/>
  <x:c r="C746" i="2"/>
  <x:c r="B746" i="2"/>
  <x:c r="A746" i="2"/>
  <x:c r="E745" i="2"/>
  <x:c r="D745" i="2"/>
  <x:c r="C745" i="2"/>
  <x:c r="B745" i="2"/>
  <x:c r="A745" i="2"/>
  <x:c r="E744" i="2"/>
  <x:c r="D744" i="2"/>
  <x:c r="C744" i="2"/>
  <x:c r="B744" i="2"/>
  <x:c r="A744" i="2"/>
  <x:c r="E743" i="2"/>
  <x:c r="D743" i="2"/>
  <x:c r="C743" i="2"/>
  <x:c r="B743" i="2"/>
  <x:c r="A743" i="2"/>
  <x:c r="E742" i="2"/>
  <x:c r="D742" i="2"/>
  <x:c r="C742" i="2"/>
  <x:c r="B742" i="2"/>
  <x:c r="A742" i="2"/>
  <x:c r="E741" i="2"/>
  <x:c r="D741" i="2"/>
  <x:c r="C741" i="2"/>
  <x:c r="B741" i="2"/>
  <x:c r="A741" i="2"/>
  <x:c r="E740" i="2"/>
  <x:c r="D740" i="2"/>
  <x:c r="C740" i="2"/>
  <x:c r="B740" i="2"/>
  <x:c r="A740" i="2"/>
  <x:c r="E739" i="2"/>
  <x:c r="D739" i="2"/>
  <x:c r="C739" i="2"/>
  <x:c r="B739" i="2"/>
  <x:c r="A739" i="2"/>
  <x:c r="E738" i="2"/>
  <x:c r="D738" i="2"/>
  <x:c r="C738" i="2"/>
  <x:c r="B738" i="2"/>
  <x:c r="A738" i="2"/>
  <x:c r="E737" i="2"/>
  <x:c r="D737" i="2"/>
  <x:c r="C737" i="2"/>
  <x:c r="B737" i="2"/>
  <x:c r="A737" i="2"/>
  <x:c r="E736" i="2"/>
  <x:c r="D736" i="2"/>
  <x:c r="C736" i="2"/>
  <x:c r="B736" i="2"/>
  <x:c r="A736" i="2"/>
  <x:c r="E735" i="2"/>
  <x:c r="D735" i="2"/>
  <x:c r="C735" i="2"/>
  <x:c r="B735" i="2"/>
  <x:c r="A735" i="2"/>
  <x:c r="E734" i="2"/>
  <x:c r="D734" i="2"/>
  <x:c r="C734" i="2"/>
  <x:c r="B734" i="2"/>
  <x:c r="A734" i="2"/>
  <x:c r="E733" i="2"/>
  <x:c r="D733" i="2"/>
  <x:c r="C733" i="2"/>
  <x:c r="B733" i="2"/>
  <x:c r="A733" i="2"/>
  <x:c r="E732" i="2"/>
  <x:c r="D732" i="2"/>
  <x:c r="C732" i="2"/>
  <x:c r="B732" i="2"/>
  <x:c r="A732" i="2"/>
  <x:c r="E731" i="2"/>
  <x:c r="D731" i="2"/>
  <x:c r="C731" i="2"/>
  <x:c r="B731" i="2"/>
  <x:c r="A731" i="2"/>
  <x:c r="E730" i="2"/>
  <x:c r="D730" i="2"/>
  <x:c r="C730" i="2"/>
  <x:c r="B730" i="2"/>
  <x:c r="A730" i="2"/>
  <x:c r="E729" i="2"/>
  <x:c r="D729" i="2"/>
  <x:c r="C729" i="2"/>
  <x:c r="B729" i="2"/>
  <x:c r="A729" i="2"/>
  <x:c r="E728" i="2"/>
  <x:c r="D728" i="2"/>
  <x:c r="C728" i="2"/>
  <x:c r="B728" i="2"/>
  <x:c r="A728" i="2"/>
  <x:c r="E727" i="2"/>
  <x:c r="D727" i="2"/>
  <x:c r="C727" i="2"/>
  <x:c r="B727" i="2"/>
  <x:c r="A727" i="2"/>
  <x:c r="E726" i="2"/>
  <x:c r="D726" i="2"/>
  <x:c r="C726" i="2"/>
  <x:c r="B726" i="2"/>
  <x:c r="A726" i="2"/>
  <x:c r="E725" i="2"/>
  <x:c r="D725" i="2"/>
  <x:c r="C725" i="2"/>
  <x:c r="B725" i="2"/>
  <x:c r="A725" i="2"/>
  <x:c r="E724" i="2"/>
  <x:c r="D724" i="2"/>
  <x:c r="C724" i="2"/>
  <x:c r="B724" i="2"/>
  <x:c r="A724" i="2"/>
  <x:c r="E723" i="2"/>
  <x:c r="D723" i="2"/>
  <x:c r="C723" i="2"/>
  <x:c r="B723" i="2"/>
  <x:c r="A723" i="2"/>
  <x:c r="E722" i="2"/>
  <x:c r="D722" i="2"/>
  <x:c r="C722" i="2"/>
  <x:c r="B722" i="2"/>
  <x:c r="A722" i="2"/>
  <x:c r="E721" i="2"/>
  <x:c r="D721" i="2"/>
  <x:c r="C721" i="2"/>
  <x:c r="B721" i="2"/>
  <x:c r="A721" i="2"/>
  <x:c r="E720" i="2"/>
  <x:c r="D720" i="2"/>
  <x:c r="C720" i="2"/>
  <x:c r="B720" i="2"/>
  <x:c r="A720" i="2"/>
  <x:c r="E719" i="2"/>
  <x:c r="D719" i="2"/>
  <x:c r="C719" i="2"/>
  <x:c r="B719" i="2"/>
  <x:c r="A719" i="2"/>
  <x:c r="E718" i="2"/>
  <x:c r="D718" i="2"/>
  <x:c r="C718" i="2"/>
  <x:c r="B718" i="2"/>
  <x:c r="A718" i="2"/>
  <x:c r="E717" i="2"/>
  <x:c r="D717" i="2"/>
  <x:c r="C717" i="2"/>
  <x:c r="B717" i="2"/>
  <x:c r="A717" i="2"/>
  <x:c r="E716" i="2"/>
  <x:c r="D716" i="2"/>
  <x:c r="C716" i="2"/>
  <x:c r="B716" i="2"/>
  <x:c r="A716" i="2"/>
  <x:c r="E715" i="2"/>
  <x:c r="D715" i="2"/>
  <x:c r="C715" i="2"/>
  <x:c r="B715" i="2"/>
  <x:c r="A715" i="2"/>
  <x:c r="E714" i="2"/>
  <x:c r="D714" i="2"/>
  <x:c r="C714" i="2"/>
  <x:c r="B714" i="2"/>
  <x:c r="A714" i="2"/>
  <x:c r="E713" i="2"/>
  <x:c r="D713" i="2"/>
  <x:c r="C713" i="2"/>
  <x:c r="B713" i="2"/>
  <x:c r="A713" i="2"/>
  <x:c r="E712" i="2"/>
  <x:c r="D712" i="2"/>
  <x:c r="C712" i="2"/>
  <x:c r="B712" i="2"/>
  <x:c r="A712" i="2"/>
  <x:c r="E711" i="2"/>
  <x:c r="D711" i="2"/>
  <x:c r="C711" i="2"/>
  <x:c r="B711" i="2"/>
  <x:c r="A711" i="2"/>
  <x:c r="E710" i="2"/>
  <x:c r="D710" i="2"/>
  <x:c r="C710" i="2"/>
  <x:c r="B710" i="2"/>
  <x:c r="A710" i="2"/>
  <x:c r="E709" i="2"/>
  <x:c r="D709" i="2"/>
  <x:c r="C709" i="2"/>
  <x:c r="B709" i="2"/>
  <x:c r="A709" i="2"/>
  <x:c r="E708" i="2"/>
  <x:c r="D708" i="2"/>
  <x:c r="C708" i="2"/>
  <x:c r="B708" i="2"/>
  <x:c r="A708" i="2"/>
  <x:c r="E707" i="2"/>
  <x:c r="D707" i="2"/>
  <x:c r="C707" i="2"/>
  <x:c r="B707" i="2"/>
  <x:c r="A707" i="2"/>
  <x:c r="E706" i="2"/>
  <x:c r="D706" i="2"/>
  <x:c r="C706" i="2"/>
  <x:c r="B706" i="2"/>
  <x:c r="A706" i="2"/>
  <x:c r="E705" i="2"/>
  <x:c r="D705" i="2"/>
  <x:c r="C705" i="2"/>
  <x:c r="B705" i="2"/>
  <x:c r="A705" i="2"/>
  <x:c r="E704" i="2"/>
  <x:c r="D704" i="2"/>
  <x:c r="C704" i="2"/>
  <x:c r="B704" i="2"/>
  <x:c r="A704" i="2"/>
  <x:c r="E703" i="2"/>
  <x:c r="D703" i="2"/>
  <x:c r="C703" i="2"/>
  <x:c r="B703" i="2"/>
  <x:c r="A703" i="2"/>
  <x:c r="E702" i="2"/>
  <x:c r="D702" i="2"/>
  <x:c r="C702" i="2"/>
  <x:c r="B702" i="2"/>
  <x:c r="A702" i="2"/>
  <x:c r="E701" i="2"/>
  <x:c r="D701" i="2"/>
  <x:c r="C701" i="2"/>
  <x:c r="B701" i="2"/>
  <x:c r="A701" i="2"/>
  <x:c r="E700" i="2"/>
  <x:c r="D700" i="2"/>
  <x:c r="C700" i="2"/>
  <x:c r="B700" i="2"/>
  <x:c r="A700" i="2"/>
  <x:c r="E699" i="2"/>
  <x:c r="D699" i="2"/>
  <x:c r="C699" i="2"/>
  <x:c r="B699" i="2"/>
  <x:c r="A699" i="2"/>
  <x:c r="E698" i="2"/>
  <x:c r="D698" i="2"/>
  <x:c r="C698" i="2"/>
  <x:c r="B698" i="2"/>
  <x:c r="A698" i="2"/>
  <x:c r="E697" i="2"/>
  <x:c r="D697" i="2"/>
  <x:c r="C697" i="2"/>
  <x:c r="B697" i="2"/>
  <x:c r="A697" i="2"/>
  <x:c r="E696" i="2"/>
  <x:c r="D696" i="2"/>
  <x:c r="C696" i="2"/>
  <x:c r="B696" i="2"/>
  <x:c r="A696" i="2"/>
  <x:c r="E695" i="2"/>
  <x:c r="D695" i="2"/>
  <x:c r="C695" i="2"/>
  <x:c r="B695" i="2"/>
  <x:c r="A695" i="2"/>
  <x:c r="E694" i="2"/>
  <x:c r="D694" i="2"/>
  <x:c r="C694" i="2"/>
  <x:c r="B694" i="2"/>
  <x:c r="A694" i="2"/>
  <x:c r="E693" i="2"/>
  <x:c r="D693" i="2"/>
  <x:c r="C693" i="2"/>
  <x:c r="B693" i="2"/>
  <x:c r="A693" i="2"/>
  <x:c r="E692" i="2"/>
  <x:c r="D692" i="2"/>
  <x:c r="C692" i="2"/>
  <x:c r="B692" i="2"/>
  <x:c r="A692" i="2"/>
  <x:c r="E691" i="2"/>
  <x:c r="D691" i="2"/>
  <x:c r="C691" i="2"/>
  <x:c r="B691" i="2"/>
  <x:c r="A691" i="2"/>
  <x:c r="E690" i="2"/>
  <x:c r="D690" i="2"/>
  <x:c r="C690" i="2"/>
  <x:c r="B690" i="2"/>
  <x:c r="A690" i="2"/>
  <x:c r="E689" i="2"/>
  <x:c r="D689" i="2"/>
  <x:c r="C689" i="2"/>
  <x:c r="B689" i="2"/>
  <x:c r="A689" i="2"/>
  <x:c r="E688" i="2"/>
  <x:c r="D688" i="2"/>
  <x:c r="C688" i="2"/>
  <x:c r="B688" i="2"/>
  <x:c r="A688" i="2"/>
  <x:c r="E687" i="2"/>
  <x:c r="D687" i="2"/>
  <x:c r="C687" i="2"/>
  <x:c r="B687" i="2"/>
  <x:c r="A687" i="2"/>
  <x:c r="E686" i="2"/>
  <x:c r="D686" i="2"/>
  <x:c r="C686" i="2"/>
  <x:c r="B686" i="2"/>
  <x:c r="A686" i="2"/>
  <x:c r="E685" i="2"/>
  <x:c r="D685" i="2"/>
  <x:c r="C685" i="2"/>
  <x:c r="B685" i="2"/>
  <x:c r="A685" i="2"/>
  <x:c r="E684" i="2"/>
  <x:c r="D684" i="2"/>
  <x:c r="C684" i="2"/>
  <x:c r="B684" i="2"/>
  <x:c r="A684" i="2"/>
  <x:c r="E683" i="2"/>
  <x:c r="D683" i="2"/>
  <x:c r="C683" i="2"/>
  <x:c r="B683" i="2"/>
  <x:c r="A683" i="2"/>
  <x:c r="E682" i="2"/>
  <x:c r="D682" i="2"/>
  <x:c r="C682" i="2"/>
  <x:c r="B682" i="2"/>
  <x:c r="A682" i="2"/>
  <x:c r="E681" i="2"/>
  <x:c r="D681" i="2"/>
  <x:c r="C681" i="2"/>
  <x:c r="B681" i="2"/>
  <x:c r="A681" i="2"/>
  <x:c r="E680" i="2"/>
  <x:c r="D680" i="2"/>
  <x:c r="C680" i="2"/>
  <x:c r="B680" i="2"/>
  <x:c r="A680" i="2"/>
  <x:c r="E679" i="2"/>
  <x:c r="D679" i="2"/>
  <x:c r="C679" i="2"/>
  <x:c r="B679" i="2"/>
  <x:c r="A679" i="2"/>
  <x:c r="E678" i="2"/>
  <x:c r="D678" i="2"/>
  <x:c r="C678" i="2"/>
  <x:c r="B678" i="2"/>
  <x:c r="A678" i="2"/>
  <x:c r="E677" i="2"/>
  <x:c r="D677" i="2"/>
  <x:c r="C677" i="2"/>
  <x:c r="B677" i="2"/>
  <x:c r="A677" i="2"/>
  <x:c r="E676" i="2"/>
  <x:c r="D676" i="2"/>
  <x:c r="C676" i="2"/>
  <x:c r="B676" i="2"/>
  <x:c r="A676" i="2"/>
  <x:c r="E675" i="2"/>
  <x:c r="D675" i="2"/>
  <x:c r="C675" i="2"/>
  <x:c r="B675" i="2"/>
  <x:c r="A675" i="2"/>
  <x:c r="E674" i="2"/>
  <x:c r="D674" i="2"/>
  <x:c r="C674" i="2"/>
  <x:c r="B674" i="2"/>
  <x:c r="A674" i="2"/>
  <x:c r="E673" i="2"/>
  <x:c r="D673" i="2"/>
  <x:c r="C673" i="2"/>
  <x:c r="B673" i="2"/>
  <x:c r="A673" i="2"/>
  <x:c r="E672" i="2"/>
  <x:c r="D672" i="2"/>
  <x:c r="C672" i="2"/>
  <x:c r="B672" i="2"/>
  <x:c r="A672" i="2"/>
  <x:c r="E671" i="2"/>
  <x:c r="D671" i="2"/>
  <x:c r="C671" i="2"/>
  <x:c r="B671" i="2"/>
  <x:c r="A671" i="2"/>
  <x:c r="E670" i="2"/>
  <x:c r="D670" i="2"/>
  <x:c r="C670" i="2"/>
  <x:c r="B670" i="2"/>
  <x:c r="A670" i="2"/>
  <x:c r="E669" i="2"/>
  <x:c r="D669" i="2"/>
  <x:c r="C669" i="2"/>
  <x:c r="B669" i="2"/>
  <x:c r="A669" i="2"/>
  <x:c r="E668" i="2"/>
  <x:c r="D668" i="2"/>
  <x:c r="C668" i="2"/>
  <x:c r="B668" i="2"/>
  <x:c r="A668" i="2"/>
  <x:c r="E667" i="2"/>
  <x:c r="D667" i="2"/>
  <x:c r="C667" i="2"/>
  <x:c r="B667" i="2"/>
  <x:c r="A667" i="2"/>
  <x:c r="E666" i="2"/>
  <x:c r="D666" i="2"/>
  <x:c r="C666" i="2"/>
  <x:c r="B666" i="2"/>
  <x:c r="A666" i="2"/>
  <x:c r="E665" i="2"/>
  <x:c r="D665" i="2"/>
  <x:c r="C665" i="2"/>
  <x:c r="B665" i="2"/>
  <x:c r="A665" i="2"/>
  <x:c r="E664" i="2"/>
  <x:c r="D664" i="2"/>
  <x:c r="C664" i="2"/>
  <x:c r="B664" i="2"/>
  <x:c r="A664" i="2"/>
  <x:c r="E663" i="2"/>
  <x:c r="D663" i="2"/>
  <x:c r="C663" i="2"/>
  <x:c r="B663" i="2"/>
  <x:c r="A663" i="2"/>
  <x:c r="E662" i="2"/>
  <x:c r="D662" i="2"/>
  <x:c r="C662" i="2"/>
  <x:c r="B662" i="2"/>
  <x:c r="A662" i="2"/>
  <x:c r="E661" i="2"/>
  <x:c r="D661" i="2"/>
  <x:c r="C661" i="2"/>
  <x:c r="B661" i="2"/>
  <x:c r="A661" i="2"/>
  <x:c r="E660" i="2"/>
  <x:c r="D660" i="2"/>
  <x:c r="C660" i="2"/>
  <x:c r="B660" i="2"/>
  <x:c r="A660" i="2"/>
  <x:c r="E659" i="2"/>
  <x:c r="D659" i="2"/>
  <x:c r="C659" i="2"/>
  <x:c r="B659" i="2"/>
  <x:c r="A659" i="2"/>
  <x:c r="E658" i="2"/>
  <x:c r="D658" i="2"/>
  <x:c r="C658" i="2"/>
  <x:c r="B658" i="2"/>
  <x:c r="A658" i="2"/>
  <x:c r="E657" i="2"/>
  <x:c r="D657" i="2"/>
  <x:c r="C657" i="2"/>
  <x:c r="B657" i="2"/>
  <x:c r="A657" i="2"/>
  <x:c r="E656" i="2"/>
  <x:c r="D656" i="2"/>
  <x:c r="C656" i="2"/>
  <x:c r="B656" i="2"/>
  <x:c r="A656" i="2"/>
  <x:c r="E655" i="2"/>
  <x:c r="D655" i="2"/>
  <x:c r="C655" i="2"/>
  <x:c r="B655" i="2"/>
  <x:c r="A655" i="2"/>
  <x:c r="E654" i="2"/>
  <x:c r="D654" i="2"/>
  <x:c r="C654" i="2"/>
  <x:c r="B654" i="2"/>
  <x:c r="A654" i="2"/>
  <x:c r="E653" i="2"/>
  <x:c r="D653" i="2"/>
  <x:c r="C653" i="2"/>
  <x:c r="B653" i="2"/>
  <x:c r="A653" i="2"/>
  <x:c r="E652" i="2"/>
  <x:c r="D652" i="2"/>
  <x:c r="C652" i="2"/>
  <x:c r="B652" i="2"/>
  <x:c r="A652" i="2"/>
  <x:c r="E651" i="2"/>
  <x:c r="D651" i="2"/>
  <x:c r="C651" i="2"/>
  <x:c r="B651" i="2"/>
  <x:c r="A651" i="2"/>
  <x:c r="E650" i="2"/>
  <x:c r="D650" i="2"/>
  <x:c r="C650" i="2"/>
  <x:c r="B650" i="2"/>
  <x:c r="A650" i="2"/>
  <x:c r="E649" i="2"/>
  <x:c r="D649" i="2"/>
  <x:c r="C649" i="2"/>
  <x:c r="B649" i="2"/>
  <x:c r="A649" i="2"/>
  <x:c r="E648" i="2"/>
  <x:c r="D648" i="2"/>
  <x:c r="C648" i="2"/>
  <x:c r="B648" i="2"/>
  <x:c r="A648" i="2"/>
  <x:c r="E647" i="2"/>
  <x:c r="D647" i="2"/>
  <x:c r="C647" i="2"/>
  <x:c r="B647" i="2"/>
  <x:c r="A647" i="2"/>
  <x:c r="E646" i="2"/>
  <x:c r="D646" i="2"/>
  <x:c r="C646" i="2"/>
  <x:c r="B646" i="2"/>
  <x:c r="A646" i="2"/>
  <x:c r="E645" i="2"/>
  <x:c r="D645" i="2"/>
  <x:c r="C645" i="2"/>
  <x:c r="B645" i="2"/>
  <x:c r="A645" i="2"/>
  <x:c r="E644" i="2"/>
  <x:c r="D644" i="2"/>
  <x:c r="C644" i="2"/>
  <x:c r="B644" i="2"/>
  <x:c r="A644" i="2"/>
  <x:c r="E643" i="2"/>
  <x:c r="D643" i="2"/>
  <x:c r="C643" i="2"/>
  <x:c r="B643" i="2"/>
  <x:c r="A643" i="2"/>
  <x:c r="E642" i="2"/>
  <x:c r="D642" i="2"/>
  <x:c r="C642" i="2"/>
  <x:c r="B642" i="2"/>
  <x:c r="A642" i="2"/>
  <x:c r="E641" i="2"/>
  <x:c r="D641" i="2"/>
  <x:c r="C641" i="2"/>
  <x:c r="B641" i="2"/>
  <x:c r="A641" i="2"/>
  <x:c r="E640" i="2"/>
  <x:c r="D640" i="2"/>
  <x:c r="C640" i="2"/>
  <x:c r="B640" i="2"/>
  <x:c r="A640" i="2"/>
  <x:c r="E639" i="2"/>
  <x:c r="D639" i="2"/>
  <x:c r="C639" i="2"/>
  <x:c r="B639" i="2"/>
  <x:c r="A639" i="2"/>
  <x:c r="E638" i="2"/>
  <x:c r="D638" i="2"/>
  <x:c r="C638" i="2"/>
  <x:c r="B638" i="2"/>
  <x:c r="A638" i="2"/>
  <x:c r="E637" i="2"/>
  <x:c r="D637" i="2"/>
  <x:c r="C637" i="2"/>
  <x:c r="B637" i="2"/>
  <x:c r="A637" i="2"/>
  <x:c r="E636" i="2"/>
  <x:c r="D636" i="2"/>
  <x:c r="C636" i="2"/>
  <x:c r="B636" i="2"/>
  <x:c r="A636" i="2"/>
  <x:c r="E635" i="2"/>
  <x:c r="D635" i="2"/>
  <x:c r="C635" i="2"/>
  <x:c r="B635" i="2"/>
  <x:c r="A635" i="2"/>
  <x:c r="E634" i="2"/>
  <x:c r="D634" i="2"/>
  <x:c r="C634" i="2"/>
  <x:c r="B634" i="2"/>
  <x:c r="A634" i="2"/>
  <x:c r="E633" i="2"/>
  <x:c r="D633" i="2"/>
  <x:c r="C633" i="2"/>
  <x:c r="B633" i="2"/>
  <x:c r="A633" i="2"/>
  <x:c r="E632" i="2"/>
  <x:c r="D632" i="2"/>
  <x:c r="C632" i="2"/>
  <x:c r="B632" i="2"/>
  <x:c r="A632" i="2"/>
  <x:c r="E631" i="2"/>
  <x:c r="D631" i="2"/>
  <x:c r="C631" i="2"/>
  <x:c r="B631" i="2"/>
  <x:c r="A631" i="2"/>
  <x:c r="E630" i="2"/>
  <x:c r="D630" i="2"/>
  <x:c r="C630" i="2"/>
  <x:c r="B630" i="2"/>
  <x:c r="A630" i="2"/>
  <x:c r="E629" i="2"/>
  <x:c r="D629" i="2"/>
  <x:c r="C629" i="2"/>
  <x:c r="B629" i="2"/>
  <x:c r="A629" i="2"/>
  <x:c r="E628" i="2"/>
  <x:c r="D628" i="2"/>
  <x:c r="C628" i="2"/>
  <x:c r="B628" i="2"/>
  <x:c r="A628" i="2"/>
  <x:c r="E627" i="2"/>
  <x:c r="D627" i="2"/>
  <x:c r="C627" i="2"/>
  <x:c r="B627" i="2"/>
  <x:c r="A627" i="2"/>
  <x:c r="E626" i="2"/>
  <x:c r="D626" i="2"/>
  <x:c r="C626" i="2"/>
  <x:c r="B626" i="2"/>
  <x:c r="A626" i="2"/>
  <x:c r="E625" i="2"/>
  <x:c r="D625" i="2"/>
  <x:c r="C625" i="2"/>
  <x:c r="B625" i="2"/>
  <x:c r="A625" i="2"/>
  <x:c r="E624" i="2"/>
  <x:c r="D624" i="2"/>
  <x:c r="C624" i="2"/>
  <x:c r="B624" i="2"/>
  <x:c r="A624" i="2"/>
  <x:c r="E623" i="2"/>
  <x:c r="D623" i="2"/>
  <x:c r="C623" i="2"/>
  <x:c r="B623" i="2"/>
  <x:c r="A623" i="2"/>
  <x:c r="E622" i="2"/>
  <x:c r="D622" i="2"/>
  <x:c r="C622" i="2"/>
  <x:c r="B622" i="2"/>
  <x:c r="A622" i="2"/>
  <x:c r="E621" i="2"/>
  <x:c r="D621" i="2"/>
  <x:c r="C621" i="2"/>
  <x:c r="B621" i="2"/>
  <x:c r="A621" i="2"/>
  <x:c r="E620" i="2"/>
  <x:c r="D620" i="2"/>
  <x:c r="C620" i="2"/>
  <x:c r="B620" i="2"/>
  <x:c r="A620" i="2"/>
  <x:c r="E619" i="2"/>
  <x:c r="D619" i="2"/>
  <x:c r="C619" i="2"/>
  <x:c r="B619" i="2"/>
  <x:c r="A619" i="2"/>
  <x:c r="E618" i="2"/>
  <x:c r="D618" i="2"/>
  <x:c r="C618" i="2"/>
  <x:c r="B618" i="2"/>
  <x:c r="A618" i="2"/>
  <x:c r="E617" i="2"/>
  <x:c r="D617" i="2"/>
  <x:c r="C617" i="2"/>
  <x:c r="B617" i="2"/>
  <x:c r="A617" i="2"/>
  <x:c r="E616" i="2"/>
  <x:c r="D616" i="2"/>
  <x:c r="C616" i="2"/>
  <x:c r="B616" i="2"/>
  <x:c r="A616" i="2"/>
  <x:c r="E615" i="2"/>
  <x:c r="D615" i="2"/>
  <x:c r="C615" i="2"/>
  <x:c r="B615" i="2"/>
  <x:c r="A615" i="2"/>
  <x:c r="E614" i="2"/>
  <x:c r="D614" i="2"/>
  <x:c r="C614" i="2"/>
  <x:c r="B614" i="2"/>
  <x:c r="A614" i="2"/>
  <x:c r="E613" i="2"/>
  <x:c r="D613" i="2"/>
  <x:c r="C613" i="2"/>
  <x:c r="B613" i="2"/>
  <x:c r="A613" i="2"/>
  <x:c r="E612" i="2"/>
  <x:c r="D612" i="2"/>
  <x:c r="C612" i="2"/>
  <x:c r="B612" i="2"/>
  <x:c r="A612" i="2"/>
  <x:c r="E611" i="2"/>
  <x:c r="D611" i="2"/>
  <x:c r="C611" i="2"/>
  <x:c r="B611" i="2"/>
  <x:c r="A611" i="2"/>
  <x:c r="E610" i="2"/>
  <x:c r="D610" i="2"/>
  <x:c r="C610" i="2"/>
  <x:c r="B610" i="2"/>
  <x:c r="A610" i="2"/>
  <x:c r="E609" i="2"/>
  <x:c r="D609" i="2"/>
  <x:c r="C609" i="2"/>
  <x:c r="B609" i="2"/>
  <x:c r="A609" i="2"/>
  <x:c r="E608" i="2"/>
  <x:c r="D608" i="2"/>
  <x:c r="C608" i="2"/>
  <x:c r="B608" i="2"/>
  <x:c r="A608" i="2"/>
  <x:c r="E607" i="2"/>
  <x:c r="D607" i="2"/>
  <x:c r="C607" i="2"/>
  <x:c r="B607" i="2"/>
  <x:c r="A607" i="2"/>
  <x:c r="E606" i="2"/>
  <x:c r="D606" i="2"/>
  <x:c r="C606" i="2"/>
  <x:c r="B606" i="2"/>
  <x:c r="A606" i="2"/>
  <x:c r="E605" i="2"/>
  <x:c r="D605" i="2"/>
  <x:c r="C605" i="2"/>
  <x:c r="B605" i="2"/>
  <x:c r="A605" i="2"/>
  <x:c r="E604" i="2"/>
  <x:c r="D604" i="2"/>
  <x:c r="C604" i="2"/>
  <x:c r="B604" i="2"/>
  <x:c r="A604" i="2"/>
  <x:c r="E603" i="2"/>
  <x:c r="D603" i="2"/>
  <x:c r="C603" i="2"/>
  <x:c r="B603" i="2"/>
  <x:c r="A603" i="2"/>
  <x:c r="E602" i="2"/>
  <x:c r="D602" i="2"/>
  <x:c r="C602" i="2"/>
  <x:c r="B602" i="2"/>
  <x:c r="A602" i="2"/>
  <x:c r="E601" i="2"/>
  <x:c r="D601" i="2"/>
  <x:c r="C601" i="2"/>
  <x:c r="B601" i="2"/>
  <x:c r="A601" i="2"/>
  <x:c r="E600" i="2"/>
  <x:c r="D600" i="2"/>
  <x:c r="C600" i="2"/>
  <x:c r="B600" i="2"/>
  <x:c r="A600" i="2"/>
  <x:c r="E599" i="2"/>
  <x:c r="D599" i="2"/>
  <x:c r="C599" i="2"/>
  <x:c r="B599" i="2"/>
  <x:c r="A599" i="2"/>
  <x:c r="E598" i="2"/>
  <x:c r="D598" i="2"/>
  <x:c r="C598" i="2"/>
  <x:c r="B598" i="2"/>
  <x:c r="A598" i="2"/>
  <x:c r="E597" i="2"/>
  <x:c r="D597" i="2"/>
  <x:c r="C597" i="2"/>
  <x:c r="B597" i="2"/>
  <x:c r="A597" i="2"/>
  <x:c r="E596" i="2"/>
  <x:c r="D596" i="2"/>
  <x:c r="C596" i="2"/>
  <x:c r="B596" i="2"/>
  <x:c r="A596" i="2"/>
  <x:c r="E595" i="2"/>
  <x:c r="D595" i="2"/>
  <x:c r="C595" i="2"/>
  <x:c r="B595" i="2"/>
  <x:c r="A595" i="2"/>
  <x:c r="E594" i="2"/>
  <x:c r="D594" i="2"/>
  <x:c r="C594" i="2"/>
  <x:c r="B594" i="2"/>
  <x:c r="A594" i="2"/>
  <x:c r="E593" i="2"/>
  <x:c r="D593" i="2"/>
  <x:c r="C593" i="2"/>
  <x:c r="B593" i="2"/>
  <x:c r="A593" i="2"/>
  <x:c r="E592" i="2"/>
  <x:c r="D592" i="2"/>
  <x:c r="C592" i="2"/>
  <x:c r="B592" i="2"/>
  <x:c r="A592" i="2"/>
  <x:c r="E591" i="2"/>
  <x:c r="D591" i="2"/>
  <x:c r="C591" i="2"/>
  <x:c r="B591" i="2"/>
  <x:c r="A591" i="2"/>
  <x:c r="E590" i="2"/>
  <x:c r="D590" i="2"/>
  <x:c r="C590" i="2"/>
  <x:c r="B590" i="2"/>
  <x:c r="A590" i="2"/>
  <x:c r="E589" i="2"/>
  <x:c r="D589" i="2"/>
  <x:c r="C589" i="2"/>
  <x:c r="B589" i="2"/>
  <x:c r="A589" i="2"/>
  <x:c r="E588" i="2"/>
  <x:c r="D588" i="2"/>
  <x:c r="C588" i="2"/>
  <x:c r="B588" i="2"/>
  <x:c r="A588" i="2"/>
  <x:c r="E587" i="2"/>
  <x:c r="D587" i="2"/>
  <x:c r="C587" i="2"/>
  <x:c r="B587" i="2"/>
  <x:c r="A587" i="2"/>
  <x:c r="E586" i="2"/>
  <x:c r="D586" i="2"/>
  <x:c r="C586" i="2"/>
  <x:c r="B586" i="2"/>
  <x:c r="A586" i="2"/>
  <x:c r="E585" i="2"/>
  <x:c r="D585" i="2"/>
  <x:c r="C585" i="2"/>
  <x:c r="B585" i="2"/>
  <x:c r="A585" i="2"/>
  <x:c r="E584" i="2"/>
  <x:c r="D584" i="2"/>
  <x:c r="C584" i="2"/>
  <x:c r="B584" i="2"/>
  <x:c r="A584" i="2"/>
  <x:c r="E583" i="2"/>
  <x:c r="D583" i="2"/>
  <x:c r="C583" i="2"/>
  <x:c r="B583" i="2"/>
  <x:c r="A583" i="2"/>
  <x:c r="E582" i="2"/>
  <x:c r="D582" i="2"/>
  <x:c r="C582" i="2"/>
  <x:c r="B582" i="2"/>
  <x:c r="A582" i="2"/>
  <x:c r="E581" i="2"/>
  <x:c r="D581" i="2"/>
  <x:c r="C581" i="2"/>
  <x:c r="B581" i="2"/>
  <x:c r="A581" i="2"/>
  <x:c r="E580" i="2"/>
  <x:c r="D580" i="2"/>
  <x:c r="C580" i="2"/>
  <x:c r="B580" i="2"/>
  <x:c r="A580" i="2"/>
  <x:c r="E579" i="2"/>
  <x:c r="D579" i="2"/>
  <x:c r="C579" i="2"/>
  <x:c r="B579" i="2"/>
  <x:c r="A579" i="2"/>
  <x:c r="E578" i="2"/>
  <x:c r="D578" i="2"/>
  <x:c r="C578" i="2"/>
  <x:c r="B578" i="2"/>
  <x:c r="A578" i="2"/>
  <x:c r="E577" i="2"/>
  <x:c r="D577" i="2"/>
  <x:c r="C577" i="2"/>
  <x:c r="B577" i="2"/>
  <x:c r="A577" i="2"/>
  <x:c r="E576" i="2"/>
  <x:c r="D576" i="2"/>
  <x:c r="C576" i="2"/>
  <x:c r="B576" i="2"/>
  <x:c r="A576" i="2"/>
  <x:c r="E575" i="2"/>
  <x:c r="D575" i="2"/>
  <x:c r="C575" i="2"/>
  <x:c r="B575" i="2"/>
  <x:c r="A575" i="2"/>
  <x:c r="E574" i="2"/>
  <x:c r="D574" i="2"/>
  <x:c r="C574" i="2"/>
  <x:c r="B574" i="2"/>
  <x:c r="A574" i="2"/>
  <x:c r="E573" i="2"/>
  <x:c r="D573" i="2"/>
  <x:c r="C573" i="2"/>
  <x:c r="B573" i="2"/>
  <x:c r="A573" i="2"/>
  <x:c r="E572" i="2"/>
  <x:c r="D572" i="2"/>
  <x:c r="C572" i="2"/>
  <x:c r="B572" i="2"/>
  <x:c r="A572" i="2"/>
  <x:c r="E571" i="2"/>
  <x:c r="D571" i="2"/>
  <x:c r="C571" i="2"/>
  <x:c r="B571" i="2"/>
  <x:c r="A571" i="2"/>
  <x:c r="E570" i="2"/>
  <x:c r="D570" i="2"/>
  <x:c r="C570" i="2"/>
  <x:c r="B570" i="2"/>
  <x:c r="A570" i="2"/>
  <x:c r="E569" i="2"/>
  <x:c r="D569" i="2"/>
  <x:c r="C569" i="2"/>
  <x:c r="B569" i="2"/>
  <x:c r="A569" i="2"/>
  <x:c r="E568" i="2"/>
  <x:c r="D568" i="2"/>
  <x:c r="C568" i="2"/>
  <x:c r="B568" i="2"/>
  <x:c r="A568" i="2"/>
  <x:c r="E567" i="2"/>
  <x:c r="D567" i="2"/>
  <x:c r="C567" i="2"/>
  <x:c r="B567" i="2"/>
  <x:c r="A567" i="2"/>
  <x:c r="E566" i="2"/>
  <x:c r="D566" i="2"/>
  <x:c r="C566" i="2"/>
  <x:c r="B566" i="2"/>
  <x:c r="A566" i="2"/>
  <x:c r="E565" i="2"/>
  <x:c r="D565" i="2"/>
  <x:c r="C565" i="2"/>
  <x:c r="B565" i="2"/>
  <x:c r="A565" i="2"/>
  <x:c r="E564" i="2"/>
  <x:c r="D564" i="2"/>
  <x:c r="C564" i="2"/>
  <x:c r="B564" i="2"/>
  <x:c r="A564" i="2"/>
  <x:c r="E563" i="2"/>
  <x:c r="D563" i="2"/>
  <x:c r="C563" i="2"/>
  <x:c r="B563" i="2"/>
  <x:c r="A563" i="2"/>
  <x:c r="E562" i="2"/>
  <x:c r="D562" i="2"/>
  <x:c r="C562" i="2"/>
  <x:c r="B562" i="2"/>
  <x:c r="A562" i="2"/>
  <x:c r="E561" i="2"/>
  <x:c r="D561" i="2"/>
  <x:c r="C561" i="2"/>
  <x:c r="B561" i="2"/>
  <x:c r="A561" i="2"/>
  <x:c r="E560" i="2"/>
  <x:c r="D560" i="2"/>
  <x:c r="C560" i="2"/>
  <x:c r="B560" i="2"/>
  <x:c r="A560" i="2"/>
  <x:c r="E559" i="2"/>
  <x:c r="D559" i="2"/>
  <x:c r="C559" i="2"/>
  <x:c r="B559" i="2"/>
  <x:c r="A559" i="2"/>
  <x:c r="E558" i="2"/>
  <x:c r="D558" i="2"/>
  <x:c r="C558" i="2"/>
  <x:c r="B558" i="2"/>
  <x:c r="A558" i="2"/>
  <x:c r="E557" i="2"/>
  <x:c r="D557" i="2"/>
  <x:c r="C557" i="2"/>
  <x:c r="B557" i="2"/>
  <x:c r="A557" i="2"/>
  <x:c r="E556" i="2"/>
  <x:c r="D556" i="2"/>
  <x:c r="C556" i="2"/>
  <x:c r="B556" i="2"/>
  <x:c r="A556" i="2"/>
  <x:c r="E555" i="2"/>
  <x:c r="D555" i="2"/>
  <x:c r="C555" i="2"/>
  <x:c r="B555" i="2"/>
  <x:c r="A555" i="2"/>
  <x:c r="E554" i="2"/>
  <x:c r="D554" i="2"/>
  <x:c r="C554" i="2"/>
  <x:c r="B554" i="2"/>
  <x:c r="A554" i="2"/>
  <x:c r="E553" i="2"/>
  <x:c r="D553" i="2"/>
  <x:c r="C553" i="2"/>
  <x:c r="B553" i="2"/>
  <x:c r="A553" i="2"/>
  <x:c r="E552" i="2"/>
  <x:c r="D552" i="2"/>
  <x:c r="C552" i="2"/>
  <x:c r="B552" i="2"/>
  <x:c r="A552" i="2"/>
  <x:c r="E551" i="2"/>
  <x:c r="D551" i="2"/>
  <x:c r="C551" i="2"/>
  <x:c r="B551" i="2"/>
  <x:c r="A551" i="2"/>
  <x:c r="E550" i="2"/>
  <x:c r="D550" i="2"/>
  <x:c r="C550" i="2"/>
  <x:c r="B550" i="2"/>
  <x:c r="A550" i="2"/>
  <x:c r="E549" i="2"/>
  <x:c r="D549" i="2"/>
  <x:c r="C549" i="2"/>
  <x:c r="B549" i="2"/>
  <x:c r="A549" i="2"/>
  <x:c r="E548" i="2"/>
  <x:c r="D548" i="2"/>
  <x:c r="C548" i="2"/>
  <x:c r="B548" i="2"/>
  <x:c r="A548" i="2"/>
  <x:c r="E547" i="2"/>
  <x:c r="D547" i="2"/>
  <x:c r="C547" i="2"/>
  <x:c r="B547" i="2"/>
  <x:c r="A547" i="2"/>
  <x:c r="E546" i="2"/>
  <x:c r="D546" i="2"/>
  <x:c r="C546" i="2"/>
  <x:c r="B546" i="2"/>
  <x:c r="A546" i="2"/>
  <x:c r="E545" i="2"/>
  <x:c r="D545" i="2"/>
  <x:c r="C545" i="2"/>
  <x:c r="B545" i="2"/>
  <x:c r="A545" i="2"/>
  <x:c r="E544" i="2"/>
  <x:c r="D544" i="2"/>
  <x:c r="C544" i="2"/>
  <x:c r="B544" i="2"/>
  <x:c r="A544" i="2"/>
  <x:c r="E543" i="2"/>
  <x:c r="D543" i="2"/>
  <x:c r="C543" i="2"/>
  <x:c r="B543" i="2"/>
  <x:c r="A543" i="2"/>
  <x:c r="E542" i="2"/>
  <x:c r="D542" i="2"/>
  <x:c r="C542" i="2"/>
  <x:c r="B542" i="2"/>
  <x:c r="A542" i="2"/>
  <x:c r="E541" i="2"/>
  <x:c r="D541" i="2"/>
  <x:c r="C541" i="2"/>
  <x:c r="B541" i="2"/>
  <x:c r="A541" i="2"/>
  <x:c r="E540" i="2"/>
  <x:c r="D540" i="2"/>
  <x:c r="C540" i="2"/>
  <x:c r="B540" i="2"/>
  <x:c r="A540" i="2"/>
  <x:c r="E539" i="2"/>
  <x:c r="D539" i="2"/>
  <x:c r="C539" i="2"/>
  <x:c r="B539" i="2"/>
  <x:c r="A539" i="2"/>
  <x:c r="E538" i="2"/>
  <x:c r="D538" i="2"/>
  <x:c r="C538" i="2"/>
  <x:c r="B538" i="2"/>
  <x:c r="A538" i="2"/>
  <x:c r="E537" i="2"/>
  <x:c r="D537" i="2"/>
  <x:c r="C537" i="2"/>
  <x:c r="B537" i="2"/>
  <x:c r="A537" i="2"/>
  <x:c r="E536" i="2"/>
  <x:c r="D536" i="2"/>
  <x:c r="C536" i="2"/>
  <x:c r="B536" i="2"/>
  <x:c r="A536" i="2"/>
  <x:c r="E535" i="2"/>
  <x:c r="D535" i="2"/>
  <x:c r="C535" i="2"/>
  <x:c r="B535" i="2"/>
  <x:c r="A535" i="2"/>
  <x:c r="E534" i="2"/>
  <x:c r="D534" i="2"/>
  <x:c r="C534" i="2"/>
  <x:c r="B534" i="2"/>
  <x:c r="A534" i="2"/>
  <x:c r="E533" i="2"/>
  <x:c r="D533" i="2"/>
  <x:c r="C533" i="2"/>
  <x:c r="B533" i="2"/>
  <x:c r="A533" i="2"/>
  <x:c r="E532" i="2"/>
  <x:c r="D532" i="2"/>
  <x:c r="C532" i="2"/>
  <x:c r="B532" i="2"/>
  <x:c r="A532" i="2"/>
  <x:c r="E531" i="2"/>
  <x:c r="D531" i="2"/>
  <x:c r="C531" i="2"/>
  <x:c r="B531" i="2"/>
  <x:c r="A531" i="2"/>
  <x:c r="E530" i="2"/>
  <x:c r="D530" i="2"/>
  <x:c r="C530" i="2"/>
  <x:c r="B530" i="2"/>
  <x:c r="A530" i="2"/>
  <x:c r="E529" i="2"/>
  <x:c r="D529" i="2"/>
  <x:c r="C529" i="2"/>
  <x:c r="B529" i="2"/>
  <x:c r="A529" i="2"/>
  <x:c r="E528" i="2"/>
  <x:c r="D528" i="2"/>
  <x:c r="C528" i="2"/>
  <x:c r="B528" i="2"/>
  <x:c r="A528" i="2"/>
  <x:c r="E527" i="2"/>
  <x:c r="D527" i="2"/>
  <x:c r="C527" i="2"/>
  <x:c r="B527" i="2"/>
  <x:c r="A527" i="2"/>
  <x:c r="E526" i="2"/>
  <x:c r="D526" i="2"/>
  <x:c r="C526" i="2"/>
  <x:c r="B526" i="2"/>
  <x:c r="A526" i="2"/>
  <x:c r="E525" i="2"/>
  <x:c r="D525" i="2"/>
  <x:c r="C525" i="2"/>
  <x:c r="B525" i="2"/>
  <x:c r="A525" i="2"/>
  <x:c r="E524" i="2"/>
  <x:c r="D524" i="2"/>
  <x:c r="C524" i="2"/>
  <x:c r="B524" i="2"/>
  <x:c r="A524" i="2"/>
  <x:c r="E523" i="2"/>
  <x:c r="D523" i="2"/>
  <x:c r="C523" i="2"/>
  <x:c r="B523" i="2"/>
  <x:c r="A523" i="2"/>
  <x:c r="E522" i="2"/>
  <x:c r="D522" i="2"/>
  <x:c r="C522" i="2"/>
  <x:c r="B522" i="2"/>
  <x:c r="A522" i="2"/>
  <x:c r="E521" i="2"/>
  <x:c r="D521" i="2"/>
  <x:c r="C521" i="2"/>
  <x:c r="B521" i="2"/>
  <x:c r="A521" i="2"/>
  <x:c r="E520" i="2"/>
  <x:c r="D520" i="2"/>
  <x:c r="C520" i="2"/>
  <x:c r="B520" i="2"/>
  <x:c r="A520" i="2"/>
  <x:c r="E519" i="2"/>
  <x:c r="D519" i="2"/>
  <x:c r="C519" i="2"/>
  <x:c r="B519" i="2"/>
  <x:c r="A519" i="2"/>
  <x:c r="E518" i="2"/>
  <x:c r="D518" i="2"/>
  <x:c r="C518" i="2"/>
  <x:c r="B518" i="2"/>
  <x:c r="A518" i="2"/>
  <x:c r="E517" i="2"/>
  <x:c r="D517" i="2"/>
  <x:c r="C517" i="2"/>
  <x:c r="B517" i="2"/>
  <x:c r="A517" i="2"/>
  <x:c r="E516" i="2"/>
  <x:c r="D516" i="2"/>
  <x:c r="C516" i="2"/>
  <x:c r="B516" i="2"/>
  <x:c r="A516" i="2"/>
  <x:c r="E515" i="2"/>
  <x:c r="D515" i="2"/>
  <x:c r="C515" i="2"/>
  <x:c r="B515" i="2"/>
  <x:c r="A515" i="2"/>
  <x:c r="E514" i="2"/>
  <x:c r="D514" i="2"/>
  <x:c r="C514" i="2"/>
  <x:c r="B514" i="2"/>
  <x:c r="A514" i="2"/>
  <x:c r="E513" i="2"/>
  <x:c r="D513" i="2"/>
  <x:c r="C513" i="2"/>
  <x:c r="B513" i="2"/>
  <x:c r="A513" i="2"/>
  <x:c r="E512" i="2"/>
  <x:c r="D512" i="2"/>
  <x:c r="C512" i="2"/>
  <x:c r="B512" i="2"/>
  <x:c r="A512" i="2"/>
  <x:c r="E511" i="2"/>
  <x:c r="D511" i="2"/>
  <x:c r="C511" i="2"/>
  <x:c r="B511" i="2"/>
  <x:c r="A511" i="2"/>
  <x:c r="E510" i="2"/>
  <x:c r="D510" i="2"/>
  <x:c r="C510" i="2"/>
  <x:c r="B510" i="2"/>
  <x:c r="A510" i="2"/>
  <x:c r="E509" i="2"/>
  <x:c r="D509" i="2"/>
  <x:c r="C509" i="2"/>
  <x:c r="B509" i="2"/>
  <x:c r="A509" i="2"/>
  <x:c r="E508" i="2"/>
  <x:c r="D508" i="2"/>
  <x:c r="C508" i="2"/>
  <x:c r="B508" i="2"/>
  <x:c r="A508" i="2"/>
  <x:c r="E507" i="2"/>
  <x:c r="D507" i="2"/>
  <x:c r="C507" i="2"/>
  <x:c r="B507" i="2"/>
  <x:c r="A507" i="2"/>
  <x:c r="E506" i="2"/>
  <x:c r="D506" i="2"/>
  <x:c r="C506" i="2"/>
  <x:c r="B506" i="2"/>
  <x:c r="A506" i="2"/>
  <x:c r="E505" i="2"/>
  <x:c r="D505" i="2"/>
  <x:c r="C505" i="2"/>
  <x:c r="B505" i="2"/>
  <x:c r="A505" i="2"/>
  <x:c r="E504" i="2"/>
  <x:c r="D504" i="2"/>
  <x:c r="C504" i="2"/>
  <x:c r="B504" i="2"/>
  <x:c r="A504" i="2"/>
  <x:c r="E503" i="2"/>
  <x:c r="D503" i="2"/>
  <x:c r="C503" i="2"/>
  <x:c r="B503" i="2"/>
  <x:c r="A503" i="2"/>
  <x:c r="E502" i="2"/>
  <x:c r="D502" i="2"/>
  <x:c r="C502" i="2"/>
  <x:c r="B502" i="2"/>
  <x:c r="A502" i="2"/>
  <x:c r="E501" i="2"/>
  <x:c r="D501" i="2"/>
  <x:c r="C501" i="2"/>
  <x:c r="B501" i="2"/>
  <x:c r="A501" i="2"/>
  <x:c r="E500" i="2"/>
  <x:c r="D500" i="2"/>
  <x:c r="C500" i="2"/>
  <x:c r="B500" i="2"/>
  <x:c r="A500" i="2"/>
  <x:c r="E499" i="2"/>
  <x:c r="D499" i="2"/>
  <x:c r="C499" i="2"/>
  <x:c r="B499" i="2"/>
  <x:c r="A499" i="2"/>
  <x:c r="E498" i="2"/>
  <x:c r="D498" i="2"/>
  <x:c r="C498" i="2"/>
  <x:c r="B498" i="2"/>
  <x:c r="A498" i="2"/>
  <x:c r="E497" i="2"/>
  <x:c r="D497" i="2"/>
  <x:c r="C497" i="2"/>
  <x:c r="B497" i="2"/>
  <x:c r="A497" i="2"/>
  <x:c r="E496" i="2"/>
  <x:c r="D496" i="2"/>
  <x:c r="C496" i="2"/>
  <x:c r="B496" i="2"/>
  <x:c r="A496" i="2"/>
  <x:c r="E495" i="2"/>
  <x:c r="D495" i="2"/>
  <x:c r="C495" i="2"/>
  <x:c r="B495" i="2"/>
  <x:c r="A495" i="2"/>
  <x:c r="E494" i="2"/>
  <x:c r="D494" i="2"/>
  <x:c r="C494" i="2"/>
  <x:c r="B494" i="2"/>
  <x:c r="A494" i="2"/>
  <x:c r="E493" i="2"/>
  <x:c r="D493" i="2"/>
  <x:c r="C493" i="2"/>
  <x:c r="B493" i="2"/>
  <x:c r="A493" i="2"/>
  <x:c r="E492" i="2"/>
  <x:c r="D492" i="2"/>
  <x:c r="C492" i="2"/>
  <x:c r="B492" i="2"/>
  <x:c r="A492" i="2"/>
  <x:c r="E491" i="2"/>
  <x:c r="D491" i="2"/>
  <x:c r="C491" i="2"/>
  <x:c r="B491" i="2"/>
  <x:c r="A491" i="2"/>
  <x:c r="E490" i="2"/>
  <x:c r="D490" i="2"/>
  <x:c r="C490" i="2"/>
  <x:c r="B490" i="2"/>
  <x:c r="A490" i="2"/>
  <x:c r="E489" i="2"/>
  <x:c r="D489" i="2"/>
  <x:c r="C489" i="2"/>
  <x:c r="B489" i="2"/>
  <x:c r="A489" i="2"/>
  <x:c r="E488" i="2"/>
  <x:c r="D488" i="2"/>
  <x:c r="C488" i="2"/>
  <x:c r="B488" i="2"/>
  <x:c r="A488" i="2"/>
  <x:c r="E487" i="2"/>
  <x:c r="D487" i="2"/>
  <x:c r="C487" i="2"/>
  <x:c r="B487" i="2"/>
  <x:c r="A487" i="2"/>
  <x:c r="E486" i="2"/>
  <x:c r="D486" i="2"/>
  <x:c r="C486" i="2"/>
  <x:c r="B486" i="2"/>
  <x:c r="A486" i="2"/>
  <x:c r="E485" i="2"/>
  <x:c r="D485" i="2"/>
  <x:c r="C485" i="2"/>
  <x:c r="B485" i="2"/>
  <x:c r="A485" i="2"/>
  <x:c r="E484" i="2"/>
  <x:c r="D484" i="2"/>
  <x:c r="C484" i="2"/>
  <x:c r="B484" i="2"/>
  <x:c r="A484" i="2"/>
  <x:c r="E483" i="2"/>
  <x:c r="D483" i="2"/>
  <x:c r="C483" i="2"/>
  <x:c r="B483" i="2"/>
  <x:c r="A483" i="2"/>
  <x:c r="E482" i="2"/>
  <x:c r="D482" i="2"/>
  <x:c r="C482" i="2"/>
  <x:c r="B482" i="2"/>
  <x:c r="A482" i="2"/>
  <x:c r="E481" i="2"/>
  <x:c r="D481" i="2"/>
  <x:c r="C481" i="2"/>
  <x:c r="B481" i="2"/>
  <x:c r="A481" i="2"/>
  <x:c r="E480" i="2"/>
  <x:c r="D480" i="2"/>
  <x:c r="C480" i="2"/>
  <x:c r="B480" i="2"/>
  <x:c r="A480" i="2"/>
  <x:c r="E479" i="2"/>
  <x:c r="D479" i="2"/>
  <x:c r="C479" i="2"/>
  <x:c r="B479" i="2"/>
  <x:c r="A479" i="2"/>
  <x:c r="E478" i="2"/>
  <x:c r="D478" i="2"/>
  <x:c r="C478" i="2"/>
  <x:c r="B478" i="2"/>
  <x:c r="A478" i="2"/>
  <x:c r="E477" i="2"/>
  <x:c r="D477" i="2"/>
  <x:c r="C477" i="2"/>
  <x:c r="B477" i="2"/>
  <x:c r="A477" i="2"/>
  <x:c r="E476" i="2"/>
  <x:c r="D476" i="2"/>
  <x:c r="C476" i="2"/>
  <x:c r="B476" i="2"/>
  <x:c r="A476" i="2"/>
  <x:c r="E475" i="2"/>
  <x:c r="D475" i="2"/>
  <x:c r="C475" i="2"/>
  <x:c r="B475" i="2"/>
  <x:c r="A475" i="2"/>
  <x:c r="E474" i="2"/>
  <x:c r="D474" i="2"/>
  <x:c r="C474" i="2"/>
  <x:c r="B474" i="2"/>
  <x:c r="A474" i="2"/>
  <x:c r="E473" i="2"/>
  <x:c r="D473" i="2"/>
  <x:c r="C473" i="2"/>
  <x:c r="B473" i="2"/>
  <x:c r="A473" i="2"/>
  <x:c r="E472" i="2"/>
  <x:c r="D472" i="2"/>
  <x:c r="C472" i="2"/>
  <x:c r="B472" i="2"/>
  <x:c r="A472" i="2"/>
  <x:c r="E471" i="2"/>
  <x:c r="D471" i="2"/>
  <x:c r="C471" i="2"/>
  <x:c r="B471" i="2"/>
  <x:c r="A471" i="2"/>
  <x:c r="E470" i="2"/>
  <x:c r="D470" i="2"/>
  <x:c r="C470" i="2"/>
  <x:c r="B470" i="2"/>
  <x:c r="A470" i="2"/>
  <x:c r="E469" i="2"/>
  <x:c r="D469" i="2"/>
  <x:c r="C469" i="2"/>
  <x:c r="B469" i="2"/>
  <x:c r="A469" i="2"/>
  <x:c r="E468" i="2"/>
  <x:c r="D468" i="2"/>
  <x:c r="C468" i="2"/>
  <x:c r="B468" i="2"/>
  <x:c r="A468" i="2"/>
  <x:c r="E467" i="2"/>
  <x:c r="D467" i="2"/>
  <x:c r="C467" i="2"/>
  <x:c r="B467" i="2"/>
  <x:c r="A467" i="2"/>
  <x:c r="E466" i="2"/>
  <x:c r="D466" i="2"/>
  <x:c r="C466" i="2"/>
  <x:c r="B466" i="2"/>
  <x:c r="A466" i="2"/>
  <x:c r="E465" i="2"/>
  <x:c r="D465" i="2"/>
  <x:c r="C465" i="2"/>
  <x:c r="B465" i="2"/>
  <x:c r="A465" i="2"/>
  <x:c r="E464" i="2"/>
  <x:c r="D464" i="2"/>
  <x:c r="C464" i="2"/>
  <x:c r="B464" i="2"/>
  <x:c r="A464" i="2"/>
  <x:c r="E463" i="2"/>
  <x:c r="D463" i="2"/>
  <x:c r="C463" i="2"/>
  <x:c r="B463" i="2"/>
  <x:c r="A463" i="2"/>
  <x:c r="E462" i="2"/>
  <x:c r="D462" i="2"/>
  <x:c r="C462" i="2"/>
  <x:c r="B462" i="2"/>
  <x:c r="A462" i="2"/>
  <x:c r="E461" i="2"/>
  <x:c r="D461" i="2"/>
  <x:c r="C461" i="2"/>
  <x:c r="B461" i="2"/>
  <x:c r="A461" i="2"/>
  <x:c r="E460" i="2"/>
  <x:c r="D460" i="2"/>
  <x:c r="C460" i="2"/>
  <x:c r="B460" i="2"/>
  <x:c r="A460" i="2"/>
  <x:c r="E459" i="2"/>
  <x:c r="D459" i="2"/>
  <x:c r="C459" i="2"/>
  <x:c r="B459" i="2"/>
  <x:c r="A459" i="2"/>
  <x:c r="E458" i="2"/>
  <x:c r="D458" i="2"/>
  <x:c r="C458" i="2"/>
  <x:c r="B458" i="2"/>
  <x:c r="A458" i="2"/>
  <x:c r="E457" i="2"/>
  <x:c r="D457" i="2"/>
  <x:c r="C457" i="2"/>
  <x:c r="B457" i="2"/>
  <x:c r="A457" i="2"/>
  <x:c r="E456" i="2"/>
  <x:c r="D456" i="2"/>
  <x:c r="C456" i="2"/>
  <x:c r="B456" i="2"/>
  <x:c r="A456" i="2"/>
  <x:c r="E455" i="2"/>
  <x:c r="D455" i="2"/>
  <x:c r="C455" i="2"/>
  <x:c r="B455" i="2"/>
  <x:c r="A455" i="2"/>
  <x:c r="E454" i="2"/>
  <x:c r="D454" i="2"/>
  <x:c r="C454" i="2"/>
  <x:c r="B454" i="2"/>
  <x:c r="A454" i="2"/>
  <x:c r="E453" i="2"/>
  <x:c r="D453" i="2"/>
  <x:c r="C453" i="2"/>
  <x:c r="B453" i="2"/>
  <x:c r="A453" i="2"/>
  <x:c r="E452" i="2"/>
  <x:c r="D452" i="2"/>
  <x:c r="C452" i="2"/>
  <x:c r="B452" i="2"/>
  <x:c r="A452" i="2"/>
  <x:c r="E451" i="2"/>
  <x:c r="D451" i="2"/>
  <x:c r="C451" i="2"/>
  <x:c r="B451" i="2"/>
  <x:c r="A451" i="2"/>
  <x:c r="E450" i="2"/>
  <x:c r="D450" i="2"/>
  <x:c r="C450" i="2"/>
  <x:c r="B450" i="2"/>
  <x:c r="A450" i="2"/>
  <x:c r="E449" i="2"/>
  <x:c r="D449" i="2"/>
  <x:c r="C449" i="2"/>
  <x:c r="B449" i="2"/>
  <x:c r="A449" i="2"/>
  <x:c r="E448" i="2"/>
  <x:c r="D448" i="2"/>
  <x:c r="C448" i="2"/>
  <x:c r="B448" i="2"/>
  <x:c r="A448" i="2"/>
  <x:c r="E447" i="2"/>
  <x:c r="D447" i="2"/>
  <x:c r="C447" i="2"/>
  <x:c r="B447" i="2"/>
  <x:c r="A447" i="2"/>
  <x:c r="E446" i="2"/>
  <x:c r="D446" i="2"/>
  <x:c r="C446" i="2"/>
  <x:c r="B446" i="2"/>
  <x:c r="A446" i="2"/>
  <x:c r="E445" i="2"/>
  <x:c r="D445" i="2"/>
  <x:c r="C445" i="2"/>
  <x:c r="B445" i="2"/>
  <x:c r="A445" i="2"/>
  <x:c r="E444" i="2"/>
  <x:c r="D444" i="2"/>
  <x:c r="C444" i="2"/>
  <x:c r="B444" i="2"/>
  <x:c r="A444" i="2"/>
  <x:c r="E443" i="2"/>
  <x:c r="D443" i="2"/>
  <x:c r="C443" i="2"/>
  <x:c r="B443" i="2"/>
  <x:c r="A443" i="2"/>
  <x:c r="E442" i="2"/>
  <x:c r="D442" i="2"/>
  <x:c r="C442" i="2"/>
  <x:c r="B442" i="2"/>
  <x:c r="A442" i="2"/>
  <x:c r="E441" i="2"/>
  <x:c r="D441" i="2"/>
  <x:c r="C441" i="2"/>
  <x:c r="B441" i="2"/>
  <x:c r="A441" i="2"/>
  <x:c r="E440" i="2"/>
  <x:c r="D440" i="2"/>
  <x:c r="C440" i="2"/>
  <x:c r="B440" i="2"/>
  <x:c r="A440" i="2"/>
  <x:c r="E439" i="2"/>
  <x:c r="D439" i="2"/>
  <x:c r="C439" i="2"/>
  <x:c r="B439" i="2"/>
  <x:c r="A439" i="2"/>
  <x:c r="E438" i="2"/>
  <x:c r="D438" i="2"/>
  <x:c r="C438" i="2"/>
  <x:c r="B438" i="2"/>
  <x:c r="A438" i="2"/>
  <x:c r="E437" i="2"/>
  <x:c r="D437" i="2"/>
  <x:c r="C437" i="2"/>
  <x:c r="B437" i="2"/>
  <x:c r="A437" i="2"/>
  <x:c r="E436" i="2"/>
  <x:c r="D436" i="2"/>
  <x:c r="C436" i="2"/>
  <x:c r="B436" i="2"/>
  <x:c r="A436" i="2"/>
  <x:c r="E435" i="2"/>
  <x:c r="D435" i="2"/>
  <x:c r="C435" i="2"/>
  <x:c r="B435" i="2"/>
  <x:c r="A435" i="2"/>
  <x:c r="E434" i="2"/>
  <x:c r="D434" i="2"/>
  <x:c r="C434" i="2"/>
  <x:c r="B434" i="2"/>
  <x:c r="A434" i="2"/>
  <x:c r="E433" i="2"/>
  <x:c r="D433" i="2"/>
  <x:c r="C433" i="2"/>
  <x:c r="B433" i="2"/>
  <x:c r="A433" i="2"/>
  <x:c r="E432" i="2"/>
  <x:c r="D432" i="2"/>
  <x:c r="C432" i="2"/>
  <x:c r="B432" i="2"/>
  <x:c r="A432" i="2"/>
  <x:c r="E431" i="2"/>
  <x:c r="D431" i="2"/>
  <x:c r="C431" i="2"/>
  <x:c r="B431" i="2"/>
  <x:c r="A431" i="2"/>
  <x:c r="E430" i="2"/>
  <x:c r="D430" i="2"/>
  <x:c r="C430" i="2"/>
  <x:c r="B430" i="2"/>
  <x:c r="A430" i="2"/>
  <x:c r="E429" i="2"/>
  <x:c r="D429" i="2"/>
  <x:c r="C429" i="2"/>
  <x:c r="B429" i="2"/>
  <x:c r="A429" i="2"/>
  <x:c r="E428" i="2"/>
  <x:c r="D428" i="2"/>
  <x:c r="C428" i="2"/>
  <x:c r="B428" i="2"/>
  <x:c r="A428" i="2"/>
  <x:c r="E427" i="2"/>
  <x:c r="D427" i="2"/>
  <x:c r="C427" i="2"/>
  <x:c r="B427" i="2"/>
  <x:c r="A427" i="2"/>
  <x:c r="E426" i="2"/>
  <x:c r="D426" i="2"/>
  <x:c r="C426" i="2"/>
  <x:c r="B426" i="2"/>
  <x:c r="A426" i="2"/>
  <x:c r="E425" i="2"/>
  <x:c r="D425" i="2"/>
  <x:c r="C425" i="2"/>
  <x:c r="B425" i="2"/>
  <x:c r="A425" i="2"/>
  <x:c r="E424" i="2"/>
  <x:c r="D424" i="2"/>
  <x:c r="C424" i="2"/>
  <x:c r="B424" i="2"/>
  <x:c r="A424" i="2"/>
  <x:c r="E423" i="2"/>
  <x:c r="D423" i="2"/>
  <x:c r="C423" i="2"/>
  <x:c r="B423" i="2"/>
  <x:c r="A423" i="2"/>
  <x:c r="E422" i="2"/>
  <x:c r="D422" i="2"/>
  <x:c r="C422" i="2"/>
  <x:c r="B422" i="2"/>
  <x:c r="A422" i="2"/>
  <x:c r="E421" i="2"/>
  <x:c r="D421" i="2"/>
  <x:c r="C421" i="2"/>
  <x:c r="B421" i="2"/>
  <x:c r="A421" i="2"/>
  <x:c r="E420" i="2"/>
  <x:c r="D420" i="2"/>
  <x:c r="C420" i="2"/>
  <x:c r="B420" i="2"/>
  <x:c r="A420" i="2"/>
  <x:c r="E419" i="2"/>
  <x:c r="D419" i="2"/>
  <x:c r="C419" i="2"/>
  <x:c r="B419" i="2"/>
  <x:c r="A419" i="2"/>
  <x:c r="E418" i="2"/>
  <x:c r="D418" i="2"/>
  <x:c r="C418" i="2"/>
  <x:c r="B418" i="2"/>
  <x:c r="A418" i="2"/>
  <x:c r="E417" i="2"/>
  <x:c r="D417" i="2"/>
  <x:c r="C417" i="2"/>
  <x:c r="B417" i="2"/>
  <x:c r="A417" i="2"/>
  <x:c r="E416" i="2"/>
  <x:c r="D416" i="2"/>
  <x:c r="C416" i="2"/>
  <x:c r="B416" i="2"/>
  <x:c r="A416" i="2"/>
  <x:c r="E415" i="2"/>
  <x:c r="D415" i="2"/>
  <x:c r="C415" i="2"/>
  <x:c r="B415" i="2"/>
  <x:c r="A415" i="2"/>
  <x:c r="E414" i="2"/>
  <x:c r="D414" i="2"/>
  <x:c r="C414" i="2"/>
  <x:c r="B414" i="2"/>
  <x:c r="A414" i="2"/>
  <x:c r="E413" i="2"/>
  <x:c r="D413" i="2"/>
  <x:c r="C413" i="2"/>
  <x:c r="B413" i="2"/>
  <x:c r="A413" i="2"/>
  <x:c r="E412" i="2"/>
  <x:c r="D412" i="2"/>
  <x:c r="C412" i="2"/>
  <x:c r="B412" i="2"/>
  <x:c r="A412" i="2"/>
  <x:c r="E411" i="2"/>
  <x:c r="D411" i="2"/>
  <x:c r="C411" i="2"/>
  <x:c r="B411" i="2"/>
  <x:c r="A411" i="2"/>
  <x:c r="E410" i="2"/>
  <x:c r="D410" i="2"/>
  <x:c r="C410" i="2"/>
  <x:c r="B410" i="2"/>
  <x:c r="A410" i="2"/>
  <x:c r="E409" i="2"/>
  <x:c r="D409" i="2"/>
  <x:c r="C409" i="2"/>
  <x:c r="B409" i="2"/>
  <x:c r="A409" i="2"/>
  <x:c r="E408" i="2"/>
  <x:c r="D408" i="2"/>
  <x:c r="C408" i="2"/>
  <x:c r="B408" i="2"/>
  <x:c r="A408" i="2"/>
  <x:c r="E407" i="2"/>
  <x:c r="D407" i="2"/>
  <x:c r="C407" i="2"/>
  <x:c r="B407" i="2"/>
  <x:c r="A407" i="2"/>
  <x:c r="E406" i="2"/>
  <x:c r="D406" i="2"/>
  <x:c r="C406" i="2"/>
  <x:c r="B406" i="2"/>
  <x:c r="A406" i="2"/>
  <x:c r="E405" i="2"/>
  <x:c r="D405" i="2"/>
  <x:c r="C405" i="2"/>
  <x:c r="B405" i="2"/>
  <x:c r="A405" i="2"/>
  <x:c r="E404" i="2"/>
  <x:c r="D404" i="2"/>
  <x:c r="C404" i="2"/>
  <x:c r="B404" i="2"/>
  <x:c r="A404" i="2"/>
  <x:c r="E403" i="2"/>
  <x:c r="D403" i="2"/>
  <x:c r="C403" i="2"/>
  <x:c r="B403" i="2"/>
  <x:c r="A403" i="2"/>
  <x:c r="E402" i="2"/>
  <x:c r="D402" i="2"/>
  <x:c r="C402" i="2"/>
  <x:c r="B402" i="2"/>
  <x:c r="A402" i="2"/>
  <x:c r="E401" i="2"/>
  <x:c r="D401" i="2"/>
  <x:c r="C401" i="2"/>
  <x:c r="B401" i="2"/>
  <x:c r="A401" i="2"/>
  <x:c r="E400" i="2"/>
  <x:c r="D400" i="2"/>
  <x:c r="C400" i="2"/>
  <x:c r="B400" i="2"/>
  <x:c r="A400" i="2"/>
  <x:c r="E399" i="2"/>
  <x:c r="D399" i="2"/>
  <x:c r="C399" i="2"/>
  <x:c r="B399" i="2"/>
  <x:c r="A399" i="2"/>
  <x:c r="E398" i="2"/>
  <x:c r="D398" i="2"/>
  <x:c r="C398" i="2"/>
  <x:c r="B398" i="2"/>
  <x:c r="A398" i="2"/>
  <x:c r="E397" i="2"/>
  <x:c r="D397" i="2"/>
  <x:c r="C397" i="2"/>
  <x:c r="B397" i="2"/>
  <x:c r="A397" i="2"/>
  <x:c r="E396" i="2"/>
  <x:c r="D396" i="2"/>
  <x:c r="C396" i="2"/>
  <x:c r="B396" i="2"/>
  <x:c r="A396" i="2"/>
  <x:c r="E395" i="2"/>
  <x:c r="D395" i="2"/>
  <x:c r="C395" i="2"/>
  <x:c r="B395" i="2"/>
  <x:c r="A395" i="2"/>
  <x:c r="E394" i="2"/>
  <x:c r="D394" i="2"/>
  <x:c r="C394" i="2"/>
  <x:c r="B394" i="2"/>
  <x:c r="A394" i="2"/>
  <x:c r="E393" i="2"/>
  <x:c r="D393" i="2"/>
  <x:c r="C393" i="2"/>
  <x:c r="B393" i="2"/>
  <x:c r="A393" i="2"/>
  <x:c r="E392" i="2"/>
  <x:c r="D392" i="2"/>
  <x:c r="C392" i="2"/>
  <x:c r="B392" i="2"/>
  <x:c r="A392" i="2"/>
  <x:c r="E391" i="2"/>
  <x:c r="D391" i="2"/>
  <x:c r="C391" i="2"/>
  <x:c r="B391" i="2"/>
  <x:c r="A391" i="2"/>
  <x:c r="E390" i="2"/>
  <x:c r="D390" i="2"/>
  <x:c r="C390" i="2"/>
  <x:c r="B390" i="2"/>
  <x:c r="A390" i="2"/>
  <x:c r="E389" i="2"/>
  <x:c r="D389" i="2"/>
  <x:c r="C389" i="2"/>
  <x:c r="B389" i="2"/>
  <x:c r="A389" i="2"/>
  <x:c r="E388" i="2"/>
  <x:c r="D388" i="2"/>
  <x:c r="C388" i="2"/>
  <x:c r="B388" i="2"/>
  <x:c r="A388" i="2"/>
  <x:c r="E387" i="2"/>
  <x:c r="D387" i="2"/>
  <x:c r="C387" i="2"/>
  <x:c r="B387" i="2"/>
  <x:c r="A387" i="2"/>
  <x:c r="E386" i="2"/>
  <x:c r="D386" i="2"/>
  <x:c r="C386" i="2"/>
  <x:c r="B386" i="2"/>
  <x:c r="A386" i="2"/>
  <x:c r="E385" i="2"/>
  <x:c r="D385" i="2"/>
  <x:c r="C385" i="2"/>
  <x:c r="B385" i="2"/>
  <x:c r="A385" i="2"/>
  <x:c r="E384" i="2"/>
  <x:c r="D384" i="2"/>
  <x:c r="C384" i="2"/>
  <x:c r="B384" i="2"/>
  <x:c r="A384" i="2"/>
  <x:c r="E383" i="2"/>
  <x:c r="D383" i="2"/>
  <x:c r="C383" i="2"/>
  <x:c r="B383" i="2"/>
  <x:c r="A383" i="2"/>
  <x:c r="E382" i="2"/>
  <x:c r="D382" i="2"/>
  <x:c r="C382" i="2"/>
  <x:c r="B382" i="2"/>
  <x:c r="A382" i="2"/>
  <x:c r="E381" i="2"/>
  <x:c r="D381" i="2"/>
  <x:c r="C381" i="2"/>
  <x:c r="B381" i="2"/>
  <x:c r="A381" i="2"/>
  <x:c r="E380" i="2"/>
  <x:c r="D380" i="2"/>
  <x:c r="C380" i="2"/>
  <x:c r="B380" i="2"/>
  <x:c r="A380" i="2"/>
  <x:c r="E379" i="2"/>
  <x:c r="D379" i="2"/>
  <x:c r="C379" i="2"/>
  <x:c r="B379" i="2"/>
  <x:c r="A379" i="2"/>
  <x:c r="E378" i="2"/>
  <x:c r="D378" i="2"/>
  <x:c r="C378" i="2"/>
  <x:c r="B378" i="2"/>
  <x:c r="A378" i="2"/>
  <x:c r="E377" i="2"/>
  <x:c r="D377" i="2"/>
  <x:c r="C377" i="2"/>
  <x:c r="B377" i="2"/>
  <x:c r="A377" i="2"/>
  <x:c r="E376" i="2"/>
  <x:c r="D376" i="2"/>
  <x:c r="C376" i="2"/>
  <x:c r="B376" i="2"/>
  <x:c r="A376" i="2"/>
  <x:c r="E375" i="2"/>
  <x:c r="D375" i="2"/>
  <x:c r="C375" i="2"/>
  <x:c r="B375" i="2"/>
  <x:c r="A375" i="2"/>
  <x:c r="E374" i="2"/>
  <x:c r="D374" i="2"/>
  <x:c r="C374" i="2"/>
  <x:c r="B374" i="2"/>
  <x:c r="A374" i="2"/>
  <x:c r="E373" i="2"/>
  <x:c r="D373" i="2"/>
  <x:c r="C373" i="2"/>
  <x:c r="B373" i="2"/>
  <x:c r="A373" i="2"/>
  <x:c r="E372" i="2"/>
  <x:c r="D372" i="2"/>
  <x:c r="C372" i="2"/>
  <x:c r="B372" i="2"/>
  <x:c r="A372" i="2"/>
  <x:c r="E371" i="2"/>
  <x:c r="D371" i="2"/>
  <x:c r="C371" i="2"/>
  <x:c r="B371" i="2"/>
  <x:c r="A371" i="2"/>
  <x:c r="E370" i="2"/>
  <x:c r="D370" i="2"/>
  <x:c r="C370" i="2"/>
  <x:c r="B370" i="2"/>
  <x:c r="A370" i="2"/>
  <x:c r="E369" i="2"/>
  <x:c r="D369" i="2"/>
  <x:c r="C369" i="2"/>
  <x:c r="B369" i="2"/>
  <x:c r="A369" i="2"/>
  <x:c r="E368" i="2"/>
  <x:c r="D368" i="2"/>
  <x:c r="C368" i="2"/>
  <x:c r="B368" i="2"/>
  <x:c r="A368" i="2"/>
  <x:c r="E367" i="2"/>
  <x:c r="D367" i="2"/>
  <x:c r="C367" i="2"/>
  <x:c r="B367" i="2"/>
  <x:c r="A367" i="2"/>
  <x:c r="E366" i="2"/>
  <x:c r="D366" i="2"/>
  <x:c r="C366" i="2"/>
  <x:c r="B366" i="2"/>
  <x:c r="A366" i="2"/>
  <x:c r="E365" i="2"/>
  <x:c r="D365" i="2"/>
  <x:c r="C365" i="2"/>
  <x:c r="B365" i="2"/>
  <x:c r="A365" i="2"/>
  <x:c r="E364" i="2"/>
  <x:c r="D364" i="2"/>
  <x:c r="C364" i="2"/>
  <x:c r="B364" i="2"/>
  <x:c r="A364" i="2"/>
  <x:c r="E363" i="2"/>
  <x:c r="D363" i="2"/>
  <x:c r="C363" i="2"/>
  <x:c r="B363" i="2"/>
  <x:c r="A363" i="2"/>
  <x:c r="E362" i="2"/>
  <x:c r="D362" i="2"/>
  <x:c r="C362" i="2"/>
  <x:c r="B362" i="2"/>
  <x:c r="A362" i="2"/>
  <x:c r="E361" i="2"/>
  <x:c r="D361" i="2"/>
  <x:c r="C361" i="2"/>
  <x:c r="B361" i="2"/>
  <x:c r="A361" i="2"/>
  <x:c r="E360" i="2"/>
  <x:c r="D360" i="2"/>
  <x:c r="C360" i="2"/>
  <x:c r="B360" i="2"/>
  <x:c r="A360" i="2"/>
  <x:c r="E359" i="2"/>
  <x:c r="D359" i="2"/>
  <x:c r="C359" i="2"/>
  <x:c r="B359" i="2"/>
  <x:c r="A359" i="2"/>
  <x:c r="E358" i="2"/>
  <x:c r="D358" i="2"/>
  <x:c r="C358" i="2"/>
  <x:c r="B358" i="2"/>
  <x:c r="A358" i="2"/>
  <x:c r="E357" i="2"/>
  <x:c r="D357" i="2"/>
  <x:c r="C357" i="2"/>
  <x:c r="B357" i="2"/>
  <x:c r="A357" i="2"/>
  <x:c r="E356" i="2"/>
  <x:c r="D356" i="2"/>
  <x:c r="C356" i="2"/>
  <x:c r="B356" i="2"/>
  <x:c r="A356" i="2"/>
  <x:c r="E355" i="2"/>
  <x:c r="D355" i="2"/>
  <x:c r="C355" i="2"/>
  <x:c r="B355" i="2"/>
  <x:c r="A355" i="2"/>
  <x:c r="E354" i="2"/>
  <x:c r="D354" i="2"/>
  <x:c r="C354" i="2"/>
  <x:c r="B354" i="2"/>
  <x:c r="A354" i="2"/>
  <x:c r="E353" i="2"/>
  <x:c r="D353" i="2"/>
  <x:c r="C353" i="2"/>
  <x:c r="B353" i="2"/>
  <x:c r="A353" i="2"/>
  <x:c r="E352" i="2"/>
  <x:c r="D352" i="2"/>
  <x:c r="C352" i="2"/>
  <x:c r="B352" i="2"/>
  <x:c r="A352" i="2"/>
  <x:c r="E351" i="2"/>
  <x:c r="D351" i="2"/>
  <x:c r="C351" i="2"/>
  <x:c r="B351" i="2"/>
  <x:c r="A351" i="2"/>
  <x:c r="E350" i="2"/>
  <x:c r="D350" i="2"/>
  <x:c r="C350" i="2"/>
  <x:c r="B350" i="2"/>
  <x:c r="A350" i="2"/>
  <x:c r="E349" i="2"/>
  <x:c r="D349" i="2"/>
  <x:c r="C349" i="2"/>
  <x:c r="B349" i="2"/>
  <x:c r="A349" i="2"/>
  <x:c r="E348" i="2"/>
  <x:c r="D348" i="2"/>
  <x:c r="C348" i="2"/>
  <x:c r="B348" i="2"/>
  <x:c r="A348" i="2"/>
  <x:c r="E347" i="2"/>
  <x:c r="D347" i="2"/>
  <x:c r="C347" i="2"/>
  <x:c r="B347" i="2"/>
  <x:c r="A347" i="2"/>
  <x:c r="E346" i="2"/>
  <x:c r="D346" i="2"/>
  <x:c r="C346" i="2"/>
  <x:c r="B346" i="2"/>
  <x:c r="A346" i="2"/>
  <x:c r="E345" i="2"/>
  <x:c r="D345" i="2"/>
  <x:c r="C345" i="2"/>
  <x:c r="B345" i="2"/>
  <x:c r="A345" i="2"/>
  <x:c r="E344" i="2"/>
  <x:c r="D344" i="2"/>
  <x:c r="C344" i="2"/>
  <x:c r="B344" i="2"/>
  <x:c r="A344" i="2"/>
  <x:c r="E343" i="2"/>
  <x:c r="D343" i="2"/>
  <x:c r="C343" i="2"/>
  <x:c r="B343" i="2"/>
  <x:c r="A343" i="2"/>
  <x:c r="E342" i="2"/>
  <x:c r="D342" i="2"/>
  <x:c r="C342" i="2"/>
  <x:c r="B342" i="2"/>
  <x:c r="A342" i="2"/>
  <x:c r="E341" i="2"/>
  <x:c r="D341" i="2"/>
  <x:c r="C341" i="2"/>
  <x:c r="B341" i="2"/>
  <x:c r="A341" i="2"/>
  <x:c r="E340" i="2"/>
  <x:c r="D340" i="2"/>
  <x:c r="C340" i="2"/>
  <x:c r="B340" i="2"/>
  <x:c r="A340" i="2"/>
  <x:c r="E339" i="2"/>
  <x:c r="D339" i="2"/>
  <x:c r="C339" i="2"/>
  <x:c r="B339" i="2"/>
  <x:c r="A339" i="2"/>
  <x:c r="E338" i="2"/>
  <x:c r="D338" i="2"/>
  <x:c r="C338" i="2"/>
  <x:c r="B338" i="2"/>
  <x:c r="A338" i="2"/>
  <x:c r="E337" i="2"/>
  <x:c r="D337" i="2"/>
  <x:c r="C337" i="2"/>
  <x:c r="B337" i="2"/>
  <x:c r="A337" i="2"/>
  <x:c r="E336" i="2"/>
  <x:c r="D336" i="2"/>
  <x:c r="C336" i="2"/>
  <x:c r="B336" i="2"/>
  <x:c r="A336" i="2"/>
  <x:c r="E335" i="2"/>
  <x:c r="D335" i="2"/>
  <x:c r="C335" i="2"/>
  <x:c r="B335" i="2"/>
  <x:c r="A335" i="2"/>
  <x:c r="E334" i="2"/>
  <x:c r="D334" i="2"/>
  <x:c r="C334" i="2"/>
  <x:c r="B334" i="2"/>
  <x:c r="A334" i="2"/>
  <x:c r="E333" i="2"/>
  <x:c r="D333" i="2"/>
  <x:c r="C333" i="2"/>
  <x:c r="B333" i="2"/>
  <x:c r="A333" i="2"/>
  <x:c r="E332" i="2"/>
  <x:c r="D332" i="2"/>
  <x:c r="C332" i="2"/>
  <x:c r="B332" i="2"/>
  <x:c r="A332" i="2"/>
  <x:c r="E331" i="2"/>
  <x:c r="D331" i="2"/>
  <x:c r="C331" i="2"/>
  <x:c r="B331" i="2"/>
  <x:c r="A331" i="2"/>
  <x:c r="E330" i="2"/>
  <x:c r="D330" i="2"/>
  <x:c r="C330" i="2"/>
  <x:c r="B330" i="2"/>
  <x:c r="A330" i="2"/>
  <x:c r="E329" i="2"/>
  <x:c r="D329" i="2"/>
  <x:c r="C329" i="2"/>
  <x:c r="B329" i="2"/>
  <x:c r="A329" i="2"/>
  <x:c r="E328" i="2"/>
  <x:c r="D328" i="2"/>
  <x:c r="C328" i="2"/>
  <x:c r="B328" i="2"/>
  <x:c r="A328" i="2"/>
  <x:c r="E327" i="2"/>
  <x:c r="D327" i="2"/>
  <x:c r="C327" i="2"/>
  <x:c r="B327" i="2"/>
  <x:c r="A327" i="2"/>
  <x:c r="E326" i="2"/>
  <x:c r="D326" i="2"/>
  <x:c r="C326" i="2"/>
  <x:c r="B326" i="2"/>
  <x:c r="A326" i="2"/>
  <x:c r="E325" i="2"/>
  <x:c r="D325" i="2"/>
  <x:c r="C325" i="2"/>
  <x:c r="B325" i="2"/>
  <x:c r="A325" i="2"/>
  <x:c r="E324" i="2"/>
  <x:c r="D324" i="2"/>
  <x:c r="C324" i="2"/>
  <x:c r="B324" i="2"/>
  <x:c r="A324" i="2"/>
  <x:c r="E323" i="2"/>
  <x:c r="D323" i="2"/>
  <x:c r="C323" i="2"/>
  <x:c r="B323" i="2"/>
  <x:c r="A323" i="2"/>
  <x:c r="E322" i="2"/>
  <x:c r="D322" i="2"/>
  <x:c r="C322" i="2"/>
  <x:c r="B322" i="2"/>
  <x:c r="A322" i="2"/>
  <x:c r="E321" i="2"/>
  <x:c r="D321" i="2"/>
  <x:c r="C321" i="2"/>
  <x:c r="B321" i="2"/>
  <x:c r="A321" i="2"/>
  <x:c r="E320" i="2"/>
  <x:c r="D320" i="2"/>
  <x:c r="C320" i="2"/>
  <x:c r="B320" i="2"/>
  <x:c r="A320" i="2"/>
  <x:c r="E319" i="2"/>
  <x:c r="D319" i="2"/>
  <x:c r="C319" i="2"/>
  <x:c r="B319" i="2"/>
  <x:c r="A319" i="2"/>
  <x:c r="E318" i="2"/>
  <x:c r="D318" i="2"/>
  <x:c r="C318" i="2"/>
  <x:c r="B318" i="2"/>
  <x:c r="A318" i="2"/>
  <x:c r="E317" i="2"/>
  <x:c r="D317" i="2"/>
  <x:c r="C317" i="2"/>
  <x:c r="B317" i="2"/>
  <x:c r="A317" i="2"/>
  <x:c r="E316" i="2"/>
  <x:c r="D316" i="2"/>
  <x:c r="C316" i="2"/>
  <x:c r="B316" i="2"/>
  <x:c r="A316" i="2"/>
  <x:c r="E315" i="2"/>
  <x:c r="D315" i="2"/>
  <x:c r="C315" i="2"/>
  <x:c r="B315" i="2"/>
  <x:c r="A315" i="2"/>
  <x:c r="E314" i="2"/>
  <x:c r="D314" i="2"/>
  <x:c r="C314" i="2"/>
  <x:c r="B314" i="2"/>
  <x:c r="A314" i="2"/>
  <x:c r="E313" i="2"/>
  <x:c r="D313" i="2"/>
  <x:c r="C313" i="2"/>
  <x:c r="B313" i="2"/>
  <x:c r="A313" i="2"/>
  <x:c r="E312" i="2"/>
  <x:c r="D312" i="2"/>
  <x:c r="C312" i="2"/>
  <x:c r="B312" i="2"/>
  <x:c r="A312" i="2"/>
  <x:c r="E311" i="2"/>
  <x:c r="D311" i="2"/>
  <x:c r="C311" i="2"/>
  <x:c r="B311" i="2"/>
  <x:c r="A311" i="2"/>
  <x:c r="E310" i="2"/>
  <x:c r="D310" i="2"/>
  <x:c r="C310" i="2"/>
  <x:c r="B310" i="2"/>
  <x:c r="A310" i="2"/>
  <x:c r="E309" i="2"/>
  <x:c r="D309" i="2"/>
  <x:c r="C309" i="2"/>
  <x:c r="B309" i="2"/>
  <x:c r="A309" i="2"/>
  <x:c r="E308" i="2"/>
  <x:c r="D308" i="2"/>
  <x:c r="C308" i="2"/>
  <x:c r="B308" i="2"/>
  <x:c r="A308" i="2"/>
  <x:c r="E307" i="2"/>
  <x:c r="D307" i="2"/>
  <x:c r="C307" i="2"/>
  <x:c r="B307" i="2"/>
  <x:c r="A307" i="2"/>
  <x:c r="E306" i="2"/>
  <x:c r="D306" i="2"/>
  <x:c r="C306" i="2"/>
  <x:c r="B306" i="2"/>
  <x:c r="A306" i="2"/>
  <x:c r="E305" i="2"/>
  <x:c r="D305" i="2"/>
  <x:c r="C305" i="2"/>
  <x:c r="B305" i="2"/>
  <x:c r="A305" i="2"/>
  <x:c r="E304" i="2"/>
  <x:c r="D304" i="2"/>
  <x:c r="C304" i="2"/>
  <x:c r="B304" i="2"/>
  <x:c r="A304" i="2"/>
  <x:c r="E303" i="2"/>
  <x:c r="D303" i="2"/>
  <x:c r="C303" i="2"/>
  <x:c r="B303" i="2"/>
  <x:c r="A303" i="2"/>
  <x:c r="E302" i="2"/>
  <x:c r="D302" i="2"/>
  <x:c r="C302" i="2"/>
  <x:c r="B302" i="2"/>
  <x:c r="A302" i="2"/>
  <x:c r="E301" i="2"/>
  <x:c r="D301" i="2"/>
  <x:c r="C301" i="2"/>
  <x:c r="B301" i="2"/>
  <x:c r="A301" i="2"/>
  <x:c r="E300" i="2"/>
  <x:c r="D300" i="2"/>
  <x:c r="C300" i="2"/>
  <x:c r="B300" i="2"/>
  <x:c r="A300" i="2"/>
  <x:c r="E299" i="2"/>
  <x:c r="D299" i="2"/>
  <x:c r="C299" i="2"/>
  <x:c r="B299" i="2"/>
  <x:c r="A299" i="2"/>
  <x:c r="E298" i="2"/>
  <x:c r="D298" i="2"/>
  <x:c r="C298" i="2"/>
  <x:c r="B298" i="2"/>
  <x:c r="A298" i="2"/>
  <x:c r="E297" i="2"/>
  <x:c r="D297" i="2"/>
  <x:c r="C297" i="2"/>
  <x:c r="B297" i="2"/>
  <x:c r="A297" i="2"/>
  <x:c r="E296" i="2"/>
  <x:c r="D296" i="2"/>
  <x:c r="C296" i="2"/>
  <x:c r="B296" i="2"/>
  <x:c r="A296" i="2"/>
  <x:c r="E295" i="2"/>
  <x:c r="D295" i="2"/>
  <x:c r="C295" i="2"/>
  <x:c r="B295" i="2"/>
  <x:c r="A295" i="2"/>
  <x:c r="E294" i="2"/>
  <x:c r="D294" i="2"/>
  <x:c r="C294" i="2"/>
  <x:c r="B294" i="2"/>
  <x:c r="A294" i="2"/>
  <x:c r="E293" i="2"/>
  <x:c r="D293" i="2"/>
  <x:c r="C293" i="2"/>
  <x:c r="B293" i="2"/>
  <x:c r="A293" i="2"/>
  <x:c r="E292" i="2"/>
  <x:c r="D292" i="2"/>
  <x:c r="C292" i="2"/>
  <x:c r="B292" i="2"/>
  <x:c r="A292" i="2"/>
  <x:c r="E291" i="2"/>
  <x:c r="D291" i="2"/>
  <x:c r="C291" i="2"/>
  <x:c r="B291" i="2"/>
  <x:c r="A291" i="2"/>
  <x:c r="E290" i="2"/>
  <x:c r="D290" i="2"/>
  <x:c r="C290" i="2"/>
  <x:c r="B290" i="2"/>
  <x:c r="A290" i="2"/>
  <x:c r="E289" i="2"/>
  <x:c r="D289" i="2"/>
  <x:c r="C289" i="2"/>
  <x:c r="B289" i="2"/>
  <x:c r="A289" i="2"/>
  <x:c r="E288" i="2"/>
  <x:c r="D288" i="2"/>
  <x:c r="C288" i="2"/>
  <x:c r="B288" i="2"/>
  <x:c r="A288" i="2"/>
  <x:c r="E287" i="2"/>
  <x:c r="D287" i="2"/>
  <x:c r="C287" i="2"/>
  <x:c r="B287" i="2"/>
  <x:c r="A287" i="2"/>
  <x:c r="E286" i="2"/>
  <x:c r="D286" i="2"/>
  <x:c r="C286" i="2"/>
  <x:c r="B286" i="2"/>
  <x:c r="A286" i="2"/>
  <x:c r="E285" i="2"/>
  <x:c r="D285" i="2"/>
  <x:c r="C285" i="2"/>
  <x:c r="B285" i="2"/>
  <x:c r="A285" i="2"/>
  <x:c r="E284" i="2"/>
  <x:c r="D284" i="2"/>
  <x:c r="C284" i="2"/>
  <x:c r="B284" i="2"/>
  <x:c r="A284" i="2"/>
  <x:c r="E283" i="2"/>
  <x:c r="D283" i="2"/>
  <x:c r="C283" i="2"/>
  <x:c r="B283" i="2"/>
  <x:c r="A283" i="2"/>
  <x:c r="E282" i="2"/>
  <x:c r="D282" i="2"/>
  <x:c r="C282" i="2"/>
  <x:c r="B282" i="2"/>
  <x:c r="A282" i="2"/>
  <x:c r="E281" i="2"/>
  <x:c r="D281" i="2"/>
  <x:c r="C281" i="2"/>
  <x:c r="B281" i="2"/>
  <x:c r="A281" i="2"/>
  <x:c r="E280" i="2"/>
  <x:c r="D280" i="2"/>
  <x:c r="C280" i="2"/>
  <x:c r="B280" i="2"/>
  <x:c r="A280" i="2"/>
  <x:c r="E279" i="2"/>
  <x:c r="D279" i="2"/>
  <x:c r="C279" i="2"/>
  <x:c r="B279" i="2"/>
  <x:c r="A279" i="2"/>
  <x:c r="E278" i="2"/>
  <x:c r="D278" i="2"/>
  <x:c r="C278" i="2"/>
  <x:c r="B278" i="2"/>
  <x:c r="A278" i="2"/>
  <x:c r="E277" i="2"/>
  <x:c r="D277" i="2"/>
  <x:c r="C277" i="2"/>
  <x:c r="B277" i="2"/>
  <x:c r="A277" i="2"/>
  <x:c r="E276" i="2"/>
  <x:c r="D276" i="2"/>
  <x:c r="C276" i="2"/>
  <x:c r="B276" i="2"/>
  <x:c r="A276" i="2"/>
  <x:c r="E275" i="2"/>
  <x:c r="D275" i="2"/>
  <x:c r="C275" i="2"/>
  <x:c r="B275" i="2"/>
  <x:c r="A275" i="2"/>
  <x:c r="E274" i="2"/>
  <x:c r="D274" i="2"/>
  <x:c r="C274" i="2"/>
  <x:c r="B274" i="2"/>
  <x:c r="A274" i="2"/>
  <x:c r="E273" i="2"/>
  <x:c r="D273" i="2"/>
  <x:c r="C273" i="2"/>
  <x:c r="B273" i="2"/>
  <x:c r="A273" i="2"/>
  <x:c r="E272" i="2"/>
  <x:c r="D272" i="2"/>
  <x:c r="C272" i="2"/>
  <x:c r="B272" i="2"/>
  <x:c r="A272" i="2"/>
  <x:c r="E271" i="2"/>
  <x:c r="D271" i="2"/>
  <x:c r="C271" i="2"/>
  <x:c r="B271" i="2"/>
  <x:c r="A271" i="2"/>
  <x:c r="E270" i="2"/>
  <x:c r="D270" i="2"/>
  <x:c r="C270" i="2"/>
  <x:c r="B270" i="2"/>
  <x:c r="A270" i="2"/>
  <x:c r="E269" i="2"/>
  <x:c r="D269" i="2"/>
  <x:c r="C269" i="2"/>
  <x:c r="B269" i="2"/>
  <x:c r="A269" i="2"/>
  <x:c r="E268" i="2"/>
  <x:c r="D268" i="2"/>
  <x:c r="C268" i="2"/>
  <x:c r="B268" i="2"/>
  <x:c r="A268" i="2"/>
  <x:c r="E267" i="2"/>
  <x:c r="D267" i="2"/>
  <x:c r="C267" i="2"/>
  <x:c r="B267" i="2"/>
  <x:c r="A267" i="2"/>
  <x:c r="E266" i="2"/>
  <x:c r="D266" i="2"/>
  <x:c r="C266" i="2"/>
  <x:c r="B266" i="2"/>
  <x:c r="A266" i="2"/>
  <x:c r="E265" i="2"/>
  <x:c r="D265" i="2"/>
  <x:c r="C265" i="2"/>
  <x:c r="B265" i="2"/>
  <x:c r="A265" i="2"/>
  <x:c r="E264" i="2"/>
  <x:c r="D264" i="2"/>
  <x:c r="C264" i="2"/>
  <x:c r="B264" i="2"/>
  <x:c r="A264" i="2"/>
  <x:c r="E263" i="2"/>
  <x:c r="D263" i="2"/>
  <x:c r="C263" i="2"/>
  <x:c r="B263" i="2"/>
  <x:c r="A263" i="2"/>
  <x:c r="E262" i="2"/>
  <x:c r="D262" i="2"/>
  <x:c r="C262" i="2"/>
  <x:c r="B262" i="2"/>
  <x:c r="A262" i="2"/>
  <x:c r="E261" i="2"/>
  <x:c r="D261" i="2"/>
  <x:c r="C261" i="2"/>
  <x:c r="B261" i="2"/>
  <x:c r="A261" i="2"/>
  <x:c r="E260" i="2"/>
  <x:c r="D260" i="2"/>
  <x:c r="C260" i="2"/>
  <x:c r="B260" i="2"/>
  <x:c r="A260" i="2"/>
  <x:c r="E259" i="2"/>
  <x:c r="D259" i="2"/>
  <x:c r="C259" i="2"/>
  <x:c r="B259" i="2"/>
  <x:c r="A259" i="2"/>
  <x:c r="E258" i="2"/>
  <x:c r="D258" i="2"/>
  <x:c r="C258" i="2"/>
  <x:c r="B258" i="2"/>
  <x:c r="A258" i="2"/>
  <x:c r="E257" i="2"/>
  <x:c r="D257" i="2"/>
  <x:c r="C257" i="2"/>
  <x:c r="B257" i="2"/>
  <x:c r="A257" i="2"/>
  <x:c r="E256" i="2"/>
  <x:c r="D256" i="2"/>
  <x:c r="C256" i="2"/>
  <x:c r="B256" i="2"/>
  <x:c r="A256" i="2"/>
  <x:c r="E255" i="2"/>
  <x:c r="D255" i="2"/>
  <x:c r="C255" i="2"/>
  <x:c r="B255" i="2"/>
  <x:c r="A255" i="2"/>
  <x:c r="E254" i="2"/>
  <x:c r="D254" i="2"/>
  <x:c r="C254" i="2"/>
  <x:c r="B254" i="2"/>
  <x:c r="A254" i="2"/>
  <x:c r="E253" i="2"/>
  <x:c r="D253" i="2"/>
  <x:c r="C253" i="2"/>
  <x:c r="B253" i="2"/>
  <x:c r="A253" i="2"/>
  <x:c r="E252" i="2"/>
  <x:c r="D252" i="2"/>
  <x:c r="C252" i="2"/>
  <x:c r="B252" i="2"/>
  <x:c r="A252" i="2"/>
  <x:c r="E251" i="2"/>
  <x:c r="D251" i="2"/>
  <x:c r="C251" i="2"/>
  <x:c r="B251" i="2"/>
  <x:c r="A251" i="2"/>
  <x:c r="E250" i="2"/>
  <x:c r="D250" i="2"/>
  <x:c r="C250" i="2"/>
  <x:c r="B250" i="2"/>
  <x:c r="A250" i="2"/>
  <x:c r="E249" i="2"/>
  <x:c r="D249" i="2"/>
  <x:c r="C249" i="2"/>
  <x:c r="B249" i="2"/>
  <x:c r="A249" i="2"/>
  <x:c r="E248" i="2"/>
  <x:c r="D248" i="2"/>
  <x:c r="C248" i="2"/>
  <x:c r="B248" i="2"/>
  <x:c r="A248" i="2"/>
  <x:c r="E247" i="2"/>
  <x:c r="D247" i="2"/>
  <x:c r="C247" i="2"/>
  <x:c r="B247" i="2"/>
  <x:c r="A247" i="2"/>
  <x:c r="E246" i="2"/>
  <x:c r="D246" i="2"/>
  <x:c r="C246" i="2"/>
  <x:c r="B246" i="2"/>
  <x:c r="A246" i="2"/>
  <x:c r="E245" i="2"/>
  <x:c r="D245" i="2"/>
  <x:c r="C245" i="2"/>
  <x:c r="B245" i="2"/>
  <x:c r="A245" i="2"/>
  <x:c r="E244" i="2"/>
  <x:c r="D244" i="2"/>
  <x:c r="C244" i="2"/>
  <x:c r="B244" i="2"/>
  <x:c r="A244" i="2"/>
  <x:c r="E243" i="2"/>
  <x:c r="D243" i="2"/>
  <x:c r="C243" i="2"/>
  <x:c r="B243" i="2"/>
  <x:c r="A243" i="2"/>
  <x:c r="E242" i="2"/>
  <x:c r="D242" i="2"/>
  <x:c r="C242" i="2"/>
  <x:c r="B242" i="2"/>
  <x:c r="A242" i="2"/>
  <x:c r="E241" i="2"/>
  <x:c r="D241" i="2"/>
  <x:c r="C241" i="2"/>
  <x:c r="B241" i="2"/>
  <x:c r="A241" i="2"/>
  <x:c r="E240" i="2"/>
  <x:c r="D240" i="2"/>
  <x:c r="C240" i="2"/>
  <x:c r="B240" i="2"/>
  <x:c r="A240" i="2"/>
  <x:c r="E239" i="2"/>
  <x:c r="D239" i="2"/>
  <x:c r="C239" i="2"/>
  <x:c r="B239" i="2"/>
  <x:c r="A239" i="2"/>
  <x:c r="E238" i="2"/>
  <x:c r="D238" i="2"/>
  <x:c r="C238" i="2"/>
  <x:c r="B238" i="2"/>
  <x:c r="A238" i="2"/>
  <x:c r="E237" i="2"/>
  <x:c r="D237" i="2"/>
  <x:c r="C237" i="2"/>
  <x:c r="B237" i="2"/>
  <x:c r="A237" i="2"/>
  <x:c r="E236" i="2"/>
  <x:c r="D236" i="2"/>
  <x:c r="C236" i="2"/>
  <x:c r="B236" i="2"/>
  <x:c r="A236" i="2"/>
  <x:c r="E235" i="2"/>
  <x:c r="D235" i="2"/>
  <x:c r="C235" i="2"/>
  <x:c r="B235" i="2"/>
  <x:c r="A235" i="2"/>
  <x:c r="E234" i="2"/>
  <x:c r="D234" i="2"/>
  <x:c r="C234" i="2"/>
  <x:c r="B234" i="2"/>
  <x:c r="A234" i="2"/>
  <x:c r="E233" i="2"/>
  <x:c r="D233" i="2"/>
  <x:c r="C233" i="2"/>
  <x:c r="B233" i="2"/>
  <x:c r="A233" i="2"/>
  <x:c r="E232" i="2"/>
  <x:c r="D232" i="2"/>
  <x:c r="C232" i="2"/>
  <x:c r="B232" i="2"/>
  <x:c r="A232" i="2"/>
  <x:c r="E231" i="2"/>
  <x:c r="D231" i="2"/>
  <x:c r="C231" i="2"/>
  <x:c r="B231" i="2"/>
  <x:c r="A231" i="2"/>
  <x:c r="E230" i="2"/>
  <x:c r="D230" i="2"/>
  <x:c r="C230" i="2"/>
  <x:c r="B230" i="2"/>
  <x:c r="A230" i="2"/>
  <x:c r="E229" i="2"/>
  <x:c r="D229" i="2"/>
  <x:c r="C229" i="2"/>
  <x:c r="B229" i="2"/>
  <x:c r="A229" i="2"/>
  <x:c r="E228" i="2"/>
  <x:c r="D228" i="2"/>
  <x:c r="C228" i="2"/>
  <x:c r="B228" i="2"/>
  <x:c r="A228" i="2"/>
  <x:c r="E227" i="2"/>
  <x:c r="D227" i="2"/>
  <x:c r="C227" i="2"/>
  <x:c r="B227" i="2"/>
  <x:c r="A227" i="2"/>
  <x:c r="E226" i="2"/>
  <x:c r="D226" i="2"/>
  <x:c r="C226" i="2"/>
  <x:c r="B226" i="2"/>
  <x:c r="A226" i="2"/>
  <x:c r="E225" i="2"/>
  <x:c r="D225" i="2"/>
  <x:c r="C225" i="2"/>
  <x:c r="B225" i="2"/>
  <x:c r="A225" i="2"/>
  <x:c r="E224" i="2"/>
  <x:c r="D224" i="2"/>
  <x:c r="C224" i="2"/>
  <x:c r="B224" i="2"/>
  <x:c r="A224" i="2"/>
  <x:c r="E223" i="2"/>
  <x:c r="D223" i="2"/>
  <x:c r="C223" i="2"/>
  <x:c r="B223" i="2"/>
  <x:c r="A223" i="2"/>
  <x:c r="E222" i="2"/>
  <x:c r="D222" i="2"/>
  <x:c r="C222" i="2"/>
  <x:c r="B222" i="2"/>
  <x:c r="A222" i="2"/>
  <x:c r="E221" i="2"/>
  <x:c r="D221" i="2"/>
  <x:c r="C221" i="2"/>
  <x:c r="B221" i="2"/>
  <x:c r="A221" i="2"/>
  <x:c r="E220" i="2"/>
  <x:c r="D220" i="2"/>
  <x:c r="C220" i="2"/>
  <x:c r="B220" i="2"/>
  <x:c r="A220" i="2"/>
  <x:c r="E219" i="2"/>
  <x:c r="D219" i="2"/>
  <x:c r="C219" i="2"/>
  <x:c r="B219" i="2"/>
  <x:c r="A219" i="2"/>
  <x:c r="E218" i="2"/>
  <x:c r="D218" i="2"/>
  <x:c r="C218" i="2"/>
  <x:c r="B218" i="2"/>
  <x:c r="A218" i="2"/>
  <x:c r="E217" i="2"/>
  <x:c r="D217" i="2"/>
  <x:c r="C217" i="2"/>
  <x:c r="B217" i="2"/>
  <x:c r="A217" i="2"/>
  <x:c r="E216" i="2"/>
  <x:c r="D216" i="2"/>
  <x:c r="C216" i="2"/>
  <x:c r="B216" i="2"/>
  <x:c r="A216" i="2"/>
  <x:c r="E215" i="2"/>
  <x:c r="D215" i="2"/>
  <x:c r="C215" i="2"/>
  <x:c r="B215" i="2"/>
  <x:c r="A215" i="2"/>
  <x:c r="E214" i="2"/>
  <x:c r="D214" i="2"/>
  <x:c r="C214" i="2"/>
  <x:c r="B214" i="2"/>
  <x:c r="A214" i="2"/>
  <x:c r="E213" i="2"/>
  <x:c r="D213" i="2"/>
  <x:c r="C213" i="2"/>
  <x:c r="B213" i="2"/>
  <x:c r="A213" i="2"/>
  <x:c r="E212" i="2"/>
  <x:c r="D212" i="2"/>
  <x:c r="C212" i="2"/>
  <x:c r="B212" i="2"/>
  <x:c r="A212" i="2"/>
  <x:c r="E211" i="2"/>
  <x:c r="D211" i="2"/>
  <x:c r="C211" i="2"/>
  <x:c r="B211" i="2"/>
  <x:c r="A211" i="2"/>
  <x:c r="E210" i="2"/>
  <x:c r="D210" i="2"/>
  <x:c r="C210" i="2"/>
  <x:c r="B210" i="2"/>
  <x:c r="A210" i="2"/>
  <x:c r="E209" i="2"/>
  <x:c r="D209" i="2"/>
  <x:c r="C209" i="2"/>
  <x:c r="B209" i="2"/>
  <x:c r="A209" i="2"/>
  <x:c r="E208" i="2"/>
  <x:c r="D208" i="2"/>
  <x:c r="C208" i="2"/>
  <x:c r="B208" i="2"/>
  <x:c r="A208" i="2"/>
  <x:c r="E207" i="2"/>
  <x:c r="D207" i="2"/>
  <x:c r="C207" i="2"/>
  <x:c r="B207" i="2"/>
  <x:c r="A207" i="2"/>
  <x:c r="E206" i="2"/>
  <x:c r="D206" i="2"/>
  <x:c r="C206" i="2"/>
  <x:c r="B206" i="2"/>
  <x:c r="A206" i="2"/>
  <x:c r="E205" i="2"/>
  <x:c r="D205" i="2"/>
  <x:c r="C205" i="2"/>
  <x:c r="B205" i="2"/>
  <x:c r="A205" i="2"/>
  <x:c r="E204" i="2"/>
  <x:c r="D204" i="2"/>
  <x:c r="C204" i="2"/>
  <x:c r="B204" i="2"/>
  <x:c r="A204" i="2"/>
  <x:c r="E203" i="2"/>
  <x:c r="D203" i="2"/>
  <x:c r="C203" i="2"/>
  <x:c r="B203" i="2"/>
  <x:c r="A203" i="2"/>
  <x:c r="E202" i="2"/>
  <x:c r="D202" i="2"/>
  <x:c r="C202" i="2"/>
  <x:c r="B202" i="2"/>
  <x:c r="A202" i="2"/>
  <x:c r="E201" i="2"/>
  <x:c r="D201" i="2"/>
  <x:c r="C201" i="2"/>
  <x:c r="B201" i="2"/>
  <x:c r="A201" i="2"/>
  <x:c r="E200" i="2"/>
  <x:c r="D200" i="2"/>
  <x:c r="C200" i="2"/>
  <x:c r="B200" i="2"/>
  <x:c r="A200" i="2"/>
  <x:c r="E199" i="2"/>
  <x:c r="D199" i="2"/>
  <x:c r="C199" i="2"/>
  <x:c r="B199" i="2"/>
  <x:c r="A199" i="2"/>
  <x:c r="E198" i="2"/>
  <x:c r="D198" i="2"/>
  <x:c r="C198" i="2"/>
  <x:c r="B198" i="2"/>
  <x:c r="A198" i="2"/>
  <x:c r="E197" i="2"/>
  <x:c r="D197" i="2"/>
  <x:c r="C197" i="2"/>
  <x:c r="B197" i="2"/>
  <x:c r="A197" i="2"/>
  <x:c r="E196" i="2"/>
  <x:c r="D196" i="2"/>
  <x:c r="C196" i="2"/>
  <x:c r="B196" i="2"/>
  <x:c r="A196" i="2"/>
  <x:c r="E195" i="2"/>
  <x:c r="D195" i="2"/>
  <x:c r="C195" i="2"/>
  <x:c r="B195" i="2"/>
  <x:c r="A195" i="2"/>
  <x:c r="E194" i="2"/>
  <x:c r="D194" i="2"/>
  <x:c r="C194" i="2"/>
  <x:c r="B194" i="2"/>
  <x:c r="A194" i="2"/>
  <x:c r="E193" i="2"/>
  <x:c r="D193" i="2"/>
  <x:c r="C193" i="2"/>
  <x:c r="B193" i="2"/>
  <x:c r="A193" i="2"/>
  <x:c r="E192" i="2"/>
  <x:c r="D192" i="2"/>
  <x:c r="C192" i="2"/>
  <x:c r="B192" i="2"/>
  <x:c r="A192" i="2"/>
  <x:c r="E191" i="2"/>
  <x:c r="D191" i="2"/>
  <x:c r="C191" i="2"/>
  <x:c r="B191" i="2"/>
  <x:c r="A191" i="2"/>
  <x:c r="E190" i="2"/>
  <x:c r="D190" i="2"/>
  <x:c r="C190" i="2"/>
  <x:c r="B190" i="2"/>
  <x:c r="A190" i="2"/>
  <x:c r="E189" i="2"/>
  <x:c r="D189" i="2"/>
  <x:c r="C189" i="2"/>
  <x:c r="B189" i="2"/>
  <x:c r="A189" i="2"/>
  <x:c r="E188" i="2"/>
  <x:c r="D188" i="2"/>
  <x:c r="C188" i="2"/>
  <x:c r="B188" i="2"/>
  <x:c r="A188" i="2"/>
  <x:c r="E187" i="2"/>
  <x:c r="D187" i="2"/>
  <x:c r="C187" i="2"/>
  <x:c r="B187" i="2"/>
  <x:c r="A187" i="2"/>
  <x:c r="E186" i="2"/>
  <x:c r="D186" i="2"/>
  <x:c r="C186" i="2"/>
  <x:c r="B186" i="2"/>
  <x:c r="A186" i="2"/>
  <x:c r="E185" i="2"/>
  <x:c r="D185" i="2"/>
  <x:c r="C185" i="2"/>
  <x:c r="B185" i="2"/>
  <x:c r="A185" i="2"/>
  <x:c r="E184" i="2"/>
  <x:c r="D184" i="2"/>
  <x:c r="C184" i="2"/>
  <x:c r="B184" i="2"/>
  <x:c r="A184" i="2"/>
  <x:c r="E183" i="2"/>
  <x:c r="D183" i="2"/>
  <x:c r="C183" i="2"/>
  <x:c r="B183" i="2"/>
  <x:c r="A183" i="2"/>
  <x:c r="E182" i="2"/>
  <x:c r="D182" i="2"/>
  <x:c r="C182" i="2"/>
  <x:c r="B182" i="2"/>
  <x:c r="A182" i="2"/>
  <x:c r="E181" i="2"/>
  <x:c r="D181" i="2"/>
  <x:c r="C181" i="2"/>
  <x:c r="B181" i="2"/>
  <x:c r="A181" i="2"/>
  <x:c r="E180" i="2"/>
  <x:c r="D180" i="2"/>
  <x:c r="C180" i="2"/>
  <x:c r="B180" i="2"/>
  <x:c r="A180" i="2"/>
  <x:c r="E179" i="2"/>
  <x:c r="D179" i="2"/>
  <x:c r="C179" i="2"/>
  <x:c r="B179" i="2"/>
  <x:c r="A179" i="2"/>
  <x:c r="E178" i="2"/>
  <x:c r="D178" i="2"/>
  <x:c r="C178" i="2"/>
  <x:c r="B178" i="2"/>
  <x:c r="A178" i="2"/>
  <x:c r="E177" i="2"/>
  <x:c r="D177" i="2"/>
  <x:c r="C177" i="2"/>
  <x:c r="B177" i="2"/>
  <x:c r="A177" i="2"/>
  <x:c r="E176" i="2"/>
  <x:c r="D176" i="2"/>
  <x:c r="C176" i="2"/>
  <x:c r="B176" i="2"/>
  <x:c r="A176" i="2"/>
  <x:c r="E175" i="2"/>
  <x:c r="D175" i="2"/>
  <x:c r="C175" i="2"/>
  <x:c r="B175" i="2"/>
  <x:c r="A175" i="2"/>
  <x:c r="E174" i="2"/>
  <x:c r="D174" i="2"/>
  <x:c r="C174" i="2"/>
  <x:c r="B174" i="2"/>
  <x:c r="A174" i="2"/>
  <x:c r="E173" i="2"/>
  <x:c r="D173" i="2"/>
  <x:c r="C173" i="2"/>
  <x:c r="B173" i="2"/>
  <x:c r="A173" i="2"/>
  <x:c r="E172" i="2"/>
  <x:c r="D172" i="2"/>
  <x:c r="C172" i="2"/>
  <x:c r="B172" i="2"/>
  <x:c r="A172" i="2"/>
  <x:c r="E171" i="2"/>
  <x:c r="D171" i="2"/>
  <x:c r="C171" i="2"/>
  <x:c r="B171" i="2"/>
  <x:c r="A171" i="2"/>
  <x:c r="E170" i="2"/>
  <x:c r="D170" i="2"/>
  <x:c r="C170" i="2"/>
  <x:c r="B170" i="2"/>
  <x:c r="A170" i="2"/>
  <x:c r="E169" i="2"/>
  <x:c r="D169" i="2"/>
  <x:c r="C169" i="2"/>
  <x:c r="B169" i="2"/>
  <x:c r="A169" i="2"/>
  <x:c r="E168" i="2"/>
  <x:c r="D168" i="2"/>
  <x:c r="C168" i="2"/>
  <x:c r="B168" i="2"/>
  <x:c r="A168" i="2"/>
  <x:c r="E167" i="2"/>
  <x:c r="D167" i="2"/>
  <x:c r="C167" i="2"/>
  <x:c r="B167" i="2"/>
  <x:c r="A167" i="2"/>
  <x:c r="E166" i="2"/>
  <x:c r="D166" i="2"/>
  <x:c r="C166" i="2"/>
  <x:c r="B166" i="2"/>
  <x:c r="A166" i="2"/>
  <x:c r="E165" i="2"/>
  <x:c r="D165" i="2"/>
  <x:c r="C165" i="2"/>
  <x:c r="B165" i="2"/>
  <x:c r="A165" i="2"/>
  <x:c r="E164" i="2"/>
  <x:c r="D164" i="2"/>
  <x:c r="C164" i="2"/>
  <x:c r="B164" i="2"/>
  <x:c r="A164" i="2"/>
  <x:c r="E163" i="2"/>
  <x:c r="D163" i="2"/>
  <x:c r="C163" i="2"/>
  <x:c r="B163" i="2"/>
  <x:c r="A163" i="2"/>
  <x:c r="E162" i="2"/>
  <x:c r="D162" i="2"/>
  <x:c r="C162" i="2"/>
  <x:c r="B162" i="2"/>
  <x:c r="A162" i="2"/>
  <x:c r="E161" i="2"/>
  <x:c r="D161" i="2"/>
  <x:c r="C161" i="2"/>
  <x:c r="B161" i="2"/>
  <x:c r="A161" i="2"/>
  <x:c r="E160" i="2"/>
  <x:c r="D160" i="2"/>
  <x:c r="C160" i="2"/>
  <x:c r="B160" i="2"/>
  <x:c r="A160" i="2"/>
  <x:c r="E159" i="2"/>
  <x:c r="D159" i="2"/>
  <x:c r="C159" i="2"/>
  <x:c r="B159" i="2"/>
  <x:c r="A159" i="2"/>
  <x:c r="E158" i="2"/>
  <x:c r="D158" i="2"/>
  <x:c r="C158" i="2"/>
  <x:c r="B158" i="2"/>
  <x:c r="A158" i="2"/>
  <x:c r="E157" i="2"/>
  <x:c r="D157" i="2"/>
  <x:c r="C157" i="2"/>
  <x:c r="B157" i="2"/>
  <x:c r="A157" i="2"/>
  <x:c r="E156" i="2"/>
  <x:c r="D156" i="2"/>
  <x:c r="C156" i="2"/>
  <x:c r="B156" i="2"/>
  <x:c r="A156" i="2"/>
  <x:c r="E155" i="2"/>
  <x:c r="D155" i="2"/>
  <x:c r="C155" i="2"/>
  <x:c r="B155" i="2"/>
  <x:c r="A155" i="2"/>
  <x:c r="E154" i="2"/>
  <x:c r="D154" i="2"/>
  <x:c r="C154" i="2"/>
  <x:c r="B154" i="2"/>
  <x:c r="A154" i="2"/>
  <x:c r="E153" i="2"/>
  <x:c r="D153" i="2"/>
  <x:c r="C153" i="2"/>
  <x:c r="B153" i="2"/>
  <x:c r="A153" i="2"/>
  <x:c r="E152" i="2"/>
  <x:c r="D152" i="2"/>
  <x:c r="C152" i="2"/>
  <x:c r="B152" i="2"/>
  <x:c r="A152" i="2"/>
  <x:c r="E151" i="2"/>
  <x:c r="D151" i="2"/>
  <x:c r="C151" i="2"/>
  <x:c r="B151" i="2"/>
  <x:c r="A151" i="2"/>
  <x:c r="E150" i="2"/>
  <x:c r="D150" i="2"/>
  <x:c r="C150" i="2"/>
  <x:c r="B150" i="2"/>
  <x:c r="A150" i="2"/>
  <x:c r="E149" i="2"/>
  <x:c r="D149" i="2"/>
  <x:c r="C149" i="2"/>
  <x:c r="B149" i="2"/>
  <x:c r="A149" i="2"/>
  <x:c r="E148" i="2"/>
  <x:c r="D148" i="2"/>
  <x:c r="C148" i="2"/>
  <x:c r="B148" i="2"/>
  <x:c r="A148" i="2"/>
  <x:c r="E147" i="2"/>
  <x:c r="D147" i="2"/>
  <x:c r="C147" i="2"/>
  <x:c r="B147" i="2"/>
  <x:c r="A147" i="2"/>
  <x:c r="E146" i="2"/>
  <x:c r="D146" i="2"/>
  <x:c r="C146" i="2"/>
  <x:c r="B146" i="2"/>
  <x:c r="A146" i="2"/>
  <x:c r="E145" i="2"/>
  <x:c r="D145" i="2"/>
  <x:c r="C145" i="2"/>
  <x:c r="B145" i="2"/>
  <x:c r="A145" i="2"/>
  <x:c r="E144" i="2"/>
  <x:c r="D144" i="2"/>
  <x:c r="C144" i="2"/>
  <x:c r="B144" i="2"/>
  <x:c r="A144" i="2"/>
  <x:c r="E143" i="2"/>
  <x:c r="D143" i="2"/>
  <x:c r="C143" i="2"/>
  <x:c r="B143" i="2"/>
  <x:c r="A143" i="2"/>
  <x:c r="E142" i="2"/>
  <x:c r="D142" i="2"/>
  <x:c r="C142" i="2"/>
  <x:c r="B142" i="2"/>
  <x:c r="A142" i="2"/>
  <x:c r="E141" i="2"/>
  <x:c r="D141" i="2"/>
  <x:c r="C141" i="2"/>
  <x:c r="B141" i="2"/>
  <x:c r="A141" i="2"/>
  <x:c r="E140" i="2"/>
  <x:c r="D140" i="2"/>
  <x:c r="C140" i="2"/>
  <x:c r="B140" i="2"/>
  <x:c r="A140" i="2"/>
  <x:c r="E139" i="2"/>
  <x:c r="D139" i="2"/>
  <x:c r="C139" i="2"/>
  <x:c r="B139" i="2"/>
  <x:c r="A139" i="2"/>
  <x:c r="E138" i="2"/>
  <x:c r="D138" i="2"/>
  <x:c r="C138" i="2"/>
  <x:c r="B138" i="2"/>
  <x:c r="A138" i="2"/>
  <x:c r="E137" i="2"/>
  <x:c r="D137" i="2"/>
  <x:c r="C137" i="2"/>
  <x:c r="B137" i="2"/>
  <x:c r="A137" i="2"/>
  <x:c r="E136" i="2"/>
  <x:c r="D136" i="2"/>
  <x:c r="C136" i="2"/>
  <x:c r="B136" i="2"/>
  <x:c r="A136" i="2"/>
  <x:c r="E135" i="2"/>
  <x:c r="D135" i="2"/>
  <x:c r="C135" i="2"/>
  <x:c r="B135" i="2"/>
  <x:c r="A135" i="2"/>
  <x:c r="E134" i="2"/>
  <x:c r="D134" i="2"/>
  <x:c r="C134" i="2"/>
  <x:c r="B134" i="2"/>
  <x:c r="A134" i="2"/>
  <x:c r="E133" i="2"/>
  <x:c r="D133" i="2"/>
  <x:c r="C133" i="2"/>
  <x:c r="B133" i="2"/>
  <x:c r="A133" i="2"/>
  <x:c r="E132" i="2"/>
  <x:c r="D132" i="2"/>
  <x:c r="C132" i="2"/>
  <x:c r="B132" i="2"/>
  <x:c r="A132" i="2"/>
  <x:c r="E131" i="2"/>
  <x:c r="D131" i="2"/>
  <x:c r="C131" i="2"/>
  <x:c r="B131" i="2"/>
  <x:c r="A131" i="2"/>
  <x:c r="E130" i="2"/>
  <x:c r="D130" i="2"/>
  <x:c r="C130" i="2"/>
  <x:c r="B130" i="2"/>
  <x:c r="A130" i="2"/>
  <x:c r="E129" i="2"/>
  <x:c r="D129" i="2"/>
  <x:c r="C129" i="2"/>
  <x:c r="B129" i="2"/>
  <x:c r="A129" i="2"/>
  <x:c r="E128" i="2"/>
  <x:c r="D128" i="2"/>
  <x:c r="C128" i="2"/>
  <x:c r="B128" i="2"/>
  <x:c r="A128" i="2"/>
  <x:c r="E127" i="2"/>
  <x:c r="D127" i="2"/>
  <x:c r="C127" i="2"/>
  <x:c r="B127" i="2"/>
  <x:c r="A127" i="2"/>
  <x:c r="E126" i="2"/>
  <x:c r="D126" i="2"/>
  <x:c r="C126" i="2"/>
  <x:c r="B126" i="2"/>
  <x:c r="A126" i="2"/>
  <x:c r="E125" i="2"/>
  <x:c r="D125" i="2"/>
  <x:c r="C125" i="2"/>
  <x:c r="B125" i="2"/>
  <x:c r="A125" i="2"/>
  <x:c r="E124" i="2"/>
  <x:c r="D124" i="2"/>
  <x:c r="C124" i="2"/>
  <x:c r="B124" i="2"/>
  <x:c r="A124" i="2"/>
  <x:c r="E123" i="2"/>
  <x:c r="D123" i="2"/>
  <x:c r="C123" i="2"/>
  <x:c r="B123" i="2"/>
  <x:c r="A123" i="2"/>
  <x:c r="E122" i="2"/>
  <x:c r="D122" i="2"/>
  <x:c r="C122" i="2"/>
  <x:c r="B122" i="2"/>
  <x:c r="A122" i="2"/>
  <x:c r="E121" i="2"/>
  <x:c r="D121" i="2"/>
  <x:c r="C121" i="2"/>
  <x:c r="B121" i="2"/>
  <x:c r="A121" i="2"/>
  <x:c r="E120" i="2"/>
  <x:c r="D120" i="2"/>
  <x:c r="C120" i="2"/>
  <x:c r="B120" i="2"/>
  <x:c r="A120" i="2"/>
  <x:c r="E119" i="2"/>
  <x:c r="D119" i="2"/>
  <x:c r="C119" i="2"/>
  <x:c r="B119" i="2"/>
  <x:c r="A119" i="2"/>
  <x:c r="E118" i="2"/>
  <x:c r="D118" i="2"/>
  <x:c r="C118" i="2"/>
  <x:c r="B118" i="2"/>
  <x:c r="A118" i="2"/>
  <x:c r="E117" i="2"/>
  <x:c r="D117" i="2"/>
  <x:c r="C117" i="2"/>
  <x:c r="B117" i="2"/>
  <x:c r="A117" i="2"/>
  <x:c r="E116" i="2"/>
  <x:c r="D116" i="2"/>
  <x:c r="C116" i="2"/>
  <x:c r="B116" i="2"/>
  <x:c r="A116" i="2"/>
  <x:c r="E115" i="2"/>
  <x:c r="D115" i="2"/>
  <x:c r="C115" i="2"/>
  <x:c r="B115" i="2"/>
  <x:c r="A115" i="2"/>
  <x:c r="E114" i="2"/>
  <x:c r="D114" i="2"/>
  <x:c r="C114" i="2"/>
  <x:c r="B114" i="2"/>
  <x:c r="A114" i="2"/>
  <x:c r="E113" i="2"/>
  <x:c r="D113" i="2"/>
  <x:c r="C113" i="2"/>
  <x:c r="B113" i="2"/>
  <x:c r="A113" i="2"/>
  <x:c r="E112" i="2"/>
  <x:c r="D112" i="2"/>
  <x:c r="C112" i="2"/>
  <x:c r="B112" i="2"/>
  <x:c r="A112" i="2"/>
  <x:c r="E111" i="2"/>
  <x:c r="D111" i="2"/>
  <x:c r="C111" i="2"/>
  <x:c r="B111" i="2"/>
  <x:c r="A111" i="2"/>
  <x:c r="E110" i="2"/>
  <x:c r="D110" i="2"/>
  <x:c r="C110" i="2"/>
  <x:c r="B110" i="2"/>
  <x:c r="A110" i="2"/>
  <x:c r="E109" i="2"/>
  <x:c r="D109" i="2"/>
  <x:c r="C109" i="2"/>
  <x:c r="B109" i="2"/>
  <x:c r="A109" i="2"/>
  <x:c r="E108" i="2"/>
  <x:c r="D108" i="2"/>
  <x:c r="C108" i="2"/>
  <x:c r="B108" i="2"/>
  <x:c r="A108" i="2"/>
  <x:c r="E107" i="2"/>
  <x:c r="D107" i="2"/>
  <x:c r="C107" i="2"/>
  <x:c r="B107" i="2"/>
  <x:c r="A107" i="2"/>
  <x:c r="E106" i="2"/>
  <x:c r="D106" i="2"/>
  <x:c r="C106" i="2"/>
  <x:c r="B106" i="2"/>
  <x:c r="A106" i="2"/>
  <x:c r="E105" i="2"/>
  <x:c r="D105" i="2"/>
  <x:c r="C105" i="2"/>
  <x:c r="B105" i="2"/>
  <x:c r="A105" i="2"/>
  <x:c r="E104" i="2"/>
  <x:c r="D104" i="2"/>
  <x:c r="C104" i="2"/>
  <x:c r="B104" i="2"/>
  <x:c r="A104" i="2"/>
  <x:c r="E103" i="2"/>
  <x:c r="D103" i="2"/>
  <x:c r="C103" i="2"/>
  <x:c r="B103" i="2"/>
  <x:c r="A103" i="2"/>
  <x:c r="E102" i="2"/>
  <x:c r="D102" i="2"/>
  <x:c r="C102" i="2"/>
  <x:c r="B102" i="2"/>
  <x:c r="A102" i="2"/>
  <x:c r="E101" i="2"/>
  <x:c r="D101" i="2"/>
  <x:c r="C101" i="2"/>
  <x:c r="B101" i="2"/>
  <x:c r="A101" i="2"/>
  <x:c r="E100" i="2"/>
  <x:c r="D100" i="2"/>
  <x:c r="C100" i="2"/>
  <x:c r="B100" i="2"/>
  <x:c r="A100" i="2"/>
  <x:c r="E99" i="2"/>
  <x:c r="D99" i="2"/>
  <x:c r="C99" i="2"/>
  <x:c r="B99" i="2"/>
  <x:c r="A99" i="2"/>
  <x:c r="E98" i="2"/>
  <x:c r="D98" i="2"/>
  <x:c r="C98" i="2"/>
  <x:c r="B98" i="2"/>
  <x:c r="A98" i="2"/>
  <x:c r="E97" i="2"/>
  <x:c r="D97" i="2"/>
  <x:c r="C97" i="2"/>
  <x:c r="B97" i="2"/>
  <x:c r="A97" i="2"/>
  <x:c r="E96" i="2"/>
  <x:c r="D96" i="2"/>
  <x:c r="C96" i="2"/>
  <x:c r="B96" i="2"/>
  <x:c r="A96" i="2"/>
  <x:c r="E95" i="2"/>
  <x:c r="D95" i="2"/>
  <x:c r="C95" i="2"/>
  <x:c r="B95" i="2"/>
  <x:c r="A95" i="2"/>
  <x:c r="E94" i="2"/>
  <x:c r="D94" i="2"/>
  <x:c r="C94" i="2"/>
  <x:c r="B94" i="2"/>
  <x:c r="A94" i="2"/>
  <x:c r="E93" i="2"/>
  <x:c r="D93" i="2"/>
  <x:c r="C93" i="2"/>
  <x:c r="B93" i="2"/>
  <x:c r="A93" i="2"/>
  <x:c r="E92" i="2"/>
  <x:c r="D92" i="2"/>
  <x:c r="C92" i="2"/>
  <x:c r="B92" i="2"/>
  <x:c r="A92" i="2"/>
  <x:c r="E91" i="2"/>
  <x:c r="D91" i="2"/>
  <x:c r="C91" i="2"/>
  <x:c r="B91" i="2"/>
  <x:c r="A91" i="2"/>
  <x:c r="E90" i="2"/>
  <x:c r="D90" i="2"/>
  <x:c r="C90" i="2"/>
  <x:c r="B90" i="2"/>
  <x:c r="A90" i="2"/>
  <x:c r="E89" i="2"/>
  <x:c r="D89" i="2"/>
  <x:c r="C89" i="2"/>
  <x:c r="B89" i="2"/>
  <x:c r="A89" i="2"/>
  <x:c r="E88" i="2"/>
  <x:c r="D88" i="2"/>
  <x:c r="C88" i="2"/>
  <x:c r="B88" i="2"/>
  <x:c r="A88" i="2"/>
  <x:c r="E87" i="2"/>
  <x:c r="D87" i="2"/>
  <x:c r="C87" i="2"/>
  <x:c r="B87" i="2"/>
  <x:c r="A87" i="2"/>
  <x:c r="E86" i="2"/>
  <x:c r="D86" i="2"/>
  <x:c r="C86" i="2"/>
  <x:c r="B86" i="2"/>
  <x:c r="A86" i="2"/>
  <x:c r="E85" i="2"/>
  <x:c r="D85" i="2"/>
  <x:c r="C85" i="2"/>
  <x:c r="B85" i="2"/>
  <x:c r="A85" i="2"/>
  <x:c r="E84" i="2"/>
  <x:c r="D84" i="2"/>
  <x:c r="C84" i="2"/>
  <x:c r="B84" i="2"/>
  <x:c r="A84" i="2"/>
  <x:c r="E83" i="2"/>
  <x:c r="D83" i="2"/>
  <x:c r="C83" i="2"/>
  <x:c r="B83" i="2"/>
  <x:c r="A83" i="2"/>
  <x:c r="E82" i="2"/>
  <x:c r="D82" i="2"/>
  <x:c r="C82" i="2"/>
  <x:c r="B82" i="2"/>
  <x:c r="A82" i="2"/>
  <x:c r="E81" i="2"/>
  <x:c r="D81" i="2"/>
  <x:c r="C81" i="2"/>
  <x:c r="B81" i="2"/>
  <x:c r="A81" i="2"/>
  <x:c r="E80" i="2"/>
  <x:c r="D80" i="2"/>
  <x:c r="C80" i="2"/>
  <x:c r="B80" i="2"/>
  <x:c r="A80" i="2"/>
  <x:c r="E79" i="2"/>
  <x:c r="D79" i="2"/>
  <x:c r="C79" i="2"/>
  <x:c r="B79" i="2"/>
  <x:c r="A79" i="2"/>
  <x:c r="E78" i="2"/>
  <x:c r="D78" i="2"/>
  <x:c r="C78" i="2"/>
  <x:c r="B78" i="2"/>
  <x:c r="A78" i="2"/>
  <x:c r="E77" i="2"/>
  <x:c r="D77" i="2"/>
  <x:c r="C77" i="2"/>
  <x:c r="B77" i="2"/>
  <x:c r="A77" i="2"/>
  <x:c r="E76" i="2"/>
  <x:c r="D76" i="2"/>
  <x:c r="C76" i="2"/>
  <x:c r="B76" i="2"/>
  <x:c r="A76" i="2"/>
  <x:c r="E75" i="2"/>
  <x:c r="D75" i="2"/>
  <x:c r="C75" i="2"/>
  <x:c r="B75" i="2"/>
  <x:c r="A75" i="2"/>
  <x:c r="E74" i="2"/>
  <x:c r="D74" i="2"/>
  <x:c r="C74" i="2"/>
  <x:c r="B74" i="2"/>
  <x:c r="A74" i="2"/>
  <x:c r="E73" i="2"/>
  <x:c r="D73" i="2"/>
  <x:c r="C73" i="2"/>
  <x:c r="B73" i="2"/>
  <x:c r="A73" i="2"/>
  <x:c r="E72" i="2"/>
  <x:c r="D72" i="2"/>
  <x:c r="C72" i="2"/>
  <x:c r="B72" i="2"/>
  <x:c r="A72" i="2"/>
  <x:c r="E71" i="2"/>
  <x:c r="D71" i="2"/>
  <x:c r="C71" i="2"/>
  <x:c r="B71" i="2"/>
  <x:c r="A71" i="2"/>
  <x:c r="E70" i="2"/>
  <x:c r="D70" i="2"/>
  <x:c r="C70" i="2"/>
  <x:c r="B70" i="2"/>
  <x:c r="A70" i="2"/>
  <x:c r="E69" i="2"/>
  <x:c r="D69" i="2"/>
  <x:c r="C69" i="2"/>
  <x:c r="B69" i="2"/>
  <x:c r="A69" i="2"/>
  <x:c r="E68" i="2"/>
  <x:c r="D68" i="2"/>
  <x:c r="C68" i="2"/>
  <x:c r="B68" i="2"/>
  <x:c r="A68" i="2"/>
  <x:c r="E67" i="2"/>
  <x:c r="D67" i="2"/>
  <x:c r="C67" i="2"/>
  <x:c r="B67" i="2"/>
  <x:c r="A67" i="2"/>
  <x:c r="E66" i="2"/>
  <x:c r="D66" i="2"/>
  <x:c r="C66" i="2"/>
  <x:c r="B66" i="2"/>
  <x:c r="A66" i="2"/>
  <x:c r="E65" i="2"/>
  <x:c r="D65" i="2"/>
  <x:c r="C65" i="2"/>
  <x:c r="B65" i="2"/>
  <x:c r="A65" i="2"/>
  <x:c r="E64" i="2"/>
  <x:c r="D64" i="2"/>
  <x:c r="C64" i="2"/>
  <x:c r="B64" i="2"/>
  <x:c r="A64" i="2"/>
  <x:c r="E63" i="2"/>
  <x:c r="D63" i="2"/>
  <x:c r="C63" i="2"/>
  <x:c r="B63" i="2"/>
  <x:c r="A63" i="2"/>
  <x:c r="E62" i="2"/>
  <x:c r="D62" i="2"/>
  <x:c r="C62" i="2"/>
  <x:c r="B62" i="2"/>
  <x:c r="A62" i="2"/>
  <x:c r="E61" i="2"/>
  <x:c r="D61" i="2"/>
  <x:c r="C61" i="2"/>
  <x:c r="B61" i="2"/>
  <x:c r="A61" i="2"/>
  <x:c r="E60" i="2"/>
  <x:c r="D60" i="2"/>
  <x:c r="C60" i="2"/>
  <x:c r="B60" i="2"/>
  <x:c r="A60" i="2"/>
  <x:c r="E59" i="2"/>
  <x:c r="D59" i="2"/>
  <x:c r="C59" i="2"/>
  <x:c r="B59" i="2"/>
  <x:c r="A59" i="2"/>
  <x:c r="E58" i="2"/>
  <x:c r="D58" i="2"/>
  <x:c r="C58" i="2"/>
  <x:c r="B58" i="2"/>
  <x:c r="A58" i="2"/>
  <x:c r="E57" i="2"/>
  <x:c r="D57" i="2"/>
  <x:c r="C57" i="2"/>
  <x:c r="B57" i="2"/>
  <x:c r="A57" i="2"/>
  <x:c r="E56" i="2"/>
  <x:c r="D56" i="2"/>
  <x:c r="C56" i="2"/>
  <x:c r="B56" i="2"/>
  <x:c r="A56" i="2"/>
  <x:c r="E55" i="2"/>
  <x:c r="D55" i="2"/>
  <x:c r="C55" i="2"/>
  <x:c r="B55" i="2"/>
  <x:c r="A55" i="2"/>
  <x:c r="E54" i="2"/>
  <x:c r="D54" i="2"/>
  <x:c r="C54" i="2"/>
  <x:c r="B54" i="2"/>
  <x:c r="A54" i="2"/>
  <x:c r="E53" i="2"/>
  <x:c r="D53" i="2"/>
  <x:c r="C53" i="2"/>
  <x:c r="B53" i="2"/>
  <x:c r="A53" i="2"/>
  <x:c r="E52" i="2"/>
  <x:c r="D52" i="2"/>
  <x:c r="C52" i="2"/>
  <x:c r="B52" i="2"/>
  <x:c r="A52" i="2"/>
  <x:c r="E51" i="2"/>
  <x:c r="D51" i="2"/>
  <x:c r="C51" i="2"/>
  <x:c r="B51" i="2"/>
  <x:c r="A51" i="2"/>
  <x:c r="E50" i="2"/>
  <x:c r="D50" i="2"/>
  <x:c r="C50" i="2"/>
  <x:c r="B50" i="2"/>
  <x:c r="A50" i="2"/>
  <x:c r="E49" i="2"/>
  <x:c r="D49" i="2"/>
  <x:c r="C49" i="2"/>
  <x:c r="B49" i="2"/>
  <x:c r="A49" i="2"/>
  <x:c r="E48" i="2"/>
  <x:c r="D48" i="2"/>
  <x:c r="C48" i="2"/>
  <x:c r="B48" i="2"/>
  <x:c r="A48" i="2"/>
  <x:c r="E47" i="2"/>
  <x:c r="D47" i="2"/>
  <x:c r="C47" i="2"/>
  <x:c r="B47" i="2"/>
  <x:c r="A47" i="2"/>
  <x:c r="E46" i="2"/>
  <x:c r="D46" i="2"/>
  <x:c r="C46" i="2"/>
  <x:c r="B46" i="2"/>
  <x:c r="A46" i="2"/>
  <x:c r="E45" i="2"/>
  <x:c r="D45" i="2"/>
  <x:c r="C45" i="2"/>
  <x:c r="B45" i="2"/>
  <x:c r="A45" i="2"/>
  <x:c r="E44" i="2"/>
  <x:c r="D44" i="2"/>
  <x:c r="C44" i="2"/>
  <x:c r="B44" i="2"/>
  <x:c r="A44" i="2"/>
  <x:c r="E43" i="2"/>
  <x:c r="D43" i="2"/>
  <x:c r="C43" i="2"/>
  <x:c r="B43" i="2"/>
  <x:c r="A43" i="2"/>
  <x:c r="E42" i="2"/>
  <x:c r="D42" i="2"/>
  <x:c r="C42" i="2"/>
  <x:c r="B42" i="2"/>
  <x:c r="A42" i="2"/>
  <x:c r="E41" i="2"/>
  <x:c r="D41" i="2"/>
  <x:c r="C41" i="2"/>
  <x:c r="B41" i="2"/>
  <x:c r="A41" i="2"/>
  <x:c r="E40" i="2"/>
  <x:c r="D40" i="2"/>
  <x:c r="C40" i="2"/>
  <x:c r="B40" i="2"/>
  <x:c r="A40" i="2"/>
  <x:c r="E39" i="2"/>
  <x:c r="D39" i="2"/>
  <x:c r="C39" i="2"/>
  <x:c r="B39" i="2"/>
  <x:c r="A39" i="2"/>
  <x:c r="E38" i="2"/>
  <x:c r="D38" i="2"/>
  <x:c r="C38" i="2"/>
  <x:c r="B38" i="2"/>
  <x:c r="A38" i="2"/>
  <x:c r="E37" i="2"/>
  <x:c r="D37" i="2"/>
  <x:c r="C37" i="2"/>
  <x:c r="B37" i="2"/>
  <x:c r="A37" i="2"/>
  <x:c r="E36" i="2"/>
  <x:c r="D36" i="2"/>
  <x:c r="C36" i="2"/>
  <x:c r="B36" i="2"/>
  <x:c r="A36" i="2"/>
  <x:c r="E35" i="2"/>
  <x:c r="D35" i="2"/>
  <x:c r="C35" i="2"/>
  <x:c r="B35" i="2"/>
  <x:c r="A35" i="2"/>
  <x:c r="E34" i="2"/>
  <x:c r="D34" i="2"/>
  <x:c r="C34" i="2"/>
  <x:c r="B34" i="2"/>
  <x:c r="A34" i="2"/>
  <x:c r="E33" i="2"/>
  <x:c r="D33" i="2"/>
  <x:c r="C33" i="2"/>
  <x:c r="B33" i="2"/>
  <x:c r="A33" i="2"/>
  <x:c r="E32" i="2"/>
  <x:c r="D32" i="2"/>
  <x:c r="C32" i="2"/>
  <x:c r="B32" i="2"/>
  <x:c r="A32" i="2"/>
  <x:c r="E31" i="2"/>
  <x:c r="D31" i="2"/>
  <x:c r="C31" i="2"/>
  <x:c r="B31" i="2"/>
  <x:c r="A31" i="2"/>
  <x:c r="E30" i="2"/>
  <x:c r="D30" i="2"/>
  <x:c r="C30" i="2"/>
  <x:c r="B30" i="2"/>
  <x:c r="A30" i="2"/>
  <x:c r="E29" i="2"/>
  <x:c r="D29" i="2"/>
  <x:c r="C29" i="2"/>
  <x:c r="B29" i="2"/>
  <x:c r="A29" i="2"/>
  <x:c r="E28" i="2"/>
  <x:c r="D28" i="2"/>
  <x:c r="C28" i="2"/>
  <x:c r="B28" i="2"/>
  <x:c r="A28" i="2"/>
  <x:c r="E27" i="2"/>
  <x:c r="D27" i="2"/>
  <x:c r="C27" i="2"/>
  <x:c r="B27" i="2"/>
  <x:c r="A27" i="2"/>
  <x:c r="E26" i="2"/>
  <x:c r="D26" i="2"/>
  <x:c r="C26" i="2"/>
  <x:c r="B26" i="2"/>
  <x:c r="A26" i="2"/>
  <x:c r="E25" i="2"/>
  <x:c r="D25" i="2"/>
  <x:c r="C25" i="2"/>
  <x:c r="B25" i="2"/>
  <x:c r="A25" i="2"/>
  <x:c r="E24" i="2"/>
  <x:c r="D24" i="2"/>
  <x:c r="C24" i="2"/>
  <x:c r="B24" i="2"/>
  <x:c r="A24" i="2"/>
  <x:c r="E23" i="2"/>
  <x:c r="D23" i="2"/>
  <x:c r="C23" i="2"/>
  <x:c r="B23" i="2"/>
  <x:c r="A23" i="2"/>
  <x:c r="E22" i="2"/>
  <x:c r="D22" i="2"/>
  <x:c r="C22" i="2"/>
  <x:c r="B22" i="2"/>
  <x:c r="A22" i="2"/>
  <x:c r="E21" i="2"/>
  <x:c r="D21" i="2"/>
  <x:c r="C21" i="2"/>
  <x:c r="B21" i="2"/>
  <x:c r="A21" i="2"/>
  <x:c r="E20" i="2"/>
  <x:c r="D20" i="2"/>
  <x:c r="C20" i="2"/>
  <x:c r="B20" i="2"/>
  <x:c r="A20" i="2"/>
  <x:c r="E19" i="2"/>
  <x:c r="D19" i="2"/>
  <x:c r="C19" i="2"/>
  <x:c r="B19" i="2"/>
  <x:c r="A19" i="2"/>
  <x:c r="E18" i="2"/>
  <x:c r="D18" i="2"/>
  <x:c r="C18" i="2"/>
  <x:c r="B18" i="2"/>
  <x:c r="A18" i="2"/>
  <x:c r="E17" i="2"/>
  <x:c r="D17" i="2"/>
  <x:c r="C17" i="2"/>
  <x:c r="B17" i="2"/>
  <x:c r="A17" i="2"/>
  <x:c r="E16" i="2"/>
  <x:c r="D16" i="2"/>
  <x:c r="C16" i="2"/>
  <x:c r="B16" i="2"/>
  <x:c r="A16" i="2"/>
  <x:c r="E15" i="2"/>
  <x:c r="D15" i="2"/>
  <x:c r="C15" i="2"/>
  <x:c r="B15" i="2"/>
  <x:c r="A15" i="2"/>
  <x:c r="E14" i="2"/>
  <x:c r="D14" i="2"/>
  <x:c r="C14" i="2"/>
  <x:c r="B14" i="2"/>
  <x:c r="A14" i="2"/>
  <x:c r="E13" i="2"/>
  <x:c r="D13" i="2"/>
  <x:c r="C13" i="2"/>
  <x:c r="B13" i="2"/>
  <x:c r="A13" i="2"/>
  <x:c r="E12" i="2"/>
  <x:c r="D12" i="2"/>
  <x:c r="C12" i="2"/>
  <x:c r="B12" i="2"/>
  <x:c r="A12" i="2"/>
  <x:c r="E11" i="2"/>
  <x:c r="D11" i="2"/>
  <x:c r="C11" i="2"/>
  <x:c r="B11" i="2"/>
  <x:c r="A11" i="2"/>
  <x:c r="E10" i="2"/>
  <x:c r="D10" i="2"/>
  <x:c r="C10" i="2"/>
  <x:c r="B10" i="2"/>
  <x:c r="A10" i="2"/>
  <x:c r="E9" i="2"/>
  <x:c r="D9" i="2"/>
  <x:c r="C9" i="2"/>
  <x:c r="B9" i="2"/>
  <x:c r="A9" i="2"/>
  <x:c r="E8" i="2"/>
  <x:c r="D8" i="2"/>
  <x:c r="C8" i="2"/>
  <x:c r="B8" i="2"/>
  <x:c r="A8" i="2"/>
  <x:c r="E7" i="2"/>
  <x:c r="D7" i="2"/>
  <x:c r="C7" i="2"/>
  <x:c r="B7" i="2"/>
  <x:c r="A7" i="2"/>
  <x:c r="E6" i="2"/>
  <x:c r="D6" i="2"/>
  <x:c r="C6" i="2"/>
  <x:c r="B6" i="2"/>
  <x:c r="A6" i="2"/>
  <x:c r="E5" i="2"/>
  <x:c r="D5" i="2"/>
  <x:c r="C5" i="2"/>
  <x:c r="B5" i="2"/>
  <x:c r="A5" i="2"/>
  <x:c r="E4" i="2"/>
  <x:c r="D4" i="2"/>
  <x:c r="C4" i="2"/>
  <x:c r="B4" i="2"/>
  <x:c r="A4" i="2"/>
  <x:c r="S3" i="2"/>
  <x:c r="R3" i="2"/>
  <x:c r="Q3" i="2"/>
  <x:c r="P3" i="2"/>
  <x:c r="O3" i="2"/>
  <x:c r="N3" i="2"/>
  <x:c r="M3" i="2"/>
  <x:c r="L3" i="2"/>
  <x:c r="K3" i="2"/>
  <x:c r="J3" i="2"/>
  <x:c r="I3" i="2"/>
  <x:c r="H3" i="2"/>
  <x:c r="G3" i="2"/>
  <x:c r="F3" i="2"/>
  <x:c r="E3" i="2"/>
  <x:c r="D3" i="2"/>
  <x:c r="C3" i="2"/>
  <x:c r="B3" i="2"/>
  <x:c r="A3" i="2"/>
  <x:c r="E2" i="2"/>
  <x:c r="D2" i="2"/>
  <x:c r="C2" i="2"/>
  <x:c r="B2" i="2"/>
  <x:c r="A2" i="2"/>
  <x:c r="F1265" i="3"/>
  <x:c r="F1291" i="3"/>
  <x:c r="F1075" i="3"/>
  <x:c r="F1441" i="3"/>
  <x:c r="F1460" i="3"/>
  <x:c r="F1643" i="3"/>
  <x:c r="F1357" i="3"/>
  <x:c r="F1360" i="3"/>
  <x:c r="F1059" i="3"/>
  <x:c r="F1264" i="3"/>
  <x:c r="F1234" i="3"/>
  <x:c r="F1102" i="3"/>
  <x:c r="F1757" i="3"/>
  <x:c r="F1885" i="3"/>
  <x:c r="F1618" i="3"/>
  <x:c r="F1629" i="3"/>
  <x:c r="F1571" i="3"/>
  <x:c r="F1746" i="3"/>
  <x:c r="F1938" i="3"/>
  <x:c r="F1576" i="3"/>
  <x:c r="F1839" i="3"/>
  <x:c r="F1704" i="3"/>
  <x:c r="F1896" i="3"/>
  <x:c r="F1793" i="3"/>
  <x:c r="F1711" i="3"/>
  <x:c r="F1921" i="3"/>
  <x:c r="F1519" i="3"/>
  <x:c r="F1391" i="3"/>
  <x:c r="F1351" i="3"/>
  <x:c r="F1868" i="3"/>
  <x:c r="F1490" i="3"/>
  <x:c r="F1612" i="3"/>
  <x:c r="F1449" i="3"/>
  <x:c r="F1457" i="3"/>
  <x:c r="F1318" i="3"/>
  <x:c r="F1902" i="3"/>
  <x:c r="F1740" i="3"/>
  <x:c r="F1044" i="3"/>
  <x:c r="F1240" i="3"/>
  <x:c r="F1710" i="3"/>
  <x:c r="F1967" i="3"/>
  <x:c r="F1371" i="3"/>
  <x:c r="F1115" i="3"/>
  <x:c r="F1058" i="3"/>
  <x:c r="F1398" i="3"/>
  <x:c r="F1141" i="3"/>
  <x:c r="F1505" i="3"/>
  <x:c r="F1312" i="3"/>
  <x:c r="F1412" i="3"/>
  <x:c r="F1022" i="3"/>
  <x:c r="F1485" i="3"/>
  <x:c r="F1315" i="3"/>
  <x:c r="F1325" i="3"/>
  <x:c r="F1217" i="3"/>
  <x:c r="F1123" i="3"/>
  <x:c r="F1210" i="3"/>
  <x:c r="F1101" i="3"/>
  <x:c r="F1468" i="3"/>
  <x:c r="F1326" i="3"/>
  <x:c r="F1177" i="3"/>
  <x:c r="F1128" i="3"/>
  <x:c r="F1329" i="3"/>
  <x:c r="F1033" i="3"/>
  <x:c r="F1152" i="3"/>
  <x:c r="F1288" i="3"/>
  <x:c r="F1827" i="3"/>
  <x:c r="F1246" i="3"/>
  <x:c r="F1045" i="3"/>
  <x:c r="F1130" i="3"/>
  <x:c r="F1699" i="3"/>
  <x:c r="F1014" i="3"/>
  <x:c r="F1891" i="3"/>
  <x:c r="F1609" i="3"/>
  <x:c r="F1545" i="3"/>
  <x:c r="F1526" i="3"/>
  <x:c r="F1590" i="3"/>
  <x:c r="F1359" i="3"/>
  <x:c r="F1654" i="3"/>
  <x:c r="F1846" i="3"/>
  <x:c r="F1452" i="3"/>
  <x:c r="F1440" i="3"/>
  <x:c r="F1516" i="3"/>
  <x:c r="F1295" i="3"/>
  <x:c r="F1382" i="3"/>
  <x:c r="F1103" i="3"/>
  <x:c r="F1167" i="3"/>
  <x:c r="F1308" i="3"/>
  <x:c r="F1116" i="3"/>
  <x:c r="F1244" i="3"/>
  <x:c r="F1039" i="3"/>
  <x:c r="F1180" i="3"/>
  <x:c r="F1231" i="3"/>
  <x:c r="F1483" i="3"/>
  <x:c r="F1052" i="3"/>
  <x:c r="F1390" i="3"/>
  <x:c r="F1413" i="3"/>
  <x:c r="F1187" i="3"/>
  <x:c r="F1397" i="3"/>
  <x:c r="F1251" i="3"/>
  <x:c r="F1467" i="3"/>
  <x:c r="F1835" i="3"/>
  <x:c r="F1957" i="3"/>
  <x:c r="F1882" i="3"/>
  <x:c r="F1719" i="3"/>
  <x:c r="F1829" i="3"/>
  <x:c r="F1771" i="3"/>
  <x:c r="F1893" i="3"/>
  <x:c r="F1701" i="3"/>
  <x:c r="F1818" i="3"/>
  <x:c r="F1946" i="3"/>
  <x:c r="F1765" i="3"/>
  <x:c r="F1573" i="3"/>
  <x:c r="F1626" i="3"/>
  <x:c r="F1637" i="3"/>
  <x:c r="F1562" i="3"/>
  <x:c r="F1690" i="3"/>
  <x:c r="F1498" i="3"/>
  <x:c r="F1847" i="3"/>
  <x:c r="F1434" i="3"/>
  <x:c r="F1783" i="3"/>
  <x:c r="F1242" i="3"/>
  <x:c r="F1754" i="3"/>
  <x:c r="F1655" i="3"/>
  <x:c r="F1911" i="3"/>
  <x:c r="F1370" i="3"/>
  <x:c r="F1876" i="3"/>
  <x:c r="F1812" i="3"/>
  <x:c r="F1748" i="3"/>
  <x:c r="F1620" i="3"/>
  <x:c r="F1399" i="3"/>
  <x:c r="F1463" i="3"/>
  <x:c r="F1556" i="3"/>
  <x:c r="F1940" i="3"/>
  <x:c r="F1801" i="3"/>
  <x:c r="F1591" i="3"/>
  <x:c r="F1684" i="3"/>
  <x:c r="F1782" i="3"/>
  <x:c r="F1737" i="3"/>
  <x:c r="F1673" i="3"/>
  <x:c r="F1865" i="3"/>
  <x:c r="F1718" i="3"/>
  <x:c r="F1910" i="3"/>
  <x:c r="F1929" i="3"/>
  <x:c r="F1306" i="3"/>
  <x:c r="F1821" i="3"/>
  <x:c r="F1676" i="3"/>
  <x:c r="F1857" i="3"/>
  <x:c r="F1804" i="3"/>
  <x:c r="F1455" i="3"/>
  <x:c r="F1583" i="3"/>
  <x:c r="F1031" i="3"/>
  <x:c r="F1646" i="3"/>
  <x:c r="F1243" i="3"/>
  <x:c r="F1465" i="3"/>
  <x:c r="F1108" i="3"/>
  <x:c r="F1149" i="3"/>
  <x:c r="F1582" i="3"/>
  <x:c r="F1579" i="3"/>
  <x:c r="F1963" i="3"/>
  <x:c r="F1074" i="3"/>
  <x:c r="F1648" i="3"/>
  <x:c r="F1016" i="3"/>
  <x:c r="F1464" i="3"/>
  <x:c r="F1899" i="3"/>
  <x:c r="F1437" i="3"/>
  <x:c r="F1104" i="3"/>
  <x:c r="F1776" i="3"/>
  <x:c r="F1515" i="3"/>
  <x:c r="F1584" i="3"/>
  <x:c r="F1904" i="3"/>
  <x:c r="F1840" i="3"/>
  <x:c r="F1707" i="3"/>
  <x:c r="F1712" i="3"/>
  <x:c r="F1245" i="3"/>
  <x:c r="F1142" i="3"/>
  <x:c r="F1955" i="3"/>
  <x:c r="F1768" i="3"/>
  <x:c r="F1832" i="3"/>
  <x:c r="F1640" i="3"/>
  <x:c r="F1763" i="3"/>
  <x:c r="F1635" i="3"/>
  <x:c r="F1874" i="3"/>
  <x:c r="F1105" i="3"/>
  <x:c r="F1949" i="3"/>
  <x:c r="F1647" i="3"/>
  <x:c r="F1775" i="3"/>
  <x:c r="F1565" i="3"/>
  <x:c r="F1693" i="3"/>
  <x:c r="F1960" i="3"/>
  <x:c r="F1426" i="3"/>
  <x:c r="F1838" i="3"/>
  <x:c r="F1682" i="3"/>
  <x:c r="F1554" i="3"/>
  <x:c r="F1064" i="3"/>
  <x:c r="F1810" i="3"/>
  <x:c r="F1903" i="3"/>
  <x:c r="F1932" i="3"/>
  <x:c r="F1057" i="3"/>
  <x:c r="F1336" i="3"/>
  <x:c r="F1230" i="3"/>
  <x:c r="F1029" i="3"/>
  <x:c r="F1328" i="3"/>
  <x:c r="F1048" i="3"/>
  <x:c r="F1042" i="3"/>
  <x:c r="F1054" i="3"/>
  <x:c r="F1096" i="3"/>
  <x:c r="F1018" i="3"/>
  <x:c r="F1041" i="3"/>
  <x:c r="F1093" i="3"/>
  <x:c r="F1078" i="3"/>
  <x:c r="F1136" i="3"/>
  <x:c r="F1082" i="3"/>
  <x:c r="F1026" i="3"/>
  <x:c r="F1169" i="3"/>
  <x:c r="F1157" i="3"/>
  <x:c r="C1990" i="3"/>
  <x:c r="C1988" i="3"/>
  <x:c r="F1154" i="3"/>
  <x:c r="F1200" i="3"/>
  <x:c r="F1193" i="3"/>
  <x:c r="F1069" i="3"/>
  <x:c r="F1056" i="3"/>
  <x:c r="F1062" i="3"/>
  <x:c r="F1065" i="3"/>
  <x:c r="C1992" i="3"/>
  <x:c r="F1070" i="3"/>
  <x:c r="F1114" i="3"/>
  <x:c r="F1197" i="3"/>
  <x:c r="F1050" i="3"/>
  <x:c r="F1053" i="3"/>
  <x:c r="F1248" i="3"/>
  <x:c r="F1129" i="3"/>
  <x:c r="F1190" i="3"/>
  <x:c r="F1032" i="3"/>
  <x:c r="F1073" i="3"/>
  <x:c r="F1072" i="3"/>
  <x:c r="F1378" i="3"/>
  <x:c r="F1067" i="3"/>
  <x:c r="F1843" i="3"/>
  <x:c r="F1047" i="3"/>
  <x:c r="F1488" i="3"/>
  <x:c r="F1131" i="3"/>
  <x:c r="F1401" i="3"/>
  <x:c r="F1508" i="3"/>
  <x:c r="F1493" i="3"/>
  <x:c r="F1400" i="3"/>
  <x:c r="F1195" i="3"/>
  <x:c r="F1334" i="3"/>
  <x:c r="F1259" i="3"/>
  <x:c r="F1438" i="3"/>
  <x:c r="F1144" i="3"/>
  <x:c r="F1377" i="3"/>
  <x:c r="F1134" i="3"/>
  <x:c r="F1226" i="3"/>
  <x:c r="F1025" i="3"/>
  <x:c r="F1186" i="3"/>
  <x:c r="F1333" i="3"/>
  <x:c r="F1249" i="3"/>
  <x:c r="F1158" i="3"/>
  <x:c r="F1286" i="3"/>
  <x:c r="F1253" i="3"/>
  <x:c r="F1173" i="3"/>
  <x:c r="F1061" i="3"/>
  <x:c r="F1038" i="3"/>
  <x:c r="F1323" i="3"/>
  <x:c r="F1494" i="3"/>
  <x:c r="F1337" i="3"/>
  <x:c r="F1250" i="3"/>
  <x:c r="F1937" i="3"/>
  <x:c r="F1478" i="3"/>
  <x:c r="F1314" i="3"/>
  <x:c r="F1534" i="3"/>
  <x:c r="F1790" i="3"/>
  <x:c r="F1443" i="3"/>
  <x:c r="F1303" i="3"/>
  <x:c r="F1373" i="3"/>
  <x:c r="F1486" i="3"/>
  <x:c r="F1111" i="3"/>
  <x:c r="F1316" i="3"/>
  <x:c r="F1175" i="3"/>
  <x:c r="F1509" i="3"/>
  <x:c r="F1239" i="3"/>
  <x:c r="F1188" i="3"/>
  <x:c r="F1060" i="3"/>
  <x:c r="F1416" i="3"/>
  <x:c r="F1252" i="3"/>
  <x:c r="F1395" i="3"/>
  <x:c r="F1393" i="3"/>
  <x:c r="F1884" i="3"/>
  <x:c r="F1663" i="3"/>
  <x:c r="F1948" i="3"/>
  <x:c r="F1535" i="3"/>
  <x:c r="F1407" i="3"/>
  <x:c r="F1628" i="3"/>
  <x:c r="F1692" i="3"/>
  <x:c r="F1756" i="3"/>
  <x:c r="F1820" i="3"/>
  <x:c r="F1564" i="3"/>
  <x:c r="F1873" i="3"/>
  <x:c r="F1681" i="3"/>
  <x:c r="F1617" i="3"/>
  <x:c r="F1854" i="3"/>
  <x:c r="F1954" i="3"/>
  <x:c r="F1809" i="3"/>
  <x:c r="F1385" i="3"/>
  <x:c r="F1553" i="3"/>
  <x:c r="F1726" i="3"/>
  <x:c r="F1662" i="3"/>
  <x:c r="F1745" i="3"/>
  <x:c r="F1918" i="3"/>
  <x:c r="F1598" i="3"/>
  <x:c r="F1592" i="3"/>
  <x:c r="F1912" i="3"/>
  <x:c r="F1709" i="3"/>
  <x:c r="F1587" i="3"/>
  <x:c r="F1523" i="3"/>
  <x:c r="F1645" i="3"/>
  <x:c r="F1581" i="3"/>
  <x:c r="F1727" i="3"/>
  <x:c r="F1919" i="3"/>
  <x:c r="F1570" i="3"/>
  <x:c r="F1599" i="3"/>
  <x:c r="F1506" i="3"/>
  <x:c r="F1855" i="3"/>
  <x:c r="F1698" i="3"/>
  <x:c r="F1890" i="3"/>
  <x:c r="F1548" i="3"/>
  <x:c r="F1762" i="3"/>
  <x:c r="F1826" i="3"/>
  <x:c r="F1634" i="3"/>
  <x:c r="F1901" i="3"/>
  <x:c r="F1442" i="3"/>
  <x:c r="F1848" i="3"/>
  <x:c r="F1791" i="3"/>
  <x:c r="F1471" i="3"/>
  <x:c r="F1415" i="3"/>
  <x:c r="F1799" i="3"/>
  <x:c r="F1863" i="3"/>
  <x:c r="F1892" i="3"/>
  <x:c r="F1543" i="3"/>
  <x:c r="F1671" i="3"/>
  <x:c r="F1735" i="3"/>
  <x:c r="F1578" i="3"/>
  <x:c r="F1386" i="3"/>
  <x:c r="F1706" i="3"/>
  <x:c r="F1607" i="3"/>
  <x:c r="F1133" i="3"/>
  <x:c r="F1779" i="3"/>
  <x:c r="F1479" i="3"/>
  <x:c r="F1221" i="3"/>
  <x:c r="F1956" i="3"/>
  <x:c r="F1828" i="3"/>
  <x:c r="F1307" i="3"/>
  <x:c r="F1656" i="3"/>
  <x:c r="F1907" i="3"/>
  <x:c r="F1784" i="3"/>
  <x:c r="F1965" i="3"/>
  <x:c r="F1773" i="3"/>
  <x:c r="F1837" i="3"/>
  <x:c r="F1651" i="3"/>
  <x:c r="F1720" i="3"/>
  <x:c r="F1715" i="3"/>
  <x:c r="F1514" i="3"/>
  <x:c r="F1450" i="3"/>
  <x:c r="F1927" i="3"/>
  <x:c r="F1125" i="3"/>
  <x:c r="F1851" i="3"/>
  <x:c r="F1389" i="3"/>
  <x:c r="F1126" i="3"/>
  <x:c r="F1595" i="3"/>
  <x:c r="F1502" i="3"/>
  <x:c r="F1297" i="3"/>
  <x:c r="F1659" i="3"/>
  <x:c r="F1723" i="3"/>
  <x:c r="F1121" i="3"/>
  <x:c r="F1792" i="3"/>
  <x:c r="F1184" i="3"/>
  <x:c r="F1300" i="3"/>
  <x:c r="F1920" i="3"/>
  <x:c r="F1787" i="3"/>
  <x:c r="F1856" i="3"/>
  <x:c r="F1728" i="3"/>
  <x:c r="F1664" i="3"/>
  <x:c r="F1589" i="3"/>
  <x:c r="F1845" i="3"/>
  <x:c r="F1909" i="3"/>
  <x:c r="F1600" i="3"/>
  <x:c r="F1962" i="3"/>
  <x:c r="F1531" i="3"/>
  <x:c r="F1781" i="3"/>
  <x:c r="F1898" i="3"/>
  <x:c r="F1536" i="3"/>
  <x:c r="F1717" i="3"/>
  <x:c r="F1770" i="3"/>
  <x:c r="F1642" i="3"/>
  <x:c r="F1653" i="3"/>
  <x:c r="F1834" i="3"/>
  <x:c r="F1145" i="3"/>
  <x:c r="F1881" i="3"/>
  <x:c r="F1572" i="3"/>
  <x:c r="F1689" i="3"/>
  <x:c r="F1260" i="3"/>
  <x:c r="F1376" i="3"/>
  <x:c r="F1926" i="3"/>
  <x:c r="F1262" i="3"/>
  <x:c r="F1119" i="3"/>
  <x:c r="F1068" i="3"/>
  <x:c r="F1491" i="3"/>
  <x:c r="F1203" i="3"/>
  <x:c r="F1229" i="3"/>
  <x:c r="F1734" i="3"/>
  <x:c r="F1223" i="3"/>
  <x:c r="F1254" i="3"/>
  <x:c r="F1256" i="3"/>
  <x:c r="F1345" i="3"/>
  <x:c r="F1178" i="3"/>
  <x:c r="F1665" i="3"/>
  <x:c r="F1496" i="3"/>
  <x:c r="F1387" i="3"/>
  <x:c r="F1204" i="3"/>
  <x:c r="F1915" i="3"/>
  <x:c r="F1430" i="3"/>
  <x:c r="F1524" i="3"/>
  <x:c r="F1528" i="3"/>
  <x:c r="F1019" i="3"/>
  <x:c r="F1424" i="3"/>
  <x:c r="F1083" i="3"/>
  <x:c r="F1147" i="3"/>
  <x:c r="F1444" i="3"/>
  <x:c r="F1339" i="3"/>
  <x:c r="F1232" i="3"/>
  <x:c r="F1275" i="3"/>
  <x:c r="F1211" i="3"/>
  <x:c r="F1349" i="3"/>
  <x:c r="F1285" i="3"/>
  <x:c r="F1153" i="3"/>
  <x:c r="F1429" i="3"/>
  <x:c r="F1257" i="3"/>
  <x:c r="F1499" i="3"/>
  <x:c r="F1182" i="3"/>
  <x:c r="F1269" i="3"/>
  <x:c r="F1077" i="3"/>
  <x:c r="F1206" i="3"/>
  <x:c r="F1088" i="3"/>
  <x:c r="F1388" i="3"/>
  <x:c r="F1700" i="3"/>
  <x:c r="F1484" i="3"/>
  <x:c r="F1614" i="3"/>
  <x:c r="F1633" i="3"/>
  <x:c r="F1319" i="3"/>
  <x:c r="F1255" i="3"/>
  <x:c r="F1472" i="3"/>
  <x:c r="F1127" i="3"/>
  <x:c r="F1191" i="3"/>
  <x:c r="F1492" i="3"/>
  <x:c r="F1268" i="3"/>
  <x:c r="F1445" i="3"/>
  <x:c r="F1063" i="3"/>
  <x:c r="F1500" i="3"/>
  <x:c r="F1379" i="3"/>
  <x:c r="F1140" i="3"/>
  <x:c r="F1580" i="3"/>
  <x:c r="F1076" i="3"/>
  <x:c r="F1353" i="3"/>
  <x:c r="F1332" i="3"/>
  <x:c r="F1350" i="3"/>
  <x:c r="F1644" i="3"/>
  <x:c r="F1807" i="3"/>
  <x:c r="F1953" i="3"/>
  <x:c r="F1615" i="3"/>
  <x:c r="F1743" i="3"/>
  <x:c r="F1423" i="3"/>
  <x:c r="F1569" i="3"/>
  <x:c r="F1742" i="3"/>
  <x:c r="F1527" i="3"/>
  <x:c r="F1964" i="3"/>
  <x:c r="F1870" i="3"/>
  <x:c r="F1551" i="3"/>
  <x:c r="F1889" i="3"/>
  <x:c r="F1761" i="3"/>
  <x:c r="F1679" i="3"/>
  <x:c r="F1825" i="3"/>
  <x:c r="F1934" i="3"/>
  <x:c r="F1708" i="3"/>
  <x:c r="F1678" i="3"/>
  <x:c r="F1550" i="3"/>
  <x:c r="F1330" i="3"/>
  <x:c r="F1266" i="3"/>
  <x:c r="F1697" i="3"/>
  <x:c r="F1414" i="3"/>
  <x:c r="F1806" i="3"/>
  <x:c r="F1772" i="3"/>
  <x:c r="F1597" i="3"/>
  <x:c r="F1800" i="3"/>
  <x:c r="F1672" i="3"/>
  <x:c r="F1608" i="3"/>
  <x:c r="F1661" i="3"/>
  <x:c r="F1906" i="3"/>
  <x:c r="F1842" i="3"/>
  <x:c r="F1853" i="3"/>
  <x:c r="F1778" i="3"/>
  <x:c r="F1650" i="3"/>
  <x:c r="F1458" i="3"/>
  <x:c r="F1522" i="3"/>
  <x:c r="F1935" i="3"/>
  <x:c r="F1586" i="3"/>
  <x:c r="F1533" i="3"/>
  <x:c r="F1487" i="3"/>
  <x:c r="F1714" i="3"/>
  <x:c r="F1725" i="3"/>
  <x:c r="F1836" i="3"/>
  <x:c r="F1394" i="3"/>
  <x:c r="F1900" i="3"/>
  <x:c r="F1789" i="3"/>
  <x:c r="F1871" i="3"/>
  <x:c r="F1124" i="3"/>
  <x:c r="F1603" i="3"/>
  <x:c r="F1917" i="3"/>
  <x:c r="F1795" i="3"/>
  <x:c r="F1085" i="3"/>
  <x:c r="F1670" i="3"/>
  <x:c r="F1419" i="3"/>
  <x:c r="F1289" i="3"/>
  <x:c r="F1287" i="3"/>
  <x:c r="F1317" i="3"/>
  <x:c r="F1372" i="3"/>
  <x:c r="F1017" i="3"/>
  <x:c r="F1166" i="3"/>
  <x:c r="F1518" i="3"/>
  <x:c r="F1179" i="3"/>
  <x:c r="F1480" i="3"/>
  <x:c r="F1923" i="3"/>
  <x:c r="F1174" i="3"/>
  <x:c r="F1030" i="3"/>
  <x:c r="F1601" i="3"/>
  <x:c r="F1364" i="3"/>
  <x:c r="F1859" i="3"/>
  <x:c r="F1090" i="3"/>
  <x:c r="F1392" i="3"/>
  <x:c r="F1731" i="3"/>
  <x:c r="F1864" i="3"/>
  <x:c r="F1606" i="3"/>
  <x:c r="F1539" i="3"/>
  <x:c r="F1667" i="3"/>
  <x:c r="F1928" i="3"/>
  <x:c r="F1736" i="3"/>
  <x:c r="F1817" i="3"/>
  <x:c r="F1146" i="3"/>
  <x:c r="F1561" i="3"/>
  <x:c r="F1380" i="3"/>
  <x:c r="F1862" i="3"/>
  <x:c r="F1636" i="3"/>
  <x:c r="F1084" i="3"/>
  <x:c r="F1945" i="3"/>
  <x:c r="F1267" i="3"/>
  <x:c r="F1481" i="3"/>
  <x:c r="F1342" i="3"/>
  <x:c r="F1489" i="3"/>
  <x:c r="F1155" i="3"/>
  <x:c r="F1238" i="3"/>
  <x:c r="F1183" i="3"/>
  <x:c r="F1150" i="3"/>
  <x:c r="F1428" i="3"/>
  <x:c r="F1517" i="3"/>
  <x:c r="F1196" i="3"/>
  <x:c r="F1113" i="3"/>
  <x:c r="F1403" i="3"/>
  <x:c r="F1469" i="3"/>
  <x:c r="F1585" i="3"/>
  <x:c r="F1122" i="3"/>
  <x:c r="F1293" i="3"/>
  <x:c r="F1080" i="3"/>
  <x:c r="F1162" i="3"/>
  <x:c r="F1040" i="3"/>
  <x:c r="F1109" i="3"/>
  <x:c r="F1470" i="3"/>
  <x:c r="F1189" i="3"/>
  <x:c r="F1213" i="3"/>
  <x:c r="F1209" i="3"/>
  <x:c r="F1094" i="3"/>
  <x:c r="F1202" i="3"/>
  <x:c r="F1764" i="3"/>
  <x:c r="F1185" i="3"/>
  <x:c r="F1170" i="3"/>
  <x:c r="F1066" i="3"/>
  <x:c r="F1272" i="3"/>
  <x:c r="F1138" i="3"/>
  <x:c r="F1916" i="3"/>
  <x:c r="F1729" i="3"/>
  <x:c r="F1427" i="3"/>
  <x:c r="F1525" i="3"/>
  <x:c r="F1448" i="3"/>
  <x:c r="F1148" i="3"/>
  <x:c r="F1199" i="3"/>
  <x:c r="F1135" i="3"/>
  <x:c r="F1433" i="3"/>
  <x:c r="F1521" i="3"/>
  <x:c r="F1347" i="3"/>
  <x:c r="F1027" i="3"/>
  <x:c r="F1520" i="3"/>
  <x:c r="F1283" i="3"/>
  <x:c r="F1340" i="3"/>
  <x:c r="F1294" i="3"/>
  <x:c r="F1358" i="3"/>
  <x:c r="F1020" i="3"/>
  <x:c r="F1219" i="3"/>
  <x:c r="F1091" i="3"/>
  <x:c r="F1270" i="3"/>
  <x:c r="F1432" i="3"/>
  <x:c r="F1577" i="3"/>
  <x:c r="F1769" i="3"/>
  <x:c r="F1558" i="3"/>
  <x:c r="F1750" i="3"/>
  <x:c r="F1814" i="3"/>
  <x:c r="F1510" i="3"/>
  <x:c r="F1942" i="3"/>
  <x:c r="F1622" i="3"/>
  <x:c r="F1405" i="3"/>
  <x:c r="F1417" i="3"/>
  <x:c r="F1878" i="3"/>
  <x:c r="F1686" i="3"/>
  <x:c r="F1425" i="3"/>
  <x:c r="F1338" i="3"/>
  <x:c r="F1475" i="3"/>
  <x:c r="F1327" i="3"/>
  <x:c r="F1274" i="3"/>
  <x:c r="F1276" i="3"/>
  <x:c r="F1071" i="3"/>
  <x:c r="F1263" i="3"/>
  <x:c r="F1212" i="3"/>
  <x:c r="F1815" i="3"/>
  <x:c r="F1669" i="3"/>
  <x:c r="F1850" i="3"/>
  <x:c r="F1687" i="3"/>
  <x:c r="F1594" i="3"/>
  <x:c r="F1367" i="3"/>
  <x:c r="F1623" i="3"/>
  <x:c r="F1844" i="3"/>
  <x:c r="F1530" i="3"/>
  <x:c r="F1879" i="3"/>
  <x:c r="F1716" i="3"/>
  <x:c r="F1943" i="3"/>
  <x:c r="F1431" i="3"/>
  <x:c r="F1402" i="3"/>
  <x:c r="F1495" i="3"/>
  <x:c r="F1559" i="3"/>
  <x:c r="F1652" i="3"/>
  <x:c r="F1908" i="3"/>
  <x:c r="F1641" i="3"/>
  <x:c r="F1780" i="3"/>
  <x:c r="F1588" i="3"/>
  <x:c r="F1961" i="3"/>
  <x:c r="F1897" i="3"/>
  <x:c r="F1705" i="3"/>
  <x:c r="F1833" i="3"/>
  <x:c r="F1751" i="3"/>
  <x:c r="F1733" i="3"/>
  <x:c r="F1786" i="3"/>
  <x:c r="F1797" i="3"/>
  <x:c r="F1466" i="3"/>
  <x:c r="F1605" i="3"/>
  <x:c r="F1541" i="3"/>
  <x:c r="F1914" i="3"/>
  <x:c r="F1658" i="3"/>
  <x:c r="F1722" i="3"/>
  <x:c r="F1299" i="3"/>
  <x:c r="F1310" i="3"/>
  <x:c r="F1235" i="3"/>
  <x:c r="F1309" i="3"/>
  <x:c r="F1406" i="3"/>
  <x:c r="F1476" i="3"/>
  <x:c r="F1168" i="3"/>
  <x:c r="F1384" i="3"/>
  <x:c r="F1089" i="3"/>
  <x:c r="F1456" i="3"/>
  <x:c r="F1368" i="3"/>
  <x:c r="F1208" i="3"/>
  <x:c r="F1171" i="3"/>
  <x:c r="F1106" i="3"/>
  <x:c r="F1304" i="3"/>
  <x:c r="F1081" i="3"/>
  <x:c r="F1198" i="3"/>
  <x:c r="F1280" i="3"/>
  <x:c r="F1352" i="3"/>
  <x:c r="F1222" i="3"/>
  <x:c r="F1049" i="3"/>
  <x:c r="F1043" i="3"/>
  <x:c r="F1165" i="3"/>
  <x:c r="F1237" i="3"/>
  <x:c r="F1218" i="3"/>
  <x:c r="F1247" i="3"/>
  <x:c r="F1625" i="3"/>
  <x:c r="F1278" i="3"/>
  <x:c r="F1192" i="3"/>
  <x:c r="F1097" i="3"/>
  <x:c r="F1396" i="3"/>
  <x:c r="F1120" i="3"/>
  <x:c r="F1404" i="3"/>
  <x:c r="F1331" i="3"/>
  <x:c r="F1194" i="3"/>
  <x:c r="F1966" i="3"/>
  <x:c r="F1374" i="3"/>
  <x:c r="F1098" i="3"/>
  <x:c r="F1110" i="3"/>
  <x:c r="F1341" i="3"/>
  <x:c r="F1161" i="3"/>
  <x:c r="F1258" i="3"/>
  <x:c r="F1233" i="3"/>
  <x:c r="F1459" i="3"/>
  <x:c r="F1512" i="3"/>
  <x:c r="F1732" i="3"/>
  <x:c r="F1051" i="3"/>
  <x:c r="F1225" i="3"/>
  <x:c r="F1095" i="3"/>
  <x:c r="F1024" i="3"/>
  <x:c r="F1172" i="3"/>
  <x:c r="F1875" i="3"/>
  <x:c r="F1261" i="3"/>
  <x:c r="F1939" i="3"/>
  <x:c r="F1118" i="3"/>
  <x:c r="F1688" i="3"/>
  <x:c r="F1811" i="3"/>
  <x:c r="F1869" i="3"/>
  <x:c r="F1677" i="3"/>
  <x:c r="F1880" i="3"/>
  <x:c r="F1741" i="3"/>
  <x:c r="F1613" i="3"/>
  <x:c r="F1752" i="3"/>
  <x:c r="F1747" i="3"/>
  <x:c r="F1560" i="3"/>
  <x:c r="F1344" i="3"/>
  <x:c r="F1922" i="3"/>
  <x:c r="F1944" i="3"/>
  <x:c r="F1619" i="3"/>
  <x:c r="F1555" i="3"/>
  <x:c r="F1933" i="3"/>
  <x:c r="F1816" i="3"/>
  <x:c r="F1354" i="3"/>
  <x:c r="F1805" i="3"/>
  <x:c r="F1858" i="3"/>
  <x:c r="F1422" i="3"/>
  <x:c r="F1730" i="3"/>
  <x:c r="F1538" i="3"/>
  <x:c r="F1860" i="3"/>
  <x:c r="F1474" i="3"/>
  <x:c r="F1624" i="3"/>
  <x:c r="F1549" i="3"/>
  <x:c r="F1887" i="3"/>
  <x:c r="F1683" i="3"/>
  <x:c r="F1951" i="3"/>
  <x:c r="F1823" i="3"/>
  <x:c r="F1666" i="3"/>
  <x:c r="F1602" i="3"/>
  <x:c r="F1410" i="3"/>
  <x:c r="F1631" i="3"/>
  <x:c r="F1794" i="3"/>
  <x:c r="F1695" i="3"/>
  <x:c r="F1759" i="3"/>
  <x:c r="F1375" i="3"/>
  <x:c r="F1503" i="3"/>
  <x:c r="F1852" i="3"/>
  <x:c r="F1950" i="3"/>
  <x:c r="F1886" i="3"/>
  <x:c r="F1822" i="3"/>
  <x:c r="F1567" i="3"/>
  <x:c r="F1532" i="3"/>
  <x:c r="F1905" i="3"/>
  <x:c r="F1649" i="3"/>
  <x:c r="F1660" i="3"/>
  <x:c r="F1788" i="3"/>
  <x:c r="F1596" i="3"/>
  <x:c r="F1777" i="3"/>
  <x:c r="F1724" i="3"/>
  <x:c r="F1841" i="3"/>
  <x:c r="F1694" i="3"/>
  <x:c r="F1713" i="3"/>
  <x:c r="F1566" i="3"/>
  <x:c r="F1420" i="3"/>
  <x:c r="F1439" i="3"/>
  <x:c r="F1630" i="3"/>
  <x:c r="F1758" i="3"/>
  <x:c r="F1346" i="3"/>
  <x:c r="F1335" i="3"/>
  <x:c r="F1408" i="3"/>
  <x:c r="F1207" i="3"/>
  <x:c r="F1501" i="3"/>
  <x:c r="F1092" i="3"/>
  <x:c r="F1079" i="3"/>
  <x:c r="F1015" i="3"/>
  <x:c r="F1513" i="3"/>
  <x:c r="F1348" i="3"/>
  <x:c r="F1143" i="3"/>
  <x:c r="F1381" i="3"/>
  <x:c r="F1028" i="3"/>
  <x:c r="F1366" i="3"/>
  <x:c r="F1355" i="3"/>
  <x:c r="F1302" i="3"/>
  <x:c r="F1436" i="3"/>
  <x:c r="F1362" i="3"/>
  <x:c r="F1220" i="3"/>
  <x:c r="F1156" i="3"/>
  <x:c r="F1305" i="3"/>
  <x:c r="F1227" i="3"/>
  <x:c r="F1284" i="3"/>
  <x:c r="F1117" i="3"/>
  <x:c r="F1451" i="3"/>
  <x:c r="F1453" i="3"/>
  <x:c r="F1473" i="3"/>
  <x:c r="F1163" i="3"/>
  <x:c r="F1035" i="3"/>
  <x:c r="F1099" i="3"/>
  <x:c r="F1086" i="3"/>
  <x:c r="F1205" i="3"/>
  <x:c r="F1273" i="3"/>
  <x:c r="F1365" i="3"/>
  <x:c r="F1537" i="3"/>
  <x:c r="F1435" i="3"/>
  <x:c r="F1181" i="3"/>
  <x:c r="F1112" i="3"/>
  <x:c r="F1241" i="3"/>
  <x:c r="F1798" i="3"/>
  <x:c r="F1542" i="3"/>
  <x:c r="F1216" i="3"/>
  <x:c r="F1322" i="3"/>
  <x:c r="F1321" i="3"/>
  <x:c r="F1277" i="3"/>
  <x:c r="F1021" i="3"/>
  <x:c r="F1055" i="3"/>
  <x:c r="F1296" i="3"/>
  <x:c r="F1324" i="3"/>
  <x:c r="F1046" i="3"/>
  <x:c r="F1497" i="3"/>
  <x:c r="F1421" i="3"/>
  <x:c r="F1132" i="3"/>
  <x:c r="F1753" i="3"/>
  <x:c r="F1139" i="3"/>
  <x:c r="F1311" i="3"/>
  <x:c r="F1271" i="3"/>
  <x:c r="F1507" i="3"/>
  <x:c r="F1298" i="3"/>
  <x:c r="F1774" i="3"/>
  <x:c r="F1137" i="3"/>
  <x:c r="F1760" i="3"/>
  <x:c r="F1813" i="3"/>
  <x:c r="F1282" i="3"/>
  <x:c r="F1159" i="3"/>
  <x:c r="F1034" i="3"/>
  <x:c r="F1176" i="3"/>
  <x:c r="F1236" i="3"/>
  <x:c r="F1409" i="3"/>
  <x:c r="F1803" i="3"/>
  <x:c r="F1301" i="3"/>
  <x:c r="F1281" i="3"/>
  <x:c r="F1320" i="3"/>
  <x:c r="F1214" i="3"/>
  <x:c r="F1201" i="3"/>
  <x:c r="F1739" i="3"/>
  <x:c r="F1872" i="3"/>
  <x:c r="F1611" i="3"/>
  <x:c r="F1936" i="3"/>
  <x:c r="F1616" i="3"/>
  <x:c r="F1037" i="3"/>
  <x:c r="F1744" i="3"/>
  <x:c r="F1680" i="3"/>
  <x:c r="F1931" i="3"/>
  <x:c r="F1552" i="3"/>
  <x:c r="F1861" i="3"/>
  <x:c r="F1808" i="3"/>
  <x:c r="F1925" i="3"/>
  <x:c r="F1867" i="3"/>
  <x:c r="F1675" i="3"/>
  <x:c r="F1482" i="3"/>
  <x:c r="F1674" i="3"/>
  <x:c r="F1621" i="3"/>
  <x:c r="F1160" i="3"/>
  <x:c r="F1627" i="3"/>
  <x:c r="F1418" i="3"/>
  <x:c r="F1755" i="3"/>
  <x:c r="F1802" i="3"/>
  <x:c r="F1738" i="3"/>
  <x:c r="F1632" i="3"/>
  <x:c r="F1557" i="3"/>
  <x:c r="F1749" i="3"/>
  <x:c r="F1685" i="3"/>
  <x:c r="F1877" i="3"/>
  <x:c r="F1866" i="3"/>
  <x:c r="F1547" i="3"/>
  <x:c r="F1563" i="3"/>
  <x:c r="F1952" i="3"/>
  <x:c r="F1696" i="3"/>
  <x:c r="F1883" i="3"/>
  <x:c r="F1941" i="3"/>
  <x:c r="F1610" i="3"/>
  <x:c r="F1930" i="3"/>
  <x:c r="F1824" i="3"/>
  <x:c r="F1568" i="3"/>
  <x:c r="F1888" i="3"/>
  <x:c r="F1959" i="3"/>
  <x:c r="F1831" i="3"/>
  <x:c r="F1575" i="3"/>
  <x:c r="F1721" i="3"/>
  <x:c r="F1767" i="3"/>
  <x:c r="F1849" i="3"/>
  <x:c r="F1546" i="3"/>
  <x:c r="F1604" i="3"/>
  <x:c r="F1703" i="3"/>
  <x:c r="F1785" i="3"/>
  <x:c r="F1657" i="3"/>
  <x:c r="F1924" i="3"/>
  <x:c r="F1447" i="3"/>
  <x:c r="F1830" i="3"/>
  <x:c r="F1383" i="3"/>
  <x:c r="F1574" i="3"/>
  <x:c r="F1796" i="3"/>
  <x:c r="F1504" i="3"/>
  <x:c r="F1894" i="3"/>
  <x:c r="F1639" i="3"/>
  <x:c r="F1895" i="3"/>
  <x:c r="F1668" i="3"/>
  <x:c r="F1913" i="3"/>
  <x:c r="F1540" i="3"/>
  <x:c r="F1593" i="3"/>
  <x:c r="F1544" i="3"/>
  <x:c r="F1958" i="3"/>
  <x:c r="F1511" i="3"/>
  <x:c r="F1947" i="3"/>
  <x:c r="F1766" i="3"/>
  <x:c r="F1529" i="3"/>
  <x:c r="F1151" i="3"/>
  <x:c r="F1446" i="3"/>
  <x:c r="F1343" i="3"/>
  <x:c r="F1411" i="3"/>
  <x:c r="F1356" i="3"/>
  <x:c r="F1228" i="3"/>
  <x:c r="F1279" i="3"/>
  <x:c r="F1361" i="3"/>
  <x:c r="F1454" i="3"/>
  <x:c r="F1477" i="3"/>
  <x:c r="F1215" i="3"/>
  <x:c r="F1290" i="3"/>
  <x:c r="F1313" i="3"/>
  <x:c r="F1638" i="3"/>
  <x:c r="F1087" i="3"/>
  <x:c r="F1164" i="3"/>
  <x:c r="F1462" i="3"/>
  <x:c r="F1036" i="3"/>
  <x:c r="F1100" i="3"/>
  <x:c r="F1702" i="3"/>
  <x:c r="F1292" i="3"/>
  <x:c r="F1023" i="3"/>
  <x:c r="F1107" i="3"/>
  <x:c r="F1363" i="3"/>
  <x:c r="F1369" i="3"/>
  <x:c r="F1461" i="3"/>
  <x:c r="F1819" i="3"/>
  <x:c r="F1691" i="3"/>
  <x:c r="F1224" i="3"/>
  <x:c r="A1006" i="3"/>
  <x:c r="B1976" i="3" l="1"/>
  <x:c r="C1010" i="3"/>
  <x:c r="B1010" i="3"/>
  <x:c r="B1984" i="3" l="1"/>
  <x:c r="B1982" i="3"/>
  <x:c r="B1980" i="3"/>
  <x:c r="B1992" i="3"/>
  <x:c r="B1990" i="3"/>
  <x:c r="B1988" i="3"/>
  <x:c r="O1994" i="3" l="1"/>
  <x:c r="O1995" i="3" s="1"/>
  <x:c r="G1994" i="3"/>
  <x:c r="G1995" i="3" s="1"/>
  <x:c r="N1994" i="3"/>
  <x:c r="N1995" i="3" s="1"/>
  <x:c r="F1994" i="3"/>
  <x:c r="F1995" i="3" s="1"/>
  <x:c r="M1994" i="3"/>
  <x:c r="M1995" i="3" s="1"/>
  <x:c r="E1994" i="3"/>
  <x:c r="E1995" i="3" s="1"/>
  <x:c r="L1994" i="3"/>
  <x:c r="L1995" i="3" s="1"/>
  <x:c r="D1994" i="3"/>
  <x:c r="D1995" i="3" s="1"/>
  <x:c r="K1994" i="3"/>
  <x:c r="K1995" i="3" s="1"/>
  <x:c r="C1994" i="3"/>
  <x:c r="C1995" i="3" s="1"/>
  <x:c r="J1994" i="3"/>
  <x:c r="J1995" i="3" s="1"/>
  <x:c r="B1994" i="3"/>
  <x:c r="B1995" i="3" s="1"/>
  <x:c r="I1994" i="3"/>
  <x:c r="I1995" i="3" s="1"/>
  <x:c r="P1994" i="3"/>
  <x:c r="P1995" i="3" s="1"/>
  <x:c r="H1994" i="3"/>
  <x:c r="H1995" i="3" s="1"/>
  <x:c r="K1986" i="3"/>
  <x:c r="K1987" i="3" s="1"/>
  <x:c r="C1986" i="3"/>
  <x:c r="C1987" i="3" s="1"/>
  <x:c r="J1986" i="3"/>
  <x:c r="J1987" i="3" s="1"/>
  <x:c r="B1986" i="3"/>
  <x:c r="B1987" i="3" s="1"/>
  <x:c r="I1986" i="3"/>
  <x:c r="I1987" i="3" s="1"/>
  <x:c r="P1986" i="3"/>
  <x:c r="P1987" i="3" s="1"/>
  <x:c r="H1986" i="3"/>
  <x:c r="H1987" i="3" s="1"/>
  <x:c r="O1986" i="3"/>
  <x:c r="O1987" i="3" s="1"/>
  <x:c r="G1986" i="3"/>
  <x:c r="G1987" i="3" s="1"/>
  <x:c r="N1986" i="3"/>
  <x:c r="N1987" i="3" s="1"/>
  <x:c r="F1986" i="3"/>
  <x:c r="F1987" i="3" s="1"/>
  <x:c r="M1986" i="3"/>
  <x:c r="M1987" i="3" s="1"/>
  <x:c r="E1986" i="3"/>
  <x:c r="E1987" i="3" s="1"/>
  <x:c r="L1986" i="3"/>
  <x:c r="L1987" i="3" s="1"/>
  <x:c r="D1986" i="3"/>
  <x:c r="D1987" i="3" s="1"/>
  <x:c r="B1012" i="3" l="1"/>
  <x:c r="AB2" i="3"/>
  <x:c r="N2" i="3"/>
  <x:c r="N2" i="2" s="1"/>
  <x:c r="R2" i="3"/>
  <x:c r="R2" i="2" s="1"/>
  <x:c r="AF2" i="3"/>
  <x:c r="J2" i="3"/>
  <x:c r="J2" i="2" s="1"/>
  <x:c r="X2" i="3"/>
  <x:c r="AC2" i="3"/>
  <x:c r="O2" i="3"/>
  <x:c r="O2" i="2" s="1"/>
  <x:c r="H2" i="3"/>
  <x:c r="H2" i="2" s="1"/>
  <x:c r="V2" i="3"/>
  <x:c r="L2" i="3"/>
  <x:c r="L2" i="2" s="1"/>
  <x:c r="Z2" i="3"/>
  <x:c r="S2" i="3"/>
  <x:c r="S2" i="2" s="1"/>
  <x:c r="AG2" i="3"/>
  <x:c r="U2" i="3"/>
  <x:c r="G2" i="3"/>
  <x:c r="G2" i="2" s="1"/>
  <x:c r="I2" i="3"/>
  <x:c r="I2" i="2" s="1"/>
  <x:c r="W2" i="3"/>
  <x:c r="AA2" i="3"/>
  <x:c r="M2" i="3"/>
  <x:c r="M2" i="2" s="1"/>
  <x:c r="K2" i="3"/>
  <x:c r="K2" i="2" s="1"/>
  <x:c r="Y2" i="3"/>
  <x:c r="AD2" i="3"/>
  <x:c r="P2" i="3"/>
  <x:c r="P2" i="2" s="1"/>
  <x:c r="Q2" i="3"/>
  <x:c r="Q2" i="2" s="1"/>
  <x:c r="AE2" i="3"/>
  <x:c r="T2" i="3"/>
  <x:c r="F2" i="3"/>
  <x:c r="F2" i="2" s="1"/>
  <x:c r="R994" i="3"/>
  <x:c r="N990" i="3"/>
  <x:c r="Q985" i="3"/>
  <x:c r="Q994" i="3"/>
  <x:c r="M990" i="3"/>
  <x:c r="M993" i="3"/>
  <x:c r="P988" i="3"/>
  <x:c r="H989" i="3"/>
  <x:c r="F984" i="3"/>
  <x:c r="M978" i="3"/>
  <x:c r="O972" i="3"/>
  <x:c r="R967" i="3"/>
  <x:c r="N963" i="3"/>
  <x:c r="O994" i="3"/>
  <x:c r="S986" i="3"/>
  <x:c r="L980" i="3"/>
  <x:c r="H976" i="3"/>
  <x:c r="J970" i="3"/>
  <x:c r="F966" i="3"/>
  <x:c r="H960" i="3"/>
  <x:c r="M985" i="3"/>
  <x:c r="Q978" i="3"/>
  <x:c r="N972" i="3"/>
  <x:c r="J966" i="3"/>
  <x:c r="K959" i="3"/>
  <x:c r="H952" i="3"/>
  <x:c r="K947" i="3"/>
  <x:c r="G943" i="3"/>
  <x:c r="S992" i="3"/>
  <x:c r="L985" i="3"/>
  <x:c r="F978" i="3"/>
  <x:c r="G971" i="3"/>
  <x:c r="L965" i="3"/>
  <x:c r="S956" i="3"/>
  <x:c r="N951" i="3"/>
  <x:c r="Q946" i="3"/>
  <x:c r="M942" i="3"/>
  <x:c r="N988" i="3"/>
  <x:c r="N980" i="3"/>
  <x:c r="N973" i="3"/>
  <x:c r="F968" i="3"/>
  <x:c r="R961" i="3"/>
  <x:c r="O955" i="3"/>
  <x:c r="Q949" i="3"/>
  <x:c r="M945" i="3"/>
  <x:c r="P940" i="3"/>
  <x:c r="J987" i="3"/>
  <x:c r="Q973" i="3"/>
  <x:c r="F965" i="3"/>
  <x:c r="O953" i="3"/>
  <x:c r="H947" i="3"/>
  <x:c r="G940" i="3"/>
  <x:c r="N935" i="3"/>
  <x:c r="P929" i="3"/>
  <x:c r="S924" i="3"/>
  <x:c r="R992" i="3"/>
  <x:c r="F980" i="3"/>
  <x:c r="J969" i="3"/>
  <x:c r="G956" i="3"/>
  <x:c r="F947" i="3"/>
  <x:c r="Q940" i="3"/>
  <x:c r="F936" i="3"/>
  <x:c r="I931" i="3"/>
  <x:c r="K925" i="3"/>
  <x:c r="Q992" i="3"/>
  <x:c r="S978" i="3"/>
  <x:c r="H969" i="3"/>
  <x:c r="R956" i="3"/>
  <x:c r="H995" i="3"/>
  <x:c r="H983" i="3"/>
  <x:c r="I971" i="3"/>
  <x:c r="I960" i="3"/>
  <x:c r="S950" i="3"/>
  <x:c r="M943" i="3"/>
  <x:c r="F938" i="3"/>
  <x:c r="I933" i="3"/>
  <x:c r="K927" i="3"/>
  <x:c r="G923" i="3"/>
  <x:c r="N985" i="3"/>
  <x:c r="L975" i="3"/>
  <x:c r="J963" i="3"/>
  <x:c r="M952" i="3"/>
  <x:c r="F945" i="3"/>
  <x:c r="F939" i="3"/>
  <x:c r="I934" i="3"/>
  <x:c r="S928" i="3"/>
  <x:c r="O924" i="3"/>
  <x:c r="S970" i="3"/>
  <x:c r="R949" i="3"/>
  <x:c r="I936" i="3"/>
  <x:c r="H927" i="3"/>
  <x:c r="S919" i="3"/>
  <x:c r="N914" i="3"/>
  <x:c r="Q909" i="3"/>
  <x:c r="M905" i="3"/>
  <x:c r="P900" i="3"/>
  <x:c r="S895" i="3"/>
  <x:c r="O891" i="3"/>
  <x:c r="R886" i="3"/>
  <x:c r="K993" i="3"/>
  <x:c r="P970" i="3"/>
  <x:c r="L946" i="3"/>
  <x:c r="G934" i="3"/>
  <x:c r="F924" i="3"/>
  <x:c r="O916" i="3"/>
  <x:c r="G993" i="3"/>
  <x:c r="K966" i="3"/>
  <x:c r="H943" i="3"/>
  <x:c r="F926" i="3"/>
  <x:c r="I919" i="3"/>
  <x:c r="K913" i="3"/>
  <x:c r="G909" i="3"/>
  <x:c r="J904" i="3"/>
  <x:c r="F900" i="3"/>
  <x:c r="I895" i="3"/>
  <x:c r="L890" i="3"/>
  <x:c r="H886" i="3"/>
  <x:c r="K881" i="3"/>
  <x:c r="M956" i="3"/>
  <x:c r="R938" i="3"/>
  <x:c r="Q927" i="3"/>
  <x:c r="P919" i="3"/>
  <x:c r="R913" i="3"/>
  <x:c r="N909" i="3"/>
  <x:c r="Q904" i="3"/>
  <x:c r="M900" i="3"/>
  <x:c r="P895" i="3"/>
  <x:c r="S890" i="3"/>
  <x:c r="O886" i="3"/>
  <x:c r="R881" i="3"/>
  <x:c r="N877" i="3"/>
  <x:c r="Q872" i="3"/>
  <x:c r="M868" i="3"/>
  <x:c r="H863" i="3"/>
  <x:c r="K858" i="3"/>
  <x:c r="G854" i="3"/>
  <x:c r="I848" i="3"/>
  <x:c r="J977" i="3"/>
  <x:c r="J956" i="3"/>
  <x:c r="O938" i="3"/>
  <x:c r="Q929" i="3"/>
  <x:c r="Q921" i="3"/>
  <x:c r="S915" i="3"/>
  <x:c r="O911" i="3"/>
  <x:c r="R906" i="3"/>
  <x:c r="N902" i="3"/>
  <x:c r="Q897" i="3"/>
  <x:c r="M893" i="3"/>
  <x:c r="P888" i="3"/>
  <x:c r="S883" i="3"/>
  <x:c r="O879" i="3"/>
  <x:c r="R874" i="3"/>
  <x:c r="N870" i="3"/>
  <x:c r="P864" i="3"/>
  <x:c r="S859" i="3"/>
  <x:c r="O855" i="3"/>
  <x:c r="R850" i="3"/>
  <x:c r="G965" i="3"/>
  <x:c r="R911" i="3"/>
  <x:c r="R903" i="3"/>
  <x:c r="R895" i="3"/>
  <x:c r="R887" i="3"/>
  <x:c r="K880" i="3"/>
  <x:c r="P874" i="3"/>
  <x:c r="G869" i="3"/>
  <x:c r="K861" i="3"/>
  <x:c r="S855" i="3"/>
  <x:c r="L850" i="3"/>
  <x:c r="L843" i="3"/>
  <x:c r="H839" i="3"/>
  <x:c r="K834" i="3"/>
  <x:c r="G830" i="3"/>
  <x:c r="Q824" i="3"/>
  <x:c r="M820" i="3"/>
  <x:c r="O814" i="3"/>
  <x:c r="R809" i="3"/>
  <x:c r="J948" i="3"/>
  <x:c r="K929" i="3"/>
  <x:c r="H915" i="3"/>
  <x:c r="N905" i="3"/>
  <x:c r="N897" i="3"/>
  <x:c r="N889" i="3"/>
  <x:c r="P881" i="3"/>
  <x:c r="N874" i="3"/>
  <x:c r="I868" i="3"/>
  <x:c r="I861" i="3"/>
  <x:c r="J854" i="3"/>
  <x:c r="K847" i="3"/>
  <x:c r="I842" i="3"/>
  <x:c r="L837" i="3"/>
  <x:c r="H833" i="3"/>
  <x:c r="K828" i="3"/>
  <x:c r="G986" i="3"/>
  <x:c r="J945" i="3"/>
  <x:c r="I927" i="3"/>
  <x:c r="N912" i="3"/>
  <x:c r="M904" i="3"/>
  <x:c r="M896" i="3"/>
  <x:c r="M888" i="3"/>
  <x:c r="S880" i="3"/>
  <x:c r="M874" i="3"/>
  <x:c r="R868" i="3"/>
  <x:c r="R861" i="3"/>
  <x:c r="K856" i="3"/>
  <x:c r="Q850" i="3"/>
  <x:c r="J844" i="3"/>
  <x:c r="F840" i="3"/>
  <x:c r="I835" i="3"/>
  <x:c r="L830" i="3"/>
  <x:c r="G825" i="3"/>
  <x:c r="J820" i="3"/>
  <x:c r="F816" i="3"/>
  <x:c r="P810" i="3"/>
  <x:c r="L938" i="3"/>
  <x:c r="G921" i="3"/>
  <x:c r="H906" i="3"/>
  <x:c r="G896" i="3"/>
  <x:c r="G884" i="3"/>
  <x:c r="P877" i="3"/>
  <x:c r="L871" i="3"/>
  <x:c r="R863" i="3"/>
  <x:c r="N857" i="3"/>
  <x:c r="J851" i="3"/>
  <x:c r="P844" i="3"/>
  <x:c r="S839" i="3"/>
  <x:c r="O835" i="3"/>
  <x:c r="R830" i="3"/>
  <x:c r="M825" i="3"/>
  <x:c r="S949" i="3"/>
  <x:c r="J928" i="3"/>
  <x:c r="G913" i="3"/>
  <x:c r="R899" i="3"/>
  <x:c r="R883" i="3"/>
  <x:c r="R876" i="3"/>
  <x:c r="F912" i="3"/>
  <x:c r="S892" i="3"/>
  <x:c r="S876" i="3"/>
  <x:c r="Q862" i="3"/>
  <x:c r="F851" i="3"/>
  <x:c r="G837" i="3"/>
  <x:c r="Q822" i="3"/>
  <x:c r="L816" i="3"/>
  <x:c r="K808" i="3"/>
  <x:c r="G804" i="3"/>
  <x:c r="M894" i="3"/>
  <x:c r="O872" i="3"/>
  <x:c r="O948" i="3"/>
  <x:c r="S953" i="3"/>
  <x:c r="L885" i="3"/>
  <x:c r="J872" i="3"/>
  <x:c r="L858" i="3"/>
  <x:c r="K904" i="3"/>
  <x:c r="Q874" i="3"/>
  <x:c r="Q861" i="3"/>
  <x:c r="I850" i="3"/>
  <x:c r="K840" i="3"/>
  <x:c r="K832" i="3"/>
  <x:c r="O823" i="3"/>
  <x:c r="L817" i="3"/>
  <x:c r="H897" i="3"/>
  <x:c r="L874" i="3"/>
  <x:c r="L861" i="3"/>
  <x:c r="S848" i="3"/>
  <x:c r="H840" i="3"/>
  <x:c r="H832" i="3"/>
  <x:c r="L823" i="3"/>
  <x:c r="I817" i="3"/>
  <x:c r="J810" i="3"/>
  <x:c r="I805" i="3"/>
  <x:c r="I900" i="3"/>
  <x:c r="S865" i="3"/>
  <x:c r="J840" i="3"/>
  <x:c r="O828" i="3"/>
  <x:c r="R814" i="3"/>
  <x:c r="O806" i="3"/>
  <x:c r="H801" i="3"/>
  <x:c r="J795" i="3"/>
  <x:c r="L789" i="3"/>
  <x:c r="H785" i="3"/>
  <x:c r="K780" i="3"/>
  <x:c r="F775" i="3"/>
  <x:c r="I770" i="3"/>
  <x:c r="S764" i="3"/>
  <x:c r="O760" i="3"/>
  <x:c r="R755" i="3"/>
  <x:c r="N751" i="3"/>
  <x:c r="Q746" i="3"/>
  <x:c r="S740" i="3"/>
  <x:c r="Q991" i="3"/>
  <x:c r="N865" i="3"/>
  <x:c r="R842" i="3"/>
  <x:c r="R826" i="3"/>
  <x:c r="S812" i="3"/>
  <x:c r="N806" i="3"/>
  <x:c r="O801" i="3"/>
  <x:c r="J796" i="3"/>
  <x:c r="F792" i="3"/>
  <x:c r="P786" i="3"/>
  <x:c r="S781" i="3"/>
  <x:c r="N776" i="3"/>
  <x:c r="Q771" i="3"/>
  <x:c r="M767" i="3"/>
  <x:c r="H762" i="3"/>
  <x:c r="K757" i="3"/>
  <x:c r="G753" i="3"/>
  <x:c r="J748" i="3"/>
  <x:c r="L742" i="3"/>
  <x:c r="H738" i="3"/>
  <x:c r="P899" i="3"/>
  <x:c r="H857" i="3"/>
  <x:c r="R839" i="3"/>
  <x:c r="O826" i="3"/>
  <x:c r="O816" i="3"/>
  <x:c r="H807" i="3"/>
  <x:c r="G802" i="3"/>
  <x:c r="Q796" i="3"/>
  <x:c r="M792" i="3"/>
  <x:c r="H787" i="3"/>
  <x:c r="K782" i="3"/>
  <x:c r="G778" i="3"/>
  <x:c r="I772" i="3"/>
  <x:c r="L767" i="3"/>
  <x:c r="G762" i="3"/>
  <x:c r="J757" i="3"/>
  <x:c r="F753" i="3"/>
  <x:c r="I748" i="3"/>
  <x:c r="S742" i="3"/>
  <x:c r="O738" i="3"/>
  <x:c r="F889" i="3"/>
  <x:c r="I853" i="3"/>
  <x:c r="K835" i="3"/>
  <x:c r="N820" i="3"/>
  <x:c r="S811" i="3"/>
  <x:c r="J804" i="3"/>
  <x:c r="J798" i="3"/>
  <x:c r="F794" i="3"/>
  <x:c r="H788" i="3"/>
  <x:c r="K783" i="3"/>
  <x:c r="G779" i="3"/>
  <x:c r="Q773" i="3"/>
  <x:c r="M769" i="3"/>
  <x:c r="O763" i="3"/>
  <x:c r="R758" i="3"/>
  <x:c r="N754" i="3"/>
  <x:c r="Q749" i="3"/>
  <x:c r="M745" i="3"/>
  <x:c r="H740" i="3"/>
  <x:c r="O913" i="3"/>
  <x:c r="P854" i="3"/>
  <x:c r="I838" i="3"/>
  <x:c r="Q823" i="3"/>
  <x:c r="J814" i="3"/>
  <x:c r="F807" i="3"/>
  <x:c r="O874" i="3"/>
  <x:c r="N822" i="3"/>
  <x:c r="Q801" i="3"/>
  <x:c r="S787" i="3"/>
  <x:c r="Q776" i="3"/>
  <x:c r="S763" i="3"/>
  <x:c r="Q753" i="3"/>
  <x:c r="Q742" i="3"/>
  <x:c r="P734" i="3"/>
  <x:c r="S729" i="3"/>
  <x:c r="N724" i="3"/>
  <x:c r="Q719" i="3"/>
  <x:c r="M715" i="3"/>
  <x:c r="I894" i="3"/>
  <x:c r="M822" i="3"/>
  <x:c r="S804" i="3"/>
  <x:c r="N795" i="3"/>
  <x:c r="M786" i="3"/>
  <x:c r="M778" i="3"/>
  <x:c r="L769" i="3"/>
  <x:c r="P760" i="3"/>
  <x:c r="P752" i="3"/>
  <x:c r="P743" i="3"/>
  <x:c r="I736" i="3"/>
  <x:c r="L731" i="3"/>
  <x:c r="G726" i="3"/>
  <x:c r="J721" i="3"/>
  <x:c r="F717" i="3"/>
  <x:c r="I712" i="3"/>
  <x:c r="K706" i="3"/>
  <x:c r="G702" i="3"/>
  <x:c r="I696" i="3"/>
  <x:c r="L691" i="3"/>
  <x:c r="M873" i="3"/>
  <x:c r="K822" i="3"/>
  <x:c r="M803" i="3"/>
  <x:c r="L794" i="3"/>
  <x:c r="K785" i="3"/>
  <x:c r="K776" i="3"/>
  <x:c r="K768" i="3"/>
  <x:c r="O759" i="3"/>
  <x:c r="O751" i="3"/>
  <x:c r="O742" i="3"/>
  <x:c r="O735" i="3"/>
  <x:c r="R730" i="3"/>
  <x:c r="M725" i="3"/>
  <x:c r="P720" i="3"/>
  <x:c r="S715" i="3"/>
  <x:c r="N710" i="3"/>
  <x:c r="Q705" i="3"/>
  <x:c r="L700" i="3"/>
  <x:c r="H696" i="3"/>
  <x:c r="K691" i="3"/>
  <x:c r="O868" i="3"/>
  <x:c r="P809" i="3"/>
  <x:c r="N798" i="3"/>
  <x:c r="N789" i="3"/>
  <x:c r="N781" i="3"/>
  <x:c r="M772" i="3"/>
  <x:c r="L763" i="3"/>
  <x:c r="L755" i="3"/>
  <x:c r="L747" i="3"/>
  <x:c r="K738" i="3"/>
  <x:c r="S732" i="3"/>
  <x:c r="O728" i="3"/>
  <x:c r="Q722" i="3"/>
  <x:c r="M718" i="3"/>
  <x:c r="P713" i="3"/>
  <x:c r="R707" i="3"/>
  <x:c r="N703" i="3"/>
  <x:c r="I698" i="3"/>
  <x:c r="L693" i="3"/>
  <x:c r="N920" i="3"/>
  <x:c r="Q841" i="3"/>
  <x:c r="N807" i="3"/>
  <x:c r="L796" i="3"/>
  <x:c r="K787" i="3"/>
  <x:c r="K779" i="3"/>
  <x:c r="J770" i="3"/>
  <x:c r="I761" i="3"/>
  <x:c r="I753" i="3"/>
  <x:c r="I745" i="3"/>
  <x:c r="N736" i="3"/>
  <x:c r="Q731" i="3"/>
  <x:c r="L726" i="3"/>
  <x:c r="H722" i="3"/>
  <x:c r="K717" i="3"/>
  <x:c r="G713" i="3"/>
  <x:c r="Q707" i="3"/>
  <x:c r="M703" i="3"/>
  <x:c r="O697" i="3"/>
  <x:c r="R692" i="3"/>
  <x:c r="P891" i="3"/>
  <x:c r="J823" i="3"/>
  <x:c r="M805" i="3"/>
  <x:c r="H792" i="3"/>
  <x:c r="N850" i="3"/>
  <x:c r="H812" i="3"/>
  <x:c r="F798" i="3"/>
  <x:c r="R785" i="3"/>
  <x:c r="F774" i="3"/>
  <x:c r="R761" i="3"/>
  <x:c r="R751" i="3"/>
  <x:c r="S738" i="3"/>
  <x:c r="P733" i="3"/>
  <x:c r="S728" i="3"/>
  <x:c r="N723" i="3"/>
  <x:c r="Q718" i="3"/>
  <x:c r="R840" i="3"/>
  <x:c r="G765" i="3"/>
  <x:c r="Q732" i="3"/>
  <x:c r="G715" i="3"/>
  <x:c r="K705" i="3"/>
  <x:c r="J696" i="3"/>
  <x:c r="R688" i="3"/>
  <x:c r="N684" i="3"/>
  <x:c r="Q679" i="3"/>
  <x:c r="M675" i="3"/>
  <x:c r="P670" i="3"/>
  <x:c r="R664" i="3"/>
  <x:c r="N660" i="3"/>
  <x:c r="Q655" i="3"/>
  <x:c r="M651" i="3"/>
  <x:c r="P646" i="3"/>
  <x:c r="R640" i="3"/>
  <x:c r="N636" i="3"/>
  <x:c r="Q631" i="3"/>
  <x:c r="M627" i="3"/>
  <x:c r="P622" i="3"/>
  <x:c r="G758" i="3"/>
  <x:c r="J725" i="3"/>
  <x:c r="H708" i="3"/>
  <x:c r="F697" i="3"/>
  <x:c r="I688" i="3"/>
  <x:c r="H821" i="3"/>
  <x:c r="S760" i="3"/>
  <x:c r="O723" i="3"/>
  <x:c r="G707" i="3"/>
  <x:c r="S694" i="3"/>
  <x:c r="O687" i="3"/>
  <x:c r="R682" i="3"/>
  <x:c r="N678" i="3"/>
  <x:c r="Q673" i="3"/>
  <x:c r="M669" i="3"/>
  <x:c r="O663" i="3"/>
  <x:c r="R658" i="3"/>
  <x:c r="N654" i="3"/>
  <x:c r="Q649" i="3"/>
  <x:c r="M645" i="3"/>
  <x:c r="O639" i="3"/>
  <x:c r="F764" i="3"/>
  <x:c r="N730" i="3"/>
  <x:c r="J994" i="3"/>
  <x:c r="F990" i="3"/>
  <x:c r="I985" i="3"/>
  <x:c r="I994" i="3"/>
  <x:c r="L989" i="3"/>
  <x:c r="L992" i="3"/>
  <x:c r="H988" i="3"/>
  <x:c r="M988" i="3"/>
  <x:c r="L983" i="3"/>
  <x:c r="L977" i="3"/>
  <x:c r="G972" i="3"/>
  <x:c r="J967" i="3"/>
  <x:c r="F963" i="3"/>
  <x:c r="R993" i="3"/>
  <x:c r="I986" i="3"/>
  <x:c r="S979" i="3"/>
  <x:c r="O975" i="3"/>
  <x:c r="Q969" i="3"/>
  <x:c r="M965" i="3"/>
  <x:c r="O959" i="3"/>
  <x:c r="Q984" i="3"/>
  <x:c r="G978" i="3"/>
  <x:c r="R971" i="3"/>
  <x:c r="N965" i="3"/>
  <x:c r="M957" i="3"/>
  <x:c r="O951" i="3"/>
  <x:c r="R946" i="3"/>
  <x:c r="N942" i="3"/>
  <x:c r="R991" i="3"/>
  <x:c r="N984" i="3"/>
  <x:c r="K977" i="3"/>
  <x:c r="K970" i="3"/>
  <x:c r="R964" i="3"/>
  <x:c r="K956" i="3"/>
  <x:c r="F951" i="3"/>
  <x:c r="I946" i="3"/>
  <x:c r="N995" i="3"/>
  <x:c r="N987" i="3"/>
  <x:c r="R979" i="3"/>
  <x:c r="S972" i="3"/>
  <x:c r="K967" i="3"/>
  <x:c r="G961" i="3"/>
  <x:c r="G955" i="3"/>
  <x:c r="I949" i="3"/>
  <x:c r="L944" i="3"/>
  <x:c r="H940" i="3"/>
  <x:c r="F986" i="3"/>
  <x:c r="Q972" i="3"/>
  <x:c r="P961" i="3"/>
  <x:c r="S952" i="3"/>
  <x:c r="K946" i="3"/>
  <x:c r="L939" i="3"/>
  <x:c r="F935" i="3"/>
  <x:c r="H929" i="3"/>
  <x:c r="K924" i="3"/>
  <x:c r="I991" i="3"/>
  <x:c r="S977" i="3"/>
  <x:c r="G968" i="3"/>
  <x:c r="I955" i="3"/>
  <x:c r="H946" i="3"/>
  <x:c r="F940" i="3"/>
  <x:c r="M935" i="3"/>
  <x:c r="O929" i="3"/>
  <x:c r="R924" i="3"/>
  <x:c r="H991" i="3"/>
  <x:c r="P977" i="3"/>
  <x:c r="R965" i="3"/>
  <x:c r="F956" i="3"/>
  <x:c r="O993" i="3"/>
  <x:c r="Q979" i="3"/>
  <x:c r="F970" i="3"/>
  <x:c r="H959" i="3"/>
  <x:c r="G950" i="3"/>
  <x:c r="P942" i="3"/>
  <x:c r="M937" i="3"/>
  <x:c r="P932" i="3"/>
  <x:c r="R926" i="3"/>
  <x:c r="N922" i="3"/>
  <x:c r="I984" i="3"/>
  <x:c r="J973" i="3"/>
  <x:c r="H961" i="3"/>
  <x:c r="P951" i="3"/>
  <x:c r="J944" i="3"/>
  <x:c r="M938" i="3"/>
  <x:c r="P933" i="3"/>
  <x:c r="K928" i="3"/>
  <x:c r="G924" i="3"/>
  <x:c r="O968" i="3"/>
  <x:c r="G948" i="3"/>
  <x:c r="H935" i="3"/>
  <x:c r="H926" i="3"/>
  <x:c r="K919" i="3"/>
  <x:c r="F914" i="3"/>
  <x:c r="I909" i="3"/>
  <x:c r="L904" i="3"/>
  <x:c r="H900" i="3"/>
  <x:c r="K895" i="3"/>
  <x:c r="G891" i="3"/>
  <x:c r="J886" i="3"/>
  <x:c r="K990" i="3"/>
  <x:c r="N968" i="3"/>
  <x:c r="S944" i="3"/>
  <x:c r="G933" i="3"/>
  <x:c r="L921" i="3"/>
  <x:c r="G916" i="3"/>
  <x:c r="H990" i="3"/>
  <x:c r="F964" i="3"/>
  <x:c r="O941" i="3"/>
  <x:c r="F925" i="3"/>
  <x:c r="O917" i="3"/>
  <x:c r="R912" i="3"/>
  <x:c r="N908" i="3"/>
  <x:c r="Q903" i="3"/>
  <x:c r="M899" i="3"/>
  <x:c r="P894" i="3"/>
  <x:c r="S889" i="3"/>
  <x:c r="O885" i="3"/>
  <x:c r="R880" i="3"/>
  <x:c r="K952" i="3"/>
  <x:c r="R937" i="3"/>
  <x:c r="S926" i="3"/>
  <x:c r="H919" i="3"/>
  <x:c r="J913" i="3"/>
  <x:c r="F909" i="3"/>
  <x:c r="I904" i="3"/>
  <x:c r="L899" i="3"/>
  <x:c r="H895" i="3"/>
  <x:c r="K890" i="3"/>
  <x:c r="G886" i="3"/>
  <x:c r="J881" i="3"/>
  <x:c r="F877" i="3"/>
  <x:c r="I872" i="3"/>
  <x:c r="S866" i="3"/>
  <x:c r="O862" i="3"/>
  <x:c r="R857" i="3"/>
  <x:c r="N853" i="3"/>
  <x:c r="P847" i="3"/>
  <x:c r="F975" i="3"/>
  <x:c r="J952" i="3"/>
  <x:c r="Q937" i="3"/>
  <x:c r="Q928" i="3"/>
  <x:c r="I921" i="3"/>
  <x:c r="K915" i="3"/>
  <x:c r="G911" i="3"/>
  <x:c r="J906" i="3"/>
  <x:c r="F902" i="3"/>
  <x:c r="I897" i="3"/>
  <x:c r="L892" i="3"/>
  <x:c r="H888" i="3"/>
  <x:c r="K883" i="3"/>
  <x:c r="G879" i="3"/>
  <x:c r="J874" i="3"/>
  <x:c r="F870" i="3"/>
  <x:c r="H864" i="3"/>
  <x:c r="K859" i="3"/>
  <x:c r="G855" i="3"/>
  <x:c r="J850" i="3"/>
  <x:c r="O920" i="3"/>
  <x:c r="Q910" i="3"/>
  <x:c r="Q902" i="3"/>
  <x:c r="Q894" i="3"/>
  <x:c r="Q886" i="3"/>
  <x:c r="M879" i="3"/>
  <x:c r="F874" i="3"/>
  <x:c r="K868" i="3"/>
  <x:c r="Q860" i="3"/>
  <x:c r="I855" i="3"/>
  <x:c r="J848" i="3"/>
  <x:c r="S842" i="3"/>
  <x:c r="O838" i="3"/>
  <x:c r="R833" i="3"/>
  <x:c r="N829" i="3"/>
  <x:c r="I824" i="3"/>
  <x:c r="L819" i="3"/>
  <x:c r="G814" i="3"/>
  <x:c r="J809" i="3"/>
  <x:c r="N945" i="3"/>
  <x:c r="L927" i="3"/>
  <x:c r="O912" i="3"/>
  <x:c r="N904" i="3"/>
  <x:c r="N896" i="3"/>
  <x:c r="N888" i="3"/>
  <x:c r="F880" i="3"/>
  <x:c r="S873" i="3"/>
  <x:c r="H866" i="3"/>
  <x:c r="O860" i="3"/>
  <x:c r="O853" i="3"/>
  <x:c r="P846" i="3"/>
  <x:c r="P841" i="3"/>
  <x:c r="S836" i="3"/>
  <x:c r="O832" i="3"/>
  <x:c r="Q826" i="3"/>
  <x:c r="K981" i="3"/>
  <x:c r="I942" i="3"/>
  <x:c r="M925" i="3"/>
  <x:c r="L911" i="3"/>
  <x:c r="L903" i="3"/>
  <x:c r="L895" i="3"/>
  <x:c r="L887" i="3"/>
  <x:c r="J879" i="3"/>
  <x:c r="P873" i="3"/>
  <x:c r="H868" i="3"/>
  <x:c r="H861" i="3"/>
  <x:c r="N855" i="3"/>
  <x:c r="G850" i="3"/>
  <x:c r="Q843" i="3"/>
  <x:c r="M839" i="3"/>
  <x:c r="P834" i="3"/>
  <x:c r="S829" i="3"/>
  <x:c r="N824" i="3"/>
  <x:c r="Q819" i="3"/>
  <x:c r="L814" i="3"/>
  <x:c r="H810" i="3"/>
  <x:c r="P936" i="3"/>
  <x:c r="R915" i="3"/>
  <x:c r="G905" i="3"/>
  <x:c r="F895" i="3"/>
  <x:c r="H883" i="3"/>
  <x:c r="J876" i="3"/>
  <x:c r="Q870" i="3"/>
  <x:c r="F863" i="3"/>
  <x:c r="S856" i="3"/>
  <x:c r="O850" i="3"/>
  <x:c r="H844" i="3"/>
  <x:c r="K839" i="3"/>
  <x:c r="G835" i="3"/>
  <x:c r="J830" i="3"/>
  <x:c r="F992" i="3"/>
  <x:c r="O946" i="3"/>
  <x:c r="K926" i="3"/>
  <x:c r="S910" i="3"/>
  <x:c r="S894" i="3"/>
  <x:c r="G882" i="3"/>
  <x:c r="L994" i="3"/>
  <x:c r="S909" i="3"/>
  <x:c r="P890" i="3"/>
  <x:c r="O875" i="3"/>
  <x:c r="J861" i="3"/>
  <x:c r="N848" i="3"/>
  <x:c r="F836" i="3"/>
  <x:c r="F822" i="3"/>
  <x:c r="K814" i="3"/>
  <x:c r="R807" i="3"/>
  <x:c r="Q988" i="3"/>
  <x:c r="O892" i="3"/>
  <x:c r="J871" i="3"/>
  <x:c r="L942" i="3"/>
  <x:c r="H921" i="3"/>
  <x:c r="I883" i="3"/>
  <x:c r="R869" i="3"/>
  <x:c r="P971" i="3"/>
  <x:c r="L893" i="3"/>
  <x:c r="L873" i="3"/>
  <x:c r="P860" i="3"/>
  <x:c r="S847" i="3"/>
  <x:c r="J839" i="3"/>
  <x:c r="J831" i="3"/>
  <x:c r="J822" i="3"/>
  <x:c r="P816" i="3"/>
  <x:c r="J895" i="3"/>
  <x:c r="M871" i="3"/>
  <x:c r="I860" i="3"/>
  <x:c r="N847" i="3"/>
  <x:c r="G839" i="3"/>
  <x:c r="G831" i="3"/>
  <x:c r="R822" i="3"/>
  <x:c r="M816" i="3"/>
  <x:c r="N809" i="3"/>
  <x:c r="P804" i="3"/>
  <x:c r="S893" i="3"/>
  <x:c r="F860" i="3"/>
  <x:c r="S838" i="3"/>
  <x:c r="N825" i="3"/>
  <x:c r="G812" i="3"/>
  <x:c r="J805" i="3"/>
  <x:c r="O800" i="3"/>
  <x:c r="Q794" i="3"/>
  <x:c r="S788" i="3"/>
  <x:c r="O784" i="3"/>
  <x:c r="R779" i="3"/>
  <x:c r="M774" i="3"/>
  <x:c r="P769" i="3"/>
  <x:c r="K764" i="3"/>
  <x:c r="G760" i="3"/>
  <x:c r="J755" i="3"/>
  <x:c r="F751" i="3"/>
  <x:c r="I746" i="3"/>
  <x:c r="K740" i="3"/>
  <x:c r="F919" i="3"/>
  <x:c r="J862" i="3"/>
  <x:c r="L841" i="3"/>
  <x:c r="L825" i="3"/>
  <x:c r="F812" i="3"/>
  <x:c r="S805" i="3"/>
  <x:c r="G801" i="3"/>
  <x:c r="Q795" i="3"/>
  <x:c r="L790" i="3"/>
  <x:c r="H786" i="3"/>
  <x:c r="K781" i="3"/>
  <x:c r="F776" i="3"/>
  <x:c r="I771" i="3"/>
  <x:c r="S765" i="3"/>
  <x:c r="O761" i="3"/>
  <x:c r="R756" i="3"/>
  <x:c r="N752" i="3"/>
  <x:c r="Q747" i="3"/>
  <x:c r="S741" i="3"/>
  <x:c r="O737" i="3"/>
  <x:c r="F896" i="3"/>
  <x:c r="F855" i="3"/>
  <x:c r="P838" i="3"/>
  <x:c r="I825" i="3"/>
  <x:c r="P814" i="3"/>
  <x:c r="M806" i="3"/>
  <x:c r="N801" i="3"/>
  <x:c r="I796" i="3"/>
  <x:c r="S790" i="3"/>
  <x:c r="O786" i="3"/>
  <x:c r="R781" i="3"/>
  <x:c r="M776" i="3"/>
  <x:c r="P771" i="3"/>
  <x:c r="R765" i="3"/>
  <x:c r="N761" i="3"/>
  <x:c r="Q756" i="3"/>
  <x:c r="M752" i="3"/>
  <x:c r="P747" i="3"/>
  <x:c r="K742" i="3"/>
  <x:c r="G738" i="3"/>
  <x:c r="H885" i="3"/>
  <x:c r="I851" i="3"/>
  <x:c r="Q833" i="3"/>
  <x:c r="P819" i="3"/>
  <x:c r="F810" i="3"/>
  <x:c r="O803" i="3"/>
  <x:c r="Q797" i="3"/>
  <x:c r="M793" i="3"/>
  <x:c r="O787" i="3"/>
  <x:c r="R782" i="3"/>
  <x:c r="N778" i="3"/>
  <x:c r="I773" i="3"/>
  <x:c r="L768" i="3"/>
  <x:c r="G763" i="3"/>
  <x:c r="J758" i="3"/>
  <x:c r="F754" i="3"/>
  <x:c r="I749" i="3"/>
  <x:c r="S743" i="3"/>
  <x:c r="O739" i="3"/>
  <x:c r="P898" i="3"/>
  <x:c r="H853" i="3"/>
  <x:c r="O836" i="3"/>
  <x:c r="P822" i="3"/>
  <x:c r="L813" i="3"/>
  <x:c r="K806" i="3"/>
  <x:c r="R860" i="3"/>
  <x:c r="K820" i="3"/>
  <x:c r="Q800" i="3"/>
  <x:c r="R786" i="3"/>
  <x:c r="Q775" i="3"/>
  <x:c r="R762" i="3"/>
  <x:c r="Q752" i="3"/>
  <x:c r="S739" i="3"/>
  <x:c r="H734" i="3"/>
  <x:c r="K729" i="3"/>
  <x:c r="F724" i="3"/>
  <x:c r="I719" i="3"/>
  <x:c r="L714" i="3"/>
  <x:c r="I869" i="3"/>
  <x:c r="I820" i="3"/>
  <x:c r="N803" i="3"/>
  <x:c r="M794" i="3"/>
  <x:c r="L785" i="3"/>
  <x:c r="P776" i="3"/>
  <x:c r="P768" i="3"/>
  <x:c r="P759" i="3"/>
  <x:c r="P751" i="3"/>
  <x:c r="P742" i="3"/>
  <x:c r="P735" i="3"/>
  <x:c r="S730" i="3"/>
  <x:c r="N725" i="3"/>
  <x:c r="Q720" i="3"/>
  <x:c r="M716" i="3"/>
  <x:c r="O710" i="3"/>
  <x:c r="R705" i="3"/>
  <x:c r="M700" i="3"/>
  <x:c r="P695" i="3"/>
  <x:c r="S690" i="3"/>
  <x:c r="O852" i="3"/>
  <x:c r="G820" i="3"/>
  <x:c r="L802" i="3"/>
  <x:c r="K793" i="3"/>
  <x:c r="K784" i="3"/>
  <x:c r="O775" i="3"/>
  <x:c r="O767" i="3"/>
  <x:c r="O758" i="3"/>
  <x:c r="O750" i="3"/>
  <x:c r="O741" i="3"/>
  <x:c r="G735" i="3"/>
  <x:c r="J730" i="3"/>
  <x:c r="L724" i="3"/>
  <x:c r="H720" i="3"/>
  <x:c r="K715" i="3"/>
  <x:c r="F710" i="3"/>
  <x:c r="I705" i="3"/>
  <x:c r="S699" i="3"/>
  <x:c r="O695" i="3"/>
  <x:c r="R690" i="3"/>
  <x:c r="Q863" i="3"/>
  <x:c r="O807" i="3"/>
  <x:c r="N797" i="3"/>
  <x:c r="M788" i="3"/>
  <x:c r="M780" i="3"/>
  <x:c r="L771" i="3"/>
  <x:c r="K762" i="3"/>
  <x:c r="K754" i="3"/>
  <x:c r="K746" i="3"/>
  <x:c r="J737" i="3"/>
  <x:c r="K732" i="3"/>
  <x:c r="G728" i="3"/>
  <x:c r="I722" i="3"/>
  <x:c r="L717" i="3"/>
  <x:c r="H713" i="3"/>
  <x:c r="J707" i="3"/>
  <x:c r="F703" i="3"/>
  <x:c r="P697" i="3"/>
  <x:c r="S692" i="3"/>
  <x:c r="I908" i="3"/>
  <x:c r="J829" i="3"/>
  <x:c r="N804" i="3"/>
  <x:c r="K795" i="3"/>
  <x:c r="J786" i="3"/>
  <x:c r="J778" i="3"/>
  <x:c r="I769" i="3"/>
  <x:c r="I760" i="3"/>
  <x:c r="I752" i="3"/>
  <x:c r="I743" i="3"/>
  <x:c r="F736" i="3"/>
  <x:c r="I731" i="3"/>
  <x:c r="S725" i="3"/>
  <x:c r="O721" i="3"/>
  <x:c r="R716" i="3"/>
  <x:c r="N712" i="3"/>
  <x:c r="I707" i="3"/>
  <x:c r="L702" i="3"/>
  <x:c r="G697" i="3"/>
  <x:c r="J692" i="3"/>
  <x:c r="F881" i="3"/>
  <x:c r="I821" i="3"/>
  <x:c r="I804" i="3"/>
  <x:c r="H790" i="3"/>
  <x:c r="S846" i="3"/>
  <x:c r="N810" i="3"/>
  <x:c r="F797" i="3"/>
  <x:c r="R784" i="3"/>
  <x:c r="F773" i="3"/>
  <x:c r="R760" i="3"/>
  <x:c r="F750" i="3"/>
  <x:c r="R737" i="3"/>
  <x:c r="H733" i="3"/>
  <x:c r="K728" i="3"/>
  <x:c r="F723" i="3"/>
  <x:c r="I718" i="3"/>
  <x:c r="O834" i="3"/>
  <x:c r="S761" i="3"/>
  <x:c r="G731" i="3"/>
  <x:c r="N713" i="3"/>
  <x:c r="J704" i="3"/>
  <x:c r="I695" i="3"/>
  <x:c r="J688" i="3"/>
  <x:c r="F684" i="3"/>
  <x:c r="I679" i="3"/>
  <x:c r="L674" i="3"/>
  <x:c r="H670" i="3"/>
  <x:c r="J664" i="3"/>
  <x:c r="F660" i="3"/>
  <x:c r="I655" i="3"/>
  <x:c r="L650" i="3"/>
  <x:c r="H646" i="3"/>
  <x:c r="J640" i="3"/>
  <x:c r="F636" i="3"/>
  <x:c r="I631" i="3"/>
  <x:c r="L626" i="3"/>
  <x:c r="P866" i="3"/>
  <x:c r="F755" i="3"/>
  <x:c r="P723" i="3"/>
  <x:c r="H707" i="3"/>
  <x:c r="H694" i="3"/>
  <x:c r="P687" i="3"/>
  <x:c r="F804" i="3"/>
  <x:c r="G751" i="3"/>
  <x:c r="S719" i="3"/>
  <x:c r="F706" i="3"/>
  <x:c r="G693" i="3"/>
  <x:c r="G687" i="3"/>
  <x:c r="J682" i="3"/>
  <x:c r="F678" i="3"/>
  <x:c r="I673" i="3"/>
  <x:c r="L668" i="3"/>
  <x:c r="G663" i="3"/>
  <x:c r="J658" i="3"/>
  <x:c r="F654" i="3"/>
  <x:c r="I649" i="3"/>
  <x:c r="L644" i="3"/>
  <x:c r="G639" i="3"/>
  <x:c r="H760" i="3"/>
  <x:c r="M728" i="3"/>
  <x:c r="F713" i="3"/>
  <x:c r="F700" i="3"/>
  <x:c r="H689" i="3"/>
  <x:c r="K684" i="3"/>
  <x:c r="G680" i="3"/>
  <x:c r="J675" i="3"/>
  <x:c r="Q993" i="3"/>
  <x:c r="M989" i="3"/>
  <x:c r="P984" i="3"/>
  <x:c r="P993" i="3"/>
  <x:c r="S988" i="3"/>
  <x:c r="S991" i="3"/>
  <x:c r="Q995" i="3"/>
  <x:c r="P987" i="3"/>
  <x:c r="P981" i="3"/>
  <x:c r="S976" i="3"/>
  <x:c r="N971" i="3"/>
  <x:c r="Q966" i="3"/>
  <x:c r="L961" i="3"/>
  <x:c r="I992" i="3"/>
  <x:c r="O985" i="3"/>
  <x:c r="K979" i="3"/>
  <x:c r="G975" i="3"/>
  <x:c r="I969" i="3"/>
  <x:c r="L964" i="3"/>
  <x:c r="G959" i="3"/>
  <x:c r="S983" i="3"/>
  <x:c r="M977" i="3"/>
  <x:c r="H971" i="3"/>
  <x:c r="S964" i="3"/>
  <x:c r="L956" i="3"/>
  <x:c r="G951" i="3"/>
  <x:c r="J946" i="3"/>
  <x:c r="F942" i="3"/>
  <x:c r="P990" i="3"/>
  <x:c r="Q983" i="3"/>
  <x:c r="O976" i="3"/>
  <x:c r="P969" i="3"/>
  <x:c r="H964" i="3"/>
  <x:c r="R955" i="3"/>
  <x:c r="M950" i="3"/>
  <x:c r="P945" i="3"/>
  <x:c r="M994" i="3"/>
  <x:c r="P986" i="3"/>
  <x:c r="H979" i="3"/>
  <x:c r="I972" i="3"/>
  <x:c r="O966" i="3"/>
  <x:c r="L960" i="3"/>
  <x:c r="M953" i="3"/>
  <x:c r="P948" i="3"/>
  <x:c r="S943" i="3"/>
  <x:c r="O939" i="3"/>
  <x:c r="S984" i="3"/>
  <x:c r="O971" i="3"/>
  <x:c r="N960" i="3"/>
  <x:c r="F952" i="3"/>
  <x:c r="L945" i="3"/>
  <x:c r="Q938" i="3"/>
  <x:c r="M934" i="3"/>
  <x:c r="O928" i="3"/>
  <x:c r="R923" i="3"/>
  <x:c r="O989" i="3"/>
  <x:c r="R976" i="3"/>
  <x:c r="F967" i="3"/>
  <x:c r="N953" i="3"/>
  <x:c r="K945" i="3"/>
  <x:c r="J939" i="3"/>
  <x:c r="L934" i="3"/>
  <x:c r="G929" i="3"/>
  <x:c r="J924" i="3"/>
  <x:c r="N989" i="3"/>
  <x:c r="N976" i="3"/>
  <x:c r="Q964" i="3"/>
  <x:c r="H955" i="3"/>
  <x:c r="K992" i="3"/>
  <x:c r="O978" i="3"/>
  <x:c r="S967" i="3"/>
  <x:c r="N957" i="3"/>
  <x:c r="J949" i="3"/>
  <x:c r="S941" i="3"/>
  <x:c r="L936" i="3"/>
  <x:c r="H932" i="3"/>
  <x:c r="J926" i="3"/>
  <x:c r="F922" i="3"/>
  <x:c r="R981" i="3"/>
  <x:c r="H972" i="3"/>
  <x:c r="G960" i="3"/>
  <x:c r="Q950" i="3"/>
  <x:c r="L943" i="3"/>
  <x:c r="L937" i="3"/>
  <x:c r="H933" i="3"/>
  <x:c r="R927" i="3"/>
  <x:c r="N923" i="3"/>
  <x:c r="M966" i="3"/>
  <x:c r="M946" i="3"/>
  <x:c r="H934" i="3"/>
  <x:c r="J925" i="3"/>
  <x:c r="Q917" i="3"/>
  <x:c r="M913" i="3"/>
  <x:c r="P908" i="3"/>
  <x:c r="S903" i="3"/>
  <x:c r="O899" i="3"/>
  <x:c r="R894" i="3"/>
  <x:c r="N890" i="3"/>
  <x:c r="Q885" i="3"/>
  <x:c r="Q987" i="3"/>
  <x:c r="L966" i="3"/>
  <x:c r="I943" i="3"/>
  <x:c r="F932" i="3"/>
  <x:c r="S920" i="3"/>
  <x:c r="N915" i="3"/>
  <x:c r="O987" i="3"/>
  <x:c r="F961" i="3"/>
  <x:c r="J940" i="3"/>
  <x:c r="S922" i="3"/>
  <x:c r="G917" i="3"/>
  <x:c r="J912" i="3"/>
  <x:c r="F908" i="3"/>
  <x:c r="I903" i="3"/>
  <x:c r="L898" i="3"/>
  <x:c r="H894" i="3"/>
  <x:c r="K889" i="3"/>
  <x:c r="G885" i="3"/>
  <x:c r="J880" i="3"/>
  <x:c r="P950" i="3"/>
  <x:c r="R936" i="3"/>
  <x:c r="S923" i="3"/>
  <x:c r="N917" i="3"/>
  <x:c r="Q912" i="3"/>
  <x:c r="M908" i="3"/>
  <x:c r="P903" i="3"/>
  <x:c r="S898" i="3"/>
  <x:c r="O894" i="3"/>
  <x:c r="R889" i="3"/>
  <x:c r="N885" i="3"/>
  <x:c r="Q880" i="3"/>
  <x:c r="M876" i="3"/>
  <x:c r="P871" i="3"/>
  <x:c r="K866" i="3"/>
  <x:c r="G862" i="3"/>
  <x:c r="J857" i="3"/>
  <x:c r="F853" i="3"/>
  <x:c r="H847" i="3"/>
  <x:c r="F972" i="3"/>
  <x:c r="O950" i="3"/>
  <x:c r="Q936" i="3"/>
  <x:c r="P927" i="3"/>
  <x:c r="P920" i="3"/>
  <x:c r="R914" i="3"/>
  <x:c r="N910" i="3"/>
  <x:c r="Q905" i="3"/>
  <x:c r="M901" i="3"/>
  <x:c r="P896" i="3"/>
  <x:c r="S891" i="3"/>
  <x:c r="O887" i="3"/>
  <x:c r="R882" i="3"/>
  <x:c r="N878" i="3"/>
  <x:c r="Q873" i="3"/>
  <x:c r="M869" i="3"/>
  <x:c r="O863" i="3"/>
  <x:c r="R858" i="3"/>
  <x:c r="N854" i="3"/>
  <x:c r="P848" i="3"/>
  <x:c r="L919" i="3"/>
  <x:c r="P909" i="3"/>
  <x:c r="P901" i="3"/>
  <x:c r="P893" i="3"/>
  <x:c r="P885" i="3"/>
  <x:c r="R878" i="3"/>
  <x:c r="K873" i="3"/>
  <x:c r="L866" i="3"/>
  <x:c r="G860" i="3"/>
  <x:c r="L854" i="3"/>
  <x:c r="M847" i="3"/>
  <x:c r="K842" i="3"/>
  <x:c r="G838" i="3"/>
  <x:c r="J833" i="3"/>
  <x:c r="F829" i="3"/>
  <x:c r="P823" i="3"/>
  <x:c r="S818" i="3"/>
  <x:c r="N813" i="3"/>
  <x:c r="S994" i="3"/>
  <x:c r="K942" i="3"/>
  <x:c r="N925" i="3"/>
  <x:c r="M911" i="3"/>
  <x:c r="M903" i="3"/>
  <x:c r="M895" i="3"/>
  <x:c r="M887" i="3"/>
  <x:c r="K879" i="3"/>
  <x:c r="G873" i="3"/>
  <x:c r="M865" i="3"/>
  <x:c r="I859" i="3"/>
  <x:c r="S852" i="3"/>
  <x:c r="L845" i="3"/>
  <x:c r="H841" i="3"/>
  <x:c r="K836" i="3"/>
  <x:c r="G832" i="3"/>
  <x:c r="I826" i="3"/>
  <x:c r="F977" i="3"/>
  <x:c r="M939" i="3"/>
  <x:c r="K923" i="3"/>
  <x:c r="K910" i="3"/>
  <x:c r="K902" i="3"/>
  <x:c r="K894" i="3"/>
  <x:c r="K886" i="3"/>
  <x:c r="M878" i="3"/>
  <x:c r="F873" i="3"/>
  <x:c r="Q866" i="3"/>
  <x:c r="N860" i="3"/>
  <x:c r="S854" i="3"/>
  <x:c r="O848" i="3"/>
  <x:c r="I843" i="3"/>
  <x:c r="L838" i="3"/>
  <x:c r="H834" i="3"/>
  <x:c r="K829" i="3"/>
  <x:c r="F824" i="3"/>
  <x:c r="I819" i="3"/>
  <x:c r="S813" i="3"/>
  <x:c r="O809" i="3"/>
  <x:c r="O934" i="3"/>
  <x:c r="P914" i="3"/>
  <x:c r="G904" i="3"/>
  <x:c r="G892" i="3"/>
  <x:c r="I882" i="3"/>
  <x:c r="P875" i="3"/>
  <x:c r="J869" i="3"/>
  <x:c r="K862" i="3"/>
  <x:c r="G856" i="3"/>
  <x:c r="M848" i="3"/>
  <x:c r="O843" i="3"/>
  <x:c r="R838" i="3"/>
  <x:c r="N834" i="3"/>
  <x:c r="Q829" i="3"/>
  <x:c r="P983" i="3"/>
  <x:c r="P943" i="3"/>
  <x:c r="L924" i="3"/>
  <x:c r="R909" i="3"/>
  <x:c r="R893" i="3"/>
  <x:c r="H881" i="3"/>
  <x:c r="K938" i="3"/>
  <x:c r="P907" i="3"/>
  <x:c r="O888" i="3"/>
  <x:c r="H874" i="3"/>
  <x:c r="H860" i="3"/>
  <x:c r="L847" i="3"/>
  <x:c r="F835" i="3"/>
  <x:c r="J821" i="3"/>
  <x:c r="P813" i="3"/>
  <x:c r="J807" i="3"/>
  <x:c r="N919" i="3"/>
  <x:c r="I890" i="3"/>
  <x:c r="Q868" i="3"/>
  <x:c r="N937" i="3"/>
  <x:c r="K916" i="3"/>
  <x:c r="L881" i="3"/>
  <x:c r="N868" i="3"/>
  <x:c r="I952" i="3"/>
  <x:c r="I891" i="3"/>
  <x:c r="P870" i="3"/>
  <x:c r="N859" i="3"/>
  <x:c r="L846" i="3"/>
  <x:c r="K838" i="3"/>
  <x:c r="K830" i="3"/>
  <x:c r="O821" i="3"/>
  <x:c r="F989" i="3"/>
  <x:c r="M886" i="3"/>
  <x:c r="K870" i="3"/>
  <x:c r="G859" i="3"/>
  <x:c r="I846" i="3"/>
  <x:c r="H838" i="3"/>
  <x:c r="H830" i="3"/>
  <x:c r="H822" i="3"/>
  <x:c r="M814" i="3"/>
  <x:c r="L808" i="3"/>
  <x:c r="H804" i="3"/>
  <x:c r="G890" i="3"/>
  <x:c r="M855" i="3"/>
  <x:c r="O837" i="3"/>
  <x:c r="K824" i="3"/>
  <x:c r="J811" i="3"/>
  <x:c r="M804" i="3"/>
  <x:c r="G800" i="3"/>
  <x:c r="I794" i="3"/>
  <x:c r="K788" i="3"/>
  <x:c r="G784" i="3"/>
  <x:c r="J779" i="3"/>
  <x:c r="L773" i="3"/>
  <x:c r="H769" i="3"/>
  <x:c r="R763" i="3"/>
  <x:c r="N759" i="3"/>
  <x:c r="Q754" i="3"/>
  <x:c r="M750" i="3"/>
  <x:c r="P745" i="3"/>
  <x:c r="R739" i="3"/>
  <x:c r="I910" i="3"/>
  <x:c r="L857" i="3"/>
  <x:c r="Q838" i="3"/>
  <x:c r="F823" i="3"/>
  <x:c r="H811" i="3"/>
  <x:c r="G805" i="3"/>
  <x:c r="N800" i="3"/>
  <x:c r="I795" i="3"/>
  <x:c r="S789" i="3"/>
  <x:c r="O785" i="3"/>
  <x:c r="R780" i="3"/>
  <x:c r="M775" i="3"/>
  <x:c r="P770" i="3"/>
  <x:c r="K765" i="3"/>
  <x:c r="G761" i="3"/>
  <x:c r="J756" i="3"/>
  <x:c r="F752" i="3"/>
  <x:c r="I747" i="3"/>
  <x:c r="K741" i="3"/>
  <x:c r="G737" i="3"/>
  <x:c r="O889" i="3"/>
  <x:c r="K853" i="3"/>
  <x:c r="N835" i="3"/>
  <x:c r="S823" i="3"/>
  <x:c r="O813" i="3"/>
  <x:c r="R805" i="3"/>
  <x:c r="F801" i="3"/>
  <x:c r="P795" i="3"/>
  <x:c r="K790" i="3"/>
  <x:c r="G786" i="3"/>
  <x:c r="J781" i="3"/>
  <x:c r="L775" i="3"/>
  <x:c r="H771" i="3"/>
  <x:c r="J765" i="3"/>
  <x:c r="F761" i="3"/>
  <x:c r="I756" i="3"/>
  <x:c r="L751" i="3"/>
  <x:c r="H747" i="3"/>
  <x:c r="R741" i="3"/>
  <x:c r="N737" i="3"/>
  <x:c r="J875" i="3"/>
  <x:c r="Q847" i="3"/>
  <x:c r="M832" i="3"/>
  <x:c r="M818" i="3"/>
  <x:c r="H809" i="3"/>
  <x:c r="G803" i="3"/>
  <x:c r="I797" i="3"/>
  <x:c r="L792" i="3"/>
  <x:c r="G787" i="3"/>
  <x:c r="J782" i="3"/>
  <x:c r="F778" i="3"/>
  <x:c r="P772" i="3"/>
  <x:c r="S767" i="3"/>
  <x:c r="N762" i="3"/>
  <x:c r="Q757" i="3"/>
  <x:c r="M753" i="3"/>
  <x:c r="P748" i="3"/>
  <x:c r="K743" i="3"/>
  <x:c r="G739" i="3"/>
  <x:c r="N895" i="3"/>
  <x:c r="I847" i="3"/>
  <x:c r="N833" i="3"/>
  <x:c r="P821" i="3"/>
  <x:c r="O812" i="3"/>
  <x:c r="N805" i="3"/>
  <x:c r="M850" i="3"/>
  <x:c r="J818" i="3"/>
  <x:c r="Q798" i="3"/>
  <x:c r="Q785" i="3"/>
  <x:c r="Q774" i="3"/>
  <x:c r="Q761" i="3"/>
  <x:c r="Q751" i="3"/>
  <x:c r="R738" i="3"/>
  <x:c r="O733" i="3"/>
  <x:c r="R728" i="3"/>
  <x:c r="M723" i="3"/>
  <x:c r="P718" i="3"/>
  <x:c r="S713" i="3"/>
  <x:c r="K860" i="3"/>
  <x:c r="I818" i="3"/>
  <x:c r="M802" i="3"/>
  <x:c r="L793" i="3"/>
  <x:c r="P784" i="3"/>
  <x:c r="P775" i="3"/>
  <x:c r="P767" i="3"/>
  <x:c r="P758" i="3"/>
  <x:c r="P750" i="3"/>
  <x:c r="P741" i="3"/>
  <x:c r="H735" i="3"/>
  <x:c r="K730" i="3"/>
  <x:c r="F725" i="3"/>
  <x:c r="I720" i="3"/>
  <x:c r="L715" i="3"/>
  <x:c r="G710" i="3"/>
  <x:c r="J705" i="3"/>
  <x:c r="L699" i="3"/>
  <x:c r="H695" i="3"/>
  <x:c r="K690" i="3"/>
  <x:c r="J845" i="3"/>
  <x:c r="F818" i="3"/>
  <x:c r="K801" i="3"/>
  <x:c r="K792" i="3"/>
  <x:c r="O783" i="3"/>
  <x:c r="O774" i="3"/>
  <x:c r="O765" i="3"/>
  <x:c r="O757" i="3"/>
  <x:c r="O749" i="3"/>
  <x:c r="N740" i="3"/>
  <x:c r="N734" i="3"/>
  <x:c r="Q729" i="3"/>
  <x:c r="S723" i="3"/>
  <x:c r="O719" i="3"/>
  <x:c r="R714" i="3"/>
  <x:c r="M709" i="3"/>
  <x:c r="P704" i="3"/>
  <x:c r="K699" i="3"/>
  <x:c r="G695" i="3"/>
  <x:c r="J690" i="3"/>
  <x:c r="R855" i="3"/>
  <x:c r="F806" i="3"/>
  <x:c r="M796" i="3"/>
  <x:c r="L787" i="3"/>
  <x:c r="L779" i="3"/>
  <x:c r="K770" i="3"/>
  <x:c r="J761" i="3"/>
  <x:c r="J753" i="3"/>
  <x:c r="J745" i="3"/>
  <x:c r="O736" i="3"/>
  <x:c r="R731" i="3"/>
  <x:c r="M726" i="3"/>
  <x:c r="P721" i="3"/>
  <x:c r="S716" i="3"/>
  <x:c r="O712" i="3"/>
  <x:c r="Q706" i="3"/>
  <x:c r="M702" i="3"/>
  <x:c r="H697" i="3"/>
  <x:c r="K692" i="3"/>
  <x:c r="N887" i="3"/>
  <x:c r="N823" i="3"/>
  <x:c r="K803" i="3"/>
  <x:c r="J794" i="3"/>
  <x:c r="I785" i="3"/>
  <x:c r="I776" i="3"/>
  <x:c r="I768" i="3"/>
  <x:c r="I759" i="3"/>
  <x:c r="I751" i="3"/>
  <x:c r="I742" i="3"/>
  <x:c r="M735" i="3"/>
  <x:c r="P730" i="3"/>
  <x:c r="K725" i="3"/>
  <x:c r="G721" i="3"/>
  <x:c r="J716" i="3"/>
  <x:c r="F712" i="3"/>
  <x:c r="P706" i="3"/>
  <x:c r="R700" i="3"/>
  <x:c r="N696" i="3"/>
  <x:c r="Q691" i="3"/>
  <x:c r="R871" i="3"/>
  <x:c r="H819" i="3"/>
  <x:c r="F803" i="3"/>
  <x:c r="H789" i="3"/>
  <x:c r="N843" i="3"/>
  <x:c r="J808" i="3"/>
  <x:c r="S794" i="3"/>
  <x:c r="R783" i="3"/>
  <x:c r="S770" i="3"/>
  <x:c r="R759" i="3"/>
  <x:c r="F749" i="3"/>
  <x:c r="S736" i="3"/>
  <x:c r="O732" i="3"/>
  <x:c r="Q726" i="3"/>
  <x:c r="M722" i="3"/>
  <x:c r="P717" i="3"/>
  <x:c r="Q828" i="3"/>
  <x:c r="H758" i="3"/>
  <x:c r="M729" i="3"/>
  <x:c r="K712" i="3"/>
  <x:c r="I703" i="3"/>
  <x:c r="I694" i="3"/>
  <x:c r="Q687" i="3"/>
  <x:c r="M683" i="3"/>
  <x:c r="P678" i="3"/>
  <x:c r="S673" i="3"/>
  <x:c r="O669" i="3"/>
  <x:c r="Q663" i="3"/>
  <x:c r="M659" i="3"/>
  <x:c r="P654" i="3"/>
  <x:c r="S649" i="3"/>
  <x:c r="O645" i="3"/>
  <x:c r="Q639" i="3"/>
  <x:c r="M635" i="3"/>
  <x:c r="P630" i="3"/>
  <x:c r="S625" i="3"/>
  <x:c r="O810" i="3"/>
  <x:c r="H751" i="3"/>
  <x:c r="F722" i="3"/>
  <x:c r="G706" i="3"/>
  <x:c r="H693" i="3"/>
  <x:c r="H687" i="3"/>
  <x:c r="G790" i="3"/>
  <x:c r="G748" i="3"/>
  <x:c r="I716" i="3"/>
  <x:c r="S703" i="3"/>
  <x:c r="G692" i="3"/>
  <x:c r="N686" i="3"/>
  <x:c r="Q681" i="3"/>
  <x:c r="M677" i="3"/>
  <x:c r="P672" i="3"/>
  <x:c r="S667" i="3"/>
  <x:c r="N662" i="3"/>
  <x:c r="Q657" i="3"/>
  <x:c r="M653" i="3"/>
  <x:c r="P648" i="3"/>
  <x:c r="S643" i="3"/>
  <x:c r="S901" i="3"/>
  <x:c r="H757" i="3"/>
  <x:c r="R726" i="3"/>
  <x:c r="R710" i="3"/>
  <x:c r="F699" i="3"/>
  <x:c r="O688" i="3"/>
  <x:c r="R683" i="3"/>
  <x:c r="N679" i="3"/>
  <x:c r="I993" i="3"/>
  <x:c r="L988" i="3"/>
  <x:c r="H984" i="3"/>
  <x:c r="H993" i="3"/>
  <x:c r="K988" i="3"/>
  <x:c r="K991" i="3"/>
  <x:c r="G994" i="3"/>
  <x:c r="G987" i="3"/>
  <x:c r="H981" i="3"/>
  <x:c r="K976" i="3"/>
  <x:c r="F971" i="3"/>
  <x:c r="I966" i="3"/>
  <x:c r="S960" i="3"/>
  <x:c r="J991" i="3"/>
  <x:c r="F985" i="3"/>
  <x:c r="R978" i="3"/>
  <x:c r="M973" i="3"/>
  <x:c r="P968" i="3"/>
  <x:c r="S963" i="3"/>
  <x:c r="F995" i="3"/>
  <x:c r="F983" i="3"/>
  <x:c r="Q976" i="3"/>
  <x:c r="L970" i="3"/>
  <x:c r="I964" i="3"/>
  <x:c r="S955" i="3"/>
  <x:c r="N950" i="3"/>
  <x:c r="Q945" i="3"/>
  <x:c r="M941" i="3"/>
  <x:c r="R989" i="3"/>
  <x:c r="L981" i="3"/>
  <x:c r="I975" i="3"/>
  <x:c r="F969" i="3"/>
  <x:c r="L963" i="3"/>
  <x:c r="J955" i="3"/>
  <x:c r="L949" i="3"/>
  <x:c r="H945" i="3"/>
  <x:c r="L993" i="3"/>
  <x:c r="G985" i="3"/>
  <x:c r="L978" i="3"/>
  <x:c r="M971" i="3"/>
  <x:c r="S965" i="3"/>
  <x:c r="P959" i="3"/>
  <x:c r="L952" i="3"/>
  <x:c r="H948" i="3"/>
  <x:c r="K943" i="3"/>
  <x:c r="G939" i="3"/>
  <x:c r="N983" i="3"/>
  <x:c r="N970" i="3"/>
  <x:c r="N959" i="3"/>
  <x:c r="I951" i="3"/>
  <x:c r="Q944" i="3"/>
  <x:c r="I938" i="3"/>
  <x:c r="L933" i="3"/>
  <x:c r="G928" i="3"/>
  <x:c r="J923" i="3"/>
  <x:c r="J988" i="3"/>
  <x:c r="Q975" i="3"/>
  <x:c r="Q963" i="3"/>
  <x:c r="R952" i="3"/>
  <x:c r="N944" i="3"/>
  <x:c r="P938" i="3"/>
  <x:c r="S933" i="3"/>
  <x:c r="N928" i="3"/>
  <x:c r="Q923" i="3"/>
  <x:c r="I988" i="3"/>
  <x:c r="N975" i="3"/>
  <x:c r="P963" i="3"/>
  <x:c r="L953" i="3"/>
  <x:c r="J989" i="3"/>
  <x:c r="O977" i="3"/>
  <x:c r="R966" i="3"/>
  <x:c r="Q956" i="3"/>
  <x:c r="N948" i="3"/>
  <x:c r="H941" i="3"/>
  <x:c r="S935" i="3"/>
  <x:c r="O931" i="3"/>
  <x:c r="Q925" i="3"/>
  <x:c r="N993" i="3"/>
  <x:c r="Q980" i="3"/>
  <x:c r="R968" i="3"/>
  <x:c r="F959" i="3"/>
  <x:c r="H949" i="3"/>
  <x:c r="O942" i="3"/>
  <x:c r="S936" i="3"/>
  <x:c r="O932" i="3"/>
  <x:c r="J927" i="3"/>
  <x:c r="F923" i="3"/>
  <x:c r="K964" i="3"/>
  <x:c r="J943" i="3"/>
  <x:c r="J933" i="3"/>
  <x:c r="I924" i="3"/>
  <x:c r="I917" i="3"/>
  <x:c r="L912" i="3"/>
  <x:c r="H908" i="3"/>
  <x:c r="K903" i="3"/>
  <x:c r="G899" i="3"/>
  <x:c r="J894" i="3"/>
  <x:c r="F890" i="3"/>
  <x:c r="I885" i="3"/>
  <x:c r="K985" i="3"/>
  <x:c r="J964" i="3"/>
  <x:c r="P941" i="3"/>
  <x:c r="F929" i="3"/>
  <x:c r="K920" i="3"/>
  <x:c r="F915" i="3"/>
  <x:c r="H985" i="3"/>
  <x:c r="N956" i="3"/>
  <x:c r="S938" i="3"/>
  <x:c r="S921" i="3"/>
  <x:c r="N916" i="3"/>
  <x:c r="Q911" i="3"/>
  <x:c r="M907" i="3"/>
  <x:c r="P902" i="3"/>
  <x:c r="S897" i="3"/>
  <x:c r="O893" i="3"/>
  <x:c r="R888" i="3"/>
  <x:c r="N884" i="3"/>
  <x:c r="F993" i="3"/>
  <x:c r="F949" i="3"/>
  <x:c r="Q935" i="3"/>
  <x:c r="R922" i="3"/>
  <x:c r="F917" i="3"/>
  <x:c r="I912" i="3"/>
  <x:c r="L907" i="3"/>
  <x:c r="H903" i="3"/>
  <x:c r="K898" i="3"/>
  <x:c r="G894" i="3"/>
  <x:c r="J889" i="3"/>
  <x:c r="F885" i="3"/>
  <x:c r="I880" i="3"/>
  <x:c r="L875" i="3"/>
  <x:c r="H871" i="3"/>
  <x:c r="R865" i="3"/>
  <x:c r="N861" i="3"/>
  <x:c r="Q856" i="3"/>
  <x:c r="M852" i="3"/>
  <x:c r="O846" i="3"/>
  <x:c r="S969" i="3"/>
  <x:c r="L947" i="3"/>
  <x:c r="P935" i="3"/>
  <x:c r="P926" i="3"/>
  <x:c r="H920" i="3"/>
  <x:c r="J914" i="3"/>
  <x:c r="F910" i="3"/>
  <x:c r="I905" i="3"/>
  <x:c r="L900" i="3"/>
  <x:c r="H896" i="3"/>
  <x:c r="K891" i="3"/>
  <x:c r="G887" i="3"/>
  <x:c r="J882" i="3"/>
  <x:c r="F878" i="3"/>
  <x:c r="I873" i="3"/>
  <x:c r="L868" i="3"/>
  <x:c r="G863" i="3"/>
  <x:c r="J858" i="3"/>
  <x:c r="F854" i="3"/>
  <x:c r="H848" i="3"/>
  <x:c r="S917" i="3"/>
  <x:c r="Q908" i="3"/>
  <x:c r="Q900" i="3"/>
  <x:c r="Q892" i="3"/>
  <x:c r="Q884" i="3"/>
  <x:c r="H878" i="3"/>
  <x:c r="N872" i="3"/>
  <x:c r="O865" i="3"/>
  <x:c r="M859" i="3"/>
  <x:c r="Q853" i="3"/>
  <x:c r="R846" i="3"/>
  <x:c r="R841" i="3"/>
  <x:c r="N837" i="3"/>
  <x:c r="Q832" i="3"/>
  <x:c r="M828" i="3"/>
  <x:c r="H823" i="3"/>
  <x:c r="K818" i="3"/>
  <x:c r="F813" i="3"/>
  <x:c r="L986" i="3"/>
  <x:c r="N939" i="3"/>
  <x:c r="L923" i="3"/>
  <x:c r="L910" i="3"/>
  <x:c r="L902" i="3"/>
  <x:c r="L894" i="3"/>
  <x:c r="L886" i="3"/>
  <x:c r="P878" i="3"/>
  <x:c r="L872" i="3"/>
  <x:c r="R864" i="3"/>
  <x:c r="N858" i="3"/>
  <x:c r="I852" i="3"/>
  <x:c r="S844" i="3"/>
  <x:c r="O840" i="3"/>
  <x:c r="R835" i="3"/>
  <x:c r="N831" i="3"/>
  <x:c r="P825" i="3"/>
  <x:c r="L967" i="3"/>
  <x:c r="J937" i="3"/>
  <x:c r="N921" i="3"/>
  <x:c r="J909" i="3"/>
  <x:c r="J901" i="3"/>
  <x:c r="J893" i="3"/>
  <x:c r="J885" i="3"/>
  <x:c r="R877" i="3"/>
  <x:c r="K872" i="3"/>
  <x:c r="G866" i="3"/>
  <x:c r="R859" i="3"/>
  <x:c r="I854" i="3"/>
  <x:c r="J847" i="3"/>
  <x:c r="P842" i="3"/>
  <x:c r="S837" i="3"/>
  <x:c r="O833" i="3"/>
  <x:c r="R828" i="3"/>
  <x:c r="M823" i="3"/>
  <x:c r="P818" i="3"/>
  <x:c r="K813" i="3"/>
  <x:c r="S957" i="3"/>
  <x:c r="N932" i="3"/>
  <x:c r="N913" i="3"/>
  <x:c r="F903" i="3"/>
  <x:c r="H891" i="3"/>
  <x:c r="M881" i="3"/>
  <x:c r="F875" i="3"/>
  <x:c r="P868" i="3"/>
  <x:c r="P861" i="3"/>
  <x:c r="L855" i="3"/>
  <x:c r="R847" i="3"/>
  <x:c r="G843" i="3"/>
  <x:c r="J838" i="3"/>
  <x:c r="F834" i="3"/>
  <x:c r="I829" i="3"/>
  <x:c r="I979" i="3"/>
  <x:c r="S940" i="3"/>
  <x:c r="J922" i="3"/>
  <x:c r="R908" i="3"/>
  <x:c r="R892" i="3"/>
  <x:c r="L880" i="3"/>
  <x:c r="N934" i="3"/>
  <x:c r="O905" i="3"/>
  <x:c r="I886" i="3"/>
  <x:c r="R872" i="3"/>
  <x:c r="M857" i="3"/>
  <x:c r="F846" i="3"/>
  <x:c r="F830" i="3"/>
  <x:c r="O820" i="3"/>
  <x:c r="I812" i="3"/>
  <x:c r="Q806" i="3"/>
  <x:c r="O914" i="3"/>
  <x:c r="K888" i="3"/>
  <x:c r="I866" i="3"/>
  <x:c r="O933" i="3"/>
  <x:c r="J911" i="3"/>
  <x:c r="Q879" i="3"/>
  <x:c r="S864" i="3"/>
  <x:c r="Q915" i="3"/>
  <x:c r="H889" i="3"/>
  <x:c r="K869" i="3"/>
  <x:c r="G858" i="3"/>
  <x:c r="M845" i="3"/>
  <x:c r="M837" i="3"/>
  <x:c r="M829" i="3"/>
  <x:c r="S820" i="3"/>
  <x:c r="F920" i="3"/>
  <x:c r="O884" i="3"/>
  <x:c r="H869" i="3"/>
  <x:c r="O857" i="3"/>
  <x:c r="H845" i="3"/>
  <x:c r="H837" i="3"/>
  <x:c r="H829" i="3"/>
  <x:c r="L821" i="3"/>
  <x:c r="Q813" i="3"/>
  <x:c r="S807" i="3"/>
  <x:c r="O935" i="3"/>
  <x:c r="F883" i="3"/>
  <x:c r="F850" i="3"/>
  <x:c r="S835" i="3"/>
  <x:c r="G823" i="3"/>
  <x:c r="M810" i="3"/>
  <x:c r="R803" i="3"/>
  <x:c r="M798" i="3"/>
  <x:c r="P793" i="3"/>
  <x:c r="R787" i="3"/>
  <x:c r="N783" i="3"/>
  <x:c r="Q778" i="3"/>
  <x:c r="S772" i="3"/>
  <x:c r="O768" i="3"/>
  <x:c r="J763" i="3"/>
  <x:c r="F759" i="3"/>
  <x:c r="I754" i="3"/>
  <x:c r="L749" i="3"/>
  <x:c r="H745" i="3"/>
  <x:c r="J739" i="3"/>
  <x:c r="O896" i="3"/>
  <x:c r="K855" i="3"/>
  <x:c r="J837" i="3"/>
  <x:c r="S819" i="3"/>
  <x:c r="L810" i="3"/>
  <x:c r="L804" i="3"/>
  <x:c r="F800" i="3"/>
  <x:c r="P794" i="3"/>
  <x:c r="K789" i="3"/>
  <x:c r="G785" i="3"/>
  <x:c r="J780" i="3"/>
  <x:c r="L774" i="3"/>
  <x:c r="H770" i="3"/>
  <x:c r="R764" i="3"/>
  <x:c r="N760" i="3"/>
  <x:c r="Q755" i="3"/>
  <x:c r="M751" i="3"/>
  <x:c r="P746" i="3"/>
  <x:c r="R740" i="3"/>
  <x:c r="P939" i="3"/>
  <x:c r="S885" i="3"/>
  <x:c r="P851" i="3"/>
  <x:c r="S833" i="3"/>
  <x:c r="R821" i="3"/>
  <x:c r="Q812" i="3"/>
  <x:c r="F805" i="3"/>
  <x:c r="M800" i="3"/>
  <x:c r="H795" i="3"/>
  <x:c r="R789" i="3"/>
  <x:c r="N785" i="3"/>
  <x:c r="Q780" i="3"/>
  <x:c r="S774" i="3"/>
  <x:c r="O770" i="3"/>
  <x:c r="Q764" i="3"/>
  <x:c r="M760" i="3"/>
  <x:c r="P755" i="3"/>
  <x:c r="S750" i="3"/>
  <x:c r="O746" i="3"/>
  <x:c r="J741" i="3"/>
  <x:c r="O945" i="3"/>
  <x:c r="F872" i="3"/>
  <x:c r="P845" i="3"/>
  <x:c r="P829" i="3"/>
  <x:c r="N817" i="3"/>
  <x:c r="N808" i="3"/>
  <x:c r="N802" i="3"/>
  <x:c r="P796" i="3"/>
  <x:c r="R790" i="3"/>
  <x:c r="N786" i="3"/>
  <x:c r="Q781" i="3"/>
  <x:c r="L776" i="3"/>
  <x:c r="H772" i="3"/>
  <x:c r="K767" i="3"/>
  <x:c r="F762" i="3"/>
  <x:c r="I757" i="3"/>
  <x:c r="L752" i="3"/>
  <x:c r="H748" i="3"/>
  <x:c r="R742" i="3"/>
  <x:c r="N738" i="3"/>
  <x:c r="N881" i="3"/>
  <x:c r="O845" i="3"/>
  <x:c r="J832" i="3"/>
  <x:c r="L820" i="3"/>
  <x:c r="R811" i="3"/>
  <x:c r="N986" i="3"/>
  <x:c r="Q846" i="3"/>
  <x:c r="G816" i="3"/>
  <x:c r="S795" i="3"/>
  <x:c r="Q784" i="3"/>
  <x:c r="S771" i="3"/>
  <x:c r="Q760" i="3"/>
  <x:c r="Q750" i="3"/>
  <x:c r="Q737" i="3"/>
  <x:c r="G733" i="3"/>
  <x:c r="J728" i="3"/>
  <x:c r="L722" i="3"/>
  <x:c r="H718" i="3"/>
  <x:c r="K713" i="3"/>
  <x:c r="M856" i="3"/>
  <x:c r="J813" i="3"/>
  <x:c r="L801" i="3"/>
  <x:c r="P792" i="3"/>
  <x:c r="P783" i="3"/>
  <x:c r="P774" i="3"/>
  <x:c r="P765" i="3"/>
  <x:c r="P757" i="3"/>
  <x:c r="P749" i="3"/>
  <x:c r="O740" i="3"/>
  <x:c r="O734" i="3"/>
  <x:c r="R729" i="3"/>
  <x:c r="M724" i="3"/>
  <x:c r="P719" i="3"/>
  <x:c r="S714" i="3"/>
  <x:c r="N709" i="3"/>
  <x:c r="Q704" i="3"/>
  <x:c r="S698" i="3"/>
  <x:c r="O694" i="3"/>
  <x:c r="R689" i="3"/>
  <x:c r="L839" i="3"/>
  <x:c r="I813" i="3"/>
  <x:c r="K800" i="3"/>
  <x:c r="O790" i="3"/>
  <x:c r="O782" i="3"/>
  <x:c r="O773" i="3"/>
  <x:c r="N764" i="3"/>
  <x:c r="N756" i="3"/>
  <x:c r="N748" i="3"/>
  <x:c r="M739" i="3"/>
  <x:c r="F734" i="3"/>
  <x:c r="I729" i="3"/>
  <x:c r="K723" i="3"/>
  <x:c r="G719" i="3"/>
  <x:c r="J714" i="3"/>
  <x:c r="L708" i="3"/>
  <x:c r="H704" i="3"/>
  <x:c r="R698" i="3"/>
  <x:c r="N694" i="3"/>
  <x:c r="Q689" i="3"/>
  <x:c r="G852" i="3"/>
  <x:c r="Q804" i="3"/>
  <x:c r="L795" i="3"/>
  <x:c r="K786" i="3"/>
  <x:c r="K778" i="3"/>
  <x:c r="J769" i="3"/>
  <x:c r="J760" i="3"/>
  <x:c r="J752" i="3"/>
  <x:c r="J743" i="3"/>
  <x:c r="G736" i="3"/>
  <x:c r="J731" i="3"/>
  <x:c r="L725" i="3"/>
  <x:c r="H721" i="3"/>
  <x:c r="K716" i="3"/>
  <x:c r="G712" i="3"/>
  <x:c r="I706" i="3"/>
  <x:c r="S700" i="3"/>
  <x:c r="O696" i="3"/>
  <x:c r="R691" i="3"/>
  <x:c r="G877" i="3"/>
  <x:c r="M821" i="3"/>
  <x:c r="J802" i="3"/>
  <x:c r="I793" i="3"/>
  <x:c r="I784" i="3"/>
  <x:c r="I775" i="3"/>
  <x:c r="I767" i="3"/>
  <x:c r="I758" i="3"/>
  <x:c r="I750" i="3"/>
  <x:c r="M741" i="3"/>
  <x:c r="L734" i="3"/>
  <x:c r="H730" i="3"/>
  <x:c r="R724" i="3"/>
  <x:c r="N720" i="3"/>
  <x:c r="Q715" i="3"/>
  <x:c r="L710" i="3"/>
  <x:c r="H706" i="3"/>
  <x:c r="J700" i="3"/>
  <x:c r="F696" i="3"/>
  <x:c r="I691" i="3"/>
  <x:c r="O858" i="3"/>
  <x:c r="F817" i="3"/>
  <x:c r="H800" i="3"/>
  <x:c r="M931" i="3"/>
  <x:c r="P840" i="3"/>
  <x:c r="S806" i="3"/>
  <x:c r="R793" i="3"/>
  <x:c r="F782" i="3"/>
  <x:c r="R769" i="3"/>
  <x:c r="F758" i="3"/>
  <x:c r="S746" i="3"/>
  <x:c r="K736" i="3"/>
  <x:c r="G732" i="3"/>
  <x:c r="I726" i="3"/>
  <x:c r="L721" i="3"/>
  <x:c r="H717" i="3"/>
  <x:c r="L805" i="3"/>
  <x:c r="G749" i="3"/>
  <x:c r="Q725" i="3"/>
  <x:c r="I710" i="3"/>
  <x:c r="I702" i="3"/>
  <x:c r="I693" i="3"/>
  <x:c r="I687" i="3"/>
  <x:c r="L682" i="3"/>
  <x:c r="H678" i="3"/>
  <x:c r="K673" i="3"/>
  <x:c r="G669" i="3"/>
  <x:c r="I663" i="3"/>
  <x:c r="L658" i="3"/>
  <x:c r="H654" i="3"/>
  <x:c r="K649" i="3"/>
  <x:c r="G645" i="3"/>
  <x:c r="I639" i="3"/>
  <x:c r="L634" i="3"/>
  <x:c r="H630" i="3"/>
  <x:c r="K625" i="3"/>
  <x:c r="F787" i="3"/>
  <x:c r="G742" i="3"/>
  <x:c r="J718" i="3"/>
  <x:c r="F705" i="3"/>
  <x:c r="H692" i="3"/>
  <x:c r="O686" i="3"/>
  <x:c r="G783" i="3"/>
  <x:c r="P992" i="3"/>
  <x:c r="S987" i="3"/>
  <x:c r="O983" i="3"/>
  <x:c r="O992" i="3"/>
  <x:c r="O995" i="3"/>
  <x:c r="R990" i="3"/>
  <x:c r="J993" i="3"/>
  <x:c r="M986" i="3"/>
  <x:c r="O980" i="3"/>
  <x:c r="R975" i="3"/>
  <x:c r="M970" i="3"/>
  <x:c r="P965" i="3"/>
  <x:c r="K960" i="3"/>
  <x:c r="L990" i="3"/>
  <x:c r="L984" i="3"/>
  <x:c r="J978" i="3"/>
  <x:c r="L972" i="3"/>
  <x:c r="H968" i="3"/>
  <x:c r="K963" i="3"/>
  <x:c r="S990" i="3"/>
  <x:c r="N981" i="3"/>
  <x:c r="F976" i="3"/>
  <x:c r="R969" i="3"/>
  <x:c r="M963" i="3"/>
  <x:c r="K955" i="3"/>
  <x:c r="F950" i="3"/>
  <x:c r="I945" i="3"/>
  <x:c r="L940" i="3"/>
  <x:c r="R988" i="3"/>
  <x:c r="R980" i="3"/>
  <x:c r="R973" i="3"/>
  <x:c r="J968" i="3"/>
  <x:c r="K961" i="3"/>
  <x:c r="P953" i="3"/>
  <x:c r="S948" i="3"/>
  <x:c r="O944" i="3"/>
  <x:c r="N992" i="3"/>
  <x:c r="J984" i="3"/>
  <x:c r="R977" i="3"/>
  <x:c r="Q970" i="3"/>
  <x:c r="I965" i="3"/>
  <x:c r="Q957" i="3"/>
  <x:c r="S951" i="3"/>
  <x:c r="O947" i="3"/>
  <x:c r="R942" i="3"/>
  <x:c r="P995" i="3"/>
  <x:c r="J981" i="3"/>
  <x:c r="K969" i="3"/>
  <x:c r="R957" i="3"/>
  <x:c r="K950" i="3"/>
  <x:c r="R943" i="3"/>
  <x:c r="P937" i="3"/>
  <x:c r="S932" i="3"/>
  <x:c r="N927" i="3"/>
  <x:c r="Q922" i="3"/>
  <x:c r="I987" i="3"/>
  <x:c r="O973" i="3"/>
  <x:c r="O961" i="3"/>
  <x:c r="H951" i="3"/>
  <x:c r="Q943" i="3"/>
  <x:c r="H938" i="3"/>
  <x:c r="K933" i="3"/>
  <x:c r="F928" i="3"/>
  <x:c r="I923" i="3"/>
  <x:c r="R985" i="3"/>
  <x:c r="L973" i="3"/>
  <x:c r="N961" i="3"/>
  <x:c r="Q952" i="3"/>
  <x:c r="F988" i="3"/>
  <x:c r="M976" i="3"/>
  <x:c r="Q965" i="3"/>
  <x:c r="F955" i="3"/>
  <x:c r="P947" i="3"/>
  <x:c r="N940" i="3"/>
  <x:c r="K935" i="3"/>
  <x:c r="G931" i="3"/>
  <x:c r="I925" i="3"/>
  <x:c r="J992" i="3"/>
  <x:c r="P979" i="3"/>
  <x:c r="Q967" i="3"/>
  <x:c r="K957" i="3"/>
  <x:c r="M948" i="3"/>
  <x:c r="R941" i="3"/>
  <x:c r="K936" i="3"/>
  <x:c r="G932" i="3"/>
  <x:c r="Q926" i="3"/>
  <x:c r="M922" i="3"/>
  <x:c r="G957" i="3"/>
  <x:c r="O940" i="3"/>
  <x:c r="I932" i="3"/>
  <x:c r="H923" i="3"/>
  <x:c r="P916" i="3"/>
  <x:c r="S911" i="3"/>
  <x:c r="O907" i="3"/>
  <x:c r="R902" i="3"/>
  <x:c r="N898" i="3"/>
  <x:c r="Q893" i="3"/>
  <x:c r="M889" i="3"/>
  <x:c r="P884" i="3"/>
  <x:c r="M980" i="3"/>
  <x:c r="S961" i="3"/>
  <x:c r="K940" i="3"/>
  <x:c r="H928" i="3"/>
  <x:c r="R919" i="3"/>
  <x:c r="M914" i="3"/>
  <x:c r="K980" i="3"/>
  <x:c r="G949" i="3"/>
  <x:c r="S937" i="3"/>
  <x:c r="K921" i="3"/>
  <x:c r="F916" i="3"/>
  <x:c r="I911" i="3"/>
  <x:c r="L906" i="3"/>
  <x:c r="H902" i="3"/>
  <x:c r="K897" i="3"/>
  <x:c r="G893" i="3"/>
  <x:c r="J888" i="3"/>
  <x:c r="F884" i="3"/>
  <x:c r="G990" i="3"/>
  <x:c r="M947" i="3"/>
  <x:c r="S934" i="3"/>
  <x:c r="R921" i="3"/>
  <x:c r="M916" i="3"/>
  <x:c r="P911" i="3"/>
  <x:c r="S906" i="3"/>
  <x:c r="O902" i="3"/>
  <x:c r="R897" i="3"/>
  <x:c r="N893" i="3"/>
  <x:c r="Q888" i="3"/>
  <x:c r="M884" i="3"/>
  <x:c r="P879" i="3"/>
  <x:c r="S874" i="3"/>
  <x:c r="O870" i="3"/>
  <x:c r="J865" i="3"/>
  <x:c r="F861" i="3"/>
  <x:c r="I856" i="3"/>
  <x:c r="L851" i="3"/>
  <x:c r="G846" i="3"/>
  <x:c r="M967" i="3"/>
  <x:c r="R945" i="3"/>
  <x:c r="P934" i="3"/>
  <x:c r="R925" i="3"/>
  <x:c r="O919" i="3"/>
  <x:c r="Q913" i="3"/>
  <x:c r="M909" i="3"/>
  <x:c r="P904" i="3"/>
  <x:c r="S899" i="3"/>
  <x:c r="O895" i="3"/>
  <x:c r="R890" i="3"/>
  <x:c r="N886" i="3"/>
  <x:c r="Q881" i="3"/>
  <x:c r="M877" i="3"/>
  <x:c r="P872" i="3"/>
  <x:c r="R866" i="3"/>
  <x:c r="N862" i="3"/>
  <x:c r="Q857" i="3"/>
  <x:c r="M853" i="3"/>
  <x:c r="O847" i="3"/>
  <x:c r="Q916" i="3"/>
  <x:c r="Q907" i="3"/>
  <x:c r="Q899" i="3"/>
  <x:c r="Q891" i="3"/>
  <x:c r="Q883" i="3"/>
  <x:c r="K877" i="3"/>
  <x:c r="S871" i="3"/>
  <x:c r="J864" i="3"/>
  <x:c r="P858" i="3"/>
  <x:c r="G853" i="3"/>
  <x:c r="H846" i="3"/>
  <x:c r="J841" i="3"/>
  <x:c r="F837" i="3"/>
  <x:c r="I832" i="3"/>
  <x:c r="S826" i="3"/>
  <x:c r="O822" i="3"/>
  <x:c r="R817" i="3"/>
  <x:c r="M812" i="3"/>
  <x:c r="O981" i="3"/>
  <x:c r="K937" i="3"/>
  <x:c r="O921" i="3"/>
  <x:c r="K909" i="3"/>
  <x:c r="K901" i="3"/>
  <x:c r="K893" i="3"/>
  <x:c r="K885" i="3"/>
  <x:c r="S877" i="3"/>
  <x:c r="Q871" i="3"/>
  <x:c r="F864" i="3"/>
  <x:c r="S857" i="3"/>
  <x:c r="O851" i="3"/>
  <x:c r="K844" i="3"/>
  <x:c r="G840" i="3"/>
  <x:c r="J835" i="3"/>
  <x:c r="F831" i="3"/>
  <x:c r="H825" i="3"/>
  <x:c r="G963" i="3"/>
  <x:c r="I935" i="3"/>
  <x:c r="G920" i="3"/>
  <x:c r="J908" i="3"/>
  <x:c r="J900" i="3"/>
  <x:c r="J892" i="3"/>
  <x:c r="J884" i="3"/>
  <x:c r="H877" i="3"/>
  <x:c r="N871" i="3"/>
  <x:c r="L865" i="3"/>
  <x:c r="H859" i="3"/>
  <x:c r="L853" i="3"/>
  <x:c r="M846" i="3"/>
  <x:c r="H842" i="3"/>
  <x:c r="K837" i="3"/>
  <x:c r="G833" i="3"/>
  <x:c r="J828" i="3"/>
  <x:c r="L822" i="3"/>
  <x:c r="H818" i="3"/>
  <x:c r="R812" i="3"/>
  <x:c r="L950" i="3"/>
  <x:c r="P928" i="3"/>
  <x:c r="G912" i="3"/>
  <x:c r="G900" i="3"/>
  <x:c r="H890" i="3"/>
  <x:c r="N880" i="3"/>
  <x:c r="I874" i="3"/>
  <x:c r="F868" i="3"/>
  <x:c r="J860" i="3"/>
  <x:c r="Q854" i="3"/>
  <x:c r="F847" i="3"/>
  <x:c r="N842" i="3"/>
  <x:c r="Q837" i="3"/>
  <x:c r="M833" i="3"/>
  <x:c r="P828" i="3"/>
  <x:c r="O969" i="3"/>
  <x:c r="J938" i="3"/>
  <x:c r="M919" i="3"/>
  <x:c r="R907" i="3"/>
  <x:c r="R891" i="3"/>
  <x:c r="N879" i="3"/>
  <x:c r="N926" i="3"/>
  <x:c r="N903" i="3"/>
  <x:c r="I884" i="3"/>
  <x:c r="K871" i="3"/>
  <x:c r="F856" i="3"/>
  <x:c r="G845" i="3"/>
  <x:c r="G829" i="3"/>
  <x:c r="J819" i="3"/>
  <x:c r="O811" i="3"/>
  <x:c r="I806" i="3"/>
  <x:c r="L909" i="3"/>
  <x:c r="J878" i="3"/>
  <x:c r="F865" i="3"/>
  <x:c r="N929" i="3"/>
  <x:c r="M902" i="3"/>
  <x:c r="Q877" i="3"/>
  <x:c r="N863" i="3"/>
  <x:c r="H913" i="3"/>
  <x:c r="J887" i="3"/>
  <x:c r="G868" i="3"/>
  <x:c r="O856" i="3"/>
  <x:c r="L844" i="3"/>
  <x:c r="L836" i="3"/>
  <x:c r="L828" i="3"/>
  <x:c r="H820" i="3"/>
  <x:c r="R917" i="3"/>
  <x:c r="M882" i="3"/>
  <x:c r="N866" i="3"/>
  <x:c r="J856" i="3"/>
  <x:c r="G844" i="3"/>
  <x:c r="G836" i="3"/>
  <x:c r="G828" i="3"/>
  <x:c r="P820" i="3"/>
  <x:c r="G813" i="3"/>
  <x:c r="K807" i="3"/>
  <x:c r="M924" i="3"/>
  <x:c r="K876" i="3"/>
  <x:c r="K848" i="3"/>
  <x:c r="J834" i="3"/>
  <x:c r="I822" i="3"/>
  <x:c r="L809" i="3"/>
  <x:c r="J803" i="3"/>
  <x:c r="L797" i="3"/>
  <x:c r="H793" i="3"/>
  <x:c r="J787" i="3"/>
  <x:c r="F783" i="3"/>
  <x:c r="I778" i="3"/>
  <x:c r="K772" i="3"/>
  <x:c r="G768" i="3"/>
  <x:c r="Q762" i="3"/>
  <x:c r="M758" i="3"/>
  <x:c r="P753" i="3"/>
  <x:c r="S748" i="3"/>
  <x:c r="N743" i="3"/>
  <x:c r="Q738" i="3"/>
  <x:c r="H893" i="3"/>
  <x:c r="S853" i="3"/>
  <x:c r="P835" i="3"/>
  <x:c r="Q817" i="3"/>
  <x:c r="K809" i="3"/>
  <x:c r="Q803" i="3"/>
  <x:c r="L798" i="3"/>
  <x:c r="H794" i="3"/>
  <x:c r="R788" i="3"/>
  <x:c r="N784" i="3"/>
  <x:c r="Q779" i="3"/>
  <x:c r="S773" i="3"/>
  <x:c r="O769" i="3"/>
  <x:c r="J764" i="3"/>
  <x:c r="F760" i="3"/>
  <x:c r="I755" i="3"/>
  <x:c r="L750" i="3"/>
  <x:c r="H746" i="3"/>
  <x:c r="J740" i="3"/>
  <x:c r="M928" i="3"/>
  <x:c r="P882" i="3"/>
  <x:c r="R845" i="3"/>
  <x:c r="P832" i="3"/>
  <x:c r="Q820" i="3"/>
  <x:c r="G811" i="3"/>
  <x:c r="K804" i="3"/>
  <x:c r="S798" i="3"/>
  <x:c r="O794" i="3"/>
  <x:c r="J789" i="3"/>
  <x:c r="F785" i="3"/>
  <x:c r="I780" i="3"/>
  <x:c r="K774" i="3"/>
  <x:c r="G770" i="3"/>
  <x:c r="I764" i="3"/>
  <x:c r="L759" i="3"/>
  <x:c r="H755" i="3"/>
  <x:c r="K750" i="3"/>
  <x:c r="G746" i="3"/>
  <x:c r="Q740" i="3"/>
  <x:c r="H909" i="3"/>
  <x:c r="S869" i="3"/>
  <x:c r="M842" i="3"/>
  <x:c r="M826" i="3"/>
  <x:c r="K816" i="3"/>
  <x:c r="Q807" i="3"/>
  <x:c r="F802" i="3"/>
  <x:c r="H796" i="3"/>
  <x:c r="J790" i="3"/>
  <x:c r="F786" i="3"/>
  <x:c r="I781" i="3"/>
  <x:c r="S775" i="3"/>
  <x:c r="O771" i="3"/>
  <x:c r="Q765" i="3"/>
  <x:c r="M761" i="3"/>
  <x:c r="P756" i="3"/>
  <x:c r="S751" i="3"/>
  <x:c r="O747" i="3"/>
  <x:c r="J742" i="3"/>
  <x:c r="F738" i="3"/>
  <x:c r="P869" i="3"/>
  <x:c r="S843" i="3"/>
  <x:c r="S830" i="3"/>
  <x:c r="O819" i="3"/>
  <x:c r="R810" i="3"/>
  <x:c r="J979" i="3"/>
  <x:c r="K843" i="3"/>
  <x:c r="I808" i="3"/>
  <x:c r="R794" i="3"/>
  <x:c r="Q783" i="3"/>
  <x:c r="R770" i="3"/>
  <x:c r="Q759" i="3"/>
  <x:c r="S747" i="3"/>
  <x:c r="R736" i="3"/>
  <x:c r="N732" i="3"/>
  <x:c r="P726" i="3"/>
  <x:c r="S721" i="3"/>
  <x:c r="O717" i="3"/>
  <x:c r="R712" i="3"/>
  <x:c r="N836" i="3"/>
  <x:c r="N811" i="3"/>
  <x:c r="P800" i="3"/>
  <x:c r="P790" i="3"/>
  <x:c r="P782" i="3"/>
  <x:c r="P773" i="3"/>
  <x:c r="O764" i="3"/>
  <x:c r="O756" i="3"/>
  <x:c r="O748" i="3"/>
  <x:c r="N739" i="3"/>
  <x:c r="G734" i="3"/>
  <x:c r="J729" i="3"/>
  <x:c r="L723" i="3"/>
  <x:c r="H719" i="3"/>
  <x:c r="K714" i="3"/>
  <x:c r="F709" i="3"/>
  <x:c r="I704" i="3"/>
  <x:c r="K698" i="3"/>
  <x:c r="G694" i="3"/>
  <x:c r="F921" i="3"/>
  <x:c r="I836" i="3"/>
  <x:c r="M811" i="3"/>
  <x:c r="O798" i="3"/>
  <x:c r="O789" i="3"/>
  <x:c r="O781" i="3"/>
  <x:c r="N772" i="3"/>
  <x:c r="M763" i="3"/>
  <x:c r="M755" i="3"/>
  <x:c r="M747" i="3"/>
  <x:c r="L738" i="3"/>
  <x:c r="M733" i="3"/>
  <x:c r="P728" i="3"/>
  <x:c r="R722" i="3"/>
  <x:c r="N718" i="3"/>
  <x:c r="Q713" i="3"/>
  <x:c r="S707" i="3"/>
  <x:c r="O703" i="3"/>
  <x:c r="J698" i="3"/>
  <x:c r="F694" i="3"/>
  <x:c r="J957" i="3"/>
  <x:c r="S841" i="3"/>
  <x:c r="L803" i="3"/>
  <x:c r="K794" i="3"/>
  <x:c r="J785" i="3"/>
  <x:c r="J776" i="3"/>
  <x:c r="J768" i="3"/>
  <x:c r="J759" i="3"/>
  <x:c r="J751" i="3"/>
  <x:c r="N742" i="3"/>
  <x:c r="N735" i="3"/>
  <x:c r="Q730" i="3"/>
  <x:c r="S724" i="3"/>
  <x:c r="O720" i="3"/>
  <x:c r="R715" i="3"/>
  <x:c r="M710" i="3"/>
  <x:c r="P705" i="3"/>
  <x:c r="K700" i="3"/>
  <x:c r="G696" i="3"/>
  <x:c r="J691" i="3"/>
  <x:c r="L863" i="3"/>
  <x:c r="M819" i="3"/>
  <x:c r="I801" i="3"/>
  <x:c r="I792" i="3"/>
  <x:c r="I783" i="3"/>
  <x:c r="I774" i="3"/>
  <x:c r="M765" i="3"/>
  <x:c r="M757" i="3"/>
  <x:c r="M749" i="3"/>
  <x:c r="L740" i="3"/>
  <x:c r="S733" i="3"/>
  <x:c r="O729" i="3"/>
  <x:c r="J724" i="3"/>
  <x:c r="F720" i="3"/>
  <x:c r="I715" i="3"/>
  <x:c r="S709" i="3"/>
  <x:c r="O705" i="3"/>
  <x:c r="Q699" i="3"/>
  <x:c r="M695" i="3"/>
  <x:c r="P690" i="3"/>
  <x:c r="M854" i="3"/>
  <x:c r="I814" i="3"/>
  <x:c r="H992" i="3"/>
  <x:c r="K987" i="3"/>
  <x:c r="G983" i="3"/>
  <x:c r="G992" i="3"/>
  <x:c r="G995" i="3"/>
  <x:c r="J990" i="3"/>
  <x:c r="M992" i="3"/>
  <x:c r="S985" i="3"/>
  <x:c r="G980" i="3"/>
  <x:c r="J975" i="3"/>
  <x:c r="L969" i="3"/>
  <x:c r="H965" i="3"/>
  <x:c r="R959" i="3"/>
  <x:c r="P989" i="3"/>
  <x:c r="R983" i="3"/>
  <x:c r="Q977" i="3"/>
  <x:c r="S971" i="3"/>
  <x:c r="O967" i="3"/>
  <x:c r="Q961" i="3"/>
  <x:c r="S989" i="3"/>
  <x:c r="S980" i="3"/>
  <x:c r="K975" i="3"/>
  <x:c r="G969" i="3"/>
  <x:c r="M961" i="3"/>
  <x:c r="Q953" i="3"/>
  <x:c r="M949" i="3"/>
  <x:c r="P944" i="3"/>
  <x:c r="S939" i="3"/>
  <x:c r="R987" i="3"/>
  <x:c r="H980" i="3"/>
  <x:c r="G973" i="3"/>
  <x:c r="N967" i="3"/>
  <x:c r="O960" i="3"/>
  <x:c r="H953" i="3"/>
  <x:c r="K948" i="3"/>
  <x:c r="G944" i="3"/>
  <x:c r="L991" i="3"/>
  <x:c r="M983" i="3"/>
  <x:c r="G977" i="3"/>
  <x:c r="G970" i="3"/>
  <x:c r="N964" i="3"/>
  <x:c r="I957" i="3"/>
  <x:c r="K951" i="3"/>
  <x:c r="G947" i="3"/>
  <x:c r="J942" i="3"/>
  <x:c r="K994" i="3"/>
  <x:c r="J980" i="3"/>
  <x:c r="I968" i="3"/>
  <x:c r="F957" i="3"/>
  <x:c r="O949" i="3"/>
  <x:c r="H942" i="3"/>
  <x:c r="H937" i="3"/>
  <x:c r="K932" i="3"/>
  <x:c r="F927" i="3"/>
  <x:c r="I922" i="3"/>
  <x:c r="R984" i="3"/>
  <x:c r="P972" i="3"/>
  <x:c r="M960" i="3"/>
  <x:c r="I950" i="3"/>
  <x:c r="S942" i="3"/>
  <x:c r="O937" i="3"/>
  <x:c r="R932" i="3"/>
  <x:c r="M927" i="3"/>
  <x:c r="P922" i="3"/>
  <x:c r="M984" i="3"/>
  <x:c r="K972" i="3"/>
  <x:c r="J960" i="3"/>
  <x:c r="R951" i="3"/>
  <x:c r="Q986" i="3"/>
  <x:c r="M975" i="3"/>
  <x:c r="P964" i="3"/>
  <x:c r="K953" i="3"/>
  <x:c r="S946" i="3"/>
  <x:c r="R939" i="3"/>
  <x:c r="R934" i="3"/>
  <x:c r="M929" i="3"/>
  <x:c r="P924" i="3"/>
  <x:c r="O990" i="3"/>
  <x:c r="N978" i="3"/>
  <x:c r="P966" i="3"/>
  <x:c r="O956" i="3"/>
  <x:c r="N947" i="3"/>
  <x:c r="G941" i="3"/>
  <x:c r="R935" i="3"/>
  <x:c r="N931" i="3"/>
  <x:c r="I926" i="3"/>
  <x:c r="P980" i="3"/>
  <x:c r="M955" i="3"/>
  <x:c r="I939" i="3"/>
  <x:c r="H931" i="3"/>
  <x:c r="G922" i="3"/>
  <x:c r="H916" i="3"/>
  <x:c r="K911" i="3"/>
  <x:c r="G907" i="3"/>
  <x:c r="J902" i="3"/>
  <x:c r="F898" i="3"/>
  <x:c r="I893" i="3"/>
  <x:c r="L888" i="3"/>
  <x:c r="H884" i="3"/>
  <x:c r="I978" i="3"/>
  <x:c r="F953" i="3"/>
  <x:c r="F937" i="3"/>
  <x:c r="G927" i="3"/>
  <x:c r="J919" i="3"/>
  <x:c r="L913" i="3"/>
  <x:c r="H978" i="3"/>
  <x:c r="Q947" i="3"/>
  <x:c r="F934" i="3"/>
  <x:c r="R920" i="3"/>
  <x:c r="M915" i="3"/>
  <x:c r="P910" i="3"/>
  <x:c r="S905" i="3"/>
  <x:c r="O901" i="3"/>
  <x:c r="R896" i="3"/>
  <x:c r="N892" i="3"/>
  <x:c r="Q887" i="3"/>
  <x:c r="M883" i="3"/>
  <x:c r="L987" i="3"/>
  <x:c r="M944" i="3"/>
  <x:c r="S931" i="3"/>
  <x:c r="J921" i="3"/>
  <x:c r="L915" i="3"/>
  <x:c r="H911" i="3"/>
  <x:c r="K906" i="3"/>
  <x:c r="G902" i="3"/>
  <x:c r="J897" i="3"/>
  <x:c r="F893" i="3"/>
  <x:c r="I888" i="3"/>
  <x:c r="L883" i="3"/>
  <x:c r="H879" i="3"/>
  <x:c r="K874" i="3"/>
  <x:c r="G870" i="3"/>
  <x:c r="Q864" i="3"/>
  <x:c r="M860" i="3"/>
  <x:c r="P855" i="3"/>
  <x:c r="S850" i="3"/>
  <x:c r="G984" i="3"/>
  <x:c r="K965" i="3"/>
  <x:c r="I944" i="3"/>
  <x:c r="R933" i="3"/>
  <x:c r="Q924" i="3"/>
  <x:c r="G919" i="3"/>
  <x:c r="I913" i="3"/>
  <x:c r="L908" i="3"/>
  <x:c r="H904" i="3"/>
  <x:c r="K899" i="3"/>
  <x:c r="G895" i="3"/>
  <x:c r="J890" i="3"/>
  <x:c r="F886" i="3"/>
  <x:c r="I881" i="3"/>
  <x:c r="L876" i="3"/>
  <x:c r="H872" i="3"/>
  <x:c r="J866" i="3"/>
  <x:c r="F862" i="3"/>
  <x:c r="I857" i="3"/>
  <x:c r="L852" i="3"/>
  <x:c r="G847" i="3"/>
  <x:c r="J915" i="3"/>
  <x:c r="Q906" i="3"/>
  <x:c r="Q898" i="3"/>
  <x:c r="Q890" i="3"/>
  <x:c r="Q882" i="3"/>
  <x:c r="Q876" i="3"/>
  <x:c r="I871" i="3"/>
  <x:c r="M863" i="3"/>
  <x:c r="F858" i="3"/>
  <x:c r="K852" i="3"/>
  <x:c r="N845" i="3"/>
  <x:c r="Q840" i="3"/>
  <x:c r="M836" i="3"/>
  <x:c r="P831" i="3"/>
  <x:c r="K826" i="3"/>
  <x:c r="G822" i="3"/>
  <x:c r="J817" i="3"/>
  <x:c r="L811" i="3"/>
  <x:c r="H977" i="3"/>
  <x:c r="L935" i="3"/>
  <x:c r="M920" i="3"/>
  <x:c r="K908" i="3"/>
  <x:c r="K900" i="3"/>
  <x:c r="K892" i="3"/>
  <x:c r="K884" i="3"/>
  <x:c r="I877" i="3"/>
  <x:c r="J870" i="3"/>
  <x:c r="K863" i="3"/>
  <x:c r="G857" i="3"/>
  <x:c r="H850" i="3"/>
  <x:c r="R843" i="3"/>
  <x:c r="N839" i="3"/>
  <x:c r="Q834" i="3"/>
  <x:c r="M830" i="3"/>
  <x:c r="O824" i="3"/>
  <x:c r="N955" i="3"/>
  <x:c r="M933" i="3"/>
  <x:c r="K917" i="3"/>
  <x:c r="J907" i="3"/>
  <x:c r="J899" i="3"/>
  <x:c r="J891" i="3"/>
  <x:c r="J883" i="3"/>
  <x:c r="N876" i="3"/>
  <x:c r="S870" i="3"/>
  <x:c r="O864" i="3"/>
  <x:c r="M858" i="3"/>
  <x:c r="R852" i="3"/>
  <x:c r="S845" i="3"/>
  <x:c r="O841" i="3"/>
  <x:c r="R836" i="3"/>
  <x:c r="N832" i="3"/>
  <x:c r="P826" i="3"/>
  <x:c r="S821" i="3"/>
  <x:c r="O817" i="3"/>
  <x:c r="J812" i="3"/>
  <x:c r="I947" i="3"/>
  <x:c r="O926" i="3"/>
  <x:c r="F911" i="3"/>
  <x:c r="H899" i="3"/>
  <x:c r="G889" i="3"/>
  <x:c r="R879" i="3"/>
  <x:c r="N873" i="3"/>
  <x:c r="O866" i="3"/>
  <x:c r="P859" i="3"/>
  <x:c r="J853" i="3"/>
  <x:c r="K846" i="3"/>
  <x:c r="F842" i="3"/>
  <x:c r="I837" i="3"/>
  <x:c r="L832" i="3"/>
  <x:c r="H828" i="3"/>
  <x:c r="J965" i="3"/>
  <x:c r="J936" i="3"/>
  <x:c r="R916" i="3"/>
  <x:c r="S902" i="3"/>
  <x:c r="S886" i="3"/>
  <x:c r="S878" i="3"/>
  <x:c r="K922" i="3"/>
  <x:c r="H901" i="3"/>
  <x:c r="H882" i="3"/>
  <x:c r="H870" i="3"/>
  <x:c r="R854" i="3"/>
  <x:c r="F844" i="3"/>
  <x:c r="F828" i="3"/>
  <x:c r="N818" i="3"/>
  <x:c r="I810" i="3"/>
  <x:c r="P805" i="3"/>
  <x:c r="I907" i="3"/>
  <x:c r="P876" i="3"/>
  <x:c r="S863" i="3"/>
  <x:c r="O925" i="3"/>
  <x:c r="O900" i="3"/>
  <x:c r="I876" i="3"/>
  <x:c r="I862" i="3"/>
  <x:c r="M910" i="3"/>
  <x:c r="I879" i="3"/>
  <x:c r="P865" i="3"/>
  <x:c r="J855" i="3"/>
  <x:c r="M843" i="3"/>
  <x:c r="M835" i="3"/>
  <x:c r="L826" i="3"/>
  <x:c r="N819" i="3"/>
  <x:c r="M912" i="3"/>
  <x:c r="M880" i="3"/>
  <x:c r="K865" i="3"/>
  <x:c r="R853" i="3"/>
  <x:c r="H843" i="3"/>
  <x:c r="H835" i="3"/>
  <x:c r="G826" i="3"/>
  <x:c r="F820" i="3"/>
  <x:c r="K812" i="3"/>
  <x:c r="R806" i="3"/>
  <x:c r="I915" i="3"/>
  <x:c r="H873" i="3"/>
  <x:c r="J846" i="3"/>
  <x:c r="S832" i="3"/>
  <x:c r="G821" i="3"/>
  <x:c r="Q808" i="3"/>
  <x:c r="Q802" i="3"/>
  <x:c r="S796" i="3"/>
  <x:c r="O792" i="3"/>
  <x:c r="Q786" i="3"/>
  <x:c r="M782" i="3"/>
  <x:c r="O776" i="3"/>
  <x:c r="R771" i="3"/>
  <x:c r="N767" i="3"/>
  <x:c r="I762" i="3"/>
  <x:c r="L757" i="3"/>
  <x:c r="H753" i="3"/>
  <x:c r="K748" i="3"/>
  <x:c r="F743" i="3"/>
  <x:c r="I738" i="3"/>
  <x:c r="S879" i="3"/>
  <x:c r="R851" i="3"/>
  <x:c r="R832" i="3"/>
  <x:c r="R816" i="3"/>
  <x:c r="P808" i="3"/>
  <x:c r="I803" i="3"/>
  <x:c r="S797" i="3"/>
  <x:c r="O793" i="3"/>
  <x:c r="J788" i="3"/>
  <x:c r="F784" i="3"/>
  <x:c r="I779" i="3"/>
  <x:c r="K773" i="3"/>
  <x:c r="G769" i="3"/>
  <x:c r="Q763" i="3"/>
  <x:c r="M759" i="3"/>
  <x:c r="P754" i="3"/>
  <x:c r="S749" i="3"/>
  <x:c r="O745" i="3"/>
  <x:c r="Q739" i="3"/>
  <x:c r="M923" i="3"/>
  <x:c r="L879" i="3"/>
  <x:c r="I844" i="3"/>
  <x:c r="I831" i="3"/>
  <x:c r="R819" i="3"/>
  <x:c r="G810" i="3"/>
  <x:c r="P803" i="3"/>
  <x:c r="K798" i="3"/>
  <x:c r="G794" i="3"/>
  <x:c r="Q788" i="3"/>
  <x:c r="M784" i="3"/>
  <x:c r="P779" i="3"/>
  <x:c r="R773" i="3"/>
  <x:c r="N769" i="3"/>
  <x:c r="P763" i="3"/>
  <x:c r="S758" i="3"/>
  <x:c r="O754" i="3"/>
  <x:c r="R749" i="3"/>
  <x:c r="N745" i="3"/>
  <x:c r="I740" i="3"/>
  <x:c r="G906" i="3"/>
  <x:c r="N864" i="3"/>
  <x:c r="Q839" i="3"/>
  <x:c r="R823" i="3"/>
  <x:c r="N814" i="3"/>
  <x:c r="G807" i="3"/>
  <x:c r="M801" i="3"/>
  <x:c r="O795" i="3"/>
  <x:c r="Q789" i="3"/>
  <x:c r="M785" i="3"/>
  <x:c r="P780" i="3"/>
  <x:c r="K775" i="3"/>
  <x:c r="G771" i="3"/>
  <x:c r="I765" i="3"/>
  <x:c r="L760" i="3"/>
  <x:c r="H756" i="3"/>
  <x:c r="K751" i="3"/>
  <x:c r="G747" i="3"/>
  <x:c r="Q741" i="3"/>
  <x:c r="M737" i="3"/>
  <x:c r="K864" i="3"/>
  <x:c r="J842" i="3"/>
  <x:c r="O829" i="3"/>
  <x:c r="L818" i="3"/>
  <x:c r="G809" i="3"/>
  <x:c r="F905" i="3"/>
  <x:c r="M840" i="3"/>
  <x:c r="P806" i="3"/>
  <x:c r="Q793" i="3"/>
  <x:c r="Q782" i="3"/>
  <x:c r="Q769" i="3"/>
  <x:c r="Q758" i="3"/>
  <x:c r="R746" i="3"/>
  <x:c r="J736" i="3"/>
  <x:c r="F732" i="3"/>
  <x:c r="H726" i="3"/>
  <x:c r="K721" i="3"/>
  <x:c r="G717" i="3"/>
  <x:c r="J712" i="3"/>
  <x:c r="L833" i="3"/>
  <x:c r="S809" i="3"/>
  <x:c r="P798" i="3"/>
  <x:c r="P789" i="3"/>
  <x:c r="P781" i="3"/>
  <x:c r="O772" i="3"/>
  <x:c r="N763" i="3"/>
  <x:c r="N755" i="3"/>
  <x:c r="N747" i="3"/>
  <x:c r="M738" i="3"/>
  <x:c r="N733" i="3"/>
  <x:c r="Q728" i="3"/>
  <x:c r="S722" i="3"/>
  <x:c r="O718" i="3"/>
  <x:c r="R713" i="3"/>
  <x:c r="M708" i="3"/>
  <x:c r="P703" i="3"/>
  <x:c r="R697" i="3"/>
  <x:c r="N693" i="3"/>
  <x:c r="O904" i="3"/>
  <x:c r="I833" i="3"/>
  <x:c r="Q809" i="3"/>
  <x:c r="O797" i="3"/>
  <x:c r="N788" i="3"/>
  <x:c r="N780" i="3"/>
  <x:c r="M771" i="3"/>
  <x:c r="L762" i="3"/>
  <x:c r="L754" i="3"/>
  <x:c r="L746" i="3"/>
  <x:c r="K737" i="3"/>
  <x:c r="L732" i="3"/>
  <x:c r="H728" i="3"/>
  <x:c r="J722" i="3"/>
  <x:c r="F718" i="3"/>
  <x:c r="I713" i="3"/>
  <x:c r="K707" i="3"/>
  <x:c r="G703" i="3"/>
  <x:c r="Q697" i="3"/>
  <x:c r="M693" i="3"/>
  <x:c r="S908" i="3"/>
  <x:c r="I839" i="3"/>
  <x:c r="K802" i="3"/>
  <x:c r="J793" i="3"/>
  <x:c r="J784" i="3"/>
  <x:c r="J775" i="3"/>
  <x:c r="J767" i="3"/>
  <x:c r="N758" i="3"/>
  <x:c r="N750" i="3"/>
  <x:c r="N741" i="3"/>
  <x:c r="F735" i="3"/>
  <x:c r="I730" i="3"/>
  <x:c r="K724" i="3"/>
  <x:c r="G720" i="3"/>
  <x:c r="J715" i="3"/>
  <x:c r="L709" i="3"/>
  <x:c r="H705" i="3"/>
  <x:c r="R699" i="3"/>
  <x:c r="N695" i="3"/>
  <x:c r="Q690" i="3"/>
  <x:c r="Q858" i="3"/>
  <x:c r="K817" i="3"/>
  <x:c r="I800" i="3"/>
  <x:c r="I790" i="3"/>
  <x:c r="I782" i="3"/>
  <x:c r="M773" i="3"/>
  <x:c r="L764" i="3"/>
  <x:c r="L756" i="3"/>
  <x:c r="L748" i="3"/>
  <x:c r="K739" i="3"/>
  <x:c r="K733" i="3"/>
  <x:c r="G729" i="3"/>
  <x:c r="Q723" i="3"/>
  <x:c r="M719" i="3"/>
  <x:c r="P714" i="3"/>
  <x:c r="K709" i="3"/>
  <x:c r="G705" i="3"/>
  <x:c r="I699" i="3"/>
  <x:c r="L694" i="3"/>
  <x:c r="H690" i="3"/>
  <x:c r="R834" i="3"/>
  <x:c r="N812" i="3"/>
  <x:c r="H797" i="3"/>
  <x:c r="O880" i="3"/>
  <x:c r="M834" i="3"/>
  <x:c r="S802" i="3"/>
  <x:c r="F790" i="3"/>
  <x:c r="S778" i="3"/>
  <x:c r="R767" i="3"/>
  <x:c r="S754" i="3"/>
  <x:c r="R743" i="3"/>
  <x:c r="J735" i="3"/>
  <x:c r="F731" i="3"/>
  <x:c r="H725" i="3"/>
  <x:c r="K720" i="3"/>
  <x:c r="G716" i="3"/>
  <x:c r="F796" i="3"/>
  <x:c r="H742" i="3"/>
  <x:c r="L720" i="3"/>
  <x:c r="I708" i="3"/>
  <x:c r="M699" i="3"/>
  <x:c r="M691" i="3"/>
  <x:c r="H686" i="3"/>
  <x:c r="K681" i="3"/>
  <x:c r="G677" i="3"/>
  <x:c r="J672" i="3"/>
  <x:c r="F668" i="3"/>
  <x:c r="H662" i="3"/>
  <x:c r="K657" i="3"/>
  <x:c r="G653" i="3"/>
  <x:c r="J648" i="3"/>
  <x:c r="F644" i="3"/>
  <x:c r="H638" i="3"/>
  <x:c r="K633" i="3"/>
  <x:c r="G629" i="3"/>
  <x:c r="J624" i="3"/>
  <x:c r="G774" i="3"/>
  <x:c r="J734" i="3"/>
  <x:c r="M713" i="3"/>
  <x:c r="H700" i="3"/>
  <x:c r="G690" i="3"/>
  <x:c r="N685" i="3"/>
  <x:c r="S776" i="3"/>
  <x:c r="O730" i="3"/>
  <x:c r="S710" i="3"/>
  <x:c r="G699" i="3"/>
  <x:c r="I689" i="3"/>
  <x:c r="L684" i="3"/>
  <x:c r="H680" i="3"/>
  <x:c r="K675" i="3"/>
  <x:c r="G671" i="3"/>
  <x:c r="J666" i="3"/>
  <x:c r="L660" i="3"/>
  <x:c r="H656" i="3"/>
  <x:c r="K651" i="3"/>
  <x:c r="G647" i="3"/>
  <x:c r="J642" i="3"/>
  <x:c r="F780" i="3"/>
  <x:c r="L735" i="3"/>
  <x:c r="L719" i="3"/>
  <x:c r="F707" i="3"/>
  <x:c r="R694" i="3"/>
  <x:c r="F687" i="3"/>
  <x:c r="I682" i="3"/>
  <x:c r="L677" i="3"/>
  <x:c r="H673" i="3"/>
  <x:c r="S995" i="3"/>
  <x:c r="O991" i="3"/>
  <x:c r="R986" i="3"/>
  <x:c r="R995" i="3"/>
  <x:c r="N991" i="3"/>
  <x:c r="N994" i="3"/>
  <x:c r="Q989" i="3"/>
  <x:c r="P991" i="3"/>
  <x:c r="J985" i="3"/>
  <x:c r="N979" i="3"/>
  <x:c r="P973" i="3"/>
  <x:c r="S968" i="3"/>
  <x:c r="O964" i="3"/>
  <x:c r="J959" i="3"/>
  <x:c r="G988" i="3"/>
  <x:c r="I983" i="3"/>
  <x:c r="I977" i="3"/>
  <x:c r="K971" i="3"/>
  <x:c r="G967" i="3"/>
  <x:c r="I961" i="3"/>
  <x:c r="H987" i="3"/>
  <x:c r="I980" i="3"/>
  <x:c r="S973" i="3"/>
  <x:c r="L968" i="3"/>
  <x:c r="Q960" i="3"/>
  <x:c r="I953" i="3"/>
  <x:c r="L948" i="3"/>
  <x:c r="H944" i="3"/>
  <x:c r="K939" i="3"/>
  <x:c r="F987" i="3"/>
  <x:c r="L979" i="3"/>
  <x:c r="M972" i="3"/>
  <x:c r="S966" i="3"/>
  <x:c r="I959" i="3"/>
  <x:c r="O952" i="3"/>
  <x:c r="R947" i="3"/>
  <x:c r="N943" i="3"/>
  <x:c r="I990" i="3"/>
  <x:c r="S981" i="3"/>
  <x:c r="L976" i="3"/>
  <x:c r="M969" i="3"/>
  <x:c r="R963" i="3"/>
  <x:c r="P956" i="3"/>
  <x:c r="R950" i="3"/>
  <x:c r="N946" i="3"/>
  <x:c r="Q941" i="3"/>
  <x:c r="M991" i="3"/>
  <x:c r="G979" i="3"/>
  <x:c r="H967" i="3"/>
  <x:c r="I956" i="3"/>
  <x:c r="R948" i="3"/>
  <x:c r="L941" i="3"/>
  <x:c r="O936" i="3"/>
  <x:c r="R931" i="3"/>
  <x:c r="M926" i="3"/>
  <x:c r="L995" i="3"/>
  <x:c r="K983" i="3"/>
  <x:c r="L971" i="3"/>
  <x:c r="M959" i="3"/>
  <x:c r="N949" i="3"/>
  <x:c r="G942" i="3"/>
  <x:c r="G937" i="3"/>
  <x:c r="J932" i="3"/>
  <x:c r="L926" i="3"/>
  <x:c r="H922" i="3"/>
  <x:c r="J983" i="3"/>
  <x:c r="J971" i="3"/>
  <x:c r="L959" i="3"/>
  <x:c r="H950" i="3"/>
  <x:c r="P985" i="3"/>
  <x:c r="K973" i="3"/>
  <x:c r="O963" i="3"/>
  <x:c r="N952" i="3"/>
  <x:c r="G945" i="3"/>
  <x:c r="H939" i="3"/>
  <x:c r="J934" i="3"/>
  <x:c r="L928" i="3"/>
  <x:c r="H924" i="3"/>
  <x:c r="G989" i="3"/>
  <x:c r="N977" i="3"/>
  <x:c r="O965" i="3"/>
  <x:c r="Q955" i="3"/>
  <x:c r="P946" i="3"/>
  <x:c r="M940" i="3"/>
  <x:c r="J935" i="3"/>
  <x:c r="F931" i="3"/>
  <x:c r="P925" i="3"/>
  <x:c r="K978" i="3"/>
  <x:c r="G953" i="3"/>
  <x:c r="G938" i="3"/>
  <x:c r="I929" i="3"/>
  <x:c r="M921" i="3"/>
  <x:c r="O915" i="3"/>
  <x:c r="R910" i="3"/>
  <x:c r="N906" i="3"/>
  <x:c r="Q901" i="3"/>
  <x:c r="M897" i="3"/>
  <x:c r="P892" i="3"/>
  <x:c r="S887" i="3"/>
  <x:c r="O883" i="3"/>
  <x:c r="G976" i="3"/>
  <x:c r="J951" i="3"/>
  <x:c r="H936" i="3"/>
  <x:c r="G926" i="3"/>
  <x:c r="P917" i="3"/>
  <x:c r="S912" i="3"/>
  <x:c r="O970" i="3"/>
  <x:c r="G946" i="3"/>
  <x:c r="F933" i="3"/>
  <x:c r="J920" i="3"/>
  <x:c r="L914" i="3"/>
  <x:c r="H910" i="3"/>
  <x:c r="K905" i="3"/>
  <x:c r="G901" i="3"/>
  <x:c r="J896" i="3"/>
  <x:c r="F892" i="3"/>
  <x:c r="I887" i="3"/>
  <x:c r="L882" i="3"/>
  <x:c r="H975" i="3"/>
  <x:c r="N941" i="3"/>
  <x:c r="R929" i="3"/>
  <x:c r="Q920" i="3"/>
  <x:c r="S914" i="3"/>
  <x:c r="O910" i="3"/>
  <x:c r="R905" i="3"/>
  <x:c r="N901" i="3"/>
  <x:c r="Q896" i="3"/>
  <x:c r="M892" i="3"/>
  <x:c r="P887" i="3"/>
  <x:c r="S882" i="3"/>
  <x:c r="O878" i="3"/>
  <x:c r="R873" i="3"/>
  <x:c r="N869" i="3"/>
  <x:c r="I864" i="3"/>
  <x:c r="L859" i="3"/>
  <x:c r="H855" i="3"/>
  <x:c r="K850" i="3"/>
  <x:c r="Q981" i="3"/>
  <x:c r="I963" i="3"/>
  <x:c r="Q942" i="3"/>
  <x:c r="Q932" i="3"/>
  <x:c r="P923" i="3"/>
  <x:c r="M917" i="3"/>
  <x:c r="P912" i="3"/>
  <x:c r="S907" i="3"/>
  <x:c r="O903" i="3"/>
  <x:c r="R898" i="3"/>
  <x:c r="N894" i="3"/>
  <x:c r="Q889" i="3"/>
  <x:c r="M885" i="3"/>
  <x:c r="P880" i="3"/>
  <x:c r="S875" i="3"/>
  <x:c r="O871" i="3"/>
  <x:c r="Q865" i="3"/>
  <x:c r="M861" i="3"/>
  <x:c r="P856" i="3"/>
  <x:c r="S851" i="3"/>
  <x:c r="N846" i="3"/>
  <x:c r="H914" i="3"/>
  <x:c r="P905" i="3"/>
  <x:c r="P897" i="3"/>
  <x:c r="P889" i="3"/>
  <x:c r="F882" i="3"/>
  <x:c r="G876" i="3"/>
  <x:c r="L870" i="3"/>
  <x:c r="R862" i="3"/>
  <x:c r="K857" i="3"/>
  <x:c r="Q851" i="3"/>
  <x:c r="F845" i="3"/>
  <x:c r="I840" i="3"/>
  <x:c r="L835" i="3"/>
  <x:c r="H831" i="3"/>
  <x:c r="R825" i="3"/>
  <x:c r="N821" i="3"/>
  <x:c r="Q816" i="3"/>
  <x:c r="S810" i="3"/>
  <x:c r="Q959" i="3"/>
  <x:c r="N933" i="3"/>
  <x:c r="L917" i="3"/>
  <x:c r="N907" i="3"/>
  <x:c r="N899" i="3"/>
  <x:c r="N891" i="3"/>
  <x:c r="N883" i="3"/>
  <x:c r="O876" i="3"/>
  <x:c r="O869" i="3"/>
  <x:c r="P862" i="3"/>
  <x:c r="L856" i="3"/>
  <x:c r="R848" i="3"/>
  <x:c r="J843" i="3"/>
  <x:c r="F839" i="3"/>
  <x:c r="I834" i="3"/>
  <x:c r="L829" i="3"/>
  <x:c r="G824" i="3"/>
  <x:c r="M951" i="3"/>
  <x:c r="K931" i="3"/>
  <x:c r="I916" i="3"/>
  <x:c r="M906" i="3"/>
  <x:c r="M898" i="3"/>
  <x:c r="M890" i="3"/>
  <x:c r="N882" i="3"/>
  <x:c r="R875" i="3"/>
  <x:c r="I870" i="3"/>
  <x:c r="J863" i="3"/>
  <x:c r="P857" i="3"/>
  <x:c r="H852" i="3"/>
  <x:c r="K845" i="3"/>
  <x:c r="G841" i="3"/>
  <x:c r="J836" i="3"/>
  <x:c r="F832" i="3"/>
  <x:c r="H826" i="3"/>
  <x:c r="K821" i="3"/>
  <x:c r="G817" i="3"/>
  <x:c r="Q811" i="3"/>
  <x:c r="F944" i="3"/>
  <x:c r="N924" i="3"/>
  <x:c r="G908" i="3"/>
  <x:c r="H898" i="3"/>
  <x:c r="G888" i="3"/>
  <x:c r="F879" i="3"/>
  <x:c r="S872" i="3"/>
  <x:c r="H865" i="3"/>
  <x:c r="F859" i="3"/>
  <x:c r="P852" i="3"/>
  <x:c r="Q845" i="3"/>
  <x:c r="M841" i="3"/>
  <x:c r="P836" i="3"/>
  <x:c r="S831" i="3"/>
  <x:c r="N826" i="3"/>
  <x:c r="H957" i="3"/>
  <x:c r="K934" i="3"/>
  <x:c r="P915" i="3"/>
  <x:c r="R901" i="3"/>
  <x:c r="R885" i="3"/>
  <x:c r="I878" i="3"/>
  <x:c r="J917" i="3"/>
  <x:c r="F899" i="3"/>
  <x:c r="G880" i="3"/>
  <x:c r="M866" i="3"/>
  <x:c r="P853" i="3"/>
  <x:c r="F843" i="3"/>
  <x:c r="H824" i="3"/>
  <x:c r="S817" i="3"/>
  <x:c r="M809" i="3"/>
  <x:c r="H805" i="3"/>
  <x:c r="H905" i="3"/>
  <x:c r="N875" i="3"/>
  <x:c r="L862" i="3"/>
  <x:c r="P921" i="3"/>
  <x:c r="I898" i="3"/>
  <x:c r="G875" i="3"/>
  <x:c r="S860" i="3"/>
  <x:c r="O908" i="3"/>
  <x:c r="J877" i="3"/>
  <x:c r="L864" i="3"/>
  <x:c r="Q852" i="3"/>
  <x:c r="L842" i="3"/>
  <x:c r="L834" i="3"/>
  <x:c r="K825" i="3"/>
  <x:c r="R818" i="3"/>
  <x:c r="L901" i="3"/>
  <x:c r="Q878" i="3"/>
  <x:c r="G864" i="3"/>
  <x:c r="N852" i="3"/>
  <x:c r="G842" i="3"/>
  <x:c r="G834" i="3"/>
  <x:c r="F825" i="3"/>
  <x:c r="K819" i="3"/>
  <x:c r="P811" i="3"/>
  <x:c r="J806" i="3"/>
  <x:c r="F907" i="3"/>
  <x:c r="R870" i="3"/>
  <x:c r="O844" i="3"/>
  <x:c r="O831" i="3"/>
  <x:c r="F819" i="3"/>
  <x:c r="G808" i="3"/>
  <x:c r="I802" i="3"/>
  <x:c r="K796" i="3"/>
  <x:c r="G792" i="3"/>
  <x:c r="I786" i="3"/>
  <x:c r="L781" i="3"/>
  <x:c r="G776" i="3"/>
  <x:c r="J771" i="3"/>
  <x:c r="F767" i="3"/>
  <x:c r="P761" i="3"/>
  <x:c r="S756" i="3"/>
  <x:c r="O752" i="3"/>
  <x:c r="R747" i="3"/>
  <x:c r="M742" i="3"/>
  <x:c r="P737" i="3"/>
  <x:c r="H876" i="3"/>
  <x:c r="G848" i="3"/>
  <x:c r="L831" i="3"/>
  <x:c r="Q814" i="3"/>
  <x:c r="F808" i="3"/>
  <x:c r="P802" i="3"/>
  <x:c r="K797" i="3"/>
  <x:c r="G793" i="3"/>
  <x:c r="Q787" i="3"/>
  <x:c r="M783" i="3"/>
  <x:c r="P778" i="3"/>
  <x:c r="R772" i="3"/>
  <x:c r="N768" i="3"/>
  <x:c r="I763" i="3"/>
  <x:c r="L758" i="3"/>
  <x:c r="H754" i="3"/>
  <x:c r="K749" i="3"/>
  <x:c r="G745" i="3"/>
  <x:c r="I739" i="3"/>
  <x:c r="G914" i="3"/>
  <x:c r="M872" i="3"/>
  <x:c r="O842" i="3"/>
  <x:c r="R829" i="3"/>
  <x:c r="Q818" i="3"/>
  <x:c r="I809" i="3"/>
  <x:c r="H803" i="3"/>
  <x:c r="R797" i="3"/>
  <x:c r="N793" i="3"/>
  <x:c r="I788" i="3"/>
  <x:c r="L783" i="3"/>
  <x:c r="H779" i="3"/>
  <x:c r="J773" i="3"/>
  <x:c r="F769" i="3"/>
  <x:c r="H763" i="3"/>
  <x:c r="K758" i="3"/>
  <x:c r="G754" i="3"/>
  <x:c r="J749" i="3"/>
  <x:c r="F745" i="3"/>
  <x:c r="P739" i="3"/>
  <x:c r="I902" i="3"/>
  <x:c r="O861" i="3"/>
  <x:c r="N838" i="3"/>
  <x:c r="S822" i="3"/>
  <x:c r="M813" i="3"/>
  <x:c r="L806" i="3"/>
  <x:c r="L800" i="3"/>
  <x:c r="G795" i="3"/>
  <x:c r="I789" i="3"/>
  <x:c r="L784" i="3"/>
  <x:c r="H780" i="3"/>
  <x:c r="R774" i="3"/>
  <x:c r="N770" i="3"/>
  <x:c r="P764" i="3"/>
  <x:c r="S759" i="3"/>
  <x:c r="O755" i="3"/>
  <x:c r="R750" i="3"/>
  <x:c r="N746" i="3"/>
  <x:c r="I741" i="3"/>
  <x:c r="M932" i="3"/>
  <x:c r="G861" i="3"/>
  <x:c r="S840" i="3"/>
  <x:c r="J826" i="3"/>
  <x:c r="M817" i="3"/>
  <x:c r="M808" i="3"/>
  <x:c r="S900" i="3"/>
  <x:c r="Q830" i="3"/>
  <x:c r="S803" i="3"/>
  <x:c r="Q792" i="3"/>
  <x:c r="S779" i="3"/>
  <x:c r="Q768" i="3"/>
  <x:c r="S755" i="3"/>
  <x:c r="Q745" i="3"/>
  <x:c r="Q735" i="3"/>
  <x:c r="M731" i="3"/>
  <x:c r="O725" i="3"/>
  <x:c r="R720" i="3"/>
  <x:c r="N716" i="3"/>
  <x:c r="M936" i="3"/>
  <x:c r="P830" i="3"/>
  <x:c r="H808" i="3"/>
  <x:c r="P797" i="3"/>
  <x:c r="O788" i="3"/>
  <x:c r="O780" i="3"/>
  <x:c r="N771" i="3"/>
  <x:c r="M762" i="3"/>
  <x:c r="M754" i="3"/>
  <x:c r="M746" i="3"/>
  <x:c r="L737" i="3"/>
  <x:c r="F733" i="3"/>
  <x:c r="I728" i="3"/>
  <x:c r="K722" i="3"/>
  <x:c r="G718" i="3"/>
  <x:c r="J713" i="3"/>
  <x:c r="L707" i="3"/>
  <x:c r="H703" i="3"/>
  <x:c r="J697" i="3"/>
  <x:c r="F693" i="3"/>
  <x:c r="F888" i="3"/>
  <x:c r="N830" i="3"/>
  <x:c r="G806" i="3"/>
  <x:c r="N796" i="3"/>
  <x:c r="M787" i="3"/>
  <x:c r="M779" i="3"/>
  <x:c r="L770" i="3"/>
  <x:c r="K761" i="3"/>
  <x:c r="K753" i="3"/>
  <x:c r="K745" i="3"/>
  <x:c r="P736" i="3"/>
  <x:c r="S731" i="3"/>
  <x:c r="N726" i="3"/>
  <x:c r="Q721" i="3"/>
  <x:c r="M717" i="3"/>
  <x:c r="P712" i="3"/>
  <x:c r="R706" i="3"/>
  <x:c r="N702" i="3"/>
  <x:c r="I697" i="3"/>
  <x:c r="L692" i="3"/>
  <x:c r="G898" i="3"/>
  <x:c r="H813" i="3"/>
  <x:c r="J801" i="3"/>
  <x:c r="J792" i="3"/>
  <x:c r="J783" i="3"/>
  <x:c r="N774" i="3"/>
  <x:c r="N765" i="3"/>
  <x:c r="N757" i="3"/>
  <x:c r="N749" i="3"/>
  <x:c r="M740" i="3"/>
  <x:c r="M734" i="3"/>
  <x:c r="P729" i="3"/>
  <x:c r="R723" i="3"/>
  <x:c r="N719" i="3"/>
  <x:c r="Q714" i="3"/>
  <x:c r="S708" i="3"/>
  <x:c r="O704" i="3"/>
  <x:c r="J699" i="3"/>
  <x:c r="F695" i="3"/>
  <x:c r="I690" i="3"/>
  <x:c r="L848" i="3"/>
  <x:c r="S814" i="3"/>
  <x:c r="I798" i="3"/>
  <x:c r="M789" i="3"/>
  <x:c r="M781" i="3"/>
  <x:c r="L772" i="3"/>
  <x:c r="K763" i="3"/>
  <x:c r="K755" i="3"/>
  <x:c r="K747" i="3"/>
  <x:c r="J738" i="3"/>
  <x:c r="R732" i="3"/>
  <x:c r="N728" i="3"/>
  <x:c r="I723" i="3"/>
  <x:c r="L718" i="3"/>
  <x:c r="H714" i="3"/>
  <x:c r="R708" i="3"/>
  <x:c r="N704" i="3"/>
  <x:c r="P698" i="3"/>
  <x:c r="S693" i="3"/>
  <x:c r="O689" i="3"/>
  <x:c r="R831" i="3"/>
  <x:c r="Q810" i="3"/>
  <x:c r="G796" i="3"/>
  <x:c r="F866" i="3"/>
  <x:c r="H816" i="3"/>
  <x:c r="R801" i="3"/>
  <x:c r="F789" i="3"/>
  <x:c r="R776" i="3"/>
  <x:c r="F765" i="3"/>
  <x:c r="R753" i="3"/>
  <x:c r="F742" i="3"/>
  <x:c r="Q734" i="3"/>
  <x:c r="M730" i="3"/>
  <x:c r="O724" i="3"/>
  <x:c r="R719" i="3"/>
  <x:c r="N715" i="3"/>
  <x:c r="G781" i="3"/>
  <x:c r="L736" i="3"/>
  <x:c r="K718" i="3"/>
  <x:c r="M707" i="3"/>
  <x:c r="L698" i="3"/>
  <x:c r="L690" i="3"/>
  <x:c r="O685" i="3"/>
  <x:c r="R680" i="3"/>
  <x:c r="N676" i="3"/>
  <x:c r="Q671" i="3"/>
  <x:c r="M667" i="3"/>
  <x:c r="O661" i="3"/>
  <x:c r="R656" i="3"/>
  <x:c r="N652" i="3"/>
  <x:c r="Q647" i="3"/>
  <x:c r="M643" i="3"/>
  <x:c r="O637" i="3"/>
  <x:c r="R632" i="3"/>
  <x:c r="N628" i="3"/>
  <x:c r="Q623" i="3"/>
  <x:c r="F771" i="3"/>
  <x:c r="P732" i="3"/>
  <x:c r="H710" i="3"/>
  <x:c r="H699" i="3"/>
  <x:c r="J689" i="3"/>
  <x:c r="F685" i="3"/>
  <x:c r="G767" i="3"/>
  <x:c r="S726" i="3"/>
  <x:c r="G709" i="3"/>
  <x:c r="F698" i="3"/>
  <x:c r="P688" i="3"/>
  <x:c r="S683" i="3"/>
  <x:c r="O679" i="3"/>
  <x:c r="R674" i="3"/>
  <x:c r="N670" i="3"/>
  <x:c r="P664" i="3"/>
  <x:c r="S659" i="3"/>
  <x:c r="O655" i="3"/>
  <x:c r="R650" i="3"/>
  <x:c r="N646" i="3"/>
  <x:c r="P640" i="3"/>
  <x:c r="H776" i="3"/>
  <x:c r="R733" i="3"/>
  <x:c r="R717" i="3"/>
  <x:c r="S704" i="3"/>
  <x:c r="R693" i="3"/>
  <x:c r="M686" i="3"/>
  <x:c r="P681" i="3"/>
  <x:c r="S676" i="3"/>
  <x:c r="K995" i="3"/>
  <x:c r="G991" i="3"/>
  <x:c r="J986" i="3"/>
  <x:c r="J995" i="3"/>
  <x:c r="F991" i="3"/>
  <x:c r="F994" i="3"/>
  <x:c r="I989" i="3"/>
  <x:c r="Q990" i="3"/>
  <x:c r="O984" i="3"/>
  <x:c r="F979" i="3"/>
  <x:c r="H973" i="3"/>
  <x:c r="K968" i="3"/>
  <x:c r="G964" i="3"/>
  <x:c r="M995" i="3"/>
  <x:c r="M987" i="3"/>
  <x:c r="M981" i="3"/>
  <x:c r="P976" i="3"/>
  <x:c r="R970" i="3"/>
  <x:c r="N966" i="3"/>
  <x:c r="P960" i="3"/>
  <x:c r="K986" i="3"/>
  <x:c r="M979" i="3"/>
  <x:c r="I973" i="3"/>
  <x:c r="P967" i="3"/>
  <x:c r="F960" i="3"/>
  <x:c r="P952" i="3"/>
  <x:c r="S947" i="3"/>
  <x:c r="O943" i="3"/>
  <x:c r="S993" i="3"/>
  <x:c r="H986" i="3"/>
  <x:c r="P978" i="3"/>
  <x:c r="Q971" i="3"/>
  <x:c r="H966" i="3"/>
  <x:c r="L957" i="3"/>
  <x:c r="G952" i="3"/>
  <x:c r="J947" i="3"/>
  <x:c r="F943" i="3"/>
  <x:c r="K989" i="3"/>
  <x:c r="I981" i="3"/>
  <x:c r="P975" i="3"/>
  <x:c r="Q968" i="3"/>
  <x:c r="H963" i="3"/>
  <x:c r="H956" i="3"/>
  <x:c r="J950" i="3"/>
  <x:c r="F946" i="3"/>
  <x:c r="I941" i="3"/>
  <x:c r="O988" i="3"/>
  <x:c r="S975" i="3"/>
  <x:c r="G966" i="3"/>
  <x:c r="L955" i="3"/>
  <x:c r="F948" i="3"/>
  <x:c r="R940" i="3"/>
  <x:c r="G936" i="3"/>
  <x:c r="J931" i="3"/>
  <x:c r="L925" i="3"/>
  <x:c r="H994" i="3"/>
  <x:c r="G981" i="3"/>
  <x:c r="I970" i="3"/>
  <x:c r="P957" i="3"/>
  <x:c r="Q948" i="3"/>
  <x:c r="K941" i="3"/>
  <x:c r="N936" i="3"/>
  <x:c r="Q931" i="3"/>
  <x:c r="S925" i="3"/>
  <x:c r="I995" i="3"/>
  <x:c r="F981" i="3"/>
  <x:c r="H970" i="3"/>
  <x:c r="O957" i="3"/>
  <x:c r="K949" i="3"/>
  <x:c r="K984" i="3"/>
  <x:c r="J972" i="3"/>
  <x:c r="J961" i="3"/>
  <x:c r="Q951" i="3"/>
  <x:c r="K944" i="3"/>
  <x:c r="N938" i="3"/>
  <x:c r="Q933" i="3"/>
  <x:c r="S927" i="3"/>
  <x:c r="O923" i="3"/>
  <x:c r="O986" i="3"/>
  <x:c r="J976" i="3"/>
  <x:c r="M964" i="3"/>
  <x:c r="J953" i="3"/>
  <x:c r="S945" i="3"/>
  <x:c r="Q939" i="3"/>
  <x:c r="Q934" i="3"/>
  <x:c r="L929" i="3"/>
  <x:c r="H925" i="3"/>
  <x:c r="I976" i="3"/>
  <x:c r="L951" i="3"/>
  <x:c r="I937" i="3"/>
  <x:c r="I928" i="3"/>
  <x:c r="L920" i="3"/>
  <x:c r="G915" i="3"/>
  <x:c r="J910" i="3"/>
  <x:c r="F906" i="3"/>
  <x:c r="I901" i="3"/>
  <x:c r="L896" i="3"/>
  <x:c r="H892" i="3"/>
  <x:c r="K887" i="3"/>
  <x:c r="G883" i="3"/>
  <x:c r="F973" i="3"/>
  <x:c r="P949" i="3"/>
  <x:c r="G935" i="3"/>
  <x:c r="G925" i="3"/>
  <x:c r="H917" i="3"/>
  <x:c r="K912" i="3"/>
  <x:c r="M968" i="3"/>
  <x:c r="R944" i="3"/>
  <x:c r="S929" i="3"/>
  <x:c r="Q919" i="3"/>
  <x:c r="S913" i="3"/>
  <x:c r="O909" i="3"/>
  <x:c r="R904" i="3"/>
  <x:c r="N900" i="3"/>
  <x:c r="Q895" i="3"/>
  <x:c r="M891" i="3"/>
  <x:c r="P886" i="3"/>
  <x:c r="S881" i="3"/>
  <x:c r="R972" i="3"/>
  <x:c r="I940" i="3"/>
  <x:c r="R928" i="3"/>
  <x:c r="I920" i="3"/>
  <x:c r="K914" i="3"/>
  <x:c r="G910" i="3"/>
  <x:c r="J905" i="3"/>
  <x:c r="F901" i="3"/>
  <x:c r="I896" i="3"/>
  <x:c r="L891" i="3"/>
  <x:c r="H887" i="3"/>
  <x:c r="K882" i="3"/>
  <x:c r="G878" i="3"/>
  <x:c r="J873" i="3"/>
  <x:c r="F869" i="3"/>
  <x:c r="P863" i="3"/>
  <x:c r="S858" i="3"/>
  <x:c r="O854" i="3"/>
  <x:c r="Q848" i="3"/>
  <x:c r="O979" i="3"/>
  <x:c r="R960" i="3"/>
  <x:c r="J941" i="3"/>
  <x:c r="P931" i="3"/>
  <x:c r="O922" i="3"/>
  <x:c r="L916" i="3"/>
  <x:c r="H912" i="3"/>
  <x:c r="K907" i="3"/>
  <x:c r="G903" i="3"/>
  <x:c r="J898" i="3"/>
  <x:c r="F894" i="3"/>
  <x:c r="I889" i="3"/>
  <x:c r="L884" i="3"/>
  <x:c r="H880" i="3"/>
  <x:c r="K875" i="3"/>
  <x:c r="G871" i="3"/>
  <x:c r="I865" i="3"/>
  <x:c r="L860" i="3"/>
  <x:c r="H856" i="3"/>
  <x:c r="K851" i="3"/>
  <x:c r="N969" i="3"/>
  <x:c r="F913" i="3"/>
  <x:c r="S904" i="3"/>
  <x:c r="S896" i="3"/>
  <x:c r="S888" i="3"/>
  <x:c r="G881" i="3"/>
  <x:c r="M875" i="3"/>
  <x:c r="Q869" i="3"/>
  <x:c r="H862" i="3"/>
  <x:c r="N856" i="3"/>
  <x:c r="G851" i="3"/>
  <x:c r="M844" i="3"/>
  <x:c r="P839" i="3"/>
  <x:c r="S834" i="3"/>
  <x:c r="O830" i="3"/>
  <x:c r="J825" i="3"/>
  <x:c r="F821" i="3"/>
  <x:c r="I816" i="3"/>
  <x:c r="K810" i="3"/>
  <x:c r="P955" i="3"/>
  <x:c r="L931" i="3"/>
  <x:c r="J916" i="3"/>
  <x:c r="O906" i="3"/>
  <x:c r="O898" i="3"/>
  <x:c r="O890" i="3"/>
  <x:c r="O882" i="3"/>
  <x:c r="I875" i="3"/>
  <x:c r="S868" i="3"/>
  <x:c r="S861" i="3"/>
  <x:c r="Q855" i="3"/>
  <x:c r="F848" i="3"/>
  <x:c r="Q842" i="3"/>
  <x:c r="M838" i="3"/>
  <x:c r="P833" i="3"/>
  <x:c r="S828" i="3"/>
  <x:c r="P994" i="3"/>
  <x:c r="I948" i="3"/>
  <x:c r="J929" i="3"/>
  <x:c r="P913" i="3"/>
  <x:c r="L905" i="3"/>
  <x:c r="L897" i="3"/>
  <x:c r="L889" i="3"/>
  <x:c r="O881" i="3"/>
  <x:c r="H875" i="3"/>
  <x:c r="L869" i="3"/>
  <x:c r="M862" i="3"/>
  <x:c r="F857" i="3"/>
  <x:c r="N851" i="3"/>
  <x:c r="R844" i="3"/>
  <x:c r="N840" i="3"/>
  <x:c r="Q835" i="3"/>
  <x:c r="M831" i="3"/>
  <x:c r="O825" i="3"/>
  <x:c r="R820" i="3"/>
  <x:c r="N816" i="3"/>
  <x:c r="I811" i="3"/>
  <x:c r="F941" i="3"/>
  <x:c r="L922" i="3"/>
  <x:c r="H907" i="3"/>
  <x:c r="G897" i="3"/>
  <x:c r="F887" i="3"/>
  <x:c r="K878" i="3"/>
  <x:c r="G872" i="3"/>
  <x:c r="M864" i="3"/>
  <x:c r="I858" i="3"/>
  <x:c r="F852" i="3"/>
  <x:c r="I845" i="3"/>
  <x:c r="L840" i="3"/>
  <x:c r="H836" i="3"/>
  <x:c r="K831" i="3"/>
  <x:c r="F826" i="3"/>
  <x:c r="R953" i="3"/>
  <x:c r="L932" i="3"/>
  <x:c r="I914" i="3"/>
  <x:c r="R900" i="3"/>
  <x:c r="R884" i="3"/>
  <x:c r="L877" i="3"/>
  <x:c r="Q914" i="3"/>
  <x:c r="F897" i="3"/>
  <x:c r="L878" i="3"/>
  <x:c r="G865" i="3"/>
  <x:c r="J852" i="3"/>
  <x:c r="F838" i="3"/>
  <x:c r="K823" i="3"/>
  <x:c r="H817" i="3"/>
  <x:c r="S808" i="3"/>
  <x:c r="O804" i="3"/>
  <x:c r="J903" i="3"/>
  <x:c r="G874" i="3"/>
  <x:c r="I967" i="3"/>
  <x:c r="S959" i="3"/>
  <x:c r="K896" i="3"/>
  <x:c r="O873" i="3"/>
  <x:c r="Q859" i="3"/>
  <x:c r="I906" i="3"/>
  <x:c r="F876" i="3"/>
  <x:c r="I863" i="3"/>
  <x:c r="M851" i="3"/>
  <x:c r="K841" i="3"/>
  <x:c r="K833" i="3"/>
  <x:c r="L824" i="3"/>
  <x:c r="G818" i="3"/>
  <x:c r="I899" i="3"/>
  <x:c r="Q875" i="3"/>
  <x:c r="S862" i="3"/>
  <x:c r="H851" i="3"/>
  <x:c r="F841" i="3"/>
  <x:c r="F833" i="3"/>
  <x:c r="J824" i="3"/>
  <x:c r="O818" i="3"/>
  <x:c r="F811" i="3"/>
  <x:c r="Q805" i="3"/>
  <x:c r="F904" i="3"/>
  <x:c r="J868" i="3"/>
  <x:c r="N841" i="3"/>
  <x:c r="I830" i="3"/>
  <x:c r="S816" i="3"/>
  <x:c r="L807" i="3"/>
  <x:c r="P801" i="3"/>
  <x:c r="R795" i="3"/>
  <x:c r="M790" i="3"/>
  <x:c r="P785" i="3"/>
  <x:c r="S780" i="3"/>
  <x:c r="N775" i="3"/>
  <x:c r="Q770" i="3"/>
  <x:c r="L765" i="3"/>
  <x:c r="H761" i="3"/>
  <x:c r="K756" i="3"/>
  <x:c r="G752" i="3"/>
  <x:c r="J747" i="3"/>
  <x:c r="L741" i="3"/>
  <x:c r="H737" i="3"/>
  <x:c r="M870" i="3"/>
  <x:c r="N844" i="3"/>
  <x:c r="N828" i="3"/>
  <x:c r="R813" i="3"/>
  <x:c r="I807" i="3"/>
  <x:c r="H802" i="3"/>
  <x:c r="R796" i="3"/>
  <x:c r="N792" i="3"/>
  <x:c r="I787" i="3"/>
  <x:c r="L782" i="3"/>
  <x:c r="H778" i="3"/>
  <x:c r="J772" i="3"/>
  <x:c r="F768" i="3"/>
  <x:c r="P762" i="3"/>
  <x:c r="S757" i="3"/>
  <x:c r="O753" i="3"/>
  <x:c r="R748" i="3"/>
  <x:c r="M743" i="3"/>
  <x:c r="P738" i="3"/>
  <x:c r="P906" i="3"/>
  <x:c r="O859" i="3"/>
  <x:c r="I841" i="3"/>
  <x:c r="I828" i="3"/>
  <x:c r="P817" i="3"/>
  <x:c r="O808" i="3"/>
  <x:c r="O802" i="3"/>
  <x:c r="J797" i="3"/>
  <x:c r="F793" i="3"/>
  <x:c r="P787" i="3"/>
  <x:c r="S782" i="3"/>
  <x:c r="O778" i="3"/>
  <x:c r="Q772" i="3"/>
  <x:c r="M768" i="3"/>
  <x:c r="O762" i="3"/>
  <x:c r="R757" i="3"/>
  <x:c r="N753" i="3"/>
  <x:c r="Q748" i="3"/>
  <x:c r="L743" i="3"/>
  <x:c r="H739" i="3"/>
  <x:c r="I892" i="3"/>
  <x:c r="J859" i="3"/>
  <x:c r="Q836" i="3"/>
  <x:c r="Q821" i="3"/>
  <x:c r="P812" i="3"/>
  <x:c r="O805" i="3"/>
  <x:c r="R798" i="3"/>
  <x:c r="N794" i="3"/>
  <x:c r="P788" i="3"/>
  <x:c r="S783" i="3"/>
  <x:c r="O779" i="3"/>
  <x:c r="J774" i="3"/>
  <x:c r="F770" i="3"/>
  <x:c r="H764" i="3"/>
  <x:c r="K759" i="3"/>
  <x:c r="G755" i="3"/>
  <x:c r="J750" i="3"/>
  <x:c r="F746" i="3"/>
  <x:c r="P740" i="3"/>
  <x:c r="O927" i="3"/>
  <x:c r="R856" i="3"/>
  <x:c r="O839" i="3"/>
  <x:c r="S824" i="3"/>
  <x:c r="J816" i="3"/>
  <x:c r="P807" i="3"/>
  <x:c r="S884" i="3"/>
  <x:c r="R824" i="3"/>
  <x:c r="R802" i="3"/>
  <x:c r="Q790" i="3"/>
  <x:c r="R778" i="3"/>
  <x:c r="Q767" i="3"/>
  <x:c r="R754" i="3"/>
  <x:c r="Q743" i="3"/>
  <x:c r="I735" i="3"/>
  <x:c r="L730" i="3"/>
  <x:c r="G725" i="3"/>
  <x:c r="J720" i="3"/>
  <x:c r="F716" i="3"/>
  <x:c r="S916" i="3"/>
  <x:c r="P824" i="3"/>
  <x:c r="H806" i="3"/>
  <x:c r="O796" i="3"/>
  <x:c r="N787" i="3"/>
  <x:c r="N779" i="3"/>
  <x:c r="M770" i="3"/>
  <x:c r="L761" i="3"/>
  <x:c r="L753" i="3"/>
  <x:c r="L745" i="3"/>
  <x:c r="Q736" i="3"/>
  <x:c r="M732" i="3"/>
  <x:c r="O726" i="3"/>
  <x:c r="R721" i="3"/>
  <x:c r="N717" i="3"/>
  <x:c r="Q712" i="3"/>
  <x:c r="S706" i="3"/>
  <x:c r="O702" i="3"/>
  <x:c r="Q696" i="3"/>
  <x:c r="M692" i="3"/>
  <x:c r="P883" i="3"/>
  <x:c r="M824" i="3"/>
  <x:c r="R804" i="3"/>
  <x:c r="M795" i="3"/>
  <x:c r="L786" i="3"/>
  <x:c r="L778" i="3"/>
  <x:c r="K769" i="3"/>
  <x:c r="K760" i="3"/>
  <x:c r="K752" i="3"/>
  <x:c r="O743" i="3"/>
  <x:c r="H736" i="3"/>
  <x:c r="K731" i="3"/>
  <x:c r="F726" i="3"/>
  <x:c r="I721" i="3"/>
  <x:c r="L716" i="3"/>
  <x:c r="H712" i="3"/>
  <x:c r="J706" i="3"/>
  <x:c r="F702" i="3"/>
  <x:c r="P696" i="3"/>
  <x:c r="S691" i="3"/>
  <x:c r="O877" i="3"/>
  <x:c r="K811" i="3"/>
  <x:c r="J800" i="3"/>
  <x:c r="N790" i="3"/>
  <x:c r="N782" i="3"/>
  <x:c r="N773" i="3"/>
  <x:c r="M764" i="3"/>
  <x:c r="M756" i="3"/>
  <x:c r="M748" i="3"/>
  <x:c r="L739" i="3"/>
  <x:c r="L733" i="3"/>
  <x:c r="H729" i="3"/>
  <x:c r="J723" i="3"/>
  <x:c r="F719" i="3"/>
  <x:c r="I714" i="3"/>
  <x:c r="K708" i="3"/>
  <x:c r="G704" i="3"/>
  <x:c r="Q698" i="3"/>
  <x:c r="M694" i="3"/>
  <x:c r="P689" i="3"/>
  <x:c r="Q844" i="3"/>
  <x:c r="F809" i="3"/>
  <x:c r="M797" i="3"/>
  <x:c r="L788" i="3"/>
  <x:c r="L780" i="3"/>
  <x:c r="K771" i="3"/>
  <x:c r="J762" i="3"/>
  <x:c r="J754" i="3"/>
  <x:c r="J746" i="3"/>
  <x:c r="I737" i="3"/>
  <x:c r="J732" i="3"/>
  <x:c r="F728" i="3"/>
  <x:c r="P722" i="3"/>
  <x:c r="S717" i="3"/>
  <x:c r="O713" i="3"/>
  <x:c r="J708" i="3"/>
  <x:c r="F704" i="3"/>
  <x:c r="H698" i="3"/>
  <x:c r="K693" i="3"/>
  <x:c r="O897" i="3"/>
  <x:c r="S825" i="3"/>
  <x:c r="M807" i="3"/>
  <x:c r="F795" i="3"/>
  <x:c r="H854" i="3"/>
  <x:c r="F814" i="3"/>
  <x:c r="R800" i="3"/>
  <x:c r="S786" i="3"/>
  <x:c r="R775" i="3"/>
  <x:c r="S762" i="3"/>
  <x:c r="R752" i="3"/>
  <x:c r="F741" i="3"/>
  <x:c r="I734" i="3"/>
  <x:c r="L729" i="3"/>
  <x:c r="G724" i="3"/>
  <x:c r="J719" i="3"/>
  <x:c r="F715" i="3"/>
  <x:c r="H774" i="3"/>
  <x:c r="K734" i="3"/>
  <x:c r="Q716" i="3"/>
  <x:c r="L706" i="3"/>
  <x:c r="K697" i="3"/>
  <x:c r="K689" i="3"/>
  <x:c r="G685" i="3"/>
  <x:c r="J680" i="3"/>
  <x:c r="F676" i="3"/>
  <x:c r="I671" i="3"/>
  <x:c r="L666" i="3"/>
  <x:c r="G661" i="3"/>
  <x:c r="J656" i="3"/>
  <x:c r="F652" i="3"/>
  <x:c r="I647" i="3"/>
  <x:c r="L642" i="3"/>
  <x:c r="G637" i="3"/>
  <x:c r="J632" i="3"/>
  <x:c r="F628" i="3"/>
  <x:c r="I623" i="3"/>
  <x:c r="H767" i="3"/>
  <x:c r="F729" i="3"/>
  <x:c r="H709" i="3"/>
  <x:c r="G698" i="3"/>
  <x:c r="Q688" i="3"/>
  <x:c r="H858" i="3"/>
  <x:c r="G764" i="3"/>
  <x:c r="I725" i="3"/>
  <x:c r="G708" i="3"/>
  <x:c r="S695" i="3"/>
  <x:c r="H688" i="3"/>
  <x:c r="K683" i="3"/>
  <x:c r="G679" i="3"/>
  <x:c r="J674" i="3"/>
  <x:c r="F670" i="3"/>
  <x:c r="H664" i="3"/>
  <x:c r="K659" i="3"/>
  <x:c r="G655" i="3"/>
  <x:c r="J650" i="3"/>
  <x:c r="F646" i="3"/>
  <x:c r="H640" i="3"/>
  <x:c r="H773" i="3"/>
  <x:c r="H732" i="3"/>
  <x:c r="H798" i="3"/>
  <x:c r="R745" i="3"/>
  <x:c r="G722" i="3"/>
  <x:c r="N668" i="3"/>
  <x:c r="O629" i="3"/>
  <x:c r="G780" i="3"/>
  <x:c r="F690" i="3"/>
  <x:c r="O671" i="3"/>
  <x:c r="S651" i="3"/>
  <x:c r="H741" i="3"/>
  <x:c r="R702" i="3"/>
  <x:c r="S684" i="3"/>
  <x:c r="R675" i="3"/>
  <x:c r="M670" i="3"/>
  <x:c r="O664" i="3"/>
  <x:c r="R659" i="3"/>
  <x:c r="N655" i="3"/>
  <x:c r="Q650" i="3"/>
  <x:c r="M646" i="3"/>
  <x:c r="O640" i="3"/>
  <x:c r="R635" i="3"/>
  <x:c r="N631" i="3"/>
  <x:c r="Q626" i="3"/>
  <x:c r="M622" i="3"/>
  <x:c r="S793" i="3"/>
  <x:c r="H750" i="3"/>
  <x:c r="Q724" i="3"/>
  <x:c r="Q708" i="3"/>
  <x:c r="Q695" i="3"/>
  <x:c r="M687" i="3"/>
  <x:c r="P682" i="3"/>
  <x:c r="S677" i="3"/>
  <x:c r="O673" i="3"/>
  <x:c r="R668" i="3"/>
  <x:c r="M663" i="3"/>
  <x:c r="P658" i="3"/>
  <x:c r="S653" i="3"/>
  <x:c r="O649" i="3"/>
  <x:c r="R644" i="3"/>
  <x:c r="M639" i="3"/>
  <x:c r="P634" i="3"/>
  <x:c r="S629" i="3"/>
  <x:c r="O625" i="3"/>
  <x:c r="H784" i="3"/>
  <x:c r="F740" i="3"/>
  <x:c r="M720" i="3"/>
  <x:c r="M706" i="3"/>
  <x:c r="L697" i="3"/>
  <x:c r="L689" i="3"/>
  <x:c r="H685" i="3"/>
  <x:c r="K680" i="3"/>
  <x:c r="G676" i="3"/>
  <x:c r="J671" i="3"/>
  <x:c r="F667" i="3"/>
  <x:c r="P661" i="3"/>
  <x:c r="S656" i="3"/>
  <x:c r="O652" i="3"/>
  <x:c r="R647" i="3"/>
  <x:c r="N643" i="3"/>
  <x:c r="I638" i="3"/>
  <x:c r="L633" i="3"/>
  <x:c r="H629" i="3"/>
  <x:c r="F737" i="3"/>
  <x:c r="P684" i="3"/>
  <x:c r="F673" i="3"/>
  <x:c r="R657" i="3"/>
  <x:c r="G646" i="3"/>
  <x:c r="N634" i="3"/>
  <x:c r="N626" i="3"/>
  <x:c r="Q620" i="3"/>
  <x:c r="M616" i="3"/>
  <x:c r="O610" i="3"/>
  <x:c r="R605" i="3"/>
  <x:c r="N601" i="3"/>
  <x:c r="Q596" i="3"/>
  <x:c r="M592" i="3"/>
  <x:c r="N585" i="3"/>
  <x:c r="Q580" i="3"/>
  <x:c r="M576" i="3"/>
  <x:c r="P571" i="3"/>
  <x:c r="R565" i="3"/>
  <x:c r="N561" i="3"/>
  <x:c r="Q556" i="3"/>
  <x:c r="S550" i="3"/>
  <x:c r="O546" i="3"/>
  <x:c r="P700" i="3"/>
  <x:c r="Q676" i="3"/>
  <x:c r="S663" i="3"/>
  <x:c r="Q653" i="3"/>
  <x:c r="L639" i="3"/>
  <x:c r="K631" i="3"/>
  <x:c r="R623" i="3"/>
  <x:c r="N618" i="3"/>
  <x:c r="P612" i="3"/>
  <x:c r="S607" i="3"/>
  <x:c r="O603" i="3"/>
  <x:c r="R598" i="3"/>
  <x:c r="N594" i="3"/>
  <x:c r="O587" i="3"/>
  <x:c r="R582" i="3"/>
  <x:c r="N578" i="3"/>
  <x:c r="Q573" i="3"/>
  <x:c r="M569" i="3"/>
  <x:c r="O563" i="3"/>
  <x:c r="R558" i="3"/>
  <x:c r="M553" i="3"/>
  <x:c r="P548" i="3"/>
  <x:c r="O722" i="3"/>
  <x:c r="N689" i="3"/>
  <x:c r="H675" i="3"/>
  <x:c r="K662" i="3"/>
  <x:c r="L648" i="3"/>
  <x:c r="J637" i="3"/>
  <x:c r="G740" i="3"/>
  <x:c r="P691" i="3"/>
  <x:c r="R673" i="3"/>
  <x:c r="G662" i="3"/>
  <x:c r="M649" i="3"/>
  <x:c r="F633" i="3"/>
  <x:c r="G622" i="3"/>
  <x:c r="J617" i="3"/>
  <x:c r="L611" i="3"/>
  <x:c r="H607" i="3"/>
  <x:c r="K602" i="3"/>
  <x:c r="G598" i="3"/>
  <x:c r="J593" i="3"/>
  <x:c r="S586" i="3"/>
  <x:c r="O582" i="3"/>
  <x:c r="R577" i="3"/>
  <x:c r="N573" i="3"/>
  <x:c r="Q568" i="3"/>
  <x:c r="S562" i="3"/>
  <x:c r="O558" i="3"/>
  <x:c r="Q552" i="3"/>
  <x:c r="M548" i="3"/>
  <x:c r="H743" i="3"/>
  <x:c r="O690" i="3"/>
  <x:c r="F677" i="3"/>
  <x:c r="S666" i="3"/>
  <x:c r="Q652" i="3"/>
  <x:c r="S639" i="3"/>
  <x:c r="O631" i="3"/>
  <x:c r="H623" i="3"/>
  <x:c r="P618" i="3"/>
  <x:c r="K613" i="3"/>
  <x:c r="G609" i="3"/>
  <x:c r="J604" i="3"/>
  <x:c r="F600" i="3"/>
  <x:c r="I595" i="3"/>
  <x:c r="L590" i="3"/>
  <x:c r="F584" i="3"/>
  <x:c r="I579" i="3"/>
  <x:c r="L574" i="3"/>
  <x:c r="H570" i="3"/>
  <x:c r="R564" i="3"/>
  <x:c r="O731" i="3"/>
  <x:c r="M673" i="3"/>
  <x:c r="F649" i="3"/>
  <x:c r="F622" i="3"/>
  <x:c r="S601" i="3"/>
  <x:c r="S585" i="3"/>
  <x:c r="O707" i="3"/>
  <x:c r="N658" i="3"/>
  <x:c r="I633" i="3"/>
  <x:c r="R619" i="3"/>
  <x:c r="Q610" i="3"/>
  <x:c r="Q602" i="3"/>
  <x:c r="Q594" i="3"/>
  <x:c r="P584" i="3"/>
  <x:c r="P576" i="3"/>
  <x:c r="P568" i="3"/>
  <x:c r="F560" i="3"/>
  <x:c r="O552" i="3"/>
  <x:c r="J546" i="3"/>
  <x:c r="P541" i="3"/>
  <x:c r="S536" i="3"/>
  <x:c r="O532" i="3"/>
  <x:c r="R527" i="3"/>
  <x:c r="N523" i="3"/>
  <x:c r="Q518" i="3"/>
  <x:c r="M514" i="3"/>
  <x:c r="P509" i="3"/>
  <x:c r="S504" i="3"/>
  <x:c r="M498" i="3"/>
  <x:c r="P493" i="3"/>
  <x:c r="S488" i="3"/>
  <x:c r="O484" i="3"/>
  <x:c r="R479" i="3"/>
  <x:c r="N475" i="3"/>
  <x:c r="Q470" i="3"/>
  <x:c r="M466" i="3"/>
  <x:c r="P461" i="3"/>
  <x:c r="S456" i="3"/>
  <x:c r="M697" i="3"/>
  <x:c r="L663" i="3"/>
  <x:c r="R637" i="3"/>
  <x:c r="N620" i="3"/>
  <x:c r="N611" i="3"/>
  <x:c r="N603" i="3"/>
  <x:c r="N595" i="3"/>
  <x:c r="L585" i="3"/>
  <x:c r="L577" i="3"/>
  <x:c r="L569" i="3"/>
  <x:c r="P560" i="3"/>
  <x:c r="Q551" i="3"/>
  <x:c r="J544" i="3"/>
  <x:c r="F540" i="3"/>
  <x:c r="I535" i="3"/>
  <x:c r="L530" i="3"/>
  <x:c r="H526" i="3"/>
  <x:c r="K521" i="3"/>
  <x:c r="G517" i="3"/>
  <x:c r="J512" i="3"/>
  <x:c r="F508" i="3"/>
  <x:c r="I503" i="3"/>
  <x:c r="J496" i="3"/>
  <x:c r="F492" i="3"/>
  <x:c r="I487" i="3"/>
  <x:c r="L482" i="3"/>
  <x:c r="H478" i="3"/>
  <x:c r="K473" i="3"/>
  <x:c r="G469" i="3"/>
  <x:c r="J464" i="3"/>
  <x:c r="F460" i="3"/>
  <x:c r="I455" i="3"/>
  <x:c r="L450" i="3"/>
  <x:c r="H446" i="3"/>
  <x:c r="K441" i="3"/>
  <x:c r="F658" i="3"/>
  <x:c r="S630" i="3"/>
  <x:c r="K617" i="3"/>
  <x:c r="K608" i="3"/>
  <x:c r="K600" i="3"/>
  <x:c r="K592" i="3"/>
  <x:c r="N582" i="3"/>
  <x:c r="N574" i="3"/>
  <x:c r="M565" i="3"/>
  <x:c r="H558" i="3"/>
  <x:c r="G549" i="3"/>
  <x:c r="P543" i="3"/>
  <x:c r="S538" i="3"/>
  <x:c r="O534" i="3"/>
  <x:c r="R529" i="3"/>
  <x:c r="N525" i="3"/>
  <x:c r="Q520" i="3"/>
  <x:c r="M516" i="3"/>
  <x:c r="P511" i="3"/>
  <x:c r="S506" i="3"/>
  <x:c r="O502" i="3"/>
  <x:c r="I496" i="3"/>
  <x:c r="L491" i="3"/>
  <x:c r="H487" i="3"/>
  <x:c r="K482" i="3"/>
  <x:c r="G478" i="3"/>
  <x:c r="J473" i="3"/>
  <x:c r="F469" i="3"/>
  <x:c r="I464" i="3"/>
  <x:c r="L459" i="3"/>
  <x:c r="H455" i="3"/>
  <x:c r="K450" i="3"/>
  <x:c r="G446" i="3"/>
  <x:c r="J441" i="3"/>
  <x:c r="H684" i="3"/>
  <x:c r="I645" i="3"/>
  <x:c r="P623" i="3"/>
  <x:c r="J615" i="3"/>
  <x:c r="M606" i="3"/>
  <x:c r="M598" i="3"/>
  <x:c r="M590" i="3"/>
  <x:c r="K580" i="3"/>
  <x:c r="K572" i="3"/>
  <x:c r="K563" i="3"/>
  <x:c r="N555" i="3"/>
  <x:c r="M547" i="3"/>
  <x:c r="N542" i="3"/>
  <x:c r="Q537" i="3"/>
  <x:c r="M533" i="3"/>
  <x:c r="P528" i="3"/>
  <x:c r="S523" i="3"/>
  <x:c r="O519" i="3"/>
  <x:c r="R514" i="3"/>
  <x:c r="N510" i="3"/>
  <x:c r="S686" i="3"/>
  <x:c r="L659" i="3"/>
  <x:c r="G634" i="3"/>
  <x:c r="F620" i="3"/>
  <x:c r="G607" i="3"/>
  <x:c r="G597" i="3"/>
  <x:c r="G583" i="3"/>
  <x:c r="G573" i="3"/>
  <x:c r="G561" i="3"/>
  <x:c r="S552" i="3"/>
  <x:c r="S545" i="3"/>
  <x:c r="R540" i="3"/>
  <x:c r="N536" i="3"/>
  <x:c r="Q531" i="3"/>
  <x:c r="M527" i="3"/>
  <x:c r="P522" i="3"/>
  <x:c r="S517" i="3"/>
  <x:c r="O513" i="3"/>
  <x:c r="R508" i="3"/>
  <x:c r="N504" i="3"/>
  <x:c r="O497" i="3"/>
  <x:c r="R492" i="3"/>
  <x:c r="N488" i="3"/>
  <x:c r="Q483" i="3"/>
  <x:c r="M479" i="3"/>
  <x:c r="P474" i="3"/>
  <x:c r="S469" i="3"/>
  <x:c r="O465" i="3"/>
  <x:c r="R460" i="3"/>
  <x:c r="N456" i="3"/>
  <x:c r="K646" i="3"/>
  <x:c r="S604" i="3"/>
  <x:c r="R576" i="3"/>
  <x:c r="N548" i="3"/>
  <x:c r="J533" i="3"/>
  <x:c r="O520" i="3"/>
  <x:c r="R507" i="3"/>
  <x:c r="R493" i="3"/>
  <x:c r="R483" i="3"/>
  <x:c r="S471" i="3"/>
  <x:c r="R461" i="3"/>
  <x:c r="L452" i="3"/>
  <x:c r="J446" i="3"/>
  <x:c r="R440" i="3"/>
  <x:c r="N436" i="3"/>
  <x:c r="Q431" i="3"/>
  <x:c r="S425" i="3"/>
  <x:c r="O421" i="3"/>
  <x:c r="R416" i="3"/>
  <x:c r="G638" i="3"/>
  <x:c r="H584" i="3"/>
  <x:c r="M555" i="3"/>
  <x:c r="N538" i="3"/>
  <x:c r="S526" i="3"/>
  <x:c r="J515" i="3"/>
  <x:c r="P504" i="3"/>
  <x:c r="R494" i="3"/>
  <x:c r="R486" i="3"/>
  <x:c r="R478" i="3"/>
  <x:c r="R470" i="3"/>
  <x:c r="R462" i="3"/>
  <x:c r="R454" i="3"/>
  <x:c r="K448" i="3"/>
  <x:c r="Q442" i="3"/>
  <x:c r="G438" i="3"/>
  <x:c r="J433" i="3"/>
  <x:c r="F429" i="3"/>
  <x:c r="P423" i="3"/>
  <x:c r="S418" i="3"/>
  <x:c r="O414" i="3"/>
  <x:c r="R409" i="3"/>
  <x:c r="N405" i="3"/>
  <x:c r="H621" i="3"/>
  <x:c r="R586" i="3"/>
  <x:c r="J555" i="3"/>
  <x:c r="O539" i="3"/>
  <x:c r="R526" i="3"/>
  <x:c r="F514" i="3"/>
  <x:c r="N503" i="3"/>
  <x:c r="M493" i="3"/>
  <x:c r="M485" i="3"/>
  <x:c r="M477" i="3"/>
  <x:c r="M469" i="3"/>
  <x:c r="M461" i="3"/>
  <x:c r="R453" i="3"/>
  <x:c r="R446" i="3"/>
  <x:c r="P440" i="3"/>
  <x:c r="S435" i="3"/>
  <x:c r="O431" i="3"/>
  <x:c r="J426" i="3"/>
  <x:c r="F422" i="3"/>
  <x:c r="I417" i="3"/>
  <x:c r="L412" i="3"/>
  <x:c r="H408" i="3"/>
  <x:c r="K403" i="3"/>
  <x:c r="G399" i="3"/>
  <x:c r="J394" i="3"/>
  <x:c r="F390" i="3"/>
  <x:c r="I385" i="3"/>
  <x:c r="L380" i="3"/>
  <x:c r="H376" i="3"/>
  <x:c r="K371" i="3"/>
  <x:c r="G367" i="3"/>
  <x:c r="Q361" i="3"/>
  <x:c r="M357" i="3"/>
  <x:c r="P352" i="3"/>
  <x:c r="S347" i="3"/>
  <x:c r="O343" i="3"/>
  <x:c r="R338" i="3"/>
  <x:c r="N334" i="3"/>
  <x:c r="Q329" i="3"/>
  <x:c r="S323" i="3"/>
  <x:c r="O319" i="3"/>
  <x:c r="G612" i="3"/>
  <x:c r="R575" i="3"/>
  <x:c r="S547" i="3"/>
  <x:c r="L535" i="3"/>
  <x:c r="I525" i="3"/>
  <x:c r="M512" i="3"/>
  <x:c r="L503" i="3"/>
  <x:c r="L493" i="3"/>
  <x:c r="L485" i="3"/>
  <x:c r="L477" i="3"/>
  <x:c r="L469" i="3"/>
  <x:c r="L461" i="3"/>
  <x:c r="Q453" i="3"/>
  <x:c r="L447" i="3"/>
  <x:c r="O440" i="3"/>
  <x:c r="R435" i="3"/>
  <x:c r="N431" i="3"/>
  <x:c r="P425" i="3"/>
  <x:c r="S420" i="3"/>
  <x:c r="O416" i="3"/>
  <x:c r="R411" i="3"/>
  <x:c r="N407" i="3"/>
  <x:c r="Q402" i="3"/>
  <x:c r="M398" i="3"/>
  <x:c r="P393" i="3"/>
  <x:c r="S388" i="3"/>
  <x:c r="O384" i="3"/>
  <x:c r="R379" i="3"/>
  <x:c r="N375" i="3"/>
  <x:c r="Q370" i="3"/>
  <x:c r="M366" i="3"/>
  <x:c r="H361" i="3"/>
  <x:c r="K356" i="3"/>
  <x:c r="G352" i="3"/>
  <x:c r="J347" i="3"/>
  <x:c r="F343" i="3"/>
  <x:c r="I338" i="3"/>
  <x:c r="L333" i="3"/>
  <x:c r="H329" i="3"/>
  <x:c r="J323" i="3"/>
  <x:c r="F319" i="3"/>
  <x:c r="N649" i="3"/>
  <x:c r="R600" i="3"/>
  <x:c r="R562" i="3"/>
  <x:c r="Q541" i="3"/>
  <x:c r="I530" i="3"/>
  <x:c r="J517" i="3"/>
  <x:c r="M505" i="3"/>
  <x:c r="K495" i="3"/>
  <x:c r="K487" i="3"/>
  <x:c r="K479" i="3"/>
  <x:c r="K471" i="3"/>
  <x:c r="K463" i="3"/>
  <x:c r="K455" i="3"/>
  <x:c r="M449" i="3"/>
  <x:c r="R443" i="3"/>
  <x:c r="L438" i="3"/>
  <x:c r="H434" i="3"/>
  <x:c r="K429" i="3"/>
  <x:c r="F424" i="3"/>
  <x:c r="I419" i="3"/>
  <x:c r="L414" i="3"/>
  <x:c r="H410" i="3"/>
  <x:c r="K405" i="3"/>
  <x:c r="G401" i="3"/>
  <x:c r="J396" i="3"/>
  <x:c r="F392" i="3"/>
  <x:c r="I387" i="3"/>
  <x:c r="L382" i="3"/>
  <x:c r="H378" i="3"/>
  <x:c r="K373" i="3"/>
  <x:c r="G369" i="3"/>
  <x:c r="I363" i="3"/>
  <x:c r="L358" i="3"/>
  <x:c r="H354" i="3"/>
  <x:c r="K349" i="3"/>
  <x:c r="G345" i="3"/>
  <x:c r="J340" i="3"/>
  <x:c r="F336" i="3"/>
  <x:c r="I331" i="3"/>
  <x:c r="S325" i="3"/>
  <x:c r="O321" i="3"/>
  <x:c r="R316" i="3"/>
  <x:c r="S627" i="3"/>
  <x:c r="S579" i="3"/>
  <x:c r="N558" i="3"/>
  <x:c r="I540" i="3"/>
  <x:c r="J630" i="3"/>
  <x:c r="S587" i="3"/>
  <x:c r="F556" i="3"/>
  <x:c r="I541" i="3"/>
  <x:c r="M528" i="3"/>
  <x:c r="S516" i="3"/>
  <x:c r="F505" i="3"/>
  <x:c r="S484" i="3"/>
  <x:c r="S468" i="3"/>
  <x:c r="I454" i="3"/>
  <x:c r="R447" i="3"/>
  <x:c r="N441" i="3"/>
  <x:c r="H437" i="3"/>
  <x:c r="K432" i="3"/>
  <x:c r="F427" i="3"/>
  <x:c r="I422" i="3"/>
  <x:c r="L417" i="3"/>
  <x:c r="H413" i="3"/>
  <x:c r="K408" i="3"/>
  <x:c r="G404" i="3"/>
  <x:c r="J399" i="3"/>
  <x:c r="F395" i="3"/>
  <x:c r="I390" i="3"/>
  <x:c r="L385" i="3"/>
  <x:c r="H381" i="3"/>
  <x:c r="K376" i="3"/>
  <x:c r="G372" i="3"/>
  <x:c r="J367" i="3"/>
  <x:c r="L361" i="3"/>
  <x:c r="H357" i="3"/>
  <x:c r="K352" i="3"/>
  <x:c r="G348" i="3"/>
  <x:c r="J343" i="3"/>
  <x:c r="F339" i="3"/>
  <x:c r="I334" i="3"/>
  <x:c r="L329" i="3"/>
  <x:c r="G324" i="3"/>
  <x:c r="J319" i="3"/>
  <x:c r="O514" i="3"/>
  <x:c r="H473" i="3"/>
  <x:c r="J442" i="3"/>
  <x:c r="P420" i="3"/>
  <x:c r="P404" i="3"/>
  <x:c r="N396" i="3"/>
  <x:c r="N388" i="3"/>
  <x:c r="N380" i="3"/>
  <x:c r="N372" i="3"/>
  <x:c r="M363" i="3"/>
  <x:c r="M355" i="3"/>
  <x:c r="M347" i="3"/>
  <x:c r="M339" i="3"/>
  <x:c r="M331" i="3"/>
  <x:c r="L322" i="3"/>
  <x:c r="G315" i="3"/>
  <x:c r="J310" i="3"/>
  <x:c r="F306" i="3"/>
  <x:c r="I301" i="3"/>
  <x:c r="L296" i="3"/>
  <x:c r="H292" i="3"/>
  <x:c r="K287" i="3"/>
  <x:c r="G283" i="3"/>
  <x:c r="J278" i="3"/>
  <x:c r="F274" i="3"/>
  <x:c r="I269" i="3"/>
  <x:c r="S263" i="3"/>
  <x:c r="O259" i="3"/>
  <x:c r="R254" i="3"/>
  <x:c r="N250" i="3"/>
  <x:c r="Q245" i="3"/>
  <x:c r="M241" i="3"/>
  <x:c r="P236" i="3"/>
  <x:c r="S231" i="3"/>
  <x:c r="O227" i="3"/>
  <x:c r="R222" i="3"/>
  <x:c r="N218" i="3"/>
  <x:c r="Q213" i="3"/>
  <x:c r="M209" i="3"/>
  <x:c r="O203" i="3"/>
  <x:c r="P523" i="3"/>
  <x:c r="J478" i="3"/>
  <x:c r="Q443" i="3"/>
  <x:c r="H427" i="3"/>
  <x:c r="I413" i="3"/>
  <x:c r="G402" i="3"/>
  <x:c r="G394" i="3"/>
  <x:c r="G386" i="3"/>
  <x:c r="G378" i="3"/>
  <x:c r="G370" i="3"/>
  <x:c r="J361" i="3"/>
  <x:c r="J353" i="3"/>
  <x:c r="J345" i="3"/>
  <x:c r="J337" i="3"/>
  <x:c r="J329" i="3"/>
  <x:c r="I320" i="3"/>
  <x:c r="S313" i="3"/>
  <x:c r="O309" i="3"/>
  <x:c r="R304" i="3"/>
  <x:c r="N300" i="3"/>
  <x:c r="Q295" i="3"/>
  <x:c r="M291" i="3"/>
  <x:c r="P286" i="3"/>
  <x:c r="S281" i="3"/>
  <x:c r="O277" i="3"/>
  <x:c r="R272" i="3"/>
  <x:c r="N268" i="3"/>
  <x:c r="P262" i="3"/>
  <x:c r="S257" i="3"/>
  <x:c r="O253" i="3"/>
  <x:c r="R248" i="3"/>
  <x:c r="N244" i="3"/>
  <x:c r="Q239" i="3"/>
  <x:c r="M235" i="3"/>
  <x:c r="P230" i="3"/>
  <x:c r="S225" i="3"/>
  <x:c r="O221" i="3"/>
  <x:c r="R216" i="3"/>
  <x:c r="N212" i="3"/>
  <x:c r="Q207" i="3"/>
  <x:c r="S201" i="3"/>
  <x:c r="H585" i="3"/>
  <x:c r="G498" i="3"/>
  <x:c r="G466" i="3"/>
  <x:c r="O441" i="3"/>
  <x:c r="K423" i="3"/>
  <x:c r="S407" i="3"/>
  <x:c r="G397" i="3"/>
  <x:c r="G387" i="3"/>
  <x:c r="F377" i="3"/>
  <x:c r="H364" i="3"/>
  <x:c r="F354" i="3"/>
  <x:c r="G342" i="3"/>
  <x:c r="H332" i="3"/>
  <x:c r="F322" i="3"/>
  <x:c r="R313" i="3"/>
  <x:c r="N309" i="3"/>
  <x:c r="Q304" i="3"/>
  <x:c r="M300" i="3"/>
  <x:c r="P295" i="3"/>
  <x:c r="S290" i="3"/>
  <x:c r="O286" i="3"/>
  <x:c r="R281" i="3"/>
  <x:c r="N277" i="3"/>
  <x:c r="Q272" i="3"/>
  <x:c r="M268" i="3"/>
  <x:c r="O262" i="3"/>
  <x:c r="R257" i="3"/>
  <x:c r="N253" i="3"/>
  <x:c r="Q248" i="3"/>
  <x:c r="M244" i="3"/>
  <x:c r="P239" i="3"/>
  <x:c r="S234" i="3"/>
  <x:c r="O230" i="3"/>
  <x:c r="R225" i="3"/>
  <x:c r="N221" i="3"/>
  <x:c r="Q216" i="3"/>
  <x:c r="M212" i="3"/>
  <x:c r="P207" i="3"/>
  <x:c r="R201" i="3"/>
  <x:c r="J526" i="3"/>
  <x:c r="H480" i="3"/>
  <x:c r="Q445" i="3"/>
  <x:c r="J421" i="3"/>
  <x:c r="K406" i="3"/>
  <x:c r="S390" i="3"/>
  <x:c r="S374" i="3"/>
  <x:c r="F357" i="3"/>
  <x:c r="F341" i="3"/>
  <x:c r="F324" i="3"/>
  <x:c r="R314" i="3"/>
  <x:c r="N310" i="3"/>
  <x:c r="Q305" i="3"/>
  <x:c r="M301" i="3"/>
  <x:c r="P296" i="3"/>
  <x:c r="S291" i="3"/>
  <x:c r="O287" i="3"/>
  <x:c r="R282" i="3"/>
  <x:c r="N278" i="3"/>
  <x:c r="Q273" i="3"/>
  <x:c r="M269" i="3"/>
  <x:c r="O263" i="3"/>
  <x:c r="R258" i="3"/>
  <x:c r="N254" i="3"/>
  <x:c r="Q249" i="3"/>
  <x:c r="S564" i="3"/>
  <x:c r="G512" i="3"/>
  <x:c r="G474" i="3"/>
  <x:c r="F443" i="3"/>
  <x:c r="O419" i="3"/>
  <x:c r="S402" i="3"/>
  <x:c r="R392" i="3"/>
  <x:c r="R382" i="3"/>
  <x:c r="S370" i="3"/>
  <x:c r="Q359" i="3"/>
  <x:c r="R349" i="3"/>
  <x:c r="S337" i="3"/>
  <x:c r="R326" i="3"/>
  <x:c r="M316" i="3"/>
  <x:c r="G312" i="3"/>
  <x:c r="J307" i="3"/>
  <x:c r="F303" i="3"/>
  <x:c r="I298" i="3"/>
  <x:c r="L293" i="3"/>
  <x:c r="H289" i="3"/>
  <x:c r="K284" i="3"/>
  <x:c r="G280" i="3"/>
  <x:c r="J275" i="3"/>
  <x:c r="F271" i="3"/>
  <x:c r="I266" i="3"/>
  <x:c r="K260" i="3"/>
  <x:c r="G256" i="3"/>
  <x:c r="J251" i="3"/>
  <x:c r="F247" i="3"/>
  <x:c r="I242" i="3"/>
  <x:c r="L237" i="3"/>
  <x:c r="H233" i="3"/>
  <x:c r="K228" i="3"/>
  <x:c r="G224" i="3"/>
  <x:c r="J219" i="3"/>
  <x:c r="F215" i="3"/>
  <x:c r="I210" i="3"/>
  <x:c r="S204" i="3"/>
  <x:c r="O200" i="3"/>
  <x:c r="O528" i="3"/>
  <x:c r="G488" i="3"/>
  <x:c r="G456" i="3"/>
  <x:c r="Q436" i="3"/>
  <x:c r="Q420" i="3"/>
  <x:c r="I407" i="3"/>
  <x:c r="O397" i="3"/>
  <x:c r="O389" i="3"/>
  <x:c r="O381" i="3"/>
  <x:c r="O373" i="3"/>
  <x:c r="P364" i="3"/>
  <x:c r="P356" i="3"/>
  <x:c r="P348" i="3"/>
  <x:c r="P340" i="3"/>
  <x:c r="P332" i="3"/>
  <x:c r="O323" i="3"/>
  <x:c r="I316" i="3"/>
  <x:c r="L311" i="3"/>
  <x:c r="H307" i="3"/>
  <x:c r="K302" i="3"/>
  <x:c r="G298" i="3"/>
  <x:c r="J293" i="3"/>
  <x:c r="F289" i="3"/>
  <x:c r="I284" i="3"/>
  <x:c r="L279" i="3"/>
  <x:c r="H275" i="3"/>
  <x:c r="K270" i="3"/>
  <x:c r="G266" i="3"/>
  <x:c r="I260" i="3"/>
  <x:c r="L255" i="3"/>
  <x:c r="H251" i="3"/>
  <x:c r="K246" i="3"/>
  <x:c r="G242" i="3"/>
  <x:c r="J237" i="3"/>
  <x:c r="F233" i="3"/>
  <x:c r="I228" i="3"/>
  <x:c r="L223" i="3"/>
  <x:c r="H219" i="3"/>
  <x:c r="K214" i="3"/>
  <x:c r="G210" i="3"/>
  <x:c r="I204" i="3"/>
  <x:c r="Q569" i="3"/>
  <x:c r="F410" i="3"/>
  <x:c r="J374" i="3"/>
  <x:c r="J342" i="3"/>
  <x:c r="M314" i="3"/>
  <x:c r="M298" i="3"/>
  <x:c r="M282" i="3"/>
  <x:c r="M266" i="3"/>
  <x:c r="M250" i="3"/>
  <x:c r="Q238" i="3"/>
  <x:c r="I227" i="3"/>
  <x:c r="L214" i="3"/>
  <x:c r="O201" i="3"/>
  <x:c r="S195" i="3"/>
  <x:c r="O191" i="3"/>
  <x:c r="R186" i="3"/>
  <x:c r="N182" i="3"/>
  <x:c r="Q177" i="3"/>
  <x:c r="M173" i="3"/>
  <x:c r="P168" i="3"/>
  <x:c r="S163" i="3"/>
  <x:c r="O159" i="3"/>
  <x:c r="R154" i="3"/>
  <x:c r="N150" i="3"/>
  <x:c r="Q145" i="3"/>
  <x:c r="M141" i="3"/>
  <x:c r="P136" i="3"/>
  <x:c r="S131" i="3"/>
  <x:c r="O127" i="3"/>
  <x:c r="R122" i="3"/>
  <x:c r="N118" i="3"/>
  <x:c r="Q113" i="3"/>
  <x:c r="M109" i="3"/>
  <x:c r="P104" i="3"/>
  <x:c r="S99" i="3"/>
  <x:c r="N94" i="3"/>
  <x:c r="Q89" i="3"/>
  <x:c r="M85" i="3"/>
  <x:c r="P80" i="3"/>
  <x:c r="S75" i="3"/>
  <x:c r="N70" i="3"/>
  <x:c r="Q65" i="3"/>
  <x:c r="I522" i="3"/>
  <x:c r="O434" i="3"/>
  <x:c r="Q392" i="3"/>
  <x:c r="Q360" i="3"/>
  <x:c r="Q328" i="3"/>
  <x:c r="G305" i="3"/>
  <x:c r="G289" i="3"/>
  <x:c r="G273" i="3"/>
  <x:c r="G257" i="3"/>
  <x:c r="G241" i="3"/>
  <x:c r="F227" i="3"/>
  <x:c r="O215" i="3"/>
  <x:c r="H200" i="3"/>
  <x:c r="J195" i="3"/>
  <x:c r="F191" i="3"/>
  <x:c r="I186" i="3"/>
  <x:c r="L181" i="3"/>
  <x:c r="H177" i="3"/>
  <x:c r="K172" i="3"/>
  <x:c r="G168" i="3"/>
  <x:c r="J163" i="3"/>
  <x:c r="F159" i="3"/>
  <x:c r="I154" i="3"/>
  <x:c r="L149" i="3"/>
  <x:c r="H145" i="3"/>
  <x:c r="K140" i="3"/>
  <x:c r="G136" i="3"/>
  <x:c r="J131" i="3"/>
  <x:c r="F127" i="3"/>
  <x:c r="I122" i="3"/>
  <x:c r="L117" i="3"/>
  <x:c r="H113" i="3"/>
  <x:c r="K108" i="3"/>
  <x:c r="G104" i="3"/>
  <x:c r="J99" i="3"/>
  <x:c r="L93" i="3"/>
  <x:c r="H89" i="3"/>
  <x:c r="K84" i="3"/>
  <x:c r="G80" i="3"/>
  <x:c r="J75" i="3"/>
  <x:c r="L69" i="3"/>
  <x:c r="H65" i="3"/>
  <x:c r="H475" i="3"/>
  <x:c r="Q389" i="3"/>
  <x:c r="J352" i="3"/>
  <x:c r="J320" i="3"/>
  <x:c r="Q299" i="3"/>
  <x:c r="I278" i="3"/>
  <x:c r="J255" i="3"/>
  <x:c r="R239" i="3"/>
  <x:c r="M229" i="3"/>
  <x:c r="P216" i="3"/>
  <x:c r="S203" i="3"/>
  <x:c r="R196" i="3"/>
  <x:c r="N192" i="3"/>
  <x:c r="Q187" i="3"/>
  <x:c r="M183" i="3"/>
  <x:c r="P178" i="3"/>
  <x:c r="I567" i="3"/>
  <x:c r="I481" i="3"/>
  <x:c r="J397" i="3"/>
  <x:c r="O362" i="3"/>
  <x:c r="O330" i="3"/>
  <x:c r="S304" i="3"/>
  <x:c r="N283" i="3"/>
  <x:c r="P258" i="3"/>
  <x:c r="S240" i="3"/>
  <x:c r="R226" i="3"/>
  <x:c r="J215" i="3"/>
  <x:c r="M202" i="3"/>
  <x:c r="I196" i="3"/>
  <x:c r="L191" i="3"/>
  <x:c r="H187" i="3"/>
  <x:c r="K182" i="3"/>
  <x:c r="G178" i="3"/>
  <x:c r="J173" i="3"/>
  <x:c r="F169" i="3"/>
  <x:c r="I164" i="3"/>
  <x:c r="L159" i="3"/>
  <x:c r="H155" i="3"/>
  <x:c r="K150" i="3"/>
  <x:c r="G146" i="3"/>
  <x:c r="J141" i="3"/>
  <x:c r="F137" i="3"/>
  <x:c r="I132" i="3"/>
  <x:c r="L127" i="3"/>
  <x:c r="H123" i="3"/>
  <x:c r="K118" i="3"/>
  <x:c r="G114" i="3"/>
  <x:c r="J109" i="3"/>
  <x:c r="F105" i="3"/>
  <x:c r="I100" i="3"/>
  <x:c r="K94" i="3"/>
  <x:c r="G90" i="3"/>
  <x:c r="J85" i="3"/>
  <x:c r="F81" i="3"/>
  <x:c r="L415" i="3"/>
  <x:c r="K386" i="3"/>
  <x:c r="K354" i="3"/>
  <x:c r="P319" i="3"/>
  <x:c r="N304" i="3"/>
  <x:c r="N288" i="3"/>
  <x:c r="N272" i="3"/>
  <x:c r="Q254" i="3"/>
  <x:c r="M239" i="3"/>
  <x:c r="S227" i="3"/>
  <x:c r="K216" i="3"/>
  <x:c r="R204" i="3"/>
  <x:c r="I197" i="3"/>
  <x:c r="L192" i="3"/>
  <x:c r="H188" i="3"/>
  <x:c r="K183" i="3"/>
  <x:c r="G179" i="3"/>
  <x:c r="J174" i="3"/>
  <x:c r="F170" i="3"/>
  <x:c r="I165" i="3"/>
  <x:c r="L160" i="3"/>
  <x:c r="H156" i="3"/>
  <x:c r="K151" i="3"/>
  <x:c r="G147" i="3"/>
  <x:c r="J142" i="3"/>
  <x:c r="F138" i="3"/>
  <x:c r="I133" i="3"/>
  <x:c r="L128" i="3"/>
  <x:c r="H124" i="3"/>
  <x:c r="K119" i="3"/>
  <x:c r="G115" i="3"/>
  <x:c r="J110" i="3"/>
  <x:c r="F106" i="3"/>
  <x:c r="I101" i="3"/>
  <x:c r="S95" i="3"/>
  <x:c r="O91" i="3"/>
  <x:c r="R86" i="3"/>
  <x:c r="N82" i="3"/>
  <x:c r="Q77" i="3"/>
  <x:c r="S71" i="3"/>
  <x:c r="O67" i="3"/>
  <x:c r="G490" i="3"/>
  <x:c r="I391" i="3"/>
  <x:c r="I359" i="3"/>
  <x:c r="Q324" i="3"/>
  <x:c r="L302" i="3"/>
  <x:c r="L286" i="3"/>
  <x:c r="L270" i="3"/>
  <x:c r="R252" i="3"/>
  <x:c r="N240" i="3"/>
  <x:c r="Q227" i="3"/>
  <x:c r="P213" i="3"/>
  <x:c r="H202" i="3"/>
  <x:c r="O196" i="3"/>
  <x:c r="N911" i="3"/>
  <x:c r="R735" i="3"/>
  <x:c r="I709" i="3"/>
  <x:c r="P662" i="3"/>
  <x:c r="R624" i="3"/>
  <x:c r="S735" i="3"/>
  <x:c r="F686" i="3"/>
  <x:c r="K667" i="3"/>
  <x:c r="H648" i="3"/>
  <x:c r="H723" i="3"/>
  <x:c r="S696" i="3"/>
  <x:c r="J683" i="3"/>
  <x:c r="Q674" i="3"/>
  <x:c r="L669" i="3"/>
  <x:c r="G664" i="3"/>
  <x:c r="J659" i="3"/>
  <x:c r="F655" i="3"/>
  <x:c r="I650" i="3"/>
  <x:c r="L645" i="3"/>
  <x:c r="G640" i="3"/>
  <x:c r="J635" i="3"/>
  <x:c r="F631" i="3"/>
  <x:c r="I626" i="3"/>
  <x:c r="P850" i="3"/>
  <x:c r="G789" i="3"/>
  <x:c r="G741" i="3"/>
  <x:c r="G723" i="3"/>
  <x:c r="S705" i="3"/>
  <x:c r="Q694" i="3"/>
  <x:c r="L686" i="3"/>
  <x:c r="H682" i="3"/>
  <x:c r="K677" i="3"/>
  <x:c r="G673" i="3"/>
  <x:c r="J668" i="3"/>
  <x:c r="L662" i="3"/>
  <x:c r="H658" i="3"/>
  <x:c r="K653" i="3"/>
  <x:c r="G649" i="3"/>
  <x:c r="J644" i="3"/>
  <x:c r="L638" i="3"/>
  <x:c r="H634" i="3"/>
  <x:c r="K629" i="3"/>
  <x:c r="G625" i="3"/>
  <x:c r="H781" i="3"/>
  <x:c r="M736" i="3"/>
  <x:c r="R718" i="3"/>
  <x:c r="L705" i="3"/>
  <x:c r="K696" i="3"/>
  <x:c r="S688" i="3"/>
  <x:c r="O684" i="3"/>
  <x:c r="R679" i="3"/>
  <x:c r="N675" i="3"/>
  <x:c r="Q670" i="3"/>
  <x:c r="M666" i="3"/>
  <x:c r="H661" i="3"/>
  <x:c r="K656" i="3"/>
  <x:c r="G652" i="3"/>
  <x:c r="J647" i="3"/>
  <x:c r="F643" i="3"/>
  <x:c r="P637" i="3"/>
  <x:c r="S632" i="3"/>
  <x:c r="O628" i="3"/>
  <x:c r="S718" i="3"/>
  <x:c r="H683" i="3"/>
  <x:c r="P671" i="3"/>
  <x:c r="L656" i="3"/>
  <x:c r="O643" i="3"/>
  <x:c r="N633" i="3"/>
  <x:c r="N625" i="3"/>
  <x:c r="I620" i="3"/>
  <x:c r="L615" i="3"/>
  <x:c r="G610" i="3"/>
  <x:c r="J605" i="3"/>
  <x:c r="F601" i="3"/>
  <x:c r="I596" i="3"/>
  <x:c r="L591" i="3"/>
  <x:c r="F585" i="3"/>
  <x:c r="I580" i="3"/>
  <x:c r="L575" i="3"/>
  <x:c r="H571" i="3"/>
  <x:c r="J565" i="3"/>
  <x:c r="F561" i="3"/>
  <x:c r="I556" i="3"/>
  <x:c r="K550" i="3"/>
  <x:c r="G546" i="3"/>
  <x:c r="K695" i="3"/>
  <x:c r="L675" i="3"/>
  <x:c r="O662" i="3"/>
  <x:c r="M652" i="3"/>
  <x:c r="K638" i="3"/>
  <x:c r="K630" i="3"/>
  <x:c r="J622" i="3"/>
  <x:c r="F618" i="3"/>
  <x:c r="H612" i="3"/>
  <x:c r="K607" i="3"/>
  <x:c r="G603" i="3"/>
  <x:c r="J598" i="3"/>
  <x:c r="F594" i="3"/>
  <x:c r="G587" i="3"/>
  <x:c r="J582" i="3"/>
  <x:c r="F578" i="3"/>
  <x:c r="I573" i="3"/>
  <x:c r="L568" i="3"/>
  <x:c r="G563" i="3"/>
  <x:c r="J558" i="3"/>
  <x:c r="L552" i="3"/>
  <x:c r="H548" i="3"/>
  <x:c r="J717" i="3"/>
  <x:c r="L687" i="3"/>
  <x:c r="F674" i="3"/>
  <x:c r="I661" i="3"/>
  <x:c r="R645" i="3"/>
  <x:c r="I636" i="3"/>
  <x:c r="S734" i="3"/>
  <x:c r="F689" i="3"/>
  <x:c r="L672" i="3"/>
  <x:c r="O659" i="3"/>
  <x:c r="R646" i="3"/>
  <x:c r="F630" i="3"/>
  <x:c r="N621" i="3"/>
  <x:c r="Q616" i="3"/>
  <x:c r="S610" i="3"/>
  <x:c r="O606" i="3"/>
  <x:c r="R601" i="3"/>
  <x:c r="N597" i="3"/>
  <x:c r="Q592" i="3"/>
  <x:c r="K586" i="3"/>
  <x:c r="G582" i="3"/>
  <x:c r="J577" i="3"/>
  <x:c r="F573" i="3"/>
  <x:c r="I568" i="3"/>
  <x:c r="K562" i="3"/>
  <x:c r="G558" i="3"/>
  <x:c r="I552" i="3"/>
  <x:c r="L547" i="3"/>
  <x:c r="I733" i="3"/>
  <x:c r="L688" i="3"/>
  <x:c r="P675" i="3"/>
  <x:c r="I664" i="3"/>
  <x:c r="L651" i="3"/>
  <x:c r="O638" i="3"/>
  <x:c r="O630" i="3"/>
  <x:c r="L622" i="3"/>
  <x:c r="H618" i="3"/>
  <x:c r="R612" i="3"/>
  <x:c r="N608" i="3"/>
  <x:c r="Q603" i="3"/>
  <x:c r="M599" i="3"/>
  <x:c r="P594" i="3"/>
  <x:c r="Q587" i="3"/>
  <x:c r="M583" i="3"/>
  <x:c r="P578" i="3"/>
  <x:c r="S573" i="3"/>
  <x:c r="O569" i="3"/>
  <x:c r="J564" i="3"/>
  <x:c r="L704" i="3"/>
  <x:c r="R670" i="3"/>
  <x:c r="O646" i="3"/>
  <x:c r="S617" i="3"/>
  <x:c r="S600" i="3"/>
  <x:c r="S584" i="3"/>
  <x:c r="Q685" i="3"/>
  <x:c r="S655" i="3"/>
  <x:c r="G631" i="3"/>
  <x:c r="Q618" i="3"/>
  <x:c r="P609" i="3"/>
  <x:c r="P601" i="3"/>
  <x:c r="P593" i="3"/>
  <x:c r="Q583" i="3"/>
  <x:c r="Q575" i="3"/>
  <x:c r="Q567" i="3"/>
  <x:c r="I559" i="3"/>
  <x:c r="R551" i="3"/>
  <x:c r="O545" i="3"/>
  <x:c r="H541" i="3"/>
  <x:c r="K536" i="3"/>
  <x:c r="G532" i="3"/>
  <x:c r="J527" i="3"/>
  <x:c r="F523" i="3"/>
  <x:c r="I518" i="3"/>
  <x:c r="L513" i="3"/>
  <x:c r="H509" i="3"/>
  <x:c r="K504" i="3"/>
  <x:c r="L497" i="3"/>
  <x:c r="H493" i="3"/>
  <x:c r="K488" i="3"/>
  <x:c r="G484" i="3"/>
  <x:c r="J479" i="3"/>
  <x:c r="F475" i="3"/>
  <x:c r="I470" i="3"/>
  <x:c r="L465" i="3"/>
  <x:c r="H461" i="3"/>
  <x:c r="K456" i="3"/>
  <x:c r="P693" i="3"/>
  <x:c r="Q660" i="3"/>
  <x:c r="G635" i="3"/>
  <x:c r="N619" i="3"/>
  <x:c r="M610" i="3"/>
  <x:c r="M602" i="3"/>
  <x:c r="M594" i="3"/>
  <x:c r="O584" i="3"/>
  <x:c r="O576" i="3"/>
  <x:c r="O568" i="3"/>
  <x:c r="G559" i="3"/>
  <x:c r="F550" i="3"/>
  <x:c r="Q543" i="3"/>
  <x:c r="M539" i="3"/>
  <x:c r="P534" i="3"/>
  <x:c r="S529" i="3"/>
  <x:c r="O525" i="3"/>
  <x:c r="R520" i="3"/>
  <x:c r="N516" i="3"/>
  <x:c r="Q511" i="3"/>
  <x:c r="M507" i="3"/>
  <x:c r="P502" i="3"/>
  <x:c r="Q495" i="3"/>
  <x:c r="M491" i="3"/>
  <x:c r="P486" i="3"/>
  <x:c r="S481" i="3"/>
  <x:c r="O477" i="3"/>
  <x:c r="R472" i="3"/>
  <x:c r="N468" i="3"/>
  <x:c r="Q463" i="3"/>
  <x:c r="M459" i="3"/>
  <x:c r="P454" i="3"/>
  <x:c r="S449" i="3"/>
  <x:c r="O445" i="3"/>
  <x:c r="K682" i="3"/>
  <x:c r="K655" i="3"/>
  <x:c r="G627" i="3"/>
  <x:c r="K616" i="3"/>
  <x:c r="N607" i="3"/>
  <x:c r="N599" i="3"/>
  <x:c r="N591" i="3"/>
  <x:c r="M581" i="3"/>
  <x:c r="M573" i="3"/>
  <x:c r="L564" i="3"/>
  <x:c r="K557" i="3"/>
  <x:c r="J548" i="3"/>
  <x:c r="H543" i="3"/>
  <x:c r="K538" i="3"/>
  <x:c r="G534" i="3"/>
  <x:c r="J529" i="3"/>
  <x:c r="F525" i="3"/>
  <x:c r="I520" i="3"/>
  <x:c r="L515" i="3"/>
  <x:c r="H511" i="3"/>
  <x:c r="K506" i="3"/>
  <x:c r="G502" i="3"/>
  <x:c r="P495" i="3"/>
  <x:c r="S490" i="3"/>
  <x:c r="O486" i="3"/>
  <x:c r="R481" i="3"/>
  <x:c r="N477" i="3"/>
  <x:c r="Q472" i="3"/>
  <x:c r="M468" i="3"/>
  <x:c r="P463" i="3"/>
  <x:c r="S458" i="3"/>
  <x:c r="O454" i="3"/>
  <x:c r="R449" i="3"/>
  <x:c r="N445" i="3"/>
  <x:c r="F891" i="3"/>
  <x:c r="P679" i="3"/>
  <x:c r="O642" i="3"/>
  <x:c r="N622" i="3"/>
  <x:c r="L613" i="3"/>
  <x:c r="L605" i="3"/>
  <x:c r="L597" i="3"/>
  <x:c r="K587" i="3"/>
  <x:c r="K579" i="3"/>
  <x:c r="K571" i="3"/>
  <x:c r="J562" i="3"/>
  <x:c r="S553" i="3"/>
  <x:c r="Q546" i="3"/>
  <x:c r="F542" i="3"/>
  <x:c r="I537" i="3"/>
  <x:c r="L532" i="3"/>
  <x:c r="H528" i="3"/>
  <x:c r="K523" i="3"/>
  <x:c r="G519" i="3"/>
  <x:c r="J514" i="3"/>
  <x:c r="F510" i="3"/>
  <x:c r="P683" i="3"/>
  <x:c r="J654" i="3"/>
  <x:c r="S631" i="3"/>
  <x:c r="F619" i="3"/>
  <x:c r="H606" i="3"/>
  <x:c r="F596" i="3"/>
  <x:c r="H582" i="3"/>
  <x:c r="F572" i="3"/>
  <x:c r="J560" i="3"/>
  <x:c r="G552" i="3"/>
  <x:c r="H545" i="3"/>
  <x:c r="J540" i="3"/>
  <x:c r="F536" i="3"/>
  <x:c r="I531" i="3"/>
  <x:c r="L526" i="3"/>
  <x:c r="H522" i="3"/>
  <x:c r="K517" i="3"/>
  <x:c r="G513" i="3"/>
  <x:c r="J508" i="3"/>
  <x:c r="F504" i="3"/>
  <x:c r="G497" i="3"/>
  <x:c r="J492" i="3"/>
  <x:c r="F488" i="3"/>
  <x:c r="I483" i="3"/>
  <x:c r="L478" i="3"/>
  <x:c r="H474" i="3"/>
  <x:c r="K469" i="3"/>
  <x:c r="G465" i="3"/>
  <x:c r="J460" i="3"/>
  <x:c r="F456" i="3"/>
  <x:c r="R634" i="3"/>
  <x:c r="I599" i="3"/>
  <x:c r="F574" i="3"/>
  <x:c r="G545" i="3"/>
  <x:c r="H532" i="3"/>
  <x:c r="K519" i="3"/>
  <x:c r="R506" i="3"/>
  <x:c r="Q492" i="3"/>
  <x:c r="R482" i="3"/>
  <x:c r="S470" i="3"/>
  <x:c r="Q460" i="3"/>
  <x:c r="R451" i="3"/>
  <x:c r="M445" i="3"/>
  <x:c r="J440" i="3"/>
  <x:c r="F436" i="3"/>
  <x:c r="I431" i="3"/>
  <x:c r="K425" i="3"/>
  <x:c r="G421" i="3"/>
  <x:c r="J416" i="3"/>
  <x:c r="R629" i="3"/>
  <x:c r="I578" i="3"/>
  <x:c r="Q553" i="3"/>
  <x:c r="H537" i="3"/>
  <x:c r="L525" i="3"/>
  <x:c r="G514" i="3"/>
  <x:c r="O503" i="3"/>
  <x:c r="Q493" i="3"/>
  <x:c r="Q485" i="3"/>
  <x:c r="Q477" i="3"/>
  <x:c r="Q469" i="3"/>
  <x:c r="Q461" i="3"/>
  <x:c r="H453" i="3"/>
  <x:c r="N447" i="3"/>
  <x:c r="G442" i="3"/>
  <x:c r="N437" i="3"/>
  <x:c r="Q432" i="3"/>
  <x:c r="L427" i="3"/>
  <x:c r="H423" i="3"/>
  <x:c r="K418" i="3"/>
  <x:c r="G414" i="3"/>
  <x:c r="J409" i="3"/>
  <x:c r="F405" i="3"/>
  <x:c r="R618" i="3"/>
  <x:c r="S580" i="3"/>
  <x:c r="O553" i="3"/>
  <x:c r="I538" i="3"/>
  <x:c r="J525" i="3"/>
  <x:c r="O512" i="3"/>
  <x:c r="N502" i="3"/>
  <x:c r="L492" i="3"/>
  <x:c r="L484" i="3"/>
  <x:c r="L476" i="3"/>
  <x:c r="L468" i="3"/>
  <x:c r="L460" i="3"/>
  <x:c r="J452" i="3"/>
  <x:c r="F446" i="3"/>
  <x:c r="H440" i="3"/>
  <x:c r="K435" i="3"/>
  <x:c r="G431" i="3"/>
  <x:c r="Q425" i="3"/>
  <x:c r="M421" i="3"/>
  <x:c r="P416" i="3"/>
  <x:c r="S411" i="3"/>
  <x:c r="O407" i="3"/>
  <x:c r="R402" i="3"/>
  <x:c r="N398" i="3"/>
  <x:c r="Q393" i="3"/>
  <x:c r="M389" i="3"/>
  <x:c r="P384" i="3"/>
  <x:c r="S379" i="3"/>
  <x:c r="O375" i="3"/>
  <x:c r="R370" i="3"/>
  <x:c r="N366" i="3"/>
  <x:c r="I361" i="3"/>
  <x:c r="L356" i="3"/>
  <x:c r="H352" i="3"/>
  <x:c r="K347" i="3"/>
  <x:c r="G343" i="3"/>
  <x:c r="J338" i="3"/>
  <x:c r="F334" i="3"/>
  <x:c r="I329" i="3"/>
  <x:c r="K323" i="3"/>
  <x:c r="G319" i="3"/>
  <x:c r="Q609" i="3"/>
  <x:c r="I570" i="3"/>
  <x:c r="L546" i="3"/>
  <x:c r="J534" i="3"/>
  <x:c r="Q522" i="3"/>
  <x:c r="F511" i="3"/>
  <x:c r="M502" i="3"/>
  <x:c r="K492" i="3"/>
  <x:c r="K484" i="3"/>
  <x:c r="K476" i="3"/>
  <x:c r="K468" i="3"/>
  <x:c r="K460" i="3"/>
  <x:c r="S452" i="3"/>
  <x:c r="Q446" i="3"/>
  <x:c r="G440" i="3"/>
  <x:c r="J435" i="3"/>
  <x:c r="F431" i="3"/>
  <x:c r="H425" i="3"/>
  <x:c r="K420" i="3"/>
  <x:c r="G416" i="3"/>
  <x:c r="J411" i="3"/>
  <x:c r="F407" i="3"/>
  <x:c r="I402" i="3"/>
  <x:c r="L397" i="3"/>
  <x:c r="H393" i="3"/>
  <x:c r="K388" i="3"/>
  <x:c r="G384" i="3"/>
  <x:c r="J379" i="3"/>
  <x:c r="F375" i="3"/>
  <x:c r="I370" i="3"/>
  <x:c r="S364" i="3"/>
  <x:c r="O360" i="3"/>
  <x:c r="R355" i="3"/>
  <x:c r="N351" i="3"/>
  <x:c r="Q346" i="3"/>
  <x:c r="M342" i="3"/>
  <x:c r="P337" i="3"/>
  <x:c r="S332" i="3"/>
  <x:c r="O328" i="3"/>
  <x:c r="Q322" i="3"/>
  <x:c r="M318" i="3"/>
  <x:c r="Q636" i="3"/>
  <x:c r="H597" i="3"/>
  <x:c r="K560" i="3"/>
  <x:c r="K540" i="3"/>
  <x:c r="F529" i="3"/>
  <x:c r="H516" i="3"/>
  <x:c r="L504" i="3"/>
  <x:c r="K494" i="3"/>
  <x:c r="K486" i="3"/>
  <x:c r="K478" i="3"/>
  <x:c r="K470" i="3"/>
  <x:c r="K462" i="3"/>
  <x:c r="M454" i="3"/>
  <x:c r="P448" i="3"/>
  <x:c r="H443" i="3"/>
  <x:c r="S437" i="3"/>
  <x:c r="O433" i="3"/>
  <x:c r="Q427" i="3"/>
  <x:c r="M423" i="3"/>
  <x:c r="P418" i="3"/>
  <x:c r="S413" i="3"/>
  <x:c r="O409" i="3"/>
  <x:c r="R404" i="3"/>
  <x:c r="N400" i="3"/>
  <x:c r="Q395" i="3"/>
  <x:c r="M391" i="3"/>
  <x:c r="P386" i="3"/>
  <x:c r="S381" i="3"/>
  <x:c r="O377" i="3"/>
  <x:c r="R372" i="3"/>
  <x:c r="N368" i="3"/>
  <x:c r="P362" i="3"/>
  <x:c r="S357" i="3"/>
  <x:c r="O353" i="3"/>
  <x:c r="R348" i="3"/>
  <x:c r="N344" i="3"/>
  <x:c r="Q339" i="3"/>
  <x:c r="M335" i="3"/>
  <x:c r="P330" i="3"/>
  <x:c r="K325" i="3"/>
  <x:c r="G321" i="3"/>
  <x:c r="J316" i="3"/>
  <x:c r="G620" i="3"/>
  <x:c r="H577" i="3"/>
  <x:c r="R556" i="3"/>
  <x:c r="G539" i="3"/>
  <x:c r="S626" i="3"/>
  <x:c r="S576" i="3"/>
  <x:c r="H552" i="3"/>
  <x:c r="Q538" i="3"/>
  <x:c r="F527" i="3"/>
  <x:c r="P515" i="3"/>
  <x:c r="S499" i="3"/>
  <x:c r="S483" i="3"/>
  <x:c r="S467" i="3"/>
  <x:c r="J453" i="3"/>
  <x:c r="F447" i="3"/>
  <x:c r="S440" i="3"/>
  <x:c r="O436" i="3"/>
  <x:c r="R431" i="3"/>
  <x:c r="M426" i="3"/>
  <x:c r="P421" i="3"/>
  <x:c r="S416" i="3"/>
  <x:c r="O412" i="3"/>
  <x:c r="R407" i="3"/>
  <x:c r="N403" i="3"/>
  <x:c r="Q398" i="3"/>
  <x:c r="M394" i="3"/>
  <x:c r="P389" i="3"/>
  <x:c r="S384" i="3"/>
  <x:c r="O380" i="3"/>
  <x:c r="R375" i="3"/>
  <x:c r="N371" i="3"/>
  <x:c r="Q366" i="3"/>
  <x:c r="S360" i="3"/>
  <x:c r="O356" i="3"/>
  <x:c r="R351" i="3"/>
  <x:c r="N347" i="3"/>
  <x:c r="Q342" i="3"/>
  <x:c r="M338" i="3"/>
  <x:c r="P333" i="3"/>
  <x:c r="S328" i="3"/>
  <x:c r="N323" i="3"/>
  <x:c r="Q318" i="3"/>
  <x:c r="S510" i="3"/>
  <x:c r="J470" i="3"/>
  <x:c r="J438" i="3"/>
  <x:c r="F417" i="3"/>
  <x:c r="M403" i="3"/>
  <x:c r="M395" i="3"/>
  <x:c r="M387" i="3"/>
  <x:c r="M379" i="3"/>
  <x:c r="M371" i="3"/>
  <x:c r="L362" i="3"/>
  <x:c r="L354" i="3"/>
  <x:c r="L346" i="3"/>
  <x:c r="L338" i="3"/>
  <x:c r="L330" i="3"/>
  <x:c r="M321" i="3"/>
  <x:c r="N314" i="3"/>
  <x:c r="Q309" i="3"/>
  <x:c r="M305" i="3"/>
  <x:c r="P300" i="3"/>
  <x:c r="S295" i="3"/>
  <x:c r="O291" i="3"/>
  <x:c r="R286" i="3"/>
  <x:c r="N282" i="3"/>
  <x:c r="Q277" i="3"/>
  <x:c r="M273" i="3"/>
  <x:c r="P268" i="3"/>
  <x:c r="K263" i="3"/>
  <x:c r="G259" i="3"/>
  <x:c r="J254" i="3"/>
  <x:c r="F250" i="3"/>
  <x:c r="I245" i="3"/>
  <x:c r="L240" i="3"/>
  <x:c r="H236" i="3"/>
  <x:c r="K231" i="3"/>
  <x:c r="G227" i="3"/>
  <x:c r="J222" i="3"/>
  <x:c r="F218" i="3"/>
  <x:c r="I213" i="3"/>
  <x:c r="L208" i="3"/>
  <x:c r="G203" i="3"/>
  <x:c r="I517" i="3"/>
  <x:c r="G475" i="3"/>
  <x:c r="P441" i="3"/>
  <x:c r="N425" i="3"/>
  <x:c r="F412" i="3"/>
  <x:c r="J401" i="3"/>
  <x:c r="J393" i="3"/>
  <x:c r="J385" i="3"/>
  <x:c r="J377" i="3"/>
  <x:c r="J369" i="3"/>
  <x:c r="I360" i="3"/>
  <x:c r="I352" i="3"/>
  <x:c r="I344" i="3"/>
  <x:c r="I336" i="3"/>
  <x:c r="I328" i="3"/>
  <x:c r="H319" i="3"/>
  <x:c r="K313" i="3"/>
  <x:c r="G309" i="3"/>
  <x:c r="J304" i="3"/>
  <x:c r="F300" i="3"/>
  <x:c r="I295" i="3"/>
  <x:c r="L290" i="3"/>
  <x:c r="H286" i="3"/>
  <x:c r="K281" i="3"/>
  <x:c r="G277" i="3"/>
  <x:c r="J272" i="3"/>
  <x:c r="F268" i="3"/>
  <x:c r="H262" i="3"/>
  <x:c r="K257" i="3"/>
  <x:c r="G253" i="3"/>
  <x:c r="J248" i="3"/>
  <x:c r="F244" i="3"/>
  <x:c r="I239" i="3"/>
  <x:c r="L234" i="3"/>
  <x:c r="H230" i="3"/>
  <x:c r="K225" i="3"/>
  <x:c r="G221" i="3"/>
  <x:c r="J216" i="3"/>
  <x:c r="F212" i="3"/>
  <x:c r="I207" i="3"/>
  <x:c r="K201" i="3"/>
  <x:c r="J579" i="3"/>
  <x:c r="G495" i="3"/>
  <x:c r="G463" i="3"/>
  <x:c r="K439" i="3"/>
  <x:c r="Q421" i="3"/>
  <x:c r="P406" i="3"/>
  <x:c r="H396" i="3"/>
  <x:c r="F386" i="3"/>
  <x:c r="G374" i="3"/>
  <x:c r="G363" i="3"/>
  <x:c r="F353" i="3"/>
  <x:c r="G341" i="3"/>
  <x:c r="G331" i="3"/>
  <x:c r="F321" i="3"/>
  <x:c r="J313" i="3"/>
  <x:c r="F309" i="3"/>
  <x:c r="I304" i="3"/>
  <x:c r="L299" i="3"/>
  <x:c r="H295" i="3"/>
  <x:c r="K290" i="3"/>
  <x:c r="G286" i="3"/>
  <x:c r="J281" i="3"/>
  <x:c r="F277" i="3"/>
  <x:c r="I272" i="3"/>
  <x:c r="L267" i="3"/>
  <x:c r="G262" i="3"/>
  <x:c r="J257" i="3"/>
  <x:c r="F253" i="3"/>
  <x:c r="I248" i="3"/>
  <x:c r="L243" i="3"/>
  <x:c r="H239" i="3"/>
  <x:c r="K234" i="3"/>
  <x:c r="G230" i="3"/>
  <x:c r="J225" i="3"/>
  <x:c r="F221" i="3"/>
  <x:c r="I216" i="3"/>
  <x:c r="L211" i="3"/>
  <x:c r="H207" i="3"/>
  <x:c r="J201" i="3"/>
  <x:c r="S519" i="3"/>
  <x:c r="I474" i="3"/>
  <x:c r="G443" i="3"/>
  <x:c r="P419" i="3"/>
  <x:c r="I405" i="3"/>
  <x:c r="F389" i="3"/>
  <x:c r="F373" i="3"/>
  <x:c r="F356" i="3"/>
  <x:c r="F340" i="3"/>
  <x:c r="S319" i="3"/>
  <x:c r="J314" i="3"/>
  <x:c r="F310" i="3"/>
  <x:c r="I305" i="3"/>
  <x:c r="L300" i="3"/>
  <x:c r="H296" i="3"/>
  <x:c r="K291" i="3"/>
  <x:c r="G287" i="3"/>
  <x:c r="J282" i="3"/>
  <x:c r="F278" i="3"/>
  <x:c r="I273" i="3"/>
  <x:c r="L268" i="3"/>
  <x:c r="G263" i="3"/>
  <x:c r="J258" i="3"/>
  <x:c r="F254" i="3"/>
  <x:c r="I249" i="3"/>
  <x:c r="M558" i="3"/>
  <x:c r="G506" i="3"/>
  <x:c r="G471" i="3"/>
  <x:c r="S438" i="3"/>
  <x:c r="S415" i="3"/>
  <x:c r="S401" i="3"/>
  <x:c r="Q391" i="3"/>
  <x:c r="R381" i="3"/>
  <x:c r="S369" i="3"/>
  <x:c r="R358" i="3"/>
  <x:c r="S346" i="3"/>
  <x:c r="R336" i="3"/>
  <x:c r="R325" i="3"/>
  <x:c r="R315" i="3"/>
  <x:c r="N311" i="3"/>
  <x:c r="Q306" i="3"/>
  <x:c r="M302" i="3"/>
  <x:c r="P297" i="3"/>
  <x:c r="S292" i="3"/>
  <x:c r="O288" i="3"/>
  <x:c r="R283" i="3"/>
  <x:c r="N279" i="3"/>
  <x:c r="Q274" i="3"/>
  <x:c r="M270" i="3"/>
  <x:c r="O264" i="3"/>
  <x:c r="R259" i="3"/>
  <x:c r="N255" i="3"/>
  <x:c r="Q250" i="3"/>
  <x:c r="M246" i="3"/>
  <x:c r="P241" i="3"/>
  <x:c r="S236" i="3"/>
  <x:c r="O232" i="3"/>
  <x:c r="R227" i="3"/>
  <x:c r="N223" i="3"/>
  <x:c r="Q218" i="3"/>
  <x:c r="M214" i="3"/>
  <x:c r="P209" i="3"/>
  <x:c r="K204" i="3"/>
  <x:c r="G200" i="3"/>
  <x:c r="S524" i="3"/>
  <x:c r="I485" i="3"/>
  <x:c r="M453" i="3"/>
  <x:c r="G435" i="3"/>
  <x:c r="G419" i="3"/>
  <x:c r="Q404" i="3"/>
  <x:c r="P396" i="3"/>
  <x:c r="P388" i="3"/>
  <x:c r="P380" i="3"/>
  <x:c r="P372" i="3"/>
  <x:c r="O363" i="3"/>
  <x:c r="O355" i="3"/>
  <x:c r="O347" i="3"/>
  <x:c r="O339" i="3"/>
  <x:c r="O331" i="3"/>
  <x:c r="N322" i="3"/>
  <x:c r="P315" i="3"/>
  <x:c r="S310" i="3"/>
  <x:c r="O306" i="3"/>
  <x:c r="R301" i="3"/>
  <x:c r="N297" i="3"/>
  <x:c r="Q292" i="3"/>
  <x:c r="M288" i="3"/>
  <x:c r="P283" i="3"/>
  <x:c r="S278" i="3"/>
  <x:c r="O274" i="3"/>
  <x:c r="R269" i="3"/>
  <x:c r="M264" i="3"/>
  <x:c r="P259" i="3"/>
  <x:c r="S254" i="3"/>
  <x:c r="O250" i="3"/>
  <x:c r="R245" i="3"/>
  <x:c r="N241" i="3"/>
  <x:c r="Q236" i="3"/>
  <x:c r="M232" i="3"/>
  <x:c r="P227" i="3"/>
  <x:c r="S222" i="3"/>
  <x:c r="O218" i="3"/>
  <x:c r="R213" i="3"/>
  <x:c r="N209" i="3"/>
  <x:c r="P203" i="3"/>
  <x:c r="I493" i="3"/>
  <x:c r="P403" i="3"/>
  <x:c r="P371" i="3"/>
  <x:c r="P339" i="3"/>
  <x:c r="N312" i="3"/>
  <x:c r="N296" i="3"/>
  <x:c r="N280" i="3"/>
  <x:c r="N264" i="3"/>
  <x:c r="N248" i="3"/>
  <x:c r="M237" i="3"/>
  <x:c r="P224" i="3"/>
  <x:c r="H213" i="3"/>
  <x:c r="K200" i="3"/>
  <x:c r="K195" i="3"/>
  <x:c r="G191" i="3"/>
  <x:c r="J186" i="3"/>
  <x:c r="F182" i="3"/>
  <x:c r="I177" i="3"/>
  <x:c r="L172" i="3"/>
  <x:c r="H168" i="3"/>
  <x:c r="K163" i="3"/>
  <x:c r="G159" i="3"/>
  <x:c r="J154" i="3"/>
  <x:c r="F150" i="3"/>
  <x:c r="I145" i="3"/>
  <x:c r="L140" i="3"/>
  <x:c r="H136" i="3"/>
  <x:c r="K131" i="3"/>
  <x:c r="G127" i="3"/>
  <x:c r="J122" i="3"/>
  <x:c r="F118" i="3"/>
  <x:c r="I113" i="3"/>
  <x:c r="L108" i="3"/>
  <x:c r="H104" i="3"/>
  <x:c r="K99" i="3"/>
  <x:c r="F94" i="3"/>
  <x:c r="I89" i="3"/>
  <x:c r="L84" i="3"/>
  <x:c r="H80" i="3"/>
  <x:c r="K75" i="3"/>
  <x:c r="F70" i="3"/>
  <x:c r="I65" i="3"/>
  <x:c r="F503" i="3"/>
  <x:c r="N426" i="3"/>
  <x:c r="L387" i="3"/>
  <x:c r="L355" i="3"/>
  <x:c r="L323" i="3"/>
  <x:c r="M303" i="3"/>
  <x:c r="M287" i="3"/>
  <x:c r="M271" i="3"/>
  <x:c r="M255" i="3"/>
  <x:c r="N238" i="3"/>
  <x:c r="Q225" i="3"/>
  <x:c r="I214" i="3"/>
  <x:c r="N199" i="3"/>
  <x:c r="Q194" i="3"/>
  <x:c r="M190" i="3"/>
  <x:c r="P185" i="3"/>
  <x:c r="S180" i="3"/>
  <x:c r="O176" i="3"/>
  <x:c r="R171" i="3"/>
  <x:c r="N167" i="3"/>
  <x:c r="Q162" i="3"/>
  <x:c r="M158" i="3"/>
  <x:c r="P153" i="3"/>
  <x:c r="S148" i="3"/>
  <x:c r="O144" i="3"/>
  <x:c r="R139" i="3"/>
  <x:c r="N135" i="3"/>
  <x:c r="Q130" i="3"/>
  <x:c r="M126" i="3"/>
  <x:c r="P121" i="3"/>
  <x:c r="S116" i="3"/>
  <x:c r="O112" i="3"/>
  <x:c r="R107" i="3"/>
  <x:c r="N103" i="3"/>
  <x:c r="Q98" i="3"/>
  <x:c r="S92" i="3"/>
  <x:c r="O88" i="3"/>
  <x:c r="R83" i="3"/>
  <x:c r="N79" i="3"/>
  <x:c r="P73" i="3"/>
  <x:c r="S68" i="3"/>
  <x:c r="O64" i="3"/>
  <x:c r="R438" i="3"/>
  <x:c r="J384" i="3"/>
  <x:c r="Q349" i="3"/>
  <x:c r="R317" i="3"/>
  <x:c r="F296" i="3"/>
  <x:c r="O276" i="3"/>
  <x:c r="K253" i="3"/>
  <x:c r="L238" i="3"/>
  <x:c r="G228" i="3"/>
  <x:c r="M215" i="3"/>
  <x:c r="P202" i="3"/>
  <x:c r="J196" i="3"/>
  <x:c r="F192" i="3"/>
  <x:c r="I187" i="3"/>
  <x:c r="L182" i="3"/>
  <x:c r="H178" i="3"/>
  <x:c r="P552" i="3"/>
  <x:c r="G458" i="3"/>
  <x:c r="O394" i="3"/>
  <x:c r="J357" i="3"/>
  <x:c r="J325" i="3"/>
  <x:c r="H301" i="3"/>
  <x:c r="O281" i="3"/>
  <x:c r="S256" i="3"/>
  <x:c r="O239" i="3"/>
  <x:c r="L225" i="3"/>
  <x:c r="O212" i="3"/>
  <x:c r="G201" i="3"/>
  <x:c r="P195" i="3"/>
  <x:c r="S190" i="3"/>
  <x:c r="O186" i="3"/>
  <x:c r="R181" i="3"/>
  <x:c r="N177" i="3"/>
  <x:c r="Q172" i="3"/>
  <x:c r="M168" i="3"/>
  <x:c r="P163" i="3"/>
  <x:c r="S158" i="3"/>
  <x:c r="O154" i="3"/>
  <x:c r="R149" i="3"/>
  <x:c r="N145" i="3"/>
  <x:c r="Q140" i="3"/>
  <x:c r="M136" i="3"/>
  <x:c r="P131" i="3"/>
  <x:c r="S126" i="3"/>
  <x:c r="O122" i="3"/>
  <x:c r="R117" i="3"/>
  <x:c r="N113" i="3"/>
  <x:c r="Q108" i="3"/>
  <x:c r="M104" i="3"/>
  <x:c r="P99" i="3"/>
  <x:c r="R93" i="3"/>
  <x:c r="N89" i="3"/>
  <x:c r="Q84" i="3"/>
  <x:c r="M80" i="3"/>
  <x:c r="H412" i="3"/>
  <x:c r="P383" i="3"/>
  <x:c r="P351" i="3"/>
  <x:c r="G317" i="3"/>
  <x:c r="Q302" i="3"/>
  <x:c r="Q286" i="3"/>
  <x:c r="Q270" i="3"/>
  <x:c r="I251" i="3"/>
  <x:c r="F238" i="3"/>
  <x:c r="P226" i="3"/>
  <x:c r="G215" i="3"/>
  <x:c r="N203" i="3"/>
  <x:c r="P196" i="3"/>
  <x:c r="S191" i="3"/>
  <x:c r="O187" i="3"/>
  <x:c r="R182" i="3"/>
  <x:c r="N178" i="3"/>
  <x:c r="Q173" i="3"/>
  <x:c r="M169" i="3"/>
  <x:c r="P164" i="3"/>
  <x:c r="S159" i="3"/>
  <x:c r="O155" i="3"/>
  <x:c r="R150" i="3"/>
  <x:c r="N146" i="3"/>
  <x:c r="Q141" i="3"/>
  <x:c r="M137" i="3"/>
  <x:c r="P132" i="3"/>
  <x:c r="S127" i="3"/>
  <x:c r="O123" i="3"/>
  <x:c r="R118" i="3"/>
  <x:c r="N114" i="3"/>
  <x:c r="Q109" i="3"/>
  <x:c r="M105" i="3"/>
  <x:c r="P100" i="3"/>
  <x:c r="K95" i="3"/>
  <x:c r="G91" i="3"/>
  <x:c r="J86" i="3"/>
  <x:c r="F82" i="3"/>
  <x:c r="I77" i="3"/>
  <x:c r="K71" i="3"/>
  <x:c r="G67" i="3"/>
  <x:c r="K451" i="3"/>
  <x:c r="Q388" i="3"/>
  <x:c r="Q356" i="3"/>
  <x:c r="I319" i="3"/>
  <x:c r="R300" i="3"/>
  <x:c r="R284" i="3"/>
  <x:c r="R268" i="3"/>
  <x:c r="F251" i="3"/>
  <x:c r="J239" i="3"/>
  <x:c r="M226" i="3"/>
  <x:c r="J212" i="3"/>
  <x:c r="S200" i="3"/>
  <x:c r="G196" i="3"/>
  <x:c r="P837" i="3"/>
  <x:c r="N731" i="3"/>
  <x:c r="I700" i="3"/>
  <x:c r="S657" i="3"/>
  <x:c r="H783" i="3"/>
  <x:c r="I732" i="3"/>
  <x:c r="M685" i="3"/>
  <x:c r="R666" i="3"/>
  <x:c r="O647" i="3"/>
  <x:c r="N721" i="3"/>
  <x:c r="R695" i="3"/>
  <x:c r="Q682" i="3"/>
  <x:c r="I674" i="3"/>
  <x:c r="S668" i="3"/>
  <x:c r="N663" i="3"/>
  <x:c r="Q658" i="3"/>
  <x:c r="M654" i="3"/>
  <x:c r="P649" i="3"/>
  <x:c r="S644" i="3"/>
  <x:c r="N639" i="3"/>
  <x:c r="Q634" i="3"/>
  <x:c r="M630" i="3"/>
  <x:c r="P625" i="3"/>
  <x:c r="P843" i="3"/>
  <x:c r="S785" i="3"/>
  <x:c r="S737" i="3"/>
  <x:c r="M721" i="3"/>
  <x:c r="R704" i="3"/>
  <x:c r="Q693" i="3"/>
  <x:c r="S685" i="3"/>
  <x:c r="O681" i="3"/>
  <x:c r="R676" i="3"/>
  <x:c r="N672" i="3"/>
  <x:c r="Q667" i="3"/>
  <x:c r="S661" i="3"/>
  <x:c r="O657" i="3"/>
  <x:c r="R652" i="3"/>
  <x:c r="N648" i="3"/>
  <x:c r="Q643" i="3"/>
  <x:c r="S637" i="3"/>
  <x:c r="O633" i="3"/>
  <x:c r="R628" i="3"/>
  <x:c r="N624" i="3"/>
  <x:c r="F772" i="3"/>
  <x:c r="R734" i="3"/>
  <x:c r="H715" i="3"/>
  <x:c r="K704" i="3"/>
  <x:c r="J695" i="3"/>
  <x:c r="K688" i="3"/>
  <x:c r="G684" i="3"/>
  <x:c r="J679" i="3"/>
  <x:c r="F675" i="3"/>
  <x:c r="I670" i="3"/>
  <x:c r="S664" i="3"/>
  <x:c r="O660" i="3"/>
  <x:c r="R655" i="3"/>
  <x:c r="N651" i="3"/>
  <x:c r="Q646" i="3"/>
  <x:c r="M642" i="3"/>
  <x:c r="H637" i="3"/>
  <x:c r="K632" i="3"/>
  <x:c r="G628" i="3"/>
  <x:c r="N706" i="3"/>
  <x:c r="F682" i="3"/>
  <x:c r="K670" i="3"/>
  <x:c r="R653" i="3"/>
  <x:c r="K642" i="3"/>
  <x:c r="M632" i="3"/>
  <x:c r="Q624" i="3"/>
  <x:c r="P619" i="3"/>
  <x:c r="R613" i="3"/>
  <x:c r="N609" i="3"/>
  <x:c r="Q604" i="3"/>
  <x:c r="M600" i="3"/>
  <x:c r="P595" i="3"/>
  <x:c r="S590" i="3"/>
  <x:c r="M584" i="3"/>
  <x:c r="P579" i="3"/>
  <x:c r="S574" i="3"/>
  <x:c r="O570" i="3"/>
  <x:c r="Q564" i="3"/>
  <x:c r="M560" i="3"/>
  <x:c r="P555" i="3"/>
  <x:c r="R549" i="3"/>
  <x:c r="N545" i="3"/>
  <x:c r="P692" i="3"/>
  <x:c r="G674" i="3"/>
  <x:c r="J661" i="3"/>
  <x:c r="G651" i="3"/>
  <x:c r="M637" i="3"/>
  <x:c r="M629" i="3"/>
  <x:c r="Q621" i="3"/>
  <x:c r="M617" i="3"/>
  <x:c r="O611" i="3"/>
  <x:c r="R606" i="3"/>
  <x:c r="N602" i="3"/>
  <x:c r="Q597" i="3"/>
  <x:c r="M593" i="3"/>
  <x:c r="N586" i="3"/>
  <x:c r="Q581" i="3"/>
  <x:c r="M577" i="3"/>
  <x:c r="P572" i="3"/>
  <x:c r="S567" i="3"/>
  <x:c r="N562" i="3"/>
  <x:c r="Q557" i="3"/>
  <x:c r="S551" i="3"/>
  <x:c r="S801" i="3"/>
  <x:c r="F714" i="3"/>
  <x:c r="R685" i="3"/>
  <x:c r="Q672" i="3"/>
  <x:c r="O658" i="3"/>
  <x:c r="P644" i="3"/>
  <x:c r="H635" i="3"/>
  <x:c r="F721" i="3"/>
  <x:c r="J685" i="3"/>
  <x:c r="R669" i="3"/>
  <x:c r="K658" i="3"/>
  <x:c r="N645" i="3"/>
  <x:c r="F629" i="3"/>
  <x:c r="F621" i="3"/>
  <x:c r="I616" i="3"/>
  <x:c r="K610" i="3"/>
  <x:c r="G606" i="3"/>
  <x:c r="J601" i="3"/>
  <x:c r="F597" i="3"/>
  <x:c r="I592" i="3"/>
  <x:c r="R585" i="3"/>
  <x:c r="N581" i="3"/>
  <x:c r="Q576" i="3"/>
  <x:c r="M572" i="3"/>
  <x:c r="P567" i="3"/>
  <x:c r="R561" i="3"/>
  <x:c r="N557" i="3"/>
  <x:c r="P551" i="3"/>
  <x:c r="S546" i="3"/>
  <x:c r="I724" i="3"/>
  <x:c r="K686" i="3"/>
  <x:c r="N674" i="3"/>
  <x:c r="S662" i="3"/>
  <x:c r="G650" i="3"/>
  <x:c r="Q637" i="3"/>
  <x:c r="Q629" i="3"/>
  <x:c r="S621" i="3"/>
  <x:c r="O617" i="3"/>
  <x:c r="J612" i="3"/>
  <x:c r="F608" i="3"/>
  <x:c r="I603" i="3"/>
  <x:c r="L598" i="3"/>
  <x:c r="H594" i="3"/>
  <x:c r="I587" i="3"/>
  <x:c r="L582" i="3"/>
  <x:c r="H578" i="3"/>
  <x:c r="K573" i="3"/>
  <x:c r="G569" i="3"/>
  <x:c r="Q563" i="3"/>
  <x:c r="O699" i="3"/>
  <x:c r="M664" i="3"/>
  <x:c r="H644" i="3"/>
  <x:c r="S616" i="3"/>
  <x:c r="F599" i="3"/>
  <x:c r="F583" i="3"/>
  <x:c r="S682" i="3"/>
  <x:c r="J653" i="3"/>
  <x:c r="J629" i="3"/>
  <x:c r="P617" i="3"/>
  <x:c r="P608" i="3"/>
  <x:c r="P600" i="3"/>
  <x:c r="P592" i="3"/>
  <x:c r="Q582" i="3"/>
  <x:c r="Q574" i="3"/>
  <x:c r="P565" i="3"/>
  <x:c r="L558" i="3"/>
  <x:c r="F551" i="3"/>
  <x:c r="S544" i="3"/>
  <x:c r="O540" i="3"/>
  <x:c r="R535" i="3"/>
  <x:c r="N531" i="3"/>
  <x:c r="Q526" i="3"/>
  <x:c r="M522" i="3"/>
  <x:c r="P517" i="3"/>
  <x:c r="S512" i="3"/>
  <x:c r="O508" i="3"/>
  <x:c r="R503" i="3"/>
  <x:c r="S496" i="3"/>
  <x:c r="O492" i="3"/>
  <x:c r="R487" i="3"/>
  <x:c r="N483" i="3"/>
  <x:c r="Q478" i="3"/>
  <x:c r="M474" i="3"/>
  <x:c r="P469" i="3"/>
  <x:c r="S464" i="3"/>
  <x:c r="O460" i="3"/>
  <x:c r="R455" i="3"/>
  <x:c r="M688" i="3"/>
  <x:c r="G658" i="3"/>
  <x:c r="I629" i="3"/>
  <x:c r="M618" i="3"/>
  <x:c r="L609" i="3"/>
  <x:c r="L601" i="3"/>
  <x:c r="L593" i="3"/>
  <x:c r="O583" i="3"/>
  <x:c r="O575" i="3"/>
  <x:c r="O567" i="3"/>
  <x:c r="I558" i="3"/>
  <x:c r="H549" i="3"/>
  <x:c r="I543" i="3"/>
  <x:c r="L538" i="3"/>
  <x:c r="H534" i="3"/>
  <x:c r="K529" i="3"/>
  <x:c r="G525" i="3"/>
  <x:c r="J520" i="3"/>
  <x:c r="F516" i="3"/>
  <x:c r="I511" i="3"/>
  <x:c r="L506" i="3"/>
  <x:c r="H502" i="3"/>
  <x:c r="I495" i="3"/>
  <x:c r="L490" i="3"/>
  <x:c r="H486" i="3"/>
  <x:c r="K481" i="3"/>
  <x:c r="G477" i="3"/>
  <x:c r="J472" i="3"/>
  <x:c r="F468" i="3"/>
  <x:c r="I463" i="3"/>
  <x:c r="L458" i="3"/>
  <x:c r="H454" i="3"/>
  <x:c r="K449" i="3"/>
  <x:c r="G445" i="3"/>
  <x:c r="S679" i="3"/>
  <x:c r="K650" i="3"/>
  <x:c r="L625" i="3"/>
  <x:c r="N615" i="3"/>
  <x:c r="N606" i="3"/>
  <x:c r="N598" i="3"/>
  <x:c r="N590" i="3"/>
  <x:c r="L580" i="3"/>
  <x:c r="L572" i="3"/>
  <x:c r="M563" i="3"/>
  <x:c r="L556" i="3"/>
  <x:c r="N547" i="3"/>
  <x:c r="O542" i="3"/>
  <x:c r="R537" i="3"/>
  <x:c r="N533" i="3"/>
  <x:c r="Q528" i="3"/>
  <x:c r="M524" i="3"/>
  <x:c r="P519" i="3"/>
  <x:c r="S514" i="3"/>
  <x:c r="O510" i="3"/>
  <x:c r="R505" i="3"/>
  <x:c r="L499" i="3"/>
  <x:c r="H495" i="3"/>
  <x:c r="K490" i="3"/>
  <x:c r="G486" i="3"/>
  <x:c r="J481" i="3"/>
  <x:c r="F477" i="3"/>
  <x:c r="I472" i="3"/>
  <x:c r="L467" i="3"/>
  <x:c r="H463" i="3"/>
  <x:c r="K458" i="3"/>
  <x:c r="G454" i="3"/>
  <x:c r="J449" i="3"/>
  <x:c r="F445" i="3"/>
  <x:c r="J733" i="3"/>
  <x:c r="I677" i="3"/>
  <x:c r="H639" i="3"/>
  <x:c r="L621" i="3"/>
  <x:c r="K612" i="3"/>
  <x:c r="K604" i="3"/>
  <x:c r="K596" i="3"/>
  <x:c r="J586" i="3"/>
  <x:c r="J578" i="3"/>
  <x:c r="J570" i="3"/>
  <x:c r="I561" i="3"/>
  <x:c r="G553" i="3"/>
  <x:c r="F546" i="3"/>
  <x:c r="M541" i="3"/>
  <x:c r="P536" i="3"/>
  <x:c r="S531" i="3"/>
  <x:c r="O527" i="3"/>
  <x:c r="R522" i="3"/>
  <x:c r="N518" i="3"/>
  <x:c r="Q513" i="3"/>
  <x:c r="M509" i="3"/>
  <x:c r="J681" i="3"/>
  <x:c r="P651" i="3"/>
  <x:c r="G630" i="3"/>
  <x:c r="G616" i="3"/>
  <x:c r="G605" i="3"/>
  <x:c r="F595" i="3"/>
  <x:c r="G581" i="3"/>
  <x:c r="F571" i="3"/>
  <x:c r="N559" i="3"/>
  <x:c r="J551" i="3"/>
  <x:c r="N544" i="3"/>
  <x:c r="Q539" i="3"/>
  <x:c r="M535" i="3"/>
  <x:c r="P530" i="3"/>
  <x:c r="S525" i="3"/>
  <x:c r="O521" i="3"/>
  <x:c r="R516" i="3"/>
  <x:c r="N512" i="3"/>
  <x:c r="Q507" i="3"/>
  <x:c r="M503" i="3"/>
  <x:c r="N496" i="3"/>
  <x:c r="Q491" i="3"/>
  <x:c r="M487" i="3"/>
  <x:c r="P482" i="3"/>
  <x:c r="S477" i="3"/>
  <x:c r="O473" i="3"/>
  <x:c r="R468" i="3"/>
  <x:c r="N464" i="3"/>
  <x:c r="Q459" i="3"/>
  <x:c r="M455" i="3"/>
  <x:c r="G626" i="3"/>
  <x:c r="H593" i="3"/>
  <x:c r="J571" i="3"/>
  <x:c r="N543" i="3"/>
  <x:c r="P529" i="3"/>
  <x:c r="Q516" i="3"/>
  <x:c r="S503" i="3"/>
  <x:c r="R491" i="3"/>
  <x:c r="S479" i="3"/>
  <x:c r="R469" i="3"/>
  <x:c r="R459" i="3"/>
  <x:c r="H451" i="3"/>
  <x:c r="R444" i="3"/>
  <x:c r="Q439" i="3"/>
  <x:c r="M435" i="3"/>
  <x:c r="P430" i="3"/>
  <x:c r="R424" i="3"/>
  <x:c r="N420" i="3"/>
  <x:c r="Q415" i="3"/>
  <x:c r="H616" i="3"/>
  <x:c r="H576" i="3"/>
  <x:c r="F548" i="3"/>
  <x:c r="S535" i="3"/>
  <x:c r="I524" i="3"/>
  <x:c r="L511" i="3"/>
  <x:c r="R502" i="3"/>
  <x:c r="P492" i="3"/>
  <x:c r="P484" i="3"/>
  <x:c r="P476" i="3"/>
  <x:c r="P468" i="3"/>
  <x:c r="P460" i="3"/>
  <x:c r="K452" i="3"/>
  <x:c r="S446" i="3"/>
  <x:c r="L441" i="3"/>
  <x:c r="F437" i="3"/>
  <x:c r="I432" i="3"/>
  <x:c r="S426" i="3"/>
  <x:c r="O422" i="3"/>
  <x:c r="R417" i="3"/>
  <x:c r="N413" i="3"/>
  <x:c r="Q408" i="3"/>
  <x:c r="M404" i="3"/>
  <x:c r="S612" i="3"/>
  <x:c r="H573" i="3"/>
  <x:c r="M551" i="3"/>
  <x:c r="F537" i="3"/>
  <x:c r="H524" i="3"/>
  <x:c r="K511" i="3"/>
  <x:c r="O499" i="3"/>
  <x:c r="O491" i="3"/>
  <x:c r="O483" i="3"/>
  <x:c r="O475" i="3"/>
  <x:c r="O467" i="3"/>
  <x:c r="O459" i="3"/>
  <x:c r="P451" i="3"/>
  <x:c r="K445" i="3"/>
  <x:c r="O439" i="3"/>
  <x:c r="R434" i="3"/>
  <x:c r="N430" i="3"/>
  <x:c r="I425" i="3"/>
  <x:c r="L420" i="3"/>
  <x:c r="H416" i="3"/>
  <x:c r="K411" i="3"/>
  <x:c r="G407" i="3"/>
  <x:c r="J402" i="3"/>
  <x:c r="F398" i="3"/>
  <x:c r="I393" i="3"/>
  <x:c r="L388" i="3"/>
  <x:c r="H384" i="3"/>
  <x:c r="K379" i="3"/>
  <x:c r="G375" i="3"/>
  <x:c r="J370" i="3"/>
  <x:c r="F366" i="3"/>
  <x:c r="P360" i="3"/>
  <x:c r="S355" i="3"/>
  <x:c r="O351" i="3"/>
  <x:c r="R346" i="3"/>
  <x:c r="N342" i="3"/>
  <x:c r="Q337" i="3"/>
  <x:c r="M333" i="3"/>
  <x:c r="P328" i="3"/>
  <x:c r="R322" i="3"/>
  <x:c r="N318" i="3"/>
  <x:c r="S603" i="3"/>
  <x:c r="H568" i="3"/>
  <x:c r="M544" i="3"/>
  <x:c r="S532" i="3"/>
  <x:c r="N521" i="3"/>
  <x:c r="R509" i="3"/>
  <x:c r="K499" i="3"/>
  <x:c r="K491" i="3"/>
  <x:c r="K483" i="3"/>
  <x:c r="K475" i="3"/>
  <x:c r="K467" i="3"/>
  <x:c r="K459" i="3"/>
  <x:c r="I452" i="3"/>
  <x:c r="J445" i="3"/>
  <x:c r="N439" i="3"/>
  <x:c r="Q434" i="3"/>
  <x:c r="M430" i="3"/>
  <x:c r="O424" i="3"/>
  <x:c r="R419" i="3"/>
  <x:c r="N415" i="3"/>
  <x:c r="Q410" i="3"/>
  <x:c r="M406" i="3"/>
  <x:c r="P401" i="3"/>
  <x:c r="S396" i="3"/>
  <x:c r="O392" i="3"/>
  <x:c r="R387" i="3"/>
  <x:c r="N383" i="3"/>
  <x:c r="Q378" i="3"/>
  <x:c r="M374" i="3"/>
  <x:c r="P369" i="3"/>
  <x:c r="K364" i="3"/>
  <x:c r="G360" i="3"/>
  <x:c r="J355" i="3"/>
  <x:c r="F351" i="3"/>
  <x:c r="I346" i="3"/>
  <x:c r="L341" i="3"/>
  <x:c r="H337" i="3"/>
  <x:c r="K332" i="3"/>
  <x:c r="G328" i="3"/>
  <x:c r="I322" i="3"/>
  <x:c r="L317" i="3"/>
  <x:c r="L624" i="3"/>
  <x:c r="R594" i="3"/>
  <x:c r="Q558" i="3"/>
  <x:c r="H539" i="3"/>
  <x:c r="N527" i="3"/>
  <x:c r="P513" i="3"/>
  <x:c r="K503" i="3"/>
  <x:c r="J493" i="3"/>
  <x:c r="J485" i="3"/>
  <x:c r="J477" i="3"/>
  <x:c r="J469" i="3"/>
  <x:c r="J461" i="3"/>
  <x:c r="P453" i="3"/>
  <x:c r="F448" i="3"/>
  <x:c r="N442" i="3"/>
  <x:c r="K437" i="3"/>
  <x:c r="G433" i="3"/>
  <x:c r="I427" i="3"/>
  <x:c r="L422" i="3"/>
  <x:c r="H418" i="3"/>
  <x:c r="K413" i="3"/>
  <x:c r="G409" i="3"/>
  <x:c r="J404" i="3"/>
  <x:c r="F400" i="3"/>
  <x:c r="I395" i="3"/>
  <x:c r="L390" i="3"/>
  <x:c r="H386" i="3"/>
  <x:c r="K381" i="3"/>
  <x:c r="G377" i="3"/>
  <x:c r="J372" i="3"/>
  <x:c r="F368" i="3"/>
  <x:c r="H362" i="3"/>
  <x:c r="K357" i="3"/>
  <x:c r="G353" i="3"/>
  <x:c r="J348" i="3"/>
  <x:c r="F344" i="3"/>
  <x:c r="I339" i="3"/>
  <x:c r="L334" i="3"/>
  <x:c r="H330" i="3"/>
  <x:c r="R324" i="3"/>
  <x:c r="N320" i="3"/>
  <x:c r="G819" i="3"/>
  <x:c r="Q617" i="3"/>
  <x:c r="F575" i="3"/>
  <x:c r="R552" i="3"/>
  <x:c r="M536" i="3"/>
  <x:c r="S619" i="3"/>
  <x:c r="I574" i="3"/>
  <x:c r="L550" i="3"/>
  <x:c r="N537" i="3"/>
  <x:c r="R525" i="3"/>
  <x:c r="N514" i="3"/>
  <x:c r="F498" i="3"/>
  <x:c r="F482" i="3"/>
  <x:c r="F466" i="3"/>
  <x:c r="O452" i="3"/>
  <x:c r="K446" i="3"/>
  <x:c r="K440" i="3"/>
  <x:c r="G436" i="3"/>
  <x:c r="J431" i="3"/>
  <x:c r="L425" i="3"/>
  <x:c r="H421" i="3"/>
  <x:c r="K416" i="3"/>
  <x:c r="G412" i="3"/>
  <x:c r="J407" i="3"/>
  <x:c r="F403" i="3"/>
  <x:c r="I398" i="3"/>
  <x:c r="L393" i="3"/>
  <x:c r="H389" i="3"/>
  <x:c r="K384" i="3"/>
  <x:c r="G380" i="3"/>
  <x:c r="J375" i="3"/>
  <x:c r="F371" i="3"/>
  <x:c r="I366" i="3"/>
  <x:c r="K360" i="3"/>
  <x:c r="G356" i="3"/>
  <x:c r="J351" i="3"/>
  <x:c r="F347" i="3"/>
  <x:c r="I342" i="3"/>
  <x:c r="L337" i="3"/>
  <x:c r="H333" i="3"/>
  <x:c r="K328" i="3"/>
  <x:c r="F323" i="3"/>
  <x:c r="L696" i="3"/>
  <x:c r="H505" i="3"/>
  <x:c r="G467" i="3"/>
  <x:c r="P436" i="3"/>
  <x:c r="O413" i="3"/>
  <x:c r="L402" i="3"/>
  <x:c r="L394" i="3"/>
  <x:c r="L386" i="3"/>
  <x:c r="L378" i="3"/>
  <x:c r="L370" i="3"/>
  <x:c r="M361" i="3"/>
  <x:c r="M353" i="3"/>
  <x:c r="M345" i="3"/>
  <x:c r="M337" i="3"/>
  <x:c r="M329" i="3"/>
  <x:c r="L320" i="3"/>
  <x:c r="F314" i="3"/>
  <x:c r="I309" i="3"/>
  <x:c r="L304" i="3"/>
  <x:c r="H300" i="3"/>
  <x:c r="K295" i="3"/>
  <x:c r="G291" i="3"/>
  <x:c r="J286" i="3"/>
  <x:c r="F282" i="3"/>
  <x:c r="I277" i="3"/>
  <x:c r="L272" i="3"/>
  <x:c r="H268" i="3"/>
  <x:c r="R262" i="3"/>
  <x:c r="N258" i="3"/>
  <x:c r="Q253" i="3"/>
  <x:c r="M249" i="3"/>
  <x:c r="P244" i="3"/>
  <x:c r="S239" i="3"/>
  <x:c r="O235" i="3"/>
  <x:c r="R230" i="3"/>
  <x:c r="N226" i="3"/>
  <x:c r="Q221" i="3"/>
  <x:c r="M217" i="3"/>
  <x:c r="P212" i="3"/>
  <x:c r="S207" i="3"/>
  <x:c r="N202" i="3"/>
  <x:c r="N513" i="3"/>
  <x:c r="H472" i="3"/>
  <x:c r="L439" i="3"/>
  <x:c r="L423" i="3"/>
  <x:c r="O410" i="3"/>
  <x:c r="I400" i="3"/>
  <x:c r="I392" i="3"/>
  <x:c r="I384" i="3"/>
  <x:c r="I376" i="3"/>
  <x:c r="I368" i="3"/>
  <x:c r="H359" i="3"/>
  <x:c r="H351" i="3"/>
  <x:c r="H343" i="3"/>
  <x:c r="H335" i="3"/>
  <x:c r="H326" i="3"/>
  <x:c r="I318" i="3"/>
  <x:c r="R312" i="3"/>
  <x:c r="N308" i="3"/>
  <x:c r="Q303" i="3"/>
  <x:c r="M299" i="3"/>
  <x:c r="P294" i="3"/>
  <x:c r="S289" i="3"/>
  <x:c r="O285" i="3"/>
  <x:c r="R280" i="3"/>
  <x:c r="N276" i="3"/>
  <x:c r="Q271" i="3"/>
  <x:c r="M267" i="3"/>
  <x:c r="O261" i="3"/>
  <x:c r="R256" i="3"/>
  <x:c r="N252" i="3"/>
  <x:c r="Q247" i="3"/>
  <x:c r="M243" i="3"/>
  <x:c r="P238" i="3"/>
  <x:c r="S233" i="3"/>
  <x:c r="O229" i="3"/>
  <x:c r="R224" i="3"/>
  <x:c r="N220" i="3"/>
  <x:c r="Q215" i="3"/>
  <x:c r="M211" i="3"/>
  <x:c r="P206" i="3"/>
  <x:c r="R200" i="3"/>
  <x:c r="Q533" i="3"/>
  <x:c r="H492" i="3"/>
  <x:c r="H460" i="3"/>
  <x:c r="Q437" i="3"/>
  <x:c r="G418" i="3"/>
  <x:c r="J405" i="3"/>
  <x:c r="G395" i="3"/>
  <x:c r="F385" i="3"/>
  <x:c r="G373" i="3"/>
  <x:c r="F362" i="3"/>
  <x:c r="G350" i="3"/>
  <x:c r="H340" i="3"/>
  <x:c r="F330" i="3"/>
  <x:c r="H318" i="3"/>
  <x:c r="Q312" i="3"/>
  <x:c r="M308" i="3"/>
  <x:c r="P303" i="3"/>
  <x:c r="S298" i="3"/>
  <x:c r="O294" i="3"/>
  <x:c r="R289" i="3"/>
  <x:c r="N285" i="3"/>
  <x:c r="Q280" i="3"/>
  <x:c r="M276" i="3"/>
  <x:c r="P271" i="3"/>
  <x:c r="S266" i="3"/>
  <x:c r="N261" i="3"/>
  <x:c r="Q256" i="3"/>
  <x:c r="M252" i="3"/>
  <x:c r="P247" i="3"/>
  <x:c r="S242" i="3"/>
  <x:c r="O238" i="3"/>
  <x:c r="R233" i="3"/>
  <x:c r="N229" i="3"/>
  <x:c r="Q224" i="3"/>
  <x:c r="M220" i="3"/>
  <x:c r="P215" i="3"/>
  <x:c r="S210" i="3"/>
  <x:c r="O206" i="3"/>
  <x:c r="Q200" i="3"/>
  <x:c r="J509" i="3"/>
  <x:c r="F463" i="3"/>
  <x:c r="F441" i="3"/>
  <x:c r="F418" i="3"/>
  <x:c r="F404" i="3"/>
  <x:c r="F388" i="3"/>
  <x:c r="F372" i="3"/>
  <x:c r="S351" i="3"/>
  <x:c r="S335" i="3"/>
  <x:c r="S318" i="3"/>
  <x:c r="Q313" i="3"/>
  <x:c r="M309" i="3"/>
  <x:c r="P304" i="3"/>
  <x:c r="S299" i="3"/>
  <x:c r="O295" i="3"/>
  <x:c r="R290" i="3"/>
  <x:c r="N286" i="3"/>
  <x:c r="Q281" i="3"/>
  <x:c r="M277" i="3"/>
  <x:c r="P272" i="3"/>
  <x:c r="S267" i="3"/>
  <x:c r="N262" i="3"/>
  <x:c r="Q257" i="3"/>
  <x:c r="M253" i="3"/>
  <x:c r="P248" i="3"/>
  <x:c r="R542" i="3"/>
  <x:c r="G503" i="3"/>
  <x:c r="H468" i="3"/>
  <x:c r="I437" i="3"/>
  <x:c r="Q412" i="3"/>
  <x:c r="R400" i="3"/>
  <x:c r="R390" i="3"/>
  <x:c r="S378" i="3"/>
  <x:c r="R368" i="3"/>
  <x:c r="R357" i="3"/>
  <x:c r="S345" i="3"/>
  <x:c r="Q335" i="3"/>
  <x:c r="S322" i="3"/>
  <x:c r="J315" i="3"/>
  <x:c r="F311" i="3"/>
  <x:c r="I306" i="3"/>
  <x:c r="L301" i="3"/>
  <x:c r="H297" i="3"/>
  <x:c r="K292" i="3"/>
  <x:c r="G288" i="3"/>
  <x:c r="J283" i="3"/>
  <x:c r="F279" i="3"/>
  <x:c r="I274" i="3"/>
  <x:c r="L269" i="3"/>
  <x:c r="G264" i="3"/>
  <x:c r="J259" i="3"/>
  <x:c r="F255" i="3"/>
  <x:c r="I250" i="3"/>
  <x:c r="L245" i="3"/>
  <x:c r="H241" i="3"/>
  <x:c r="K236" i="3"/>
  <x:c r="G232" i="3"/>
  <x:c r="J227" i="3"/>
  <x:c r="F223" i="3"/>
  <x:c r="I218" i="3"/>
  <x:c r="L213" i="3"/>
  <x:c r="H209" i="3"/>
  <x:c r="R203" i="3"/>
  <x:c r="S635" i="3"/>
  <x:c r="M518" i="3"/>
  <x:c r="G482" i="3"/>
  <x:c r="J451" i="3"/>
  <x:c r="M433" i="3"/>
  <x:c r="M417" i="3"/>
  <x:c r="O403" i="3"/>
  <x:c r="O395" i="3"/>
  <x:c r="O387" i="3"/>
  <x:c r="O379" i="3"/>
  <x:c r="O371" i="3"/>
  <x:c r="N362" i="3"/>
  <x:c r="N354" i="3"/>
  <x:c r="N346" i="3"/>
  <x:c r="N338" i="3"/>
  <x:c r="N330" i="3"/>
  <x:c r="N321" i="3"/>
  <x:c r="H315" i="3"/>
  <x:c r="K310" i="3"/>
  <x:c r="G306" i="3"/>
  <x:c r="J301" i="3"/>
  <x:c r="F297" i="3"/>
  <x:c r="I292" i="3"/>
  <x:c r="L287" i="3"/>
  <x:c r="H283" i="3"/>
  <x:c r="K278" i="3"/>
  <x:c r="G274" i="3"/>
  <x:c r="J269" i="3"/>
  <x:c r="L263" i="3"/>
  <x:c r="H259" i="3"/>
  <x:c r="K254" i="3"/>
  <x:c r="G250" i="3"/>
  <x:c r="J245" i="3"/>
  <x:c r="F241" i="3"/>
  <x:c r="I236" i="3"/>
  <x:c r="L231" i="3"/>
  <x:c r="H227" i="3"/>
  <x:c r="K222" i="3"/>
  <x:c r="G218" i="3"/>
  <x:c r="J213" i="3"/>
  <x:c r="F209" i="3"/>
  <x:c r="H203" i="3"/>
  <x:c r="H488" i="3"/>
  <x:c r="J398" i="3"/>
  <x:c r="J366" i="3"/>
  <x:c r="J334" i="3"/>
  <x:c r="Q310" i="3"/>
  <x:c r="Q294" i="3"/>
  <x:c r="Q278" i="3"/>
  <x:c r="Q262" i="3"/>
  <x:c r="Q246" i="3"/>
  <x:c r="G236" i="3"/>
  <x:c r="M223" i="3"/>
  <x:c r="S211" i="3"/>
  <x:c r="O199" i="3"/>
  <x:c r="R194" i="3"/>
  <x:c r="N190" i="3"/>
  <x:c r="Q185" i="3"/>
  <x:c r="M181" i="3"/>
  <x:c r="P176" i="3"/>
  <x:c r="S171" i="3"/>
  <x:c r="O167" i="3"/>
  <x:c r="R162" i="3"/>
  <x:c r="N158" i="3"/>
  <x:c r="Q153" i="3"/>
  <x:c r="M149" i="3"/>
  <x:c r="P144" i="3"/>
  <x:c r="S139" i="3"/>
  <x:c r="O135" i="3"/>
  <x:c r="R130" i="3"/>
  <x:c r="N126" i="3"/>
  <x:c r="Q121" i="3"/>
  <x:c r="M117" i="3"/>
  <x:c r="P112" i="3"/>
  <x:c r="S107" i="3"/>
  <x:c r="O103" i="3"/>
  <x:c r="R98" i="3"/>
  <x:c r="M93" i="3"/>
  <x:c r="P88" i="3"/>
  <x:c r="S83" i="3"/>
  <x:c r="O79" i="3"/>
  <x:c r="Q73" i="3"/>
  <x:c r="M69" i="3"/>
  <x:c r="P64" i="3"/>
  <x:c r="H497" i="3"/>
  <x:c r="N417" i="3"/>
  <x:c r="Q384" i="3"/>
  <x:c r="Q352" i="3"/>
  <x:c r="Q320" i="3"/>
  <x:c r="P301" i="3"/>
  <x:c r="P285" i="3"/>
  <x:c r="P269" i="3"/>
  <x:c r="P253" i="3"/>
  <x:c r="K237" i="3"/>
  <x:c r="N224" i="3"/>
  <x:c r="Q211" i="3"/>
  <x:c r="F199" i="3"/>
  <x:c r="I194" i="3"/>
  <x:c r="L189" i="3"/>
  <x:c r="H185" i="3"/>
  <x:c r="K180" i="3"/>
  <x:c r="G176" i="3"/>
  <x:c r="J171" i="3"/>
  <x:c r="F167" i="3"/>
  <x:c r="I162" i="3"/>
  <x:c r="L157" i="3"/>
  <x:c r="H153" i="3"/>
  <x:c r="K148" i="3"/>
  <x:c r="G144" i="3"/>
  <x:c r="J139" i="3"/>
  <x:c r="F135" i="3"/>
  <x:c r="I130" i="3"/>
  <x:c r="L125" i="3"/>
  <x:c r="H121" i="3"/>
  <x:c r="K116" i="3"/>
  <x:c r="G112" i="3"/>
  <x:c r="J107" i="3"/>
  <x:c r="F103" i="3"/>
  <x:c r="I98" i="3"/>
  <x:c r="K92" i="3"/>
  <x:c r="G88" i="3"/>
  <x:c r="J83" i="3"/>
  <x:c r="F79" i="3"/>
  <x:c r="H73" i="3"/>
  <x:c r="K68" i="3"/>
  <x:c r="G64" i="3"/>
  <x:c r="R429" i="3"/>
  <x:c r="Q381" i="3"/>
  <x:c r="J344" i="3"/>
  <x:c r="Q315" i="3"/>
  <x:c r="I294" i="3"/>
  <x:c r="J271" i="3"/>
  <x:c r="Q251" i="3"/>
  <x:c r="H237" i="3"/>
  <x:c r="O225" i="3"/>
  <x:c r="F214" i="3"/>
  <x:c r="I201" i="3"/>
  <x:c r="Q195" i="3"/>
  <x:c r="M191" i="3"/>
  <x:c r="P186" i="3"/>
  <x:c r="S181" i="3"/>
  <x:c r="O177" i="3"/>
  <x:c r="H540" i="3"/>
  <x:c r="O448" i="3"/>
  <x:c r="J389" i="3"/>
  <x:c r="O354" i="3"/>
  <x:c r="O322" i="3"/>
  <x:c r="N299" i="3"/>
  <x:c r="J276" i="3"/>
  <x:c r="H253" i="3"/>
  <x:c r="I238" i="3"/>
  <x:c r="H224" i="3"/>
  <x:c r="K211" i="3"/>
  <x:c r="L199" i="3"/>
  <x:c r="H195" i="3"/>
  <x:c r="K190" i="3"/>
  <x:c r="G186" i="3"/>
  <x:c r="J181" i="3"/>
  <x:c r="F177" i="3"/>
  <x:c r="I172" i="3"/>
  <x:c r="L167" i="3"/>
  <x:c r="H163" i="3"/>
  <x:c r="K158" i="3"/>
  <x:c r="G154" i="3"/>
  <x:c r="J149" i="3"/>
  <x:c r="F145" i="3"/>
  <x:c r="I140" i="3"/>
  <x:c r="L135" i="3"/>
  <x:c r="H131" i="3"/>
  <x:c r="K126" i="3"/>
  <x:c r="G122" i="3"/>
  <x:c r="J117" i="3"/>
  <x:c r="F113" i="3"/>
  <x:c r="I108" i="3"/>
  <x:c r="L103" i="3"/>
  <x:c r="H99" i="3"/>
  <x:c r="J93" i="3"/>
  <x:c r="F89" i="3"/>
  <x:c r="I84" i="3"/>
  <x:c r="L79" i="3"/>
  <x:c r="R408" i="3"/>
  <x:c r="K378" i="3"/>
  <x:c r="K346" i="3"/>
  <x:c r="I315" i="3"/>
  <x:c r="I299" i="3"/>
  <x:c r="I283" i="3"/>
  <x:c r="I267" i="3"/>
  <x:c r="L249" i="3"/>
  <x:c r="R236" i="3"/>
  <x:c r="I225" i="3"/>
  <x:c r="S213" i="3"/>
  <x:c r="J202" i="3"/>
  <x:c r="H196" i="3"/>
  <x:c r="K191" i="3"/>
  <x:c r="G187" i="3"/>
  <x:c r="J182" i="3"/>
  <x:c r="F178" i="3"/>
  <x:c r="I173" i="3"/>
  <x:c r="L168" i="3"/>
  <x:c r="H164" i="3"/>
  <x:c r="K159" i="3"/>
  <x:c r="G155" i="3"/>
  <x:c r="J150" i="3"/>
  <x:c r="F146" i="3"/>
  <x:c r="I141" i="3"/>
  <x:c r="L136" i="3"/>
  <x:c r="H132" i="3"/>
  <x:c r="K127" i="3"/>
  <x:c r="G123" i="3"/>
  <x:c r="J118" i="3"/>
  <x:c r="F114" i="3"/>
  <x:c r="I109" i="3"/>
  <x:c r="L104" i="3"/>
  <x:c r="H100" i="3"/>
  <x:c r="R94" i="3"/>
  <x:c r="N90" i="3"/>
  <x:c r="Q85" i="3"/>
  <x:c r="M81" i="3"/>
  <x:c r="P76" i="3"/>
  <x:c r="R70" i="3"/>
  <x:c r="N66" i="3"/>
  <x:c r="G447" i="3"/>
  <x:c r="I383" i="3"/>
  <x:c r="I351" i="3"/>
  <x:c r="F315" i="3"/>
  <x:c r="F299" i="3"/>
  <x:c r="F283" i="3"/>
  <x:c r="F267" i="3"/>
  <x:c r="G249" i="3"/>
  <x:c r="O236" i="3"/>
  <x:c r="G225" i="3"/>
  <x:c r="F211" i="3"/>
  <x:c r="R199" i="3"/>
  <x:c r="N195" i="3"/>
  <x:c r="Q190" i="3"/>
  <x:c r="M186" i="3"/>
  <x:c r="P181" i="3"/>
  <x:c r="S176" i="3"/>
  <x:c r="O172" i="3"/>
  <x:c r="R167" i="3"/>
  <x:c r="N163" i="3"/>
  <x:c r="Q158" i="3"/>
  <x:c r="M154" i="3"/>
  <x:c r="P149" i="3"/>
  <x:c r="S144" i="3"/>
  <x:c r="O140" i="3"/>
  <x:c r="R135" i="3"/>
  <x:c r="N131" i="3"/>
  <x:c r="Q126" i="3"/>
  <x:c r="M122" i="3"/>
  <x:c r="P117" i="3"/>
  <x:c r="S112" i="3"/>
  <x:c r="O108" i="3"/>
  <x:c r="R103" i="3"/>
  <x:c r="N99" i="3"/>
  <x:c r="I94" i="3"/>
  <x:c r="L89" i="3"/>
  <x:c r="H85" i="3"/>
  <x:c r="K80" i="3"/>
  <x:c r="G76" i="3"/>
  <x:c r="Q70" i="3"/>
  <x:c r="M66" i="3"/>
  <x:c r="F471" i="3"/>
  <x:c r="K401" i="3"/>
  <x:c r="K369" i="3"/>
  <x:c r="K337" i="3"/>
  <x:c r="S312" i="3"/>
  <x:c r="N291" i="3"/>
  <x:c r="J268" i="3"/>
  <x:c r="S248" i="3"/>
  <x:c r="Q233" i="3"/>
  <x:c r="I222" i="3"/>
  <x:c r="H208" i="3"/>
  <x:c r="G198" i="3"/>
  <x:c r="J193" i="3"/>
  <x:c r="F189" i="3"/>
  <x:c r="G189" i="3"/>
  <x:c r="F173" i="3"/>
  <x:c r="K161" i="3"/>
  <x:c r="L147" i="3"/>
  <x:c r="O134" i="3"/>
  <x:c r="R121" i="3"/>
  <x:c r="F109" i="3"/>
  <x:c r="I96" i="3"/>
  <x:c r="R80" i="3"/>
  <x:c r="M71" i="3"/>
  <x:c r="M63" i="3"/>
  <x:c r="J58" i="3"/>
  <x:c r="F54" i="3"/>
  <x:c r="I49" i="3"/>
  <x:c r="L44" i="3"/>
  <x:c r="H40" i="3"/>
  <x:c r="K35" i="3"/>
  <x:c r="G31" i="3"/>
  <x:c r="I25" i="3"/>
  <x:c r="L20" i="3"/>
  <x:c r="H16" i="3"/>
  <x:c r="K11" i="3"/>
  <x:c r="G7" i="3"/>
  <x:c r="M332" i="3"/>
  <x:c r="L194" i="3"/>
  <x:c r="G174" i="3"/>
  <x:c r="F160" i="3"/>
  <x:c r="S149" i="3"/>
  <x:c r="H138" i="3"/>
  <x:c r="N125" i="3"/>
  <x:c r="I115" i="3"/>
  <x:c r="L102" i="3"/>
  <x:c r="O89" i="3"/>
  <x:c r="M79" i="3"/>
  <x:c r="K70" i="3"/>
  <x:c r="O62" i="3"/>
  <x:c r="P57" i="3"/>
  <x:c r="S52" i="3"/>
  <x:c r="O48" i="3"/>
  <x:c r="R43" i="3"/>
  <x:c r="N39" i="3"/>
  <x:c r="Q34" i="3"/>
  <x:c r="M30" i="3"/>
  <x:c r="O24" i="3"/>
  <x:c r="K805" i="3"/>
  <x:c r="P725" i="3"/>
  <x:c r="I692" i="3"/>
  <x:c r="O653" i="3"/>
  <x:c r="F739" i="3"/>
  <x:c r="O714" i="3"/>
  <x:c r="I681" i="3"/>
  <x:c r="F662" i="3"/>
  <x:c r="K643" i="3"/>
  <x:c r="H716" i="3"/>
  <x:c r="F692" i="3"/>
  <x:c r="H681" i="3"/>
  <x:c r="P673" i="3"/>
  <x:c r="K668" i="3"/>
  <x:c r="F663" i="3"/>
  <x:c r="I658" i="3"/>
  <x:c r="L653" i="3"/>
  <x:c r="H649" i="3"/>
  <x:c r="K644" i="3"/>
  <x:c r="F639" i="3"/>
  <x:c r="I634" i="3"/>
  <x:c r="L629" i="3"/>
  <x:c r="H625" i="3"/>
  <x:c r="R837" i="3"/>
  <x:c r="H782" i="3"/>
  <x:c r="K735" i="3"/>
  <x:c r="K719" i="3"/>
  <x:c r="Q703" i="3"/>
  <x:c r="Q692" i="3"/>
  <x:c r="K685" i="3"/>
  <x:c r="G681" i="3"/>
  <x:c r="J676" i="3"/>
  <x:c r="F672" i="3"/>
  <x:c r="I667" i="3"/>
  <x:c r="K661" i="3"/>
  <x:c r="G657" i="3"/>
  <x:c r="J652" i="3"/>
  <x:c r="F648" i="3"/>
  <x:c r="I643" i="3"/>
  <x:c r="K637" i="3"/>
  <x:c r="G633" i="3"/>
  <x:c r="J628" i="3"/>
  <x:c r="F624" i="3"/>
  <x:c r="H768" i="3"/>
  <x:c r="H731" i="3"/>
  <x:c r="L712" i="3"/>
  <x:c r="J703" i="3"/>
  <x:c r="J694" i="3"/>
  <x:c r="R687" i="3"/>
  <x:c r="N683" i="3"/>
  <x:c r="Q678" i="3"/>
  <x:c r="M674" i="3"/>
  <x:c r="P669" i="3"/>
  <x:c r="K664" i="3"/>
  <x:c r="G660" i="3"/>
  <x:c r="J655" i="3"/>
  <x:c r="F651" i="3"/>
  <x:c r="I646" i="3"/>
  <x:c r="S640" i="3"/>
  <x:c r="O636" i="3"/>
  <x:c r="R631" i="3"/>
  <x:c r="N627" i="3"/>
  <x:c r="L703" i="3"/>
  <x:c r="Q680" i="3"/>
  <x:c r="I669" i="3"/>
  <x:c r="P652" i="3"/>
  <x:c r="P639" i="3"/>
  <x:c r="L631" i="3"/>
  <x:c r="S623" i="3"/>
  <x:c r="H619" i="3"/>
  <x:c r="J613" i="3"/>
  <x:c r="F609" i="3"/>
  <x:c r="I604" i="3"/>
  <x:c r="L599" i="3"/>
  <x:c r="H595" i="3"/>
  <x:c r="K590" i="3"/>
  <x:c r="L583" i="3"/>
  <x:c r="H579" i="3"/>
  <x:c r="K574" i="3"/>
  <x:c r="G570" i="3"/>
  <x:c r="I564" i="3"/>
  <x:c r="L559" i="3"/>
  <x:c r="H555" i="3"/>
  <x:c r="J549" i="3"/>
  <x:c r="F545" i="3"/>
  <x:c r="S687" i="3"/>
  <x:c r="L671" i="3"/>
  <x:c r="H660" i="3"/>
  <x:c r="M648" i="3"/>
  <x:c r="L636" i="3"/>
  <x:c r="L628" i="3"/>
  <x:c r="I621" i="3"/>
  <x:c r="L616" i="3"/>
  <x:c r="G611" i="3"/>
  <x:c r="J606" i="3"/>
  <x:c r="F602" i="3"/>
  <x:c r="I597" i="3"/>
  <x:c r="L592" i="3"/>
  <x:c r="F586" i="3"/>
  <x:c r="I581" i="3"/>
  <x:c r="L576" i="3"/>
  <x:c r="H572" i="3"/>
  <x:c r="K567" i="3"/>
  <x:c r="F562" i="3"/>
  <x:c r="I557" i="3"/>
  <x:c r="K551" i="3"/>
  <x:c r="G788" i="3"/>
  <x:c r="O708" i="3"/>
  <x:c r="I684" i="3"/>
  <x:c r="K671" i="3"/>
  <x:c r="M657" i="3"/>
  <x:c r="H643" i="3"/>
  <x:c r="J634" i="3"/>
  <x:c r="K710" i="3"/>
  <x:c r="O682" i="3"/>
  <x:c r="P668" i="3"/>
  <x:c r="F657" i="3"/>
  <x:c r="I644" i="3"/>
  <x:c r="F626" i="3"/>
  <x:c r="M620" i="3"/>
  <x:c r="P615" i="3"/>
  <x:c r="R609" i="3"/>
  <x:c r="N605" i="3"/>
  <x:c r="Q600" i="3"/>
  <x:c r="M596" i="3"/>
  <x:c r="P591" i="3"/>
  <x:c r="J585" i="3"/>
  <x:c r="F581" i="3"/>
  <x:c r="I576" i="3"/>
  <x:c r="L571" i="3"/>
  <x:c r="H567" i="3"/>
  <x:c r="J561" i="3"/>
  <x:c r="F557" i="3"/>
  <x:c r="H551" i="3"/>
  <x:c r="K546" i="3"/>
  <x:c r="O715" i="3"/>
  <x:c r="Q684" i="3"/>
  <x:c r="J673" i="3"/>
  <x:c r="Q661" i="3"/>
  <x:c r="L647" i="3"/>
  <x:c r="P636" i="3"/>
  <x:c r="P628" i="3"/>
  <x:c r="K621" i="3"/>
  <x:c r="G617" i="3"/>
  <x:c r="Q611" i="3"/>
  <x:c r="M607" i="3"/>
  <x:c r="P602" i="3"/>
  <x:c r="S597" i="3"/>
  <x:c r="O593" i="3"/>
  <x:c r="P586" i="3"/>
  <x:c r="S581" i="3"/>
  <x:c r="O577" i="3"/>
  <x:c r="R572" i="3"/>
  <x:c r="N568" i="3"/>
  <x:c r="I563" i="3"/>
  <x:c r="R686" i="3"/>
  <x:c r="R661" i="3"/>
  <x:c r="R638" i="3"/>
  <x:c r="F615" i="3"/>
  <x:c r="F598" i="3"/>
  <x:c r="F582" i="3"/>
  <x:c r="I680" i="3"/>
  <x:c r="S650" i="3"/>
  <x:c r="P627" i="3"/>
  <x:c r="P616" i="3"/>
  <x:c r="Q607" i="3"/>
  <x:c r="Q599" i="3"/>
  <x:c r="Q591" i="3"/>
  <x:c r="P581" i="3"/>
  <x:c r="P573" i="3"/>
  <x:c r="O564" i="3"/>
  <x:c r="M557" i="3"/>
  <x:c r="H550" i="3"/>
  <x:c r="K544" i="3"/>
  <x:c r="G540" i="3"/>
  <x:c r="J535" i="3"/>
  <x:c r="F531" i="3"/>
  <x:c r="I526" i="3"/>
  <x:c r="L521" i="3"/>
  <x:c r="H517" i="3"/>
  <x:c r="K512" i="3"/>
  <x:c r="G508" i="3"/>
  <x:c r="J503" i="3"/>
  <x:c r="K496" i="3"/>
  <x:c r="G492" i="3"/>
  <x:c r="J487" i="3"/>
  <x:c r="F483" i="3"/>
  <x:c r="I478" i="3"/>
  <x:c r="L473" i="3"/>
  <x:c r="H469" i="3"/>
  <x:c r="K464" i="3"/>
  <x:c r="G460" i="3"/>
  <x:c r="J455" i="3"/>
  <x:c r="I685" i="3"/>
  <x:c r="L655" i="3"/>
  <x:c r="H627" i="3"/>
  <x:c r="L617" i="3"/>
  <x:c r="O608" i="3"/>
  <x:c r="O600" i="3"/>
  <x:c r="O592" i="3"/>
  <x:c r="P582" i="3"/>
  <x:c r="P574" i="3"/>
  <x:c r="O565" i="3"/>
  <x:c r="L557" i="3"/>
  <x:c r="K548" i="3"/>
  <x:c r="P542" i="3"/>
  <x:c r="S537" i="3"/>
  <x:c r="O533" i="3"/>
  <x:c r="R528" i="3"/>
  <x:c r="N524" i="3"/>
  <x:c r="Q519" i="3"/>
  <x:c r="M515" i="3"/>
  <x:c r="P510" i="3"/>
  <x:c r="S505" i="3"/>
  <x:c r="M499" i="3"/>
  <x:c r="P494" i="3"/>
  <x:c r="S489" i="3"/>
  <x:c r="O485" i="3"/>
  <x:c r="R480" i="3"/>
  <x:c r="N476" i="3"/>
  <x:c r="Q471" i="3"/>
  <x:c r="M467" i="3"/>
  <x:c r="P462" i="3"/>
  <x:c r="S457" i="3"/>
  <x:c r="O453" i="3"/>
  <x:c r="R448" i="3"/>
  <x:c r="N444" i="3"/>
  <x:c r="J677" i="3"/>
  <x:c r="S647" i="3"/>
  <x:c r="O622" i="3"/>
  <x:c r="M613" i="3"/>
  <x:c r="M605" i="3"/>
  <x:c r="M597" i="3"/>
  <x:c r="M587" i="3"/>
  <x:c r="M579" i="3"/>
  <x:c r="M571" i="3"/>
  <x:c r="L562" i="3"/>
  <x:c r="Q555" i="3"/>
  <x:c r="R546" i="3"/>
  <x:c r="G542" i="3"/>
  <x:c r="J537" i="3"/>
  <x:c r="F533" i="3"/>
  <x:c r="I528" i="3"/>
  <x:c r="L523" i="3"/>
  <x:c r="H519" i="3"/>
  <x:c r="K514" i="3"/>
  <x:c r="G510" i="3"/>
  <x:c r="J505" i="3"/>
  <x:c r="S498" i="3"/>
  <x:c r="O494" i="3"/>
  <x:c r="R489" i="3"/>
  <x:c r="N485" i="3"/>
  <x:c r="Q480" i="3"/>
  <x:c r="M476" i="3"/>
  <x:c r="P471" i="3"/>
  <x:c r="S466" i="3"/>
  <x:c r="O462" i="3"/>
  <x:c r="R457" i="3"/>
  <x:c r="N453" i="3"/>
  <x:c r="Q448" i="3"/>
  <x:c r="M444" i="3"/>
  <x:c r="P715" i="3"/>
  <x:c r="O674" i="3"/>
  <x:c r="S634" i="3"/>
  <x:c r="K620" i="3"/>
  <x:c r="K611" i="3"/>
  <x:c r="K603" i="3"/>
  <x:c r="K595" i="3"/>
  <x:c r="I585" i="3"/>
  <x:c r="I577" i="3"/>
  <x:c r="I569" i="3"/>
  <x:c r="N560" i="3"/>
  <x:c r="J552" i="3"/>
  <x:c r="K545" i="3"/>
  <x:c r="L540" i="3"/>
  <x:c r="H536" i="3"/>
  <x:c r="K531" i="3"/>
  <x:c r="G527" i="3"/>
  <x:c r="J522" i="3"/>
  <x:c r="F518" i="3"/>
  <x:c r="I513" i="3"/>
  <x:c r="L508" i="3"/>
  <x:c r="S678" i="3"/>
  <x:c r="J649" i="3"/>
  <x:c r="H628" i="3"/>
  <x:c r="G615" i="3"/>
  <x:c r="F604" i="3"/>
  <x:c r="G592" i="3"/>
  <x:c r="F580" i="3"/>
  <x:c r="G568" i="3"/>
  <x:c r="P558" i="3"/>
  <x:c r="M550" i="3"/>
  <x:c r="F544" i="3"/>
  <x:c r="I539" i="3"/>
  <x:c r="L534" i="3"/>
  <x:c r="H530" i="3"/>
  <x:c r="K525" i="3"/>
  <x:c r="G521" i="3"/>
  <x:c r="J516" i="3"/>
  <x:c r="F512" i="3"/>
  <x:c r="I507" i="3"/>
  <x:c r="L502" i="3"/>
  <x:c r="F496" i="3"/>
  <x:c r="I491" i="3"/>
  <x:c r="L486" i="3"/>
  <x:c r="H482" i="3"/>
  <x:c r="K477" i="3"/>
  <x:c r="G473" i="3"/>
  <x:c r="J468" i="3"/>
  <x:c r="F464" i="3"/>
  <x:c r="I459" i="3"/>
  <x:c r="L454" i="3"/>
  <x:c r="I622" i="3"/>
  <x:c r="I590" i="3"/>
  <x:c r="Q561" i="3"/>
  <x:c r="K542" i="3"/>
  <x:c r="L528" i="3"/>
  <x:c r="O515" i="3"/>
  <x:c r="S502" i="3"/>
  <x:c r="R490" i="3"/>
  <x:c r="S478" i="3"/>
  <x:c r="Q468" i="3"/>
  <x:c r="R458" i="3"/>
  <x:c r="N450" i="3"/>
  <x:c r="H444" i="3"/>
  <x:c r="I439" i="3"/>
  <x:c r="L434" i="3"/>
  <x:c r="H430" i="3"/>
  <x:c r="J424" i="3"/>
  <x:c r="F420" i="3"/>
  <x:c r="I415" i="3"/>
  <x:c r="I610" i="3"/>
  <x:c r="S568" i="3"/>
  <x:c r="P546" i="3"/>
  <x:c r="M534" i="3"/>
  <x:c r="G523" i="3"/>
  <x:c r="J510" i="3"/>
  <x:c r="P499" i="3"/>
  <x:c r="P491" i="3"/>
  <x:c r="P483" i="3"/>
  <x:c r="P475" i="3"/>
  <x:c r="P467" i="3"/>
  <x:c r="P459" i="3"/>
  <x:c r="Q451" i="3"/>
  <x:c r="I446" i="3"/>
  <x:c r="Q440" i="3"/>
  <x:c r="M436" i="3"/>
  <x:c r="P431" i="3"/>
  <x:c r="K426" i="3"/>
  <x:c r="G422" i="3"/>
  <x:c r="J417" i="3"/>
  <x:c r="F413" i="3"/>
  <x:c r="I408" i="3"/>
  <x:c r="L667" i="3"/>
  <x:c r="I607" i="3"/>
  <x:c r="R570" i="3"/>
  <x:c r="P549" i="3"/>
  <x:c r="N535" i="3"/>
  <x:c r="P521" i="3"/>
  <x:c r="Q508" i="3"/>
  <x:c r="O498" i="3"/>
  <x:c r="O490" i="3"/>
  <x:c r="O482" i="3"/>
  <x:c r="O474" i="3"/>
  <x:c r="O466" i="3"/>
  <x:c r="O458" i="3"/>
  <x:c r="F451" i="3"/>
  <x:c r="P444" i="3"/>
  <x:c r="G439" i="3"/>
  <x:c r="J434" i="3"/>
  <x:c r="F430" i="3"/>
  <x:c r="P424" i="3"/>
  <x:c r="S419" i="3"/>
  <x:c r="O415" i="3"/>
  <x:c r="R410" i="3"/>
  <x:c r="N406" i="3"/>
  <x:c r="Q401" i="3"/>
  <x:c r="M397" i="3"/>
  <x:c r="P392" i="3"/>
  <x:c r="S387" i="3"/>
  <x:c r="O383" i="3"/>
  <x:c r="R378" i="3"/>
  <x:c r="N374" i="3"/>
  <x:c r="Q369" i="3"/>
  <x:c r="L364" i="3"/>
  <x:c r="H360" i="3"/>
  <x:c r="K355" i="3"/>
  <x:c r="G351" i="3"/>
  <x:c r="J346" i="3"/>
  <x:c r="F342" i="3"/>
  <x:c r="I337" i="3"/>
  <x:c r="L332" i="3"/>
  <x:c r="H328" i="3"/>
  <x:c r="J322" i="3"/>
  <x:c r="F318" i="3"/>
  <x:c r="H592" i="3"/>
  <x:c r="S560" i="3"/>
  <x:c r="F543" i="3"/>
  <x:c r="P531" i="3"/>
  <x:c r="G520" i="3"/>
  <x:c r="P508" i="3"/>
  <x:c r="N498" i="3"/>
  <x:c r="N490" i="3"/>
  <x:c r="N482" i="3"/>
  <x:c r="N474" i="3"/>
  <x:c r="N466" i="3"/>
  <x:c r="N458" i="3"/>
  <x:c r="O451" i="3"/>
  <x:c r="O444" i="3"/>
  <x:c r="F439" i="3"/>
  <x:c r="I434" i="3"/>
  <x:c r="L429" i="3"/>
  <x:c r="G424" i="3"/>
  <x:c r="J419" i="3"/>
  <x:c r="F415" i="3"/>
  <x:c r="I410" i="3"/>
  <x:c r="L405" i="3"/>
  <x:c r="H401" i="3"/>
  <x:c r="K396" i="3"/>
  <x:c r="G392" i="3"/>
  <x:c r="J387" i="3"/>
  <x:c r="F383" i="3"/>
  <x:c r="I378" i="3"/>
  <x:c r="L373" i="3"/>
  <x:c r="H369" i="3"/>
  <x:c r="R363" i="3"/>
  <x:c r="N359" i="3"/>
  <x:c r="Q354" i="3"/>
  <x:c r="M350" i="3"/>
  <x:c r="P345" i="3"/>
  <x:c r="S340" i="3"/>
  <x:c r="O336" i="3"/>
  <x:c r="R331" i="3"/>
  <x:c r="M326" i="3"/>
  <x:c r="P321" i="3"/>
  <x:c r="S316" i="3"/>
  <x:c r="S620" i="3"/>
  <x:c r="I583" i="3"/>
  <x:c r="S556" i="3"/>
  <x:c r="F538" i="3"/>
  <x:c r="K526" i="3"/>
  <x:c r="L512" i="3"/>
  <x:c r="K502" i="3"/>
  <x:c r="I492" i="3"/>
  <x:c r="I484" i="3"/>
  <x:c r="I476" i="3"/>
  <x:c r="I468" i="3"/>
  <x:c r="I460" i="3"/>
  <x:c r="R452" i="3"/>
  <x:c r="K447" i="3"/>
  <x:c r="Q441" i="3"/>
  <x:c r="R436" i="3"/>
  <x:c r="N432" i="3"/>
  <x:c r="P426" i="3"/>
  <x:c r="S421" i="3"/>
  <x:c r="O417" i="3"/>
  <x:c r="R412" i="3"/>
  <x:c r="N408" i="3"/>
  <x:c r="Q403" i="3"/>
  <x:c r="M399" i="3"/>
  <x:c r="P394" i="3"/>
  <x:c r="S389" i="3"/>
  <x:c r="O385" i="3"/>
  <x:c r="R380" i="3"/>
  <x:c r="N376" i="3"/>
  <x:c r="Q371" i="3"/>
  <x:c r="M367" i="3"/>
  <x:c r="O361" i="3"/>
  <x:c r="R356" i="3"/>
  <x:c r="N352" i="3"/>
  <x:c r="Q347" i="3"/>
  <x:c r="M343" i="3"/>
  <x:c r="P338" i="3"/>
  <x:c r="S333" i="3"/>
  <x:c r="O329" i="3"/>
  <x:c r="J324" i="3"/>
  <x:c r="F320" i="3"/>
  <x:c r="L812" i="3"/>
  <x:c r="S611" i="3"/>
  <x:c r="G572" i="3"/>
  <x:c r="K547" i="3"/>
  <x:c r="F535" i="3"/>
  <x:c r="H608" i="3"/>
  <x:c r="S571" i="3"/>
  <x:c r="O548" i="3"/>
  <x:c r="G536" i="3"/>
  <x:c r="P524" i="3"/>
  <x:c r="H513" i="3"/>
  <x:c r="F497" i="3"/>
  <x:c r="F481" i="3"/>
  <x:c r="F465" i="3"/>
  <x:c r="S451" i="3"/>
  <x:c r="P445" i="3"/>
  <x:c r="R439" i="3"/>
  <x:c r="N435" i="3"/>
  <x:c r="Q430" i="3"/>
  <x:c r="S424" i="3"/>
  <x:c r="O420" i="3"/>
  <x:c r="R415" i="3"/>
  <x:c r="N411" i="3"/>
  <x:c r="Q406" i="3"/>
  <x:c r="M402" i="3"/>
  <x:c r="P397" i="3"/>
  <x:c r="S392" i="3"/>
  <x:c r="O388" i="3"/>
  <x:c r="R383" i="3"/>
  <x:c r="N379" i="3"/>
  <x:c r="Q374" i="3"/>
  <x:c r="M370" i="3"/>
  <x:c r="O364" i="3"/>
  <x:c r="R359" i="3"/>
  <x:c r="N355" i="3"/>
  <x:c r="Q350" i="3"/>
  <x:c r="M346" i="3"/>
  <x:c r="P341" i="3"/>
  <x:c r="S336" i="3"/>
  <x:c r="O332" i="3"/>
  <x:c r="Q326" i="3"/>
  <x:c r="M322" i="3"/>
  <x:c r="J556" i="3"/>
  <x:c r="J502" i="3"/>
  <x:c r="H464" i="3"/>
  <x:c r="F433" i="3"/>
  <x:c r="I412" i="3"/>
  <x:c r="M401" i="3"/>
  <x:c r="M393" i="3"/>
  <x:c r="M385" i="3"/>
  <x:c r="M377" i="3"/>
  <x:c r="M369" i="3"/>
  <x:c r="L360" i="3"/>
  <x:c r="L352" i="3"/>
  <x:c r="L344" i="3"/>
  <x:c r="L336" i="3"/>
  <x:c r="L328" i="3"/>
  <x:c r="K319" i="3"/>
  <x:c r="M313" i="3"/>
  <x:c r="P308" i="3"/>
  <x:c r="S303" i="3"/>
  <x:c r="O299" i="3"/>
  <x:c r="R294" i="3"/>
  <x:c r="N290" i="3"/>
  <x:c r="Q285" i="3"/>
  <x:c r="M281" i="3"/>
  <x:c r="P276" i="3"/>
  <x:c r="S271" i="3"/>
  <x:c r="O267" i="3"/>
  <x:c r="J262" i="3"/>
  <x:c r="F258" i="3"/>
  <x:c r="I253" i="3"/>
  <x:c r="L248" i="3"/>
  <x:c r="H244" i="3"/>
  <x:c r="K239" i="3"/>
  <x:c r="G235" i="3"/>
  <x:c r="J230" i="3"/>
  <x:c r="F226" i="3"/>
  <x:c r="I221" i="3"/>
  <x:c r="L216" i="3"/>
  <x:c r="H212" i="3"/>
  <x:c r="K207" i="3"/>
  <x:c r="F202" i="3"/>
  <x:c r="G507" i="3"/>
  <x:c r="I466" i="3"/>
  <x:c r="R437" i="3"/>
  <x:c r="R421" i="3"/>
  <x:c r="M409" i="3"/>
  <x:c r="H399" i="3"/>
  <x:c r="H391" i="3"/>
  <x:c r="H383" i="3"/>
  <x:c r="H375" i="3"/>
  <x:c r="H367" i="3"/>
  <x:c r="H358" i="3"/>
  <x:c r="H350" i="3"/>
  <x:c r="H342" i="3"/>
  <x:c r="H334" i="3"/>
  <x:c r="I325" i="3"/>
  <x:c r="N317" i="3"/>
  <x:c r="J312" i="3"/>
  <x:c r="F308" i="3"/>
  <x:c r="I303" i="3"/>
  <x:c r="L298" i="3"/>
  <x:c r="H294" i="3"/>
  <x:c r="K289" i="3"/>
  <x:c r="G285" i="3"/>
  <x:c r="J280" i="3"/>
  <x:c r="F276" i="3"/>
  <x:c r="I271" i="3"/>
  <x:c r="L266" i="3"/>
  <x:c r="G261" i="3"/>
  <x:c r="J256" i="3"/>
  <x:c r="F252" i="3"/>
  <x:c r="I247" i="3"/>
  <x:c r="L242" i="3"/>
  <x:c r="H238" i="3"/>
  <x:c r="K233" i="3"/>
  <x:c r="G229" i="3"/>
  <x:c r="J224" i="3"/>
  <x:c r="F220" i="3"/>
  <x:c r="I215" i="3"/>
  <x:c r="L210" i="3"/>
  <x:c r="H206" i="3"/>
  <x:c r="J200" i="3"/>
  <x:c r="G530" i="3"/>
  <x:c r="I489" i="3"/>
  <x:c r="I457" i="3"/>
  <x:c r="G434" i="3"/>
  <x:c r="L416" i="3"/>
  <x:c r="H404" i="3"/>
  <x:c r="F394" i="3"/>
  <x:c r="G382" i="3"/>
  <x:c r="H372" i="3"/>
  <x:c r="F361" i="3"/>
  <x:c r="G349" i="3"/>
  <x:c r="G339" i="3"/>
  <x:c r="F329" i="3"/>
  <x:c r="J317" i="3"/>
  <x:c r="I312" i="3"/>
  <x:c r="L307" i="3"/>
  <x:c r="H303" i="3"/>
  <x:c r="K298" i="3"/>
  <x:c r="G294" i="3"/>
  <x:c r="J289" i="3"/>
  <x:c r="F285" i="3"/>
  <x:c r="I280" i="3"/>
  <x:c r="L275" i="3"/>
  <x:c r="H271" i="3"/>
  <x:c r="K266" i="3"/>
  <x:c r="F261" i="3"/>
  <x:c r="I256" i="3"/>
  <x:c r="L251" i="3"/>
  <x:c r="H247" i="3"/>
  <x:c r="K242" i="3"/>
  <x:c r="G238" i="3"/>
  <x:c r="J233" i="3"/>
  <x:c r="F229" i="3"/>
  <x:c r="I224" i="3"/>
  <x:c r="L219" i="3"/>
  <x:c r="H215" i="3"/>
  <x:c r="K210" i="3"/>
  <x:c r="G206" i="3"/>
  <x:c r="I200" i="3"/>
  <x:c r="I506" i="3"/>
  <x:c r="H457" i="3"/>
  <x:c r="J437" i="3"/>
  <x:c r="J414" i="3"/>
  <x:c r="S399" i="3"/>
  <x:c r="S383" i="3"/>
  <x:c r="S367" i="3"/>
  <x:c r="S350" i="3"/>
  <x:c r="S334" i="3"/>
  <x:c r="G318" i="3"/>
  <x:c r="I313" i="3"/>
  <x:c r="L308" i="3"/>
  <x:c r="H304" i="3"/>
  <x:c r="K299" i="3"/>
  <x:c r="G295" i="3"/>
  <x:c r="J290" i="3"/>
  <x:c r="F286" i="3"/>
  <x:c r="I281" i="3"/>
  <x:c r="L276" i="3"/>
  <x:c r="H272" i="3"/>
  <x:c r="K267" i="3"/>
  <x:c r="F262" i="3"/>
  <x:c r="I257" i="3"/>
  <x:c r="L252" i="3"/>
  <x:c r="H248" i="3"/>
  <x:c r="P537" i="3"/>
  <x:c r="I497" i="3"/>
  <x:c r="I465" i="3"/>
  <x:c r="O435" i="3"/>
  <x:c r="O411" i="3"/>
  <x:c r="Q399" i="3"/>
  <x:c r="R389" i="3"/>
  <x:c r="S377" i="3"/>
  <x:c r="Q367" i="3"/>
  <x:c r="S354" i="3"/>
  <x:c r="R344" i="3"/>
  <x:c r="R334" i="3"/>
  <x:c r="S321" i="3"/>
  <x:c r="Q314" i="3"/>
  <x:c r="M310" i="3"/>
  <x:c r="P305" i="3"/>
  <x:c r="S300" i="3"/>
  <x:c r="O296" i="3"/>
  <x:c r="R291" i="3"/>
  <x:c r="N287" i="3"/>
  <x:c r="Q282" i="3"/>
  <x:c r="M278" i="3"/>
  <x:c r="P273" i="3"/>
  <x:c r="S268" i="3"/>
  <x:c r="N263" i="3"/>
  <x:c r="Q258" i="3"/>
  <x:c r="M254" i="3"/>
  <x:c r="P249" i="3"/>
  <x:c r="S244" i="3"/>
  <x:c r="O240" i="3"/>
  <x:c r="R235" i="3"/>
  <x:c r="N231" i="3"/>
  <x:c r="Q226" i="3"/>
  <x:c r="M222" i="3"/>
  <x:c r="P217" i="3"/>
  <x:c r="S212" i="3"/>
  <x:c r="O208" i="3"/>
  <x:c r="J203" i="3"/>
  <x:c r="R608" i="3"/>
  <x:c r="Q514" i="3"/>
  <x:c r="G479" i="3"/>
  <x:c r="I449" i="3"/>
  <x:c r="K431" i="3"/>
  <x:c r="K415" i="3"/>
  <x:c r="N402" i="3"/>
  <x:c r="N394" i="3"/>
  <x:c r="N386" i="3"/>
  <x:c r="N378" i="3"/>
  <x:c r="N370" i="3"/>
  <x:c r="N361" i="3"/>
  <x:c r="N353" i="3"/>
  <x:c r="N345" i="3"/>
  <x:c r="N337" i="3"/>
  <x:c r="N329" i="3"/>
  <x:c r="M320" i="3"/>
  <x:c r="O314" i="3"/>
  <x:c r="R309" i="3"/>
  <x:c r="N305" i="3"/>
  <x:c r="Q300" i="3"/>
  <x:c r="M296" i="3"/>
  <x:c r="P291" i="3"/>
  <x:c r="S286" i="3"/>
  <x:c r="O282" i="3"/>
  <x:c r="R277" i="3"/>
  <x:c r="N273" i="3"/>
  <x:c r="Q268" i="3"/>
  <x:c r="S262" i="3"/>
  <x:c r="O258" i="3"/>
  <x:c r="R253" i="3"/>
  <x:c r="N249" i="3"/>
  <x:c r="Q244" i="3"/>
  <x:c r="M240" i="3"/>
  <x:c r="P235" i="3"/>
  <x:c r="S230" i="3"/>
  <x:c r="O226" i="3"/>
  <x:c r="R221" i="3"/>
  <x:c r="N217" i="3"/>
  <x:c r="Q212" i="3"/>
  <x:c r="M208" i="3"/>
  <x:c r="O202" i="3"/>
  <x:c r="G455" i="3"/>
  <x:c r="P395" i="3"/>
  <x:c r="P363" i="3"/>
  <x:c r="P331" i="3"/>
  <x:c r="I307" i="3"/>
  <x:c r="I291" i="3"/>
  <x:c r="I275" i="3"/>
  <x:c r="I259" i="3"/>
  <x:c r="H245" i="3"/>
  <x:c r="O233" i="3"/>
  <x:c r="F222" i="3"/>
  <x:c r="P210" i="3"/>
  <x:c r="G199" i="3"/>
  <x:c r="J194" i="3"/>
  <x:c r="F190" i="3"/>
  <x:c r="I185" i="3"/>
  <x:c r="L180" i="3"/>
  <x:c r="H176" i="3"/>
  <x:c r="K171" i="3"/>
  <x:c r="G167" i="3"/>
  <x:c r="J162" i="3"/>
  <x:c r="F158" i="3"/>
  <x:c r="I153" i="3"/>
  <x:c r="L148" i="3"/>
  <x:c r="H144" i="3"/>
  <x:c r="K139" i="3"/>
  <x:c r="G135" i="3"/>
  <x:c r="J130" i="3"/>
  <x:c r="F126" i="3"/>
  <x:c r="I121" i="3"/>
  <x:c r="L116" i="3"/>
  <x:c r="H112" i="3"/>
  <x:c r="K107" i="3"/>
  <x:c r="G103" i="3"/>
  <x:c r="J98" i="3"/>
  <x:c r="L92" i="3"/>
  <x:c r="H88" i="3"/>
  <x:c r="K83" i="3"/>
  <x:c r="G79" i="3"/>
  <x:c r="I73" i="3"/>
  <x:c r="L68" i="3"/>
  <x:c r="H64" i="3"/>
  <x:c r="I482" i="3"/>
  <x:c r="J413" i="3"/>
  <x:c r="L379" i="3"/>
  <x:c r="L347" i="3"/>
  <x:c r="H314" i="3"/>
  <x:c r="H298" i="3"/>
  <x:c r="H282" i="3"/>
  <x:c r="H266" i="3"/>
  <x:c r="H250" i="3"/>
  <x:c r="R234" i="3"/>
  <x:c r="J223" i="3"/>
  <x:c r="M210" i="3"/>
  <x:c r="M198" i="3"/>
  <x:c r="P193" i="3"/>
  <x:c r="S188" i="3"/>
  <x:c r="O184" i="3"/>
  <x:c r="R179" i="3"/>
  <x:c r="N175" i="3"/>
  <x:c r="Q170" i="3"/>
  <x:c r="M166" i="3"/>
  <x:c r="P161" i="3"/>
  <x:c r="S156" i="3"/>
  <x:c r="O152" i="3"/>
  <x:c r="R147" i="3"/>
  <x:c r="N143" i="3"/>
  <x:c r="Q138" i="3"/>
  <x:c r="M134" i="3"/>
  <x:c r="P129" i="3"/>
  <x:c r="S124" i="3"/>
  <x:c r="O120" i="3"/>
  <x:c r="R115" i="3"/>
  <x:c r="N111" i="3"/>
  <x:c r="Q106" i="3"/>
  <x:c r="M102" i="3"/>
  <x:c r="O96" i="3"/>
  <x:c r="R91" i="3"/>
  <x:c r="N87" i="3"/>
  <x:c r="Q82" i="3"/>
  <x:c r="M78" i="3"/>
  <x:c r="O72" i="3"/>
  <x:c r="R67" i="3"/>
  <x:c r="N63" i="3"/>
  <x:c r="N409" i="3"/>
  <x:c r="J376" i="3"/>
  <x:c r="Q341" i="3"/>
  <x:c r="F312" i="3"/>
  <x:c r="O292" i="3"/>
  <x:c r="K269" i="3"/>
  <x:c r="F248" i="3"/>
  <x:c r="S235" i="3"/>
  <x:c r="K224" i="3"/>
  <x:c r="R212" i="3"/>
  <x:c r="F200" i="3"/>
  <x:c r="I195" i="3"/>
  <x:c r="L190" i="3"/>
  <x:c r="H186" i="3"/>
  <x:c r="K181" i="3"/>
  <x:c r="G177" i="3"/>
  <x:c r="L527" i="3"/>
  <x:c r="N433" i="3"/>
  <x:c r="O386" i="3"/>
  <x:c r="J349" i="3"/>
  <x:c r="O317" i="3"/>
  <x:c r="O297" i="3"/>
  <x:c r="P274" i="3"/>
  <x:c r="N251" i="3"/>
  <x:c r="Q235" i="3"/>
  <x:c r="P221" i="3"/>
  <x:c r="H210" i="3"/>
  <x:c r="S198" i="3"/>
  <x:c r="O194" i="3"/>
  <x:c r="R189" i="3"/>
  <x:c r="N185" i="3"/>
  <x:c r="Q180" i="3"/>
  <x:c r="M176" i="3"/>
  <x:c r="P171" i="3"/>
  <x:c r="S166" i="3"/>
  <x:c r="O162" i="3"/>
  <x:c r="R157" i="3"/>
  <x:c r="N153" i="3"/>
  <x:c r="Q148" i="3"/>
  <x:c r="M144" i="3"/>
  <x:c r="P139" i="3"/>
  <x:c r="S134" i="3"/>
  <x:c r="O130" i="3"/>
  <x:c r="R125" i="3"/>
  <x:c r="N121" i="3"/>
  <x:c r="Q116" i="3"/>
  <x:c r="M112" i="3"/>
  <x:c r="P107" i="3"/>
  <x:c r="S102" i="3"/>
  <x:c r="O98" i="3"/>
  <x:c r="Q92" i="3"/>
  <x:c r="M88" i="3"/>
  <x:c r="P83" i="3"/>
  <x:c r="S596" i="3"/>
  <x:c r="Q405" i="3"/>
  <x:c r="P375" i="3"/>
  <x:c r="P343" i="3"/>
  <x:c r="L313" i="3"/>
  <x:c r="L297" i="3"/>
  <x:c r="L281" i="3"/>
  <x:c r="R263" i="3"/>
  <x:c r="R247" i="3"/>
  <x:c r="N235" i="3"/>
  <x:c r="F224" i="3"/>
  <x:c r="L212" i="3"/>
  <x:c r="S199" i="3"/>
  <x:c r="O195" i="3"/>
  <x:c r="R190" i="3"/>
  <x:c r="N186" i="3"/>
  <x:c r="Q181" i="3"/>
  <x:c r="M177" i="3"/>
  <x:c r="P172" i="3"/>
  <x:c r="S167" i="3"/>
  <x:c r="O163" i="3"/>
  <x:c r="R158" i="3"/>
  <x:c r="N154" i="3"/>
  <x:c r="Q149" i="3"/>
  <x:c r="M145" i="3"/>
  <x:c r="P140" i="3"/>
  <x:c r="S135" i="3"/>
  <x:c r="O131" i="3"/>
  <x:c r="R126" i="3"/>
  <x:c r="N122" i="3"/>
  <x:c r="Q117" i="3"/>
  <x:c r="M113" i="3"/>
  <x:c r="P108" i="3"/>
  <x:c r="S103" i="3"/>
  <x:c r="O99" i="3"/>
  <x:c r="J94" i="3"/>
  <x:c r="F90" i="3"/>
  <x:c r="I85" i="3"/>
  <x:c r="L80" i="3"/>
  <x:c r="H76" i="3"/>
  <x:c r="J70" i="3"/>
  <x:c r="F66" i="3"/>
  <x:c r="I436" i="3"/>
  <x:c r="Q380" i="3"/>
  <x:c r="Q348" i="3"/>
  <x:c r="G313" i="3"/>
  <x:c r="G297" i="3"/>
  <x:c r="G281" i="3"/>
  <x:c r="M263" i="3"/>
  <x:c r="M247" i="3"/>
  <x:c r="K235" i="3"/>
  <x:c r="N222" i="3"/>
  <x:c r="Q209" i="3"/>
  <x:c r="J199" i="3"/>
  <x:c r="F195" i="3"/>
  <x:c r="I190" i="3"/>
  <x:c r="L185" i="3"/>
  <x:c r="H181" i="3"/>
  <x:c r="K176" i="3"/>
  <x:c r="G172" i="3"/>
  <x:c r="J167" i="3"/>
  <x:c r="F163" i="3"/>
  <x:c r="I158" i="3"/>
  <x:c r="L153" i="3"/>
  <x:c r="H149" i="3"/>
  <x:c r="K144" i="3"/>
  <x:c r="G140" i="3"/>
  <x:c r="J135" i="3"/>
  <x:c r="F131" i="3"/>
  <x:c r="I126" i="3"/>
  <x:c r="L121" i="3"/>
  <x:c r="H117" i="3"/>
  <x:c r="K112" i="3"/>
  <x:c r="G108" i="3"/>
  <x:c r="J103" i="3"/>
  <x:c r="F99" i="3"/>
  <x:c r="P93" i="3"/>
  <x:c r="S88" i="3"/>
  <x:c r="O84" i="3"/>
  <x:c r="R79" i="3"/>
  <x:c r="N75" i="3"/>
  <x:c r="I70" i="3"/>
  <x:c r="L65" i="3"/>
  <x:c r="H465" i="3"/>
  <x:c r="P398" i="3"/>
  <x:c r="P366" i="3"/>
  <x:c r="P334" i="3"/>
  <x:c r="H309" i="3"/>
  <x:c r="O289" i="3"/>
  <x:c r="P266" i="3"/>
  <x:c r="K245" i="3"/>
  <x:c r="N232" i="3"/>
  <x:c r="Q219" i="3"/>
  <x:c r="J204" i="3"/>
  <x:c r="N197" i="3"/>
  <x:c r="Q192" i="3"/>
  <x:c r="M188" i="3"/>
  <x:c r="L186" i="3"/>
  <x:c r="Q171" i="3"/>
  <x:c r="I160" i="3"/>
  <x:c r="R144" i="3"/>
  <x:c r="K133" i="3"/>
  <x:c r="N120" i="3"/>
  <x:c r="Q107" i="3"/>
  <x:c r="O93" i="3"/>
  <x:c r="P79" i="3"/>
  <x:c r="L70" i="3"/>
  <x:c r="P62" i="3"/>
  <x:c r="Q57" i="3"/>
  <x:c r="M53" i="3"/>
  <x:c r="P48" i="3"/>
  <x:c r="S43" i="3"/>
  <x:c r="O39" i="3"/>
  <x:c r="R34" i="3"/>
  <x:c r="N30" i="3"/>
  <x:c r="P24" i="3"/>
  <x:c r="S19" i="3"/>
  <x:c r="O15" i="3"/>
  <x:c r="R10" i="3"/>
  <x:c r="N6" i="3"/>
  <x:c r="Q307" i="3"/>
  <x:c r="Q191" i="3"/>
  <x:c r="M171" i="3"/>
  <x:c r="P158" i="3"/>
  <x:c r="N148" i="3"/>
  <x:c r="Q135" i="3"/>
  <x:c r="J124" i="3"/>
  <x:c r="S113" i="3"/>
  <x:c r="G101" i="3"/>
  <x:c r="J88" i="3"/>
  <x:c r="K78" i="3"/>
  <x:c r="K69" i="3"/>
  <x:c r="L61" i="3"/>
  <x:c r="H57" i="3"/>
  <x:c r="K52" i="3"/>
  <x:c r="G48" i="3"/>
  <x:c r="J43" i="3"/>
  <x:c r="F39" i="3"/>
  <x:c r="I34" i="3"/>
  <x:c r="L29" i="3"/>
  <x:c r="G24" i="3"/>
  <x:c r="J19" i="3"/>
  <x:c r="R792" i="3"/>
  <x:c r="S720" i="3"/>
  <x:c r="P686" i="3"/>
  <x:c r="R648" i="3"/>
  <x:c r="P716" i="3"/>
  <x:c r="L713" i="3"/>
  <x:c r="P680" i="3"/>
  <x:c r="M661" i="3"/>
  <x:c r="R642" i="3"/>
  <x:c r="N714" i="3"/>
  <x:c r="F691" i="3"/>
  <x:c r="O680" i="3"/>
  <x:c r="O672" i="3"/>
  <x:c r="R667" i="3"/>
  <x:c r="M662" i="3"/>
  <x:c r="P657" i="3"/>
  <x:c r="S652" i="3"/>
  <x:c r="O648" i="3"/>
  <x:c r="R643" i="3"/>
  <x:c r="M638" i="3"/>
  <x:c r="P633" i="3"/>
  <x:c r="S628" i="3"/>
  <x:c r="O624" i="3"/>
  <x:c r="Q831" i="3"/>
  <x:c r="G773" i="3"/>
  <x:c r="Q733" i="3"/>
  <x:c r="Q717" i="3"/>
  <x:c r="Q702" i="3"/>
  <x:c r="S689" i="3"/>
  <x:c r="R684" i="3"/>
  <x:c r="N680" i="3"/>
  <x:c r="Q675" i="3"/>
  <x:c r="M671" i="3"/>
  <x:c r="P666" i="3"/>
  <x:c r="R660" i="3"/>
  <x:c r="N656" i="3"/>
  <x:c r="Q651" i="3"/>
  <x:c r="M647" i="3"/>
  <x:c r="P642" i="3"/>
  <x:c r="R636" i="3"/>
  <x:c r="N632" i="3"/>
  <x:c r="Q627" i="3"/>
  <x:c r="M623" i="3"/>
  <x:c r="H765" i="3"/>
  <x:c r="N729" i="3"/>
  <x:c r="J710" i="3"/>
  <x:c r="J702" i="3"/>
  <x:c r="J693" i="3"/>
  <x:c r="J687" i="3"/>
  <x:c r="F683" i="3"/>
  <x:c r="I678" i="3"/>
  <x:c r="L673" i="3"/>
  <x:c r="H669" i="3"/>
  <x:c r="R663" i="3"/>
  <x:c r="N659" i="3"/>
  <x:c r="Q654" i="3"/>
  <x:c r="M650" i="3"/>
  <x:c r="P645" i="3"/>
  <x:c r="K640" i="3"/>
  <x:c r="G636" i="3"/>
  <x:c r="J631" i="3"/>
  <x:c r="F627" i="3"/>
  <x:c r="N698" i="3"/>
  <x:c r="K679" i="3"/>
  <x:c r="O666" i="3"/>
  <x:c r="H651" i="3"/>
  <x:c r="N638" i="3"/>
  <x:c r="N630" i="3"/>
  <x:c r="G623" i="3"/>
  <x:c r="O618" i="3"/>
  <x:c r="Q612" i="3"/>
  <x:c r="M608" i="3"/>
  <x:c r="P603" i="3"/>
  <x:c r="S598" i="3"/>
  <x:c r="O594" i="3"/>
  <x:c r="P587" i="3"/>
  <x:c r="S582" i="3"/>
  <x:c r="O578" i="3"/>
  <x:c r="R573" i="3"/>
  <x:c r="N569" i="3"/>
  <x:c r="P563" i="3"/>
  <x:c r="S558" i="3"/>
  <x:c r="N553" i="3"/>
  <x:c r="Q548" i="3"/>
  <x:c r="H759" i="3"/>
  <x:c r="M684" i="3"/>
  <x:c r="J670" i="3"/>
  <x:c r="S658" i="3"/>
  <x:c r="H647" i="3"/>
  <x:c r="K635" i="3"/>
  <x:c r="K627" i="3"/>
  <x:c r="P620" i="3"/>
  <x:c r="S615" i="3"/>
  <x:c r="N610" i="3"/>
  <x:c r="Q605" i="3"/>
  <x:c r="M601" i="3"/>
  <x:c r="P596" i="3"/>
  <x:c r="S591" i="3"/>
  <x:c r="M585" i="3"/>
  <x:c r="P580" i="3"/>
  <x:c r="S575" i="3"/>
  <x:c r="O571" i="3"/>
  <x:c r="Q565" i="3"/>
  <x:c r="M561" i="3"/>
  <x:c r="P556" i="3"/>
  <x:c r="R550" i="3"/>
  <x:c r="G782" i="3"/>
  <x:c r="N705" i="3"/>
  <x:c r="R681" i="3"/>
  <x:c r="G670" i="3"/>
  <x:c r="R654" i="3"/>
  <x:c r="F642" i="3"/>
  <x:c r="J633" i="3"/>
  <x:c r="P707" i="3"/>
  <x:c r="M681" i="3"/>
  <x:c r="H667" i="3"/>
  <x:c r="P655" i="3"/>
  <x:c r="L640" i="3"/>
  <x:c r="I625" i="3"/>
  <x:c r="L619" i="3"/>
  <x:c r="H615" i="3"/>
  <x:c r="J609" i="3"/>
  <x:c r="F605" i="3"/>
  <x:c r="I600" i="3"/>
  <x:c r="L595" i="3"/>
  <x:c r="H591" i="3"/>
  <x:c r="Q584" i="3"/>
  <x:c r="M580" i="3"/>
  <x:c r="P575" i="3"/>
  <x:c r="S570" i="3"/>
  <x:c r="N565" i="3"/>
  <x:c r="Q560" i="3"/>
  <x:c r="M556" i="3"/>
  <x:c r="O550" i="3"/>
  <x:c r="R545" i="3"/>
  <x:c r="O709" i="3"/>
  <x:c r="L683" i="3"/>
  <x:c r="S671" i="3"/>
  <x:c r="M660" i="3"/>
  <x:c r="J646" i="3"/>
  <x:c r="O635" i="3"/>
  <x:c r="O627" i="3"/>
  <x:c r="R620" i="3"/>
  <x:c r="N616" i="3"/>
  <x:c r="I611" i="3"/>
  <x:c r="L606" i="3"/>
  <x:c r="H602" i="3"/>
  <x:c r="K597" i="3"/>
  <x:c r="G593" i="3"/>
  <x:c r="H586" i="3"/>
  <x:c r="K581" i="3"/>
  <x:c r="G577" i="3"/>
  <x:c r="J572" i="3"/>
  <x:c r="F568" i="3"/>
  <x:c r="P562" i="3"/>
  <x:c r="O683" i="3"/>
  <x:c r="H659" i="3"/>
  <x:c r="P631" i="3"/>
  <x:c r="S609" i="3"/>
  <x:c r="S593" i="3"/>
  <x:c r="F730" i="3"/>
  <x:c r="G675" i="3"/>
  <x:c r="I648" i="3"/>
  <x:c r="I624" i="3"/>
  <x:c r="Q615" i="3"/>
  <x:c r="Q606" i="3"/>
  <x:c r="Q598" i="3"/>
  <x:c r="Q590" i="3"/>
  <x:c r="O580" i="3"/>
  <x:c r="O572" i="3"/>
  <x:c r="R563" i="3"/>
  <x:c r="O556" i="3"/>
  <x:c r="K549" i="3"/>
  <x:c r="R543" i="3"/>
  <x:c r="N539" i="3"/>
  <x:c r="Q534" i="3"/>
  <x:c r="M530" i="3"/>
  <x:c r="P525" i="3"/>
  <x:c r="S520" i="3"/>
  <x:c r="O516" i="3"/>
  <x:c r="R511" i="3"/>
  <x:c r="N507" i="3"/>
  <x:c r="Q502" i="3"/>
  <x:c r="R495" i="3"/>
  <x:c r="N491" i="3"/>
  <x:c r="Q486" i="3"/>
  <x:c r="M482" i="3"/>
  <x:c r="P477" i="3"/>
  <x:c r="S472" i="3"/>
  <x:c r="O468" i="3"/>
  <x:c r="R463" i="3"/>
  <x:c r="N459" i="3"/>
  <x:c r="S792" i="3"/>
  <x:c r="N682" i="3"/>
  <x:c r="F653" i="3"/>
  <x:c r="R625" i="3"/>
  <x:c r="O616" i="3"/>
  <x:c r="O607" i="3"/>
  <x:c r="O599" i="3"/>
  <x:c r="O591" i="3"/>
  <x:c r="O581" i="3"/>
  <x:c r="O573" i="3"/>
  <x:c r="N564" i="3"/>
  <x:c r="N556" i="3"/>
  <x:c r="O547" i="3"/>
  <x:c r="H542" i="3"/>
  <x:c r="K537" i="3"/>
  <x:c r="G533" i="3"/>
  <x:c r="J528" i="3"/>
  <x:c r="F524" i="3"/>
  <x:c r="I519" i="3"/>
  <x:c r="L514" i="3"/>
  <x:c r="H510" i="3"/>
  <x:c r="K505" i="3"/>
  <x:c r="L498" i="3"/>
  <x:c r="H494" i="3"/>
  <x:c r="K489" i="3"/>
  <x:c r="G485" i="3"/>
  <x:c r="J480" i="3"/>
  <x:c r="F476" i="3"/>
  <x:c r="I471" i="3"/>
  <x:c r="L466" i="3"/>
  <x:c r="H462" i="3"/>
  <x:c r="K457" i="3"/>
  <x:c r="G453" i="3"/>
  <x:c r="J448" i="3"/>
  <x:c r="F444" i="3"/>
  <x:c r="S674" i="3"/>
  <x:c r="J645" i="3"/>
  <x:c r="M621" i="3"/>
  <x:c r="L612" i="3"/>
  <x:c r="L604" i="3"/>
  <x:c r="L596" i="3"/>
  <x:c r="L586" i="3"/>
  <x:c r="L578" i="3"/>
  <x:c r="L570" i="3"/>
  <x:c r="K561" i="3"/>
  <x:c r="H553" i="3"/>
  <x:c r="H546" i="3"/>
  <x:c r="N541" i="3"/>
  <x:c r="Q536" i="3"/>
  <x:c r="M532" i="3"/>
  <x:c r="P527" i="3"/>
  <x:c r="S522" i="3"/>
  <x:c r="O518" i="3"/>
  <x:c r="R513" i="3"/>
  <x:c r="N509" i="3"/>
  <x:c r="Q504" i="3"/>
  <x:c r="K498" i="3"/>
  <x:c r="G494" i="3"/>
  <x:c r="J489" i="3"/>
  <x:c r="F485" i="3"/>
  <x:c r="I480" i="3"/>
  <x:c r="L475" i="3"/>
  <x:c r="H471" i="3"/>
  <x:c r="K466" i="3"/>
  <x:c r="G462" i="3"/>
  <x:c r="J457" i="3"/>
  <x:c r="F453" i="3"/>
  <x:c r="I448" i="3"/>
  <x:c r="L443" i="3"/>
  <x:c r="P710" i="3"/>
  <x:c r="H671" i="3"/>
  <x:c r="H632" i="3"/>
  <x:c r="K619" i="3"/>
  <x:c r="J610" i="3"/>
  <x:c r="J602" i="3"/>
  <x:c r="J594" i="3"/>
  <x:c r="J584" i="3"/>
  <x:c r="J576" i="3"/>
  <x:c r="J568" i="3"/>
  <x:c r="Q559" i="3"/>
  <x:c r="N551" i="3"/>
  <x:c r="P544" i="3"/>
  <x:c r="S539" i="3"/>
  <x:c r="O535" i="3"/>
  <x:c r="R530" i="3"/>
  <x:c r="N526" i="3"/>
  <x:c r="Q521" i="3"/>
  <x:c r="M517" i="3"/>
  <x:c r="P512" i="3"/>
  <x:c r="S507" i="3"/>
  <x:c r="M676" i="3"/>
  <x:c r="S646" i="3"/>
  <x:c r="R626" i="3"/>
  <x:c r="G613" i="3"/>
  <x:c r="F603" i="3"/>
  <x:c r="G591" i="3"/>
  <x:c r="F579" i="3"/>
  <x:c r="G567" i="3"/>
  <x:c r="S557" i="3"/>
  <x:c r="O549" i="3"/>
  <x:c r="M543" i="3"/>
  <x:c r="P538" i="3"/>
  <x:c r="S533" i="3"/>
  <x:c r="O529" i="3"/>
  <x:c r="R524" i="3"/>
  <x:c r="N520" i="3"/>
  <x:c r="Q515" i="3"/>
  <x:c r="M511" i="3"/>
  <x:c r="P506" i="3"/>
  <x:c r="Q499" i="3"/>
  <x:c r="M495" i="3"/>
  <x:c r="P490" i="3"/>
  <x:c r="S485" i="3"/>
  <x:c r="O481" i="3"/>
  <x:c r="R476" i="3"/>
  <x:c r="N472" i="3"/>
  <x:c r="Q467" i="3"/>
  <x:c r="M463" i="3"/>
  <x:c r="P458" i="3"/>
  <x:c r="S453" i="3"/>
  <x:c r="J619" i="3"/>
  <x:c r="J587" i="3"/>
  <x:c r="O559" i="3"/>
  <x:c r="R539" i="3"/>
  <x:c r="Q525" i="3"/>
  <x:c r="I514" i="3"/>
  <x:c r="R499" i="3"/>
  <x:c r="S487" i="3"/>
  <x:c r="R477" i="3"/>
  <x:c r="R467" i="3"/>
  <x:c r="S455" i="3"/>
  <x:c r="Q449" i="3"/>
  <x:c r="N443" i="3"/>
  <x:c r="P438" i="3"/>
  <x:c r="S433" i="3"/>
  <x:c r="O429" i="3"/>
  <x:c r="Q423" i="3"/>
  <x:c r="M419" i="3"/>
  <x:c r="P414" i="3"/>
  <x:c r="R607" i="3"/>
  <x:c r="S563" i="3"/>
  <x:c r="L543" i="3"/>
  <x:c r="I533" i="3"/>
  <x:c r="M520" i="3"/>
  <x:c r="S508" i="3"/>
  <x:c r="Q498" i="3"/>
  <x:c r="Q490" i="3"/>
  <x:c r="Q482" i="3"/>
  <x:c r="Q474" i="3"/>
  <x:c r="Q466" i="3"/>
  <x:c r="Q458" i="3"/>
  <x:c r="G451" i="3"/>
  <x:c r="L445" i="3"/>
  <x:c r="I440" i="3"/>
  <x:c r="L435" i="3"/>
  <x:c r="H431" i="3"/>
  <x:c r="R425" i="3"/>
  <x:c r="N421" i="3"/>
  <x:c r="Q416" i="3"/>
  <x:c r="M412" i="3"/>
  <x:c r="P407" i="3"/>
  <x:c r="J662" i="3"/>
  <x:c r="H601" i="3"/>
  <x:c r="R568" i="3"/>
  <x:c r="M546" i="3"/>
  <x:c r="K534" i="3"/>
  <x:c r="L520" i="3"/>
  <x:c r="O507" i="3"/>
  <x:c r="P497" i="3"/>
  <x:c r="P489" i="3"/>
  <x:c r="P481" i="3"/>
  <x:c r="P473" i="3"/>
  <x:c r="P465" i="3"/>
  <x:c r="P457" i="3"/>
  <x:c r="J450" i="3"/>
  <x:c r="J443" i="3"/>
  <x:c r="N438" i="3"/>
  <x:c r="Q433" i="3"/>
  <x:c r="M429" i="3"/>
  <x:c r="H424" i="3"/>
  <x:c r="K419" i="3"/>
  <x:c r="G415" i="3"/>
  <x:c r="J410" i="3"/>
  <x:c r="F406" i="3"/>
  <x:c r="I401" i="3"/>
  <x:c r="L396" i="3"/>
  <x:c r="H392" i="3"/>
  <x:c r="K387" i="3"/>
  <x:c r="G383" i="3"/>
  <x:c r="J378" i="3"/>
  <x:c r="F374" i="3"/>
  <x:c r="I369" i="3"/>
  <x:c r="S363" i="3"/>
  <x:c r="O359" i="3"/>
  <x:c r="R354" i="3"/>
  <x:c r="N350" i="3"/>
  <x:c r="Q345" i="3"/>
  <x:c r="M341" i="3"/>
  <x:c r="P336" i="3"/>
  <x:c r="S331" i="3"/>
  <x:c r="N326" i="3"/>
  <x:c r="Q321" i="3"/>
  <x:c r="M317" i="3"/>
  <x:c r="I586" i="3"/>
  <x:c r="I555" i="3"/>
  <x:c r="R541" i="3"/>
  <x:c r="N530" i="3"/>
  <x:c r="S518" i="3"/>
  <x:c r="K507" i="3"/>
  <x:c r="N497" i="3"/>
  <x:c r="N489" i="3"/>
  <x:c r="N481" i="3"/>
  <x:c r="N473" i="3"/>
  <x:c r="N465" i="3"/>
  <x:c r="N457" i="3"/>
  <x:c r="I450" i="3"/>
  <x:c r="S443" i="3"/>
  <x:c r="M438" i="3"/>
  <x:c r="P433" i="3"/>
  <x:c r="R427" i="3"/>
  <x:c r="N423" i="3"/>
  <x:c r="Q418" i="3"/>
  <x:c r="M414" i="3"/>
  <x:c r="P409" i="3"/>
  <x:c r="S404" i="3"/>
  <x:c r="O400" i="3"/>
  <x:c r="R395" i="3"/>
  <x:c r="N391" i="3"/>
  <x:c r="Q386" i="3"/>
  <x:c r="M382" i="3"/>
  <x:c r="P377" i="3"/>
  <x:c r="S372" i="3"/>
  <x:c r="O368" i="3"/>
  <x:c r="J363" i="3"/>
  <x:c r="F359" i="3"/>
  <x:c r="I354" i="3"/>
  <x:c r="L349" i="3"/>
  <x:c r="H345" i="3"/>
  <x:c r="K340" i="3"/>
  <x:c r="G336" i="3"/>
  <x:c r="J331" i="3"/>
  <x:c r="L325" i="3"/>
  <x:c r="H321" i="3"/>
  <x:c r="K316" i="3"/>
  <x:c r="I615" i="3"/>
  <x:c r="Q577" i="3"/>
  <x:c r="G551" i="3"/>
  <x:c r="O536" i="3"/>
  <x:c r="R523" i="3"/>
  <x:c r="Q509" i="3"/>
  <x:c r="J499" i="3"/>
  <x:c r="J491" i="3"/>
  <x:c r="J483" i="3"/>
  <x:c r="J475" i="3"/>
  <x:c r="J467" i="3"/>
  <x:c r="J459" i="3"/>
  <x:c r="H452" i="3"/>
  <x:c r="N446" i="3"/>
  <x:c r="G441" i="3"/>
  <x:c r="J436" i="3"/>
  <x:c r="F432" i="3"/>
  <x:c r="H426" i="3"/>
  <x:c r="K421" i="3"/>
  <x:c r="G417" i="3"/>
  <x:c r="J412" i="3"/>
  <x:c r="F408" i="3"/>
  <x:c r="I403" i="3"/>
  <x:c r="L398" i="3"/>
  <x:c r="H394" i="3"/>
  <x:c r="K389" i="3"/>
  <x:c r="G385" i="3"/>
  <x:c r="J380" i="3"/>
  <x:c r="F376" i="3"/>
  <x:c r="I371" i="3"/>
  <x:c r="L366" i="3"/>
  <x:c r="G361" i="3"/>
  <x:c r="J356" i="3"/>
  <x:c r="F352" i="3"/>
  <x:c r="I347" i="3"/>
  <x:c r="L342" i="3"/>
  <x:c r="H338" i="3"/>
  <x:c r="K333" i="3"/>
  <x:c r="G329" i="3"/>
  <x:c r="Q323" i="3"/>
  <x:c r="M319" i="3"/>
  <x:c r="S712" i="3"/>
  <x:c r="H600" i="3"/>
  <x:c r="S569" i="3"/>
  <x:c r="Q545" i="3"/>
  <x:c r="R533" i="3"/>
  <x:c r="I602" i="3"/>
  <x:c r="H569" i="3"/>
  <x:c r="G547" i="3"/>
  <x:c r="S534" i="3"/>
  <x:c r="J523" i="3"/>
  <x:c r="S511" i="3"/>
  <x:c r="S492" i="3"/>
  <x:c r="S476" i="3"/>
  <x:c r="S460" i="3"/>
  <x:c r="I451" i="3"/>
  <x:c r="S444" i="3"/>
  <x:c r="J439" i="3"/>
  <x:c r="F435" i="3"/>
  <x:c r="I430" i="3"/>
  <x:c r="K424" i="3"/>
  <x:c r="G420" i="3"/>
  <x:c r="J415" i="3"/>
  <x:c r="F411" i="3"/>
  <x:c r="I406" i="3"/>
  <x:c r="L401" i="3"/>
  <x:c r="H397" i="3"/>
  <x:c r="K392" i="3"/>
  <x:c r="G388" i="3"/>
  <x:c r="J383" i="3"/>
  <x:c r="F379" i="3"/>
  <x:c r="I374" i="3"/>
  <x:c r="L369" i="3"/>
  <x:c r="G364" i="3"/>
  <x:c r="J359" i="3"/>
  <x:c r="F355" i="3"/>
  <x:c r="I350" i="3"/>
  <x:c r="L345" i="3"/>
  <x:c r="H341" i="3"/>
  <x:c r="K336" i="3"/>
  <x:c r="G332" i="3"/>
  <x:c r="I326" i="3"/>
  <x:c r="L321" i="3"/>
  <x:c r="J531" i="3"/>
  <x:c r="G499" i="3"/>
  <x:c r="I458" i="3"/>
  <x:c r="J429" i="3"/>
  <x:c r="G411" i="3"/>
  <x:c r="L400" i="3"/>
  <x:c r="L392" i="3"/>
  <x:c r="L384" i="3"/>
  <x:c r="L376" i="3"/>
  <x:c r="L368" i="3"/>
  <x:c r="K359" i="3"/>
  <x:c r="K351" i="3"/>
  <x:c r="K343" i="3"/>
  <x:c r="K335" i="3"/>
  <x:c r="K326" i="3"/>
  <x:c r="K318" i="3"/>
  <x:c r="L312" i="3"/>
  <x:c r="H308" i="3"/>
  <x:c r="K303" i="3"/>
  <x:c r="G299" i="3"/>
  <x:c r="J294" i="3"/>
  <x:c r="F290" i="3"/>
  <x:c r="I285" i="3"/>
  <x:c r="L280" i="3"/>
  <x:c r="H276" i="3"/>
  <x:c r="K271" i="3"/>
  <x:c r="G267" i="3"/>
  <x:c r="Q261" i="3"/>
  <x:c r="M257" i="3"/>
  <x:c r="P252" i="3"/>
  <x:c r="S247" i="3"/>
  <x:c r="O243" i="3"/>
  <x:c r="R238" i="3"/>
  <x:c r="N234" i="3"/>
  <x:c r="Q229" i="3"/>
  <x:c r="M225" i="3"/>
  <x:c r="P220" i="3"/>
  <x:c r="S215" i="3"/>
  <x:c r="O211" i="3"/>
  <x:c r="R206" i="3"/>
  <x:c r="M201" i="3"/>
  <x:c r="H504" i="3"/>
  <x:c r="F455" i="3"/>
  <x:c r="H436" i="3"/>
  <x:c r="H420" i="3"/>
  <x:c r="R406" i="3"/>
  <x:c r="H398" i="3"/>
  <x:c r="H390" i="3"/>
  <x:c r="H382" i="3"/>
  <x:c r="H374" i="3"/>
  <x:c r="H366" i="3"/>
  <x:c r="I357" i="3"/>
  <x:c r="I349" i="3"/>
  <x:c r="I341" i="3"/>
  <x:c r="I333" i="3"/>
  <x:c r="I324" i="3"/>
  <x:c r="P316" i="3"/>
  <x:c r="Q311" i="3"/>
  <x:c r="M307" i="3"/>
  <x:c r="P302" i="3"/>
  <x:c r="S297" i="3"/>
  <x:c r="O293" i="3"/>
  <x:c r="R288" i="3"/>
  <x:c r="N284" i="3"/>
  <x:c r="Q279" i="3"/>
  <x:c r="M275" i="3"/>
  <x:c r="P270" i="3"/>
  <x:c r="R264" i="3"/>
  <x:c r="N260" i="3"/>
  <x:c r="Q255" i="3"/>
  <x:c r="M251" i="3"/>
  <x:c r="P246" i="3"/>
  <x:c r="S241" i="3"/>
  <x:c r="O237" i="3"/>
  <x:c r="R232" i="3"/>
  <x:c r="N228" i="3"/>
  <x:c r="Q223" i="3"/>
  <x:c r="M219" i="3"/>
  <x:c r="P214" i="3"/>
  <x:c r="S209" i="3"/>
  <x:c r="N204" i="3"/>
  <x:c r="O654" i="3"/>
  <x:c r="O523" i="3"/>
  <x:c r="H483" i="3"/>
  <x:c r="P452" i="3"/>
  <x:c r="L432" i="3"/>
  <x:c r="K414" i="3"/>
  <x:c r="G403" i="3"/>
  <x:c r="F393" i="3"/>
  <x:c r="G381" i="3"/>
  <x:c r="G371" i="3"/>
  <x:c r="G358" i="3"/>
  <x:c r="H348" i="3"/>
  <x:c r="F338" i="3"/>
  <x:c r="G326" i="3"/>
  <x:c r="O316" i="3"/>
  <x:c r="P311" i="3"/>
  <x:c r="S306" i="3"/>
  <x:c r="O302" i="3"/>
  <x:c r="R297" i="3"/>
  <x:c r="N293" i="3"/>
  <x:c r="Q288" i="3"/>
  <x:c r="M284" i="3"/>
  <x:c r="P279" i="3"/>
  <x:c r="S274" i="3"/>
  <x:c r="O270" i="3"/>
  <x:c r="Q264" i="3"/>
  <x:c r="M260" i="3"/>
  <x:c r="P255" i="3"/>
  <x:c r="S250" i="3"/>
  <x:c r="O246" i="3"/>
  <x:c r="R241" i="3"/>
  <x:c r="N237" i="3"/>
  <x:c r="Q232" i="3"/>
  <x:c r="M228" i="3"/>
  <x:c r="P223" i="3"/>
  <x:c r="S218" i="3"/>
  <x:c r="O214" i="3"/>
  <x:c r="R209" i="3"/>
  <x:c r="M204" i="3"/>
  <x:c r="O623" i="3"/>
  <x:c r="F495" i="3"/>
  <x:c r="K454" i="3"/>
  <x:c r="P435" i="3"/>
  <x:c r="P411" i="3"/>
  <x:c r="S398" i="3"/>
  <x:c r="S382" i="3"/>
  <x:c r="S366" i="3"/>
  <x:c r="F349" i="3"/>
  <x:c r="F333" i="3"/>
  <x:c r="I317" i="3"/>
  <x:c r="P312" i="3"/>
  <x:c r="S307" i="3"/>
  <x:c r="O303" i="3"/>
  <x:c r="R298" i="3"/>
  <x:c r="N294" i="3"/>
  <x:c r="Q289" i="3"/>
  <x:c r="M285" i="3"/>
  <x:c r="P280" i="3"/>
  <x:c r="S275" i="3"/>
  <x:c r="O271" i="3"/>
  <x:c r="R266" i="3"/>
  <x:c r="M261" i="3"/>
  <x:c r="P256" i="3"/>
  <x:c r="S251" i="3"/>
  <x:c r="O247" i="3"/>
  <x:c r="P532" i="3"/>
  <x:c r="H491" i="3"/>
  <x:c r="H459" i="3"/>
  <x:c r="S431" i="3"/>
  <x:c r="G410" i="3"/>
  <x:c r="R398" i="3"/>
  <x:c r="S386" i="3"/>
  <x:c r="R376" i="3"/>
  <x:c r="R366" i="3"/>
  <x:c r="S353" i="3"/>
  <x:c r="Q343" i="3"/>
  <x:c r="R333" i="3"/>
  <x:c r="R320" i="3"/>
  <x:c r="I314" i="3"/>
  <x:c r="L309" i="3"/>
  <x:c r="H305" i="3"/>
  <x:c r="K300" i="3"/>
  <x:c r="G296" i="3"/>
  <x:c r="J291" i="3"/>
  <x:c r="F287" i="3"/>
  <x:c r="I282" i="3"/>
  <x:c r="L277" i="3"/>
  <x:c r="H273" i="3"/>
  <x:c r="K268" i="3"/>
  <x:c r="F263" i="3"/>
  <x:c r="I258" i="3"/>
  <x:c r="L253" i="3"/>
  <x:c r="H249" i="3"/>
  <x:c r="K244" i="3"/>
  <x:c r="G240" i="3"/>
  <x:c r="J235" i="3"/>
  <x:c r="F231" i="3"/>
  <x:c r="I226" i="3"/>
  <x:c r="L221" i="3"/>
  <x:c r="H217" i="3"/>
  <x:c r="K212" i="3"/>
  <x:c r="G208" i="3"/>
  <x:c r="Q202" i="3"/>
  <x:c r="R602" i="3"/>
  <x:c r="H508" i="3"/>
  <x:c r="H476" i="3"/>
  <x:c r="K444" i="3"/>
  <x:c r="Q429" i="3"/>
  <x:c r="Q413" i="3"/>
  <x:c r="N401" i="3"/>
  <x:c r="N393" i="3"/>
  <x:c r="N385" i="3"/>
  <x:c r="N377" i="3"/>
  <x:c r="N369" i="3"/>
  <x:c r="M360" i="3"/>
  <x:c r="M352" i="3"/>
  <x:c r="M344" i="3"/>
  <x:c r="M336" i="3"/>
  <x:c r="M328" i="3"/>
  <x:c r="L319" i="3"/>
  <x:c r="G314" i="3"/>
  <x:c r="J309" i="3"/>
  <x:c r="F305" i="3"/>
  <x:c r="I300" i="3"/>
  <x:c r="L295" i="3"/>
  <x:c r="H291" i="3"/>
  <x:c r="K286" i="3"/>
  <x:c r="G282" i="3"/>
  <x:c r="J277" i="3"/>
  <x:c r="F273" i="3"/>
  <x:c r="I268" i="3"/>
  <x:c r="K262" i="3"/>
  <x:c r="G258" i="3"/>
  <x:c r="J253" i="3"/>
  <x:c r="F249" i="3"/>
  <x:c r="I244" i="3"/>
  <x:c r="L239" i="3"/>
  <x:c r="H235" i="3"/>
  <x:c r="K230" i="3"/>
  <x:c r="G226" i="3"/>
  <x:c r="J221" i="3"/>
  <x:c r="F217" i="3"/>
  <x:c r="I212" i="3"/>
  <x:c r="L207" i="3"/>
  <x:c r="G202" i="3"/>
  <x:c r="S439" i="3"/>
  <x:c r="J390" i="3"/>
  <x:c r="J358" i="3"/>
  <x:c r="J326" i="3"/>
  <x:c r="L305" i="3"/>
  <x:c r="L289" i="3"/>
  <x:c r="L273" i="3"/>
  <x:c r="L257" i="3"/>
  <x:c r="S243" i="3"/>
  <x:c r="K232" i="3"/>
  <x:c r="R220" i="3"/>
  <x:c r="I209" i="3"/>
  <x:c r="N198" i="3"/>
  <x:c r="Q193" i="3"/>
  <x:c r="M189" i="3"/>
  <x:c r="P184" i="3"/>
  <x:c r="S179" i="3"/>
  <x:c r="O175" i="3"/>
  <x:c r="R170" i="3"/>
  <x:c r="N166" i="3"/>
  <x:c r="Q161" i="3"/>
  <x:c r="M157" i="3"/>
  <x:c r="P152" i="3"/>
  <x:c r="S147" i="3"/>
  <x:c r="O143" i="3"/>
  <x:c r="R138" i="3"/>
  <x:c r="N134" i="3"/>
  <x:c r="Q129" i="3"/>
  <x:c r="M125" i="3"/>
  <x:c r="P120" i="3"/>
  <x:c r="S115" i="3"/>
  <x:c r="O111" i="3"/>
  <x:c r="R106" i="3"/>
  <x:c r="N102" i="3"/>
  <x:c r="P96" i="3"/>
  <x:c r="S91" i="3"/>
  <x:c r="O87" i="3"/>
  <x:c r="R82" i="3"/>
  <x:c r="N78" i="3"/>
  <x:c r="P72" i="3"/>
  <x:c r="S67" i="3"/>
  <x:c r="O63" i="3"/>
  <x:c r="F470" i="3"/>
  <x:c r="S406" i="3"/>
  <x:c r="Q376" i="3"/>
  <x:c r="Q344" i="3"/>
  <x:c r="K312" i="3"/>
  <x:c r="K296" i="3"/>
  <x:c r="K280" i="3"/>
  <x:c r="K264" i="3"/>
  <x:c r="K248" i="3"/>
  <x:c r="L233" i="3"/>
  <x:c r="O220" i="3"/>
  <x:c r="G209" i="3"/>
  <x:c r="L197" i="3"/>
  <x:c r="H193" i="3"/>
  <x:c r="K188" i="3"/>
  <x:c r="G184" i="3"/>
  <x:c r="J179" i="3"/>
  <x:c r="F175" i="3"/>
  <x:c r="I170" i="3"/>
  <x:c r="L165" i="3"/>
  <x:c r="H161" i="3"/>
  <x:c r="K156" i="3"/>
  <x:c r="G152" i="3"/>
  <x:c r="J147" i="3"/>
  <x:c r="F143" i="3"/>
  <x:c r="I138" i="3"/>
  <x:c r="L133" i="3"/>
  <x:c r="H129" i="3"/>
  <x:c r="K124" i="3"/>
  <x:c r="G120" i="3"/>
  <x:c r="J115" i="3"/>
  <x:c r="F111" i="3"/>
  <x:c r="I106" i="3"/>
  <x:c r="L101" i="3"/>
  <x:c r="G96" i="3"/>
  <x:c r="J91" i="3"/>
  <x:c r="F87" i="3"/>
  <x:c r="I82" i="3"/>
  <x:c r="L77" i="3"/>
  <x:c r="G72" i="3"/>
  <x:c r="J67" i="3"/>
  <x:c r="F63" i="3"/>
  <x:c r="H406" i="3"/>
  <x:c r="Q373" i="3"/>
  <x:c r="J336" i="3"/>
  <x:c r="I310" i="3"/>
  <x:c r="J287" i="3"/>
  <x:c r="Q267" i="3"/>
  <x:c r="I246" i="3"/>
  <x:c r="P234" i="3"/>
  <x:c r="G223" i="3"/>
  <x:c r="N211" i="3"/>
  <x:c r="M199" i="3"/>
  <x:c r="P194" i="3"/>
  <x:c r="S189" i="3"/>
  <x:c r="O185" i="3"/>
  <x:c r="R180" i="3"/>
  <x:c r="N176" i="3"/>
  <x:c r="F521" i="3"/>
  <x:c r="I429" i="3"/>
  <x:c r="J381" i="3"/>
  <x:c r="O346" i="3"/>
  <x:c r="N315" i="3"/>
  <x:c r="J292" i="3"/>
  <x:c r="S272" i="3"/>
  <x:c r="O249" i="3"/>
  <x:c r="M234" i="3"/>
  <x:c r="J220" i="3"/>
  <x:c r="S208" i="3"/>
  <x:c r="K198" i="3"/>
  <x:c r="G194" i="3"/>
  <x:c r="J189" i="3"/>
  <x:c r="F185" i="3"/>
  <x:c r="I180" i="3"/>
  <x:c r="L175" i="3"/>
  <x:c r="H171" i="3"/>
  <x:c r="K166" i="3"/>
  <x:c r="G162" i="3"/>
  <x:c r="J157" i="3"/>
  <x:c r="F153" i="3"/>
  <x:c r="I148" i="3"/>
  <x:c r="L143" i="3"/>
  <x:c r="H139" i="3"/>
  <x:c r="K134" i="3"/>
  <x:c r="G130" i="3"/>
  <x:c r="J125" i="3"/>
  <x:c r="F121" i="3"/>
  <x:c r="I116" i="3"/>
  <x:c r="L111" i="3"/>
  <x:c r="H107" i="3"/>
  <x:c r="K102" i="3"/>
  <x:c r="G98" i="3"/>
  <x:c r="I92" i="3"/>
  <x:c r="L87" i="3"/>
  <x:c r="H83" i="3"/>
  <x:c r="K532" i="3"/>
  <x:c r="K402" i="3"/>
  <x:c r="K370" i="3"/>
  <x:c r="K338" i="3"/>
  <x:c r="R311" i="3"/>
  <x:c r="R295" i="3"/>
  <x:c r="R279" i="3"/>
  <x:c r="S261" i="3"/>
  <x:c r="S245" i="3"/>
  <x:c r="J234" i="3"/>
  <x:c r="Q222" i="3"/>
  <x:c r="I211" i="3"/>
  <x:c r="K199" i="3"/>
  <x:c r="G195" i="3"/>
  <x:c r="J190" i="3"/>
  <x:c r="F186" i="3"/>
  <x:c r="I181" i="3"/>
  <x:c r="L176" i="3"/>
  <x:c r="H172" i="3"/>
  <x:c r="K167" i="3"/>
  <x:c r="G163" i="3"/>
  <x:c r="J158" i="3"/>
  <x:c r="F154" i="3"/>
  <x:c r="I149" i="3"/>
  <x:c r="L144" i="3"/>
  <x:c r="H140" i="3"/>
  <x:c r="K135" i="3"/>
  <x:c r="G131" i="3"/>
  <x:c r="J126" i="3"/>
  <x:c r="F122" i="3"/>
  <x:c r="I117" i="3"/>
  <x:c r="L112" i="3"/>
  <x:c r="H108" i="3"/>
  <x:c r="K103" i="3"/>
  <x:c r="G99" i="3"/>
  <x:c r="Q93" i="3"/>
  <x:c r="M89" i="3"/>
  <x:c r="P84" i="3"/>
  <x:c r="S79" i="3"/>
  <x:c r="O75" i="3"/>
  <x:c r="Q69" i="3"/>
  <x:c r="M65" i="3"/>
  <x:c r="H419" i="3"/>
  <x:c r="I375" i="3"/>
  <x:c r="I343" i="3"/>
  <x:c r="M311" i="3"/>
  <x:c r="M295" i="3"/>
  <x:c r="M279" i="3"/>
  <x:c r="P261" i="3"/>
  <x:c r="P245" i="3"/>
  <x:c r="H234" i="3"/>
  <x:c r="K221" i="3"/>
  <x:c r="N208" i="3"/>
  <x:c r="Q198" i="3"/>
  <x:c r="M194" i="3"/>
  <x:c r="P189" i="3"/>
  <x:c r="S184" i="3"/>
  <x:c r="O180" i="3"/>
  <x:c r="R175" i="3"/>
  <x:c r="N171" i="3"/>
  <x:c r="Q166" i="3"/>
  <x:c r="M162" i="3"/>
  <x:c r="P157" i="3"/>
  <x:c r="S152" i="3"/>
  <x:c r="O148" i="3"/>
  <x:c r="R143" i="3"/>
  <x:c r="N139" i="3"/>
  <x:c r="Q134" i="3"/>
  <x:c r="M130" i="3"/>
  <x:c r="P125" i="3"/>
  <x:c r="S120" i="3"/>
  <x:c r="O116" i="3"/>
  <x:c r="R111" i="3"/>
  <x:c r="N107" i="3"/>
  <x:c r="Q102" i="3"/>
  <x:c r="M98" i="3"/>
  <x:c r="H93" i="3"/>
  <x:c r="K88" i="3"/>
  <x:c r="G84" i="3"/>
  <x:c r="J79" i="3"/>
  <x:c r="F75" i="3"/>
  <x:c r="P69" i="3"/>
  <x:c r="S64" i="3"/>
  <x:c r="Q450" i="3"/>
  <x:c r="K393" i="3"/>
  <x:c r="K361" i="3"/>
  <x:c r="K329" i="3"/>
  <x:c r="N307" i="3"/>
  <x:c r="J284" i="3"/>
  <x:c r="S264" i="3"/>
  <x:c r="R242" i="3"/>
  <x:c r="J231" i="3"/>
  <x:c r="M218" i="3"/>
  <x:c r="F203" i="3"/>
  <x:c r="F197" i="3"/>
  <x:c r="I192" i="3"/>
  <x:c r="L187" i="3"/>
  <x:c r="R184" i="3"/>
  <x:c r="K170" i="3"/>
  <x:c r="O157" i="3"/>
  <x:c r="P143" i="3"/>
  <x:c r="F132" i="3"/>
  <x:c r="I119" i="3"/>
  <x:c r="K106" i="3"/>
  <x:c r="M92" i="3"/>
  <x:c r="L78" i="3"/>
  <x:c r="N69" i="3"/>
  <x:c r="G62" i="3"/>
  <x:c r="I57" i="3"/>
  <x:c r="L52" i="3"/>
  <x:c r="H48" i="3"/>
  <x:c r="K43" i="3"/>
  <x:c r="G39" i="3"/>
  <x:c r="J34" i="3"/>
  <x:c r="F30" i="3"/>
  <x:c r="H24" i="3"/>
  <x:c r="K19" i="3"/>
  <x:c r="G15" i="3"/>
  <x:c r="J10" i="3"/>
  <x:c r="F6" i="3"/>
  <x:c r="J295" i="3"/>
  <x:c r="K186" i="3"/>
  <x:c r="H170" i="3"/>
  <x:c r="N157" i="3"/>
  <x:c r="I147" i="3"/>
  <x:c r="L134" i="3"/>
  <x:c r="S122" i="3"/>
  <x:c r="Q112" i="3"/>
  <x:c r="L98" i="3"/>
  <x:c r="H87" i="3"/>
  <x:c r="K77" i="3"/>
  <x:c r="M68" i="3"/>
  <x:c r="S60" i="3"/>
  <x:c r="O56" i="3"/>
  <x:c r="R51" i="3"/>
  <x:c r="N47" i="3"/>
  <x:c r="Q42" i="3"/>
  <x:c r="M38" i="3"/>
  <x:c r="P33" i="3"/>
  <x:c r="S28" i="3"/>
  <x:c r="N23" i="3"/>
  <x:c r="F781" i="3"/>
  <x:c r="O716" i="3"/>
  <x:c r="S681" i="3"/>
  <x:c r="N644" i="3"/>
  <x:c r="H702" i="3"/>
  <x:c r="S702" i="3"/>
  <x:c r="L676" i="3"/>
  <x:c r="I657" i="3"/>
  <x:c r="F871" i="3"/>
  <x:c r="R709" i="3"/>
  <x:c r="G688" i="3"/>
  <x:c r="F679" i="3"/>
  <x:c r="G672" i="3"/>
  <x:c r="J667" i="3"/>
  <x:c r="L661" i="3"/>
  <x:c r="H657" i="3"/>
  <x:c r="K652" i="3"/>
  <x:c r="G648" i="3"/>
  <x:c r="J643" i="3"/>
  <x:c r="L637" i="3"/>
  <x:c r="H633" i="3"/>
  <x:c r="K628" i="3"/>
  <x:c r="G624" i="3"/>
  <x:c r="Q825" i="3"/>
  <x:c r="S769" i="3"/>
  <x:c r="G730" i="3"/>
  <x:c r="M714" i="3"/>
  <x:c r="Q700" i="3"/>
  <x:c r="G689" i="3"/>
  <x:c r="J684" i="3"/>
  <x:c r="F680" i="3"/>
  <x:c r="I675" i="3"/>
  <x:c r="L670" i="3"/>
  <x:c r="H666" i="3"/>
  <x:c r="J660" i="3"/>
  <x:c r="F656" i="3"/>
  <x:c r="I651" i="3"/>
  <x:c r="L646" i="3"/>
  <x:c r="H642" i="3"/>
  <x:c r="J636" i="3"/>
  <x:c r="F632" i="3"/>
  <x:c r="I627" i="3"/>
  <x:c r="K854" i="3"/>
  <x:c r="F756" i="3"/>
  <x:c r="R725" i="3"/>
  <x:c r="J709" i="3"/>
  <x:c r="N700" i="3"/>
  <x:c r="N692" i="3"/>
  <x:c r="Q686" i="3"/>
  <x:c r="M682" i="3"/>
  <x:c r="P677" i="3"/>
  <x:c r="S672" i="3"/>
  <x:c r="O668" i="3"/>
  <x:c r="J663" i="3"/>
  <x:c r="F659" i="3"/>
  <x:c r="I654" i="3"/>
  <x:c r="L649" i="3"/>
  <x:c r="H645" i="3"/>
  <x:c r="R639" i="3"/>
  <x:c r="N635" i="3"/>
  <x:c r="Q630" i="3"/>
  <x:c r="M626" i="3"/>
  <x:c r="L695" i="3"/>
  <x:c r="G678" i="3"/>
  <x:c r="R662" i="3"/>
  <x:c r="F650" i="3"/>
  <x:c r="N637" i="3"/>
  <x:c r="N629" i="3"/>
  <x:c r="K622" i="3"/>
  <x:c r="G618" i="3"/>
  <x:c r="I612" i="3"/>
  <x:c r="L607" i="3"/>
  <x:c r="H603" i="3"/>
  <x:c r="K598" i="3"/>
  <x:c r="G594" i="3"/>
  <x:c r="H587" i="3"/>
  <x:c r="K582" i="3"/>
  <x:c r="G578" i="3"/>
  <x:c r="J573" i="3"/>
  <x:c r="F569" i="3"/>
  <x:c r="H563" i="3"/>
  <x:c r="K558" i="3"/>
  <x:c r="F553" i="3"/>
  <x:c r="I548" i="3"/>
  <x:c r="G714" i="3"/>
  <x:c r="G683" i="3"/>
  <x:c r="F669" i="3"/>
  <x:c r="N657" i="3"/>
  <x:c r="Q644" i="3"/>
  <x:c r="K634" i="3"/>
  <x:c r="K626" i="3"/>
  <x:c r="H620" i="3"/>
  <x:c r="K615" i="3"/>
  <x:c r="F610" i="3"/>
  <x:c r="I605" i="3"/>
  <x:c r="L600" i="3"/>
  <x:c r="H596" i="3"/>
  <x:c r="K591" i="3"/>
  <x:c r="L584" i="3"/>
  <x:c r="H580" i="3"/>
  <x:c r="K575" i="3"/>
  <x:c r="G571" i="3"/>
  <x:c r="I565" i="3"/>
  <x:c r="L560" i="3"/>
  <x:c r="H556" i="3"/>
  <x:c r="J550" i="3"/>
  <x:c r="G759" i="3"/>
  <x:c r="O700" i="3"/>
  <x:c r="L680" i="3"/>
  <x:c r="O667" i="3"/>
  <x:c r="N653" i="3"/>
  <x:c r="Q640" i="3"/>
  <x:c r="I632" i="3"/>
  <x:c r="K702" i="3"/>
  <x:c r="R678" i="3"/>
  <x:c r="F666" i="3"/>
  <x:c r="K654" i="3"/>
  <x:c r="F638" i="3"/>
  <x:c r="K624" i="3"/>
  <x:c r="S618" i="3"/>
  <x:c r="N613" i="3"/>
  <x:c r="Q608" i="3"/>
  <x:c r="M604" i="3"/>
  <x:c r="P599" i="3"/>
  <x:c r="S594" i="3"/>
  <x:c r="O590" i="3"/>
  <x:c r="I584" i="3"/>
  <x:c r="L579" i="3"/>
  <x:c r="H575" i="3"/>
  <x:c r="K570" i="3"/>
  <x:c r="F565" i="3"/>
  <x:c r="I560" i="3"/>
  <x:c r="L555" i="3"/>
  <x:c r="G550" i="3"/>
  <x:c r="J545" i="3"/>
  <x:c r="O706" i="3"/>
  <x:c r="G682" i="3"/>
  <x:c r="O670" i="3"/>
  <x:c r="G659" i="3"/>
  <x:c r="F645" i="3"/>
  <x:c r="O634" i="3"/>
  <x:c r="O626" i="3"/>
  <x:c r="J620" i="3"/>
  <x:c r="F616" i="3"/>
  <x:c r="P610" i="3"/>
  <x:c r="S605" i="3"/>
  <x:c r="O601" i="3"/>
  <x:c r="R596" i="3"/>
  <x:c r="N592" i="3"/>
  <x:c r="O585" i="3"/>
  <x:c r="R580" i="3"/>
  <x:c r="N576" i="3"/>
  <x:c r="Q571" i="3"/>
  <x:c r="M567" i="3"/>
  <x:c r="H562" i="3"/>
  <x:c r="F681" i="3"/>
  <x:c r="Q656" i="3"/>
  <x:c r="J626" i="3"/>
  <x:c r="S608" i="3"/>
  <x:c r="S592" i="3"/>
  <x:c r="P724" i="3"/>
  <x:c r="M672" i="3"/>
  <x:c r="G643" i="3"/>
  <x:c r="S622" i="3"/>
  <x:c r="P613" i="3"/>
  <x:c r="P605" i="3"/>
  <x:c r="P597" i="3"/>
  <x:c r="R587" i="3"/>
  <x:c r="R579" i="3"/>
  <x:c r="R571" i="3"/>
  <x:c r="Q562" i="3"/>
  <x:c r="S555" i="3"/>
  <x:c r="L548" i="3"/>
  <x:c r="J543" i="3"/>
  <x:c r="F539" i="3"/>
  <x:c r="I534" i="3"/>
  <x:c r="L529" i="3"/>
  <x:c r="H525" i="3"/>
  <x:c r="K520" i="3"/>
  <x:c r="G516" i="3"/>
  <x:c r="J511" i="3"/>
  <x:c r="F507" i="3"/>
  <x:c r="I502" i="3"/>
  <x:c r="J495" i="3"/>
  <x:c r="F491" i="3"/>
  <x:c r="I486" i="3"/>
  <x:c r="L481" i="3"/>
  <x:c r="H477" i="3"/>
  <x:c r="K472" i="3"/>
  <x:c r="G468" i="3"/>
  <x:c r="J463" i="3"/>
  <x:c r="F459" i="3"/>
  <x:c r="G756" i="3"/>
  <x:c r="Q677" i="3"/>
  <x:c r="N650" i="3"/>
  <x:c r="H624" i="3"/>
  <x:c r="O615" i="3"/>
  <x:c r="P606" i="3"/>
  <x:c r="P598" i="3"/>
  <x:c r="P590" i="3"/>
  <x:c r="N580" i="3"/>
  <x:c r="N572" i="3"/>
  <x:c r="N563" i="3"/>
  <x:c r="R555" i="3"/>
  <x:c r="I546" i="3"/>
  <x:c r="O541" i="3"/>
  <x:c r="R536" i="3"/>
  <x:c r="N532" i="3"/>
  <x:c r="Q527" i="3"/>
  <x:c r="M523" i="3"/>
  <x:c r="P518" i="3"/>
  <x:c r="S513" i="3"/>
  <x:c r="O509" i="3"/>
  <x:c r="R504" i="3"/>
  <x:c r="S497" i="3"/>
  <x:c r="O493" i="3"/>
  <x:c r="R488" i="3"/>
  <x:c r="N484" i="3"/>
  <x:c r="Q479" i="3"/>
  <x:c r="M475" i="3"/>
  <x:c r="P470" i="3"/>
  <x:c r="S465" i="3"/>
  <x:c r="O461" i="3"/>
  <x:c r="R456" i="3"/>
  <x:c r="N452" i="3"/>
  <x:c r="Q447" i="3"/>
  <x:c r="M443" i="3"/>
  <x:c r="G666" i="3"/>
  <x:c r="S642" i="3"/>
  <x:c r="L620" i="3"/>
  <x:c r="M611" i="3"/>
  <x:c r="M603" i="3"/>
  <x:c r="M595" i="3"/>
  <x:c r="K585" i="3"/>
  <x:c r="K577" i="3"/>
  <x:c r="K569" i="3"/>
  <x:c r="O560" i="3"/>
  <x:c r="K552" i="3"/>
  <x:c r="L545" i="3"/>
  <x:c r="F541" i="3"/>
  <x:c r="I536" i="3"/>
  <x:c r="L531" i="3"/>
  <x:c r="H527" i="3"/>
  <x:c r="K522" i="3"/>
  <x:c r="G518" i="3"/>
  <x:c r="J513" i="3"/>
  <x:c r="F509" i="3"/>
  <x:c r="I504" i="3"/>
  <x:c r="R497" i="3"/>
  <x:c r="N493" i="3"/>
  <x:c r="Q488" i="3"/>
  <x:c r="M484" i="3"/>
  <x:c r="P479" i="3"/>
  <x:c r="S474" i="3"/>
  <x:c r="O470" i="3"/>
  <x:c r="R465" i="3"/>
  <x:c r="N461" i="3"/>
  <x:c r="Q456" i="3"/>
  <x:c r="M452" i="3"/>
  <x:c r="P447" i="3"/>
  <x:c r="S442" i="3"/>
  <x:c r="M705" i="3"/>
  <x:c r="Q668" i="3"/>
  <x:c r="R630" i="3"/>
  <x:c r="J618" i="3"/>
  <x:c r="I609" i="3"/>
  <x:c r="I601" i="3"/>
  <x:c r="I593" i="3"/>
  <x:c r="J583" i="3"/>
  <x:c r="J575" i="3"/>
  <x:c r="J567" i="3"/>
  <x:c r="F558" i="3"/>
  <x:c r="P550" i="3"/>
  <x:c r="H544" i="3"/>
  <x:c r="K539" i="3"/>
  <x:c r="G535" i="3"/>
  <x:c r="J530" i="3"/>
  <x:c r="F526" i="3"/>
  <x:c r="I521" i="3"/>
  <x:c r="L516" i="3"/>
  <x:c r="H512" i="3"/>
  <x:c r="J726" i="3"/>
  <x:c r="N673" i="3"/>
  <x:c r="M644" i="3"/>
  <x:c r="K623" i="3"/>
  <x:c r="F612" i="3"/>
  <x:c r="G600" i="3"/>
  <x:c r="H590" i="3"/>
  <x:c r="G576" i="3"/>
  <x:c r="G565" i="3"/>
  <x:c r="G556" i="3"/>
  <x:c r="R548" i="3"/>
  <x:c r="L542" i="3"/>
  <x:c r="H538" i="3"/>
  <x:c r="K533" i="3"/>
  <x:c r="G529" i="3"/>
  <x:c r="J524" i="3"/>
  <x:c r="F520" i="3"/>
  <x:c r="I515" i="3"/>
  <x:c r="L510" i="3"/>
  <x:c r="H506" i="3"/>
  <x:c r="I499" i="3"/>
  <x:c r="L494" i="3"/>
  <x:c r="H490" i="3"/>
  <x:c r="K485" i="3"/>
  <x:c r="G481" i="3"/>
  <x:c r="J476" i="3"/>
  <x:c r="F472" i="3"/>
  <x:c r="I467" i="3"/>
  <x:c r="L462" i="3"/>
  <x:c r="H458" i="3"/>
  <x:c r="K453" i="3"/>
  <x:c r="R616" i="3"/>
  <x:c r="R584" i="3"/>
  <x:c r="P557" i="3"/>
  <x:c r="O538" i="3"/>
  <x:c r="K524" i="3"/>
  <x:c r="F513" i="3"/>
  <x:c r="R498" i="3"/>
  <x:c r="S486" i="3"/>
  <x:c r="Q476" i="3"/>
  <x:c r="R466" i="3"/>
  <x:c r="S454" i="3"/>
  <x:c r="G449" i="3"/>
  <x:c r="R442" i="3"/>
  <x:c r="H438" i="3"/>
  <x:c r="K433" i="3"/>
  <x:c r="G429" i="3"/>
  <x:c r="I423" i="3"/>
  <x:c r="L418" i="3"/>
  <x:c r="H414" i="3"/>
  <x:c r="G604" i="3"/>
  <x:c r="H561" i="3"/>
  <x:c r="J542" i="3"/>
  <x:c r="Q530" i="3"/>
  <x:c r="F519" i="3"/>
  <x:c r="P507" i="3"/>
  <x:c r="Q497" i="3"/>
  <x:c r="Q489" i="3"/>
  <x:c r="Q481" i="3"/>
  <x:c r="Q473" i="3"/>
  <x:c r="Q465" i="3"/>
  <x:c r="Q457" i="3"/>
  <x:c r="M450" i="3"/>
  <x:c r="Q444" i="3"/>
  <x:c r="P439" i="3"/>
  <x:c r="S434" i="3"/>
  <x:c r="O430" i="3"/>
  <x:c r="J425" i="3"/>
  <x:c r="F421" i="3"/>
  <x:c r="I416" i="3"/>
  <x:c r="L411" i="3"/>
  <x:c r="H407" i="3"/>
  <x:c r="J657" i="3"/>
  <x:c r="I598" i="3"/>
  <x:c r="J563" i="3"/>
  <x:c r="O544" i="3"/>
  <x:c r="R531" i="3"/>
  <x:c r="Q517" i="3"/>
  <x:c r="O506" i="3"/>
  <x:c r="O496" i="3"/>
  <x:c r="O488" i="3"/>
  <x:c r="O480" i="3"/>
  <x:c r="O472" i="3"/>
  <x:c r="O464" i="3"/>
  <x:c r="O456" i="3"/>
  <x:c r="O449" i="3"/>
  <x:c r="P442" i="3"/>
  <x:c r="F438" i="3"/>
  <x:c r="I433" i="3"/>
  <x:c r="S427" i="3"/>
  <x:c r="O423" i="3"/>
  <x:c r="R418" i="3"/>
  <x:c r="N414" i="3"/>
  <x:c r="Q409" i="3"/>
  <x:c r="M405" i="3"/>
  <x:c r="P400" i="3"/>
  <x:c r="S395" i="3"/>
  <x:c r="O391" i="3"/>
  <x:c r="R386" i="3"/>
  <x:c r="N382" i="3"/>
  <x:c r="Q377" i="3"/>
  <x:c r="M373" i="3"/>
  <x:c r="P368" i="3"/>
  <x:c r="K363" i="3"/>
  <x:c r="G359" i="3"/>
  <x:c r="J354" i="3"/>
  <x:c r="F350" i="3"/>
  <x:c r="I345" i="3"/>
  <x:c r="L340" i="3"/>
  <x:c r="H336" i="3"/>
  <x:c r="K331" i="3"/>
  <x:c r="F326" i="3"/>
  <x:c r="I321" i="3"/>
  <x:c r="I628" i="3"/>
  <x:c r="R583" i="3"/>
  <x:c r="L553" i="3"/>
  <x:c r="P540" i="3"/>
  <x:c r="H529" i="3"/>
  <x:c r="L517" i="3"/>
  <x:c r="N506" i="3"/>
  <x:c r="M496" i="3"/>
  <x:c r="M488" i="3"/>
  <x:c r="M480" i="3"/>
  <x:c r="M472" i="3"/>
  <x:c r="M464" i="3"/>
  <x:c r="M456" i="3"/>
  <x:c r="N449" i="3"/>
  <x:c r="I443" i="3"/>
  <x:c r="L437" i="3"/>
  <x:c r="H433" i="3"/>
  <x:c r="J427" i="3"/>
  <x:c r="F423" i="3"/>
  <x:c r="I418" i="3"/>
  <x:c r="L413" i="3"/>
  <x:c r="H409" i="3"/>
  <x:c r="K404" i="3"/>
  <x:c r="G400" i="3"/>
  <x:c r="J395" i="3"/>
  <x:c r="F391" i="3"/>
  <x:c r="I386" i="3"/>
  <x:c r="L381" i="3"/>
  <x:c r="H377" i="3"/>
  <x:c r="K372" i="3"/>
  <x:c r="G368" i="3"/>
  <x:c r="Q362" i="3"/>
  <x:c r="M358" i="3"/>
  <x:c r="P353" i="3"/>
  <x:c r="S348" i="3"/>
  <x:c r="O344" i="3"/>
  <x:c r="R339" i="3"/>
  <x:c r="N335" i="3"/>
  <x:c r="Q330" i="3"/>
  <x:c r="S324" i="3"/>
  <x:c r="O320" i="3"/>
  <x:c r="H775" i="3"/>
  <x:c r="H609" i="3"/>
  <x:c r="I575" i="3"/>
  <x:c r="L549" i="3"/>
  <x:c r="K535" i="3"/>
  <x:c r="O522" i="3"/>
  <x:c r="K508" i="3"/>
  <x:c r="J498" i="3"/>
  <x:c r="J490" i="3"/>
  <x:c r="J482" i="3"/>
  <x:c r="J474" i="3"/>
  <x:c r="J466" i="3"/>
  <x:c r="J458" i="3"/>
  <x:c r="N451" i="3"/>
  <x:c r="S445" i="3"/>
  <x:c r="N440" i="3"/>
  <x:c r="Q435" i="3"/>
  <x:c r="M431" i="3"/>
  <x:c r="O425" i="3"/>
  <x:c r="R420" i="3"/>
  <x:c r="N416" i="3"/>
  <x:c r="Q411" i="3"/>
  <x:c r="M407" i="3"/>
  <x:c r="P402" i="3"/>
  <x:c r="S397" i="3"/>
  <x:c r="O393" i="3"/>
  <x:c r="R388" i="3"/>
  <x:c r="N384" i="3"/>
  <x:c r="Q379" i="3"/>
  <x:c r="M375" i="3"/>
  <x:c r="P370" i="3"/>
  <x:c r="R364" i="3"/>
  <x:c r="N360" i="3"/>
  <x:c r="Q355" i="3"/>
  <x:c r="M351" i="3"/>
  <x:c r="P346" i="3"/>
  <x:c r="S341" i="3"/>
  <x:c r="O337" i="3"/>
  <x:c r="R332" i="3"/>
  <x:c r="N328" i="3"/>
  <x:c r="I323" i="3"/>
  <x:c r="L318" i="3"/>
  <x:c r="O691" i="3"/>
  <x:c r="I594" i="3"/>
  <x:c r="R567" i="3"/>
  <x:c r="G544" i="3"/>
  <x:c r="F779" i="3"/>
  <x:c r="R599" i="3"/>
  <x:c r="F567" i="3"/>
  <x:c r="I545" i="3"/>
  <x:c r="L533" i="3"/>
  <x:c r="G522" i="3"/>
  <x:c r="M510" i="3"/>
  <x:c r="S491" i="3"/>
  <x:c r="S475" i="3"/>
  <x:c r="S459" i="3"/>
  <x:c r="O450" i="3"/>
  <x:c r="I444" i="3"/>
  <x:c r="Q438" i="3"/>
  <x:c r="M434" i="3"/>
  <x:c r="P429" i="3"/>
  <x:c r="R423" i="3"/>
  <x:c r="N419" i="3"/>
  <x:c r="Q414" i="3"/>
  <x:c r="M410" i="3"/>
  <x:c r="P405" i="3"/>
  <x:c r="S400" i="3"/>
  <x:c r="O396" i="3"/>
  <x:c r="R391" i="3"/>
  <x:c r="N387" i="3"/>
  <x:c r="Q382" i="3"/>
  <x:c r="M378" i="3"/>
  <x:c r="P373" i="3"/>
  <x:c r="S368" i="3"/>
  <x:c r="N363" i="3"/>
  <x:c r="Q358" i="3"/>
  <x:c r="M354" i="3"/>
  <x:c r="P349" i="3"/>
  <x:c r="S344" i="3"/>
  <x:c r="O340" i="3"/>
  <x:c r="R335" i="3"/>
  <x:c r="N331" i="3"/>
  <x:c r="P325" i="3"/>
  <x:c r="S320" i="3"/>
  <x:c r="Q524" i="3"/>
  <x:c r="H496" i="3"/>
  <x:c r="L453" i="3"/>
  <x:c r="P427" i="3"/>
  <x:c r="S409" i="3"/>
  <x:c r="K399" i="3"/>
  <x:c r="K391" i="3"/>
  <x:c r="K383" i="3"/>
  <x:c r="K375" i="3"/>
  <x:c r="K367" i="3"/>
  <x:c r="K358" i="3"/>
  <x:c r="K350" i="3"/>
  <x:c r="K342" i="3"/>
  <x:c r="K334" i="3"/>
  <x:c r="N325" i="3"/>
  <x:c r="P317" i="3"/>
  <x:c r="S311" i="3"/>
  <x:c r="O307" i="3"/>
  <x:c r="R302" i="3"/>
  <x:c r="N298" i="3"/>
  <x:c r="Q293" i="3"/>
  <x:c r="M289" i="3"/>
  <x:c r="P284" i="3"/>
  <x:c r="S279" i="3"/>
  <x:c r="O275" i="3"/>
  <x:c r="R270" i="3"/>
  <x:c r="N266" i="3"/>
  <x:c r="I261" i="3"/>
  <x:c r="L256" i="3"/>
  <x:c r="H252" i="3"/>
  <x:c r="K247" i="3"/>
  <x:c r="G243" i="3"/>
  <x:c r="J238" i="3"/>
  <x:c r="F234" i="3"/>
  <x:c r="I229" i="3"/>
  <x:c r="L224" i="3"/>
  <x:c r="H220" i="3"/>
  <x:c r="K215" i="3"/>
  <x:c r="G211" i="3"/>
  <x:c r="J206" i="3"/>
  <x:c r="L200" i="3"/>
  <x:c r="I498" i="3"/>
  <x:c r="Q452" i="3"/>
  <x:c r="N434" i="3"/>
  <x:c r="N418" i="3"/>
  <x:c r="O405" i="3"/>
  <x:c r="I397" i="3"/>
  <x:c r="I389" i="3"/>
  <x:c r="I381" i="3"/>
  <x:c r="I373" i="3"/>
  <x:c r="I364" i="3"/>
  <x:c r="I356" i="3"/>
  <x:c r="I348" i="3"/>
  <x:c r="I340" i="3"/>
  <x:c r="I332" i="3"/>
  <x:c r="H323" i="3"/>
  <x:c r="F316" i="3"/>
  <x:c r="I311" i="3"/>
  <x:c r="L306" i="3"/>
  <x:c r="H302" i="3"/>
  <x:c r="K297" i="3"/>
  <x:c r="G293" i="3"/>
  <x:c r="J288" i="3"/>
  <x:c r="F284" i="3"/>
  <x:c r="I279" i="3"/>
  <x:c r="L274" i="3"/>
  <x:c r="H270" i="3"/>
  <x:c r="J264" i="3"/>
  <x:c r="F260" i="3"/>
  <x:c r="I255" i="3"/>
  <x:c r="L250" i="3"/>
  <x:c r="H246" i="3"/>
  <x:c r="K241" i="3"/>
  <x:c r="G237" i="3"/>
  <x:c r="J232" i="3"/>
  <x:c r="F228" i="3"/>
  <x:c r="I223" i="3"/>
  <x:c r="L218" i="3"/>
  <x:c r="H214" i="3"/>
  <x:c r="K209" i="3"/>
  <x:c r="F204" i="3"/>
  <x:c r="H617" i="3"/>
  <x:c r="M513" i="3"/>
  <x:c r="F478" i="3"/>
  <x:c r="G450" i="3"/>
  <x:c r="K430" i="3"/>
  <x:c r="G413" i="3"/>
  <x:c r="F402" i="3"/>
  <x:c r="G390" i="3"/>
  <x:c r="H380" i="3"/>
  <x:c r="F370" i="3"/>
  <x:c r="G357" i="3"/>
  <x:c r="G347" i="3"/>
  <x:c r="F337" i="3"/>
  <x:c r="G325" i="3"/>
  <x:c r="L315" i="3"/>
  <x:c r="H311" i="3"/>
  <x:c r="K306" i="3"/>
  <x:c r="G302" i="3"/>
  <x:c r="J297" i="3"/>
  <x:c r="F293" i="3"/>
  <x:c r="I288" i="3"/>
  <x:c r="L283" i="3"/>
  <x:c r="H279" i="3"/>
  <x:c r="K274" i="3"/>
  <x:c r="G270" i="3"/>
  <x:c r="I264" i="3"/>
  <x:c r="L259" i="3"/>
  <x:c r="H255" i="3"/>
  <x:c r="K250" i="3"/>
  <x:c r="G246" i="3"/>
  <x:c r="J241" i="3"/>
  <x:c r="F237" i="3"/>
  <x:c r="I232" i="3"/>
  <x:c r="L227" i="3"/>
  <x:c r="H223" i="3"/>
  <x:c r="K218" i="3"/>
  <x:c r="G214" i="3"/>
  <x:c r="J209" i="3"/>
  <x:c r="L203" i="3"/>
  <x:c r="I591" i="3"/>
  <x:c r="H489" i="3"/>
  <x:c r="G452" i="3"/>
  <x:c r="F434" i="3"/>
  <x:c r="L410" i="3"/>
  <x:c r="F397" i="3"/>
  <x:c r="F381" i="3"/>
  <x:c r="F364" i="3"/>
  <x:c r="F348" i="3"/>
  <x:c r="F332" i="3"/>
  <x:c r="N316" i="3"/>
  <x:c r="H312" i="3"/>
  <x:c r="K307" i="3"/>
  <x:c r="G303" i="3"/>
  <x:c r="J298" i="3"/>
  <x:c r="F294" i="3"/>
  <x:c r="I289" i="3"/>
  <x:c r="L284" i="3"/>
  <x:c r="H280" i="3"/>
  <x:c r="K275" i="3"/>
  <x:c r="G271" i="3"/>
  <x:c r="J266" i="3"/>
  <x:c r="L260" i="3"/>
  <x:c r="H256" i="3"/>
  <x:c r="K251" i="3"/>
  <x:c r="G247" i="3"/>
  <x:c r="N522" i="3"/>
  <x:c r="F486" i="3"/>
  <x:c r="J454" i="3"/>
  <x:c r="O426" i="3"/>
  <x:c r="L407" i="3"/>
  <x:c r="R397" i="3"/>
  <x:c r="S385" i="3"/>
  <x:c r="Q375" i="3"/>
  <x:c r="S362" i="3"/>
  <x:c r="R352" i="3"/>
  <x:c r="R342" i="3"/>
  <x:c r="S330" i="3"/>
  <x:c r="Q319" i="3"/>
  <x:c r="P313" i="3"/>
  <x:c r="S308" i="3"/>
  <x:c r="O304" i="3"/>
  <x:c r="R299" i="3"/>
  <x:c r="N295" i="3"/>
  <x:c r="Q290" i="3"/>
  <x:c r="M286" i="3"/>
  <x:c r="P281" i="3"/>
  <x:c r="S276" i="3"/>
  <x:c r="O272" i="3"/>
  <x:c r="R267" i="3"/>
  <x:c r="M262" i="3"/>
  <x:c r="P257" i="3"/>
  <x:c r="S252" i="3"/>
  <x:c r="O248" i="3"/>
  <x:c r="R243" i="3"/>
  <x:c r="N239" i="3"/>
  <x:c r="Q234" i="3"/>
  <x:c r="M230" i="3"/>
  <x:c r="P225" i="3"/>
  <x:c r="S220" i="3"/>
  <x:c r="O216" i="3"/>
  <x:c r="R211" i="3"/>
  <x:c r="N207" i="3"/>
  <x:c r="I202" i="3"/>
  <x:c r="I582" i="3"/>
  <x:c r="I505" i="3"/>
  <x:c r="I473" i="3"/>
  <x:c r="M442" i="3"/>
  <x:c r="G426" i="3"/>
  <x:c r="N412" i="3"/>
  <x:c r="M400" i="3"/>
  <x:c r="M392" i="3"/>
  <x:c r="M384" i="3"/>
  <x:c r="M376" i="3"/>
  <x:c r="M368" i="3"/>
  <x:c r="L359" i="3"/>
  <x:c r="L351" i="3"/>
  <x:c r="L343" i="3"/>
  <x:c r="L335" i="3"/>
  <x:c r="O326" i="3"/>
  <x:c r="O318" i="3"/>
  <x:c r="N313" i="3"/>
  <x:c r="Q308" i="3"/>
  <x:c r="M304" i="3"/>
  <x:c r="P299" i="3"/>
  <x:c r="S294" i="3"/>
  <x:c r="O290" i="3"/>
  <x:c r="R285" i="3"/>
  <x:c r="N281" i="3"/>
  <x:c r="Q276" i="3"/>
  <x:c r="M272" i="3"/>
  <x:c r="P267" i="3"/>
  <x:c r="R261" i="3"/>
  <x:c r="N257" i="3"/>
  <x:c r="Q252" i="3"/>
  <x:c r="M248" i="3"/>
  <x:c r="P243" i="3"/>
  <x:c r="S238" i="3"/>
  <x:c r="O234" i="3"/>
  <x:c r="R229" i="3"/>
  <x:c r="N225" i="3"/>
  <x:c r="Q220" i="3"/>
  <x:c r="M216" i="3"/>
  <x:c r="P211" i="3"/>
  <x:c r="S206" i="3"/>
  <x:c r="N201" i="3"/>
  <x:c r="S430" i="3"/>
  <x:c r="P387" i="3"/>
  <x:c r="P355" i="3"/>
  <x:c r="P323" i="3"/>
  <x:c r="R303" i="3"/>
  <x:c r="R287" i="3"/>
  <x:c r="R271" i="3"/>
  <x:c r="R255" i="3"/>
  <x:c r="P242" i="3"/>
  <x:c r="G231" i="3"/>
  <x:c r="N219" i="3"/>
  <x:c r="F208" i="3"/>
  <x:c r="F198" i="3"/>
  <x:c r="I193" i="3"/>
  <x:c r="L188" i="3"/>
  <x:c r="H184" i="3"/>
  <x:c r="K179" i="3"/>
  <x:c r="G175" i="3"/>
  <x:c r="J170" i="3"/>
  <x:c r="F166" i="3"/>
  <x:c r="I161" i="3"/>
  <x:c r="L156" i="3"/>
  <x:c r="H152" i="3"/>
  <x:c r="K147" i="3"/>
  <x:c r="G143" i="3"/>
  <x:c r="J138" i="3"/>
  <x:c r="F134" i="3"/>
  <x:c r="I129" i="3"/>
  <x:c r="L124" i="3"/>
  <x:c r="H120" i="3"/>
  <x:c r="K115" i="3"/>
  <x:c r="G111" i="3"/>
  <x:c r="J106" i="3"/>
  <x:c r="F102" i="3"/>
  <x:c r="H96" i="3"/>
  <x:c r="K91" i="3"/>
  <x:c r="G87" i="3"/>
  <x:c r="J82" i="3"/>
  <x:c r="F78" i="3"/>
  <x:c r="H72" i="3"/>
  <x:c r="K67" i="3"/>
  <x:c r="G63" i="3"/>
  <x:c r="G464" i="3"/>
  <x:c r="L403" i="3"/>
  <x:c r="L371" i="3"/>
  <x:c r="L339" i="3"/>
  <x:c r="L310" i="3"/>
  <x:c r="L294" i="3"/>
  <x:c r="L278" i="3"/>
  <x:c r="L262" i="3"/>
  <x:c r="L246" i="3"/>
  <x:c r="H232" i="3"/>
  <x:c r="K219" i="3"/>
  <x:c r="N206" i="3"/>
  <x:c r="S196" i="3"/>
  <x:c r="O192" i="3"/>
  <x:c r="R187" i="3"/>
  <x:c r="N183" i="3"/>
  <x:c r="Q178" i="3"/>
  <x:c r="M174" i="3"/>
  <x:c r="P169" i="3"/>
  <x:c r="S164" i="3"/>
  <x:c r="O160" i="3"/>
  <x:c r="R155" i="3"/>
  <x:c r="N151" i="3"/>
  <x:c r="Q146" i="3"/>
  <x:c r="M142" i="3"/>
  <x:c r="P137" i="3"/>
  <x:c r="S132" i="3"/>
  <x:c r="O128" i="3"/>
  <x:c r="R123" i="3"/>
  <x:c r="N119" i="3"/>
  <x:c r="Q114" i="3"/>
  <x:c r="M110" i="3"/>
  <x:c r="P105" i="3"/>
  <x:c r="S100" i="3"/>
  <x:c r="N95" i="3"/>
  <x:c r="Q90" i="3"/>
  <x:c r="M86" i="3"/>
  <x:c r="P81" i="3"/>
  <x:c r="S76" i="3"/>
  <x:c r="N71" i="3"/>
  <x:c r="Q66" i="3"/>
  <x:c r="I547" i="3"/>
  <x:c r="J400" i="3"/>
  <x:c r="J368" i="3"/>
  <x:c r="Q333" i="3"/>
  <x:c r="O308" i="3"/>
  <x:c r="K285" i="3"/>
  <x:c r="F264" i="3"/>
  <x:c r="R244" i="3"/>
  <x:c r="I233" i="3"/>
  <x:c r="S221" i="3"/>
  <x:c r="J210" i="3"/>
  <x:c r="L198" i="3"/>
  <x:c r="H194" i="3"/>
  <x:c r="K189" i="3"/>
  <x:c r="G185" i="3"/>
  <x:c r="J180" i="3"/>
  <x:c r="F176" i="3"/>
  <x:c r="F502" i="3"/>
  <x:c r="I420" i="3"/>
  <x:c r="O378" i="3"/>
  <x:c r="J341" i="3"/>
  <x:c r="O313" i="3"/>
  <x:c r="P290" i="3"/>
  <x:c r="H269" i="3"/>
  <x:c r="O244" i="3"/>
  <x:c r="G233" i="3"/>
  <x:c r="F219" i="3"/>
  <x:c r="O207" i="3"/>
  <x:c r="R197" i="3"/>
  <x:c r="N193" i="3"/>
  <x:c r="Q188" i="3"/>
  <x:c r="M184" i="3"/>
  <x:c r="P179" i="3"/>
  <x:c r="S174" i="3"/>
  <x:c r="O170" i="3"/>
  <x:c r="R165" i="3"/>
  <x:c r="N161" i="3"/>
  <x:c r="Q156" i="3"/>
  <x:c r="M152" i="3"/>
  <x:c r="P147" i="3"/>
  <x:c r="S142" i="3"/>
  <x:c r="O138" i="3"/>
  <x:c r="R133" i="3"/>
  <x:c r="N129" i="3"/>
  <x:c r="Q124" i="3"/>
  <x:c r="M120" i="3"/>
  <x:c r="P115" i="3"/>
  <x:c r="S110" i="3"/>
  <x:c r="O106" i="3"/>
  <x:c r="R101" i="3"/>
  <x:c r="M96" i="3"/>
  <x:c r="P91" i="3"/>
  <x:c r="S86" i="3"/>
  <x:c r="O82" i="3"/>
  <x:c r="H507" i="3"/>
  <x:c r="P399" i="3"/>
  <x:c r="P367" i="3"/>
  <x:c r="P335" i="3"/>
  <x:c r="S309" i="3"/>
  <x:c r="S293" i="3"/>
  <x:c r="S277" i="3"/>
  <x:c r="G260" i="3"/>
  <x:c r="L244" i="3"/>
  <x:c r="R231" i="3"/>
  <x:c r="M221" i="3"/>
  <x:c r="P208" i="3"/>
  <x:c r="R198" i="3"/>
  <x:c r="N194" i="3"/>
  <x:c r="Q189" i="3"/>
  <x:c r="M185" i="3"/>
  <x:c r="P180" i="3"/>
  <x:c r="S175" i="3"/>
  <x:c r="O171" i="3"/>
  <x:c r="R166" i="3"/>
  <x:c r="N162" i="3"/>
  <x:c r="Q157" i="3"/>
  <x:c r="M153" i="3"/>
  <x:c r="P148" i="3"/>
  <x:c r="S143" i="3"/>
  <x:c r="O139" i="3"/>
  <x:c r="R134" i="3"/>
  <x:c r="N130" i="3"/>
  <x:c r="Q125" i="3"/>
  <x:c r="M121" i="3"/>
  <x:c r="P116" i="3"/>
  <x:c r="S111" i="3"/>
  <x:c r="O107" i="3"/>
  <x:c r="R102" i="3"/>
  <x:c r="N98" i="3"/>
  <x:c r="I93" i="3"/>
  <x:c r="L88" i="3"/>
  <x:c r="H84" i="3"/>
  <x:c r="K79" i="3"/>
  <x:c r="G75" i="3"/>
  <x:c r="I69" i="3"/>
  <x:c r="L64" i="3"/>
  <x:c r="J408" i="3"/>
  <x:c r="Q372" i="3"/>
  <x:c r="Q340" i="3"/>
  <x:c r="P309" i="3"/>
  <x:c r="P293" i="3"/>
  <x:c r="P277" i="3"/>
  <x:c r="H258" i="3"/>
  <x:c r="J244" i="3"/>
  <x:c r="S232" i="3"/>
  <x:c r="R218" i="3"/>
  <x:c r="J207" i="3"/>
  <x:c r="I198" i="3"/>
  <x:c r="L193" i="3"/>
  <x:c r="H189" i="3"/>
  <x:c r="K184" i="3"/>
  <x:c r="G180" i="3"/>
  <x:c r="J175" i="3"/>
  <x:c r="F171" i="3"/>
  <x:c r="I166" i="3"/>
  <x:c r="L161" i="3"/>
  <x:c r="H157" i="3"/>
  <x:c r="K152" i="3"/>
  <x:c r="G148" i="3"/>
  <x:c r="J143" i="3"/>
  <x:c r="F139" i="3"/>
  <x:c r="I134" i="3"/>
  <x:c r="L129" i="3"/>
  <x:c r="H125" i="3"/>
  <x:c r="K120" i="3"/>
  <x:c r="G116" i="3"/>
  <x:c r="J111" i="3"/>
  <x:c r="F107" i="3"/>
  <x:c r="I102" i="3"/>
  <x:c r="S96" i="3"/>
  <x:c r="O92" i="3"/>
  <x:c r="R87" i="3"/>
  <x:c r="N83" i="3"/>
  <x:c r="Q78" i="3"/>
  <x:c r="L73" i="3"/>
  <x:c r="H69" i="3"/>
  <x:c r="K64" i="3"/>
  <x:c r="L446" i="3"/>
  <x:c r="P390" i="3"/>
  <x:c r="P358" i="3"/>
  <x:c r="P326" i="3"/>
  <x:c r="O305" i="3"/>
  <x:c r="P282" i="3"/>
  <x:c r="H261" i="3"/>
  <x:c r="L241" i="3"/>
  <x:c r="O228" i="3"/>
  <x:c r="G217" i="3"/>
  <x:c r="Q201" i="3"/>
  <x:c r="M196" i="3"/>
  <x:c r="P191" i="3"/>
  <x:c r="L431" i="3"/>
  <x:c r="H183" i="3"/>
  <x:c r="G169" i="3"/>
  <x:c r="M156" i="3"/>
  <x:c r="H142" i="3"/>
  <x:c r="P130" i="3"/>
  <x:c r="R116" i="3"/>
  <x:c r="G105" i="3"/>
  <x:c r="R89" i="3"/>
  <x:c r="N77" i="3"/>
  <x:c r="N68" i="3"/>
  <x:c r="M61" i="3"/>
  <x:c r="P56" i="3"/>
  <x:c r="S51" i="3"/>
  <x:c r="O47" i="3"/>
  <x:c r="R42" i="3"/>
  <x:c r="N38" i="3"/>
  <x:c r="Q33" i="3"/>
  <x:c r="M29" i="3"/>
  <x:c r="O23" i="3"/>
  <x:c r="R18" i="3"/>
  <x:c r="N14" i="3"/>
  <x:c r="Q9" i="3"/>
  <x:c r="S423" i="3"/>
  <x:c r="O284" i="3"/>
  <x:c r="Q184" i="3"/>
  <x:c r="Q167" i="3"/>
  <x:c r="J156" i="3"/>
  <x:c r="S145" i="3"/>
  <x:c r="G133" i="3"/>
  <x:c r="O121" i="3"/>
  <x:c r="M111" i="3"/>
  <x:c r="F96" i="3"/>
  <x:c r="S85" i="3"/>
  <x:c r="M76" i="3"/>
  <x:c r="L67" i="3"/>
  <x:c r="K60" i="3"/>
  <x:c r="G56" i="3"/>
  <x:c r="J51" i="3"/>
  <x:c r="F47" i="3"/>
  <x:c r="I42" i="3"/>
  <x:c r="L37" i="3"/>
  <x:c r="H33" i="3"/>
  <x:c r="K28" i="3"/>
  <x:c r="F23" i="3"/>
  <x:c r="R768" i="3"/>
  <x:c r="S800" i="3"/>
  <x:c r="O677" i="3"/>
  <x:c r="P638" i="3"/>
  <x:c r="H691" i="3"/>
  <x:c r="G700" i="3"/>
  <x:c r="S675" i="3"/>
  <x:c r="P656" i="3"/>
  <x:c r="H814" i="3"/>
  <x:c r="F708" i="3"/>
  <x:c r="N687" i="3"/>
  <x:c r="M678" i="3"/>
  <x:c r="N671" i="3"/>
  <x:c r="Q666" i="3"/>
  <x:c r="S660" i="3"/>
  <x:c r="O656" i="3"/>
  <x:c r="R651" i="3"/>
  <x:c r="N647" i="3"/>
  <x:c r="Q642" i="3"/>
  <x:c r="S636" i="3"/>
  <x:c r="O632" i="3"/>
  <x:c r="R627" i="3"/>
  <x:c r="N623" i="3"/>
  <x:c r="R808" i="3"/>
  <x:c r="G757" i="3"/>
  <x:c r="L728" i="3"/>
  <x:c r="Q710" i="3"/>
  <x:c r="S697" i="3"/>
  <x:c r="N688" i="3"/>
  <x:c r="Q683" i="3"/>
  <x:c r="M679" i="3"/>
  <x:c r="P674" i="3"/>
  <x:c r="S669" i="3"/>
  <x:c r="N664" i="3"/>
  <x:c r="Q659" i="3"/>
  <x:c r="M655" i="3"/>
  <x:c r="P650" i="3"/>
  <x:c r="S645" i="3"/>
  <x:c r="N640" i="3"/>
  <x:c r="Q635" i="3"/>
  <x:c r="M631" i="3"/>
  <x:c r="P626" i="3"/>
  <x:c r="I823" i="3"/>
  <x:c r="H752" i="3"/>
  <x:c r="H724" i="3"/>
  <x:c r="N708" i="3"/>
  <x:c r="N699" i="3"/>
  <x:c r="N691" i="3"/>
  <x:c r="I686" i="3"/>
  <x:c r="L681" i="3"/>
  <x:c r="H677" i="3"/>
  <x:c r="K672" i="3"/>
  <x:c r="G668" i="3"/>
  <x:c r="Q662" i="3"/>
  <x:c r="M658" i="3"/>
  <x:c r="P653" i="3"/>
  <x:c r="S648" i="3"/>
  <x:c r="O644" i="3"/>
  <x:c r="J639" i="3"/>
  <x:c r="F635" i="3"/>
  <x:c r="I630" i="3"/>
  <x:c r="G772" i="3"/>
  <x:c r="N690" i="3"/>
  <x:c r="O675" i="3"/>
  <x:c r="N661" i="3"/>
  <x:c r="Q648" i="3"/>
  <x:c r="M636" i="3"/>
  <x:c r="M628" i="3"/>
  <x:c r="R621" i="3"/>
  <x:c r="N617" i="3"/>
  <x:c r="P611" i="3"/>
  <x:c r="S606" i="3"/>
  <x:c r="O602" i="3"/>
  <x:c r="R597" i="3"/>
  <x:c r="N593" i="3"/>
  <x:c r="O586" i="3"/>
  <x:c r="R581" i="3"/>
  <x:c r="N577" i="3"/>
  <x:c r="Q572" i="3"/>
  <x:c r="M568" i="3"/>
  <x:c r="O562" i="3"/>
  <x:c r="R557" i="3"/>
  <x:c r="M552" i="3"/>
  <x:c r="P547" i="3"/>
  <x:c r="P708" i="3"/>
  <x:c r="M680" i="3"/>
  <x:c r="P667" i="3"/>
  <x:c r="I656" i="3"/>
  <x:c r="L643" i="3"/>
  <x:c r="M633" i="3"/>
  <x:c r="M625" i="3"/>
  <x:c r="O619" i="3"/>
  <x:c r="Q613" i="3"/>
  <x:c r="M609" i="3"/>
  <x:c r="P604" i="3"/>
  <x:c r="S599" i="3"/>
  <x:c r="O595" i="3"/>
  <x:c r="R590" i="3"/>
  <x:c r="S583" i="3"/>
  <x:c r="O579" i="3"/>
  <x:c r="R574" i="3"/>
  <x:c r="N570" i="3"/>
  <x:c r="P564" i="3"/>
  <x:c r="S559" i="3"/>
  <x:c r="O555" i="3"/>
  <x:c r="Q549" i="3"/>
  <x:c r="F747" i="3"/>
  <x:c r="N697" i="3"/>
  <x:c r="R677" i="3"/>
  <x:c r="K666" i="3"/>
  <x:c r="I652" i="3"/>
  <x:c r="K639" i="3"/>
  <x:c r="G775" i="3"/>
  <x:c r="P699" i="3"/>
  <x:c r="N677" i="3"/>
  <x:c r="Q664" i="3"/>
  <x:c r="I653" i="3"/>
  <x:c r="F637" i="3"/>
  <x:c r="L623" i="3"/>
  <x:c r="K618" i="3"/>
  <x:c r="F613" i="3"/>
  <x:c r="I608" i="3"/>
  <x:c r="L603" i="3"/>
  <x:c r="H599" i="3"/>
  <x:c r="K594" i="3"/>
  <x:c r="G590" i="3"/>
  <x:c r="P583" i="3"/>
  <x:c r="S578" i="3"/>
  <x:c r="O574" i="3"/>
  <x:c r="R569" i="3"/>
  <x:c r="M564" i="3"/>
  <x:c r="P559" i="3"/>
  <x:c r="R553" i="3"/>
  <x:c r="N549" i="3"/>
  <x:c r="G797" i="3"/>
  <x:c r="O698" i="3"/>
  <x:c r="L679" i="3"/>
  <x:c r="J669" i="3"/>
  <x:c r="M656" i="3"/>
  <x:c r="P643" i="3"/>
  <x:c r="Q633" i="3"/>
  <x:c r="Q625" i="3"/>
  <x:c r="Q619" i="3"/>
  <x:c r="M615" i="3"/>
  <x:c r="H610" i="3"/>
  <x:c r="K605" i="3"/>
  <x:c r="G601" i="3"/>
  <x:c r="J596" i="3"/>
  <x:c r="F592" i="3"/>
  <x:c r="G585" i="3"/>
  <x:c r="J580" i="3"/>
  <x:c r="F576" i="3"/>
  <x:c r="I571" i="3"/>
  <x:c r="S565" i="3"/>
  <x:c r="O561" i="3"/>
  <x:c r="O678" i="3"/>
  <x:c r="G654" i="3"/>
  <x:c r="M624" i="3"/>
  <x:c r="F607" i="3"/>
  <x:c r="F591" i="3"/>
  <x:c r="I717" i="3"/>
  <x:c r="Q669" i="3"/>
  <x:c r="M640" i="3"/>
  <x:c r="P621" i="3"/>
  <x:c r="O612" i="3"/>
  <x:c r="O604" i="3"/>
  <x:c r="O596" i="3"/>
  <x:c r="Q586" i="3"/>
  <x:c r="Q578" i="3"/>
  <x:c r="Q570" i="3"/>
  <x:c r="P561" i="3"/>
  <x:c r="F555" i="3"/>
  <x:c r="Q547" i="3"/>
  <x:c r="Q542" i="3"/>
  <x:c r="M538" i="3"/>
  <x:c r="P533" i="3"/>
  <x:c r="S528" i="3"/>
  <x:c r="O524" i="3"/>
  <x:c r="R519" i="3"/>
  <x:c r="N515" i="3"/>
  <x:c r="Q510" i="3"/>
  <x:c r="M506" i="3"/>
  <x:c r="N499" i="3"/>
  <x:c r="Q494" i="3"/>
  <x:c r="M490" i="3"/>
  <x:c r="P485" i="3"/>
  <x:c r="S480" i="3"/>
  <x:c r="O476" i="3"/>
  <x:c r="R471" i="3"/>
  <x:c r="N467" i="3"/>
  <x:c r="Q462" i="3"/>
  <x:c r="M458" i="3"/>
  <x:c r="G750" i="3"/>
  <x:c r="I672" i="3"/>
  <x:c r="Q645" i="3"/>
  <x:c r="R622" i="3"/>
  <x:c r="O613" i="3"/>
  <x:c r="O605" i="3"/>
  <x:c r="O597" i="3"/>
  <x:c r="N587" i="3"/>
  <x:c r="N579" i="3"/>
  <x:c r="N571" i="3"/>
  <x:c r="M562" i="3"/>
  <x:c r="I553" i="3"/>
  <x:c r="M545" i="3"/>
  <x:c r="G541" i="3"/>
  <x:c r="J536" i="3"/>
  <x:c r="F532" i="3"/>
  <x:c r="I527" i="3"/>
  <x:c r="L522" i="3"/>
  <x:c r="H518" i="3"/>
  <x:c r="K513" i="3"/>
  <x:c r="G509" i="3"/>
  <x:c r="J504" i="3"/>
  <x:c r="K497" i="3"/>
  <x:c r="G493" i="3"/>
  <x:c r="J488" i="3"/>
  <x:c r="F484" i="3"/>
  <x:c r="I479" i="3"/>
  <x:c r="L474" i="3"/>
  <x:c r="H470" i="3"/>
  <x:c r="K465" i="3"/>
  <x:c r="G461" i="3"/>
  <x:c r="J456" i="3"/>
  <x:c r="F452" i="3"/>
  <x:c r="I447" i="3"/>
  <x:c r="L442" i="3"/>
  <x:c r="H663" i="3"/>
  <x:c r="I637" i="3"/>
  <x:c r="M619" i="3"/>
  <x:c r="L610" i="3"/>
  <x:c r="L602" i="3"/>
  <x:c r="L594" i="3"/>
  <x:c r="K584" i="3"/>
  <x:c r="K576" i="3"/>
  <x:c r="K568" i="3"/>
  <x:c r="R559" i="3"/>
  <x:c r="O551" i="3"/>
  <x:c r="Q544" i="3"/>
  <x:c r="M540" i="3"/>
  <x:c r="P535" i="3"/>
  <x:c r="S530" i="3"/>
  <x:c r="O526" i="3"/>
  <x:c r="R521" i="3"/>
  <x:c r="N517" i="3"/>
  <x:c r="Q512" i="3"/>
  <x:c r="M508" i="3"/>
  <x:c r="P503" i="3"/>
  <x:c r="J497" i="3"/>
  <x:c r="F493" i="3"/>
  <x:c r="I488" i="3"/>
  <x:c r="L483" i="3"/>
  <x:c r="H479" i="3"/>
  <x:c r="K474" i="3"/>
  <x:c r="G470" i="3"/>
  <x:c r="J465" i="3"/>
  <x:c r="F461" i="3"/>
  <x:c r="I456" i="3"/>
  <x:c r="L451" i="3"/>
  <x:c r="H447" i="3"/>
  <x:c r="K442" i="3"/>
  <x:c r="M696" i="3"/>
  <x:c r="H652" i="3"/>
  <x:c r="Q628" i="3"/>
  <x:c r="I617" i="3"/>
  <x:c r="J608" i="3"/>
  <x:c r="J600" i="3"/>
  <x:c r="J592" i="3"/>
  <x:c r="M582" i="3"/>
  <x:c r="M574" i="3"/>
  <x:c r="L565" i="3"/>
  <x:c r="H557" i="3"/>
  <x:c r="S549" i="3"/>
  <x:c r="O543" i="3"/>
  <x:c r="R538" i="3"/>
  <x:c r="N534" i="3"/>
  <x:c r="Q529" i="3"/>
  <x:c r="M525" i="3"/>
  <x:c r="P520" i="3"/>
  <x:c r="S515" i="3"/>
  <x:c r="O511" i="3"/>
  <x:c r="P709" i="3"/>
  <x:c r="S670" i="3"/>
  <x:c r="S638" i="3"/>
  <x:c r="H622" i="3"/>
  <x:c r="F611" i="3"/>
  <x:c r="G599" i="3"/>
  <x:c r="F587" i="3"/>
  <x:c r="G575" i="3"/>
  <x:c r="F564" i="3"/>
  <x:c r="K555" i="3"/>
  <x:c r="J547" i="3"/>
  <x:c r="S541" i="3"/>
  <x:c r="O537" i="3"/>
  <x:c r="R532" i="3"/>
  <x:c r="N528" i="3"/>
  <x:c r="Q523" i="3"/>
  <x:c r="M519" i="3"/>
  <x:c r="P514" i="3"/>
  <x:c r="S509" i="3"/>
  <x:c r="O505" i="3"/>
  <x:c r="P498" i="3"/>
  <x:c r="S493" i="3"/>
  <x:c r="O489" i="3"/>
  <x:c r="R484" i="3"/>
  <x:c r="N480" i="3"/>
  <x:c r="Q475" i="3"/>
  <x:c r="M471" i="3"/>
  <x:c r="P466" i="3"/>
  <x:c r="S461" i="3"/>
  <x:c r="O457" i="3"/>
  <x:c r="M689" i="3"/>
  <x:c r="H613" i="3"/>
  <x:c r="H581" i="3"/>
  <x:c r="F552" i="3"/>
  <x:c r="M537" i="3"/>
  <x:c r="H523" i="3"/>
  <x:c r="N511" i="3"/>
  <x:c r="S495" i="3"/>
  <x:c r="R485" i="3"/>
  <x:c r="R475" i="3"/>
  <x:c r="S463" i="3"/>
  <x:c r="F454" i="3"/>
  <x:c r="L448" i="3"/>
  <x:c r="H442" i="3"/>
  <x:c r="O437" i="3"/>
  <x:c r="R432" i="3"/>
  <x:c r="M427" i="3"/>
  <x:c r="P422" i="3"/>
  <x:c r="S417" i="3"/>
  <x:c r="P694" i="3"/>
  <x:c r="Q601" i="3"/>
  <x:c r="M559" i="3"/>
  <x:c r="S540" i="3"/>
  <x:c r="N529" i="3"/>
  <x:c r="R517" i="3"/>
  <x:c r="Q506" i="3"/>
  <x:c r="P496" i="3"/>
  <x:c r="P488" i="3"/>
  <x:c r="P480" i="3"/>
  <x:c r="P472" i="3"/>
  <x:c r="P464" i="3"/>
  <x:c r="P456" i="3"/>
  <x:c r="P449" i="3"/>
  <x:c r="G444" i="3"/>
  <x:c r="H439" i="3"/>
  <x:c r="K434" i="3"/>
  <x:c r="G430" i="3"/>
  <x:c r="Q424" i="3"/>
  <x:c r="M420" i="3"/>
  <x:c r="P415" i="3"/>
  <x:c r="S410" i="3"/>
  <x:c r="O406" i="3"/>
  <x:c r="R633" i="3"/>
  <x:c r="J595" i="3"/>
  <x:c r="J559" i="3"/>
  <x:c r="K543" i="3"/>
  <x:c r="O530" i="3"/>
  <x:c r="K516" i="3"/>
  <x:c r="P505" i="3"/>
  <x:c r="N495" i="3"/>
  <x:c r="N487" i="3"/>
  <x:c r="N479" i="3"/>
  <x:c r="N471" i="3"/>
  <x:c r="N463" i="3"/>
  <x:c r="N455" i="3"/>
  <x:c r="H448" i="3"/>
  <x:c r="F442" i="3"/>
  <x:c r="M437" i="3"/>
  <x:c r="P432" i="3"/>
  <x:c r="K427" i="3"/>
  <x:c r="G423" i="3"/>
  <x:c r="J418" i="3"/>
  <x:c r="F414" i="3"/>
  <x:c r="I409" i="3"/>
  <x:c r="L404" i="3"/>
  <x:c r="H400" i="3"/>
  <x:c r="K395" i="3"/>
  <x:c r="G391" i="3"/>
  <x:c r="J386" i="3"/>
  <x:c r="F382" i="3"/>
  <x:c r="I377" i="3"/>
  <x:c r="L372" i="3"/>
  <x:c r="H368" i="3"/>
  <x:c r="R362" i="3"/>
  <x:c r="N358" i="3"/>
  <x:c r="Q353" i="3"/>
  <x:c r="M349" i="3"/>
  <x:c r="P344" i="3"/>
  <x:c r="S339" i="3"/>
  <x:c r="O335" i="3"/>
  <x:c r="R330" i="3"/>
  <x:c r="M325" i="3"/>
  <x:c r="P320" i="3"/>
  <x:c r="I618" i="3"/>
  <x:c r="G580" i="3"/>
  <x:c r="I551" i="3"/>
  <x:c r="J539" i="3"/>
  <x:c r="S527" i="3"/>
  <x:c r="I516" i="3"/>
  <x:c r="N505" i="3"/>
  <x:c r="L495" i="3"/>
  <x:c r="L487" i="3"/>
  <x:c r="L479" i="3"/>
  <x:c r="L471" i="3"/>
  <x:c r="L463" i="3"/>
  <x:c r="L455" i="3"/>
  <x:c r="S448" i="3"/>
  <x:c r="O442" i="3"/>
  <x:c r="S436" i="3"/>
  <x:c r="O432" i="3"/>
  <x:c r="Q426" i="3"/>
  <x:c r="M422" i="3"/>
  <x:c r="P417" i="3"/>
  <x:c r="S412" i="3"/>
  <x:c r="O408" i="3"/>
  <x:c r="R403" i="3"/>
  <x:c r="N399" i="3"/>
  <x:c r="Q394" i="3"/>
  <x:c r="M390" i="3"/>
  <x:c r="P385" i="3"/>
  <x:c r="S380" i="3"/>
  <x:c r="O376" i="3"/>
  <x:c r="R371" i="3"/>
  <x:c r="N367" i="3"/>
  <x:c r="I362" i="3"/>
  <x:c r="L357" i="3"/>
  <x:c r="H353" i="3"/>
  <x:c r="K348" i="3"/>
  <x:c r="G344" i="3"/>
  <x:c r="J339" i="3"/>
  <x:c r="F335" i="3"/>
  <x:c r="I330" i="3"/>
  <x:c r="K324" i="3"/>
  <x:c r="G320" i="3"/>
  <x:c r="S768" i="3"/>
  <x:c r="I606" i="3"/>
  <x:c r="S572" i="3"/>
  <x:c r="R547" i="3"/>
  <x:c r="Q532" i="3"/>
  <x:c r="M521" i="3"/>
  <x:c r="J507" i="3"/>
  <x:c r="M497" i="3"/>
  <x:c r="M489" i="3"/>
  <x:c r="M481" i="3"/>
  <x:c r="M473" i="3"/>
  <x:c r="M465" i="3"/>
  <x:c r="M457" i="3"/>
  <x:c r="R450" i="3"/>
  <x:c r="I445" i="3"/>
  <x:c r="F440" i="3"/>
  <x:c r="I435" i="3"/>
  <x:c r="L430" i="3"/>
  <x:c r="G425" i="3"/>
  <x:c r="J420" i="3"/>
  <x:c r="F416" i="3"/>
  <x:c r="I411" i="3"/>
  <x:c r="L406" i="3"/>
  <x:c r="H402" i="3"/>
  <x:c r="K397" i="3"/>
  <x:c r="G393" i="3"/>
  <x:c r="J388" i="3"/>
  <x:c r="F384" i="3"/>
  <x:c r="I379" i="3"/>
  <x:c r="L374" i="3"/>
  <x:c r="H370" i="3"/>
  <x:c r="J364" i="3"/>
  <x:c r="F360" i="3"/>
  <x:c r="I355" i="3"/>
  <x:c r="L350" i="3"/>
  <x:c r="H346" i="3"/>
  <x:c r="K341" i="3"/>
  <x:c r="G337" i="3"/>
  <x:c r="J332" i="3"/>
  <x:c r="F328" i="3"/>
  <x:c r="P322" i="3"/>
  <x:c r="S317" i="3"/>
  <x:c r="K678" i="3"/>
  <x:c r="R591" i="3"/>
  <x:c r="I562" i="3"/>
  <x:c r="S542" i="3"/>
  <x:c r="L664" i="3"/>
  <x:c r="G596" i="3"/>
  <x:c r="G564" i="3"/>
  <x:c r="S543" i="3"/>
  <x:c r="I532" i="3"/>
  <x:c r="L519" i="3"/>
  <x:c r="I509" i="3"/>
  <x:c r="F490" i="3"/>
  <x:c r="F474" i="3"/>
  <x:c r="F458" i="3"/>
  <x:c r="H449" i="3"/>
  <x:c r="O443" i="3"/>
  <x:c r="I438" i="3"/>
  <x:c r="L433" i="3"/>
  <x:c r="H429" i="3"/>
  <x:c r="J423" i="3"/>
  <x:c r="F419" i="3"/>
  <x:c r="I414" i="3"/>
  <x:c r="L409" i="3"/>
  <x:c r="H405" i="3"/>
  <x:c r="K400" i="3"/>
  <x:c r="G396" i="3"/>
  <x:c r="J391" i="3"/>
  <x:c r="F387" i="3"/>
  <x:c r="I382" i="3"/>
  <x:c r="L377" i="3"/>
  <x:c r="H373" i="3"/>
  <x:c r="K368" i="3"/>
  <x:c r="F363" i="3"/>
  <x:c r="I358" i="3"/>
  <x:c r="L353" i="3"/>
  <x:c r="H349" i="3"/>
  <x:c r="K344" i="3"/>
  <x:c r="G340" i="3"/>
  <x:c r="J335" i="3"/>
  <x:c r="F331" i="3"/>
  <x:c r="H325" i="3"/>
  <x:c r="K320" i="3"/>
  <x:c r="H521" i="3"/>
  <x:c r="I490" i="3"/>
  <x:c r="M446" i="3"/>
  <x:c r="F426" i="3"/>
  <x:c r="L408" i="3"/>
  <x:c r="K398" i="3"/>
  <x:c r="K390" i="3"/>
  <x:c r="K382" i="3"/>
  <x:c r="K374" i="3"/>
  <x:c r="K366" i="3"/>
  <x:c r="N357" i="3"/>
  <x:c r="N349" i="3"/>
  <x:c r="N341" i="3"/>
  <x:c r="N333" i="3"/>
  <x:c r="N324" i="3"/>
  <x:c r="H316" i="3"/>
  <x:c r="K311" i="3"/>
  <x:c r="G307" i="3"/>
  <x:c r="J302" i="3"/>
  <x:c r="F298" i="3"/>
  <x:c r="I293" i="3"/>
  <x:c r="L288" i="3"/>
  <x:c r="H284" i="3"/>
  <x:c r="K279" i="3"/>
  <x:c r="G275" i="3"/>
  <x:c r="J270" i="3"/>
  <x:c r="F266" i="3"/>
  <x:c r="P260" i="3"/>
  <x:c r="S255" i="3"/>
  <x:c r="O251" i="3"/>
  <x:c r="R246" i="3"/>
  <x:c r="N242" i="3"/>
  <x:c r="Q237" i="3"/>
  <x:c r="M233" i="3"/>
  <x:c r="P228" i="3"/>
  <x:c r="S223" i="3"/>
  <x:c r="O219" i="3"/>
  <x:c r="R214" i="3"/>
  <x:c r="N210" i="3"/>
  <x:c r="P204" i="3"/>
  <x:c r="G560" i="3"/>
  <x:c r="F487" i="3"/>
  <x:c r="P450" i="3"/>
  <x:c r="M432" i="3"/>
  <x:c r="M416" i="3"/>
  <x:c r="I404" i="3"/>
  <x:c r="I396" i="3"/>
  <x:c r="I388" i="3"/>
  <x:c r="I380" i="3"/>
  <x:c r="I372" i="3"/>
  <x:c r="H363" i="3"/>
  <x:c r="H355" i="3"/>
  <x:c r="H347" i="3"/>
  <x:c r="H339" i="3"/>
  <x:c r="H331" i="3"/>
  <x:c r="G322" i="3"/>
  <x:c r="M315" i="3"/>
  <x:c r="P310" i="3"/>
  <x:c r="S305" i="3"/>
  <x:c r="O301" i="3"/>
  <x:c r="R296" i="3"/>
  <x:c r="N292" i="3"/>
  <x:c r="Q287" i="3"/>
  <x:c r="M283" i="3"/>
  <x:c r="P278" i="3"/>
  <x:c r="S273" i="3"/>
  <x:c r="O269" i="3"/>
  <x:c r="Q263" i="3"/>
  <x:c r="M259" i="3"/>
  <x:c r="P254" i="3"/>
  <x:c r="S249" i="3"/>
  <x:c r="O245" i="3"/>
  <x:c r="R240" i="3"/>
  <x:c r="N236" i="3"/>
  <x:c r="Q231" i="3"/>
  <x:c r="M227" i="3"/>
  <x:c r="P222" i="3"/>
  <x:c r="S217" i="3"/>
  <x:c r="O213" i="3"/>
  <x:c r="R208" i="3"/>
  <x:c r="M203" i="3"/>
  <x:c r="J611" i="3"/>
  <x:c r="L509" i="3"/>
  <x:c r="G472" i="3"/>
  <x:c r="R445" i="3"/>
  <x:c r="G427" i="3"/>
  <x:c r="N410" i="3"/>
  <x:c r="F401" i="3"/>
  <x:c r="G389" i="3"/>
  <x:c r="G379" i="3"/>
  <x:c r="F369" i="3"/>
  <x:c r="H356" i="3"/>
  <x:c r="F346" i="3"/>
  <x:c r="G334" i="3"/>
  <x:c r="H324" i="3"/>
  <x:c r="S314" i="3"/>
  <x:c r="O310" i="3"/>
  <x:c r="R305" i="3"/>
  <x:c r="N301" i="3"/>
  <x:c r="Q296" i="3"/>
  <x:c r="M292" i="3"/>
  <x:c r="P287" i="3"/>
  <x:c r="S282" i="3"/>
  <x:c r="O278" i="3"/>
  <x:c r="R273" i="3"/>
  <x:c r="N269" i="3"/>
  <x:c r="P263" i="3"/>
  <x:c r="S258" i="3"/>
  <x:c r="O254" i="3"/>
  <x:c r="R249" i="3"/>
  <x:c r="N245" i="3"/>
  <x:c r="Q240" i="3"/>
  <x:c r="M236" i="3"/>
  <x:c r="P231" i="3"/>
  <x:c r="S226" i="3"/>
  <x:c r="O222" i="3"/>
  <x:c r="R217" i="3"/>
  <x:c r="N213" i="3"/>
  <x:c r="Q208" i="3"/>
  <x:c r="S202" i="3"/>
  <x:c r="S548" i="3"/>
  <x:c r="J486" i="3"/>
  <x:c r="F450" i="3"/>
  <x:c r="J430" i="3"/>
  <x:c r="F409" i="3"/>
  <x:c r="F396" i="3"/>
  <x:c r="F380" i="3"/>
  <x:c r="S359" i="3"/>
  <x:c r="S343" i="3"/>
  <x:c r="S326" i="3"/>
  <x:c r="S315" i="3"/>
  <x:c r="O311" i="3"/>
  <x:c r="R306" i="3"/>
  <x:c r="N302" i="3"/>
  <x:c r="Q297" i="3"/>
  <x:c r="M293" i="3"/>
  <x:c r="P288" i="3"/>
  <x:c r="S283" i="3"/>
  <x:c r="O279" i="3"/>
  <x:c r="R274" i="3"/>
  <x:c r="N270" i="3"/>
  <x:c r="P264" i="3"/>
  <x:c r="S259" i="3"/>
  <x:c r="O255" i="3"/>
  <x:c r="R250" i="3"/>
  <x:c r="N246" i="3"/>
  <x:c r="N519" i="3"/>
  <x:c r="G480" i="3"/>
  <x:c r="J447" i="3"/>
  <x:c r="S422" i="3"/>
  <x:c r="J406" i="3"/>
  <x:c r="S394" i="3"/>
  <x:c r="R384" i="3"/>
  <x:c r="R374" i="3"/>
  <x:c r="S361" i="3"/>
  <x:c r="Q351" i="3"/>
  <x:c r="R341" i="3"/>
  <x:c r="S329" i="3"/>
  <x:c r="R318" i="3"/>
  <x:c r="H313" i="3"/>
  <x:c r="K308" i="3"/>
  <x:c r="G304" i="3"/>
  <x:c r="J299" i="3"/>
  <x:c r="F295" i="3"/>
  <x:c r="I290" i="3"/>
  <x:c r="L285" i="3"/>
  <x:c r="H281" i="3"/>
  <x:c r="K276" i="3"/>
  <x:c r="G272" i="3"/>
  <x:c r="J267" i="3"/>
  <x:c r="L261" i="3"/>
  <x:c r="H257" i="3"/>
  <x:c r="K252" i="3"/>
  <x:c r="G248" i="3"/>
  <x:c r="J243" i="3"/>
  <x:c r="F239" i="3"/>
  <x:c r="I234" i="3"/>
  <x:c r="L229" i="3"/>
  <x:c r="H225" i="3"/>
  <x:c r="K220" i="3"/>
  <x:c r="G216" i="3"/>
  <x:c r="J211" i="3"/>
  <x:c r="F207" i="3"/>
  <x:c r="P201" i="3"/>
  <x:c r="J541" i="3"/>
  <x:c r="H499" i="3"/>
  <x:c r="H467" i="3"/>
  <x:c r="L440" i="3"/>
  <x:c r="L424" i="3"/>
  <x:c r="H411" i="3"/>
  <x:c r="L399" i="3"/>
  <x:c r="L391" i="3"/>
  <x:c r="L383" i="3"/>
  <x:c r="L375" i="3"/>
  <x:c r="L367" i="3"/>
  <x:c r="O358" i="3"/>
  <x:c r="O350" i="3"/>
  <x:c r="O342" i="3"/>
  <x:c r="O334" i="3"/>
  <x:c r="O325" i="3"/>
  <x:c r="Q317" i="3"/>
  <x:c r="F313" i="3"/>
  <x:c r="I308" i="3"/>
  <x:c r="L303" i="3"/>
  <x:c r="H299" i="3"/>
  <x:c r="K294" i="3"/>
  <x:c r="G290" i="3"/>
  <x:c r="J285" i="3"/>
  <x:c r="F281" i="3"/>
  <x:c r="I276" i="3"/>
  <x:c r="L271" i="3"/>
  <x:c r="H267" i="3"/>
  <x:c r="J261" i="3"/>
  <x:c r="F257" i="3"/>
  <x:c r="I252" i="3"/>
  <x:c r="L247" i="3"/>
  <x:c r="H243" i="3"/>
  <x:c r="K238" i="3"/>
  <x:c r="G234" i="3"/>
  <x:c r="J229" i="3"/>
  <x:c r="F225" i="3"/>
  <x:c r="I220" i="3"/>
  <x:c r="L215" i="3"/>
  <x:c r="H211" i="3"/>
  <x:c r="K206" i="3"/>
  <x:c r="F201" i="3"/>
  <x:c r="R422" i="3"/>
  <x:c r="J382" i="3"/>
  <x:c r="J350" i="3"/>
  <x:c r="J318" i="3"/>
  <x:c r="S301" i="3"/>
  <x:c r="S285" i="3"/>
  <x:c r="S269" i="3"/>
  <x:c r="S253" i="3"/>
  <x:c r="I241" i="3"/>
  <x:c r="S229" i="3"/>
  <x:c r="J218" i="3"/>
  <x:c r="Q206" i="3"/>
  <x:c r="M197" i="3"/>
  <x:c r="P192" i="3"/>
  <x:c r="S187" i="3"/>
  <x:c r="O183" i="3"/>
  <x:c r="R178" i="3"/>
  <x:c r="N174" i="3"/>
  <x:c r="Q169" i="3"/>
  <x:c r="M165" i="3"/>
  <x:c r="P160" i="3"/>
  <x:c r="S155" i="3"/>
  <x:c r="O151" i="3"/>
  <x:c r="R146" i="3"/>
  <x:c r="N142" i="3"/>
  <x:c r="Q137" i="3"/>
  <x:c r="M133" i="3"/>
  <x:c r="P128" i="3"/>
  <x:c r="S123" i="3"/>
  <x:c r="O119" i="3"/>
  <x:c r="R114" i="3"/>
  <x:c r="N110" i="3"/>
  <x:c r="Q105" i="3"/>
  <x:c r="M101" i="3"/>
  <x:c r="O95" i="3"/>
  <x:c r="R90" i="3"/>
  <x:c r="N86" i="3"/>
  <x:c r="Q81" i="3"/>
  <x:c r="M77" i="3"/>
  <x:c r="O71" i="3"/>
  <x:c r="R66" i="3"/>
  <x:c r="N62" i="3"/>
  <x:c r="G459" i="3"/>
  <x:c r="Q400" i="3"/>
  <x:c r="Q368" i="3"/>
  <x:c r="Q336" i="3"/>
  <x:c r="R308" i="3"/>
  <x:c r="R292" i="3"/>
  <x:c r="R276" i="3"/>
  <x:c r="R260" i="3"/>
  <x:c r="Q243" i="3"/>
  <x:c r="P229" i="3"/>
  <x:c r="H218" i="3"/>
  <x:c r="R202" i="3"/>
  <x:c r="K196" i="3"/>
  <x:c r="G192" i="3"/>
  <x:c r="J187" i="3"/>
  <x:c r="F183" i="3"/>
  <x:c r="I178" i="3"/>
  <x:c r="L173" i="3"/>
  <x:c r="H169" i="3"/>
  <x:c r="K164" i="3"/>
  <x:c r="G160" i="3"/>
  <x:c r="J155" i="3"/>
  <x:c r="F151" i="3"/>
  <x:c r="I146" i="3"/>
  <x:c r="L141" i="3"/>
  <x:c r="H137" i="3"/>
  <x:c r="K132" i="3"/>
  <x:c r="G128" i="3"/>
  <x:c r="J123" i="3"/>
  <x:c r="F119" i="3"/>
  <x:c r="I114" i="3"/>
  <x:c r="L109" i="3"/>
  <x:c r="H105" i="3"/>
  <x:c r="K100" i="3"/>
  <x:c r="F95" i="3"/>
  <x:c r="I90" i="3"/>
  <x:c r="L85" i="3"/>
  <x:c r="H81" i="3"/>
  <x:c r="K76" i="3"/>
  <x:c r="F71" i="3"/>
  <x:c r="I66" i="3"/>
  <x:c r="I508" i="3"/>
  <x:c r="Q397" i="3"/>
  <x:c r="J360" i="3"/>
  <x:c r="J328" i="3"/>
  <x:c r="J303" i="3"/>
  <x:c r="Q283" i="3"/>
  <x:c r="I262" i="3"/>
  <x:c r="N243" i="3"/>
  <x:c r="F232" i="3"/>
  <x:c r="L220" i="3"/>
  <x:c r="R207" i="3"/>
  <x:c r="S197" i="3"/>
  <x:c r="O193" i="3"/>
  <x:c r="R188" i="3"/>
  <x:c r="N184" i="3"/>
  <x:c r="Q179" i="3"/>
  <x:c r="M175" i="3"/>
  <x:c r="G496" i="3"/>
  <x:c r="P412" i="3"/>
  <x:c r="J373" i="3"/>
  <x:c r="O338" i="3"/>
  <x:c r="J308" i="3"/>
  <x:c r="S288" i="3"/>
  <x:c r="N267" i="3"/>
  <x:c r="K243" i="3"/>
  <x:c r="N230" i="3"/>
  <x:c r="Q217" i="3"/>
  <x:c r="I206" i="3"/>
  <x:c r="J197" i="3"/>
  <x:c r="F193" i="3"/>
  <x:c r="I188" i="3"/>
  <x:c r="L183" i="3"/>
  <x:c r="H179" i="3"/>
  <x:c r="K174" i="3"/>
  <x:c r="G170" i="3"/>
  <x:c r="J165" i="3"/>
  <x:c r="F161" i="3"/>
  <x:c r="I156" i="3"/>
  <x:c r="L151" i="3"/>
  <x:c r="H147" i="3"/>
  <x:c r="K142" i="3"/>
  <x:c r="G138" i="3"/>
  <x:c r="J133" i="3"/>
  <x:c r="F129" i="3"/>
  <x:c r="I124" i="3"/>
  <x:c r="L119" i="3"/>
  <x:c r="H115" i="3"/>
  <x:c r="K110" i="3"/>
  <x:c r="G106" i="3"/>
  <x:c r="J101" i="3"/>
  <x:c r="L95" i="3"/>
  <x:c r="H91" i="3"/>
  <x:c r="K86" i="3"/>
  <x:c r="G82" i="3"/>
  <x:c r="J462" i="3"/>
  <x:c r="K394" i="3"/>
  <x:c r="K362" i="3"/>
  <x:c r="K330" i="3"/>
  <x:c r="G308" i="3"/>
  <x:c r="G292" i="3"/>
  <x:c r="G276" i="3"/>
  <x:c r="M258" i="3"/>
  <x:c r="I243" i="3"/>
  <x:c r="L230" i="3"/>
  <x:c r="G220" i="3"/>
  <x:c r="M207" i="3"/>
  <x:c r="J198" i="3"/>
  <x:c r="F194" i="3"/>
  <x:c r="I189" i="3"/>
  <x:c r="L184" i="3"/>
  <x:c r="H180" i="3"/>
  <x:c r="K175" i="3"/>
  <x:c r="G171" i="3"/>
  <x:c r="J166" i="3"/>
  <x:c r="F162" i="3"/>
  <x:c r="I157" i="3"/>
  <x:c r="L152" i="3"/>
  <x:c r="H148" i="3"/>
  <x:c r="K143" i="3"/>
  <x:c r="G139" i="3"/>
  <x:c r="J134" i="3"/>
  <x:c r="F130" i="3"/>
  <x:c r="I125" i="3"/>
  <x:c r="L120" i="3"/>
  <x:c r="H116" i="3"/>
  <x:c r="K111" i="3"/>
  <x:c r="G107" i="3"/>
  <x:c r="J102" i="3"/>
  <x:c r="F98" i="3"/>
  <x:c r="P92" i="3"/>
  <x:c r="S87" i="3"/>
  <x:c r="O83" i="3"/>
  <x:c r="R78" i="3"/>
  <x:c r="M73" i="3"/>
  <x:c r="P68" i="3"/>
  <x:c r="S63" i="3"/>
  <x:c r="I399" i="3"/>
  <x:c r="I367" i="3"/>
  <x:c r="I335" i="3"/>
  <x:c r="H306" i="3"/>
  <x:c r="H290" i="3"/>
  <x:c r="H274" i="3"/>
  <x:c r="K256" i="3"/>
  <x:c r="F243" i="3"/>
  <x:c r="O231" i="3"/>
  <x:c r="L217" i="3"/>
  <x:c r="O204" i="3"/>
  <x:c r="P197" i="3"/>
  <x:c r="S192" i="3"/>
  <x:c r="O188" i="3"/>
  <x:c r="R183" i="3"/>
  <x:c r="N179" i="3"/>
  <x:c r="Q174" i="3"/>
  <x:c r="M170" i="3"/>
  <x:c r="P165" i="3"/>
  <x:c r="S160" i="3"/>
  <x:c r="O156" i="3"/>
  <x:c r="R151" i="3"/>
  <x:c r="N147" i="3"/>
  <x:c r="Q142" i="3"/>
  <x:c r="M138" i="3"/>
  <x:c r="P133" i="3"/>
  <x:c r="S128" i="3"/>
  <x:c r="O124" i="3"/>
  <x:c r="R119" i="3"/>
  <x:c r="N115" i="3"/>
  <x:c r="Q110" i="3"/>
  <x:c r="M106" i="3"/>
  <x:c r="P101" i="3"/>
  <x:c r="K96" i="3"/>
  <x:c r="G92" i="3"/>
  <x:c r="J87" i="3"/>
  <x:c r="F83" i="3"/>
  <x:c r="I78" i="3"/>
  <x:c r="S72" i="3"/>
  <x:c r="O68" i="3"/>
  <x:c r="R63" i="3"/>
  <x:c r="H435" i="3"/>
  <x:c r="K385" i="3"/>
  <x:c r="K353" i="3"/>
  <x:c r="K321" i="3"/>
  <x:c r="J300" i="3"/>
  <x:c r="S280" i="3"/>
  <x:c r="N259" i="3"/>
  <x:c r="H240" i="3"/>
  <x:c r="K227" i="3"/>
  <x:c r="N214" i="3"/>
  <x:c r="N200" i="3"/>
  <x:c r="L195" i="3"/>
  <x:c r="H191" i="3"/>
  <x:c r="I302" i="3"/>
  <x:c r="N181" i="3"/>
  <x:c r="O166" i="3"/>
  <x:c r="R153" i="3"/>
  <x:c r="F141" i="3"/>
  <x:c r="K129" i="3"/>
  <x:c r="L115" i="3"/>
  <x:c r="O102" i="3"/>
  <x:c r="N88" i="3"/>
  <x:c r="N76" i="3"/>
  <x:c r="M67" i="3"/>
  <x:c r="L60" i="3"/>
  <x:c r="H56" i="3"/>
  <x:c r="K51" i="3"/>
  <x:c r="G47" i="3"/>
  <x:c r="J42" i="3"/>
  <x:c r="F38" i="3"/>
  <x:c r="I33" i="3"/>
  <x:c r="L28" i="3"/>
  <x:c r="G23" i="3"/>
  <x:c r="J18" i="3"/>
  <x:c r="F14" i="3"/>
  <x:c r="I9" i="3"/>
  <x:c r="M396" i="3"/>
  <x:c r="F272" i="3"/>
  <x:c r="G181" i="3"/>
  <x:c r="L166" i="3"/>
  <x:c r="S154" i="3"/>
  <x:c r="Q144" i="3"/>
  <x:c r="L130" i="3"/>
  <x:c r="J120" i="3"/>
  <x:c r="G110" i="3"/>
  <x:c r="P94" i="3"/>
  <x:c r="N84" i="3"/>
  <x:c r="L75" i="3"/>
  <x:c r="K66" i="3"/>
  <x:c r="R59" i="3"/>
  <x:c r="N55" i="3"/>
  <x:c r="Q50" i="3"/>
  <x:c r="M46" i="3"/>
  <x:c r="P41" i="3"/>
  <x:c r="S36" i="3"/>
  <x:c r="O32" i="3"/>
  <x:c r="R27" i="3"/>
  <x:c r="M22" i="3"/>
  <x:c r="F757" i="3"/>
  <x:c r="S745" i="3"/>
  <x:c r="R672" i="3"/>
  <x:c r="S633" i="3"/>
  <x:c r="G686" i="3"/>
  <x:c r="G691" i="3"/>
  <x:c r="H672" i="3"/>
  <x:c r="L652" i="3"/>
  <x:c r="F748" i="3"/>
  <x:c r="R703" i="3"/>
  <x:c r="L685" i="3"/>
  <x:c r="K676" i="3"/>
  <x:c r="F671" i="3"/>
  <x:c r="I666" i="3"/>
  <x:c r="K660" i="3"/>
  <x:c r="G656" i="3"/>
  <x:c r="J651" i="3"/>
  <x:c r="F647" i="3"/>
  <x:c r="I642" i="3"/>
  <x:c r="K636" i="3"/>
  <x:c r="G632" i="3"/>
  <x:c r="J627" i="3"/>
  <x:c r="F623" i="3"/>
  <x:c r="G798" i="3"/>
  <x:c r="S753" i="3"/>
  <x:c r="K726" i="3"/>
  <x:c r="Q709" i="3"/>
  <x:c r="R696" i="3"/>
  <x:c r="F688" i="3"/>
  <x:c r="I683" i="3"/>
  <x:c r="L678" i="3"/>
  <x:c r="H674" i="3"/>
  <x:c r="K669" i="3"/>
  <x:c r="F664" i="3"/>
  <x:c r="I659" i="3"/>
  <x:c r="L654" i="3"/>
  <x:c r="H650" i="3"/>
  <x:c r="K645" i="3"/>
  <x:c r="F640" i="3"/>
  <x:c r="I635" i="3"/>
  <x:c r="L630" i="3"/>
  <x:c r="H626" i="3"/>
  <x:c r="F788" i="3"/>
  <x:c r="H749" i="3"/>
  <x:c r="N722" i="3"/>
  <x:c r="N707" i="3"/>
  <x:c r="M698" i="3"/>
  <x:c r="M690" i="3"/>
  <x:c r="P685" i="3"/>
  <x:c r="S680" i="3"/>
  <x:c r="O676" i="3"/>
  <x:c r="R671" i="3"/>
  <x:c r="N667" i="3"/>
  <x:c r="I662" i="3"/>
  <x:c r="L657" i="3"/>
  <x:c r="H653" i="3"/>
  <x:c r="K648" i="3"/>
  <x:c r="G644" i="3"/>
  <x:c r="Q638" i="3"/>
  <x:c r="M634" i="3"/>
  <x:c r="P629" i="3"/>
  <x:c r="G743" i="3"/>
  <x:c r="J686" i="3"/>
  <x:c r="K674" i="3"/>
  <x:c r="I660" i="3"/>
  <x:c r="K647" i="3"/>
  <x:c r="L635" i="3"/>
  <x:c r="L627" i="3"/>
  <x:c r="J621" i="3"/>
  <x:c r="F617" i="3"/>
  <x:c r="H611" i="3"/>
  <x:c r="K606" i="3"/>
  <x:c r="G602" i="3"/>
  <x:c r="J597" i="3"/>
  <x:c r="F593" i="3"/>
  <x:c r="G586" i="3"/>
  <x:c r="J581" i="3"/>
  <x:c r="F577" i="3"/>
  <x:c r="I572" i="3"/>
  <x:c r="L567" i="3"/>
  <x:c r="G562" i="3"/>
  <x:c r="J557" i="3"/>
  <x:c r="L551" i="3"/>
  <x:c r="H547" i="3"/>
  <x:c r="K703" i="3"/>
  <x:c r="H679" i="3"/>
  <x:c r="N666" i="3"/>
  <x:c r="S654" i="3"/>
  <x:c r="G642" i="3"/>
  <x:c r="L632" i="3"/>
  <x:c r="P624" i="3"/>
  <x:c r="G619" i="3"/>
  <x:c r="I613" i="3"/>
  <x:c r="L608" i="3"/>
  <x:c r="H604" i="3"/>
  <x:c r="K599" i="3"/>
  <x:c r="G595" i="3"/>
  <x:c r="J590" i="3"/>
  <x:c r="K583" i="3"/>
  <x:c r="G579" i="3"/>
  <x:c r="J574" i="3"/>
  <x:c r="F570" i="3"/>
  <x:c r="H564" i="3"/>
  <x:c r="K559" i="3"/>
  <x:c r="G555" i="3"/>
  <x:c r="I549" i="3"/>
  <x:c r="P731" i="3"/>
  <x:c r="O692" i="3"/>
  <x:c r="P676" i="3"/>
  <x:c r="P663" i="3"/>
  <x:c r="R649" i="3"/>
  <x:c r="J638" i="3"/>
  <x:c r="F763" i="3"/>
  <x:c r="K694" i="3"/>
  <x:c r="I676" i="3"/>
  <x:c r="K663" i="3"/>
  <x:c r="O650" i="3"/>
  <x:c r="F634" i="3"/>
  <x:c r="Q622" i="3"/>
  <x:c r="R617" i="3"/>
  <x:c r="M612" i="3"/>
  <x:c r="P607" i="3"/>
  <x:c r="S602" i="3"/>
  <x:c r="O598" i="3"/>
  <x:c r="R593" i="3"/>
  <x:c r="L587" i="3"/>
  <x:c r="H583" i="3"/>
  <x:c r="K578" i="3"/>
  <x:c r="G574" i="3"/>
  <x:c r="J569" i="3"/>
  <x:c r="L563" i="3"/>
  <x:c r="H559" i="3"/>
  <x:c r="J553" i="3"/>
  <x:c r="F549" i="3"/>
  <x:c r="S784" i="3"/>
  <x:c r="O693" i="3"/>
  <x:c r="J678" i="3"/>
  <x:c r="H668" i="3"/>
  <x:c r="H655" i="3"/>
  <x:c r="N642" i="3"/>
  <x:c r="P632" i="3"/>
  <x:c r="S624" i="3"/>
  <x:c r="I619" i="3"/>
  <x:c r="S613" i="3"/>
  <x:c r="O609" i="3"/>
  <x:c r="R604" i="3"/>
  <x:c r="N600" i="3"/>
  <x:c r="Q595" i="3"/>
  <x:c r="M591" i="3"/>
  <x:c r="N584" i="3"/>
  <x:c r="Q579" i="3"/>
  <x:c r="M575" i="3"/>
  <x:c r="P570" i="3"/>
  <x:c r="K565" i="3"/>
  <x:c r="S752" i="3"/>
  <x:c r="H676" i="3"/>
  <x:c r="O651" i="3"/>
  <x:c r="J623" i="3"/>
  <x:c r="F606" i="3"/>
  <x:c r="F590" i="3"/>
  <x:c r="M712" i="3"/>
  <x:c r="G667" i="3"/>
  <x:c r="P635" i="3"/>
  <x:c r="O620" i="3"/>
  <x:c r="R611" i="3"/>
  <x:c r="R603" i="3"/>
  <x:c r="R595" i="3"/>
  <x:c r="P585" i="3"/>
  <x:c r="P577" i="3"/>
  <x:c r="P569" i="3"/>
  <x:c r="R560" i="3"/>
  <x:c r="K553" i="3"/>
  <x:c r="F547" i="3"/>
  <x:c r="I542" i="3"/>
  <x:c r="L537" i="3"/>
  <x:c r="H533" i="3"/>
  <x:c r="K528" i="3"/>
  <x:c r="G524" i="3"/>
  <x:c r="J519" i="3"/>
  <x:c r="F515" i="3"/>
  <x:c r="I510" i="3"/>
  <x:c r="L505" i="3"/>
  <x:c r="F499" i="3"/>
  <x:c r="I494" i="3"/>
  <x:c r="L489" i="3"/>
  <x:c r="H485" i="3"/>
  <x:c r="K480" i="3"/>
  <x:c r="G476" i="3"/>
  <x:c r="J471" i="3"/>
  <x:c r="F467" i="3"/>
  <x:c r="I462" i="3"/>
  <x:c r="L457" i="3"/>
  <x:c r="P702" i="3"/>
  <x:c r="N669" i="3"/>
  <x:c r="I640" i="3"/>
  <x:c r="O621" i="3"/>
  <x:c r="N612" i="3"/>
  <x:c r="N604" i="3"/>
  <x:c r="N596" i="3"/>
  <x:c r="M586" i="3"/>
  <x:c r="M578" i="3"/>
  <x:c r="M570" i="3"/>
  <x:c r="L561" i="3"/>
  <x:c r="N552" i="3"/>
  <x:c r="R544" i="3"/>
  <x:c r="N540" i="3"/>
  <x:c r="Q535" i="3"/>
  <x:c r="M531" i="3"/>
  <x:c r="P526" i="3"/>
  <x:c r="S521" i="3"/>
  <x:c r="O517" i="3"/>
  <x:c r="R512" i="3"/>
  <x:c r="N508" i="3"/>
  <x:c r="Q503" i="3"/>
  <x:c r="R496" i="3"/>
  <x:c r="N492" i="3"/>
  <x:c r="Q487" i="3"/>
  <x:c r="M483" i="3"/>
  <x:c r="P478" i="3"/>
  <x:c r="S473" i="3"/>
  <x:c r="O469" i="3"/>
  <x:c r="R464" i="3"/>
  <x:c r="N460" i="3"/>
  <x:c r="Q455" i="3"/>
  <x:c r="M451" i="3"/>
  <x:c r="P446" i="3"/>
  <x:c r="S441" i="3"/>
  <x:c r="P660" i="3"/>
  <x:c r="Q632" i="3"/>
  <x:c r="L618" i="3"/>
  <x:c r="K609" i="3"/>
  <x:c r="K601" i="3"/>
  <x:c r="K593" i="3"/>
  <x:c r="N583" i="3"/>
  <x:c r="N575" i="3"/>
  <x:c r="N567" i="3"/>
  <x:c r="F559" i="3"/>
  <x:c r="Q550" i="3"/>
  <x:c r="I544" i="3"/>
  <x:c r="L539" i="3"/>
  <x:c r="H535" i="3"/>
  <x:c r="K530" i="3"/>
  <x:c r="G526" i="3"/>
  <x:c r="J521" i="3"/>
  <x:c r="F517" i="3"/>
  <x:c r="I512" i="3"/>
  <x:c r="L507" i="3"/>
  <x:c r="H503" i="3"/>
  <x:c r="Q496" i="3"/>
  <x:c r="M492" i="3"/>
  <x:c r="P487" i="3"/>
  <x:c r="S482" i="3"/>
  <x:c r="O478" i="3"/>
  <x:c r="R473" i="3"/>
  <x:c r="N469" i="3"/>
  <x:c r="Q464" i="3"/>
  <x:c r="M460" i="3"/>
  <x:c r="P455" i="3"/>
  <x:c r="S450" i="3"/>
  <x:c r="O446" i="3"/>
  <x:c r="R441" i="3"/>
  <x:c r="K687" i="3"/>
  <x:c r="P647" i="3"/>
  <x:c r="J625" i="3"/>
  <x:c r="J616" i="3"/>
  <x:c r="J607" i="3"/>
  <x:c r="J599" i="3"/>
  <x:c r="J591" i="3"/>
  <x:c r="L581" i="3"/>
  <x:c r="L573" i="3"/>
  <x:c r="K564" i="3"/>
  <x:c r="K556" i="3"/>
  <x:c r="G548" i="3"/>
  <x:c r="G543" i="3"/>
  <x:c r="J538" i="3"/>
  <x:c r="F534" i="3"/>
  <x:c r="I529" i="3"/>
  <x:c r="L524" i="3"/>
  <x:c r="H520" i="3"/>
  <x:c r="K515" i="3"/>
  <x:c r="G511" i="3"/>
  <x:c r="M704" i="3"/>
  <x:c r="I668" i="3"/>
  <x:c r="H636" i="3"/>
  <x:c r="G621" i="3"/>
  <x:c r="G608" i="3"/>
  <x:c r="H598" i="3"/>
  <x:c r="G584" i="3"/>
  <x:c r="H574" i="3"/>
  <x:c r="F563" i="3"/>
  <x:c r="P553" i="3"/>
  <x:c r="N546" i="3"/>
  <x:c r="K541" i="3"/>
  <x:c r="G537" i="3"/>
  <x:c r="J532" i="3"/>
  <x:c r="F528" i="3"/>
  <x:c r="I523" i="3"/>
  <x:c r="L518" i="3"/>
  <x:c r="H514" i="3"/>
  <x:c r="K509" i="3"/>
  <x:c r="G505" i="3"/>
  <x:c r="H498" i="3"/>
  <x:c r="K493" i="3"/>
  <x:c r="G489" i="3"/>
  <x:c r="J484" i="3"/>
  <x:c r="F480" i="3"/>
  <x:c r="I475" i="3"/>
  <x:c r="L470" i="3"/>
  <x:c r="H466" i="3"/>
  <x:c r="K461" i="3"/>
  <x:c r="G457" i="3"/>
  <x:c r="M668" i="3"/>
  <x:c r="R610" i="3"/>
  <x:c r="R578" i="3"/>
  <x:c r="I550" i="3"/>
  <x:c r="R534" i="3"/>
  <x:c r="F522" i="3"/>
  <x:c r="K510" i="3"/>
  <x:c r="S494" i="3"/>
  <x:c r="Q484" i="3"/>
  <x:c r="R474" i="3"/>
  <x:c r="S462" i="3"/>
  <x:c r="I453" i="3"/>
  <x:c r="O447" i="3"/>
  <x:c r="M441" i="3"/>
  <x:c r="G437" i="3"/>
  <x:c r="J432" i="3"/>
  <x:c r="L426" i="3"/>
  <x:c r="H422" i="3"/>
  <x:c r="K417" i="3"/>
  <x:c r="N681" i="3"/>
  <x:c r="S595" i="3"/>
  <x:c r="O557" i="3"/>
  <x:c r="P539" i="3"/>
  <x:c r="G528" i="3"/>
  <x:c r="P516" i="3"/>
  <x:c r="Q505" i="3"/>
  <x:c r="O495" i="3"/>
  <x:c r="O487" i="3"/>
  <x:c r="O479" i="3"/>
  <x:c r="O471" i="3"/>
  <x:c r="O463" i="3"/>
  <x:c r="O455" i="3"/>
  <x:c r="F449" i="3"/>
  <x:c r="K443" i="3"/>
  <x:c r="O438" i="3"/>
  <x:c r="R433" i="3"/>
  <x:c r="N429" i="3"/>
  <x:c r="I424" i="3"/>
  <x:c r="L419" i="3"/>
  <x:c r="H415" i="3"/>
  <x:c r="K410" i="3"/>
  <x:c r="G406" i="3"/>
  <x:c r="F625" i="3"/>
  <x:c r="R592" i="3"/>
  <x:c r="G557" i="3"/>
  <x:c r="Q540" i="3"/>
  <x:c r="M529" i="3"/>
  <x:c r="H515" i="3"/>
  <x:c r="O504" i="3"/>
  <x:c r="N494" i="3"/>
  <x:c r="N486" i="3"/>
  <x:c r="N478" i="3"/>
  <x:c r="N470" i="3"/>
  <x:c r="N462" i="3"/>
  <x:c r="Q454" i="3"/>
  <x:c r="M447" i="3"/>
  <x:c r="I441" i="3"/>
  <x:c r="L436" i="3"/>
  <x:c r="H432" i="3"/>
  <x:c r="R426" i="3"/>
  <x:c r="N422" i="3"/>
  <x:c r="Q417" i="3"/>
  <x:c r="M413" i="3"/>
  <x:c r="P408" i="3"/>
  <x:c r="S403" i="3"/>
  <x:c r="O399" i="3"/>
  <x:c r="R394" i="3"/>
  <x:c r="N390" i="3"/>
  <x:c r="Q385" i="3"/>
  <x:c r="M381" i="3"/>
  <x:c r="P376" i="3"/>
  <x:c r="S371" i="3"/>
  <x:c r="O367" i="3"/>
  <x:c r="J362" i="3"/>
  <x:c r="F358" i="3"/>
  <x:c r="I353" i="3"/>
  <x:c r="L348" i="3"/>
  <x:c r="H344" i="3"/>
  <x:c r="K339" i="3"/>
  <x:c r="G335" i="3"/>
  <x:c r="J330" i="3"/>
  <x:c r="L324" i="3"/>
  <x:c r="H320" i="3"/>
  <x:c r="R615" i="3"/>
  <x:c r="S577" i="3"/>
  <x:c r="M549" i="3"/>
  <x:c r="G538" i="3"/>
  <x:c r="M526" i="3"/>
  <x:c r="G515" i="3"/>
  <x:c r="M504" i="3"/>
  <x:c r="M494" i="3"/>
  <x:c r="M486" i="3"/>
  <x:c r="M478" i="3"/>
  <x:c r="M470" i="3"/>
  <x:c r="M462" i="3"/>
  <x:c r="N454" i="3"/>
  <x:c r="G448" i="3"/>
  <x:c r="H441" i="3"/>
  <x:c r="K436" i="3"/>
  <x:c r="G432" i="3"/>
  <x:c r="I426" i="3"/>
  <x:c r="L421" i="3"/>
  <x:c r="H417" i="3"/>
  <x:c r="K412" i="3"/>
  <x:c r="G408" i="3"/>
  <x:c r="J403" i="3"/>
  <x:c r="F399" i="3"/>
  <x:c r="I394" i="3"/>
  <x:c r="L389" i="3"/>
  <x:c r="H385" i="3"/>
  <x:c r="K380" i="3"/>
  <x:c r="G376" i="3"/>
  <x:c r="J371" i="3"/>
  <x:c r="F367" i="3"/>
  <x:c r="P361" i="3"/>
  <x:c r="S356" i="3"/>
  <x:c r="O352" i="3"/>
  <x:c r="R347" i="3"/>
  <x:c r="N343" i="3"/>
  <x:c r="Q338" i="3"/>
  <x:c r="M334" i="3"/>
  <x:c r="P329" i="3"/>
  <x:c r="R323" i="3"/>
  <x:c r="N319" i="3"/>
  <x:c r="F661" i="3"/>
  <x:c r="J603" i="3"/>
  <x:c r="H565" i="3"/>
  <x:c r="L544" i="3"/>
  <x:c r="O531" i="3"/>
  <x:c r="R518" i="3"/>
  <x:c r="J506" i="3"/>
  <x:c r="L496" i="3"/>
  <x:c r="L488" i="3"/>
  <x:c r="L480" i="3"/>
  <x:c r="L472" i="3"/>
  <x:c r="L464" i="3"/>
  <x:c r="L456" i="3"/>
  <x:c r="H450" i="3"/>
  <x:c r="L444" i="3"/>
  <x:c r="M439" i="3"/>
  <x:c r="P434" i="3"/>
  <x:c r="S429" i="3"/>
  <x:c r="N424" i="3"/>
  <x:c r="Q419" i="3"/>
  <x:c r="M415" i="3"/>
  <x:c r="P410" i="3"/>
  <x:c r="S405" i="3"/>
  <x:c r="O401" i="3"/>
  <x:c r="R396" i="3"/>
  <x:c r="N392" i="3"/>
  <x:c r="Q387" i="3"/>
  <x:c r="M383" i="3"/>
  <x:c r="P378" i="3"/>
  <x:c r="S373" i="3"/>
  <x:c r="O369" i="3"/>
  <x:c r="Q363" i="3"/>
  <x:c r="M359" i="3"/>
  <x:c r="P354" i="3"/>
  <x:c r="S349" i="3"/>
  <x:c r="O345" i="3"/>
  <x:c r="R340" i="3"/>
  <x:c r="N336" i="3"/>
  <x:c r="Q331" i="3"/>
  <x:c r="L326" i="3"/>
  <x:c r="H322" i="3"/>
  <x:c r="K317" i="3"/>
  <x:c r="H631" i="3"/>
  <x:c r="Q585" i="3"/>
  <x:c r="H560" i="3"/>
  <x:c r="L541" i="3"/>
  <x:c r="P659" i="3"/>
  <x:c r="Q593" i="3"/>
  <x:c r="S561" i="3"/>
  <x:c r="M542" i="3"/>
  <x:c r="G531" i="3"/>
  <x:c r="J518" i="3"/>
  <x:c r="F506" i="3"/>
  <x:c r="F489" i="3"/>
  <x:c r="F473" i="3"/>
  <x:c r="F457" i="3"/>
  <x:c r="M448" i="3"/>
  <x:c r="I442" i="3"/>
  <x:c r="P437" i="3"/>
  <x:c r="S432" i="3"/>
  <x:c r="N427" i="3"/>
  <x:c r="Q422" i="3"/>
  <x:c r="M418" i="3"/>
  <x:c r="P413" i="3"/>
  <x:c r="S408" i="3"/>
  <x:c r="O404" i="3"/>
  <x:c r="R399" i="3"/>
  <x:c r="N395" i="3"/>
  <x:c r="Q390" i="3"/>
  <x:c r="M386" i="3"/>
  <x:c r="P381" i="3"/>
  <x:c r="S376" i="3"/>
  <x:c r="O372" i="3"/>
  <x:c r="R367" i="3"/>
  <x:c r="M362" i="3"/>
  <x:c r="P357" i="3"/>
  <x:c r="S352" i="3"/>
  <x:c r="O348" i="3"/>
  <x:c r="R343" i="3"/>
  <x:c r="N339" i="3"/>
  <x:c r="Q334" i="3"/>
  <x:c r="M330" i="3"/>
  <x:c r="O324" i="3"/>
  <x:c r="R319" i="3"/>
  <x:c r="K518" i="3"/>
  <x:c r="F479" i="3"/>
  <x:c r="J444" i="3"/>
  <x:c r="J422" i="3"/>
  <x:c r="R405" i="3"/>
  <x:c r="N397" i="3"/>
  <x:c r="N389" i="3"/>
  <x:c r="N381" i="3"/>
  <x:c r="N373" i="3"/>
  <x:c r="N364" i="3"/>
  <x:c r="N356" i="3"/>
  <x:c r="N348" i="3"/>
  <x:c r="N340" i="3"/>
  <x:c r="N332" i="3"/>
  <x:c r="M323" i="3"/>
  <x:c r="O315" i="3"/>
  <x:c r="R310" i="3"/>
  <x:c r="N306" i="3"/>
  <x:c r="Q301" i="3"/>
  <x:c r="M297" i="3"/>
  <x:c r="P292" i="3"/>
  <x:c r="S287" i="3"/>
  <x:c r="O283" i="3"/>
  <x:c r="R278" i="3"/>
  <x:c r="N274" i="3"/>
  <x:c r="Q269" i="3"/>
  <x:c r="L264" i="3"/>
  <x:c r="H260" i="3"/>
  <x:c r="K255" i="3"/>
  <x:c r="G251" i="3"/>
  <x:c r="J246" i="3"/>
  <x:c r="F242" i="3"/>
  <x:c r="I237" i="3"/>
  <x:c r="L232" i="3"/>
  <x:c r="H228" i="3"/>
  <x:c r="K223" i="3"/>
  <x:c r="G219" i="3"/>
  <x:c r="J214" i="3"/>
  <x:c r="F210" i="3"/>
  <x:c r="H204" i="3"/>
  <x:c r="K527" i="3"/>
  <x:c r="H481" i="3"/>
  <x:c r="N448" i="3"/>
  <x:c r="R430" i="3"/>
  <x:c r="R414" i="3"/>
  <x:c r="H403" i="3"/>
  <x:c r="H395" i="3"/>
  <x:c r="H387" i="3"/>
  <x:c r="H379" i="3"/>
  <x:c r="H371" i="3"/>
  <x:c r="G362" i="3"/>
  <x:c r="G354" i="3"/>
  <x:c r="G346" i="3"/>
  <x:c r="G338" i="3"/>
  <x:c r="G330" i="3"/>
  <x:c r="J321" i="3"/>
  <x:c r="L314" i="3"/>
  <x:c r="H310" i="3"/>
  <x:c r="K305" i="3"/>
  <x:c r="G301" i="3"/>
  <x:c r="J296" i="3"/>
  <x:c r="F292" i="3"/>
  <x:c r="I287" i="3"/>
  <x:c r="L282" i="3"/>
  <x:c r="H278" i="3"/>
  <x:c r="K273" i="3"/>
  <x:c r="G269" i="3"/>
  <x:c r="I263" i="3"/>
  <x:c r="L258" i="3"/>
  <x:c r="H254" i="3"/>
  <x:c r="K249" i="3"/>
  <x:c r="G245" i="3"/>
  <x:c r="J240" i="3"/>
  <x:c r="F236" i="3"/>
  <x:c r="I231" i="3"/>
  <x:c r="L226" i="3"/>
  <x:c r="H222" i="3"/>
  <x:c r="K217" i="3"/>
  <x:c r="G213" i="3"/>
  <x:c r="J208" i="3"/>
  <x:c r="L202" i="3"/>
  <x:c r="H605" i="3"/>
  <x:c r="G504" i="3"/>
  <x:c r="I469" i="3"/>
  <x:c r="P443" i="3"/>
  <x:c r="M425" i="3"/>
  <x:c r="K409" i="3"/>
  <x:c r="G398" i="3"/>
  <x:c r="H388" i="3"/>
  <x:c r="F378" i="3"/>
  <x:c r="G366" i="3"/>
  <x:c r="G355" i="3"/>
  <x:c r="F345" i="3"/>
  <x:c r="G333" i="3"/>
  <x:c r="G323" i="3"/>
  <x:c r="K314" i="3"/>
  <x:c r="G310" i="3"/>
  <x:c r="J305" i="3"/>
  <x:c r="F301" i="3"/>
  <x:c r="I296" i="3"/>
  <x:c r="L291" i="3"/>
  <x:c r="H287" i="3"/>
  <x:c r="K282" i="3"/>
  <x:c r="G278" i="3"/>
  <x:c r="J273" i="3"/>
  <x:c r="F269" i="3"/>
  <x:c r="H263" i="3"/>
  <x:c r="K258" i="3"/>
  <x:c r="G254" i="3"/>
  <x:c r="J249" i="3"/>
  <x:c r="F245" i="3"/>
  <x:c r="I240" i="3"/>
  <x:c r="L235" i="3"/>
  <x:c r="H231" i="3"/>
  <x:c r="K226" i="3"/>
  <x:c r="G222" i="3"/>
  <x:c r="J217" i="3"/>
  <x:c r="F213" i="3"/>
  <x:c r="I208" i="3"/>
  <x:c r="K202" i="3"/>
  <x:c r="F530" i="3"/>
  <x:c r="G483" i="3"/>
  <x:c r="S447" i="3"/>
  <x:c r="F425" i="3"/>
  <x:c r="Q407" i="3"/>
  <x:c r="S391" i="3"/>
  <x:c r="S375" i="3"/>
  <x:c r="S358" i="3"/>
  <x:c r="S342" i="3"/>
  <x:c r="F325" i="3"/>
  <x:c r="K315" i="3"/>
  <x:c r="G311" i="3"/>
  <x:c r="J306" i="3"/>
  <x:c r="F302" i="3"/>
  <x:c r="I297" i="3"/>
  <x:c r="L292" i="3"/>
  <x:c r="H288" i="3"/>
  <x:c r="K283" i="3"/>
  <x:c r="G279" i="3"/>
  <x:c r="J274" i="3"/>
  <x:c r="F270" i="3"/>
  <x:c r="H264" i="3"/>
  <x:c r="K259" i="3"/>
  <x:c r="G255" i="3"/>
  <x:c r="J250" i="3"/>
  <x:c r="F246" i="3"/>
  <x:c r="R515" i="3"/>
  <x:c r="I477" i="3"/>
  <x:c r="H445" i="3"/>
  <x:c r="I421" i="3"/>
  <x:c r="G405" i="3"/>
  <x:c r="S393" i="3"/>
  <x:c r="Q383" i="3"/>
  <x:c r="R373" i="3"/>
  <x:c r="R360" i="3"/>
  <x:c r="R350" i="3"/>
  <x:c r="S338" i="3"/>
  <x:c r="R328" i="3"/>
  <x:c r="H317" i="3"/>
  <x:c r="O312" i="3"/>
  <x:c r="R307" i="3"/>
  <x:c r="N303" i="3"/>
  <x:c r="Q298" i="3"/>
  <x:c r="M294" i="3"/>
  <x:c r="P289" i="3"/>
  <x:c r="S284" i="3"/>
  <x:c r="O280" i="3"/>
  <x:c r="R275" i="3"/>
  <x:c r="N271" i="3"/>
  <x:c r="Q266" i="3"/>
  <x:c r="S260" i="3"/>
  <x:c r="O256" i="3"/>
  <x:c r="R251" i="3"/>
  <x:c r="N247" i="3"/>
  <x:c r="Q242" i="3"/>
  <x:c r="M238" i="3"/>
  <x:c r="P233" i="3"/>
  <x:c r="S228" i="3"/>
  <x:c r="O224" i="3"/>
  <x:c r="R219" i="3"/>
  <x:c r="N215" i="3"/>
  <x:c r="Q210" i="3"/>
  <x:c r="M206" i="3"/>
  <x:c r="H201" i="3"/>
  <x:c r="L536" i="3"/>
  <x:c r="F494" i="3"/>
  <x:c r="F462" i="3"/>
  <x:c r="K438" i="3"/>
  <x:c r="K422" i="3"/>
  <x:c r="M408" i="3"/>
  <x:c r="O398" i="3"/>
  <x:c r="O390" i="3"/>
  <x:c r="O382" i="3"/>
  <x:c r="O374" i="3"/>
  <x:c r="O366" i="3"/>
  <x:c r="O357" i="3"/>
  <x:c r="O349" i="3"/>
  <x:c r="O341" i="3"/>
  <x:c r="O333" i="3"/>
  <x:c r="P324" i="3"/>
  <x:c r="F317" i="3"/>
  <x:c r="M312" i="3"/>
  <x:c r="P307" i="3"/>
  <x:c r="S302" i="3"/>
  <x:c r="O298" i="3"/>
  <x:c r="R293" i="3"/>
  <x:c r="N289" i="3"/>
  <x:c r="Q284" i="3"/>
  <x:c r="M280" i="3"/>
  <x:c r="P275" i="3"/>
  <x:c r="S270" i="3"/>
  <x:c r="O266" i="3"/>
  <x:c r="Q260" i="3"/>
  <x:c r="M256" i="3"/>
  <x:c r="P251" i="3"/>
  <x:c r="S246" i="3"/>
  <x:c r="O242" i="3"/>
  <x:c r="R237" i="3"/>
  <x:c r="N233" i="3"/>
  <x:c r="Q228" i="3"/>
  <x:c r="M224" i="3"/>
  <x:c r="P219" i="3"/>
  <x:c r="S214" i="3"/>
  <x:c r="O210" i="3"/>
  <x:c r="Q204" i="3"/>
  <x:c r="M200" i="3"/>
  <x:c r="R413" i="3"/>
  <x:c r="P379" i="3"/>
  <x:c r="P347" i="3"/>
  <x:c r="G316" i="3"/>
  <x:c r="G300" i="3"/>
  <x:c r="G284" i="3"/>
  <x:c r="G268" i="3"/>
  <x:c r="G252" i="3"/>
  <x:c r="F240" i="3"/>
  <x:c r="L228" i="3"/>
  <x:c r="R215" i="3"/>
  <x:c r="G204" i="3"/>
  <x:c r="L196" i="3"/>
  <x:c r="H192" i="3"/>
  <x:c r="K187" i="3"/>
  <x:c r="G183" i="3"/>
  <x:c r="J178" i="3"/>
  <x:c r="F174" i="3"/>
  <x:c r="I169" i="3"/>
  <x:c r="L164" i="3"/>
  <x:c r="H160" i="3"/>
  <x:c r="K155" i="3"/>
  <x:c r="G151" i="3"/>
  <x:c r="J146" i="3"/>
  <x:c r="F142" i="3"/>
  <x:c r="I137" i="3"/>
  <x:c r="L132" i="3"/>
  <x:c r="H128" i="3"/>
  <x:c r="K123" i="3"/>
  <x:c r="G119" i="3"/>
  <x:c r="J114" i="3"/>
  <x:c r="F110" i="3"/>
  <x:c r="I105" i="3"/>
  <x:c r="L100" i="3"/>
  <x:c r="G95" i="3"/>
  <x:c r="J90" i="3"/>
  <x:c r="F86" i="3"/>
  <x:c r="I81" i="3"/>
  <x:c r="L76" i="3"/>
  <x:c r="G71" i="3"/>
  <x:c r="J66" i="3"/>
  <x:c r="F62" i="3"/>
  <x:c r="L449" i="3"/>
  <x:c r="L395" i="3"/>
  <x:c r="L363" i="3"/>
  <x:c r="L331" i="3"/>
  <x:c r="F307" i="3"/>
  <x:c r="F291" i="3"/>
  <x:c r="F275" i="3"/>
  <x:c r="F259" i="3"/>
  <x:c r="M242" i="3"/>
  <x:c r="J228" i="3"/>
  <x:c r="S216" i="3"/>
  <x:c r="L201" i="3"/>
  <x:c r="R195" i="3"/>
  <x:c r="N191" i="3"/>
  <x:c r="Q186" i="3"/>
  <x:c r="M182" i="3"/>
  <x:c r="P177" i="3"/>
  <x:c r="S172" i="3"/>
  <x:c r="O168" i="3"/>
  <x:c r="R163" i="3"/>
  <x:c r="N159" i="3"/>
  <x:c r="Q154" i="3"/>
  <x:c r="M150" i="3"/>
  <x:c r="P145" i="3"/>
  <x:c r="S140" i="3"/>
  <x:c r="O136" i="3"/>
  <x:c r="R131" i="3"/>
  <x:c r="N127" i="3"/>
  <x:c r="Q122" i="3"/>
  <x:c r="M118" i="3"/>
  <x:c r="P113" i="3"/>
  <x:c r="S108" i="3"/>
  <x:c r="O104" i="3"/>
  <x:c r="R99" i="3"/>
  <x:c r="M94" i="3"/>
  <x:c r="P89" i="3"/>
  <x:c r="S84" i="3"/>
  <x:c r="O80" i="3"/>
  <x:c r="R75" i="3"/>
  <x:c r="M70" i="3"/>
  <x:c r="P65" i="3"/>
  <x:c r="G487" i="3"/>
  <x:c r="J392" i="3"/>
  <x:c r="Q357" i="3"/>
  <x:c r="Q325" i="3"/>
  <x:c r="K301" i="3"/>
  <x:c r="F280" i="3"/>
  <x:c r="O260" i="3"/>
  <x:c r="J242" i="3"/>
  <x:c r="Q230" i="3"/>
  <x:c r="I219" i="3"/>
  <x:c r="L206" i="3"/>
  <x:c r="K197" i="3"/>
  <x:c r="G193" i="3"/>
  <x:c r="J188" i="3"/>
  <x:c r="F184" i="3"/>
  <x:c r="I179" i="3"/>
  <x:c r="L174" i="3"/>
  <x:c r="G491" i="3"/>
  <x:c r="O402" i="3"/>
  <x:c r="O370" i="3"/>
  <x:c r="J333" i="3"/>
  <x:c r="P306" i="3"/>
  <x:c r="H285" i="3"/>
  <x:c r="J260" i="3"/>
  <x:c r="H242" i="3"/>
  <x:c r="K229" i="3"/>
  <x:c r="N216" i="3"/>
  <x:c r="Q203" i="3"/>
  <x:c r="Q196" i="3"/>
  <x:c r="M192" i="3"/>
  <x:c r="P187" i="3"/>
  <x:c r="S182" i="3"/>
  <x:c r="O178" i="3"/>
  <x:c r="R173" i="3"/>
  <x:c r="N169" i="3"/>
  <x:c r="Q164" i="3"/>
  <x:c r="M160" i="3"/>
  <x:c r="P155" i="3"/>
  <x:c r="S150" i="3"/>
  <x:c r="O146" i="3"/>
  <x:c r="R141" i="3"/>
  <x:c r="N137" i="3"/>
  <x:c r="Q132" i="3"/>
  <x:c r="M128" i="3"/>
  <x:c r="P123" i="3"/>
  <x:c r="S118" i="3"/>
  <x:c r="O114" i="3"/>
  <x:c r="R109" i="3"/>
  <x:c r="N105" i="3"/>
  <x:c r="Q100" i="3"/>
  <x:c r="S94" i="3"/>
  <x:c r="O90" i="3"/>
  <x:c r="R85" i="3"/>
  <x:c r="N81" i="3"/>
  <x:c r="M424" i="3"/>
  <x:c r="P391" i="3"/>
  <x:c r="P359" i="3"/>
  <x:c r="K322" i="3"/>
  <x:c r="M306" i="3"/>
  <x:c r="M290" i="3"/>
  <x:c r="M274" i="3"/>
  <x:c r="N256" i="3"/>
  <x:c r="P240" i="3"/>
  <x:c r="H229" i="3"/>
  <x:c r="O217" i="3"/>
  <x:c r="F206" i="3"/>
  <x:c r="Q197" i="3"/>
  <x:c r="M193" i="3"/>
  <x:c r="P188" i="3"/>
  <x:c r="S183" i="3"/>
  <x:c r="O179" i="3"/>
  <x:c r="R174" i="3"/>
  <x:c r="N170" i="3"/>
  <x:c r="Q165" i="3"/>
  <x:c r="M161" i="3"/>
  <x:c r="P156" i="3"/>
  <x:c r="S151" i="3"/>
  <x:c r="O147" i="3"/>
  <x:c r="R142" i="3"/>
  <x:c r="N138" i="3"/>
  <x:c r="Q133" i="3"/>
  <x:c r="M129" i="3"/>
  <x:c r="P124" i="3"/>
  <x:c r="S119" i="3"/>
  <x:c r="O115" i="3"/>
  <x:c r="R110" i="3"/>
  <x:c r="N106" i="3"/>
  <x:c r="Q101" i="3"/>
  <x:c r="L96" i="3"/>
  <x:c r="H92" i="3"/>
  <x:c r="K87" i="3"/>
  <x:c r="G83" i="3"/>
  <x:c r="J78" i="3"/>
  <x:c r="L72" i="3"/>
  <x:c r="H68" i="3"/>
  <x:c r="P545" i="3"/>
  <x:c r="Q396" i="3"/>
  <x:c r="Q364" i="3"/>
  <x:c r="Q332" i="3"/>
  <x:c r="K304" i="3"/>
  <x:c r="K288" i="3"/>
  <x:c r="K272" i="3"/>
  <x:c r="L254" i="3"/>
  <x:c r="Q241" i="3"/>
  <x:c r="I230" i="3"/>
  <x:c r="H216" i="3"/>
  <x:c r="K203" i="3"/>
  <x:c r="H197" i="3"/>
  <x:c r="K192" i="3"/>
  <x:c r="G188" i="3"/>
  <x:c r="J183" i="3"/>
  <x:c r="F179" i="3"/>
  <x:c r="I174" i="3"/>
  <x:c r="L169" i="3"/>
  <x:c r="H165" i="3"/>
  <x:c r="K160" i="3"/>
  <x:c r="G156" i="3"/>
  <x:c r="J151" i="3"/>
  <x:c r="F147" i="3"/>
  <x:c r="I142" i="3"/>
  <x:c r="L137" i="3"/>
  <x:c r="H133" i="3"/>
  <x:c r="K128" i="3"/>
  <x:c r="G124" i="3"/>
  <x:c r="J119" i="3"/>
  <x:c r="F115" i="3"/>
  <x:c r="I110" i="3"/>
  <x:c r="L105" i="3"/>
  <x:c r="H101" i="3"/>
  <x:c r="R95" i="3"/>
  <x:c r="N91" i="3"/>
  <x:c r="Q86" i="3"/>
  <x:c r="M82" i="3"/>
  <x:c r="P77" i="3"/>
  <x:c r="K72" i="3"/>
  <x:c r="G68" i="3"/>
  <x:c r="J63" i="3"/>
  <x:c r="O427" i="3"/>
  <x:c r="P382" i="3"/>
  <x:c r="P350" i="3"/>
  <x:c r="P318" i="3"/>
  <x:c r="P298" i="3"/>
  <x:c r="H277" i="3"/>
  <x:c r="O257" i="3"/>
  <x:c r="P237" i="3"/>
  <x:c r="H226" i="3"/>
  <x:c r="K213" i="3"/>
  <x:c r="P199" i="3"/>
  <x:c r="S194" i="3"/>
  <x:c r="O190" i="3"/>
  <x:c r="K261" i="3"/>
  <x:c r="M179" i="3"/>
  <x:c r="K165" i="3"/>
  <x:c r="N152" i="3"/>
  <x:c r="Q139" i="3"/>
  <x:c r="I128" i="3"/>
  <x:c r="R112" i="3"/>
  <x:c r="K101" i="3"/>
  <x:c r="I87" i="3"/>
  <x:c r="M75" i="3"/>
  <x:c r="L66" i="3"/>
  <x:c r="S59" i="3"/>
  <x:c r="O55" i="3"/>
  <x:c r="R50" i="3"/>
  <x:c r="N46" i="3"/>
  <x:c r="Q41" i="3"/>
  <x:c r="M37" i="3"/>
  <x:c r="P32" i="3"/>
  <x:c r="S27" i="3"/>
  <x:c r="N22" i="3"/>
  <x:c r="Q17" i="3"/>
  <x:c r="M13" i="3"/>
  <x:c r="P8" i="3"/>
  <x:c r="R377" i="3"/>
  <x:c r="S219" i="3"/>
  <x:c r="L179" i="3"/>
  <x:c r="G165" i="3"/>
  <x:c r="O153" i="3"/>
  <x:c r="M143" i="3"/>
  <x:c r="J129" i="3"/>
  <x:c r="H119" i="3"/>
  <x:c r="M107" i="3"/>
  <x:c r="N93" i="3"/>
  <x:c r="I83" i="3"/>
  <x:c r="K73" i="3"/>
  <x:c r="K65" i="3"/>
  <x:c r="J59" i="3"/>
  <x:c r="F55" i="3"/>
  <x:c r="I50" i="3"/>
  <x:c r="L45" i="3"/>
  <x:c r="H41" i="3"/>
  <x:c r="K36" i="3"/>
  <x:c r="G32" i="3"/>
  <x:c r="J27" i="3"/>
  <x:c r="R191" i="3"/>
  <x:c r="P173" i="3"/>
  <x:c r="N155" i="3"/>
  <x:c r="S136" i="3"/>
  <x:c r="Q118" i="3"/>
  <x:c r="O100" i="3"/>
  <x:c r="L81" i="3"/>
  <x:c r="Q62" i="3"/>
  <x:c r="L316" i="3"/>
  <x:c r="J236" i="3"/>
  <x:c r="K194" i="3"/>
  <x:c r="F164" i="3"/>
  <x:c r="P111" i="3"/>
  <x:c r="N65" i="3"/>
  <x:c r="F46" i="3"/>
  <x:c r="K27" i="3"/>
  <x:c r="H8" i="3"/>
  <x:c r="L162" i="3"/>
  <x:c r="S117" i="3"/>
  <x:c r="M72" i="3"/>
  <x:c r="P49" i="3"/>
  <x:c r="N31" i="3"/>
  <x:c r="Q18" i="3"/>
  <x:c r="M14" i="3"/>
  <x:c r="P9" i="3"/>
  <x:c r="K277" i="3"/>
  <x:c r="N188" i="3"/>
  <x:c r="R168" i="3"/>
  <x:c r="K157" i="3"/>
  <x:c r="N144" i="3"/>
  <x:c r="Q131" i="3"/>
  <x:c r="I120" i="3"/>
  <x:c r="R104" i="3"/>
  <x:c r="F92" i="3"/>
  <x:c r="I79" i="3"/>
  <x:c r="H70" i="3"/>
  <x:c r="M62" i="3"/>
  <x:c r="H58" i="3"/>
  <x:c r="K53" i="3"/>
  <x:c r="G49" i="3"/>
  <x:c r="J44" i="3"/>
  <x:c r="F40" i="3"/>
  <x:c r="I35" i="3"/>
  <x:c r="L30" i="3"/>
  <x:c r="G25" i="3"/>
  <x:c r="J20" i="3"/>
  <x:c r="F16" i="3"/>
  <x:c r="I11" i="3"/>
  <x:c r="L6" i="3"/>
  <x:c r="J311" i="3"/>
  <x:c r="L204" i="3"/>
  <x:c r="I175" i="3"/>
  <x:c r="M163" i="3"/>
  <x:c r="P150" i="3"/>
  <x:c r="N140" i="3"/>
  <x:c r="Q127" i="3"/>
  <x:c r="J116" i="3"/>
  <x:c r="S105" i="3"/>
  <x:c r="G93" i="3"/>
  <x:c r="O81" i="3"/>
  <x:c r="I72" i="3"/>
  <x:c r="I64" i="3"/>
  <x:c r="H59" i="3"/>
  <x:c r="K54" i="3"/>
  <x:c r="G50" i="3"/>
  <x:c r="J45" i="3"/>
  <x:c r="F41" i="3"/>
  <x:c r="I36" i="3"/>
  <x:c r="L31" i="3"/>
  <x:c r="H27" i="3"/>
  <x:c r="J21" i="3"/>
  <x:c r="F17" i="3"/>
  <x:c r="I12" i="3"/>
  <x:c r="L7" i="3"/>
  <x:c r="L222" i="3"/>
  <x:c r="H182" i="3"/>
  <x:c r="N168" i="3"/>
  <x:c r="Q155" i="3"/>
  <x:c r="I144" i="3"/>
  <x:c r="R128" i="3"/>
  <x:c r="K117" i="3"/>
  <x:c r="N104" i="3"/>
  <x:c r="Q91" i="3"/>
  <x:c r="I80" i="3"/>
  <x:c r="F64" i="3"/>
  <x:c r="G59" i="3"/>
  <x:c r="J54" i="3"/>
  <x:c r="F50" i="3"/>
  <x:c r="I45" i="3"/>
  <x:c r="L40" i="3"/>
  <x:c r="H36" i="3"/>
  <x:c r="Q316" i="3"/>
  <x:c r="I203" i="3"/>
  <x:c r="K178" i="3"/>
  <x:c r="S165" i="3"/>
  <x:c r="H154" i="3"/>
  <x:c r="N141" i="3"/>
  <x:c r="R385" i="3"/>
  <x:c r="F256" i="3"/>
  <x:c r="S186" i="3"/>
  <x:c r="J169" i="3"/>
  <x:c r="H159" i="3"/>
  <x:c r="M147" i="3"/>
  <x:c r="P134" i="3"/>
  <x:c r="N124" i="3"/>
  <x:c r="Q111" i="3"/>
  <x:c r="J100" i="3"/>
  <x:c r="Q88" i="3"/>
  <x:c r="Q76" i="3"/>
  <x:c r="P67" i="3"/>
  <x:c r="F61" i="3"/>
  <x:c r="I56" i="3"/>
  <x:c r="L51" i="3"/>
  <x:c r="H47" i="3"/>
  <x:c r="K42" i="3"/>
  <x:c r="G38" i="3"/>
  <x:c r="J33" i="3"/>
  <x:c r="F29" i="3"/>
  <x:c r="H23" i="3"/>
  <x:c r="K18" i="3"/>
  <x:c r="G14" i="3"/>
  <x:c r="J9" i="3"/>
  <x:c r="K141" i="3"/>
  <x:c r="M440" i="3"/>
  <x:c r="G126" i="3"/>
  <x:c r="P87" i="3"/>
  <x:c r="P54" i="3"/>
  <x:c r="S33" i="3"/>
  <x:c r="G21" i="3"/>
  <x:c r="H221" i="3"/>
  <x:c r="H118" i="3"/>
  <x:c r="O61" i="3"/>
  <x:c r="I38" i="3"/>
  <x:c r="L24" i="3"/>
  <x:c r="H13" i="3"/>
  <x:c r="K169" i="3"/>
  <x:c r="J104" i="3"/>
  <x:c r="H61" i="3"/>
  <x:c r="H45" i="3"/>
  <x:c r="P29" i="3"/>
  <x:c r="F18" i="3"/>
  <x:c r="H531" i="3"/>
  <x:c r="F117" i="3"/>
  <x:c r="R72" i="3"/>
  <x:c r="P46" i="3"/>
  <x:c r="I29" i="3"/>
  <x:c r="K16" i="3"/>
  <x:c r="P183" i="3"/>
  <x:c r="N109" i="3"/>
  <x:c r="S65" i="3"/>
  <x:c r="O44" i="3"/>
  <x:c r="H29" i="3"/>
  <x:c r="M17" i="3"/>
  <x:c r="P151" i="3"/>
  <x:c r="Q30" i="3"/>
  <x:c r="N100" i="3"/>
  <x:c r="L42" i="3"/>
  <x:c r="S8" i="3"/>
  <x:c r="Q38" i="3"/>
  <x:c r="P13" i="3"/>
  <x:c r="R56" i="3"/>
  <x:c r="N12" i="3"/>
  <x:c r="G20" i="3"/>
  <x:c r="L49" i="3"/>
  <x:c r="G36" i="3"/>
  <x:c r="I62" i="3"/>
  <x:c r="K40" i="3"/>
  <x:c r="N34" i="3"/>
  <x:c r="L50" i="3"/>
  <x:c r="Q47" i="3"/>
  <x:c r="J84" i="3"/>
  <x:c r="F68" i="3"/>
  <x:c r="F144" i="3"/>
  <x:c r="M151" i="3"/>
  <x:c r="O69" i="3"/>
  <x:c r="K34" i="3"/>
  <x:c r="K10" i="3"/>
  <x:c r="K23" i="3"/>
  <x:c r="O28" i="3"/>
  <x:c r="L33" i="3"/>
  <x:c r="G19" i="3"/>
  <x:c r="H20" i="3"/>
  <x:c r="Q21" i="3"/>
  <x:c r="G52" i="3"/>
  <x:c r="O13" i="3"/>
  <x:c r="J191" i="3"/>
  <x:c r="H173" i="3"/>
  <x:c r="F155" i="3"/>
  <x:c r="K136" i="3"/>
  <x:c r="I118" i="3"/>
  <x:c r="G100" i="3"/>
  <x:c r="S80" i="3"/>
  <x:c r="R510" i="3"/>
  <x:c r="P314" i="3"/>
  <x:c r="F235" i="3"/>
  <x:c r="R193" i="3"/>
  <x:c r="P162" i="3"/>
  <x:c r="H110" i="3"/>
  <x:c r="N64" i="3"/>
  <x:c r="M45" i="3"/>
  <x:c r="Q25" i="3"/>
  <x:c r="O7" i="3"/>
  <x:c r="J161" i="3"/>
  <x:c r="N116" i="3"/>
  <x:c r="L71" i="3"/>
  <x:c r="H49" i="3"/>
  <x:c r="F31" i="3"/>
  <x:c r="I18" i="3"/>
  <x:c r="L13" i="3"/>
  <x:c r="H9" i="3"/>
  <x:c r="I254" i="3"/>
  <x:c r="J184" i="3"/>
  <x:c r="P167" i="3"/>
  <x:c r="F156" i="3"/>
  <x:c r="I143" i="3"/>
  <x:c r="K130" i="3"/>
  <x:c r="O117" i="3"/>
  <x:c r="P103" i="3"/>
  <x:c r="P90" i="3"/>
  <x:c r="H78" i="3"/>
  <x:c r="J69" i="3"/>
  <x:c r="S61" i="3"/>
  <x:c r="O57" i="3"/>
  <x:c r="R52" i="3"/>
  <x:c r="N48" i="3"/>
  <x:c r="Q43" i="3"/>
  <x:c r="M39" i="3"/>
  <x:c r="P34" i="3"/>
  <x:c r="S29" i="3"/>
  <x:c r="N24" i="3"/>
  <x:c r="Q19" i="3"/>
  <x:c r="M15" i="3"/>
  <x:c r="P10" i="3"/>
  <x:c r="S414" i="3"/>
  <x:c r="O300" i="3"/>
  <x:c r="Q199" i="3"/>
  <x:c r="S173" i="3"/>
  <x:c r="H162" i="3"/>
  <x:c r="N149" i="3"/>
  <x:c r="I139" i="3"/>
  <x:c r="L126" i="3"/>
  <x:c r="S114" i="3"/>
  <x:c r="Q104" i="3"/>
  <x:c r="L90" i="3"/>
  <x:c r="J80" i="3"/>
  <x:c r="H71" i="3"/>
  <x:c r="I63" i="3"/>
  <x:c r="O58" i="3"/>
  <x:c r="R53" i="3"/>
  <x:c r="N49" i="3"/>
  <x:c r="Q44" i="3"/>
  <x:c r="M40" i="3"/>
  <x:c r="P35" i="3"/>
  <x:c r="S30" i="3"/>
  <x:c r="N25" i="3"/>
  <x:c r="Q20" i="3"/>
  <x:c r="M16" i="3"/>
  <x:c r="P11" i="3"/>
  <x:c r="S6" i="3"/>
  <x:c r="M213" i="3"/>
  <x:c r="N180" i="3"/>
  <x:c r="I167" i="3"/>
  <x:c r="K154" i="3"/>
  <x:c r="O141" i="3"/>
  <x:c r="P127" i="3"/>
  <x:c r="F116" i="3"/>
  <x:c r="I103" i="3"/>
  <x:c r="K90" i="3"/>
  <x:c r="F77" i="3"/>
  <x:c r="H63" i="3"/>
  <x:c r="N58" i="3"/>
  <x:c r="Q53" i="3"/>
  <x:c r="M49" i="3"/>
  <x:c r="P44" i="3"/>
  <x:c r="S39" i="3"/>
  <x:c r="O35" i="3"/>
  <x:c r="F304" i="3"/>
  <x:c r="F196" i="3"/>
  <x:c r="Q176" i="3"/>
  <x:c r="N164" i="3"/>
  <x:c r="Q151" i="3"/>
  <x:c r="J140" i="3"/>
  <x:c r="M372" i="3"/>
  <x:c r="I235" i="3"/>
  <x:c r="I183" i="3"/>
  <x:c r="F168" i="3"/>
  <x:c r="S157" i="3"/>
  <x:c r="H146" i="3"/>
  <x:c r="N133" i="3"/>
  <x:c r="I123" i="3"/>
  <x:c r="L110" i="3"/>
  <x:c r="S98" i="3"/>
  <x:c r="M87" i="3"/>
  <x:c r="P75" i="3"/>
  <x:c r="O66" i="3"/>
  <x:c r="M60" i="3"/>
  <x:c r="P55" i="3"/>
  <x:c r="S50" i="3"/>
  <x:c r="O46" i="3"/>
  <x:c r="R41" i="3"/>
  <x:c r="N37" i="3"/>
  <x:c r="Q32" i="3"/>
  <x:c r="M28" i="3"/>
  <x:c r="O22" i="3"/>
  <x:c r="R17" i="3"/>
  <x:c r="N13" i="3"/>
  <x:c r="Q8" i="3"/>
  <x:c r="O133" i="3"/>
  <x:c r="P170" i="3"/>
  <x:c r="H122" i="3"/>
  <x:c r="R77" i="3"/>
  <x:c r="F51" i="3"/>
  <x:c r="K32" i="3"/>
  <x:c r="M18" i="3"/>
  <x:c r="G207" i="3"/>
  <x:c r="L114" i="3"/>
  <x:c r="S57" i="3"/>
  <x:c r="O36" i="3"/>
  <x:c r="J23" i="3"/>
  <x:c r="F12" i="3"/>
  <x:c r="M164" i="3"/>
  <x:c r="G94" i="3"/>
  <x:c r="N59" i="3"/>
  <x:c r="N43" i="3"/>
  <x:c r="N28" i="3"/>
  <x:c r="R16" i="3"/>
  <x:c r="K309" i="3"/>
  <x:c r="J113" i="3"/>
  <x:c r="R69" i="3"/>
  <x:c r="F43" i="3"/>
  <x:c r="G28" i="3"/>
  <x:c r="I15" i="3"/>
  <x:c r="F172" i="3"/>
  <x:c r="P106" i="3"/>
  <x:c r="J62" i="3"/>
  <x:c r="S40" i="3"/>
  <x:c r="F28" i="3"/>
  <x:c r="J16" i="3"/>
  <x:c r="Q87" i="3"/>
  <x:c r="J22" i="3"/>
  <x:c r="Q71" i="3"/>
  <x:c r="N35" i="3"/>
  <x:c r="M245" i="3"/>
  <x:c r="M35" i="3"/>
  <x:c r="F11" i="3"/>
  <x:c r="G53" i="3"/>
  <x:c r="Q7" i="3"/>
  <x:c r="K137" i="3"/>
  <x:c r="H46" i="3"/>
  <x:c r="S31" i="3"/>
  <x:c r="J31" i="3"/>
  <x:c r="I21" i="3"/>
  <x:c r="M25" i="3"/>
  <x:c r="M9" i="3"/>
  <x:c r="K33" i="3"/>
  <x:c r="H143" i="3"/>
  <x:c r="H60" i="3"/>
  <x:c r="J168" i="3"/>
  <x:c r="O161" i="3"/>
  <x:c r="O78" i="3"/>
  <x:c r="H39" i="3"/>
  <x:c r="G6" i="3"/>
  <x:c r="I136" i="3"/>
  <x:c r="R192" i="3"/>
  <x:c r="P20" i="3"/>
  <x:c r="K7" i="3"/>
  <x:c r="M42" i="3"/>
  <x:c r="G29" i="3"/>
  <x:c r="R47" i="3"/>
  <x:c r="N187" i="3"/>
  <x:c r="S168" i="3"/>
  <x:c r="Q150" i="3"/>
  <x:c r="O132" i="3"/>
  <x:c r="M114" i="3"/>
  <x:c r="J95" i="3"/>
  <x:c r="H77" i="3"/>
  <x:c r="O418" i="3"/>
  <x:c r="S296" i="3"/>
  <x:c r="S224" i="3"/>
  <x:c r="G190" i="3"/>
  <x:c r="I151" i="3"/>
  <x:c r="F100" i="3"/>
  <x:c r="K59" i="3"/>
  <x:c r="I41" i="3"/>
  <x:c r="F22" i="3"/>
  <x:c r="M364" i="3"/>
  <x:c r="J152" i="3"/>
  <x:c r="H106" i="3"/>
  <x:c r="M64" i="3"/>
  <x:c r="S44" i="3"/>
  <x:c r="P25" i="3"/>
  <x:c r="P17" i="3"/>
  <x:c r="S12" i="3"/>
  <x:c r="O8" i="3"/>
  <x:c r="R228" i="3"/>
  <x:c r="P182" i="3"/>
  <x:c r="H166" i="3"/>
  <x:c r="P154" i="3"/>
  <x:c r="R140" i="3"/>
  <x:c r="G129" i="3"/>
  <x:c r="M116" i="3"/>
  <x:c r="H102" i="3"/>
  <x:c r="K89" i="3"/>
  <x:c r="J77" i="3"/>
  <x:c r="J68" i="3"/>
  <x:c r="K61" i="3"/>
  <x:c r="G57" i="3"/>
  <x:c r="J52" i="3"/>
  <x:c r="F48" i="3"/>
  <x:c r="I43" i="3"/>
  <x:c r="L38" i="3"/>
  <x:c r="H34" i="3"/>
  <x:c r="K29" i="3"/>
  <x:c r="F24" i="3"/>
  <x:c r="I19" i="3"/>
  <x:c r="L14" i="3"/>
  <x:c r="H10" i="3"/>
  <x:c r="R401" i="3"/>
  <x:c r="F288" i="3"/>
  <x:c r="S193" i="3"/>
  <x:c r="N172" i="3"/>
  <x:c r="Q159" i="3"/>
  <x:c r="J148" i="3"/>
  <x:c r="S137" i="3"/>
  <x:c r="G125" i="3"/>
  <x:c r="O113" i="3"/>
  <x:c r="M103" i="3"/>
  <x:c r="J89" i="3"/>
  <x:c r="H79" i="3"/>
  <x:c r="G70" i="3"/>
  <x:c r="L62" i="3"/>
  <x:c r="G58" i="3"/>
  <x:c r="J53" i="3"/>
  <x:c r="F49" i="3"/>
  <x:c r="I44" i="3"/>
  <x:c r="L39" i="3"/>
  <x:c r="H35" i="3"/>
  <x:c r="K30" i="3"/>
  <x:c r="F25" i="3"/>
  <x:c r="I20" i="3"/>
  <x:c r="L15" i="3"/>
  <x:c r="H11" i="3"/>
  <x:c r="K6" i="3"/>
  <x:c r="K208" i="3"/>
  <x:c r="L178" i="3"/>
  <x:c r="R164" i="3"/>
  <x:c r="G153" i="3"/>
  <x:c r="M140" i="3"/>
  <x:c r="H126" i="3"/>
  <x:c r="P114" i="3"/>
  <x:c r="R100" i="3"/>
  <x:c r="G89" i="3"/>
  <x:c r="F76" i="3"/>
  <x:c r="K62" i="3"/>
  <x:c r="F58" i="3"/>
  <x:c r="I53" i="3"/>
  <x:c r="L48" i="3"/>
  <x:c r="H44" i="3"/>
  <x:c r="K39" i="3"/>
  <x:c r="H456" i="3"/>
  <x:c r="Q275" i="3"/>
  <x:c r="H190" i="3"/>
  <x:c r="N173" i="3"/>
  <x:c r="I163" i="3"/>
  <x:c r="L150" i="3"/>
  <x:c r="S138" i="3"/>
  <x:c r="R353" i="3"/>
  <x:c r="F230" i="3"/>
  <x:c r="O181" i="3"/>
  <x:c r="P166" i="3"/>
  <x:c r="N156" i="3"/>
  <x:c r="Q143" i="3"/>
  <x:c r="J132" i="3"/>
  <x:c r="S121" i="3"/>
  <x:c r="G109" i="3"/>
  <x:c r="J96" i="3"/>
  <x:c r="G86" i="3"/>
  <x:c r="O73" i="3"/>
  <x:c r="O65" i="3"/>
  <x:c r="L59" i="3"/>
  <x:c r="H55" i="3"/>
  <x:c r="K50" i="3"/>
  <x:c r="G46" i="3"/>
  <x:c r="J41" i="3"/>
  <x:c r="F37" i="3"/>
  <x:c r="I32" i="3"/>
  <x:c r="L27" i="3"/>
  <x:c r="G22" i="3"/>
  <x:c r="J17" i="3"/>
  <x:c r="F13" i="3"/>
  <x:c r="I8" i="3"/>
  <x:c r="S129" i="3"/>
  <x:c r="O165" i="3"/>
  <x:c r="L118" i="3"/>
  <x:c r="S70" i="3"/>
  <x:c r="J47" i="3"/>
  <x:c r="I31" i="3"/>
  <x:c r="R15" i="3"/>
  <x:c r="F180" i="3"/>
  <x:c r="F108" i="3"/>
  <x:c r="I54" i="3"/>
  <x:c r="F35" i="3"/>
  <x:c r="H22" i="3"/>
  <x:c r="N10" i="3"/>
  <x:c r="I159" i="3"/>
  <x:c r="H90" i="3"/>
  <x:c r="L57" i="3"/>
  <x:c r="L41" i="3"/>
  <x:c r="G27" i="3"/>
  <x:c r="K15" i="3"/>
  <x:c r="I286" i="3"/>
  <x:c r="S106" i="3"/>
  <x:c r="S62" i="3"/>
  <x:c r="J39" i="3"/>
  <x:c r="L25" i="3"/>
  <x:c r="P12" i="3"/>
  <x:c r="Q147" i="3"/>
  <x:c r="H103" i="3"/>
  <x:c r="O60" i="3"/>
  <x:c r="I39" i="3"/>
  <x:c r="K25" i="3"/>
  <x:c r="Q13" i="3"/>
  <x:c r="L82" i="3"/>
  <x:c r="F20" i="3"/>
  <x:c r="P66" i="3"/>
  <x:c r="R32" i="3"/>
  <x:c r="R156" i="3"/>
  <x:c r="L32" i="3"/>
  <x:c r="K8" i="3"/>
  <x:c r="R40" i="3"/>
  <x:c r="I99" i="3"/>
  <x:c r="L123" i="3"/>
  <x:c r="S15" i="3"/>
  <x:c r="P22" i="3"/>
  <x:c r="N18" i="3"/>
  <x:c r="R14" i="3"/>
  <x:c r="H21" i="3"/>
  <x:c r="N60" i="3"/>
  <x:c r="G60" i="3"/>
  <x:c r="F149" i="3"/>
  <x:c r="R39" i="3"/>
  <x:c r="I14" i="3"/>
  <x:c r="M100" i="3"/>
  <x:c r="F59" i="3"/>
  <x:c r="R22" i="3"/>
  <x:c r="O142" i="3"/>
  <x:c r="S56" i="3"/>
  <x:c r="O37" i="3"/>
  <x:c r="O12" i="3"/>
  <x:c r="H14" i="3"/>
  <x:c r="G61" i="3"/>
  <x:c r="H135" i="3"/>
  <x:c r="P198" i="3"/>
  <x:c r="G37" i="3"/>
  <x:c r="G117" i="3"/>
  <x:c r="J15" i="3"/>
  <x:c r="I7" i="3"/>
  <x:c r="L17" i="3"/>
  <x:c r="S9" i="3"/>
  <x:c r="O11" i="3"/>
  <x:c r="F27" i="3"/>
  <x:c r="R161" i="3"/>
  <x:c r="O110" i="3"/>
  <x:c r="K173" i="3"/>
  <x:c r="M43" i="3"/>
  <x:c r="R35" i="3"/>
  <x:c r="P122" i="3"/>
  <x:c r="R81" i="3"/>
  <x:c r="L54" i="3"/>
  <x:c r="K45" i="3"/>
  <x:c r="I27" i="3"/>
  <x:c r="J12" i="3"/>
  <x:c r="R337" i="3"/>
  <x:c r="J153" i="3"/>
  <x:c r="Q95" i="3"/>
  <x:c r="G66" i="3"/>
  <x:c r="K46" i="3"/>
  <x:c r="I28" i="3"/>
  <x:c r="K22" i="3"/>
  <x:c r="O241" i="3"/>
  <x:c r="P146" i="3"/>
  <x:c r="H94" i="3"/>
  <x:c r="K55" i="3"/>
  <x:c r="I37" i="3"/>
  <x:c r="G158" i="3"/>
  <x:c r="J279" i="3"/>
  <x:c r="H127" i="3"/>
  <x:c r="H62" i="3"/>
  <x:c r="F53" i="3"/>
  <x:c r="I24" i="3"/>
  <x:c r="J136" i="3"/>
  <x:c r="F60" i="3"/>
  <x:c r="O45" i="3"/>
  <x:c r="M50" i="3"/>
  <x:c r="F52" i="3"/>
  <x:c r="S49" i="3"/>
  <x:c r="J7" i="3"/>
  <x:c r="Q54" i="3"/>
  <x:c r="K49" i="3"/>
  <x:c r="K17" i="3"/>
  <x:c r="F85" i="3"/>
  <x:c r="F187" i="3"/>
  <x:c r="K168" i="3"/>
  <x:c r="I150" i="3"/>
  <x:c r="G132" i="3"/>
  <x:c r="L113" i="3"/>
  <x:c r="Q94" i="3"/>
  <x:c r="O76" i="3"/>
  <x:c r="K407" i="3"/>
  <x:c r="H293" i="3"/>
  <x:c r="O223" i="3"/>
  <x:c r="N189" i="3"/>
  <x:c r="R148" i="3"/>
  <x:c r="P98" i="3"/>
  <x:c r="R58" i="3"/>
  <x:c r="P40" i="3"/>
  <x:c r="M21" i="3"/>
  <x:c r="R345" i="3"/>
  <x:c r="H151" i="3"/>
  <x:c r="Q103" i="3"/>
  <x:c r="L63" i="3"/>
  <x:c r="K44" i="3"/>
  <x:c r="H25" i="3"/>
  <x:c r="H17" i="3"/>
  <x:c r="K12" i="3"/>
  <x:c r="G8" i="3"/>
  <x:c r="R223" i="3"/>
  <x:c r="F181" i="3"/>
  <x:c r="F165" i="3"/>
  <x:c r="K153" i="3"/>
  <x:c r="L139" i="3"/>
  <x:c r="O126" i="3"/>
  <x:c r="R113" i="3"/>
  <x:c r="F101" i="3"/>
  <x:c r="I88" i="3"/>
  <x:c r="J76" i="3"/>
  <x:c r="I67" i="3"/>
  <x:c r="R60" i="3"/>
  <x:c r="N56" i="3"/>
  <x:c r="Q51" i="3"/>
  <x:c r="M47" i="3"/>
  <x:c r="P42" i="3"/>
  <x:c r="S37" i="3"/>
  <x:c r="O33" i="3"/>
  <x:c r="R28" i="3"/>
  <x:c r="M23" i="3"/>
  <x:c r="P18" i="3"/>
  <x:c r="S13" i="3"/>
  <x:c r="O9" i="3"/>
  <x:c r="M388" i="3"/>
  <x:c r="Q259" i="3"/>
  <x:c r="F188" i="3"/>
  <x:c r="I171" i="3"/>
  <x:c r="L158" i="3"/>
  <x:c r="S146" i="3"/>
  <x:c r="Q136" i="3"/>
  <x:c r="L122" i="3"/>
  <x:c r="J112" i="3"/>
  <x:c r="G102" i="3"/>
  <x:c r="F88" i="3"/>
  <x:c r="G78" i="3"/>
  <x:c r="G69" i="3"/>
  <x:c r="R61" i="3"/>
  <x:c r="N57" i="3"/>
  <x:c r="Q52" i="3"/>
  <x:c r="M48" i="3"/>
  <x:c r="P43" i="3"/>
  <x:c r="S38" i="3"/>
  <x:c r="O34" i="3"/>
  <x:c r="R29" i="3"/>
  <x:c r="M24" i="3"/>
  <x:c r="P19" i="3"/>
  <x:c r="S14" i="3"/>
  <x:c r="O10" i="3"/>
  <x:c r="J494" i="3"/>
  <x:c r="I199" i="3"/>
  <x:c r="R176" i="3"/>
  <x:c r="L163" i="3"/>
  <x:c r="O150" i="3"/>
  <x:c r="R137" i="3"/>
  <x:c r="F125" i="3"/>
  <x:c r="K113" i="3"/>
  <x:c r="L99" i="3"/>
  <x:c r="O86" i="3"/>
  <x:c r="F73" i="3"/>
  <x:c r="Q61" i="3"/>
  <x:c r="M57" i="3"/>
  <x:c r="P52" i="3"/>
  <x:c r="S47" i="3"/>
  <x:c r="O43" i="3"/>
  <x:c r="R38" i="3"/>
  <x:c r="R393" i="3"/>
  <x:c r="J263" i="3"/>
  <x:c r="M187" i="3"/>
  <x:c r="J172" i="3"/>
  <x:c r="S161" i="3"/>
  <x:c r="G149" i="3"/>
  <x:c r="O137" i="3"/>
  <x:c r="M340" i="3"/>
  <x:c r="F216" i="3"/>
  <x:c r="S177" i="3"/>
  <x:c r="N165" i="3"/>
  <x:c r="I155" i="3"/>
  <x:c r="L142" i="3"/>
  <x:c r="S130" i="3"/>
  <x:c r="Q120" i="3"/>
  <x:c r="L106" i="3"/>
  <x:c r="H95" i="3"/>
  <x:c r="M83" i="3"/>
  <x:c r="Q72" i="3"/>
  <x:c r="Q64" i="3"/>
  <x:c r="S58" i="3"/>
  <x:c r="O54" i="3"/>
  <x:c r="R49" i="3"/>
  <x:c r="N45" i="3"/>
  <x:c r="Q40" i="3"/>
  <x:c r="M36" i="3"/>
  <x:c r="P31" i="3"/>
  <x:c r="R25" i="3"/>
  <x:c r="N21" i="3"/>
  <x:c r="Q16" i="3"/>
  <x:c r="M12" i="3"/>
  <x:c r="P7" i="3"/>
  <x:c r="Q115" i="3"/>
  <x:c r="N160" i="3"/>
  <x:c r="J108" i="3"/>
  <x:c r="Q67" i="3"/>
  <x:c r="P45" i="3"/>
  <x:c r="P28" i="3"/>
  <x:c r="P14" i="3"/>
  <x:c r="P174" i="3"/>
  <x:c r="O101" i="3"/>
  <x:c r="O52" i="3"/>
  <x:c r="M33" i="3"/>
  <x:c r="O19" i="3"/>
  <x:c r="K9" i="3"/>
  <x:c r="L86" i="3"/>
  <x:c r="R55" i="3"/>
  <x:c r="S25" i="3"/>
  <x:c r="K240" i="3"/>
  <x:c r="P37" i="3"/>
  <x:c r="N11" i="3"/>
  <x:c r="N96" i="3"/>
  <x:c r="S23" i="3"/>
  <x:c r="S77" i="3"/>
  <x:c r="I30" i="3"/>
  <x:c r="H30" i="3"/>
  <x:c r="J176" i="3"/>
  <x:c r="H12" i="3"/>
  <x:c r="L10" i="3"/>
  <x:c r="O20" i="3"/>
  <x:c r="M58" i="3"/>
  <x:c r="O27" i="3"/>
  <x:c r="F34" i="3"/>
  <x:c r="N128" i="3"/>
  <x:c r="Q14" i="3"/>
  <x:c r="N15" i="3"/>
  <x:c r="J64" i="3"/>
  <x:c r="J36" i="3"/>
  <x:c r="G17" i="3"/>
  <x:c r="O182" i="3"/>
  <x:c r="P118" i="3"/>
  <x:c r="L55" i="3"/>
  <x:c r="G42" i="3"/>
  <x:c r="G18" i="3"/>
  <x:c r="M172" i="3"/>
  <x:c r="G121" i="3"/>
  <x:c r="G51" i="3"/>
  <x:c r="M231" i="3"/>
  <x:c r="J192" i="3"/>
  <x:c r="M115" i="3"/>
  <x:c r="I48" i="3"/>
  <x:c r="L19" i="3"/>
  <x:c r="L9" i="3"/>
  <x:c r="K114" i="3"/>
  <x:c r="P138" i="3"/>
  <x:c r="G85" i="3"/>
  <x:c r="K48" i="3"/>
  <x:c r="S69" i="3"/>
  <x:c r="Q182" i="3"/>
  <x:c r="O164" i="3"/>
  <x:c r="M146" i="3"/>
  <x:c r="R127" i="3"/>
  <x:c r="P109" i="3"/>
  <x:c r="F91" i="3"/>
  <x:c r="R71" i="3"/>
  <x:c r="K377" i="3"/>
  <x:c r="N275" i="3"/>
  <x:c r="R210" i="3"/>
  <x:c r="G244" i="3"/>
  <x:c r="K138" i="3"/>
  <x:c r="R84" i="3"/>
  <x:c r="G55" i="3"/>
  <x:c r="L36" i="3"/>
  <x:c r="I17" i="3"/>
  <x:c r="P200" i="3"/>
  <x:c r="G142" i="3"/>
  <x:c r="J92" i="3"/>
  <x:c r="Q58" i="3"/>
  <x:c r="O40" i="3"/>
  <x:c r="L21" i="3"/>
  <x:c r="O16" i="3"/>
  <x:c r="R11" i="3"/>
  <x:c r="N7" i="3"/>
  <x:c r="Q214" i="3"/>
  <x:c r="J177" i="3"/>
  <x:c r="Q163" i="3"/>
  <x:c r="I152" i="3"/>
  <x:c r="R136" i="3"/>
  <x:c r="K125" i="3"/>
  <x:c r="N112" i="3"/>
  <x:c r="Q99" i="3"/>
  <x:c r="O85" i="3"/>
  <x:c r="I75" i="3"/>
  <x:c r="H66" i="3"/>
  <x:c r="J60" i="3"/>
  <x:c r="F56" i="3"/>
  <x:c r="I51" i="3"/>
  <x:c r="L46" i="3"/>
  <x:c r="H42" i="3"/>
  <x:c r="K37" i="3"/>
  <x:c r="G33" i="3"/>
  <x:c r="J28" i="3"/>
  <x:c r="L22" i="3"/>
  <x:c r="H18" i="3"/>
  <x:c r="K13" i="3"/>
  <x:c r="G9" i="3"/>
  <x:c r="R369" i="3"/>
  <x:c r="J247" i="3"/>
  <x:c r="S185" i="3"/>
  <x:c r="S169" i="3"/>
  <x:c r="G157" i="3"/>
  <x:c r="O145" i="3"/>
  <x:c r="M135" i="3"/>
  <x:c r="J121" i="3"/>
  <x:c r="H111" i="3"/>
  <x:c r="M99" i="3"/>
  <x:c r="P86" i="3"/>
  <x:c r="G77" i="3"/>
  <x:c r="I68" i="3"/>
  <x:c r="J61" i="3"/>
  <x:c r="F57" i="3"/>
  <x:c r="I52" i="3"/>
  <x:c r="L47" i="3"/>
  <x:c r="H43" i="3"/>
  <x:c r="K38" i="3"/>
  <x:c r="G34" i="3"/>
  <x:c r="J29" i="3"/>
  <x:c r="L23" i="3"/>
  <x:c r="H19" i="3"/>
  <x:c r="K14" i="3"/>
  <x:c r="G10" i="3"/>
  <x:c r="K293" i="3"/>
  <x:c r="N196" i="3"/>
  <x:c r="H175" i="3"/>
  <x:c r="R160" i="3"/>
  <x:c r="K149" i="3"/>
  <x:c r="N136" i="3"/>
  <x:c r="Q123" i="3"/>
  <x:c r="I112" i="3"/>
  <x:c r="R96" i="3"/>
  <x:c r="K85" i="3"/>
  <x:c r="F72" i="3"/>
  <x:c r="I61" i="3"/>
  <x:c r="L56" i="3"/>
  <x:c r="H52" i="3"/>
  <x:c r="K47" i="3"/>
  <x:c r="G43" i="3"/>
  <x:c r="J38" i="3"/>
  <x:c r="M380" i="3"/>
  <x:c r="O252" i="3"/>
  <x:c r="K185" i="3"/>
  <x:c r="S170" i="3"/>
  <x:c r="Q160" i="3"/>
  <x:c r="L146" i="3"/>
  <x:c r="H484" i="3"/>
  <x:c r="R321" i="3"/>
  <x:c r="H198" i="3"/>
  <x:c r="I176" i="3"/>
  <x:c r="J164" i="3"/>
  <x:c r="S153" i="3"/>
  <x:c r="G141" i="3"/>
  <x:c r="O129" i="3"/>
  <x:c r="M119" i="3"/>
  <x:c r="J105" i="3"/>
  <x:c r="S93" i="3"/>
  <x:c r="H82" i="3"/>
  <x:c r="P71" i="3"/>
  <x:c r="P63" i="3"/>
  <x:c r="K58" i="3"/>
  <x:c r="G54" i="3"/>
  <x:c r="J49" i="3"/>
  <x:c r="F45" i="3"/>
  <x:c r="I40" i="3"/>
  <x:c r="L35" i="3"/>
  <x:c r="H31" i="3"/>
  <x:c r="J25" i="3"/>
  <x:c r="F21" i="3"/>
  <x:c r="I16" i="3"/>
  <x:c r="L11" i="3"/>
  <x:c r="H7" i="3"/>
  <x:c r="F112" i="3"/>
  <x:c r="L155" i="3"/>
  <x:c r="K105" i="3"/>
  <x:c r="R64" i="3"/>
  <x:c r="F44" i="3"/>
  <x:c r="N27" i="3"/>
  <x:c r="I13" i="3"/>
  <x:c r="G145" i="3"/>
  <x:c r="Q83" i="3"/>
  <x:c r="S48" i="3"/>
  <x:c r="J32" i="3"/>
  <x:c r="L18" i="3"/>
  <x:c r="S7" i="3"/>
  <x:c r="M132" i="3"/>
  <x:c r="R76" i="3"/>
  <x:c r="H54" i="3"/>
  <x:c r="H38" i="3"/>
  <x:c r="K24" i="3"/>
  <x:c r="G13" i="3"/>
  <x:c r="I168" i="3"/>
  <x:c r="Q96" i="3"/>
  <x:c r="J55" i="3"/>
  <x:c r="F36" i="3"/>
  <x:c r="P21" i="3"/>
  <x:c r="F10" i="3"/>
  <x:c r="M127" i="3"/>
  <x:c r="R92" i="3"/>
  <x:c r="I55" i="3"/>
  <x:c r="L34" i="3"/>
  <x:c r="Q22" i="3"/>
  <x:c r="M11" i="3"/>
  <x:c r="L58" i="3"/>
  <x:c r="H86" i="3"/>
  <x:c r="Q46" i="3"/>
  <x:c r="J8" i="3"/>
  <x:c r="J226" i="3"/>
  <x:c r="M54" i="3"/>
  <x:c r="J72" i="3"/>
  <x:c r="G41" i="3"/>
  <x:c r="K21" i="3"/>
  <x:c r="P232" i="3"/>
  <x:c r="M131" i="3"/>
  <x:c r="I60" i="3"/>
  <x:c r="J37" i="3"/>
  <x:c r="J13" i="3"/>
  <x:c r="H158" i="3"/>
  <x:c r="M108" i="3"/>
  <x:c r="J46" i="3"/>
  <x:c r="G182" i="3"/>
  <x:c r="G173" i="3"/>
  <x:c r="P102" i="3"/>
  <x:c r="L43" i="3"/>
  <x:c r="H15" i="3"/>
  <x:c r="P38" i="3"/>
  <x:c r="Q15" i="3"/>
  <x:c r="R7" i="3"/>
  <x:c r="Q119" i="3"/>
  <x:c r="R124" i="3"/>
  <x:c r="H28" i="3"/>
  <x:c r="K56" i="3"/>
  <x:c r="I182" i="3"/>
  <x:c r="G164" i="3"/>
  <x:c r="L145" i="3"/>
  <x:c r="J127" i="3"/>
  <x:c r="H109" i="3"/>
  <x:c r="M90" i="3"/>
  <x:c r="J71" i="3"/>
  <x:c r="P374" i="3"/>
  <x:c r="O273" i="3"/>
  <x:c r="L209" i="3"/>
  <x:c r="G239" i="3"/>
  <x:c r="G137" i="3"/>
  <x:c r="L83" i="3"/>
  <x:c r="N54" i="3"/>
  <x:c r="S35" i="3"/>
  <x:c r="P16" i="3"/>
  <x:c r="O197" i="3"/>
  <x:c r="M139" i="3"/>
  <x:c r="S90" i="3"/>
  <x:c r="I58" i="3"/>
  <x:c r="G40" i="3"/>
  <x:c r="S20" i="3"/>
  <x:c r="G16" i="3"/>
  <x:c r="J11" i="3"/>
  <x:c r="F7" i="3"/>
  <x:c r="O209" i="3"/>
  <x:c r="P175" i="3"/>
  <x:c r="K162" i="3"/>
  <x:c r="O149" i="3"/>
  <x:c r="P135" i="3"/>
  <x:c r="F124" i="3"/>
  <x:c r="I111" i="3"/>
  <x:c r="K98" i="3"/>
  <x:c r="M84" i="3"/>
  <x:c r="J73" i="3"/>
  <x:c r="J65" i="3"/>
  <x:c r="Q59" i="3"/>
  <x:c r="M55" i="3"/>
  <x:c r="P50" i="3"/>
  <x:c r="S45" i="3"/>
  <x:c r="O41" i="3"/>
  <x:c r="R36" i="3"/>
  <x:c r="N32" i="3"/>
  <x:c r="Q27" i="3"/>
  <x:c r="S21" i="3"/>
  <x:c r="O17" i="3"/>
  <x:c r="R12" i="3"/>
  <x:c r="N8" i="3"/>
  <x:c r="M356" i="3"/>
  <x:c r="S237" i="3"/>
  <x:c r="I184" i="3"/>
  <x:c r="Q168" i="3"/>
  <x:c r="L154" i="3"/>
  <x:c r="J144" i="3"/>
  <x:c r="G134" i="3"/>
  <x:c r="F120" i="3"/>
  <x:c r="S109" i="3"/>
  <x:c r="H98" i="3"/>
  <x:c r="N85" i="3"/>
  <x:c r="I76" i="3"/>
  <x:c r="H67" i="3"/>
  <x:c r="Q60" i="3"/>
  <x:c r="M56" i="3"/>
  <x:c r="P51" i="3"/>
  <x:c r="S46" i="3"/>
  <x:c r="O42" i="3"/>
  <x:c r="R37" i="3"/>
  <x:c r="N33" i="3"/>
  <x:c r="Q28" i="3"/>
  <x:c r="S22" i="3"/>
  <x:c r="O18" i="3"/>
  <x:c r="R13" i="3"/>
  <x:c r="N9" i="3"/>
  <x:c r="I270" i="3"/>
  <x:c r="K193" i="3"/>
  <x:c r="O173" i="3"/>
  <x:c r="P159" i="3"/>
  <x:c r="F148" i="3"/>
  <x:c r="I135" i="3"/>
  <x:c r="K122" i="3"/>
  <x:c r="O109" i="3"/>
  <x:c r="P95" i="3"/>
  <x:c r="F84" i="3"/>
  <x:c r="F69" i="3"/>
  <x:c r="P60" i="3"/>
  <x:c r="S55" i="3"/>
  <x:c r="O51" i="3"/>
  <x:c r="R46" i="3"/>
  <x:c r="N42" i="3"/>
  <x:c r="Q37" i="3"/>
  <x:c r="R361" i="3"/>
  <x:c r="L236" i="3"/>
  <x:c r="Q183" i="3"/>
  <x:c r="O169" i="3"/>
  <x:c r="M159" i="3"/>
  <x:c r="J145" i="3"/>
  <x:c r="I461" i="3"/>
  <x:c r="Q291" i="3"/>
  <x:c r="M195" i="3"/>
  <x:c r="O174" i="3"/>
  <x:c r="S162" i="3"/>
  <x:c r="Q152" i="3"/>
  <x:c r="L138" i="3"/>
  <x:c r="J128" i="3"/>
  <x:c r="G118" i="3"/>
  <x:c r="F104" i="3"/>
  <x:c r="N92" i="3"/>
  <x:c r="Q79" i="3"/>
  <x:c r="O70" i="3"/>
  <x:c r="R62" i="3"/>
  <x:c r="R57" i="3"/>
  <x:c r="N53" i="3"/>
  <x:c r="Q48" i="3"/>
  <x:c r="M44" i="3"/>
  <x:c r="P39" i="3"/>
  <x:c r="S34" i="3"/>
  <x:c r="O30" i="3"/>
  <x:c r="Q24" i="3"/>
  <x:c r="M20" i="3"/>
  <x:c r="P15" i="3"/>
  <x:c r="S10" i="3"/>
  <x:c r="O6" i="3"/>
  <x:c r="O105" i="3"/>
  <x:c r="H150" i="3"/>
  <x:c r="S101" i="3"/>
  <x:c r="P61" i="3"/>
  <x:c r="J40" i="3"/>
  <x:c r="R24" i="3"/>
  <x:c r="G12" i="3"/>
  <x:c r="F140" i="3"/>
  <x:c r="F80" i="3"/>
  <x:c r="I47" i="3"/>
  <x:c r="Q29" i="3"/>
  <x:c r="S16" i="3"/>
  <x:c r="Q6" i="3"/>
  <x:c r="Q128" i="3"/>
  <x:c r="R73" i="3"/>
  <x:c r="N52" i="3"/>
  <x:c r="N36" i="3"/>
  <x:c r="I23" i="3"/>
  <x:c r="M10" i="3"/>
  <x:c r="R152" i="3"/>
  <x:c r="K82" i="3"/>
  <x:c r="P53" i="3"/>
  <x:c r="M34" i="3"/>
  <x:c r="N20" i="3"/>
  <x:c r="R8" i="3"/>
  <x:c r="M123" i="3"/>
  <x:c r="R88" i="3"/>
  <x:c r="O53" i="3"/>
  <x:c r="S32" i="3"/>
  <x:c r="O21" i="3"/>
  <x:c r="L8" i="3"/>
  <x:c r="Q55" i="3"/>
  <x:c r="J6" i="3"/>
  <x:c r="N51" i="3"/>
  <x:c r="S24" i="3"/>
  <x:c r="J81" i="3"/>
  <x:c r="J24" i="3"/>
  <x:c r="G212" i="3"/>
  <x:c r="K31" i="3"/>
  <x:c r="H37" i="3"/>
  <x:c r="I104" i="3"/>
  <x:c r="H53" i="3"/>
  <x:c r="K109" i="3"/>
  <x:c r="K57" i="3"/>
  <x:c r="R120" i="3"/>
  <x:c r="R65" i="3"/>
  <x:c r="O29" i="3"/>
  <x:c r="M178" i="3"/>
  <x:c r="R159" i="3"/>
  <x:c r="P141" i="3"/>
  <x:c r="N123" i="3"/>
  <x:c r="S104" i="3"/>
  <x:c r="I86" i="3"/>
  <x:c r="N67" i="3"/>
  <x:c r="K345" i="3"/>
  <x:c r="J252" i="3"/>
  <x:c r="H199" i="3"/>
  <x:c r="R177" i="3"/>
  <x:c r="O125" i="3"/>
  <x:c r="N73" i="3"/>
  <x:c r="J50" i="3"/>
  <x:c r="H32" i="3"/>
  <x:c r="L12" i="3"/>
  <x:c r="K177" i="3"/>
  <x:c r="F128" i="3"/>
  <x:c r="S81" i="3"/>
  <x:c r="K20" i="3"/>
  <x:c r="Q10" i="3"/>
  <x:c r="M6" i="3"/>
  <x:c r="G197" i="3"/>
  <x:c r="R172" i="3"/>
  <x:c r="G161" i="3"/>
  <x:c r="M148" i="3"/>
  <x:c r="H134" i="3"/>
  <x:c r="R108" i="3"/>
  <x:c r="O94" i="3"/>
  <x:c r="I59" i="3"/>
  <x:c r="H50" i="3"/>
  <x:c r="F32" i="3"/>
  <x:c r="F8" i="3"/>
  <x:c r="M167" i="3"/>
  <x:c r="N108" i="3"/>
  <x:c r="H75" i="3"/>
  <x:c r="H51" i="3"/>
  <x:c r="F33" i="3"/>
  <x:c r="F9" i="3"/>
  <x:c r="P190" i="3"/>
  <x:c r="R132" i="3"/>
  <x:c r="P82" i="3"/>
  <x:c r="F42" i="3"/>
  <x:c r="M348" i="3"/>
  <x:c r="M411" i="3"/>
  <x:c r="J137" i="3"/>
  <x:c r="I91" i="3"/>
  <x:c r="J57" i="3"/>
  <x:c r="G30" i="3"/>
  <x:c r="M95" i="3"/>
  <x:c r="I95" i="3"/>
  <x:c r="S73" i="3"/>
  <x:c r="S66" i="3"/>
  <x:c r="S78" i="3"/>
  <x:c r="R31" i="3"/>
  <x:c r="Q31" i="3"/>
  <x:c r="L16" i="3"/>
  <x:c r="S133" i="3"/>
  <x:c r="G81" i="3"/>
  <x:c r="L177" i="3"/>
  <x:c r="J159" i="3"/>
  <x:c r="H141" i="3"/>
  <x:c r="F123" i="3"/>
  <x:c r="K104" i="3"/>
  <x:c r="P85" i="3"/>
  <x:c r="F67" i="3"/>
  <x:c r="P342" i="3"/>
  <x:c r="P250" i="3"/>
  <x:c r="O198" i="3"/>
  <x:c r="H174" i="3"/>
  <x:c r="M124" i="3"/>
  <x:c r="N72" i="3"/>
  <x:c r="Q49" i="3"/>
  <x:c r="O31" i="3"/>
  <x:c r="S11" i="3"/>
  <x:c r="Q175" i="3"/>
  <x:c r="P126" i="3"/>
  <x:c r="Q80" i="3"/>
  <x:c r="L53" i="3"/>
  <x:c r="J35" i="3"/>
  <x:c r="R19" i="3"/>
  <x:c r="F15" i="3"/>
  <x:c r="I10" i="3"/>
  <x:c r="N550" i="3"/>
  <x:c r="I191" i="3"/>
  <x:c r="L171" i="3"/>
  <x:c r="O158" i="3"/>
  <x:c r="R145" i="3"/>
  <x:c r="F133" i="3"/>
  <x:c r="K121" i="3"/>
  <x:c r="L107" i="3"/>
  <x:c r="K93" i="3"/>
  <x:c r="N80" i="3"/>
  <x:c r="I71" i="3"/>
  <x:c r="K63" i="3"/>
  <x:c r="P58" i="3"/>
  <x:c r="S53" i="3"/>
  <x:c r="O49" i="3"/>
  <x:c r="R44" i="3"/>
  <x:c r="N40" i="3"/>
  <x:c r="Q35" i="3"/>
  <x:c r="M31" i="3"/>
  <x:c r="O25" i="3"/>
  <x:c r="R20" i="3"/>
  <x:c r="N16" i="3"/>
  <x:c r="Q11" i="3"/>
  <x:c r="M7" i="3"/>
  <x:c r="M324" i="3"/>
  <x:c r="P218" i="3"/>
  <x:c r="S178" i="3"/>
  <x:c r="G166" i="3"/>
  <x:c r="F152" i="3"/>
  <x:c r="S141" i="3"/>
  <x:c r="H130" i="3"/>
  <x:c r="N117" i="3"/>
  <x:c r="I107" i="3"/>
  <x:c r="L94" i="3"/>
  <x:c r="S82" i="3"/>
  <x:c r="G73" i="3"/>
  <x:c r="G65" i="3"/>
  <x:c r="P59" i="3"/>
  <x:c r="S54" i="3"/>
  <x:c r="O50" i="3"/>
  <x:c r="R45" i="3"/>
  <x:c r="N41" i="3"/>
  <x:c r="Q36" i="3"/>
  <x:c r="M32" i="3"/>
  <x:c r="P27" i="3"/>
  <x:c r="R21" i="3"/>
  <x:c r="N17" i="3"/>
  <x:c r="Q12" i="3"/>
  <x:c r="M8" i="3"/>
  <x:c r="N227" i="3"/>
  <x:c r="R185" i="3"/>
  <x:c r="R169" i="3"/>
  <x:c r="F157" i="3"/>
  <x:c r="K145" i="3"/>
  <x:c r="L131" i="3"/>
  <x:c r="O118" i="3"/>
  <x:c r="R105" i="3"/>
  <x:c r="F93" i="3"/>
  <x:c r="K81" i="3"/>
  <x:c r="F65" i="3"/>
  <x:c r="O59" i="3"/>
  <x:c r="R54" i="3"/>
  <x:c r="N50" i="3"/>
  <x:c r="Q45" i="3"/>
  <x:c r="M41" i="3"/>
  <x:c r="P36" i="3"/>
  <x:c r="R329" i="3"/>
  <x:c r="I217" i="3"/>
  <x:c r="M180" i="3"/>
  <x:c r="H167" i="3"/>
  <x:c r="M155" i="3"/>
  <x:c r="P142" i="3"/>
  <x:c r="N404" i="3"/>
  <x:c r="O268" i="3"/>
  <x:c r="O189" i="3"/>
  <x:c r="L170" i="3"/>
  <x:c r="J160" i="3"/>
  <x:c r="G150" i="3"/>
  <x:c r="F136" i="3"/>
  <x:c r="S125" i="3"/>
  <x:c r="H114" i="3"/>
  <x:c r="N101" i="3"/>
  <x:c r="S89" i="3"/>
  <x:c r="O77" i="3"/>
  <x:c r="Q68" i="3"/>
  <x:c r="N61" i="3"/>
  <x:c r="Q56" i="3"/>
  <x:c r="M52" i="3"/>
  <x:c r="P47" i="3"/>
  <x:c r="S42" i="3"/>
  <x:c r="O38" i="3"/>
  <x:c r="R33" i="3"/>
  <x:c r="N29" i="3"/>
  <x:c r="P23" i="3"/>
  <x:c r="S18" i="3"/>
  <x:c r="O14" i="3"/>
  <x:c r="R9" i="3"/>
  <x:c r="K146" i="3"/>
  <x:c r="M91" i="3"/>
  <x:c r="R129" i="3"/>
  <x:c r="L91" i="3"/>
  <x:c r="J56" i="3"/>
  <x:c r="G35" i="3"/>
  <x:c r="I22" i="3"/>
  <x:c r="R6" i="3"/>
  <x:c r="N132" i="3"/>
  <x:c r="P70" i="3"/>
  <x:c r="S41" i="3"/>
  <x:c r="M27" i="3"/>
  <x:c r="J14" i="3"/>
  <x:c r="J185" i="3"/>
  <x:c r="P110" i="3"/>
  <x:c r="Q63" i="3"/>
  <x:c r="R48" i="3"/>
  <x:c r="R30" i="3"/>
  <x:c r="N19" i="3"/>
  <x:c r="P6" i="3"/>
  <x:c r="I131" i="3"/>
  <x:c r="Q75" i="3"/>
  <x:c r="J48" i="3"/>
  <x:c r="P30" i="3"/>
  <x:c r="S17" i="3"/>
  <x:c r="I6" i="3"/>
  <x:c r="G113" i="3"/>
  <x:c r="P78" i="3"/>
  <x:c r="I46" i="3"/>
  <x:c r="J30" i="3"/>
  <x:c r="F19" i="3"/>
  <x:c r="H6" i="3"/>
  <x:c r="Q39" i="3"/>
  <x:c r="P119" i="3"/>
  <x:c r="G45" i="3"/>
  <x:c r="G11" i="3"/>
  <x:c r="M51" i="3"/>
  <x:c r="M19" i="3"/>
  <x:c r="I127" i="3"/>
  <x:c r="Q23" i="3"/>
  <x:c r="R23" i="3"/>
  <x:c r="M59" i="3"/>
  <x:c r="K41" i="3"/>
  <x:c r="R68" i="3"/>
  <x:c r="N44" i="3"/>
  <x:c r="G44" i="3"/>
  <x:c r="G44" i="2" l="1"/>
  <x:c r="N44" i="2"/>
  <x:c r="R68" i="2"/>
  <x:c r="K41" i="2"/>
  <x:c r="M59" i="2"/>
  <x:c r="R23" i="2"/>
  <x:c r="Q23" i="2"/>
  <x:c r="I127" i="2"/>
  <x:c r="M19" i="2"/>
  <x:c r="M51" i="2"/>
  <x:c r="G11" i="2"/>
  <x:c r="G45" i="2"/>
  <x:c r="P119" i="2"/>
  <x:c r="Q39" i="2"/>
  <x:c r="H5" i="3"/>
  <x:c r="H6" i="2"/>
  <x:c r="F19" i="2"/>
  <x:c r="J30" i="2"/>
  <x:c r="I46" i="2"/>
  <x:c r="P78" i="2"/>
  <x:c r="G113" i="2"/>
  <x:c r="I5" i="3"/>
  <x:c r="I6" i="2"/>
  <x:c r="S17" i="2"/>
  <x:c r="P30" i="2"/>
  <x:c r="J48" i="2"/>
  <x:c r="Q74" i="3"/>
  <x:c r="Q74" i="2" s="1"/>
  <x:c r="Q75" i="2"/>
  <x:c r="I131" i="2"/>
  <x:c r="P5" i="3"/>
  <x:c r="P6" i="2"/>
  <x:c r="N19" i="2"/>
  <x:c r="R30" i="2"/>
  <x:c r="R48" i="2"/>
  <x:c r="Q63" i="2"/>
  <x:c r="P110" i="2"/>
  <x:c r="J185" i="2"/>
  <x:c r="J14" i="2"/>
  <x:c r="M26" i="3"/>
  <x:c r="M26" i="2" s="1"/>
  <x:c r="M27" i="2"/>
  <x:c r="S41" i="2"/>
  <x:c r="P70" i="2"/>
  <x:c r="N132" i="2"/>
  <x:c r="R5" i="3"/>
  <x:c r="R6" i="2"/>
  <x:c r="I22" i="2"/>
  <x:c r="G35" i="2"/>
  <x:c r="J56" i="2"/>
  <x:c r="L91" i="2"/>
  <x:c r="R129" i="2"/>
  <x:c r="M91" i="2"/>
  <x:c r="K146" i="2"/>
  <x:c r="R9" i="2"/>
  <x:c r="O14" i="2"/>
  <x:c r="S18" i="2"/>
  <x:c r="P23" i="2"/>
  <x:c r="N29" i="2"/>
  <x:c r="R33" i="2"/>
  <x:c r="O38" i="2"/>
  <x:c r="S42" i="2"/>
  <x:c r="P47" i="2"/>
  <x:c r="M52" i="2"/>
  <x:c r="Q56" i="2"/>
  <x:c r="N61" i="2"/>
  <x:c r="Q68" i="2"/>
  <x:c r="O77" i="2"/>
  <x:c r="S89" i="2"/>
  <x:c r="N101" i="2"/>
  <x:c r="H114" i="2"/>
  <x:c r="S125" i="2"/>
  <x:c r="F136" i="2"/>
  <x:c r="G150" i="2"/>
  <x:c r="J160" i="2"/>
  <x:c r="L170" i="2"/>
  <x:c r="O189" i="2"/>
  <x:c r="O268" i="2"/>
  <x:c r="N404" i="2"/>
  <x:c r="P142" i="2"/>
  <x:c r="M155" i="2"/>
  <x:c r="H167" i="2"/>
  <x:c r="M180" i="2"/>
  <x:c r="I217" i="2"/>
  <x:c r="R329" i="2"/>
  <x:c r="P36" i="2"/>
  <x:c r="M41" i="2"/>
  <x:c r="Q45" i="2"/>
  <x:c r="N50" i="2"/>
  <x:c r="R54" i="2"/>
  <x:c r="O59" i="2"/>
  <x:c r="F65" i="2"/>
  <x:c r="K81" i="2"/>
  <x:c r="F93" i="2"/>
  <x:c r="R105" i="2"/>
  <x:c r="O118" i="2"/>
  <x:c r="L131" i="2"/>
  <x:c r="K145" i="2"/>
  <x:c r="F157" i="2"/>
  <x:c r="R169" i="2"/>
  <x:c r="R185" i="2"/>
  <x:c r="N227" i="2"/>
  <x:c r="M8" i="2"/>
  <x:c r="Q12" i="2"/>
  <x:c r="N17" i="2"/>
  <x:c r="R21" i="2"/>
  <x:c r="P26" i="3"/>
  <x:c r="P26" i="2" s="1"/>
  <x:c r="P27" i="2"/>
  <x:c r="M32" i="2"/>
  <x:c r="Q36" i="2"/>
  <x:c r="N41" i="2"/>
  <x:c r="R45" i="2"/>
  <x:c r="O50" i="2"/>
  <x:c r="S54" i="2"/>
  <x:c r="P59" i="2"/>
  <x:c r="G65" i="2"/>
  <x:c r="G73" i="2"/>
  <x:c r="S82" i="2"/>
  <x:c r="L94" i="2"/>
  <x:c r="I107" i="2"/>
  <x:c r="N117" i="2"/>
  <x:c r="H130" i="2"/>
  <x:c r="S141" i="2"/>
  <x:c r="F152" i="2"/>
  <x:c r="G166" i="2"/>
  <x:c r="S178" i="2"/>
  <x:c r="P218" i="2"/>
  <x:c r="M324" i="2"/>
  <x:c r="M7" i="2"/>
  <x:c r="Q11" i="2"/>
  <x:c r="N16" i="2"/>
  <x:c r="R20" i="2"/>
  <x:c r="O25" i="2"/>
  <x:c r="M31" i="2"/>
  <x:c r="Q35" i="2"/>
  <x:c r="N40" i="2"/>
  <x:c r="R44" i="2"/>
  <x:c r="O49" i="2"/>
  <x:c r="S53" i="2"/>
  <x:c r="P58" i="2"/>
  <x:c r="K63" i="2"/>
  <x:c r="I71" i="2"/>
  <x:c r="N80" i="2"/>
  <x:c r="K93" i="2"/>
  <x:c r="L107" i="2"/>
  <x:c r="K121" i="2"/>
  <x:c r="F133" i="2"/>
  <x:c r="R145" i="2"/>
  <x:c r="O158" i="2"/>
  <x:c r="L171" i="2"/>
  <x:c r="I191" i="2"/>
  <x:c r="N550" i="2"/>
  <x:c r="I10" i="2"/>
  <x:c r="F15" i="2"/>
  <x:c r="R19" i="2"/>
  <x:c r="J35" i="2"/>
  <x:c r="L53" i="2"/>
  <x:c r="Q80" i="2"/>
  <x:c r="P126" i="2"/>
  <x:c r="Q175" i="2"/>
  <x:c r="S11" i="2"/>
  <x:c r="O31" i="2"/>
  <x:c r="Q49" i="2"/>
  <x:c r="N72" i="2"/>
  <x:c r="M124" i="2"/>
  <x:c r="H174" i="2"/>
  <x:c r="O198" i="2"/>
  <x:c r="P250" i="2"/>
  <x:c r="P342" i="2"/>
  <x:c r="F67" i="2"/>
  <x:c r="P85" i="2"/>
  <x:c r="K104" i="2"/>
  <x:c r="F123" i="2"/>
  <x:c r="H141" i="2"/>
  <x:c r="J159" i="2"/>
  <x:c r="L177" i="2"/>
  <x:c r="G81" i="2"/>
  <x:c r="S133" i="2"/>
  <x:c r="L16" i="2"/>
  <x:c r="Q31" i="2"/>
  <x:c r="R31" i="2"/>
  <x:c r="S78" i="2"/>
  <x:c r="S66" i="2"/>
  <x:c r="S73" i="2"/>
  <x:c r="I95" i="2"/>
  <x:c r="M95" i="2"/>
  <x:c r="G30" i="2"/>
  <x:c r="J57" i="2"/>
  <x:c r="I91" i="2"/>
  <x:c r="J137" i="2"/>
  <x:c r="M411" i="2"/>
  <x:c r="M348" i="2"/>
  <x:c r="F42" i="2"/>
  <x:c r="P82" i="2"/>
  <x:c r="R132" i="2"/>
  <x:c r="P190" i="2"/>
  <x:c r="F9" i="2"/>
  <x:c r="F33" i="2"/>
  <x:c r="H51" i="2"/>
  <x:c r="H74" i="3"/>
  <x:c r="H74" i="2" s="1"/>
  <x:c r="H75" i="2"/>
  <x:c r="N108" i="2"/>
  <x:c r="M167" i="2"/>
  <x:c r="F8" i="2"/>
  <x:c r="F32" i="2"/>
  <x:c r="H50" i="2"/>
  <x:c r="I59" i="2"/>
  <x:c r="O94" i="2"/>
  <x:c r="R108" i="2"/>
  <x:c r="H134" i="2"/>
  <x:c r="M148" i="2"/>
  <x:c r="G161" i="2"/>
  <x:c r="R172" i="2"/>
  <x:c r="G197" i="2"/>
  <x:c r="M5" i="3"/>
  <x:c r="M6" i="2"/>
  <x:c r="Q10" i="2"/>
  <x:c r="K20" i="2"/>
  <x:c r="S81" i="2"/>
  <x:c r="F128" i="2"/>
  <x:c r="K177" i="2"/>
  <x:c r="L12" i="2"/>
  <x:c r="H32" i="2"/>
  <x:c r="J50" i="2"/>
  <x:c r="N73" i="2"/>
  <x:c r="O125" i="2"/>
  <x:c r="R177" i="2"/>
  <x:c r="H199" i="2"/>
  <x:c r="J252" i="2"/>
  <x:c r="K345" i="2"/>
  <x:c r="N67" i="2"/>
  <x:c r="I86" i="2"/>
  <x:c r="S104" i="2"/>
  <x:c r="N123" i="2"/>
  <x:c r="P141" i="2"/>
  <x:c r="R159" i="2"/>
  <x:c r="M178" i="2"/>
  <x:c r="O29" i="2"/>
  <x:c r="R65" i="2"/>
  <x:c r="R120" i="2"/>
  <x:c r="K57" i="2"/>
  <x:c r="K109" i="2"/>
  <x:c r="H53" i="2"/>
  <x:c r="I104" i="2"/>
  <x:c r="H37" i="2"/>
  <x:c r="K31" i="2"/>
  <x:c r="G212" i="2"/>
  <x:c r="J24" i="2"/>
  <x:c r="J81" i="2"/>
  <x:c r="S24" i="2"/>
  <x:c r="N51" i="2"/>
  <x:c r="J5" i="3"/>
  <x:c r="J6" i="2"/>
  <x:c r="Q55" i="2"/>
  <x:c r="L8" i="2"/>
  <x:c r="O21" i="2"/>
  <x:c r="S32" i="2"/>
  <x:c r="O53" i="2"/>
  <x:c r="R88" i="2"/>
  <x:c r="M123" i="2"/>
  <x:c r="R8" i="2"/>
  <x:c r="N20" i="2"/>
  <x:c r="M34" i="2"/>
  <x:c r="P53" i="2"/>
  <x:c r="K82" i="2"/>
  <x:c r="R152" i="2"/>
  <x:c r="M10" i="2"/>
  <x:c r="I23" i="2"/>
  <x:c r="N36" i="2"/>
  <x:c r="N52" i="2"/>
  <x:c r="R73" i="2"/>
  <x:c r="Q128" i="2"/>
  <x:c r="Q5" i="3"/>
  <x:c r="Q6" i="2"/>
  <x:c r="S16" i="2"/>
  <x:c r="Q29" i="2"/>
  <x:c r="I47" i="2"/>
  <x:c r="F80" i="2"/>
  <x:c r="F140" i="2"/>
  <x:c r="G12" i="2"/>
  <x:c r="R24" i="2"/>
  <x:c r="J40" i="2"/>
  <x:c r="P61" i="2"/>
  <x:c r="S101" i="2"/>
  <x:c r="H150" i="2"/>
  <x:c r="O105" i="2"/>
  <x:c r="O5" i="3"/>
  <x:c r="O6" i="2"/>
  <x:c r="S10" i="2"/>
  <x:c r="P15" i="2"/>
  <x:c r="M20" i="2"/>
  <x:c r="Q24" i="2"/>
  <x:c r="O30" i="2"/>
  <x:c r="S34" i="2"/>
  <x:c r="P39" i="2"/>
  <x:c r="M44" i="2"/>
  <x:c r="Q48" i="2"/>
  <x:c r="N53" i="2"/>
  <x:c r="R57" i="2"/>
  <x:c r="R62" i="2"/>
  <x:c r="O70" i="2"/>
  <x:c r="Q79" i="2"/>
  <x:c r="N92" i="2"/>
  <x:c r="F104" i="2"/>
  <x:c r="G118" i="2"/>
  <x:c r="J128" i="2"/>
  <x:c r="L138" i="2"/>
  <x:c r="Q152" i="2"/>
  <x:c r="S162" i="2"/>
  <x:c r="O174" i="2"/>
  <x:c r="M195" i="2"/>
  <x:c r="Q291" i="2"/>
  <x:c r="I461" i="2"/>
  <x:c r="J145" i="2"/>
  <x:c r="M159" i="2"/>
  <x:c r="O169" i="2"/>
  <x:c r="Q183" i="2"/>
  <x:c r="L236" i="2"/>
  <x:c r="R361" i="2"/>
  <x:c r="Q37" i="2"/>
  <x:c r="N42" i="2"/>
  <x:c r="R46" i="2"/>
  <x:c r="O51" i="2"/>
  <x:c r="S55" i="2"/>
  <x:c r="P60" i="2"/>
  <x:c r="F69" i="2"/>
  <x:c r="F84" i="2"/>
  <x:c r="P95" i="2"/>
  <x:c r="O109" i="2"/>
  <x:c r="K122" i="2"/>
  <x:c r="I135" i="2"/>
  <x:c r="F148" i="2"/>
  <x:c r="P159" i="2"/>
  <x:c r="O173" i="2"/>
  <x:c r="K193" i="2"/>
  <x:c r="I270" i="2"/>
  <x:c r="N9" i="2"/>
  <x:c r="R13" i="2"/>
  <x:c r="O18" i="2"/>
  <x:c r="S22" i="2"/>
  <x:c r="Q28" i="2"/>
  <x:c r="N33" i="2"/>
  <x:c r="R37" i="2"/>
  <x:c r="O42" i="2"/>
  <x:c r="S46" i="2"/>
  <x:c r="P51" i="2"/>
  <x:c r="M56" i="2"/>
  <x:c r="Q60" i="2"/>
  <x:c r="H67" i="2"/>
  <x:c r="I76" i="2"/>
  <x:c r="N85" i="2"/>
  <x:c r="H97" i="3"/>
  <x:c r="H97" i="2" s="1"/>
  <x:c r="H98" i="2"/>
  <x:c r="S109" i="2"/>
  <x:c r="F120" i="2"/>
  <x:c r="G134" i="2"/>
  <x:c r="J144" i="2"/>
  <x:c r="L154" i="2"/>
  <x:c r="Q168" i="2"/>
  <x:c r="I184" i="2"/>
  <x:c r="S237" i="2"/>
  <x:c r="M356" i="2"/>
  <x:c r="N8" i="2"/>
  <x:c r="R12" i="2"/>
  <x:c r="O17" i="2"/>
  <x:c r="S21" i="2"/>
  <x:c r="Q26" i="3"/>
  <x:c r="Q26" i="2" s="1"/>
  <x:c r="Q27" i="2"/>
  <x:c r="N32" i="2"/>
  <x:c r="R36" i="2"/>
  <x:c r="O41" i="2"/>
  <x:c r="S45" i="2"/>
  <x:c r="P50" i="2"/>
  <x:c r="M55" i="2"/>
  <x:c r="Q59" i="2"/>
  <x:c r="J65" i="2"/>
  <x:c r="J73" i="2"/>
  <x:c r="M84" i="2"/>
  <x:c r="K97" i="3"/>
  <x:c r="K97" i="2" s="1"/>
  <x:c r="K98" i="2"/>
  <x:c r="I111" i="2"/>
  <x:c r="F124" i="2"/>
  <x:c r="P135" i="2"/>
  <x:c r="O149" i="2"/>
  <x:c r="K162" i="2"/>
  <x:c r="P175" i="2"/>
  <x:c r="O209" i="2"/>
  <x:c r="F7" i="2"/>
  <x:c r="J11" i="2"/>
  <x:c r="G16" i="2"/>
  <x:c r="S20" i="2"/>
  <x:c r="G40" i="2"/>
  <x:c r="I58" i="2"/>
  <x:c r="S90" i="2"/>
  <x:c r="M139" i="2"/>
  <x:c r="O197" i="2"/>
  <x:c r="P16" i="2"/>
  <x:c r="S35" i="2"/>
  <x:c r="N54" i="2"/>
  <x:c r="L83" i="2"/>
  <x:c r="G137" i="2"/>
  <x:c r="G239" i="2"/>
  <x:c r="L209" i="2"/>
  <x:c r="O273" i="2"/>
  <x:c r="P374" i="2"/>
  <x:c r="J71" i="2"/>
  <x:c r="M90" i="2"/>
  <x:c r="H109" i="2"/>
  <x:c r="J127" i="2"/>
  <x:c r="L145" i="2"/>
  <x:c r="G164" i="2"/>
  <x:c r="I182" i="2"/>
  <x:c r="K56" i="2"/>
  <x:c r="H28" i="2"/>
  <x:c r="R124" i="2"/>
  <x:c r="Q119" i="2"/>
  <x:c r="R7" i="2"/>
  <x:c r="Q15" i="2"/>
  <x:c r="P38" i="2"/>
  <x:c r="H15" i="2"/>
  <x:c r="L43" i="2"/>
  <x:c r="P102" i="2"/>
  <x:c r="G173" i="2"/>
  <x:c r="G182" i="2"/>
  <x:c r="J46" i="2"/>
  <x:c r="M108" i="2"/>
  <x:c r="H158" i="2"/>
  <x:c r="J13" i="2"/>
  <x:c r="J37" i="2"/>
  <x:c r="I60" i="2"/>
  <x:c r="M131" i="2"/>
  <x:c r="P232" i="2"/>
  <x:c r="K21" i="2"/>
  <x:c r="G41" i="2"/>
  <x:c r="J72" i="2"/>
  <x:c r="M54" i="2"/>
  <x:c r="J226" i="2"/>
  <x:c r="J8" i="2"/>
  <x:c r="Q46" i="2"/>
  <x:c r="H86" i="2"/>
  <x:c r="L58" i="2"/>
  <x:c r="M11" i="2"/>
  <x:c r="Q22" i="2"/>
  <x:c r="L34" i="2"/>
  <x:c r="I55" i="2"/>
  <x:c r="R92" i="2"/>
  <x:c r="M127" i="2"/>
  <x:c r="F10" i="2"/>
  <x:c r="P21" i="2"/>
  <x:c r="F36" i="2"/>
  <x:c r="J55" i="2"/>
  <x:c r="Q96" i="2"/>
  <x:c r="I168" i="2"/>
  <x:c r="G13" i="2"/>
  <x:c r="K24" i="2"/>
  <x:c r="H38" i="2"/>
  <x:c r="H54" i="2"/>
  <x:c r="R76" i="2"/>
  <x:c r="M132" i="2"/>
  <x:c r="S7" i="2"/>
  <x:c r="L18" i="2"/>
  <x:c r="J32" i="2"/>
  <x:c r="S48" i="2"/>
  <x:c r="Q83" i="2"/>
  <x:c r="G145" i="2"/>
  <x:c r="I13" i="2"/>
  <x:c r="N26" i="3"/>
  <x:c r="N26" i="2" s="1"/>
  <x:c r="N27" i="2"/>
  <x:c r="F44" i="2"/>
  <x:c r="R64" i="2"/>
  <x:c r="K105" i="2"/>
  <x:c r="L155" i="2"/>
  <x:c r="F112" i="2"/>
  <x:c r="H7" i="2"/>
  <x:c r="L11" i="2"/>
  <x:c r="I16" i="2"/>
  <x:c r="F21" i="2"/>
  <x:c r="J25" i="2"/>
  <x:c r="H31" i="2"/>
  <x:c r="L35" i="2"/>
  <x:c r="I40" i="2"/>
  <x:c r="F45" i="2"/>
  <x:c r="J49" i="2"/>
  <x:c r="G54" i="2"/>
  <x:c r="K58" i="2"/>
  <x:c r="P63" i="2"/>
  <x:c r="P71" i="2"/>
  <x:c r="H82" i="2"/>
  <x:c r="S93" i="2"/>
  <x:c r="J105" i="2"/>
  <x:c r="M119" i="2"/>
  <x:c r="O129" i="2"/>
  <x:c r="G141" i="2"/>
  <x:c r="S153" i="2"/>
  <x:c r="J164" i="2"/>
  <x:c r="I176" i="2"/>
  <x:c r="H198" i="2"/>
  <x:c r="R321" i="2"/>
  <x:c r="H484" i="2"/>
  <x:c r="L146" i="2"/>
  <x:c r="Q160" i="2"/>
  <x:c r="S170" i="2"/>
  <x:c r="K185" i="2"/>
  <x:c r="O252" i="2"/>
  <x:c r="M380" i="2"/>
  <x:c r="J38" i="2"/>
  <x:c r="G43" i="2"/>
  <x:c r="K47" i="2"/>
  <x:c r="H52" i="2"/>
  <x:c r="L56" i="2"/>
  <x:c r="I61" i="2"/>
  <x:c r="F72" i="2"/>
  <x:c r="K85" i="2"/>
  <x:c r="R96" i="2"/>
  <x:c r="I112" i="2"/>
  <x:c r="Q123" i="2"/>
  <x:c r="N136" i="2"/>
  <x:c r="K149" i="2"/>
  <x:c r="R160" i="2"/>
  <x:c r="H175" i="2"/>
  <x:c r="N196" i="2"/>
  <x:c r="K293" i="2"/>
  <x:c r="G10" i="2"/>
  <x:c r="K14" i="2"/>
  <x:c r="H19" i="2"/>
  <x:c r="L23" i="2"/>
  <x:c r="J29" i="2"/>
  <x:c r="G34" i="2"/>
  <x:c r="K38" i="2"/>
  <x:c r="H43" i="2"/>
  <x:c r="L47" i="2"/>
  <x:c r="I52" i="2"/>
  <x:c r="F57" i="2"/>
  <x:c r="J61" i="2"/>
  <x:c r="I68" i="2"/>
  <x:c r="G77" i="2"/>
  <x:c r="P86" i="2"/>
  <x:c r="M99" i="2"/>
  <x:c r="H111" i="2"/>
  <x:c r="J121" i="2"/>
  <x:c r="M135" i="2"/>
  <x:c r="O145" i="2"/>
  <x:c r="G157" i="2"/>
  <x:c r="S169" i="2"/>
  <x:c r="S185" i="2"/>
  <x:c r="J247" i="2"/>
  <x:c r="R369" i="2"/>
  <x:c r="G9" i="2"/>
  <x:c r="K13" i="2"/>
  <x:c r="H18" i="2"/>
  <x:c r="L22" i="2"/>
  <x:c r="J28" i="2"/>
  <x:c r="G33" i="2"/>
  <x:c r="K37" i="2"/>
  <x:c r="H42" i="2"/>
  <x:c r="L46" i="2"/>
  <x:c r="I51" i="2"/>
  <x:c r="F56" i="2"/>
  <x:c r="J60" i="2"/>
  <x:c r="H66" i="2"/>
  <x:c r="I74" i="3"/>
  <x:c r="I74" i="2" s="1"/>
  <x:c r="I75" i="2"/>
  <x:c r="O85" i="2"/>
  <x:c r="Q99" i="2"/>
  <x:c r="N112" i="2"/>
  <x:c r="K125" i="2"/>
  <x:c r="R136" i="2"/>
  <x:c r="I152" i="2"/>
  <x:c r="Q163" i="2"/>
  <x:c r="J177" i="2"/>
  <x:c r="Q214" i="2"/>
  <x:c r="N7" i="2"/>
  <x:c r="R11" i="2"/>
  <x:c r="O16" i="2"/>
  <x:c r="L21" i="2"/>
  <x:c r="O40" i="2"/>
  <x:c r="Q58" i="2"/>
  <x:c r="J92" i="2"/>
  <x:c r="G142" i="2"/>
  <x:c r="P200" i="2"/>
  <x:c r="I17" i="2"/>
  <x:c r="L36" i="2"/>
  <x:c r="G55" i="2"/>
  <x:c r="R84" i="2"/>
  <x:c r="K138" i="2"/>
  <x:c r="G244" i="2"/>
  <x:c r="R210" i="2"/>
  <x:c r="N275" i="2"/>
  <x:c r="K377" i="2"/>
  <x:c r="R71" i="2"/>
  <x:c r="F91" i="2"/>
  <x:c r="P109" i="2"/>
  <x:c r="R127" i="2"/>
  <x:c r="M146" i="2"/>
  <x:c r="O164" i="2"/>
  <x:c r="Q182" i="2"/>
  <x:c r="S69" i="2"/>
  <x:c r="K48" i="2"/>
  <x:c r="G85" i="2"/>
  <x:c r="P138" i="2"/>
  <x:c r="K114" i="2"/>
  <x:c r="L9" i="2"/>
  <x:c r="L19" i="2"/>
  <x:c r="I48" i="2"/>
  <x:c r="M115" i="2"/>
  <x:c r="J192" i="2"/>
  <x:c r="M231" i="2"/>
  <x:c r="G51" i="2"/>
  <x:c r="G121" i="2"/>
  <x:c r="M172" i="2"/>
  <x:c r="G18" i="2"/>
  <x:c r="G42" i="2"/>
  <x:c r="L55" i="2"/>
  <x:c r="P118" i="2"/>
  <x:c r="O182" i="2"/>
  <x:c r="G17" i="2"/>
  <x:c r="J36" i="2"/>
  <x:c r="J64" i="2"/>
  <x:c r="N15" i="2"/>
  <x:c r="Q14" i="2"/>
  <x:c r="N128" i="2"/>
  <x:c r="F34" i="2"/>
  <x:c r="O26" i="3"/>
  <x:c r="O26" i="2" s="1"/>
  <x:c r="O27" i="2"/>
  <x:c r="M58" i="2"/>
  <x:c r="O20" i="2"/>
  <x:c r="L10" i="2"/>
  <x:c r="H12" i="2"/>
  <x:c r="J176" i="2"/>
  <x:c r="H30" i="2"/>
  <x:c r="I30" i="2"/>
  <x:c r="S77" i="2"/>
  <x:c r="S23" i="2"/>
  <x:c r="N96" i="2"/>
  <x:c r="N11" i="2"/>
  <x:c r="P37" i="2"/>
  <x:c r="K240" i="2"/>
  <x:c r="S25" i="2"/>
  <x:c r="R55" i="2"/>
  <x:c r="L86" i="2"/>
  <x:c r="K9" i="2"/>
  <x:c r="O19" i="2"/>
  <x:c r="M33" i="2"/>
  <x:c r="O52" i="2"/>
  <x:c r="O101" i="2"/>
  <x:c r="P174" i="2"/>
  <x:c r="P14" i="2"/>
  <x:c r="P28" i="2"/>
  <x:c r="P45" i="2"/>
  <x:c r="Q67" i="2"/>
  <x:c r="J108" i="2"/>
  <x:c r="N160" i="2"/>
  <x:c r="Q115" i="2"/>
  <x:c r="P7" i="2"/>
  <x:c r="M12" i="2"/>
  <x:c r="Q16" i="2"/>
  <x:c r="N21" i="2"/>
  <x:c r="R25" i="2"/>
  <x:c r="P31" i="2"/>
  <x:c r="M36" i="2"/>
  <x:c r="Q40" i="2"/>
  <x:c r="N45" i="2"/>
  <x:c r="R49" i="2"/>
  <x:c r="O54" i="2"/>
  <x:c r="S58" i="2"/>
  <x:c r="Q64" i="2"/>
  <x:c r="Q72" i="2"/>
  <x:c r="M83" i="2"/>
  <x:c r="H95" i="2"/>
  <x:c r="L106" i="2"/>
  <x:c r="Q120" i="2"/>
  <x:c r="S130" i="2"/>
  <x:c r="L142" i="2"/>
  <x:c r="I155" i="2"/>
  <x:c r="N165" i="2"/>
  <x:c r="S177" i="2"/>
  <x:c r="F216" i="2"/>
  <x:c r="M340" i="2"/>
  <x:c r="O137" i="2"/>
  <x:c r="G149" i="2"/>
  <x:c r="S161" i="2"/>
  <x:c r="J172" i="2"/>
  <x:c r="M187" i="2"/>
  <x:c r="J263" i="2"/>
  <x:c r="R393" i="2"/>
  <x:c r="R38" i="2"/>
  <x:c r="O43" i="2"/>
  <x:c r="S47" i="2"/>
  <x:c r="P52" i="2"/>
  <x:c r="M57" i="2"/>
  <x:c r="Q61" i="2"/>
  <x:c r="F73" i="2"/>
  <x:c r="O86" i="2"/>
  <x:c r="L99" i="2"/>
  <x:c r="K113" i="2"/>
  <x:c r="F125" i="2"/>
  <x:c r="R137" i="2"/>
  <x:c r="O150" i="2"/>
  <x:c r="L163" i="2"/>
  <x:c r="R176" i="2"/>
  <x:c r="I199" i="2"/>
  <x:c r="J494" i="2"/>
  <x:c r="O10" i="2"/>
  <x:c r="S14" i="2"/>
  <x:c r="P19" i="2"/>
  <x:c r="M24" i="2"/>
  <x:c r="R29" i="2"/>
  <x:c r="O34" i="2"/>
  <x:c r="S38" i="2"/>
  <x:c r="P43" i="2"/>
  <x:c r="M48" i="2"/>
  <x:c r="Q52" i="2"/>
  <x:c r="N57" i="2"/>
  <x:c r="R61" i="2"/>
  <x:c r="G69" i="2"/>
  <x:c r="G78" i="2"/>
  <x:c r="F88" i="2"/>
  <x:c r="G102" i="2"/>
  <x:c r="J112" i="2"/>
  <x:c r="L122" i="2"/>
  <x:c r="Q136" i="2"/>
  <x:c r="S146" i="2"/>
  <x:c r="L158" i="2"/>
  <x:c r="I171" i="2"/>
  <x:c r="F188" i="2"/>
  <x:c r="Q259" i="2"/>
  <x:c r="M388" i="2"/>
  <x:c r="O9" i="2"/>
  <x:c r="S13" i="2"/>
  <x:c r="P18" i="2"/>
  <x:c r="M23" i="2"/>
  <x:c r="R28" i="2"/>
  <x:c r="O33" i="2"/>
  <x:c r="S37" i="2"/>
  <x:c r="P42" i="2"/>
  <x:c r="M47" i="2"/>
  <x:c r="Q51" i="2"/>
  <x:c r="N56" i="2"/>
  <x:c r="R60" i="2"/>
  <x:c r="I67" i="2"/>
  <x:c r="J76" i="2"/>
  <x:c r="I88" i="2"/>
  <x:c r="F101" i="2"/>
  <x:c r="R113" i="2"/>
  <x:c r="O126" i="2"/>
  <x:c r="L139" i="2"/>
  <x:c r="K153" i="2"/>
  <x:c r="F165" i="2"/>
  <x:c r="F181" i="2"/>
  <x:c r="R223" i="2"/>
  <x:c r="G8" i="2"/>
  <x:c r="K12" i="2"/>
  <x:c r="H17" i="2"/>
  <x:c r="H25" i="2"/>
  <x:c r="K44" i="2"/>
  <x:c r="L63" i="2"/>
  <x:c r="Q103" i="2"/>
  <x:c r="H151" i="2"/>
  <x:c r="R345" i="2"/>
  <x:c r="M21" i="2"/>
  <x:c r="P40" i="2"/>
  <x:c r="R58" i="2"/>
  <x:c r="P97" i="3"/>
  <x:c r="P97" i="2" s="1"/>
  <x:c r="P98" i="2"/>
  <x:c r="R148" i="2"/>
  <x:c r="N189" i="2"/>
  <x:c r="O223" i="2"/>
  <x:c r="H293" i="2"/>
  <x:c r="K407" i="2"/>
  <x:c r="O76" i="2"/>
  <x:c r="Q94" i="2"/>
  <x:c r="L113" i="2"/>
  <x:c r="G132" i="2"/>
  <x:c r="I150" i="2"/>
  <x:c r="K168" i="2"/>
  <x:c r="F187" i="2"/>
  <x:c r="F85" i="2"/>
  <x:c r="K17" i="2"/>
  <x:c r="K49" i="2"/>
  <x:c r="Q54" i="2"/>
  <x:c r="J7" i="2"/>
  <x:c r="S49" i="2"/>
  <x:c r="F52" i="2"/>
  <x:c r="M50" i="2"/>
  <x:c r="O45" i="2"/>
  <x:c r="F60" i="2"/>
  <x:c r="J136" i="2"/>
  <x:c r="I24" i="2"/>
  <x:c r="F53" i="2"/>
  <x:c r="H62" i="2"/>
  <x:c r="H127" i="2"/>
  <x:c r="J279" i="2"/>
  <x:c r="G158" i="2"/>
  <x:c r="I37" i="2"/>
  <x:c r="K55" i="2"/>
  <x:c r="H94" i="2"/>
  <x:c r="P146" i="2"/>
  <x:c r="O241" i="2"/>
  <x:c r="K22" i="2"/>
  <x:c r="I28" i="2"/>
  <x:c r="K46" i="2"/>
  <x:c r="G66" i="2"/>
  <x:c r="Q95" i="2"/>
  <x:c r="J153" i="2"/>
  <x:c r="R337" i="2"/>
  <x:c r="J12" i="2"/>
  <x:c r="I26" i="3"/>
  <x:c r="I26" i="2" s="1"/>
  <x:c r="I27" i="2"/>
  <x:c r="K45" i="2"/>
  <x:c r="L54" i="2"/>
  <x:c r="R81" i="2"/>
  <x:c r="P122" i="2"/>
  <x:c r="R35" i="2"/>
  <x:c r="M43" i="2"/>
  <x:c r="K173" i="2"/>
  <x:c r="O110" i="2"/>
  <x:c r="R161" i="2"/>
  <x:c r="F26" i="3"/>
  <x:c r="F26" i="2" s="1"/>
  <x:c r="F27" i="2"/>
  <x:c r="O11" i="2"/>
  <x:c r="S9" i="2"/>
  <x:c r="L17" i="2"/>
  <x:c r="I7" i="2"/>
  <x:c r="J15" i="2"/>
  <x:c r="G117" i="2"/>
  <x:c r="G37" i="2"/>
  <x:c r="P198" i="2"/>
  <x:c r="H135" i="2"/>
  <x:c r="G61" i="2"/>
  <x:c r="H14" i="2"/>
  <x:c r="O12" i="2"/>
  <x:c r="O37" i="2"/>
  <x:c r="S56" i="2"/>
  <x:c r="O142" i="2"/>
  <x:c r="R22" i="2"/>
  <x:c r="F59" i="2"/>
  <x:c r="M100" i="2"/>
  <x:c r="I14" i="2"/>
  <x:c r="R39" i="2"/>
  <x:c r="F149" i="2"/>
  <x:c r="G60" i="2"/>
  <x:c r="N60" i="2"/>
  <x:c r="H21" i="2"/>
  <x:c r="R14" i="2"/>
  <x:c r="N18" i="2"/>
  <x:c r="P22" i="2"/>
  <x:c r="S15" i="2"/>
  <x:c r="L123" i="2"/>
  <x:c r="I99" i="2"/>
  <x:c r="R40" i="2"/>
  <x:c r="K8" i="2"/>
  <x:c r="L32" i="2"/>
  <x:c r="R156" i="2"/>
  <x:c r="R32" i="2"/>
  <x:c r="P66" i="2"/>
  <x:c r="F20" i="2"/>
  <x:c r="L82" i="2"/>
  <x:c r="Q13" i="2"/>
  <x:c r="K25" i="2"/>
  <x:c r="I39" i="2"/>
  <x:c r="O60" i="2"/>
  <x:c r="H103" i="2"/>
  <x:c r="Q147" i="2"/>
  <x:c r="P12" i="2"/>
  <x:c r="L25" i="2"/>
  <x:c r="J39" i="2"/>
  <x:c r="S62" i="2"/>
  <x:c r="S106" i="2"/>
  <x:c r="I286" i="2"/>
  <x:c r="K15" i="2"/>
  <x:c r="G26" i="3"/>
  <x:c r="G26" i="2" s="1"/>
  <x:c r="G27" i="2"/>
  <x:c r="L41" i="2"/>
  <x:c r="L57" i="2"/>
  <x:c r="H90" i="2"/>
  <x:c r="I159" i="2"/>
  <x:c r="N10" i="2"/>
  <x:c r="H22" i="2"/>
  <x:c r="F35" i="2"/>
  <x:c r="I54" i="2"/>
  <x:c r="F108" i="2"/>
  <x:c r="F180" i="2"/>
  <x:c r="R15" i="2"/>
  <x:c r="I31" i="2"/>
  <x:c r="J47" i="2"/>
  <x:c r="S70" i="2"/>
  <x:c r="L118" i="2"/>
  <x:c r="O165" i="2"/>
  <x:c r="S129" i="2"/>
  <x:c r="I8" i="2"/>
  <x:c r="F13" i="2"/>
  <x:c r="J17" i="2"/>
  <x:c r="G22" i="2"/>
  <x:c r="L26" i="3"/>
  <x:c r="L26" i="2" s="1"/>
  <x:c r="L27" i="2"/>
  <x:c r="I32" i="2"/>
  <x:c r="F37" i="2"/>
  <x:c r="J41" i="2"/>
  <x:c r="G46" i="2"/>
  <x:c r="K50" i="2"/>
  <x:c r="H55" i="2"/>
  <x:c r="L59" i="2"/>
  <x:c r="O65" i="2"/>
  <x:c r="O73" i="2"/>
  <x:c r="G86" i="2"/>
  <x:c r="J96" i="2"/>
  <x:c r="G109" i="2"/>
  <x:c r="S121" i="2"/>
  <x:c r="J132" i="2"/>
  <x:c r="Q143" i="2"/>
  <x:c r="N156" i="2"/>
  <x:c r="P166" i="2"/>
  <x:c r="O181" i="2"/>
  <x:c r="F230" i="2"/>
  <x:c r="R353" i="2"/>
  <x:c r="S138" i="2"/>
  <x:c r="L150" i="2"/>
  <x:c r="I163" i="2"/>
  <x:c r="N173" i="2"/>
  <x:c r="H190" i="2"/>
  <x:c r="Q275" i="2"/>
  <x:c r="H456" i="2"/>
  <x:c r="K39" i="2"/>
  <x:c r="H44" i="2"/>
  <x:c r="L48" i="2"/>
  <x:c r="I53" i="2"/>
  <x:c r="F58" i="2"/>
  <x:c r="K62" i="2"/>
  <x:c r="F76" i="2"/>
  <x:c r="G89" i="2"/>
  <x:c r="R100" i="2"/>
  <x:c r="P114" i="2"/>
  <x:c r="H126" i="2"/>
  <x:c r="M140" i="2"/>
  <x:c r="G153" i="2"/>
  <x:c r="R164" i="2"/>
  <x:c r="L178" i="2"/>
  <x:c r="K208" i="2"/>
  <x:c r="K5" i="3"/>
  <x:c r="K6" i="2"/>
  <x:c r="H11" i="2"/>
  <x:c r="L15" i="2"/>
  <x:c r="I20" i="2"/>
  <x:c r="F25" i="2"/>
  <x:c r="K30" i="2"/>
  <x:c r="H35" i="2"/>
  <x:c r="L39" i="2"/>
  <x:c r="I44" i="2"/>
  <x:c r="F49" i="2"/>
  <x:c r="J53" i="2"/>
  <x:c r="G58" i="2"/>
  <x:c r="L62" i="2"/>
  <x:c r="G70" i="2"/>
  <x:c r="H79" i="2"/>
  <x:c r="J89" i="2"/>
  <x:c r="M103" i="2"/>
  <x:c r="O113" i="2"/>
  <x:c r="G125" i="2"/>
  <x:c r="S137" i="2"/>
  <x:c r="J148" i="2"/>
  <x:c r="Q159" i="2"/>
  <x:c r="N172" i="2"/>
  <x:c r="S193" i="2"/>
  <x:c r="F288" i="2"/>
  <x:c r="R401" i="2"/>
  <x:c r="H10" i="2"/>
  <x:c r="L14" i="2"/>
  <x:c r="I19" i="2"/>
  <x:c r="F24" i="2"/>
  <x:c r="K29" i="2"/>
  <x:c r="H34" i="2"/>
  <x:c r="L38" i="2"/>
  <x:c r="I43" i="2"/>
  <x:c r="F48" i="2"/>
  <x:c r="J52" i="2"/>
  <x:c r="G57" i="2"/>
  <x:c r="K61" i="2"/>
  <x:c r="J68" i="2"/>
  <x:c r="J77" i="2"/>
  <x:c r="K89" i="2"/>
  <x:c r="H102" i="2"/>
  <x:c r="M116" i="2"/>
  <x:c r="G129" i="2"/>
  <x:c r="R140" i="2"/>
  <x:c r="P154" i="2"/>
  <x:c r="H166" i="2"/>
  <x:c r="P182" i="2"/>
  <x:c r="R228" i="2"/>
  <x:c r="O8" i="2"/>
  <x:c r="S12" i="2"/>
  <x:c r="P17" i="2"/>
  <x:c r="P25" i="2"/>
  <x:c r="S44" i="2"/>
  <x:c r="M64" i="2"/>
  <x:c r="H106" i="2"/>
  <x:c r="J152" i="2"/>
  <x:c r="M364" i="2"/>
  <x:c r="F22" i="2"/>
  <x:c r="I41" i="2"/>
  <x:c r="K59" i="2"/>
  <x:c r="F100" i="2"/>
  <x:c r="I151" i="2"/>
  <x:c r="G190" i="2"/>
  <x:c r="S224" i="2"/>
  <x:c r="S296" i="2"/>
  <x:c r="O418" i="2"/>
  <x:c r="H77" i="2"/>
  <x:c r="J95" i="2"/>
  <x:c r="M114" i="2"/>
  <x:c r="O132" i="2"/>
  <x:c r="Q150" i="2"/>
  <x:c r="S168" i="2"/>
  <x:c r="N187" i="2"/>
  <x:c r="R47" i="2"/>
  <x:c r="G29" i="2"/>
  <x:c r="M42" i="2"/>
  <x:c r="K7" i="2"/>
  <x:c r="P20" i="2"/>
  <x:c r="R192" i="2"/>
  <x:c r="I136" i="2"/>
  <x:c r="G5" i="3"/>
  <x:c r="G6" i="2"/>
  <x:c r="H39" i="2"/>
  <x:c r="O78" i="2"/>
  <x:c r="O161" i="2"/>
  <x:c r="J168" i="2"/>
  <x:c r="H60" i="2"/>
  <x:c r="H143" i="2"/>
  <x:c r="K33" i="2"/>
  <x:c r="M9" i="2"/>
  <x:c r="M25" i="2"/>
  <x:c r="I21" i="2"/>
  <x:c r="J31" i="2"/>
  <x:c r="S31" i="2"/>
  <x:c r="H46" i="2"/>
  <x:c r="K137" i="2"/>
  <x:c r="Q7" i="2"/>
  <x:c r="G53" i="2"/>
  <x:c r="F11" i="2"/>
  <x:c r="M35" i="2"/>
  <x:c r="M245" i="2"/>
  <x:c r="N35" i="2"/>
  <x:c r="Q71" i="2"/>
  <x:c r="J22" i="2"/>
  <x:c r="Q87" i="2"/>
  <x:c r="J16" i="2"/>
  <x:c r="F28" i="2"/>
  <x:c r="S40" i="2"/>
  <x:c r="J62" i="2"/>
  <x:c r="P106" i="2"/>
  <x:c r="F172" i="2"/>
  <x:c r="I15" i="2"/>
  <x:c r="G28" i="2"/>
  <x:c r="F43" i="2"/>
  <x:c r="R69" i="2"/>
  <x:c r="J113" i="2"/>
  <x:c r="K309" i="2"/>
  <x:c r="R16" i="2"/>
  <x:c r="N28" i="2"/>
  <x:c r="N43" i="2"/>
  <x:c r="N59" i="2"/>
  <x:c r="G94" i="2"/>
  <x:c r="M164" i="2"/>
  <x:c r="F12" i="2"/>
  <x:c r="J23" i="2"/>
  <x:c r="O36" i="2"/>
  <x:c r="S57" i="2"/>
  <x:c r="L114" i="2"/>
  <x:c r="G207" i="2"/>
  <x:c r="M18" i="2"/>
  <x:c r="K32" i="2"/>
  <x:c r="F51" i="2"/>
  <x:c r="R77" i="2"/>
  <x:c r="H122" i="2"/>
  <x:c r="P170" i="2"/>
  <x:c r="O133" i="2"/>
  <x:c r="Q8" i="2"/>
  <x:c r="N13" i="2"/>
  <x:c r="R17" i="2"/>
  <x:c r="O22" i="2"/>
  <x:c r="M28" i="2"/>
  <x:c r="Q32" i="2"/>
  <x:c r="N37" i="2"/>
  <x:c r="R41" i="2"/>
  <x:c r="O46" i="2"/>
  <x:c r="S50" i="2"/>
  <x:c r="P55" i="2"/>
  <x:c r="M60" i="2"/>
  <x:c r="O66" i="2"/>
  <x:c r="P74" i="3"/>
  <x:c r="P74" i="2" s="1"/>
  <x:c r="P75" i="2"/>
  <x:c r="M87" i="2"/>
  <x:c r="S97" i="3"/>
  <x:c r="S97" i="2" s="1"/>
  <x:c r="S98" i="2"/>
  <x:c r="L110" i="2"/>
  <x:c r="I123" i="2"/>
  <x:c r="N133" i="2"/>
  <x:c r="H146" i="2"/>
  <x:c r="S157" i="2"/>
  <x:c r="F168" i="2"/>
  <x:c r="I183" i="2"/>
  <x:c r="I235" i="2"/>
  <x:c r="M372" i="2"/>
  <x:c r="J140" i="2"/>
  <x:c r="Q151" i="2"/>
  <x:c r="N164" i="2"/>
  <x:c r="Q176" i="2"/>
  <x:c r="F196" i="2"/>
  <x:c r="F304" i="2"/>
  <x:c r="O35" i="2"/>
  <x:c r="S39" i="2"/>
  <x:c r="P44" i="2"/>
  <x:c r="M49" i="2"/>
  <x:c r="Q53" i="2"/>
  <x:c r="N58" i="2"/>
  <x:c r="H63" i="2"/>
  <x:c r="F77" i="2"/>
  <x:c r="K90" i="2"/>
  <x:c r="I103" i="2"/>
  <x:c r="F116" i="2"/>
  <x:c r="P127" i="2"/>
  <x:c r="O141" i="2"/>
  <x:c r="K154" i="2"/>
  <x:c r="I167" i="2"/>
  <x:c r="N180" i="2"/>
  <x:c r="M213" i="2"/>
  <x:c r="S5" i="3"/>
  <x:c r="S6" i="2"/>
  <x:c r="P11" i="2"/>
  <x:c r="M16" i="2"/>
  <x:c r="Q20" i="2"/>
  <x:c r="N25" i="2"/>
  <x:c r="S30" i="2"/>
  <x:c r="P35" i="2"/>
  <x:c r="M40" i="2"/>
  <x:c r="Q44" i="2"/>
  <x:c r="N49" i="2"/>
  <x:c r="R53" i="2"/>
  <x:c r="O58" i="2"/>
  <x:c r="I63" i="2"/>
  <x:c r="H71" i="2"/>
  <x:c r="J80" i="2"/>
  <x:c r="L90" i="2"/>
  <x:c r="Q104" i="2"/>
  <x:c r="S114" i="2"/>
  <x:c r="L126" i="2"/>
  <x:c r="I139" i="2"/>
  <x:c r="N149" i="2"/>
  <x:c r="H162" i="2"/>
  <x:c r="S173" i="2"/>
  <x:c r="Q199" i="2"/>
  <x:c r="O300" i="2"/>
  <x:c r="S414" i="2"/>
  <x:c r="P10" i="2"/>
  <x:c r="M15" i="2"/>
  <x:c r="Q19" i="2"/>
  <x:c r="N24" i="2"/>
  <x:c r="S29" i="2"/>
  <x:c r="P34" i="2"/>
  <x:c r="M39" i="2"/>
  <x:c r="Q43" i="2"/>
  <x:c r="N48" i="2"/>
  <x:c r="R52" i="2"/>
  <x:c r="O57" i="2"/>
  <x:c r="S61" i="2"/>
  <x:c r="J69" i="2"/>
  <x:c r="H78" i="2"/>
  <x:c r="P90" i="2"/>
  <x:c r="P103" i="2"/>
  <x:c r="O117" i="2"/>
  <x:c r="K130" i="2"/>
  <x:c r="I143" i="2"/>
  <x:c r="F156" i="2"/>
  <x:c r="P167" i="2"/>
  <x:c r="J184" i="2"/>
  <x:c r="I254" i="2"/>
  <x:c r="H9" i="2"/>
  <x:c r="L13" i="2"/>
  <x:c r="I18" i="2"/>
  <x:c r="F31" i="2"/>
  <x:c r="H49" i="2"/>
  <x:c r="L71" i="2"/>
  <x:c r="N116" i="2"/>
  <x:c r="J161" i="2"/>
  <x:c r="O7" i="2"/>
  <x:c r="Q25" i="2"/>
  <x:c r="M45" i="2"/>
  <x:c r="N64" i="2"/>
  <x:c r="H110" i="2"/>
  <x:c r="P162" i="2"/>
  <x:c r="R193" i="2"/>
  <x:c r="F235" i="2"/>
  <x:c r="P314" i="2"/>
  <x:c r="R510" i="2"/>
  <x:c r="S80" i="2"/>
  <x:c r="G100" i="2"/>
  <x:c r="I118" i="2"/>
  <x:c r="K136" i="2"/>
  <x:c r="F155" i="2"/>
  <x:c r="H173" i="2"/>
  <x:c r="J191" i="2"/>
  <x:c r="O13" i="2"/>
  <x:c r="G52" i="2"/>
  <x:c r="Q21" i="2"/>
  <x:c r="H20" i="2"/>
  <x:c r="G19" i="2"/>
  <x:c r="L33" i="2"/>
  <x:c r="O28" i="2"/>
  <x:c r="K23" i="2"/>
  <x:c r="K10" i="2"/>
  <x:c r="K34" i="2"/>
  <x:c r="O69" i="2"/>
  <x:c r="M151" i="2"/>
  <x:c r="F144" i="2"/>
  <x:c r="F68" i="2"/>
  <x:c r="J84" i="2"/>
  <x:c r="Q47" i="2"/>
  <x:c r="L50" i="2"/>
  <x:c r="N34" i="2"/>
  <x:c r="K40" i="2"/>
  <x:c r="I62" i="2"/>
  <x:c r="G36" i="2"/>
  <x:c r="L49" i="2"/>
  <x:c r="G20" i="2"/>
  <x:c r="N12" i="2"/>
  <x:c r="R56" i="2"/>
  <x:c r="P13" i="2"/>
  <x:c r="Q38" i="2"/>
  <x:c r="S8" i="2"/>
  <x:c r="L42" i="2"/>
  <x:c r="N100" i="2"/>
  <x:c r="Q30" i="2"/>
  <x:c r="P151" i="2"/>
  <x:c r="M17" i="2"/>
  <x:c r="H29" i="2"/>
  <x:c r="O44" i="2"/>
  <x:c r="S65" i="2"/>
  <x:c r="N109" i="2"/>
  <x:c r="P183" i="2"/>
  <x:c r="K16" i="2"/>
  <x:c r="I29" i="2"/>
  <x:c r="P46" i="2"/>
  <x:c r="R72" i="2"/>
  <x:c r="F117" i="2"/>
  <x:c r="H531" i="2"/>
  <x:c r="F18" i="2"/>
  <x:c r="P29" i="2"/>
  <x:c r="H45" i="2"/>
  <x:c r="H61" i="2"/>
  <x:c r="J104" i="2"/>
  <x:c r="K169" i="2"/>
  <x:c r="H13" i="2"/>
  <x:c r="L24" i="2"/>
  <x:c r="I38" i="2"/>
  <x:c r="O61" i="2"/>
  <x:c r="H118" i="2"/>
  <x:c r="H221" i="2"/>
  <x:c r="G21" i="2"/>
  <x:c r="S33" i="2"/>
  <x:c r="P54" i="2"/>
  <x:c r="P87" i="2"/>
  <x:c r="G126" i="2"/>
  <x:c r="M440" i="2"/>
  <x:c r="K141" i="2"/>
  <x:c r="J9" i="2"/>
  <x:c r="G14" i="2"/>
  <x:c r="K18" i="2"/>
  <x:c r="H23" i="2"/>
  <x:c r="F29" i="2"/>
  <x:c r="J33" i="2"/>
  <x:c r="G38" i="2"/>
  <x:c r="K42" i="2"/>
  <x:c r="H47" i="2"/>
  <x:c r="L51" i="2"/>
  <x:c r="I56" i="2"/>
  <x:c r="F61" i="2"/>
  <x:c r="P67" i="2"/>
  <x:c r="Q76" i="2"/>
  <x:c r="Q88" i="2"/>
  <x:c r="J100" i="2"/>
  <x:c r="Q111" i="2"/>
  <x:c r="N124" i="2"/>
  <x:c r="P134" i="2"/>
  <x:c r="M147" i="2"/>
  <x:c r="H159" i="2"/>
  <x:c r="J169" i="2"/>
  <x:c r="S186" i="2"/>
  <x:c r="F256" i="2"/>
  <x:c r="R385" i="2"/>
  <x:c r="N141" i="2"/>
  <x:c r="H154" i="2"/>
  <x:c r="S165" i="2"/>
  <x:c r="K178" i="2"/>
  <x:c r="I203" i="2"/>
  <x:c r="Q316" i="2"/>
  <x:c r="H36" i="2"/>
  <x:c r="L40" i="2"/>
  <x:c r="I45" i="2"/>
  <x:c r="F50" i="2"/>
  <x:c r="J54" i="2"/>
  <x:c r="G59" i="2"/>
  <x:c r="F64" i="2"/>
  <x:c r="I80" i="2"/>
  <x:c r="Q91" i="2"/>
  <x:c r="N104" i="2"/>
  <x:c r="K117" i="2"/>
  <x:c r="R128" i="2"/>
  <x:c r="I144" i="2"/>
  <x:c r="Q155" i="2"/>
  <x:c r="N168" i="2"/>
  <x:c r="H182" i="2"/>
  <x:c r="L222" i="2"/>
  <x:c r="L7" i="2"/>
  <x:c r="I12" i="2"/>
  <x:c r="F17" i="2"/>
  <x:c r="J21" i="2"/>
  <x:c r="H26" i="3"/>
  <x:c r="H26" i="2" s="1"/>
  <x:c r="H27" i="2"/>
  <x:c r="L31" i="2"/>
  <x:c r="I36" i="2"/>
  <x:c r="F41" i="2"/>
  <x:c r="J45" i="2"/>
  <x:c r="G50" i="2"/>
  <x:c r="K54" i="2"/>
  <x:c r="H59" i="2"/>
  <x:c r="I64" i="2"/>
  <x:c r="I72" i="2"/>
  <x:c r="O81" i="2"/>
  <x:c r="G93" i="2"/>
  <x:c r="S105" i="2"/>
  <x:c r="J116" i="2"/>
  <x:c r="Q127" i="2"/>
  <x:c r="N140" i="2"/>
  <x:c r="P150" i="2"/>
  <x:c r="M163" i="2"/>
  <x:c r="I175" i="2"/>
  <x:c r="L204" i="2"/>
  <x:c r="J311" i="2"/>
  <x:c r="L5" i="3"/>
  <x:c r="L6" i="2"/>
  <x:c r="I11" i="2"/>
  <x:c r="F16" i="2"/>
  <x:c r="J20" i="2"/>
  <x:c r="G25" i="2"/>
  <x:c r="L30" i="2"/>
  <x:c r="I35" i="2"/>
  <x:c r="F40" i="2"/>
  <x:c r="J44" i="2"/>
  <x:c r="G49" i="2"/>
  <x:c r="K53" i="2"/>
  <x:c r="H58" i="2"/>
  <x:c r="M62" i="2"/>
  <x:c r="H70" i="2"/>
  <x:c r="I79" i="2"/>
  <x:c r="F92" i="2"/>
  <x:c r="R104" i="2"/>
  <x:c r="I120" i="2"/>
  <x:c r="Q131" i="2"/>
  <x:c r="N144" i="2"/>
  <x:c r="K157" i="2"/>
  <x:c r="R168" i="2"/>
  <x:c r="N188" i="2"/>
  <x:c r="K277" i="2"/>
  <x:c r="P9" i="2"/>
  <x:c r="M14" i="2"/>
  <x:c r="Q18" i="2"/>
  <x:c r="N31" i="2"/>
  <x:c r="P49" i="2"/>
  <x:c r="M72" i="2"/>
  <x:c r="S117" i="2"/>
  <x:c r="L162" i="2"/>
  <x:c r="H8" i="2"/>
  <x:c r="K26" i="3"/>
  <x:c r="K26" i="2" s="1"/>
  <x:c r="K27" i="2"/>
  <x:c r="F46" i="2"/>
  <x:c r="N65" i="2"/>
  <x:c r="P111" i="2"/>
  <x:c r="F164" i="2"/>
  <x:c r="K194" i="2"/>
  <x:c r="J236" i="2"/>
  <x:c r="L316" i="2"/>
  <x:c r="Q62" i="2"/>
  <x:c r="L81" i="2"/>
  <x:c r="O100" i="2"/>
  <x:c r="Q118" i="2"/>
  <x:c r="S136" i="2"/>
  <x:c r="N155" i="2"/>
  <x:c r="P173" i="2"/>
  <x:c r="R191" i="2"/>
  <x:c r="J26" i="3"/>
  <x:c r="J26" i="2" s="1"/>
  <x:c r="J27" i="2"/>
  <x:c r="G32" i="2"/>
  <x:c r="K36" i="2"/>
  <x:c r="H41" i="2"/>
  <x:c r="L45" i="2"/>
  <x:c r="I50" i="2"/>
  <x:c r="F55" i="2"/>
  <x:c r="J59" i="2"/>
  <x:c r="K65" i="2"/>
  <x:c r="K73" i="2"/>
  <x:c r="I83" i="2"/>
  <x:c r="N93" i="2"/>
  <x:c r="M107" i="2"/>
  <x:c r="H119" i="2"/>
  <x:c r="J129" i="2"/>
  <x:c r="M143" i="2"/>
  <x:c r="O153" i="2"/>
  <x:c r="G165" i="2"/>
  <x:c r="L179" i="2"/>
  <x:c r="S219" i="2"/>
  <x:c r="R377" i="2"/>
  <x:c r="P8" i="2"/>
  <x:c r="M13" i="2"/>
  <x:c r="Q17" i="2"/>
  <x:c r="N22" i="2"/>
  <x:c r="S26" i="3"/>
  <x:c r="S26" i="2" s="1"/>
  <x:c r="S27" i="2"/>
  <x:c r="P32" i="2"/>
  <x:c r="M37" i="2"/>
  <x:c r="Q41" i="2"/>
  <x:c r="N46" i="2"/>
  <x:c r="R50" i="2"/>
  <x:c r="O55" i="2"/>
  <x:c r="S59" i="2"/>
  <x:c r="L66" i="2"/>
  <x:c r="M74" i="3"/>
  <x:c r="M74" i="2" s="1"/>
  <x:c r="M75" i="2"/>
  <x:c r="I87" i="2"/>
  <x:c r="K101" i="2"/>
  <x:c r="R112" i="2"/>
  <x:c r="I128" i="2"/>
  <x:c r="Q139" i="2"/>
  <x:c r="N152" i="2"/>
  <x:c r="K165" i="2"/>
  <x:c r="M179" i="2"/>
  <x:c r="K261" i="2"/>
  <x:c r="O190" i="2"/>
  <x:c r="S194" i="2"/>
  <x:c r="P199" i="2"/>
  <x:c r="K213" i="2"/>
  <x:c r="H226" i="2"/>
  <x:c r="P237" i="2"/>
  <x:c r="O257" i="2"/>
  <x:c r="H277" i="2"/>
  <x:c r="P298" i="2"/>
  <x:c r="P318" i="2"/>
  <x:c r="P350" i="2"/>
  <x:c r="P382" i="2"/>
  <x:c r="O427" i="2"/>
  <x:c r="J63" i="2"/>
  <x:c r="G68" i="2"/>
  <x:c r="K72" i="2"/>
  <x:c r="P77" i="2"/>
  <x:c r="M82" i="2"/>
  <x:c r="Q86" i="2"/>
  <x:c r="N91" i="2"/>
  <x:c r="R95" i="2"/>
  <x:c r="H101" i="2"/>
  <x:c r="L105" i="2"/>
  <x:c r="I110" i="2"/>
  <x:c r="F115" i="2"/>
  <x:c r="J119" i="2"/>
  <x:c r="G124" i="2"/>
  <x:c r="K128" i="2"/>
  <x:c r="H133" i="2"/>
  <x:c r="L137" i="2"/>
  <x:c r="I142" i="2"/>
  <x:c r="F147" i="2"/>
  <x:c r="J151" i="2"/>
  <x:c r="G156" i="2"/>
  <x:c r="K160" i="2"/>
  <x:c r="H165" i="2"/>
  <x:c r="L169" i="2"/>
  <x:c r="I174" i="2"/>
  <x:c r="F179" i="2"/>
  <x:c r="J183" i="2"/>
  <x:c r="G188" i="2"/>
  <x:c r="K192" i="2"/>
  <x:c r="H197" i="2"/>
  <x:c r="K203" i="2"/>
  <x:c r="H216" i="2"/>
  <x:c r="I230" i="2"/>
  <x:c r="Q241" i="2"/>
  <x:c r="L254" i="2"/>
  <x:c r="K272" i="2"/>
  <x:c r="K288" i="2"/>
  <x:c r="K304" i="2"/>
  <x:c r="Q332" i="2"/>
  <x:c r="Q364" i="2"/>
  <x:c r="Q396" i="2"/>
  <x:c r="P545" i="2"/>
  <x:c r="H68" i="2"/>
  <x:c r="L72" i="2"/>
  <x:c r="J78" i="2"/>
  <x:c r="G83" i="2"/>
  <x:c r="K87" i="2"/>
  <x:c r="H92" i="2"/>
  <x:c r="L96" i="2"/>
  <x:c r="Q101" i="2"/>
  <x:c r="N106" i="2"/>
  <x:c r="R110" i="2"/>
  <x:c r="O115" i="2"/>
  <x:c r="S119" i="2"/>
  <x:c r="P124" i="2"/>
  <x:c r="M129" i="2"/>
  <x:c r="Q133" i="2"/>
  <x:c r="N138" i="2"/>
  <x:c r="R142" i="2"/>
  <x:c r="O147" i="2"/>
  <x:c r="S151" i="2"/>
  <x:c r="P156" i="2"/>
  <x:c r="M161" i="2"/>
  <x:c r="Q165" i="2"/>
  <x:c r="N170" i="2"/>
  <x:c r="R174" i="2"/>
  <x:c r="O179" i="2"/>
  <x:c r="S183" i="2"/>
  <x:c r="P188" i="2"/>
  <x:c r="M193" i="2"/>
  <x:c r="Q197" i="2"/>
  <x:c r="F205" i="3"/>
  <x:c r="F205" i="2" s="1"/>
  <x:c r="F206" i="2"/>
  <x:c r="O217" i="2"/>
  <x:c r="H229" i="2"/>
  <x:c r="P240" i="2"/>
  <x:c r="N256" i="2"/>
  <x:c r="M274" i="2"/>
  <x:c r="M290" i="2"/>
  <x:c r="M306" i="2"/>
  <x:c r="K322" i="2"/>
  <x:c r="P359" i="2"/>
  <x:c r="P391" i="2"/>
  <x:c r="M424" i="2"/>
  <x:c r="N81" i="2"/>
  <x:c r="R85" i="2"/>
  <x:c r="O90" i="2"/>
  <x:c r="S94" i="2"/>
  <x:c r="Q100" i="2"/>
  <x:c r="N105" i="2"/>
  <x:c r="R109" i="2"/>
  <x:c r="O114" i="2"/>
  <x:c r="S118" i="2"/>
  <x:c r="P123" i="2"/>
  <x:c r="M128" i="2"/>
  <x:c r="Q132" i="2"/>
  <x:c r="N137" i="2"/>
  <x:c r="R141" i="2"/>
  <x:c r="O146" i="2"/>
  <x:c r="S150" i="2"/>
  <x:c r="P155" i="2"/>
  <x:c r="M160" i="2"/>
  <x:c r="Q164" i="2"/>
  <x:c r="N169" i="2"/>
  <x:c r="R173" i="2"/>
  <x:c r="O178" i="2"/>
  <x:c r="S182" i="2"/>
  <x:c r="P187" i="2"/>
  <x:c r="M192" i="2"/>
  <x:c r="Q196" i="2"/>
  <x:c r="Q203" i="2"/>
  <x:c r="N216" i="2"/>
  <x:c r="K229" i="2"/>
  <x:c r="H242" i="2"/>
  <x:c r="J260" i="2"/>
  <x:c r="H285" i="2"/>
  <x:c r="P306" i="2"/>
  <x:c r="J333" i="2"/>
  <x:c r="O370" i="2"/>
  <x:c r="O402" i="2"/>
  <x:c r="G491" i="2"/>
  <x:c r="L174" i="2"/>
  <x:c r="I179" i="2"/>
  <x:c r="F184" i="2"/>
  <x:c r="J188" i="2"/>
  <x:c r="G193" i="2"/>
  <x:c r="K197" i="2"/>
  <x:c r="L205" i="3"/>
  <x:c r="L205" i="2" s="1"/>
  <x:c r="L206" i="2"/>
  <x:c r="I219" i="2"/>
  <x:c r="Q230" i="2"/>
  <x:c r="J242" i="2"/>
  <x:c r="O260" i="2"/>
  <x:c r="F280" i="2"/>
  <x:c r="K301" i="2"/>
  <x:c r="Q325" i="2"/>
  <x:c r="Q357" i="2"/>
  <x:c r="J392" i="2"/>
  <x:c r="G487" i="2"/>
  <x:c r="P65" i="2"/>
  <x:c r="M70" i="2"/>
  <x:c r="R74" i="3"/>
  <x:c r="R74" i="2" s="1"/>
  <x:c r="R75" i="2"/>
  <x:c r="O80" i="2"/>
  <x:c r="S84" i="2"/>
  <x:c r="P89" i="2"/>
  <x:c r="M94" i="2"/>
  <x:c r="R99" i="2"/>
  <x:c r="O104" i="2"/>
  <x:c r="S108" i="2"/>
  <x:c r="P113" i="2"/>
  <x:c r="M118" i="2"/>
  <x:c r="Q122" i="2"/>
  <x:c r="N127" i="2"/>
  <x:c r="R131" i="2"/>
  <x:c r="O136" i="2"/>
  <x:c r="S140" i="2"/>
  <x:c r="P145" i="2"/>
  <x:c r="M150" i="2"/>
  <x:c r="Q154" i="2"/>
  <x:c r="N159" i="2"/>
  <x:c r="R163" i="2"/>
  <x:c r="O168" i="2"/>
  <x:c r="S172" i="2"/>
  <x:c r="P177" i="2"/>
  <x:c r="M182" i="2"/>
  <x:c r="Q186" i="2"/>
  <x:c r="N191" i="2"/>
  <x:c r="R195" i="2"/>
  <x:c r="L201" i="2"/>
  <x:c r="S216" i="2"/>
  <x:c r="J228" i="2"/>
  <x:c r="M242" i="2"/>
  <x:c r="F259" i="2"/>
  <x:c r="F275" i="2"/>
  <x:c r="F291" i="2"/>
  <x:c r="F307" i="2"/>
  <x:c r="L331" i="2"/>
  <x:c r="L363" i="2"/>
  <x:c r="L395" i="2"/>
  <x:c r="L449" i="2"/>
  <x:c r="F62" i="2"/>
  <x:c r="J66" i="2"/>
  <x:c r="G71" i="2"/>
  <x:c r="L76" i="2"/>
  <x:c r="I81" i="2"/>
  <x:c r="F86" i="2"/>
  <x:c r="J90" i="2"/>
  <x:c r="G95" i="2"/>
  <x:c r="L100" i="2"/>
  <x:c r="I105" i="2"/>
  <x:c r="F110" i="2"/>
  <x:c r="J114" i="2"/>
  <x:c r="G119" i="2"/>
  <x:c r="K123" i="2"/>
  <x:c r="H128" i="2"/>
  <x:c r="L132" i="2"/>
  <x:c r="I137" i="2"/>
  <x:c r="F142" i="2"/>
  <x:c r="J146" i="2"/>
  <x:c r="G151" i="2"/>
  <x:c r="K155" i="2"/>
  <x:c r="H160" i="2"/>
  <x:c r="L164" i="2"/>
  <x:c r="I169" i="2"/>
  <x:c r="F174" i="2"/>
  <x:c r="J178" i="2"/>
  <x:c r="G183" i="2"/>
  <x:c r="K187" i="2"/>
  <x:c r="H192" i="2"/>
  <x:c r="L196" i="2"/>
  <x:c r="G204" i="2"/>
  <x:c r="R215" i="2"/>
  <x:c r="L228" i="2"/>
  <x:c r="F240" i="2"/>
  <x:c r="G252" i="2"/>
  <x:c r="G268" i="2"/>
  <x:c r="G284" i="2"/>
  <x:c r="G300" i="2"/>
  <x:c r="G316" i="2"/>
  <x:c r="P347" i="2"/>
  <x:c r="P379" i="2"/>
  <x:c r="R413" i="2"/>
  <x:c r="M200" i="2"/>
  <x:c r="Q204" i="2"/>
  <x:c r="O210" i="2"/>
  <x:c r="S214" i="2"/>
  <x:c r="P219" i="2"/>
  <x:c r="M224" i="2"/>
  <x:c r="Q228" i="2"/>
  <x:c r="N233" i="2"/>
  <x:c r="R237" i="2"/>
  <x:c r="O242" i="2"/>
  <x:c r="S246" i="2"/>
  <x:c r="P251" i="2"/>
  <x:c r="M256" i="2"/>
  <x:c r="Q260" i="2"/>
  <x:c r="O265" i="3"/>
  <x:c r="O265" i="2" s="1"/>
  <x:c r="O266" i="2"/>
  <x:c r="S270" i="2"/>
  <x:c r="P275" i="2"/>
  <x:c r="M280" i="2"/>
  <x:c r="Q284" i="2"/>
  <x:c r="N289" i="2"/>
  <x:c r="R293" i="2"/>
  <x:c r="O298" i="2"/>
  <x:c r="S302" i="2"/>
  <x:c r="P307" i="2"/>
  <x:c r="M312" i="2"/>
  <x:c r="F317" i="2"/>
  <x:c r="P324" i="2"/>
  <x:c r="O333" i="2"/>
  <x:c r="O341" i="2"/>
  <x:c r="O349" i="2"/>
  <x:c r="O357" i="2"/>
  <x:c r="O365" i="3"/>
  <x:c r="O365" i="2" s="1"/>
  <x:c r="O366" i="2"/>
  <x:c r="O374" i="2"/>
  <x:c r="O382" i="2"/>
  <x:c r="O390" i="2"/>
  <x:c r="O398" i="2"/>
  <x:c r="M408" i="2"/>
  <x:c r="K422" i="2"/>
  <x:c r="K438" i="2"/>
  <x:c r="F462" i="2"/>
  <x:c r="F494" i="2"/>
  <x:c r="L536" i="2"/>
  <x:c r="H201" i="2"/>
  <x:c r="M205" i="3"/>
  <x:c r="M205" i="2" s="1"/>
  <x:c r="M206" i="2"/>
  <x:c r="Q210" i="2"/>
  <x:c r="N215" i="2"/>
  <x:c r="R219" i="2"/>
  <x:c r="O224" i="2"/>
  <x:c r="S228" i="2"/>
  <x:c r="P233" i="2"/>
  <x:c r="M238" i="2"/>
  <x:c r="Q242" i="2"/>
  <x:c r="N247" i="2"/>
  <x:c r="R251" i="2"/>
  <x:c r="O256" i="2"/>
  <x:c r="S260" i="2"/>
  <x:c r="Q265" i="3"/>
  <x:c r="Q265" i="2" s="1"/>
  <x:c r="Q266" i="2"/>
  <x:c r="N271" i="2"/>
  <x:c r="R275" i="2"/>
  <x:c r="O280" i="2"/>
  <x:c r="S284" i="2"/>
  <x:c r="P289" i="2"/>
  <x:c r="M294" i="2"/>
  <x:c r="Q298" i="2"/>
  <x:c r="N303" i="2"/>
  <x:c r="R307" i="2"/>
  <x:c r="O312" i="2"/>
  <x:c r="H317" i="2"/>
  <x:c r="R327" i="3"/>
  <x:c r="R327" i="2" s="1"/>
  <x:c r="R328" i="2"/>
  <x:c r="S338" i="2"/>
  <x:c r="R350" i="2"/>
  <x:c r="R360" i="2"/>
  <x:c r="R373" i="2"/>
  <x:c r="Q383" i="2"/>
  <x:c r="S393" i="2"/>
  <x:c r="G405" i="2"/>
  <x:c r="I421" i="2"/>
  <x:c r="H445" i="2"/>
  <x:c r="I477" i="2"/>
  <x:c r="R515" i="2"/>
  <x:c r="F246" i="2"/>
  <x:c r="J250" i="2"/>
  <x:c r="G255" i="2"/>
  <x:c r="K259" i="2"/>
  <x:c r="H264" i="2"/>
  <x:c r="F270" i="2"/>
  <x:c r="J274" i="2"/>
  <x:c r="G279" i="2"/>
  <x:c r="K283" i="2"/>
  <x:c r="H288" i="2"/>
  <x:c r="L292" i="2"/>
  <x:c r="I297" i="2"/>
  <x:c r="F302" i="2"/>
  <x:c r="J306" i="2"/>
  <x:c r="G311" i="2"/>
  <x:c r="K315" i="2"/>
  <x:c r="F325" i="2"/>
  <x:c r="S342" i="2"/>
  <x:c r="S358" i="2"/>
  <x:c r="S375" i="2"/>
  <x:c r="S391" i="2"/>
  <x:c r="Q407" i="2"/>
  <x:c r="F425" i="2"/>
  <x:c r="S447" i="2"/>
  <x:c r="G483" i="2"/>
  <x:c r="F530" i="2"/>
  <x:c r="K202" i="2"/>
  <x:c r="I208" i="2"/>
  <x:c r="F213" i="2"/>
  <x:c r="J217" i="2"/>
  <x:c r="G222" i="2"/>
  <x:c r="K226" i="2"/>
  <x:c r="H231" i="2"/>
  <x:c r="L235" i="2"/>
  <x:c r="I240" i="2"/>
  <x:c r="F245" i="2"/>
  <x:c r="J249" i="2"/>
  <x:c r="G254" i="2"/>
  <x:c r="K258" i="2"/>
  <x:c r="H263" i="2"/>
  <x:c r="F269" i="2"/>
  <x:c r="J273" i="2"/>
  <x:c r="G278" i="2"/>
  <x:c r="K282" i="2"/>
  <x:c r="H287" i="2"/>
  <x:c r="L291" i="2"/>
  <x:c r="I296" i="2"/>
  <x:c r="F301" i="2"/>
  <x:c r="J305" i="2"/>
  <x:c r="G310" i="2"/>
  <x:c r="K314" i="2"/>
  <x:c r="G323" i="2"/>
  <x:c r="G333" i="2"/>
  <x:c r="F345" i="2"/>
  <x:c r="G355" i="2"/>
  <x:c r="G365" i="3"/>
  <x:c r="G365" i="2" s="1"/>
  <x:c r="G366" i="2"/>
  <x:c r="F378" i="2"/>
  <x:c r="H388" i="2"/>
  <x:c r="G398" i="2"/>
  <x:c r="K409" i="2"/>
  <x:c r="M425" i="2"/>
  <x:c r="P443" i="2"/>
  <x:c r="I469" i="2"/>
  <x:c r="G504" i="2"/>
  <x:c r="H605" i="2"/>
  <x:c r="L202" i="2"/>
  <x:c r="J208" i="2"/>
  <x:c r="G213" i="2"/>
  <x:c r="K217" i="2"/>
  <x:c r="H222" i="2"/>
  <x:c r="L226" i="2"/>
  <x:c r="I231" i="2"/>
  <x:c r="F236" i="2"/>
  <x:c r="J240" i="2"/>
  <x:c r="G245" i="2"/>
  <x:c r="K249" i="2"/>
  <x:c r="H254" i="2"/>
  <x:c r="L258" i="2"/>
  <x:c r="I263" i="2"/>
  <x:c r="G269" i="2"/>
  <x:c r="K273" i="2"/>
  <x:c r="H278" i="2"/>
  <x:c r="L282" i="2"/>
  <x:c r="I287" i="2"/>
  <x:c r="F292" i="2"/>
  <x:c r="J296" i="2"/>
  <x:c r="G301" i="2"/>
  <x:c r="K305" i="2"/>
  <x:c r="H310" i="2"/>
  <x:c r="L314" i="2"/>
  <x:c r="J321" i="2"/>
  <x:c r="G330" i="2"/>
  <x:c r="G338" i="2"/>
  <x:c r="G346" i="2"/>
  <x:c r="G354" i="2"/>
  <x:c r="G362" i="2"/>
  <x:c r="H371" i="2"/>
  <x:c r="H379" i="2"/>
  <x:c r="H387" i="2"/>
  <x:c r="H395" i="2"/>
  <x:c r="H403" i="2"/>
  <x:c r="R414" i="2"/>
  <x:c r="R430" i="2"/>
  <x:c r="N448" i="2"/>
  <x:c r="H481" i="2"/>
  <x:c r="K527" i="2"/>
  <x:c r="H204" i="2"/>
  <x:c r="F210" i="2"/>
  <x:c r="J214" i="2"/>
  <x:c r="G219" i="2"/>
  <x:c r="K223" i="2"/>
  <x:c r="H228" i="2"/>
  <x:c r="L232" i="2"/>
  <x:c r="I237" i="2"/>
  <x:c r="F242" i="2"/>
  <x:c r="J246" i="2"/>
  <x:c r="G251" i="2"/>
  <x:c r="K255" i="2"/>
  <x:c r="H260" i="2"/>
  <x:c r="L264" i="2"/>
  <x:c r="Q269" i="2"/>
  <x:c r="N274" i="2"/>
  <x:c r="R278" i="2"/>
  <x:c r="O283" i="2"/>
  <x:c r="S287" i="2"/>
  <x:c r="P292" i="2"/>
  <x:c r="M297" i="2"/>
  <x:c r="Q301" i="2"/>
  <x:c r="N306" i="2"/>
  <x:c r="R310" i="2"/>
  <x:c r="O315" i="2"/>
  <x:c r="M323" i="2"/>
  <x:c r="N332" i="2"/>
  <x:c r="N340" i="2"/>
  <x:c r="N348" i="2"/>
  <x:c r="N356" i="2"/>
  <x:c r="N364" i="2"/>
  <x:c r="N373" i="2"/>
  <x:c r="N381" i="2"/>
  <x:c r="N389" i="2"/>
  <x:c r="N397" i="2"/>
  <x:c r="R405" i="2"/>
  <x:c r="J422" i="2"/>
  <x:c r="J444" i="2"/>
  <x:c r="F479" i="2"/>
  <x:c r="K518" i="2"/>
  <x:c r="R319" i="2"/>
  <x:c r="O324" i="2"/>
  <x:c r="M330" i="2"/>
  <x:c r="Q334" i="2"/>
  <x:c r="N339" i="2"/>
  <x:c r="R343" i="2"/>
  <x:c r="O348" i="2"/>
  <x:c r="S352" i="2"/>
  <x:c r="P357" i="2"/>
  <x:c r="M362" i="2"/>
  <x:c r="R367" i="2"/>
  <x:c r="O372" i="2"/>
  <x:c r="S376" i="2"/>
  <x:c r="P381" i="2"/>
  <x:c r="M386" i="2"/>
  <x:c r="Q390" i="2"/>
  <x:c r="N395" i="2"/>
  <x:c r="R399" i="2"/>
  <x:c r="O404" i="2"/>
  <x:c r="S408" i="2"/>
  <x:c r="P413" i="2"/>
  <x:c r="M418" i="2"/>
  <x:c r="Q422" i="2"/>
  <x:c r="N427" i="2"/>
  <x:c r="S432" i="2"/>
  <x:c r="P437" i="2"/>
  <x:c r="I442" i="2"/>
  <x:c r="M448" i="2"/>
  <x:c r="F457" i="2"/>
  <x:c r="F473" i="2"/>
  <x:c r="F489" i="2"/>
  <x:c r="F506" i="2"/>
  <x:c r="J518" i="2"/>
  <x:c r="G531" i="2"/>
  <x:c r="M542" i="2"/>
  <x:c r="S561" i="2"/>
  <x:c r="Q593" i="2"/>
  <x:c r="P659" i="2"/>
  <x:c r="L541" i="2"/>
  <x:c r="H560" i="2"/>
  <x:c r="Q585" i="2"/>
  <x:c r="H631" i="2"/>
  <x:c r="K317" i="2"/>
  <x:c r="H322" i="2"/>
  <x:c r="L326" i="2"/>
  <x:c r="Q331" i="2"/>
  <x:c r="N336" i="2"/>
  <x:c r="R340" i="2"/>
  <x:c r="O345" i="2"/>
  <x:c r="S349" i="2"/>
  <x:c r="P354" i="2"/>
  <x:c r="M359" i="2"/>
  <x:c r="Q363" i="2"/>
  <x:c r="O369" i="2"/>
  <x:c r="S373" i="2"/>
  <x:c r="P378" i="2"/>
  <x:c r="M383" i="2"/>
  <x:c r="Q387" i="2"/>
  <x:c r="N392" i="2"/>
  <x:c r="R396" i="2"/>
  <x:c r="O401" i="2"/>
  <x:c r="S405" i="2"/>
  <x:c r="P410" i="2"/>
  <x:c r="M415" i="2"/>
  <x:c r="Q419" i="2"/>
  <x:c r="N424" i="2"/>
  <x:c r="S428" i="3"/>
  <x:c r="S428" i="2" s="1"/>
  <x:c r="S429" i="2"/>
  <x:c r="P434" i="2"/>
  <x:c r="M439" i="2"/>
  <x:c r="L444" i="2"/>
  <x:c r="H450" i="2"/>
  <x:c r="L456" i="2"/>
  <x:c r="L464" i="2"/>
  <x:c r="L472" i="2"/>
  <x:c r="L480" i="2"/>
  <x:c r="L488" i="2"/>
  <x:c r="L496" i="2"/>
  <x:c r="J506" i="2"/>
  <x:c r="R518" i="2"/>
  <x:c r="O531" i="2"/>
  <x:c r="L544" i="2"/>
  <x:c r="H565" i="2"/>
  <x:c r="J603" i="2"/>
  <x:c r="F661" i="2"/>
  <x:c r="N319" i="2"/>
  <x:c r="R323" i="2"/>
  <x:c r="P329" i="2"/>
  <x:c r="M334" i="2"/>
  <x:c r="Q338" i="2"/>
  <x:c r="N343" i="2"/>
  <x:c r="R347" i="2"/>
  <x:c r="O352" i="2"/>
  <x:c r="S356" i="2"/>
  <x:c r="P361" i="2"/>
  <x:c r="F367" i="2"/>
  <x:c r="J371" i="2"/>
  <x:c r="G376" i="2"/>
  <x:c r="K380" i="2"/>
  <x:c r="H385" i="2"/>
  <x:c r="L389" i="2"/>
  <x:c r="I394" i="2"/>
  <x:c r="F399" i="2"/>
  <x:c r="J403" i="2"/>
  <x:c r="G408" i="2"/>
  <x:c r="K412" i="2"/>
  <x:c r="H417" i="2"/>
  <x:c r="L421" i="2"/>
  <x:c r="I426" i="2"/>
  <x:c r="G432" i="2"/>
  <x:c r="K436" i="2"/>
  <x:c r="H441" i="2"/>
  <x:c r="G448" i="2"/>
  <x:c r="N454" i="2"/>
  <x:c r="M462" i="2"/>
  <x:c r="M470" i="2"/>
  <x:c r="M478" i="2"/>
  <x:c r="M486" i="2"/>
  <x:c r="M494" i="2"/>
  <x:c r="M504" i="2"/>
  <x:c r="G515" i="2"/>
  <x:c r="M526" i="2"/>
  <x:c r="G538" i="2"/>
  <x:c r="M549" i="2"/>
  <x:c r="S577" i="2"/>
  <x:c r="R614" i="3"/>
  <x:c r="R614" i="2" s="1"/>
  <x:c r="R615" i="2"/>
  <x:c r="H320" i="2"/>
  <x:c r="L324" i="2"/>
  <x:c r="J330" i="2"/>
  <x:c r="G335" i="2"/>
  <x:c r="K339" i="2"/>
  <x:c r="H344" i="2"/>
  <x:c r="L348" i="2"/>
  <x:c r="I353" i="2"/>
  <x:c r="F358" i="2"/>
  <x:c r="J362" i="2"/>
  <x:c r="O367" i="2"/>
  <x:c r="S371" i="2"/>
  <x:c r="P376" i="2"/>
  <x:c r="M381" i="2"/>
  <x:c r="Q385" i="2"/>
  <x:c r="N390" i="2"/>
  <x:c r="R394" i="2"/>
  <x:c r="O399" i="2"/>
  <x:c r="S403" i="2"/>
  <x:c r="P408" i="2"/>
  <x:c r="M413" i="2"/>
  <x:c r="Q417" i="2"/>
  <x:c r="N422" i="2"/>
  <x:c r="R426" i="2"/>
  <x:c r="H432" i="2"/>
  <x:c r="L436" i="2"/>
  <x:c r="I441" i="2"/>
  <x:c r="M447" i="2"/>
  <x:c r="Q454" i="2"/>
  <x:c r="N462" i="2"/>
  <x:c r="N470" i="2"/>
  <x:c r="N478" i="2"/>
  <x:c r="N486" i="2"/>
  <x:c r="N494" i="2"/>
  <x:c r="O504" i="2"/>
  <x:c r="H515" i="2"/>
  <x:c r="M529" i="2"/>
  <x:c r="Q540" i="2"/>
  <x:c r="G557" i="2"/>
  <x:c r="R592" i="2"/>
  <x:c r="F625" i="2"/>
  <x:c r="G406" i="2"/>
  <x:c r="K410" i="2"/>
  <x:c r="H415" i="2"/>
  <x:c r="L419" i="2"/>
  <x:c r="I424" i="2"/>
  <x:c r="N428" i="3"/>
  <x:c r="N428" i="2" s="1"/>
  <x:c r="N429" i="2"/>
  <x:c r="R433" i="2"/>
  <x:c r="O438" i="2"/>
  <x:c r="K443" i="2"/>
  <x:c r="F449" i="2"/>
  <x:c r="O455" i="2"/>
  <x:c r="O463" i="2"/>
  <x:c r="O471" i="2"/>
  <x:c r="O479" i="2"/>
  <x:c r="O487" i="2"/>
  <x:c r="O495" i="2"/>
  <x:c r="Q505" i="2"/>
  <x:c r="P516" i="2"/>
  <x:c r="G528" i="2"/>
  <x:c r="P539" i="2"/>
  <x:c r="O557" i="2"/>
  <x:c r="S595" i="2"/>
  <x:c r="N681" i="2"/>
  <x:c r="K417" i="2"/>
  <x:c r="H422" i="2"/>
  <x:c r="L426" i="2"/>
  <x:c r="J432" i="2"/>
  <x:c r="G437" i="2"/>
  <x:c r="M441" i="2"/>
  <x:c r="O447" i="2"/>
  <x:c r="I453" i="2"/>
  <x:c r="S462" i="2"/>
  <x:c r="R474" i="2"/>
  <x:c r="Q484" i="2"/>
  <x:c r="S494" i="2"/>
  <x:c r="K510" i="2"/>
  <x:c r="F522" i="2"/>
  <x:c r="R534" i="2"/>
  <x:c r="I550" i="2"/>
  <x:c r="R578" i="2"/>
  <x:c r="R610" i="2"/>
  <x:c r="M668" i="2"/>
  <x:c r="G457" i="2"/>
  <x:c r="K461" i="2"/>
  <x:c r="H466" i="2"/>
  <x:c r="L470" i="2"/>
  <x:c r="I475" i="2"/>
  <x:c r="F480" i="2"/>
  <x:c r="J484" i="2"/>
  <x:c r="G489" i="2"/>
  <x:c r="K493" i="2"/>
  <x:c r="H498" i="2"/>
  <x:c r="G505" i="2"/>
  <x:c r="K509" i="2"/>
  <x:c r="H514" i="2"/>
  <x:c r="L518" i="2"/>
  <x:c r="I523" i="2"/>
  <x:c r="F528" i="2"/>
  <x:c r="J532" i="2"/>
  <x:c r="G537" i="2"/>
  <x:c r="K541" i="2"/>
  <x:c r="N546" i="2"/>
  <x:c r="P553" i="2"/>
  <x:c r="F563" i="2"/>
  <x:c r="H574" i="2"/>
  <x:c r="G584" i="2"/>
  <x:c r="H598" i="2"/>
  <x:c r="G608" i="2"/>
  <x:c r="G621" i="2"/>
  <x:c r="H636" i="2"/>
  <x:c r="I668" i="2"/>
  <x:c r="M704" i="2"/>
  <x:c r="G511" i="2"/>
  <x:c r="K515" i="2"/>
  <x:c r="H520" i="2"/>
  <x:c r="L524" i="2"/>
  <x:c r="I529" i="2"/>
  <x:c r="F534" i="2"/>
  <x:c r="J538" i="2"/>
  <x:c r="G543" i="2"/>
  <x:c r="G548" i="2"/>
  <x:c r="K556" i="2"/>
  <x:c r="K564" i="2"/>
  <x:c r="L573" i="2"/>
  <x:c r="L581" i="2"/>
  <x:c r="J591" i="2"/>
  <x:c r="J599" i="2"/>
  <x:c r="J607" i="2"/>
  <x:c r="J616" i="2"/>
  <x:c r="J625" i="2"/>
  <x:c r="P647" i="2"/>
  <x:c r="K687" i="2"/>
  <x:c r="R441" i="2"/>
  <x:c r="O446" i="2"/>
  <x:c r="S450" i="2"/>
  <x:c r="P455" i="2"/>
  <x:c r="M460" i="2"/>
  <x:c r="Q464" i="2"/>
  <x:c r="N469" i="2"/>
  <x:c r="R473" i="2"/>
  <x:c r="O478" i="2"/>
  <x:c r="S482" i="2"/>
  <x:c r="P487" i="2"/>
  <x:c r="M492" i="2"/>
  <x:c r="Q496" i="2"/>
  <x:c r="H503" i="2"/>
  <x:c r="L507" i="2"/>
  <x:c r="I512" i="2"/>
  <x:c r="F517" i="2"/>
  <x:c r="J521" i="2"/>
  <x:c r="G526" i="2"/>
  <x:c r="K530" i="2"/>
  <x:c r="H535" i="2"/>
  <x:c r="L539" i="2"/>
  <x:c r="I544" i="2"/>
  <x:c r="Q550" i="2"/>
  <x:c r="F559" i="2"/>
  <x:c r="N566" i="3"/>
  <x:c r="N566" i="2" s="1"/>
  <x:c r="N567" i="2"/>
  <x:c r="N575" i="2"/>
  <x:c r="N583" i="2"/>
  <x:c r="K593" i="2"/>
  <x:c r="K601" i="2"/>
  <x:c r="K609" i="2"/>
  <x:c r="L618" i="2"/>
  <x:c r="Q632" i="2"/>
  <x:c r="P660" i="2"/>
  <x:c r="S441" i="2"/>
  <x:c r="P446" i="2"/>
  <x:c r="M451" i="2"/>
  <x:c r="Q455" i="2"/>
  <x:c r="N460" i="2"/>
  <x:c r="R464" i="2"/>
  <x:c r="O469" i="2"/>
  <x:c r="S473" i="2"/>
  <x:c r="P478" i="2"/>
  <x:c r="M483" i="2"/>
  <x:c r="Q487" i="2"/>
  <x:c r="N492" i="2"/>
  <x:c r="R496" i="2"/>
  <x:c r="Q503" i="2"/>
  <x:c r="N508" i="2"/>
  <x:c r="R512" i="2"/>
  <x:c r="O517" i="2"/>
  <x:c r="S521" i="2"/>
  <x:c r="P526" i="2"/>
  <x:c r="M531" i="2"/>
  <x:c r="Q535" i="2"/>
  <x:c r="N540" i="2"/>
  <x:c r="R544" i="2"/>
  <x:c r="N552" i="2"/>
  <x:c r="L561" i="2"/>
  <x:c r="M570" i="2"/>
  <x:c r="M578" i="2"/>
  <x:c r="M586" i="2"/>
  <x:c r="N596" i="2"/>
  <x:c r="N604" i="2"/>
  <x:c r="N612" i="2"/>
  <x:c r="O621" i="2"/>
  <x:c r="I640" i="2"/>
  <x:c r="N669" i="2"/>
  <x:c r="P701" i="3"/>
  <x:c r="P701" i="2" s="1"/>
  <x:c r="P702" i="2"/>
  <x:c r="L457" i="2"/>
  <x:c r="I462" i="2"/>
  <x:c r="F467" i="2"/>
  <x:c r="J471" i="2"/>
  <x:c r="G476" i="2"/>
  <x:c r="K480" i="2"/>
  <x:c r="H485" i="2"/>
  <x:c r="L489" i="2"/>
  <x:c r="I494" i="2"/>
  <x:c r="F499" i="2"/>
  <x:c r="L505" i="2"/>
  <x:c r="I510" i="2"/>
  <x:c r="F515" i="2"/>
  <x:c r="J519" i="2"/>
  <x:c r="G524" i="2"/>
  <x:c r="K528" i="2"/>
  <x:c r="H533" i="2"/>
  <x:c r="L537" i="2"/>
  <x:c r="I542" i="2"/>
  <x:c r="F547" i="2"/>
  <x:c r="K553" i="2"/>
  <x:c r="R560" i="2"/>
  <x:c r="P569" i="2"/>
  <x:c r="P577" i="2"/>
  <x:c r="P585" i="2"/>
  <x:c r="R595" i="2"/>
  <x:c r="R603" i="2"/>
  <x:c r="R611" i="2"/>
  <x:c r="O620" i="2"/>
  <x:c r="P635" i="2"/>
  <x:c r="G667" i="2"/>
  <x:c r="M711" i="3"/>
  <x:c r="M711" i="2" s="1"/>
  <x:c r="M712" i="2"/>
  <x:c r="F589" i="3"/>
  <x:c r="F590" i="2"/>
  <x:c r="F606" i="2"/>
  <x:c r="J623" i="2"/>
  <x:c r="O651" i="2"/>
  <x:c r="H676" i="2"/>
  <x:c r="S752" i="2"/>
  <x:c r="K565" i="2"/>
  <x:c r="P570" i="2"/>
  <x:c r="M575" i="2"/>
  <x:c r="Q579" i="2"/>
  <x:c r="N584" i="2"/>
  <x:c r="M591" i="2"/>
  <x:c r="Q595" i="2"/>
  <x:c r="N600" i="2"/>
  <x:c r="R604" i="2"/>
  <x:c r="O609" i="2"/>
  <x:c r="S613" i="2"/>
  <x:c r="I619" i="2"/>
  <x:c r="S624" i="2"/>
  <x:c r="P632" i="2"/>
  <x:c r="N641" i="3"/>
  <x:c r="N641" i="2" s="1"/>
  <x:c r="N642" i="2"/>
  <x:c r="H655" i="2"/>
  <x:c r="H668" i="2"/>
  <x:c r="J678" i="2"/>
  <x:c r="O693" i="2"/>
  <x:c r="S784" i="2"/>
  <x:c r="F549" i="2"/>
  <x:c r="J553" i="2"/>
  <x:c r="H559" i="2"/>
  <x:c r="L563" i="2"/>
  <x:c r="J569" i="2"/>
  <x:c r="G574" i="2"/>
  <x:c r="K578" i="2"/>
  <x:c r="H583" i="2"/>
  <x:c r="L587" i="2"/>
  <x:c r="R593" i="2"/>
  <x:c r="O598" i="2"/>
  <x:c r="S602" i="2"/>
  <x:c r="P607" i="2"/>
  <x:c r="M612" i="2"/>
  <x:c r="R617" i="2"/>
  <x:c r="Q622" i="2"/>
  <x:c r="F634" i="2"/>
  <x:c r="O650" i="2"/>
  <x:c r="K663" i="2"/>
  <x:c r="I676" i="2"/>
  <x:c r="K694" i="2"/>
  <x:c r="F763" i="2"/>
  <x:c r="J638" i="2"/>
  <x:c r="R649" i="2"/>
  <x:c r="P663" i="2"/>
  <x:c r="P676" i="2"/>
  <x:c r="O692" i="2"/>
  <x:c r="P731" i="2"/>
  <x:c r="I549" i="2"/>
  <x:c r="G554" i="3"/>
  <x:c r="G554" i="2" s="1"/>
  <x:c r="G555" i="2"/>
  <x:c r="K559" i="2"/>
  <x:c r="H564" i="2"/>
  <x:c r="F570" i="2"/>
  <x:c r="J574" i="2"/>
  <x:c r="G579" i="2"/>
  <x:c r="K583" i="2"/>
  <x:c r="J589" i="3"/>
  <x:c r="J590" i="2"/>
  <x:c r="G595" i="2"/>
  <x:c r="K599" i="2"/>
  <x:c r="H604" i="2"/>
  <x:c r="L608" i="2"/>
  <x:c r="I613" i="2"/>
  <x:c r="G619" i="2"/>
  <x:c r="P624" i="2"/>
  <x:c r="L632" i="2"/>
  <x:c r="G641" i="3"/>
  <x:c r="G641" i="2" s="1"/>
  <x:c r="G642" i="2"/>
  <x:c r="S654" i="2"/>
  <x:c r="N665" i="3"/>
  <x:c r="N665" i="2" s="1"/>
  <x:c r="N666" i="2"/>
  <x:c r="H679" i="2"/>
  <x:c r="K703" i="2"/>
  <x:c r="H547" i="2"/>
  <x:c r="L551" i="2"/>
  <x:c r="J557" i="2"/>
  <x:c r="G562" i="2"/>
  <x:c r="L566" i="3"/>
  <x:c r="L566" i="2" s="1"/>
  <x:c r="L567" i="2"/>
  <x:c r="I572" i="2"/>
  <x:c r="F577" i="2"/>
  <x:c r="J581" i="2"/>
  <x:c r="G586" i="2"/>
  <x:c r="F593" i="2"/>
  <x:c r="J597" i="2"/>
  <x:c r="G602" i="2"/>
  <x:c r="K606" i="2"/>
  <x:c r="H611" i="2"/>
  <x:c r="F617" i="2"/>
  <x:c r="J621" i="2"/>
  <x:c r="L627" i="2"/>
  <x:c r="L635" i="2"/>
  <x:c r="K647" i="2"/>
  <x:c r="I660" i="2"/>
  <x:c r="K674" i="2"/>
  <x:c r="J686" i="2"/>
  <x:c r="G743" i="2"/>
  <x:c r="P629" i="2"/>
  <x:c r="M634" i="2"/>
  <x:c r="Q638" i="2"/>
  <x:c r="G644" i="2"/>
  <x:c r="K648" i="2"/>
  <x:c r="H653" i="2"/>
  <x:c r="L657" i="2"/>
  <x:c r="I662" i="2"/>
  <x:c r="N667" i="2"/>
  <x:c r="R671" i="2"/>
  <x:c r="O676" i="2"/>
  <x:c r="S680" i="2"/>
  <x:c r="P685" i="2"/>
  <x:c r="M690" i="2"/>
  <x:c r="M698" i="2"/>
  <x:c r="N707" i="2"/>
  <x:c r="N722" i="2"/>
  <x:c r="H749" i="2"/>
  <x:c r="F788" i="2"/>
  <x:c r="H626" i="2"/>
  <x:c r="L630" i="2"/>
  <x:c r="I635" i="2"/>
  <x:c r="F640" i="2"/>
  <x:c r="K645" i="2"/>
  <x:c r="H650" i="2"/>
  <x:c r="L654" i="2"/>
  <x:c r="I659" i="2"/>
  <x:c r="F664" i="2"/>
  <x:c r="K669" i="2"/>
  <x:c r="H674" i="2"/>
  <x:c r="L678" i="2"/>
  <x:c r="I683" i="2"/>
  <x:c r="F688" i="2"/>
  <x:c r="R696" i="2"/>
  <x:c r="Q709" i="2"/>
  <x:c r="K726" i="2"/>
  <x:c r="S753" i="2"/>
  <x:c r="G798" i="2"/>
  <x:c r="F623" i="2"/>
  <x:c r="J627" i="2"/>
  <x:c r="G632" i="2"/>
  <x:c r="K636" i="2"/>
  <x:c r="I641" i="3"/>
  <x:c r="I641" i="2" s="1"/>
  <x:c r="I642" i="2"/>
  <x:c r="F647" i="2"/>
  <x:c r="J651" i="2"/>
  <x:c r="G656" i="2"/>
  <x:c r="K660" i="2"/>
  <x:c r="I665" i="3"/>
  <x:c r="I665" i="2" s="1"/>
  <x:c r="I666" i="2"/>
  <x:c r="F671" i="2"/>
  <x:c r="K676" i="2"/>
  <x:c r="L685" i="2"/>
  <x:c r="R703" i="2"/>
  <x:c r="F748" i="2"/>
  <x:c r="L652" i="2"/>
  <x:c r="H672" i="2"/>
  <x:c r="G691" i="2"/>
  <x:c r="G686" i="2"/>
  <x:c r="S633" i="2"/>
  <x:c r="R672" i="2"/>
  <x:c r="S744" i="3"/>
  <x:c r="S744" i="2" s="1"/>
  <x:c r="S745" i="2"/>
  <x:c r="F757" i="2"/>
  <x:c r="M22" i="2"/>
  <x:c r="R26" i="3"/>
  <x:c r="R26" i="2" s="1"/>
  <x:c r="R27" i="2"/>
  <x:c r="O32" i="2"/>
  <x:c r="S36" i="2"/>
  <x:c r="P41" i="2"/>
  <x:c r="M46" i="2"/>
  <x:c r="Q50" i="2"/>
  <x:c r="N55" i="2"/>
  <x:c r="R59" i="2"/>
  <x:c r="K66" i="2"/>
  <x:c r="L74" i="3"/>
  <x:c r="L74" i="2" s="1"/>
  <x:c r="L75" i="2"/>
  <x:c r="N84" i="2"/>
  <x:c r="P94" i="2"/>
  <x:c r="G110" i="2"/>
  <x:c r="J120" i="2"/>
  <x:c r="L130" i="2"/>
  <x:c r="Q144" i="2"/>
  <x:c r="S154" i="2"/>
  <x:c r="L166" i="2"/>
  <x:c r="G181" i="2"/>
  <x:c r="F272" i="2"/>
  <x:c r="M396" i="2"/>
  <x:c r="I9" i="2"/>
  <x:c r="F14" i="2"/>
  <x:c r="J18" i="2"/>
  <x:c r="G23" i="2"/>
  <x:c r="L28" i="2"/>
  <x:c r="I33" i="2"/>
  <x:c r="F38" i="2"/>
  <x:c r="J42" i="2"/>
  <x:c r="G47" i="2"/>
  <x:c r="K51" i="2"/>
  <x:c r="H56" i="2"/>
  <x:c r="L60" i="2"/>
  <x:c r="M67" i="2"/>
  <x:c r="N76" i="2"/>
  <x:c r="N88" i="2"/>
  <x:c r="O102" i="2"/>
  <x:c r="L115" i="2"/>
  <x:c r="K129" i="2"/>
  <x:c r="F141" i="2"/>
  <x:c r="R153" i="2"/>
  <x:c r="O166" i="2"/>
  <x:c r="N181" i="2"/>
  <x:c r="I302" i="2"/>
  <x:c r="H191" i="2"/>
  <x:c r="L195" i="2"/>
  <x:c r="N200" i="2"/>
  <x:c r="N214" i="2"/>
  <x:c r="K227" i="2"/>
  <x:c r="H240" i="2"/>
  <x:c r="N259" i="2"/>
  <x:c r="S280" i="2"/>
  <x:c r="J300" i="2"/>
  <x:c r="K321" i="2"/>
  <x:c r="K353" i="2"/>
  <x:c r="K385" i="2"/>
  <x:c r="H435" i="2"/>
  <x:c r="R63" i="2"/>
  <x:c r="O68" i="2"/>
  <x:c r="S72" i="2"/>
  <x:c r="I78" i="2"/>
  <x:c r="F83" i="2"/>
  <x:c r="J87" i="2"/>
  <x:c r="G92" i="2"/>
  <x:c r="K96" i="2"/>
  <x:c r="P101" i="2"/>
  <x:c r="M106" i="2"/>
  <x:c r="Q110" i="2"/>
  <x:c r="N115" i="2"/>
  <x:c r="R119" i="2"/>
  <x:c r="O124" i="2"/>
  <x:c r="S128" i="2"/>
  <x:c r="P133" i="2"/>
  <x:c r="M138" i="2"/>
  <x:c r="Q142" i="2"/>
  <x:c r="N147" i="2"/>
  <x:c r="R151" i="2"/>
  <x:c r="O156" i="2"/>
  <x:c r="S160" i="2"/>
  <x:c r="P165" i="2"/>
  <x:c r="M170" i="2"/>
  <x:c r="Q174" i="2"/>
  <x:c r="N179" i="2"/>
  <x:c r="R183" i="2"/>
  <x:c r="O188" i="2"/>
  <x:c r="S192" i="2"/>
  <x:c r="P197" i="2"/>
  <x:c r="O204" i="2"/>
  <x:c r="L217" i="2"/>
  <x:c r="O231" i="2"/>
  <x:c r="F243" i="2"/>
  <x:c r="K256" i="2"/>
  <x:c r="H274" i="2"/>
  <x:c r="H290" i="2"/>
  <x:c r="H306" i="2"/>
  <x:c r="I335" i="2"/>
  <x:c r="I367" i="2"/>
  <x:c r="I399" i="2"/>
  <x:c r="S63" i="2"/>
  <x:c r="P68" i="2"/>
  <x:c r="M73" i="2"/>
  <x:c r="R78" i="2"/>
  <x:c r="O83" i="2"/>
  <x:c r="S87" i="2"/>
  <x:c r="P92" i="2"/>
  <x:c r="F97" i="3"/>
  <x:c r="F97" i="2" s="1"/>
  <x:c r="F98" i="2"/>
  <x:c r="J102" i="2"/>
  <x:c r="G107" i="2"/>
  <x:c r="K111" i="2"/>
  <x:c r="H116" i="2"/>
  <x:c r="L120" i="2"/>
  <x:c r="I125" i="2"/>
  <x:c r="F130" i="2"/>
  <x:c r="J134" i="2"/>
  <x:c r="G139" i="2"/>
  <x:c r="K143" i="2"/>
  <x:c r="H148" i="2"/>
  <x:c r="L152" i="2"/>
  <x:c r="I157" i="2"/>
  <x:c r="F162" i="2"/>
  <x:c r="J166" i="2"/>
  <x:c r="G171" i="2"/>
  <x:c r="K175" i="2"/>
  <x:c r="H180" i="2"/>
  <x:c r="L184" i="2"/>
  <x:c r="I189" i="2"/>
  <x:c r="F194" i="2"/>
  <x:c r="J198" i="2"/>
  <x:c r="M207" i="2"/>
  <x:c r="G220" i="2"/>
  <x:c r="L230" i="2"/>
  <x:c r="I243" i="2"/>
  <x:c r="M258" i="2"/>
  <x:c r="G276" i="2"/>
  <x:c r="G292" i="2"/>
  <x:c r="G308" i="2"/>
  <x:c r="K330" i="2"/>
  <x:c r="K362" i="2"/>
  <x:c r="K394" i="2"/>
  <x:c r="J462" i="2"/>
  <x:c r="G82" i="2"/>
  <x:c r="K86" i="2"/>
  <x:c r="H91" i="2"/>
  <x:c r="L95" i="2"/>
  <x:c r="J101" i="2"/>
  <x:c r="G106" i="2"/>
  <x:c r="K110" i="2"/>
  <x:c r="H115" i="2"/>
  <x:c r="L119" i="2"/>
  <x:c r="I124" i="2"/>
  <x:c r="F129" i="2"/>
  <x:c r="J133" i="2"/>
  <x:c r="G138" i="2"/>
  <x:c r="K142" i="2"/>
  <x:c r="H147" i="2"/>
  <x:c r="L151" i="2"/>
  <x:c r="I156" i="2"/>
  <x:c r="F161" i="2"/>
  <x:c r="J165" i="2"/>
  <x:c r="G170" i="2"/>
  <x:c r="K174" i="2"/>
  <x:c r="H179" i="2"/>
  <x:c r="L183" i="2"/>
  <x:c r="I188" i="2"/>
  <x:c r="F193" i="2"/>
  <x:c r="J197" i="2"/>
  <x:c r="I205" i="3"/>
  <x:c r="I205" i="2" s="1"/>
  <x:c r="I206" i="2"/>
  <x:c r="Q217" i="2"/>
  <x:c r="N230" i="2"/>
  <x:c r="K243" i="2"/>
  <x:c r="N267" i="2"/>
  <x:c r="S288" i="2"/>
  <x:c r="J308" i="2"/>
  <x:c r="O338" i="2"/>
  <x:c r="J373" i="2"/>
  <x:c r="P412" i="2"/>
  <x:c r="G496" i="2"/>
  <x:c r="M175" i="2"/>
  <x:c r="Q179" i="2"/>
  <x:c r="N184" i="2"/>
  <x:c r="R188" i="2"/>
  <x:c r="O193" i="2"/>
  <x:c r="S197" i="2"/>
  <x:c r="R207" i="2"/>
  <x:c r="L220" i="2"/>
  <x:c r="F232" i="2"/>
  <x:c r="N243" i="2"/>
  <x:c r="I262" i="2"/>
  <x:c r="Q283" i="2"/>
  <x:c r="J303" i="2"/>
  <x:c r="J327" i="3"/>
  <x:c r="J327" i="2" s="1"/>
  <x:c r="J328" i="2"/>
  <x:c r="J360" i="2"/>
  <x:c r="Q397" i="2"/>
  <x:c r="I508" i="2"/>
  <x:c r="I66" i="2"/>
  <x:c r="F71" i="2"/>
  <x:c r="K76" i="2"/>
  <x:c r="H81" i="2"/>
  <x:c r="L85" i="2"/>
  <x:c r="I90" i="2"/>
  <x:c r="F95" i="2"/>
  <x:c r="K100" i="2"/>
  <x:c r="H105" i="2"/>
  <x:c r="L109" i="2"/>
  <x:c r="I114" i="2"/>
  <x:c r="F119" i="2"/>
  <x:c r="J123" i="2"/>
  <x:c r="G128" i="2"/>
  <x:c r="K132" i="2"/>
  <x:c r="H137" i="2"/>
  <x:c r="L141" i="2"/>
  <x:c r="I146" i="2"/>
  <x:c r="F151" i="2"/>
  <x:c r="J155" i="2"/>
  <x:c r="G160" i="2"/>
  <x:c r="K164" i="2"/>
  <x:c r="H169" i="2"/>
  <x:c r="L173" i="2"/>
  <x:c r="I178" i="2"/>
  <x:c r="F183" i="2"/>
  <x:c r="J187" i="2"/>
  <x:c r="G192" i="2"/>
  <x:c r="K196" i="2"/>
  <x:c r="R202" i="2"/>
  <x:c r="H218" i="2"/>
  <x:c r="P229" i="2"/>
  <x:c r="Q243" i="2"/>
  <x:c r="R260" i="2"/>
  <x:c r="R276" i="2"/>
  <x:c r="R292" i="2"/>
  <x:c r="R308" i="2"/>
  <x:c r="Q336" i="2"/>
  <x:c r="Q368" i="2"/>
  <x:c r="Q400" i="2"/>
  <x:c r="G459" i="2"/>
  <x:c r="N62" i="2"/>
  <x:c r="R66" i="2"/>
  <x:c r="O71" i="2"/>
  <x:c r="M77" i="2"/>
  <x:c r="Q81" i="2"/>
  <x:c r="N86" i="2"/>
  <x:c r="R90" i="2"/>
  <x:c r="O95" i="2"/>
  <x:c r="M101" i="2"/>
  <x:c r="Q105" i="2"/>
  <x:c r="N110" i="2"/>
  <x:c r="R114" i="2"/>
  <x:c r="O119" i="2"/>
  <x:c r="S123" i="2"/>
  <x:c r="P128" i="2"/>
  <x:c r="M133" i="2"/>
  <x:c r="Q137" i="2"/>
  <x:c r="N142" i="2"/>
  <x:c r="R146" i="2"/>
  <x:c r="O151" i="2"/>
  <x:c r="S155" i="2"/>
  <x:c r="P160" i="2"/>
  <x:c r="M165" i="2"/>
  <x:c r="Q169" i="2"/>
  <x:c r="N174" i="2"/>
  <x:c r="R178" i="2"/>
  <x:c r="O183" i="2"/>
  <x:c r="S187" i="2"/>
  <x:c r="P192" i="2"/>
  <x:c r="M197" i="2"/>
  <x:c r="Q205" i="3"/>
  <x:c r="Q205" i="2" s="1"/>
  <x:c r="Q206" i="2"/>
  <x:c r="J218" i="2"/>
  <x:c r="S229" i="2"/>
  <x:c r="I241" i="2"/>
  <x:c r="S253" i="2"/>
  <x:c r="S269" i="2"/>
  <x:c r="S285" i="2"/>
  <x:c r="S301" i="2"/>
  <x:c r="J318" i="2"/>
  <x:c r="J350" i="2"/>
  <x:c r="J382" i="2"/>
  <x:c r="R422" i="2"/>
  <x:c r="F201" i="2"/>
  <x:c r="K205" i="3"/>
  <x:c r="K205" i="2" s="1"/>
  <x:c r="K206" i="2"/>
  <x:c r="H211" i="2"/>
  <x:c r="L215" i="2"/>
  <x:c r="I220" i="2"/>
  <x:c r="F225" i="2"/>
  <x:c r="J229" i="2"/>
  <x:c r="G234" i="2"/>
  <x:c r="K238" i="2"/>
  <x:c r="H243" i="2"/>
  <x:c r="L247" i="2"/>
  <x:c r="I252" i="2"/>
  <x:c r="F257" i="2"/>
  <x:c r="J261" i="2"/>
  <x:c r="H267" i="2"/>
  <x:c r="L271" i="2"/>
  <x:c r="I276" i="2"/>
  <x:c r="F281" i="2"/>
  <x:c r="J285" i="2"/>
  <x:c r="G290" i="2"/>
  <x:c r="K294" i="2"/>
  <x:c r="H299" i="2"/>
  <x:c r="L303" i="2"/>
  <x:c r="I308" i="2"/>
  <x:c r="F313" i="2"/>
  <x:c r="Q317" i="2"/>
  <x:c r="O325" i="2"/>
  <x:c r="O334" i="2"/>
  <x:c r="O342" i="2"/>
  <x:c r="O350" i="2"/>
  <x:c r="O358" i="2"/>
  <x:c r="L367" i="2"/>
  <x:c r="L375" i="2"/>
  <x:c r="L383" i="2"/>
  <x:c r="L391" i="2"/>
  <x:c r="L399" i="2"/>
  <x:c r="H411" i="2"/>
  <x:c r="L424" i="2"/>
  <x:c r="L440" i="2"/>
  <x:c r="H467" i="2"/>
  <x:c r="H499" i="2"/>
  <x:c r="J541" i="2"/>
  <x:c r="P201" i="2"/>
  <x:c r="F207" i="2"/>
  <x:c r="J211" i="2"/>
  <x:c r="G216" i="2"/>
  <x:c r="K220" i="2"/>
  <x:c r="H225" i="2"/>
  <x:c r="L229" i="2"/>
  <x:c r="I234" i="2"/>
  <x:c r="F239" i="2"/>
  <x:c r="J243" i="2"/>
  <x:c r="G248" i="2"/>
  <x:c r="K252" i="2"/>
  <x:c r="H257" i="2"/>
  <x:c r="L261" i="2"/>
  <x:c r="J267" i="2"/>
  <x:c r="G272" i="2"/>
  <x:c r="K276" i="2"/>
  <x:c r="H281" i="2"/>
  <x:c r="L285" i="2"/>
  <x:c r="I290" i="2"/>
  <x:c r="F295" i="2"/>
  <x:c r="J299" i="2"/>
  <x:c r="G304" i="2"/>
  <x:c r="K308" i="2"/>
  <x:c r="H313" i="2"/>
  <x:c r="R318" i="2"/>
  <x:c r="S329" i="2"/>
  <x:c r="R341" i="2"/>
  <x:c r="Q351" i="2"/>
  <x:c r="S361" i="2"/>
  <x:c r="R374" i="2"/>
  <x:c r="R384" i="2"/>
  <x:c r="S394" i="2"/>
  <x:c r="J406" i="2"/>
  <x:c r="S422" i="2"/>
  <x:c r="J447" i="2"/>
  <x:c r="G480" i="2"/>
  <x:c r="N519" i="2"/>
  <x:c r="N246" i="2"/>
  <x:c r="R250" i="2"/>
  <x:c r="O255" i="2"/>
  <x:c r="S259" i="2"/>
  <x:c r="P264" i="2"/>
  <x:c r="N270" i="2"/>
  <x:c r="R274" i="2"/>
  <x:c r="O279" i="2"/>
  <x:c r="S283" i="2"/>
  <x:c r="P288" i="2"/>
  <x:c r="M293" i="2"/>
  <x:c r="Q297" i="2"/>
  <x:c r="N302" i="2"/>
  <x:c r="R306" i="2"/>
  <x:c r="O311" i="2"/>
  <x:c r="S315" i="2"/>
  <x:c r="S326" i="2"/>
  <x:c r="S343" i="2"/>
  <x:c r="S359" i="2"/>
  <x:c r="F380" i="2"/>
  <x:c r="F396" i="2"/>
  <x:c r="F409" i="2"/>
  <x:c r="J430" i="2"/>
  <x:c r="F450" i="2"/>
  <x:c r="J486" i="2"/>
  <x:c r="S548" i="2"/>
  <x:c r="S202" i="2"/>
  <x:c r="Q208" i="2"/>
  <x:c r="N213" i="2"/>
  <x:c r="R217" i="2"/>
  <x:c r="O222" i="2"/>
  <x:c r="S226" i="2"/>
  <x:c r="P231" i="2"/>
  <x:c r="M236" i="2"/>
  <x:c r="Q240" i="2"/>
  <x:c r="N245" i="2"/>
  <x:c r="R249" i="2"/>
  <x:c r="O254" i="2"/>
  <x:c r="S258" i="2"/>
  <x:c r="P263" i="2"/>
  <x:c r="N269" i="2"/>
  <x:c r="R273" i="2"/>
  <x:c r="O278" i="2"/>
  <x:c r="S282" i="2"/>
  <x:c r="P287" i="2"/>
  <x:c r="M292" i="2"/>
  <x:c r="Q296" i="2"/>
  <x:c r="N301" i="2"/>
  <x:c r="R305" i="2"/>
  <x:c r="O310" i="2"/>
  <x:c r="S314" i="2"/>
  <x:c r="H324" i="2"/>
  <x:c r="G334" i="2"/>
  <x:c r="F346" i="2"/>
  <x:c r="H356" i="2"/>
  <x:c r="F369" i="2"/>
  <x:c r="G379" i="2"/>
  <x:c r="G389" i="2"/>
  <x:c r="F401" i="2"/>
  <x:c r="N410" i="2"/>
  <x:c r="G427" i="2"/>
  <x:c r="R445" i="2"/>
  <x:c r="G472" i="2"/>
  <x:c r="L509" i="2"/>
  <x:c r="J611" i="2"/>
  <x:c r="M203" i="2"/>
  <x:c r="R208" i="2"/>
  <x:c r="O213" i="2"/>
  <x:c r="S217" i="2"/>
  <x:c r="P222" i="2"/>
  <x:c r="M227" i="2"/>
  <x:c r="Q231" i="2"/>
  <x:c r="N236" i="2"/>
  <x:c r="R240" i="2"/>
  <x:c r="O245" i="2"/>
  <x:c r="S249" i="2"/>
  <x:c r="P254" i="2"/>
  <x:c r="M259" i="2"/>
  <x:c r="Q263" i="2"/>
  <x:c r="O269" i="2"/>
  <x:c r="S273" i="2"/>
  <x:c r="P278" i="2"/>
  <x:c r="M283" i="2"/>
  <x:c r="Q287" i="2"/>
  <x:c r="N292" i="2"/>
  <x:c r="R296" i="2"/>
  <x:c r="O301" i="2"/>
  <x:c r="S305" i="2"/>
  <x:c r="P310" i="2"/>
  <x:c r="M315" i="2"/>
  <x:c r="G322" i="2"/>
  <x:c r="H331" i="2"/>
  <x:c r="H339" i="2"/>
  <x:c r="H347" i="2"/>
  <x:c r="H355" i="2"/>
  <x:c r="H363" i="2"/>
  <x:c r="I372" i="2"/>
  <x:c r="I380" i="2"/>
  <x:c r="I388" i="2"/>
  <x:c r="I396" i="2"/>
  <x:c r="I404" i="2"/>
  <x:c r="M416" i="2"/>
  <x:c r="M432" i="2"/>
  <x:c r="P450" i="2"/>
  <x:c r="F487" i="2"/>
  <x:c r="G560" i="2"/>
  <x:c r="P204" i="2"/>
  <x:c r="N210" i="2"/>
  <x:c r="R214" i="2"/>
  <x:c r="O219" i="2"/>
  <x:c r="S223" i="2"/>
  <x:c r="P228" i="2"/>
  <x:c r="M233" i="2"/>
  <x:c r="Q237" i="2"/>
  <x:c r="N242" i="2"/>
  <x:c r="R246" i="2"/>
  <x:c r="O251" i="2"/>
  <x:c r="S255" i="2"/>
  <x:c r="P260" i="2"/>
  <x:c r="F265" i="3"/>
  <x:c r="F265" i="2" s="1"/>
  <x:c r="F266" i="2"/>
  <x:c r="J270" i="2"/>
  <x:c r="G275" i="2"/>
  <x:c r="K279" i="2"/>
  <x:c r="H284" i="2"/>
  <x:c r="L288" i="2"/>
  <x:c r="I293" i="2"/>
  <x:c r="F298" i="2"/>
  <x:c r="J302" i="2"/>
  <x:c r="G307" i="2"/>
  <x:c r="K311" i="2"/>
  <x:c r="H316" i="2"/>
  <x:c r="N324" i="2"/>
  <x:c r="N333" i="2"/>
  <x:c r="N341" i="2"/>
  <x:c r="N349" i="2"/>
  <x:c r="N357" i="2"/>
  <x:c r="K365" i="3"/>
  <x:c r="K365" i="2" s="1"/>
  <x:c r="K366" i="2"/>
  <x:c r="K374" i="2"/>
  <x:c r="K382" i="2"/>
  <x:c r="K390" i="2"/>
  <x:c r="K398" i="2"/>
  <x:c r="L408" i="2"/>
  <x:c r="F426" i="2"/>
  <x:c r="M446" i="2"/>
  <x:c r="I490" i="2"/>
  <x:c r="H521" i="2"/>
  <x:c r="K320" i="2"/>
  <x:c r="H325" i="2"/>
  <x:c r="F331" i="2"/>
  <x:c r="J335" i="2"/>
  <x:c r="G340" i="2"/>
  <x:c r="K344" i="2"/>
  <x:c r="H349" i="2"/>
  <x:c r="L353" i="2"/>
  <x:c r="I358" i="2"/>
  <x:c r="F363" i="2"/>
  <x:c r="K368" i="2"/>
  <x:c r="H373" i="2"/>
  <x:c r="L377" i="2"/>
  <x:c r="I382" i="2"/>
  <x:c r="F387" i="2"/>
  <x:c r="J391" i="2"/>
  <x:c r="G396" i="2"/>
  <x:c r="K400" i="2"/>
  <x:c r="H405" i="2"/>
  <x:c r="L409" i="2"/>
  <x:c r="I414" i="2"/>
  <x:c r="F419" i="2"/>
  <x:c r="J423" i="2"/>
  <x:c r="H428" i="3"/>
  <x:c r="H428" i="2" s="1"/>
  <x:c r="H429" i="2"/>
  <x:c r="L433" i="2"/>
  <x:c r="I438" i="2"/>
  <x:c r="O443" i="2"/>
  <x:c r="H449" i="2"/>
  <x:c r="F458" i="2"/>
  <x:c r="F474" i="2"/>
  <x:c r="F490" i="2"/>
  <x:c r="I509" i="2"/>
  <x:c r="L519" i="2"/>
  <x:c r="I532" i="2"/>
  <x:c r="S543" i="2"/>
  <x:c r="G564" i="2"/>
  <x:c r="G596" i="2"/>
  <x:c r="L664" i="2"/>
  <x:c r="S542" i="2"/>
  <x:c r="I562" i="2"/>
  <x:c r="R591" i="2"/>
  <x:c r="K678" i="2"/>
  <x:c r="S317" i="2"/>
  <x:c r="P322" i="2"/>
  <x:c r="F327" i="3"/>
  <x:c r="F327" i="2" s="1"/>
  <x:c r="F328" i="2"/>
  <x:c r="J332" i="2"/>
  <x:c r="G337" i="2"/>
  <x:c r="K341" i="2"/>
  <x:c r="H346" i="2"/>
  <x:c r="L350" i="2"/>
  <x:c r="I355" i="2"/>
  <x:c r="F360" i="2"/>
  <x:c r="J364" i="2"/>
  <x:c r="H370" i="2"/>
  <x:c r="L374" i="2"/>
  <x:c r="I379" i="2"/>
  <x:c r="F384" i="2"/>
  <x:c r="J388" i="2"/>
  <x:c r="G393" i="2"/>
  <x:c r="K397" i="2"/>
  <x:c r="H402" i="2"/>
  <x:c r="L406" i="2"/>
  <x:c r="I411" i="2"/>
  <x:c r="F416" i="2"/>
  <x:c r="J420" i="2"/>
  <x:c r="G425" i="2"/>
  <x:c r="L430" i="2"/>
  <x:c r="I435" i="2"/>
  <x:c r="F440" i="2"/>
  <x:c r="I445" i="2"/>
  <x:c r="R450" i="2"/>
  <x:c r="M457" i="2"/>
  <x:c r="M465" i="2"/>
  <x:c r="M473" i="2"/>
  <x:c r="M481" i="2"/>
  <x:c r="M489" i="2"/>
  <x:c r="M497" i="2"/>
  <x:c r="J507" i="2"/>
  <x:c r="M521" i="2"/>
  <x:c r="Q532" i="2"/>
  <x:c r="R547" i="2"/>
  <x:c r="S572" i="2"/>
  <x:c r="I606" i="2"/>
  <x:c r="S768" i="2"/>
  <x:c r="G320" i="2"/>
  <x:c r="K324" i="2"/>
  <x:c r="I330" i="2"/>
  <x:c r="F335" i="2"/>
  <x:c r="J339" i="2"/>
  <x:c r="G344" i="2"/>
  <x:c r="K348" i="2"/>
  <x:c r="H353" i="2"/>
  <x:c r="L357" i="2"/>
  <x:c r="I362" i="2"/>
  <x:c r="N367" i="2"/>
  <x:c r="R371" i="2"/>
  <x:c r="O376" i="2"/>
  <x:c r="S380" i="2"/>
  <x:c r="P385" i="2"/>
  <x:c r="M390" i="2"/>
  <x:c r="Q394" i="2"/>
  <x:c r="N399" i="2"/>
  <x:c r="R403" i="2"/>
  <x:c r="O408" i="2"/>
  <x:c r="S412" i="2"/>
  <x:c r="P417" i="2"/>
  <x:c r="M422" i="2"/>
  <x:c r="Q426" i="2"/>
  <x:c r="O432" i="2"/>
  <x:c r="S436" i="2"/>
  <x:c r="O442" i="2"/>
  <x:c r="S448" i="2"/>
  <x:c r="L455" i="2"/>
  <x:c r="L463" i="2"/>
  <x:c r="L471" i="2"/>
  <x:c r="L479" i="2"/>
  <x:c r="L487" i="2"/>
  <x:c r="L495" i="2"/>
  <x:c r="N505" i="2"/>
  <x:c r="I516" i="2"/>
  <x:c r="S527" i="2"/>
  <x:c r="J539" i="2"/>
  <x:c r="I551" i="2"/>
  <x:c r="G580" i="2"/>
  <x:c r="I618" i="2"/>
  <x:c r="P320" i="2"/>
  <x:c r="M325" i="2"/>
  <x:c r="R330" i="2"/>
  <x:c r="O335" i="2"/>
  <x:c r="S339" i="2"/>
  <x:c r="P344" i="2"/>
  <x:c r="M349" i="2"/>
  <x:c r="Q353" i="2"/>
  <x:c r="N358" i="2"/>
  <x:c r="R362" i="2"/>
  <x:c r="H368" i="2"/>
  <x:c r="L372" i="2"/>
  <x:c r="I377" i="2"/>
  <x:c r="F382" i="2"/>
  <x:c r="J386" i="2"/>
  <x:c r="G391" i="2"/>
  <x:c r="K395" i="2"/>
  <x:c r="H400" i="2"/>
  <x:c r="L404" i="2"/>
  <x:c r="I409" i="2"/>
  <x:c r="F414" i="2"/>
  <x:c r="J418" i="2"/>
  <x:c r="G423" i="2"/>
  <x:c r="K427" i="2"/>
  <x:c r="P432" i="2"/>
  <x:c r="M437" i="2"/>
  <x:c r="F442" i="2"/>
  <x:c r="H448" i="2"/>
  <x:c r="N455" i="2"/>
  <x:c r="N463" i="2"/>
  <x:c r="N471" i="2"/>
  <x:c r="N479" i="2"/>
  <x:c r="N487" i="2"/>
  <x:c r="N495" i="2"/>
  <x:c r="P505" i="2"/>
  <x:c r="K516" i="2"/>
  <x:c r="O530" i="2"/>
  <x:c r="K543" i="2"/>
  <x:c r="J559" i="2"/>
  <x:c r="J595" i="2"/>
  <x:c r="R633" i="2"/>
  <x:c r="O406" i="2"/>
  <x:c r="S410" i="2"/>
  <x:c r="P415" i="2"/>
  <x:c r="M420" i="2"/>
  <x:c r="Q424" i="2"/>
  <x:c r="G430" i="2"/>
  <x:c r="K434" i="2"/>
  <x:c r="H439" i="2"/>
  <x:c r="G444" i="2"/>
  <x:c r="P449" i="2"/>
  <x:c r="P456" i="2"/>
  <x:c r="P464" i="2"/>
  <x:c r="P472" i="2"/>
  <x:c r="P480" i="2"/>
  <x:c r="P488" i="2"/>
  <x:c r="P496" i="2"/>
  <x:c r="Q506" i="2"/>
  <x:c r="R517" i="2"/>
  <x:c r="N529" i="2"/>
  <x:c r="S540" i="2"/>
  <x:c r="M559" i="2"/>
  <x:c r="Q601" i="2"/>
  <x:c r="P694" i="2"/>
  <x:c r="S417" i="2"/>
  <x:c r="P422" i="2"/>
  <x:c r="M427" i="2"/>
  <x:c r="R432" i="2"/>
  <x:c r="O437" i="2"/>
  <x:c r="H442" i="2"/>
  <x:c r="L448" i="2"/>
  <x:c r="F454" i="2"/>
  <x:c r="S463" i="2"/>
  <x:c r="R475" i="2"/>
  <x:c r="R485" i="2"/>
  <x:c r="S495" i="2"/>
  <x:c r="N511" i="2"/>
  <x:c r="H523" i="2"/>
  <x:c r="M537" i="2"/>
  <x:c r="F552" i="2"/>
  <x:c r="H581" i="2"/>
  <x:c r="H613" i="2"/>
  <x:c r="M689" i="2"/>
  <x:c r="O457" i="2"/>
  <x:c r="S461" i="2"/>
  <x:c r="P466" i="2"/>
  <x:c r="M471" i="2"/>
  <x:c r="Q475" i="2"/>
  <x:c r="N480" i="2"/>
  <x:c r="R484" i="2"/>
  <x:c r="O489" i="2"/>
  <x:c r="S493" i="2"/>
  <x:c r="P498" i="2"/>
  <x:c r="O505" i="2"/>
  <x:c r="S509" i="2"/>
  <x:c r="P514" i="2"/>
  <x:c r="M519" i="2"/>
  <x:c r="Q523" i="2"/>
  <x:c r="N528" i="2"/>
  <x:c r="R532" i="2"/>
  <x:c r="O537" i="2"/>
  <x:c r="S541" i="2"/>
  <x:c r="J547" i="2"/>
  <x:c r="K554" i="3"/>
  <x:c r="K554" i="2" s="1"/>
  <x:c r="K555" i="2"/>
  <x:c r="F564" i="2"/>
  <x:c r="G575" i="2"/>
  <x:c r="F587" i="2"/>
  <x:c r="G599" i="2"/>
  <x:c r="F611" i="2"/>
  <x:c r="H622" i="2"/>
  <x:c r="S638" i="2"/>
  <x:c r="S670" i="2"/>
  <x:c r="P709" i="2"/>
  <x:c r="O511" i="2"/>
  <x:c r="S515" i="2"/>
  <x:c r="P520" i="2"/>
  <x:c r="M525" i="2"/>
  <x:c r="Q529" i="2"/>
  <x:c r="N534" i="2"/>
  <x:c r="R538" i="2"/>
  <x:c r="O543" i="2"/>
  <x:c r="S549" i="2"/>
  <x:c r="H557" i="2"/>
  <x:c r="L565" i="2"/>
  <x:c r="M574" i="2"/>
  <x:c r="M582" i="2"/>
  <x:c r="J592" i="2"/>
  <x:c r="J600" i="2"/>
  <x:c r="J608" i="2"/>
  <x:c r="I617" i="2"/>
  <x:c r="Q628" i="2"/>
  <x:c r="H652" i="2"/>
  <x:c r="M696" i="2"/>
  <x:c r="K442" i="2"/>
  <x:c r="H447" i="2"/>
  <x:c r="L451" i="2"/>
  <x:c r="I456" i="2"/>
  <x:c r="F461" i="2"/>
  <x:c r="J465" i="2"/>
  <x:c r="G470" i="2"/>
  <x:c r="K474" i="2"/>
  <x:c r="H479" i="2"/>
  <x:c r="L483" i="2"/>
  <x:c r="I488" i="2"/>
  <x:c r="F493" i="2"/>
  <x:c r="J497" i="2"/>
  <x:c r="P503" i="2"/>
  <x:c r="M508" i="2"/>
  <x:c r="Q512" i="2"/>
  <x:c r="N517" i="2"/>
  <x:c r="R521" i="2"/>
  <x:c r="O526" i="2"/>
  <x:c r="S530" i="2"/>
  <x:c r="P535" i="2"/>
  <x:c r="M540" i="2"/>
  <x:c r="Q544" i="2"/>
  <x:c r="O551" i="2"/>
  <x:c r="R559" i="2"/>
  <x:c r="K568" i="2"/>
  <x:c r="K576" i="2"/>
  <x:c r="K584" i="2"/>
  <x:c r="L594" i="2"/>
  <x:c r="L602" i="2"/>
  <x:c r="L610" i="2"/>
  <x:c r="M619" i="2"/>
  <x:c r="I637" i="2"/>
  <x:c r="H663" i="2"/>
  <x:c r="L442" i="2"/>
  <x:c r="I447" i="2"/>
  <x:c r="F452" i="2"/>
  <x:c r="J456" i="2"/>
  <x:c r="G461" i="2"/>
  <x:c r="K465" i="2"/>
  <x:c r="H470" i="2"/>
  <x:c r="L474" i="2"/>
  <x:c r="I479" i="2"/>
  <x:c r="F484" i="2"/>
  <x:c r="J488" i="2"/>
  <x:c r="G493" i="2"/>
  <x:c r="K497" i="2"/>
  <x:c r="J504" i="2"/>
  <x:c r="G509" i="2"/>
  <x:c r="K513" i="2"/>
  <x:c r="H518" i="2"/>
  <x:c r="L522" i="2"/>
  <x:c r="I527" i="2"/>
  <x:c r="F532" i="2"/>
  <x:c r="J536" i="2"/>
  <x:c r="G541" i="2"/>
  <x:c r="M545" i="2"/>
  <x:c r="I553" i="2"/>
  <x:c r="M562" i="2"/>
  <x:c r="N571" i="2"/>
  <x:c r="N579" i="2"/>
  <x:c r="N587" i="2"/>
  <x:c r="O597" i="2"/>
  <x:c r="O605" i="2"/>
  <x:c r="O613" i="2"/>
  <x:c r="R622" i="2"/>
  <x:c r="Q645" i="2"/>
  <x:c r="I672" i="2"/>
  <x:c r="G750" i="2"/>
  <x:c r="M458" i="2"/>
  <x:c r="Q462" i="2"/>
  <x:c r="N467" i="2"/>
  <x:c r="R471" i="2"/>
  <x:c r="O476" i="2"/>
  <x:c r="S480" i="2"/>
  <x:c r="P485" i="2"/>
  <x:c r="M490" i="2"/>
  <x:c r="Q494" i="2"/>
  <x:c r="N499" i="2"/>
  <x:c r="M506" i="2"/>
  <x:c r="Q510" i="2"/>
  <x:c r="N515" i="2"/>
  <x:c r="R519" i="2"/>
  <x:c r="O524" i="2"/>
  <x:c r="S528" i="2"/>
  <x:c r="P533" i="2"/>
  <x:c r="M538" i="2"/>
  <x:c r="Q542" i="2"/>
  <x:c r="Q547" i="2"/>
  <x:c r="F554" i="3"/>
  <x:c r="F554" i="2" s="1"/>
  <x:c r="F555" i="2"/>
  <x:c r="P561" i="2"/>
  <x:c r="Q570" i="2"/>
  <x:c r="Q578" i="2"/>
  <x:c r="Q586" i="2"/>
  <x:c r="O596" i="2"/>
  <x:c r="O604" i="2"/>
  <x:c r="O612" i="2"/>
  <x:c r="P621" i="2"/>
  <x:c r="M640" i="2"/>
  <x:c r="Q669" i="2"/>
  <x:c r="I717" i="2"/>
  <x:c r="F591" i="2"/>
  <x:c r="F607" i="2"/>
  <x:c r="M624" i="2"/>
  <x:c r="G654" i="2"/>
  <x:c r="O678" i="2"/>
  <x:c r="O561" i="2"/>
  <x:c r="S565" i="2"/>
  <x:c r="I571" i="2"/>
  <x:c r="F576" i="2"/>
  <x:c r="J580" i="2"/>
  <x:c r="G585" i="2"/>
  <x:c r="F592" i="2"/>
  <x:c r="J596" i="2"/>
  <x:c r="G601" i="2"/>
  <x:c r="K605" i="2"/>
  <x:c r="H610" i="2"/>
  <x:c r="M614" i="3"/>
  <x:c r="M614" i="2" s="1"/>
  <x:c r="M615" i="2"/>
  <x:c r="Q619" i="2"/>
  <x:c r="Q625" i="2"/>
  <x:c r="Q633" i="2"/>
  <x:c r="P643" i="2"/>
  <x:c r="M656" i="2"/>
  <x:c r="J669" i="2"/>
  <x:c r="L679" i="2"/>
  <x:c r="O698" i="2"/>
  <x:c r="G797" i="2"/>
  <x:c r="N549" i="2"/>
  <x:c r="R553" i="2"/>
  <x:c r="P559" i="2"/>
  <x:c r="M564" i="2"/>
  <x:c r="R569" i="2"/>
  <x:c r="O574" i="2"/>
  <x:c r="S578" i="2"/>
  <x:c r="P583" i="2"/>
  <x:c r="G589" i="3"/>
  <x:c r="G590" i="2"/>
  <x:c r="K594" i="2"/>
  <x:c r="H599" i="2"/>
  <x:c r="L603" i="2"/>
  <x:c r="I608" i="2"/>
  <x:c r="F613" i="2"/>
  <x:c r="K618" i="2"/>
  <x:c r="L623" i="2"/>
  <x:c r="F637" i="2"/>
  <x:c r="I653" i="2"/>
  <x:c r="Q664" i="2"/>
  <x:c r="N677" i="2"/>
  <x:c r="P699" i="2"/>
  <x:c r="G775" i="2"/>
  <x:c r="K639" i="2"/>
  <x:c r="I652" i="2"/>
  <x:c r="K665" i="3"/>
  <x:c r="K665" i="2" s="1"/>
  <x:c r="K666" i="2"/>
  <x:c r="R677" i="2"/>
  <x:c r="N697" i="2"/>
  <x:c r="F747" i="2"/>
  <x:c r="Q549" i="2"/>
  <x:c r="O554" i="3"/>
  <x:c r="O554" i="2" s="1"/>
  <x:c r="O555" i="2"/>
  <x:c r="S559" i="2"/>
  <x:c r="P564" i="2"/>
  <x:c r="N570" i="2"/>
  <x:c r="R574" i="2"/>
  <x:c r="O579" i="2"/>
  <x:c r="S583" i="2"/>
  <x:c r="R589" i="3"/>
  <x:c r="R590" i="2"/>
  <x:c r="O595" i="2"/>
  <x:c r="S599" i="2"/>
  <x:c r="P604" i="2"/>
  <x:c r="M609" i="2"/>
  <x:c r="Q613" i="2"/>
  <x:c r="O619" i="2"/>
  <x:c r="M625" i="2"/>
  <x:c r="M633" i="2"/>
  <x:c r="L643" i="2"/>
  <x:c r="I656" i="2"/>
  <x:c r="P667" i="2"/>
  <x:c r="M680" i="2"/>
  <x:c r="P708" i="2"/>
  <x:c r="P547" i="2"/>
  <x:c r="M552" i="2"/>
  <x:c r="R557" i="2"/>
  <x:c r="O562" i="2"/>
  <x:c r="M568" i="2"/>
  <x:c r="Q572" i="2"/>
  <x:c r="N577" i="2"/>
  <x:c r="R581" i="2"/>
  <x:c r="O586" i="2"/>
  <x:c r="N593" i="2"/>
  <x:c r="R597" i="2"/>
  <x:c r="O602" i="2"/>
  <x:c r="S606" i="2"/>
  <x:c r="P611" i="2"/>
  <x:c r="N617" i="2"/>
  <x:c r="R621" i="2"/>
  <x:c r="M628" i="2"/>
  <x:c r="M636" i="2"/>
  <x:c r="Q648" i="2"/>
  <x:c r="N661" i="2"/>
  <x:c r="O675" i="2"/>
  <x:c r="N690" i="2"/>
  <x:c r="G772" i="2"/>
  <x:c r="I630" i="2"/>
  <x:c r="F635" i="2"/>
  <x:c r="J639" i="2"/>
  <x:c r="O644" i="2"/>
  <x:c r="S648" i="2"/>
  <x:c r="P653" i="2"/>
  <x:c r="M658" i="2"/>
  <x:c r="Q662" i="2"/>
  <x:c r="G668" i="2"/>
  <x:c r="K672" i="2"/>
  <x:c r="H677" i="2"/>
  <x:c r="L681" i="2"/>
  <x:c r="I686" i="2"/>
  <x:c r="N691" i="2"/>
  <x:c r="N699" i="2"/>
  <x:c r="N708" i="2"/>
  <x:c r="H724" i="2"/>
  <x:c r="H752" i="2"/>
  <x:c r="I823" i="2"/>
  <x:c r="P626" i="2"/>
  <x:c r="M631" i="2"/>
  <x:c r="Q635" i="2"/>
  <x:c r="N640" i="2"/>
  <x:c r="S645" i="2"/>
  <x:c r="P650" i="2"/>
  <x:c r="M655" i="2"/>
  <x:c r="Q659" i="2"/>
  <x:c r="N664" i="2"/>
  <x:c r="S669" i="2"/>
  <x:c r="P674" i="2"/>
  <x:c r="M679" i="2"/>
  <x:c r="Q683" i="2"/>
  <x:c r="N688" i="2"/>
  <x:c r="S697" i="2"/>
  <x:c r="Q710" i="2"/>
  <x:c r="L727" i="3"/>
  <x:c r="L727" i="2" s="1"/>
  <x:c r="L728" i="2"/>
  <x:c r="G757" i="2"/>
  <x:c r="R808" i="2"/>
  <x:c r="N623" i="2"/>
  <x:c r="R627" i="2"/>
  <x:c r="O632" i="2"/>
  <x:c r="S636" i="2"/>
  <x:c r="Q641" i="3"/>
  <x:c r="Q641" i="2" s="1"/>
  <x:c r="Q642" i="2"/>
  <x:c r="N647" i="2"/>
  <x:c r="R651" i="2"/>
  <x:c r="O656" i="2"/>
  <x:c r="S660" i="2"/>
  <x:c r="Q665" i="3"/>
  <x:c r="Q665" i="2" s="1"/>
  <x:c r="Q666" i="2"/>
  <x:c r="N671" i="2"/>
  <x:c r="M678" i="2"/>
  <x:c r="N687" i="2"/>
  <x:c r="F708" i="2"/>
  <x:c r="H814" i="2"/>
  <x:c r="P656" i="2"/>
  <x:c r="S675" i="2"/>
  <x:c r="G700" i="2"/>
  <x:c r="H691" i="2"/>
  <x:c r="P638" i="2"/>
  <x:c r="O677" i="2"/>
  <x:c r="S799" i="3"/>
  <x:c r="S799" i="2" s="1"/>
  <x:c r="S800" i="2"/>
  <x:c r="R768" i="2"/>
  <x:c r="F23" i="2"/>
  <x:c r="K28" i="2"/>
  <x:c r="H33" i="2"/>
  <x:c r="L37" i="2"/>
  <x:c r="I42" i="2"/>
  <x:c r="F47" i="2"/>
  <x:c r="J51" i="2"/>
  <x:c r="G56" i="2"/>
  <x:c r="K60" i="2"/>
  <x:c r="L67" i="2"/>
  <x:c r="M76" i="2"/>
  <x:c r="S85" i="2"/>
  <x:c r="F96" i="2"/>
  <x:c r="M111" i="2"/>
  <x:c r="O121" i="2"/>
  <x:c r="G133" i="2"/>
  <x:c r="S145" i="2"/>
  <x:c r="J156" i="2"/>
  <x:c r="Q167" i="2"/>
  <x:c r="Q184" i="2"/>
  <x:c r="O284" i="2"/>
  <x:c r="S423" i="2"/>
  <x:c r="Q9" i="2"/>
  <x:c r="N14" i="2"/>
  <x:c r="R18" i="2"/>
  <x:c r="O23" i="2"/>
  <x:c r="M29" i="2"/>
  <x:c r="Q33" i="2"/>
  <x:c r="N38" i="2"/>
  <x:c r="R42" i="2"/>
  <x:c r="O47" i="2"/>
  <x:c r="S51" i="2"/>
  <x:c r="P56" i="2"/>
  <x:c r="M61" i="2"/>
  <x:c r="N68" i="2"/>
  <x:c r="N77" i="2"/>
  <x:c r="R89" i="2"/>
  <x:c r="G105" i="2"/>
  <x:c r="R116" i="2"/>
  <x:c r="P130" i="2"/>
  <x:c r="H142" i="2"/>
  <x:c r="M156" i="2"/>
  <x:c r="G169" i="2"/>
  <x:c r="H183" i="2"/>
  <x:c r="L431" i="2"/>
  <x:c r="P191" i="2"/>
  <x:c r="M196" i="2"/>
  <x:c r="Q201" i="2"/>
  <x:c r="G217" i="2"/>
  <x:c r="O228" i="2"/>
  <x:c r="L241" i="2"/>
  <x:c r="H261" i="2"/>
  <x:c r="P282" i="2"/>
  <x:c r="O305" i="2"/>
  <x:c r="P326" i="2"/>
  <x:c r="P358" i="2"/>
  <x:c r="P390" i="2"/>
  <x:c r="L446" i="2"/>
  <x:c r="K64" i="2"/>
  <x:c r="H69" i="2"/>
  <x:c r="L73" i="2"/>
  <x:c r="Q78" i="2"/>
  <x:c r="N83" i="2"/>
  <x:c r="R87" i="2"/>
  <x:c r="O92" i="2"/>
  <x:c r="S96" i="2"/>
  <x:c r="I102" i="2"/>
  <x:c r="F107" i="2"/>
  <x:c r="J111" i="2"/>
  <x:c r="G116" i="2"/>
  <x:c r="K120" i="2"/>
  <x:c r="H125" i="2"/>
  <x:c r="L129" i="2"/>
  <x:c r="I134" i="2"/>
  <x:c r="F139" i="2"/>
  <x:c r="J143" i="2"/>
  <x:c r="G148" i="2"/>
  <x:c r="K152" i="2"/>
  <x:c r="H157" i="2"/>
  <x:c r="L161" i="2"/>
  <x:c r="I166" i="2"/>
  <x:c r="F171" i="2"/>
  <x:c r="J175" i="2"/>
  <x:c r="G180" i="2"/>
  <x:c r="K184" i="2"/>
  <x:c r="H189" i="2"/>
  <x:c r="L193" i="2"/>
  <x:c r="I198" i="2"/>
  <x:c r="J207" i="2"/>
  <x:c r="R218" i="2"/>
  <x:c r="S232" i="2"/>
  <x:c r="J244" i="2"/>
  <x:c r="H258" i="2"/>
  <x:c r="P277" i="2"/>
  <x:c r="P293" i="2"/>
  <x:c r="P309" i="2"/>
  <x:c r="Q340" i="2"/>
  <x:c r="Q372" i="2"/>
  <x:c r="J408" i="2"/>
  <x:c r="L64" i="2"/>
  <x:c r="I69" i="2"/>
  <x:c r="G74" i="3"/>
  <x:c r="G74" i="2" s="1"/>
  <x:c r="G75" i="2"/>
  <x:c r="K79" i="2"/>
  <x:c r="H84" i="2"/>
  <x:c r="L88" i="2"/>
  <x:c r="I93" i="2"/>
  <x:c r="N97" i="3"/>
  <x:c r="N97" i="2" s="1"/>
  <x:c r="N98" i="2"/>
  <x:c r="R102" i="2"/>
  <x:c r="O107" i="2"/>
  <x:c r="S111" i="2"/>
  <x:c r="P116" i="2"/>
  <x:c r="M121" i="2"/>
  <x:c r="Q125" i="2"/>
  <x:c r="N130" i="2"/>
  <x:c r="R134" i="2"/>
  <x:c r="O139" i="2"/>
  <x:c r="S143" i="2"/>
  <x:c r="P148" i="2"/>
  <x:c r="M153" i="2"/>
  <x:c r="Q157" i="2"/>
  <x:c r="N162" i="2"/>
  <x:c r="R166" i="2"/>
  <x:c r="O171" i="2"/>
  <x:c r="S175" i="2"/>
  <x:c r="P180" i="2"/>
  <x:c r="M185" i="2"/>
  <x:c r="Q189" i="2"/>
  <x:c r="N194" i="2"/>
  <x:c r="R198" i="2"/>
  <x:c r="P208" i="2"/>
  <x:c r="M221" i="2"/>
  <x:c r="R231" i="2"/>
  <x:c r="L244" i="2"/>
  <x:c r="G260" i="2"/>
  <x:c r="S277" i="2"/>
  <x:c r="S293" i="2"/>
  <x:c r="S309" i="2"/>
  <x:c r="P335" i="2"/>
  <x:c r="P367" i="2"/>
  <x:c r="P399" i="2"/>
  <x:c r="H507" i="2"/>
  <x:c r="O82" i="2"/>
  <x:c r="S86" i="2"/>
  <x:c r="P91" i="2"/>
  <x:c r="M96" i="2"/>
  <x:c r="R101" i="2"/>
  <x:c r="O106" i="2"/>
  <x:c r="S110" i="2"/>
  <x:c r="P115" i="2"/>
  <x:c r="M120" i="2"/>
  <x:c r="Q124" i="2"/>
  <x:c r="N129" i="2"/>
  <x:c r="R133" i="2"/>
  <x:c r="O138" i="2"/>
  <x:c r="S142" i="2"/>
  <x:c r="P147" i="2"/>
  <x:c r="M152" i="2"/>
  <x:c r="Q156" i="2"/>
  <x:c r="N161" i="2"/>
  <x:c r="R165" i="2"/>
  <x:c r="O170" i="2"/>
  <x:c r="S174" i="2"/>
  <x:c r="P179" i="2"/>
  <x:c r="M184" i="2"/>
  <x:c r="Q188" i="2"/>
  <x:c r="N193" i="2"/>
  <x:c r="R197" i="2"/>
  <x:c r="O207" i="2"/>
  <x:c r="F219" i="2"/>
  <x:c r="G233" i="2"/>
  <x:c r="O244" i="2"/>
  <x:c r="H269" i="2"/>
  <x:c r="P290" i="2"/>
  <x:c r="O313" i="2"/>
  <x:c r="J341" i="2"/>
  <x:c r="O378" i="2"/>
  <x:c r="I420" i="2"/>
  <x:c r="F501" i="3"/>
  <x:c r="F502" i="2"/>
  <x:c r="F176" i="2"/>
  <x:c r="J180" i="2"/>
  <x:c r="G185" i="2"/>
  <x:c r="K189" i="2"/>
  <x:c r="H194" i="2"/>
  <x:c r="L198" i="2"/>
  <x:c r="J210" i="2"/>
  <x:c r="S221" i="2"/>
  <x:c r="I233" i="2"/>
  <x:c r="R244" i="2"/>
  <x:c r="F264" i="2"/>
  <x:c r="K285" i="2"/>
  <x:c r="O308" i="2"/>
  <x:c r="Q333" i="2"/>
  <x:c r="J368" i="2"/>
  <x:c r="J400" i="2"/>
  <x:c r="I547" i="2"/>
  <x:c r="Q66" i="2"/>
  <x:c r="N71" i="2"/>
  <x:c r="S76" i="2"/>
  <x:c r="P81" i="2"/>
  <x:c r="M86" i="2"/>
  <x:c r="Q90" i="2"/>
  <x:c r="N95" i="2"/>
  <x:c r="S100" i="2"/>
  <x:c r="P105" i="2"/>
  <x:c r="M110" i="2"/>
  <x:c r="Q114" i="2"/>
  <x:c r="N119" i="2"/>
  <x:c r="R123" i="2"/>
  <x:c r="O128" i="2"/>
  <x:c r="S132" i="2"/>
  <x:c r="P137" i="2"/>
  <x:c r="M142" i="2"/>
  <x:c r="Q146" i="2"/>
  <x:c r="N151" i="2"/>
  <x:c r="R155" i="2"/>
  <x:c r="O160" i="2"/>
  <x:c r="S164" i="2"/>
  <x:c r="P169" i="2"/>
  <x:c r="M174" i="2"/>
  <x:c r="Q178" i="2"/>
  <x:c r="N183" i="2"/>
  <x:c r="R187" i="2"/>
  <x:c r="O192" i="2"/>
  <x:c r="S196" i="2"/>
  <x:c r="N205" i="3"/>
  <x:c r="N205" i="2" s="1"/>
  <x:c r="N206" i="2"/>
  <x:c r="K219" i="2"/>
  <x:c r="H232" i="2"/>
  <x:c r="L246" i="2"/>
  <x:c r="L262" i="2"/>
  <x:c r="L278" i="2"/>
  <x:c r="L294" i="2"/>
  <x:c r="L310" i="2"/>
  <x:c r="L339" i="2"/>
  <x:c r="L371" i="2"/>
  <x:c r="L403" i="2"/>
  <x:c r="G464" i="2"/>
  <x:c r="G63" i="2"/>
  <x:c r="K67" i="2"/>
  <x:c r="H72" i="2"/>
  <x:c r="F78" i="2"/>
  <x:c r="J82" i="2"/>
  <x:c r="G87" i="2"/>
  <x:c r="K91" i="2"/>
  <x:c r="H96" i="2"/>
  <x:c r="F102" i="2"/>
  <x:c r="J106" i="2"/>
  <x:c r="G111" i="2"/>
  <x:c r="K115" i="2"/>
  <x:c r="H120" i="2"/>
  <x:c r="L124" i="2"/>
  <x:c r="I129" i="2"/>
  <x:c r="F134" i="2"/>
  <x:c r="J138" i="2"/>
  <x:c r="G143" i="2"/>
  <x:c r="K147" i="2"/>
  <x:c r="H152" i="2"/>
  <x:c r="L156" i="2"/>
  <x:c r="I161" i="2"/>
  <x:c r="F166" i="2"/>
  <x:c r="J170" i="2"/>
  <x:c r="G175" i="2"/>
  <x:c r="K179" i="2"/>
  <x:c r="H184" i="2"/>
  <x:c r="L188" i="2"/>
  <x:c r="I193" i="2"/>
  <x:c r="F198" i="2"/>
  <x:c r="F208" i="2"/>
  <x:c r="N219" i="2"/>
  <x:c r="G231" i="2"/>
  <x:c r="P242" i="2"/>
  <x:c r="R255" i="2"/>
  <x:c r="R271" i="2"/>
  <x:c r="R287" i="2"/>
  <x:c r="R303" i="2"/>
  <x:c r="P323" i="2"/>
  <x:c r="P355" i="2"/>
  <x:c r="P387" i="2"/>
  <x:c r="S430" i="2"/>
  <x:c r="N201" i="2"/>
  <x:c r="S205" i="3"/>
  <x:c r="S205" i="2" s="1"/>
  <x:c r="S206" i="2"/>
  <x:c r="P211" i="2"/>
  <x:c r="M216" i="2"/>
  <x:c r="Q220" i="2"/>
  <x:c r="N225" i="2"/>
  <x:c r="R229" i="2"/>
  <x:c r="O234" i="2"/>
  <x:c r="S238" i="2"/>
  <x:c r="P243" i="2"/>
  <x:c r="M248" i="2"/>
  <x:c r="Q252" i="2"/>
  <x:c r="N257" i="2"/>
  <x:c r="R261" i="2"/>
  <x:c r="P267" i="2"/>
  <x:c r="M272" i="2"/>
  <x:c r="Q276" i="2"/>
  <x:c r="N281" i="2"/>
  <x:c r="R285" i="2"/>
  <x:c r="O290" i="2"/>
  <x:c r="S294" i="2"/>
  <x:c r="P299" i="2"/>
  <x:c r="M304" i="2"/>
  <x:c r="Q308" i="2"/>
  <x:c r="N313" i="2"/>
  <x:c r="O318" i="2"/>
  <x:c r="O326" i="2"/>
  <x:c r="L335" i="2"/>
  <x:c r="L343" i="2"/>
  <x:c r="L351" i="2"/>
  <x:c r="L359" i="2"/>
  <x:c r="M368" i="2"/>
  <x:c r="M376" i="2"/>
  <x:c r="M384" i="2"/>
  <x:c r="M392" i="2"/>
  <x:c r="M400" i="2"/>
  <x:c r="N412" i="2"/>
  <x:c r="G426" i="2"/>
  <x:c r="M442" i="2"/>
  <x:c r="I473" i="2"/>
  <x:c r="I505" i="2"/>
  <x:c r="I582" i="2"/>
  <x:c r="I202" i="2"/>
  <x:c r="N207" i="2"/>
  <x:c r="R211" i="2"/>
  <x:c r="O216" i="2"/>
  <x:c r="S220" i="2"/>
  <x:c r="P225" i="2"/>
  <x:c r="M230" i="2"/>
  <x:c r="Q234" i="2"/>
  <x:c r="N239" i="2"/>
  <x:c r="R243" i="2"/>
  <x:c r="O248" i="2"/>
  <x:c r="S252" i="2"/>
  <x:c r="P257" i="2"/>
  <x:c r="M262" i="2"/>
  <x:c r="R267" i="2"/>
  <x:c r="O272" i="2"/>
  <x:c r="S276" i="2"/>
  <x:c r="P281" i="2"/>
  <x:c r="M286" i="2"/>
  <x:c r="Q290" i="2"/>
  <x:c r="N295" i="2"/>
  <x:c r="R299" i="2"/>
  <x:c r="O304" i="2"/>
  <x:c r="S308" i="2"/>
  <x:c r="P313" i="2"/>
  <x:c r="Q319" i="2"/>
  <x:c r="S330" i="2"/>
  <x:c r="R342" i="2"/>
  <x:c r="R352" i="2"/>
  <x:c r="S362" i="2"/>
  <x:c r="Q375" i="2"/>
  <x:c r="S385" i="2"/>
  <x:c r="R397" i="2"/>
  <x:c r="L407" i="2"/>
  <x:c r="O426" i="2"/>
  <x:c r="J454" i="2"/>
  <x:c r="F486" i="2"/>
  <x:c r="N522" i="2"/>
  <x:c r="G247" i="2"/>
  <x:c r="K251" i="2"/>
  <x:c r="H256" i="2"/>
  <x:c r="L260" i="2"/>
  <x:c r="J265" i="3"/>
  <x:c r="J265" i="2" s="1"/>
  <x:c r="J266" i="2"/>
  <x:c r="G271" i="2"/>
  <x:c r="K275" i="2"/>
  <x:c r="H280" i="2"/>
  <x:c r="L284" i="2"/>
  <x:c r="I289" i="2"/>
  <x:c r="F294" i="2"/>
  <x:c r="J298" i="2"/>
  <x:c r="G303" i="2"/>
  <x:c r="K307" i="2"/>
  <x:c r="H312" i="2"/>
  <x:c r="N316" i="2"/>
  <x:c r="F332" i="2"/>
  <x:c r="F348" i="2"/>
  <x:c r="F364" i="2"/>
  <x:c r="F381" i="2"/>
  <x:c r="F397" i="2"/>
  <x:c r="L410" i="2"/>
  <x:c r="F434" i="2"/>
  <x:c r="G452" i="2"/>
  <x:c r="H489" i="2"/>
  <x:c r="I591" i="2"/>
  <x:c r="L203" i="2"/>
  <x:c r="J209" i="2"/>
  <x:c r="G214" i="2"/>
  <x:c r="K218" i="2"/>
  <x:c r="H223" i="2"/>
  <x:c r="L227" i="2"/>
  <x:c r="I232" i="2"/>
  <x:c r="F237" i="2"/>
  <x:c r="J241" i="2"/>
  <x:c r="G246" i="2"/>
  <x:c r="K250" i="2"/>
  <x:c r="H255" i="2"/>
  <x:c r="L259" i="2"/>
  <x:c r="I264" i="2"/>
  <x:c r="G270" i="2"/>
  <x:c r="K274" i="2"/>
  <x:c r="H279" i="2"/>
  <x:c r="L283" i="2"/>
  <x:c r="I288" i="2"/>
  <x:c r="F293" i="2"/>
  <x:c r="J297" i="2"/>
  <x:c r="G302" i="2"/>
  <x:c r="K306" i="2"/>
  <x:c r="H311" i="2"/>
  <x:c r="L315" i="2"/>
  <x:c r="G325" i="2"/>
  <x:c r="F337" i="2"/>
  <x:c r="G347" i="2"/>
  <x:c r="G357" i="2"/>
  <x:c r="F370" i="2"/>
  <x:c r="H380" i="2"/>
  <x:c r="G390" i="2"/>
  <x:c r="F402" i="2"/>
  <x:c r="G413" i="2"/>
  <x:c r="K430" i="2"/>
  <x:c r="G450" i="2"/>
  <x:c r="F478" i="2"/>
  <x:c r="M513" i="2"/>
  <x:c r="H617" i="2"/>
  <x:c r="F204" i="2"/>
  <x:c r="K209" i="2"/>
  <x:c r="H214" i="2"/>
  <x:c r="L218" i="2"/>
  <x:c r="I223" i="2"/>
  <x:c r="F228" i="2"/>
  <x:c r="J232" i="2"/>
  <x:c r="G237" i="2"/>
  <x:c r="K241" i="2"/>
  <x:c r="H246" i="2"/>
  <x:c r="L250" i="2"/>
  <x:c r="I255" i="2"/>
  <x:c r="F260" i="2"/>
  <x:c r="J264" i="2"/>
  <x:c r="H270" i="2"/>
  <x:c r="L274" i="2"/>
  <x:c r="I279" i="2"/>
  <x:c r="F284" i="2"/>
  <x:c r="J288" i="2"/>
  <x:c r="G293" i="2"/>
  <x:c r="K297" i="2"/>
  <x:c r="H302" i="2"/>
  <x:c r="L306" i="2"/>
  <x:c r="I311" i="2"/>
  <x:c r="F316" i="2"/>
  <x:c r="H323" i="2"/>
  <x:c r="I332" i="2"/>
  <x:c r="I340" i="2"/>
  <x:c r="I348" i="2"/>
  <x:c r="I356" i="2"/>
  <x:c r="I364" i="2"/>
  <x:c r="I373" i="2"/>
  <x:c r="I381" i="2"/>
  <x:c r="I389" i="2"/>
  <x:c r="I397" i="2"/>
  <x:c r="O405" i="2"/>
  <x:c r="N418" i="2"/>
  <x:c r="N434" i="2"/>
  <x:c r="Q452" i="2"/>
  <x:c r="I498" i="2"/>
  <x:c r="L200" i="2"/>
  <x:c r="J205" i="3"/>
  <x:c r="J205" i="2" s="1"/>
  <x:c r="J206" i="2"/>
  <x:c r="G211" i="2"/>
  <x:c r="K215" i="2"/>
  <x:c r="H220" i="2"/>
  <x:c r="L224" i="2"/>
  <x:c r="I229" i="2"/>
  <x:c r="F234" i="2"/>
  <x:c r="J238" i="2"/>
  <x:c r="G243" i="2"/>
  <x:c r="K247" i="2"/>
  <x:c r="H252" i="2"/>
  <x:c r="L256" i="2"/>
  <x:c r="I261" i="2"/>
  <x:c r="N265" i="3"/>
  <x:c r="N265" i="2" s="1"/>
  <x:c r="N266" i="2"/>
  <x:c r="R270" i="2"/>
  <x:c r="O275" i="2"/>
  <x:c r="S279" i="2"/>
  <x:c r="P284" i="2"/>
  <x:c r="M289" i="2"/>
  <x:c r="Q293" i="2"/>
  <x:c r="N298" i="2"/>
  <x:c r="R302" i="2"/>
  <x:c r="O307" i="2"/>
  <x:c r="S311" i="2"/>
  <x:c r="P317" i="2"/>
  <x:c r="N325" i="2"/>
  <x:c r="K334" i="2"/>
  <x:c r="K342" i="2"/>
  <x:c r="K350" i="2"/>
  <x:c r="K358" i="2"/>
  <x:c r="K367" i="2"/>
  <x:c r="K375" i="2"/>
  <x:c r="K383" i="2"/>
  <x:c r="K391" i="2"/>
  <x:c r="K399" i="2"/>
  <x:c r="S409" i="2"/>
  <x:c r="P427" i="2"/>
  <x:c r="L453" i="2"/>
  <x:c r="H496" i="2"/>
  <x:c r="Q524" i="2"/>
  <x:c r="S320" i="2"/>
  <x:c r="P325" i="2"/>
  <x:c r="N331" i="2"/>
  <x:c r="R335" i="2"/>
  <x:c r="O340" i="2"/>
  <x:c r="S344" i="2"/>
  <x:c r="P349" i="2"/>
  <x:c r="M354" i="2"/>
  <x:c r="Q358" i="2"/>
  <x:c r="N363" i="2"/>
  <x:c r="S368" i="2"/>
  <x:c r="P373" i="2"/>
  <x:c r="M378" i="2"/>
  <x:c r="Q382" i="2"/>
  <x:c r="N387" i="2"/>
  <x:c r="R391" i="2"/>
  <x:c r="O396" i="2"/>
  <x:c r="S400" i="2"/>
  <x:c r="P405" i="2"/>
  <x:c r="M410" i="2"/>
  <x:c r="Q414" i="2"/>
  <x:c r="N419" i="2"/>
  <x:c r="R423" i="2"/>
  <x:c r="P428" i="3"/>
  <x:c r="P428" i="2" s="1"/>
  <x:c r="P429" i="2"/>
  <x:c r="M434" i="2"/>
  <x:c r="Q438" i="2"/>
  <x:c r="I444" i="2"/>
  <x:c r="O450" i="2"/>
  <x:c r="S459" i="2"/>
  <x:c r="S475" i="2"/>
  <x:c r="S491" i="2"/>
  <x:c r="M510" i="2"/>
  <x:c r="G522" i="2"/>
  <x:c r="L533" i="2"/>
  <x:c r="I545" i="2"/>
  <x:c r="F566" i="3"/>
  <x:c r="F566" i="2" s="1"/>
  <x:c r="F567" i="2"/>
  <x:c r="R599" i="2"/>
  <x:c r="F779" i="2"/>
  <x:c r="G544" i="2"/>
  <x:c r="R566" i="3"/>
  <x:c r="R566" i="2" s="1"/>
  <x:c r="R567" i="2"/>
  <x:c r="I594" i="2"/>
  <x:c r="O691" i="2"/>
  <x:c r="L318" i="2"/>
  <x:c r="I323" i="2"/>
  <x:c r="N327" i="3"/>
  <x:c r="N327" i="2" s="1"/>
  <x:c r="N328" i="2"/>
  <x:c r="R332" i="2"/>
  <x:c r="O337" i="2"/>
  <x:c r="S341" i="2"/>
  <x:c r="P346" i="2"/>
  <x:c r="M351" i="2"/>
  <x:c r="Q355" i="2"/>
  <x:c r="N360" i="2"/>
  <x:c r="R364" i="2"/>
  <x:c r="P370" i="2"/>
  <x:c r="M375" i="2"/>
  <x:c r="Q379" i="2"/>
  <x:c r="N384" i="2"/>
  <x:c r="R388" i="2"/>
  <x:c r="O393" i="2"/>
  <x:c r="S397" i="2"/>
  <x:c r="P402" i="2"/>
  <x:c r="M407" i="2"/>
  <x:c r="Q411" i="2"/>
  <x:c r="N416" i="2"/>
  <x:c r="R420" i="2"/>
  <x:c r="O425" i="2"/>
  <x:c r="M431" i="2"/>
  <x:c r="Q435" i="2"/>
  <x:c r="N440" i="2"/>
  <x:c r="S445" i="2"/>
  <x:c r="N451" i="2"/>
  <x:c r="J458" i="2"/>
  <x:c r="J466" i="2"/>
  <x:c r="J474" i="2"/>
  <x:c r="J482" i="2"/>
  <x:c r="J490" i="2"/>
  <x:c r="J498" i="2"/>
  <x:c r="K508" i="2"/>
  <x:c r="O522" i="2"/>
  <x:c r="K535" i="2"/>
  <x:c r="L549" i="2"/>
  <x:c r="I575" i="2"/>
  <x:c r="H609" i="2"/>
  <x:c r="H775" i="2"/>
  <x:c r="O320" i="2"/>
  <x:c r="S324" i="2"/>
  <x:c r="Q330" i="2"/>
  <x:c r="N335" i="2"/>
  <x:c r="R339" i="2"/>
  <x:c r="O344" i="2"/>
  <x:c r="S348" i="2"/>
  <x:c r="P353" i="2"/>
  <x:c r="M358" i="2"/>
  <x:c r="Q362" i="2"/>
  <x:c r="G368" i="2"/>
  <x:c r="K372" i="2"/>
  <x:c r="H377" i="2"/>
  <x:c r="L381" i="2"/>
  <x:c r="I386" i="2"/>
  <x:c r="F391" i="2"/>
  <x:c r="J395" i="2"/>
  <x:c r="G400" i="2"/>
  <x:c r="K404" i="2"/>
  <x:c r="H409" i="2"/>
  <x:c r="L413" i="2"/>
  <x:c r="I418" i="2"/>
  <x:c r="F423" i="2"/>
  <x:c r="J427" i="2"/>
  <x:c r="H433" i="2"/>
  <x:c r="L437" i="2"/>
  <x:c r="I443" i="2"/>
  <x:c r="N449" i="2"/>
  <x:c r="M456" i="2"/>
  <x:c r="M464" i="2"/>
  <x:c r="M472" i="2"/>
  <x:c r="M480" i="2"/>
  <x:c r="M488" i="2"/>
  <x:c r="M496" i="2"/>
  <x:c r="N506" i="2"/>
  <x:c r="L517" i="2"/>
  <x:c r="H529" i="2"/>
  <x:c r="P540" i="2"/>
  <x:c r="L553" i="2"/>
  <x:c r="R583" i="2"/>
  <x:c r="I628" i="2"/>
  <x:c r="I321" i="2"/>
  <x:c r="F326" i="2"/>
  <x:c r="K331" i="2"/>
  <x:c r="H336" i="2"/>
  <x:c r="L340" i="2"/>
  <x:c r="I345" i="2"/>
  <x:c r="F350" i="2"/>
  <x:c r="J354" i="2"/>
  <x:c r="G359" i="2"/>
  <x:c r="K363" i="2"/>
  <x:c r="P368" i="2"/>
  <x:c r="M373" i="2"/>
  <x:c r="Q377" i="2"/>
  <x:c r="N382" i="2"/>
  <x:c r="R386" i="2"/>
  <x:c r="O391" i="2"/>
  <x:c r="S395" i="2"/>
  <x:c r="P400" i="2"/>
  <x:c r="M405" i="2"/>
  <x:c r="Q409" i="2"/>
  <x:c r="N414" i="2"/>
  <x:c r="R418" i="2"/>
  <x:c r="O423" i="2"/>
  <x:c r="S427" i="2"/>
  <x:c r="I433" i="2"/>
  <x:c r="F438" i="2"/>
  <x:c r="P442" i="2"/>
  <x:c r="O449" i="2"/>
  <x:c r="O456" i="2"/>
  <x:c r="O464" i="2"/>
  <x:c r="O472" i="2"/>
  <x:c r="O480" i="2"/>
  <x:c r="O488" i="2"/>
  <x:c r="O496" i="2"/>
  <x:c r="O506" i="2"/>
  <x:c r="Q517" i="2"/>
  <x:c r="R531" i="2"/>
  <x:c r="O544" i="2"/>
  <x:c r="J563" i="2"/>
  <x:c r="I598" i="2"/>
  <x:c r="J657" i="2"/>
  <x:c r="H407" i="2"/>
  <x:c r="L411" i="2"/>
  <x:c r="I416" i="2"/>
  <x:c r="F421" i="2"/>
  <x:c r="J425" i="2"/>
  <x:c r="O430" i="2"/>
  <x:c r="S434" i="2"/>
  <x:c r="P439" i="2"/>
  <x:c r="Q444" i="2"/>
  <x:c r="M450" i="2"/>
  <x:c r="Q457" i="2"/>
  <x:c r="Q465" i="2"/>
  <x:c r="Q473" i="2"/>
  <x:c r="Q481" i="2"/>
  <x:c r="Q489" i="2"/>
  <x:c r="Q497" i="2"/>
  <x:c r="P507" i="2"/>
  <x:c r="F519" i="2"/>
  <x:c r="Q530" i="2"/>
  <x:c r="J542" i="2"/>
  <x:c r="H561" i="2"/>
  <x:c r="G604" i="2"/>
  <x:c r="H414" i="2"/>
  <x:c r="L418" i="2"/>
  <x:c r="I423" i="2"/>
  <x:c r="G428" i="3"/>
  <x:c r="G428" i="2" s="1"/>
  <x:c r="G429" i="2"/>
  <x:c r="K433" i="2"/>
  <x:c r="H438" i="2"/>
  <x:c r="R442" i="2"/>
  <x:c r="G449" i="2"/>
  <x:c r="S454" i="2"/>
  <x:c r="R466" i="2"/>
  <x:c r="Q476" i="2"/>
  <x:c r="S486" i="2"/>
  <x:c r="R498" i="2"/>
  <x:c r="F513" i="2"/>
  <x:c r="K524" i="2"/>
  <x:c r="O538" i="2"/>
  <x:c r="P557" i="2"/>
  <x:c r="R584" i="2"/>
  <x:c r="R616" i="2"/>
  <x:c r="K453" i="2"/>
  <x:c r="H458" i="2"/>
  <x:c r="L462" i="2"/>
  <x:c r="I467" i="2"/>
  <x:c r="F472" i="2"/>
  <x:c r="J476" i="2"/>
  <x:c r="G481" i="2"/>
  <x:c r="K485" i="2"/>
  <x:c r="H490" i="2"/>
  <x:c r="L494" i="2"/>
  <x:c r="I499" i="2"/>
  <x:c r="H506" i="2"/>
  <x:c r="L510" i="2"/>
  <x:c r="I515" i="2"/>
  <x:c r="F520" i="2"/>
  <x:c r="J524" i="2"/>
  <x:c r="G529" i="2"/>
  <x:c r="K533" i="2"/>
  <x:c r="H538" i="2"/>
  <x:c r="L542" i="2"/>
  <x:c r="R548" i="2"/>
  <x:c r="G556" i="2"/>
  <x:c r="G565" i="2"/>
  <x:c r="G576" i="2"/>
  <x:c r="H589" i="3"/>
  <x:c r="H590" i="2"/>
  <x:c r="G600" i="2"/>
  <x:c r="F612" i="2"/>
  <x:c r="K623" i="2"/>
  <x:c r="M644" i="2"/>
  <x:c r="N673" i="2"/>
  <x:c r="J726" i="2"/>
  <x:c r="H512" i="2"/>
  <x:c r="L516" i="2"/>
  <x:c r="I521" i="2"/>
  <x:c r="F526" i="2"/>
  <x:c r="J530" i="2"/>
  <x:c r="G535" i="2"/>
  <x:c r="K539" i="2"/>
  <x:c r="H544" i="2"/>
  <x:c r="P550" i="2"/>
  <x:c r="F558" i="2"/>
  <x:c r="J566" i="3"/>
  <x:c r="J566" i="2" s="1"/>
  <x:c r="J567" i="2"/>
  <x:c r="J575" i="2"/>
  <x:c r="J583" i="2"/>
  <x:c r="I593" i="2"/>
  <x:c r="I601" i="2"/>
  <x:c r="I609" i="2"/>
  <x:c r="J618" i="2"/>
  <x:c r="R630" i="2"/>
  <x:c r="Q668" i="2"/>
  <x:c r="M705" i="2"/>
  <x:c r="S442" i="2"/>
  <x:c r="P447" i="2"/>
  <x:c r="M452" i="2"/>
  <x:c r="Q456" i="2"/>
  <x:c r="N461" i="2"/>
  <x:c r="R465" i="2"/>
  <x:c r="O470" i="2"/>
  <x:c r="S474" i="2"/>
  <x:c r="P479" i="2"/>
  <x:c r="M484" i="2"/>
  <x:c r="Q488" i="2"/>
  <x:c r="N493" i="2"/>
  <x:c r="R497" i="2"/>
  <x:c r="I504" i="2"/>
  <x:c r="F509" i="2"/>
  <x:c r="J513" i="2"/>
  <x:c r="G518" i="2"/>
  <x:c r="K522" i="2"/>
  <x:c r="H527" i="2"/>
  <x:c r="L531" i="2"/>
  <x:c r="I536" i="2"/>
  <x:c r="F541" i="2"/>
  <x:c r="L545" i="2"/>
  <x:c r="K552" i="2"/>
  <x:c r="O560" i="2"/>
  <x:c r="K569" i="2"/>
  <x:c r="K577" i="2"/>
  <x:c r="K585" i="2"/>
  <x:c r="M595" i="2"/>
  <x:c r="M603" i="2"/>
  <x:c r="M611" i="2"/>
  <x:c r="L620" i="2"/>
  <x:c r="S641" i="3"/>
  <x:c r="S641" i="2" s="1"/>
  <x:c r="S642" i="2"/>
  <x:c r="G665" i="3"/>
  <x:c r="G665" i="2" s="1"/>
  <x:c r="G666" i="2"/>
  <x:c r="M443" i="2"/>
  <x:c r="Q447" i="2"/>
  <x:c r="N452" i="2"/>
  <x:c r="R456" i="2"/>
  <x:c r="O461" i="2"/>
  <x:c r="S465" i="2"/>
  <x:c r="P470" i="2"/>
  <x:c r="M475" i="2"/>
  <x:c r="Q479" i="2"/>
  <x:c r="N484" i="2"/>
  <x:c r="R488" i="2"/>
  <x:c r="O493" i="2"/>
  <x:c r="S497" i="2"/>
  <x:c r="R504" i="2"/>
  <x:c r="O509" i="2"/>
  <x:c r="S513" i="2"/>
  <x:c r="P518" i="2"/>
  <x:c r="M523" i="2"/>
  <x:c r="Q527" i="2"/>
  <x:c r="N532" i="2"/>
  <x:c r="R536" i="2"/>
  <x:c r="O541" i="2"/>
  <x:c r="I546" i="2"/>
  <x:c r="R554" i="3"/>
  <x:c r="R554" i="2" s="1"/>
  <x:c r="R555" i="2"/>
  <x:c r="N563" i="2"/>
  <x:c r="N572" i="2"/>
  <x:c r="N580" i="2"/>
  <x:c r="P589" i="3"/>
  <x:c r="P590" i="2"/>
  <x:c r="P598" i="2"/>
  <x:c r="P606" i="2"/>
  <x:c r="O614" i="3"/>
  <x:c r="O614" i="2" s="1"/>
  <x:c r="O615" i="2"/>
  <x:c r="H624" i="2"/>
  <x:c r="N650" i="2"/>
  <x:c r="Q677" i="2"/>
  <x:c r="G756" i="2"/>
  <x:c r="F459" i="2"/>
  <x:c r="J463" i="2"/>
  <x:c r="G468" i="2"/>
  <x:c r="K472" i="2"/>
  <x:c r="H477" i="2"/>
  <x:c r="L481" i="2"/>
  <x:c r="I486" i="2"/>
  <x:c r="F491" i="2"/>
  <x:c r="J495" i="2"/>
  <x:c r="I501" i="3"/>
  <x:c r="I502" i="2"/>
  <x:c r="F507" i="2"/>
  <x:c r="J511" i="2"/>
  <x:c r="G516" i="2"/>
  <x:c r="K520" i="2"/>
  <x:c r="H525" i="2"/>
  <x:c r="L529" i="2"/>
  <x:c r="I534" i="2"/>
  <x:c r="F539" i="2"/>
  <x:c r="J543" i="2"/>
  <x:c r="L548" i="2"/>
  <x:c r="S554" i="3"/>
  <x:c r="S554" i="2" s="1"/>
  <x:c r="S555" i="2"/>
  <x:c r="Q562" i="2"/>
  <x:c r="R571" i="2"/>
  <x:c r="R579" i="2"/>
  <x:c r="R587" i="2"/>
  <x:c r="P597" i="2"/>
  <x:c r="P605" i="2"/>
  <x:c r="P613" i="2"/>
  <x:c r="S622" i="2"/>
  <x:c r="G643" i="2"/>
  <x:c r="M672" i="2"/>
  <x:c r="P724" i="2"/>
  <x:c r="S592" i="2"/>
  <x:c r="S608" i="2"/>
  <x:c r="J626" i="2"/>
  <x:c r="Q656" i="2"/>
  <x:c r="F681" i="2"/>
  <x:c r="H562" i="2"/>
  <x:c r="M566" i="3"/>
  <x:c r="M566" i="2" s="1"/>
  <x:c r="M567" i="2"/>
  <x:c r="Q571" i="2"/>
  <x:c r="N576" i="2"/>
  <x:c r="R580" i="2"/>
  <x:c r="O585" i="2"/>
  <x:c r="N592" i="2"/>
  <x:c r="R596" i="2"/>
  <x:c r="O601" i="2"/>
  <x:c r="S605" i="2"/>
  <x:c r="P610" i="2"/>
  <x:c r="F616" i="2"/>
  <x:c r="J620" i="2"/>
  <x:c r="O626" i="2"/>
  <x:c r="O634" i="2"/>
  <x:c r="F645" i="2"/>
  <x:c r="G659" i="2"/>
  <x:c r="O670" i="2"/>
  <x:c r="G682" i="2"/>
  <x:c r="O706" i="2"/>
  <x:c r="J545" i="2"/>
  <x:c r="G550" i="2"/>
  <x:c r="L554" i="3"/>
  <x:c r="L554" i="2" s="1"/>
  <x:c r="L555" i="2"/>
  <x:c r="I560" i="2"/>
  <x:c r="F565" i="2"/>
  <x:c r="K570" i="2"/>
  <x:c r="H575" i="2"/>
  <x:c r="L579" i="2"/>
  <x:c r="I584" i="2"/>
  <x:c r="O589" i="3"/>
  <x:c r="O590" i="2"/>
  <x:c r="S594" i="2"/>
  <x:c r="P599" i="2"/>
  <x:c r="M604" i="2"/>
  <x:c r="Q608" i="2"/>
  <x:c r="N613" i="2"/>
  <x:c r="S618" i="2"/>
  <x:c r="K624" i="2"/>
  <x:c r="F638" i="2"/>
  <x:c r="K654" i="2"/>
  <x:c r="F665" i="3"/>
  <x:c r="F665" i="2" s="1"/>
  <x:c r="F666" i="2"/>
  <x:c r="R678" i="2"/>
  <x:c r="K701" i="3"/>
  <x:c r="K701" i="2" s="1"/>
  <x:c r="K702" i="2"/>
  <x:c r="I632" i="2"/>
  <x:c r="Q640" i="2"/>
  <x:c r="N653" i="2"/>
  <x:c r="O667" i="2"/>
  <x:c r="L680" i="2"/>
  <x:c r="O700" i="2"/>
  <x:c r="G759" i="2"/>
  <x:c r="J550" i="2"/>
  <x:c r="H556" i="2"/>
  <x:c r="L560" i="2"/>
  <x:c r="I565" i="2"/>
  <x:c r="G571" i="2"/>
  <x:c r="K575" i="2"/>
  <x:c r="H580" i="2"/>
  <x:c r="L584" i="2"/>
  <x:c r="K591" i="2"/>
  <x:c r="H596" i="2"/>
  <x:c r="L600" i="2"/>
  <x:c r="I605" i="2"/>
  <x:c r="F610" i="2"/>
  <x:c r="K614" i="3"/>
  <x:c r="K614" i="2" s="1"/>
  <x:c r="K615" i="2"/>
  <x:c r="H620" i="2"/>
  <x:c r="K626" i="2"/>
  <x:c r="K634" i="2"/>
  <x:c r="Q644" i="2"/>
  <x:c r="N657" i="2"/>
  <x:c r="F669" i="2"/>
  <x:c r="G683" i="2"/>
  <x:c r="G714" i="2"/>
  <x:c r="I548" i="2"/>
  <x:c r="F553" i="2"/>
  <x:c r="K558" i="2"/>
  <x:c r="H563" i="2"/>
  <x:c r="F569" i="2"/>
  <x:c r="J573" i="2"/>
  <x:c r="G578" i="2"/>
  <x:c r="K582" i="2"/>
  <x:c r="H587" i="2"/>
  <x:c r="G594" i="2"/>
  <x:c r="K598" i="2"/>
  <x:c r="H603" i="2"/>
  <x:c r="L607" i="2"/>
  <x:c r="I612" i="2"/>
  <x:c r="G618" i="2"/>
  <x:c r="K622" i="2"/>
  <x:c r="N629" i="2"/>
  <x:c r="N637" i="2"/>
  <x:c r="F650" i="2"/>
  <x:c r="R662" i="2"/>
  <x:c r="G678" i="2"/>
  <x:c r="L695" i="2"/>
  <x:c r="M626" i="2"/>
  <x:c r="Q630" i="2"/>
  <x:c r="N635" i="2"/>
  <x:c r="R639" i="2"/>
  <x:c r="H645" i="2"/>
  <x:c r="L649" i="2"/>
  <x:c r="I654" i="2"/>
  <x:c r="F659" i="2"/>
  <x:c r="J663" i="2"/>
  <x:c r="O668" i="2"/>
  <x:c r="S672" i="2"/>
  <x:c r="P677" i="2"/>
  <x:c r="M682" i="2"/>
  <x:c r="Q686" i="2"/>
  <x:c r="N692" i="2"/>
  <x:c r="N700" i="2"/>
  <x:c r="J709" i="2"/>
  <x:c r="R725" i="2"/>
  <x:c r="F756" i="2"/>
  <x:c r="K854" i="2"/>
  <x:c r="I627" i="2"/>
  <x:c r="F632" i="2"/>
  <x:c r="J636" i="2"/>
  <x:c r="H641" i="3"/>
  <x:c r="H641" i="2" s="1"/>
  <x:c r="H642" i="2"/>
  <x:c r="L646" i="2"/>
  <x:c r="I651" i="2"/>
  <x:c r="F656" i="2"/>
  <x:c r="J660" i="2"/>
  <x:c r="H665" i="3"/>
  <x:c r="H665" i="2" s="1"/>
  <x:c r="H666" i="2"/>
  <x:c r="L670" i="2"/>
  <x:c r="I675" i="2"/>
  <x:c r="F680" i="2"/>
  <x:c r="J684" i="2"/>
  <x:c r="G689" i="2"/>
  <x:c r="Q700" i="2"/>
  <x:c r="M714" i="2"/>
  <x:c r="G730" i="2"/>
  <x:c r="S769" i="2"/>
  <x:c r="Q825" i="2"/>
  <x:c r="G624" i="2"/>
  <x:c r="K628" i="2"/>
  <x:c r="H633" i="2"/>
  <x:c r="L637" i="2"/>
  <x:c r="J643" i="2"/>
  <x:c r="G648" i="2"/>
  <x:c r="K652" i="2"/>
  <x:c r="H657" i="2"/>
  <x:c r="L661" i="2"/>
  <x:c r="J667" i="2"/>
  <x:c r="G672" i="2"/>
  <x:c r="F679" i="2"/>
  <x:c r="G688" i="2"/>
  <x:c r="R709" i="2"/>
  <x:c r="F871" i="2"/>
  <x:c r="I657" i="2"/>
  <x:c r="L676" i="2"/>
  <x:c r="S701" i="3"/>
  <x:c r="S701" i="2" s="1"/>
  <x:c r="S702" i="2"/>
  <x:c r="H701" i="3"/>
  <x:c r="H701" i="2" s="1"/>
  <x:c r="H702" i="2"/>
  <x:c r="N644" i="2"/>
  <x:c r="S681" i="2"/>
  <x:c r="O716" i="2"/>
  <x:c r="F781" i="2"/>
  <x:c r="N23" i="2"/>
  <x:c r="S28" i="2"/>
  <x:c r="P33" i="2"/>
  <x:c r="M38" i="2"/>
  <x:c r="Q42" i="2"/>
  <x:c r="N47" i="2"/>
  <x:c r="R51" i="2"/>
  <x:c r="O56" i="2"/>
  <x:c r="S60" i="2"/>
  <x:c r="M68" i="2"/>
  <x:c r="K77" i="2"/>
  <x:c r="H87" i="2"/>
  <x:c r="L97" i="3"/>
  <x:c r="L97" i="2" s="1"/>
  <x:c r="L98" i="2"/>
  <x:c r="Q112" i="2"/>
  <x:c r="S122" i="2"/>
  <x:c r="L134" i="2"/>
  <x:c r="I147" i="2"/>
  <x:c r="N157" i="2"/>
  <x:c r="H170" i="2"/>
  <x:c r="K186" i="2"/>
  <x:c r="J295" i="2"/>
  <x:c r="F5" i="3"/>
  <x:c r="F6" i="2"/>
  <x:c r="J10" i="2"/>
  <x:c r="G15" i="2"/>
  <x:c r="K19" i="2"/>
  <x:c r="H24" i="2"/>
  <x:c r="F30" i="2"/>
  <x:c r="J34" i="2"/>
  <x:c r="G39" i="2"/>
  <x:c r="K43" i="2"/>
  <x:c r="H48" i="2"/>
  <x:c r="L52" i="2"/>
  <x:c r="I57" i="2"/>
  <x:c r="G62" i="2"/>
  <x:c r="N69" i="2"/>
  <x:c r="L78" i="2"/>
  <x:c r="M92" i="2"/>
  <x:c r="K106" i="2"/>
  <x:c r="I119" i="2"/>
  <x:c r="F132" i="2"/>
  <x:c r="P143" i="2"/>
  <x:c r="O157" i="2"/>
  <x:c r="K170" i="2"/>
  <x:c r="R184" i="2"/>
  <x:c r="L187" i="2"/>
  <x:c r="I192" i="2"/>
  <x:c r="F197" i="2"/>
  <x:c r="F203" i="2"/>
  <x:c r="M218" i="2"/>
  <x:c r="J231" i="2"/>
  <x:c r="R242" i="2"/>
  <x:c r="S264" i="2"/>
  <x:c r="J284" i="2"/>
  <x:c r="N307" i="2"/>
  <x:c r="K329" i="2"/>
  <x:c r="K361" i="2"/>
  <x:c r="K393" i="2"/>
  <x:c r="Q450" i="2"/>
  <x:c r="S64" i="2"/>
  <x:c r="P69" i="2"/>
  <x:c r="F74" i="3"/>
  <x:c r="F74" i="2" s="1"/>
  <x:c r="F75" i="2"/>
  <x:c r="J79" i="2"/>
  <x:c r="G84" i="2"/>
  <x:c r="K88" i="2"/>
  <x:c r="H93" i="2"/>
  <x:c r="M97" i="3"/>
  <x:c r="M97" i="2" s="1"/>
  <x:c r="M98" i="2"/>
  <x:c r="Q102" i="2"/>
  <x:c r="N107" i="2"/>
  <x:c r="R111" i="2"/>
  <x:c r="O116" i="2"/>
  <x:c r="S120" i="2"/>
  <x:c r="P125" i="2"/>
  <x:c r="M130" i="2"/>
  <x:c r="Q134" i="2"/>
  <x:c r="N139" i="2"/>
  <x:c r="R143" i="2"/>
  <x:c r="O148" i="2"/>
  <x:c r="S152" i="2"/>
  <x:c r="P157" i="2"/>
  <x:c r="M162" i="2"/>
  <x:c r="Q166" i="2"/>
  <x:c r="N171" i="2"/>
  <x:c r="R175" i="2"/>
  <x:c r="O180" i="2"/>
  <x:c r="S184" i="2"/>
  <x:c r="P189" i="2"/>
  <x:c r="M194" i="2"/>
  <x:c r="Q198" i="2"/>
  <x:c r="N208" i="2"/>
  <x:c r="K221" i="2"/>
  <x:c r="H234" i="2"/>
  <x:c r="P245" i="2"/>
  <x:c r="P261" i="2"/>
  <x:c r="M279" i="2"/>
  <x:c r="M295" i="2"/>
  <x:c r="M311" i="2"/>
  <x:c r="I343" i="2"/>
  <x:c r="I375" i="2"/>
  <x:c r="H419" i="2"/>
  <x:c r="M65" i="2"/>
  <x:c r="Q69" i="2"/>
  <x:c r="O74" i="3"/>
  <x:c r="O74" i="2" s="1"/>
  <x:c r="O75" i="2"/>
  <x:c r="S79" i="2"/>
  <x:c r="P84" i="2"/>
  <x:c r="M89" i="2"/>
  <x:c r="Q93" i="2"/>
  <x:c r="G99" i="2"/>
  <x:c r="K103" i="2"/>
  <x:c r="H108" i="2"/>
  <x:c r="L112" i="2"/>
  <x:c r="I117" i="2"/>
  <x:c r="F122" i="2"/>
  <x:c r="J126" i="2"/>
  <x:c r="G131" i="2"/>
  <x:c r="K135" i="2"/>
  <x:c r="H140" i="2"/>
  <x:c r="L144" i="2"/>
  <x:c r="I149" i="2"/>
  <x:c r="F154" i="2"/>
  <x:c r="J158" i="2"/>
  <x:c r="G163" i="2"/>
  <x:c r="K167" i="2"/>
  <x:c r="H172" i="2"/>
  <x:c r="L176" i="2"/>
  <x:c r="I181" i="2"/>
  <x:c r="F186" i="2"/>
  <x:c r="J190" i="2"/>
  <x:c r="G195" i="2"/>
  <x:c r="K199" i="2"/>
  <x:c r="I211" i="2"/>
  <x:c r="Q222" i="2"/>
  <x:c r="J234" i="2"/>
  <x:c r="S245" i="2"/>
  <x:c r="S261" i="2"/>
  <x:c r="R279" i="2"/>
  <x:c r="R295" i="2"/>
  <x:c r="R311" i="2"/>
  <x:c r="K338" i="2"/>
  <x:c r="K370" i="2"/>
  <x:c r="K402" i="2"/>
  <x:c r="K532" i="2"/>
  <x:c r="H83" i="2"/>
  <x:c r="L87" i="2"/>
  <x:c r="I92" i="2"/>
  <x:c r="G97" i="3"/>
  <x:c r="G97" i="2" s="1"/>
  <x:c r="G98" i="2"/>
  <x:c r="K102" i="2"/>
  <x:c r="H107" i="2"/>
  <x:c r="L111" i="2"/>
  <x:c r="I116" i="2"/>
  <x:c r="F121" i="2"/>
  <x:c r="J125" i="2"/>
  <x:c r="G130" i="2"/>
  <x:c r="K134" i="2"/>
  <x:c r="H139" i="2"/>
  <x:c r="L143" i="2"/>
  <x:c r="I148" i="2"/>
  <x:c r="F153" i="2"/>
  <x:c r="J157" i="2"/>
  <x:c r="G162" i="2"/>
  <x:c r="K166" i="2"/>
  <x:c r="H171" i="2"/>
  <x:c r="L175" i="2"/>
  <x:c r="I180" i="2"/>
  <x:c r="F185" i="2"/>
  <x:c r="J189" i="2"/>
  <x:c r="G194" i="2"/>
  <x:c r="K198" i="2"/>
  <x:c r="S208" i="2"/>
  <x:c r="J220" i="2"/>
  <x:c r="M234" i="2"/>
  <x:c r="O249" i="2"/>
  <x:c r="S272" i="2"/>
  <x:c r="J292" i="2"/>
  <x:c r="N315" i="2"/>
  <x:c r="O346" i="2"/>
  <x:c r="J381" i="2"/>
  <x:c r="I428" i="3"/>
  <x:c r="I428" i="2" s="1"/>
  <x:c r="I429" i="2"/>
  <x:c r="F521" i="2"/>
  <x:c r="N176" i="2"/>
  <x:c r="R180" i="2"/>
  <x:c r="O185" i="2"/>
  <x:c r="S189" i="2"/>
  <x:c r="P194" i="2"/>
  <x:c r="M199" i="2"/>
  <x:c r="N211" i="2"/>
  <x:c r="G223" i="2"/>
  <x:c r="P234" i="2"/>
  <x:c r="I246" i="2"/>
  <x:c r="Q267" i="2"/>
  <x:c r="J287" i="2"/>
  <x:c r="I310" i="2"/>
  <x:c r="J336" i="2"/>
  <x:c r="Q373" i="2"/>
  <x:c r="H406" i="2"/>
  <x:c r="F63" i="2"/>
  <x:c r="J67" i="2"/>
  <x:c r="G72" i="2"/>
  <x:c r="L77" i="2"/>
  <x:c r="I82" i="2"/>
  <x:c r="F87" i="2"/>
  <x:c r="J91" i="2"/>
  <x:c r="G96" i="2"/>
  <x:c r="L101" i="2"/>
  <x:c r="I106" i="2"/>
  <x:c r="F111" i="2"/>
  <x:c r="J115" i="2"/>
  <x:c r="G120" i="2"/>
  <x:c r="K124" i="2"/>
  <x:c r="H129" i="2"/>
  <x:c r="L133" i="2"/>
  <x:c r="I138" i="2"/>
  <x:c r="F143" i="2"/>
  <x:c r="J147" i="2"/>
  <x:c r="G152" i="2"/>
  <x:c r="K156" i="2"/>
  <x:c r="H161" i="2"/>
  <x:c r="L165" i="2"/>
  <x:c r="I170" i="2"/>
  <x:c r="F175" i="2"/>
  <x:c r="J179" i="2"/>
  <x:c r="G184" i="2"/>
  <x:c r="K188" i="2"/>
  <x:c r="H193" i="2"/>
  <x:c r="L197" i="2"/>
  <x:c r="G209" i="2"/>
  <x:c r="O220" i="2"/>
  <x:c r="L233" i="2"/>
  <x:c r="K248" i="2"/>
  <x:c r="K264" i="2"/>
  <x:c r="K280" i="2"/>
  <x:c r="K296" i="2"/>
  <x:c r="K312" i="2"/>
  <x:c r="Q344" i="2"/>
  <x:c r="Q376" i="2"/>
  <x:c r="S406" i="2"/>
  <x:c r="F470" i="2"/>
  <x:c r="O63" i="2"/>
  <x:c r="S67" i="2"/>
  <x:c r="P72" i="2"/>
  <x:c r="N78" i="2"/>
  <x:c r="R82" i="2"/>
  <x:c r="O87" i="2"/>
  <x:c r="S91" i="2"/>
  <x:c r="P96" i="2"/>
  <x:c r="N102" i="2"/>
  <x:c r="R106" i="2"/>
  <x:c r="O111" i="2"/>
  <x:c r="S115" i="2"/>
  <x:c r="P120" i="2"/>
  <x:c r="M125" i="2"/>
  <x:c r="Q129" i="2"/>
  <x:c r="N134" i="2"/>
  <x:c r="R138" i="2"/>
  <x:c r="O143" i="2"/>
  <x:c r="S147" i="2"/>
  <x:c r="P152" i="2"/>
  <x:c r="M157" i="2"/>
  <x:c r="Q161" i="2"/>
  <x:c r="N166" i="2"/>
  <x:c r="R170" i="2"/>
  <x:c r="O175" i="2"/>
  <x:c r="S179" i="2"/>
  <x:c r="P184" i="2"/>
  <x:c r="M189" i="2"/>
  <x:c r="Q193" i="2"/>
  <x:c r="N198" i="2"/>
  <x:c r="I209" i="2"/>
  <x:c r="R220" i="2"/>
  <x:c r="K232" i="2"/>
  <x:c r="S243" i="2"/>
  <x:c r="L257" i="2"/>
  <x:c r="L273" i="2"/>
  <x:c r="L289" i="2"/>
  <x:c r="L305" i="2"/>
  <x:c r="J326" i="2"/>
  <x:c r="J358" i="2"/>
  <x:c r="J390" i="2"/>
  <x:c r="S439" i="2"/>
  <x:c r="G202" i="2"/>
  <x:c r="L207" i="2"/>
  <x:c r="I212" i="2"/>
  <x:c r="F217" i="2"/>
  <x:c r="J221" i="2"/>
  <x:c r="G226" i="2"/>
  <x:c r="K230" i="2"/>
  <x:c r="H235" i="2"/>
  <x:c r="L239" i="2"/>
  <x:c r="I244" i="2"/>
  <x:c r="F249" i="2"/>
  <x:c r="J253" i="2"/>
  <x:c r="G258" i="2"/>
  <x:c r="K262" i="2"/>
  <x:c r="I268" i="2"/>
  <x:c r="F273" i="2"/>
  <x:c r="J277" i="2"/>
  <x:c r="G282" i="2"/>
  <x:c r="K286" i="2"/>
  <x:c r="H291" i="2"/>
  <x:c r="L295" i="2"/>
  <x:c r="I300" i="2"/>
  <x:c r="F305" i="2"/>
  <x:c r="J309" i="2"/>
  <x:c r="G314" i="2"/>
  <x:c r="L319" i="2"/>
  <x:c r="M327" i="3"/>
  <x:c r="M327" i="2" s="1"/>
  <x:c r="M328" i="2"/>
  <x:c r="M336" i="2"/>
  <x:c r="M344" i="2"/>
  <x:c r="M352" i="2"/>
  <x:c r="M360" i="2"/>
  <x:c r="N369" i="2"/>
  <x:c r="N377" i="2"/>
  <x:c r="N385" i="2"/>
  <x:c r="N393" i="2"/>
  <x:c r="N401" i="2"/>
  <x:c r="Q413" i="2"/>
  <x:c r="Q428" i="3"/>
  <x:c r="Q428" i="2" s="1"/>
  <x:c r="Q429" i="2"/>
  <x:c r="K444" i="2"/>
  <x:c r="H476" i="2"/>
  <x:c r="H508" i="2"/>
  <x:c r="R602" i="2"/>
  <x:c r="Q202" i="2"/>
  <x:c r="G208" i="2"/>
  <x:c r="K212" i="2"/>
  <x:c r="H217" i="2"/>
  <x:c r="L221" i="2"/>
  <x:c r="I226" i="2"/>
  <x:c r="F231" i="2"/>
  <x:c r="J235" i="2"/>
  <x:c r="G240" i="2"/>
  <x:c r="K244" i="2"/>
  <x:c r="H249" i="2"/>
  <x:c r="L253" i="2"/>
  <x:c r="I258" i="2"/>
  <x:c r="F263" i="2"/>
  <x:c r="K268" i="2"/>
  <x:c r="H273" i="2"/>
  <x:c r="L277" i="2"/>
  <x:c r="I282" i="2"/>
  <x:c r="F287" i="2"/>
  <x:c r="J291" i="2"/>
  <x:c r="G296" i="2"/>
  <x:c r="K300" i="2"/>
  <x:c r="H305" i="2"/>
  <x:c r="L309" i="2"/>
  <x:c r="I314" i="2"/>
  <x:c r="R320" i="2"/>
  <x:c r="R333" i="2"/>
  <x:c r="Q343" i="2"/>
  <x:c r="S353" i="2"/>
  <x:c r="R365" i="3"/>
  <x:c r="R365" i="2" s="1"/>
  <x:c r="R366" i="2"/>
  <x:c r="R376" i="2"/>
  <x:c r="S386" i="2"/>
  <x:c r="R398" i="2"/>
  <x:c r="G410" i="2"/>
  <x:c r="S431" i="2"/>
  <x:c r="H459" i="2"/>
  <x:c r="H491" i="2"/>
  <x:c r="P532" i="2"/>
  <x:c r="O247" i="2"/>
  <x:c r="S251" i="2"/>
  <x:c r="P256" i="2"/>
  <x:c r="M261" i="2"/>
  <x:c r="R265" i="3"/>
  <x:c r="R265" i="2" s="1"/>
  <x:c r="R266" i="2"/>
  <x:c r="O271" i="2"/>
  <x:c r="S275" i="2"/>
  <x:c r="P280" i="2"/>
  <x:c r="M285" i="2"/>
  <x:c r="Q289" i="2"/>
  <x:c r="N294" i="2"/>
  <x:c r="R298" i="2"/>
  <x:c r="O303" i="2"/>
  <x:c r="S307" i="2"/>
  <x:c r="P312" i="2"/>
  <x:c r="I317" i="2"/>
  <x:c r="F333" i="2"/>
  <x:c r="F349" i="2"/>
  <x:c r="S365" i="3"/>
  <x:c r="S365" i="2" s="1"/>
  <x:c r="S366" i="2"/>
  <x:c r="S382" i="2"/>
  <x:c r="S398" i="2"/>
  <x:c r="P411" i="2"/>
  <x:c r="P435" i="2"/>
  <x:c r="K454" i="2"/>
  <x:c r="F495" i="2"/>
  <x:c r="O623" i="2"/>
  <x:c r="M204" i="2"/>
  <x:c r="R209" i="2"/>
  <x:c r="O214" i="2"/>
  <x:c r="S218" i="2"/>
  <x:c r="P223" i="2"/>
  <x:c r="M228" i="2"/>
  <x:c r="Q232" i="2"/>
  <x:c r="N237" i="2"/>
  <x:c r="R241" i="2"/>
  <x:c r="O246" i="2"/>
  <x:c r="S250" i="2"/>
  <x:c r="P255" i="2"/>
  <x:c r="M260" i="2"/>
  <x:c r="Q264" i="2"/>
  <x:c r="O270" i="2"/>
  <x:c r="S274" i="2"/>
  <x:c r="P279" i="2"/>
  <x:c r="M284" i="2"/>
  <x:c r="Q288" i="2"/>
  <x:c r="N293" i="2"/>
  <x:c r="R297" i="2"/>
  <x:c r="O302" i="2"/>
  <x:c r="S306" i="2"/>
  <x:c r="P311" i="2"/>
  <x:c r="O316" i="2"/>
  <x:c r="G326" i="2"/>
  <x:c r="F338" i="2"/>
  <x:c r="H348" i="2"/>
  <x:c r="G358" i="2"/>
  <x:c r="G371" i="2"/>
  <x:c r="G381" i="2"/>
  <x:c r="F393" i="2"/>
  <x:c r="G403" i="2"/>
  <x:c r="K414" i="2"/>
  <x:c r="L432" i="2"/>
  <x:c r="P452" i="2"/>
  <x:c r="H483" i="2"/>
  <x:c r="O523" i="2"/>
  <x:c r="O654" i="2"/>
  <x:c r="N204" i="2"/>
  <x:c r="S209" i="2"/>
  <x:c r="P214" i="2"/>
  <x:c r="M219" i="2"/>
  <x:c r="Q223" i="2"/>
  <x:c r="N228" i="2"/>
  <x:c r="R232" i="2"/>
  <x:c r="O237" i="2"/>
  <x:c r="S241" i="2"/>
  <x:c r="P246" i="2"/>
  <x:c r="M251" i="2"/>
  <x:c r="Q255" i="2"/>
  <x:c r="N260" i="2"/>
  <x:c r="R264" i="2"/>
  <x:c r="P270" i="2"/>
  <x:c r="M275" i="2"/>
  <x:c r="Q279" i="2"/>
  <x:c r="N284" i="2"/>
  <x:c r="R288" i="2"/>
  <x:c r="O293" i="2"/>
  <x:c r="S297" i="2"/>
  <x:c r="P302" i="2"/>
  <x:c r="M307" i="2"/>
  <x:c r="Q311" i="2"/>
  <x:c r="P316" i="2"/>
  <x:c r="I324" i="2"/>
  <x:c r="I333" i="2"/>
  <x:c r="I341" i="2"/>
  <x:c r="I349" i="2"/>
  <x:c r="I357" i="2"/>
  <x:c r="H365" i="3"/>
  <x:c r="H365" i="2" s="1"/>
  <x:c r="H366" i="2"/>
  <x:c r="H374" i="2"/>
  <x:c r="H382" i="2"/>
  <x:c r="H390" i="2"/>
  <x:c r="H398" i="2"/>
  <x:c r="R406" i="2"/>
  <x:c r="H420" i="2"/>
  <x:c r="H436" i="2"/>
  <x:c r="F455" i="2"/>
  <x:c r="H504" i="2"/>
  <x:c r="M201" i="2"/>
  <x:c r="R205" i="3"/>
  <x:c r="R205" i="2" s="1"/>
  <x:c r="R206" i="2"/>
  <x:c r="O211" i="2"/>
  <x:c r="S215" i="2"/>
  <x:c r="P220" i="2"/>
  <x:c r="M225" i="2"/>
  <x:c r="Q229" i="2"/>
  <x:c r="N234" i="2"/>
  <x:c r="R238" i="2"/>
  <x:c r="O243" i="2"/>
  <x:c r="S247" i="2"/>
  <x:c r="P252" i="2"/>
  <x:c r="M257" i="2"/>
  <x:c r="Q261" i="2"/>
  <x:c r="G267" i="2"/>
  <x:c r="K271" i="2"/>
  <x:c r="H276" i="2"/>
  <x:c r="L280" i="2"/>
  <x:c r="I285" i="2"/>
  <x:c r="F290" i="2"/>
  <x:c r="J294" i="2"/>
  <x:c r="G299" i="2"/>
  <x:c r="K303" i="2"/>
  <x:c r="H308" i="2"/>
  <x:c r="L312" i="2"/>
  <x:c r="K318" i="2"/>
  <x:c r="K326" i="2"/>
  <x:c r="K335" i="2"/>
  <x:c r="K343" i="2"/>
  <x:c r="K351" i="2"/>
  <x:c r="K359" i="2"/>
  <x:c r="L368" i="2"/>
  <x:c r="L376" i="2"/>
  <x:c r="L384" i="2"/>
  <x:c r="L392" i="2"/>
  <x:c r="L400" i="2"/>
  <x:c r="G411" i="2"/>
  <x:c r="J428" i="3"/>
  <x:c r="J428" i="2" s="1"/>
  <x:c r="J429" i="2"/>
  <x:c r="I458" i="2"/>
  <x:c r="G499" i="2"/>
  <x:c r="J531" i="2"/>
  <x:c r="L321" i="2"/>
  <x:c r="I326" i="2"/>
  <x:c r="G332" i="2"/>
  <x:c r="K336" i="2"/>
  <x:c r="H341" i="2"/>
  <x:c r="L345" i="2"/>
  <x:c r="I350" i="2"/>
  <x:c r="F355" i="2"/>
  <x:c r="J359" i="2"/>
  <x:c r="G364" i="2"/>
  <x:c r="L369" i="2"/>
  <x:c r="I374" i="2"/>
  <x:c r="F379" i="2"/>
  <x:c r="J383" i="2"/>
  <x:c r="G388" i="2"/>
  <x:c r="K392" i="2"/>
  <x:c r="H397" i="2"/>
  <x:c r="L401" i="2"/>
  <x:c r="I406" i="2"/>
  <x:c r="F411" i="2"/>
  <x:c r="J415" i="2"/>
  <x:c r="G420" i="2"/>
  <x:c r="K424" i="2"/>
  <x:c r="I430" i="2"/>
  <x:c r="F435" i="2"/>
  <x:c r="J439" i="2"/>
  <x:c r="S444" i="2"/>
  <x:c r="I451" i="2"/>
  <x:c r="S460" i="2"/>
  <x:c r="S476" i="2"/>
  <x:c r="S492" i="2"/>
  <x:c r="S511" i="2"/>
  <x:c r="J523" i="2"/>
  <x:c r="S534" i="2"/>
  <x:c r="G547" i="2"/>
  <x:c r="H569" i="2"/>
  <x:c r="I602" i="2"/>
  <x:c r="R533" i="2"/>
  <x:c r="Q545" i="2"/>
  <x:c r="S569" i="2"/>
  <x:c r="H600" i="2"/>
  <x:c r="S711" i="3"/>
  <x:c r="S711" i="2" s="1"/>
  <x:c r="S712" i="2"/>
  <x:c r="M319" i="2"/>
  <x:c r="Q323" i="2"/>
  <x:c r="G329" i="2"/>
  <x:c r="K333" i="2"/>
  <x:c r="H338" i="2"/>
  <x:c r="L342" i="2"/>
  <x:c r="I347" i="2"/>
  <x:c r="F352" i="2"/>
  <x:c r="J356" i="2"/>
  <x:c r="G361" i="2"/>
  <x:c r="L365" i="3"/>
  <x:c r="L365" i="2" s="1"/>
  <x:c r="L366" i="2"/>
  <x:c r="I371" i="2"/>
  <x:c r="F376" i="2"/>
  <x:c r="J380" i="2"/>
  <x:c r="G385" i="2"/>
  <x:c r="K389" i="2"/>
  <x:c r="H394" i="2"/>
  <x:c r="L398" i="2"/>
  <x:c r="I403" i="2"/>
  <x:c r="F408" i="2"/>
  <x:c r="J412" i="2"/>
  <x:c r="G417" i="2"/>
  <x:c r="K421" i="2"/>
  <x:c r="H426" i="2"/>
  <x:c r="F432" i="2"/>
  <x:c r="J436" i="2"/>
  <x:c r="G441" i="2"/>
  <x:c r="N446" i="2"/>
  <x:c r="H452" i="2"/>
  <x:c r="J459" i="2"/>
  <x:c r="J467" i="2"/>
  <x:c r="J475" i="2"/>
  <x:c r="J483" i="2"/>
  <x:c r="J491" i="2"/>
  <x:c r="J499" i="2"/>
  <x:c r="Q509" i="2"/>
  <x:c r="R523" i="2"/>
  <x:c r="O536" i="2"/>
  <x:c r="G551" i="2"/>
  <x:c r="Q577" i="2"/>
  <x:c r="I614" i="3"/>
  <x:c r="I614" i="2" s="1"/>
  <x:c r="I615" i="2"/>
  <x:c r="K316" i="2"/>
  <x:c r="H321" i="2"/>
  <x:c r="L325" i="2"/>
  <x:c r="J331" i="2"/>
  <x:c r="G336" i="2"/>
  <x:c r="K340" i="2"/>
  <x:c r="H345" i="2"/>
  <x:c r="L349" i="2"/>
  <x:c r="I354" i="2"/>
  <x:c r="F359" i="2"/>
  <x:c r="J363" i="2"/>
  <x:c r="O368" i="2"/>
  <x:c r="S372" i="2"/>
  <x:c r="P377" i="2"/>
  <x:c r="M382" i="2"/>
  <x:c r="Q386" i="2"/>
  <x:c r="N391" i="2"/>
  <x:c r="R395" i="2"/>
  <x:c r="O400" i="2"/>
  <x:c r="S404" i="2"/>
  <x:c r="P409" i="2"/>
  <x:c r="M414" i="2"/>
  <x:c r="Q418" i="2"/>
  <x:c r="N423" i="2"/>
  <x:c r="R427" i="2"/>
  <x:c r="P433" i="2"/>
  <x:c r="M438" i="2"/>
  <x:c r="S443" i="2"/>
  <x:c r="I450" i="2"/>
  <x:c r="N457" i="2"/>
  <x:c r="N465" i="2"/>
  <x:c r="N473" i="2"/>
  <x:c r="N481" i="2"/>
  <x:c r="N489" i="2"/>
  <x:c r="N497" i="2"/>
  <x:c r="K507" i="2"/>
  <x:c r="S518" i="2"/>
  <x:c r="N530" i="2"/>
  <x:c r="R541" i="2"/>
  <x:c r="I554" i="3"/>
  <x:c r="I554" i="2" s="1"/>
  <x:c r="I555" i="2"/>
  <x:c r="I586" i="2"/>
  <x:c r="M317" i="2"/>
  <x:c r="Q321" i="2"/>
  <x:c r="N326" i="2"/>
  <x:c r="S331" i="2"/>
  <x:c r="P336" i="2"/>
  <x:c r="M341" i="2"/>
  <x:c r="Q345" i="2"/>
  <x:c r="N350" i="2"/>
  <x:c r="R354" i="2"/>
  <x:c r="O359" i="2"/>
  <x:c r="S363" i="2"/>
  <x:c r="I369" i="2"/>
  <x:c r="F374" i="2"/>
  <x:c r="J378" i="2"/>
  <x:c r="G383" i="2"/>
  <x:c r="K387" i="2"/>
  <x:c r="H392" i="2"/>
  <x:c r="L396" i="2"/>
  <x:c r="I401" i="2"/>
  <x:c r="F406" i="2"/>
  <x:c r="J410" i="2"/>
  <x:c r="G415" i="2"/>
  <x:c r="K419" i="2"/>
  <x:c r="H424" i="2"/>
  <x:c r="M428" i="3"/>
  <x:c r="M428" i="2" s="1"/>
  <x:c r="M429" i="2"/>
  <x:c r="Q433" i="2"/>
  <x:c r="N438" i="2"/>
  <x:c r="J443" i="2"/>
  <x:c r="J450" i="2"/>
  <x:c r="P457" i="2"/>
  <x:c r="P465" i="2"/>
  <x:c r="P473" i="2"/>
  <x:c r="P481" i="2"/>
  <x:c r="P489" i="2"/>
  <x:c r="P497" i="2"/>
  <x:c r="O507" i="2"/>
  <x:c r="L520" i="2"/>
  <x:c r="K534" i="2"/>
  <x:c r="M546" i="2"/>
  <x:c r="R568" i="2"/>
  <x:c r="H601" i="2"/>
  <x:c r="J662" i="2"/>
  <x:c r="P407" i="2"/>
  <x:c r="M412" i="2"/>
  <x:c r="Q416" i="2"/>
  <x:c r="N421" i="2"/>
  <x:c r="R425" i="2"/>
  <x:c r="H431" i="2"/>
  <x:c r="L435" i="2"/>
  <x:c r="I440" i="2"/>
  <x:c r="L445" i="2"/>
  <x:c r="G451" i="2"/>
  <x:c r="Q458" i="2"/>
  <x:c r="Q466" i="2"/>
  <x:c r="Q474" i="2"/>
  <x:c r="Q482" i="2"/>
  <x:c r="Q490" i="2"/>
  <x:c r="Q498" i="2"/>
  <x:c r="S508" i="2"/>
  <x:c r="M520" i="2"/>
  <x:c r="I533" i="2"/>
  <x:c r="L543" i="2"/>
  <x:c r="S563" i="2"/>
  <x:c r="R607" i="2"/>
  <x:c r="P414" i="2"/>
  <x:c r="M419" i="2"/>
  <x:c r="Q423" i="2"/>
  <x:c r="O428" i="3"/>
  <x:c r="O428" i="2" s="1"/>
  <x:c r="O429" i="2"/>
  <x:c r="S433" i="2"/>
  <x:c r="P438" i="2"/>
  <x:c r="N443" i="2"/>
  <x:c r="Q449" i="2"/>
  <x:c r="S455" i="2"/>
  <x:c r="R467" i="2"/>
  <x:c r="R477" i="2"/>
  <x:c r="S487" i="2"/>
  <x:c r="R499" i="2"/>
  <x:c r="I514" i="2"/>
  <x:c r="Q525" i="2"/>
  <x:c r="R539" i="2"/>
  <x:c r="O559" i="2"/>
  <x:c r="J587" i="2"/>
  <x:c r="J619" i="2"/>
  <x:c r="S453" i="2"/>
  <x:c r="P458" i="2"/>
  <x:c r="M463" i="2"/>
  <x:c r="Q467" i="2"/>
  <x:c r="N472" i="2"/>
  <x:c r="R476" i="2"/>
  <x:c r="O481" i="2"/>
  <x:c r="S485" i="2"/>
  <x:c r="P490" i="2"/>
  <x:c r="M495" i="2"/>
  <x:c r="Q499" i="2"/>
  <x:c r="P506" i="2"/>
  <x:c r="M511" i="2"/>
  <x:c r="Q515" i="2"/>
  <x:c r="N520" i="2"/>
  <x:c r="R524" i="2"/>
  <x:c r="O529" i="2"/>
  <x:c r="S533" i="2"/>
  <x:c r="P538" i="2"/>
  <x:c r="M543" i="2"/>
  <x:c r="O549" i="2"/>
  <x:c r="S557" i="2"/>
  <x:c r="G566" i="3"/>
  <x:c r="G566" i="2" s="1"/>
  <x:c r="G567" i="2"/>
  <x:c r="F579" i="2"/>
  <x:c r="G591" i="2"/>
  <x:c r="F603" i="2"/>
  <x:c r="G613" i="2"/>
  <x:c r="R626" i="2"/>
  <x:c r="S646" i="2"/>
  <x:c r="M676" i="2"/>
  <x:c r="S507" i="2"/>
  <x:c r="P512" i="2"/>
  <x:c r="M517" i="2"/>
  <x:c r="Q521" i="2"/>
  <x:c r="N526" i="2"/>
  <x:c r="R530" i="2"/>
  <x:c r="O535" i="2"/>
  <x:c r="S539" i="2"/>
  <x:c r="P544" i="2"/>
  <x:c r="N551" i="2"/>
  <x:c r="Q559" i="2"/>
  <x:c r="J568" i="2"/>
  <x:c r="J576" i="2"/>
  <x:c r="J584" i="2"/>
  <x:c r="J594" i="2"/>
  <x:c r="J602" i="2"/>
  <x:c r="J610" i="2"/>
  <x:c r="K619" i="2"/>
  <x:c r="H632" i="2"/>
  <x:c r="H671" i="2"/>
  <x:c r="P710" i="2"/>
  <x:c r="L443" i="2"/>
  <x:c r="I448" i="2"/>
  <x:c r="F453" i="2"/>
  <x:c r="J457" i="2"/>
  <x:c r="G462" i="2"/>
  <x:c r="K466" i="2"/>
  <x:c r="H471" i="2"/>
  <x:c r="L475" i="2"/>
  <x:c r="I480" i="2"/>
  <x:c r="F485" i="2"/>
  <x:c r="J489" i="2"/>
  <x:c r="G494" i="2"/>
  <x:c r="K498" i="2"/>
  <x:c r="Q504" i="2"/>
  <x:c r="N509" i="2"/>
  <x:c r="R513" i="2"/>
  <x:c r="O518" i="2"/>
  <x:c r="S522" i="2"/>
  <x:c r="P527" i="2"/>
  <x:c r="M532" i="2"/>
  <x:c r="Q536" i="2"/>
  <x:c r="N541" i="2"/>
  <x:c r="H546" i="2"/>
  <x:c r="H553" i="2"/>
  <x:c r="K561" i="2"/>
  <x:c r="L570" i="2"/>
  <x:c r="L578" i="2"/>
  <x:c r="L586" i="2"/>
  <x:c r="L596" i="2"/>
  <x:c r="L604" i="2"/>
  <x:c r="L612" i="2"/>
  <x:c r="M621" i="2"/>
  <x:c r="J645" i="2"/>
  <x:c r="S674" i="2"/>
  <x:c r="F444" i="2"/>
  <x:c r="J448" i="2"/>
  <x:c r="G453" i="2"/>
  <x:c r="K457" i="2"/>
  <x:c r="H462" i="2"/>
  <x:c r="L466" i="2"/>
  <x:c r="I471" i="2"/>
  <x:c r="F476" i="2"/>
  <x:c r="J480" i="2"/>
  <x:c r="G485" i="2"/>
  <x:c r="K489" i="2"/>
  <x:c r="H494" i="2"/>
  <x:c r="L498" i="2"/>
  <x:c r="K505" i="2"/>
  <x:c r="H510" i="2"/>
  <x:c r="L514" i="2"/>
  <x:c r="I519" i="2"/>
  <x:c r="F524" i="2"/>
  <x:c r="J528" i="2"/>
  <x:c r="G533" i="2"/>
  <x:c r="K537" i="2"/>
  <x:c r="H542" i="2"/>
  <x:c r="O547" i="2"/>
  <x:c r="N556" i="2"/>
  <x:c r="N564" i="2"/>
  <x:c r="O573" i="2"/>
  <x:c r="O581" i="2"/>
  <x:c r="O591" i="2"/>
  <x:c r="O599" i="2"/>
  <x:c r="O607" i="2"/>
  <x:c r="O616" i="2"/>
  <x:c r="R625" i="2"/>
  <x:c r="F653" i="2"/>
  <x:c r="N682" i="2"/>
  <x:c r="S791" i="3"/>
  <x:c r="S791" i="2" s="1"/>
  <x:c r="S792" i="2"/>
  <x:c r="N459" i="2"/>
  <x:c r="R463" i="2"/>
  <x:c r="O468" i="2"/>
  <x:c r="S472" i="2"/>
  <x:c r="P477" i="2"/>
  <x:c r="M482" i="2"/>
  <x:c r="Q486" i="2"/>
  <x:c r="N491" i="2"/>
  <x:c r="R495" i="2"/>
  <x:c r="Q501" i="3"/>
  <x:c r="Q502" i="2"/>
  <x:c r="N507" i="2"/>
  <x:c r="R511" i="2"/>
  <x:c r="O516" i="2"/>
  <x:c r="S520" i="2"/>
  <x:c r="P525" i="2"/>
  <x:c r="M530" i="2"/>
  <x:c r="Q534" i="2"/>
  <x:c r="N539" i="2"/>
  <x:c r="R543" i="2"/>
  <x:c r="K549" i="2"/>
  <x:c r="O556" i="2"/>
  <x:c r="R563" i="2"/>
  <x:c r="O572" i="2"/>
  <x:c r="O580" i="2"/>
  <x:c r="Q589" i="3"/>
  <x:c r="Q590" i="2"/>
  <x:c r="Q598" i="2"/>
  <x:c r="Q606" i="2"/>
  <x:c r="Q614" i="3"/>
  <x:c r="Q614" i="2" s="1"/>
  <x:c r="Q615" i="2"/>
  <x:c r="I624" i="2"/>
  <x:c r="I648" i="2"/>
  <x:c r="G675" i="2"/>
  <x:c r="F730" i="2"/>
  <x:c r="S593" i="2"/>
  <x:c r="S609" i="2"/>
  <x:c r="P631" i="2"/>
  <x:c r="H659" i="2"/>
  <x:c r="O683" i="2"/>
  <x:c r="P562" i="2"/>
  <x:c r="F568" i="2"/>
  <x:c r="J572" i="2"/>
  <x:c r="G577" i="2"/>
  <x:c r="K581" i="2"/>
  <x:c r="H586" i="2"/>
  <x:c r="G593" i="2"/>
  <x:c r="K597" i="2"/>
  <x:c r="H602" i="2"/>
  <x:c r="L606" i="2"/>
  <x:c r="I611" i="2"/>
  <x:c r="N616" i="2"/>
  <x:c r="R620" i="2"/>
  <x:c r="O627" i="2"/>
  <x:c r="O635" i="2"/>
  <x:c r="J646" i="2"/>
  <x:c r="M660" i="2"/>
  <x:c r="S671" i="2"/>
  <x:c r="L683" i="2"/>
  <x:c r="O709" i="2"/>
  <x:c r="R545" i="2"/>
  <x:c r="O550" i="2"/>
  <x:c r="M556" i="2"/>
  <x:c r="Q560" i="2"/>
  <x:c r="N565" i="2"/>
  <x:c r="S570" i="2"/>
  <x:c r="P575" i="2"/>
  <x:c r="M580" i="2"/>
  <x:c r="Q584" i="2"/>
  <x:c r="H591" i="2"/>
  <x:c r="L595" i="2"/>
  <x:c r="I600" i="2"/>
  <x:c r="F605" i="2"/>
  <x:c r="J609" i="2"/>
  <x:c r="H614" i="3"/>
  <x:c r="H614" i="2" s="1"/>
  <x:c r="H615" i="2"/>
  <x:c r="L619" i="2"/>
  <x:c r="I625" i="2"/>
  <x:c r="L640" i="2"/>
  <x:c r="P655" i="2"/>
  <x:c r="H667" i="2"/>
  <x:c r="M681" i="2"/>
  <x:c r="P707" i="2"/>
  <x:c r="J633" i="2"/>
  <x:c r="F641" i="3"/>
  <x:c r="F641" i="2" s="1"/>
  <x:c r="F642" i="2"/>
  <x:c r="R654" i="2"/>
  <x:c r="G670" i="2"/>
  <x:c r="R681" i="2"/>
  <x:c r="N705" i="2"/>
  <x:c r="G782" i="2"/>
  <x:c r="R550" i="2"/>
  <x:c r="P556" i="2"/>
  <x:c r="M561" i="2"/>
  <x:c r="Q565" i="2"/>
  <x:c r="O571" i="2"/>
  <x:c r="S575" i="2"/>
  <x:c r="P580" i="2"/>
  <x:c r="M585" i="2"/>
  <x:c r="S591" i="2"/>
  <x:c r="P596" i="2"/>
  <x:c r="M601" i="2"/>
  <x:c r="Q605" i="2"/>
  <x:c r="N610" i="2"/>
  <x:c r="S614" i="3"/>
  <x:c r="S614" i="2" s="1"/>
  <x:c r="S615" i="2"/>
  <x:c r="P620" i="2"/>
  <x:c r="K627" i="2"/>
  <x:c r="K635" i="2"/>
  <x:c r="H647" i="2"/>
  <x:c r="S658" i="2"/>
  <x:c r="J670" i="2"/>
  <x:c r="M684" i="2"/>
  <x:c r="H759" i="2"/>
  <x:c r="Q548" i="2"/>
  <x:c r="N553" i="2"/>
  <x:c r="S558" i="2"/>
  <x:c r="P563" i="2"/>
  <x:c r="N569" i="2"/>
  <x:c r="R573" i="2"/>
  <x:c r="O578" i="2"/>
  <x:c r="S582" i="2"/>
  <x:c r="P587" i="2"/>
  <x:c r="O594" i="2"/>
  <x:c r="S598" i="2"/>
  <x:c r="P603" i="2"/>
  <x:c r="M608" i="2"/>
  <x:c r="Q612" i="2"/>
  <x:c r="O618" i="2"/>
  <x:c r="G623" i="2"/>
  <x:c r="N630" i="2"/>
  <x:c r="N638" i="2"/>
  <x:c r="H651" i="2"/>
  <x:c r="O665" i="3"/>
  <x:c r="O665" i="2" s="1"/>
  <x:c r="O666" i="2"/>
  <x:c r="K679" i="2"/>
  <x:c r="N698" i="2"/>
  <x:c r="F627" i="2"/>
  <x:c r="J631" i="2"/>
  <x:c r="G636" i="2"/>
  <x:c r="K640" i="2"/>
  <x:c r="P645" i="2"/>
  <x:c r="M650" i="2"/>
  <x:c r="Q654" i="2"/>
  <x:c r="N659" i="2"/>
  <x:c r="R663" i="2"/>
  <x:c r="H669" i="2"/>
  <x:c r="L673" i="2"/>
  <x:c r="I678" i="2"/>
  <x:c r="F683" i="2"/>
  <x:c r="J687" i="2"/>
  <x:c r="J693" i="2"/>
  <x:c r="J701" i="3"/>
  <x:c r="J701" i="2" s="1"/>
  <x:c r="J702" i="2"/>
  <x:c r="J710" i="2"/>
  <x:c r="N729" i="2"/>
  <x:c r="H765" i="2"/>
  <x:c r="M623" i="2"/>
  <x:c r="Q627" i="2"/>
  <x:c r="N632" i="2"/>
  <x:c r="R636" i="2"/>
  <x:c r="P641" i="3"/>
  <x:c r="P641" i="2" s="1"/>
  <x:c r="P642" i="2"/>
  <x:c r="M647" i="2"/>
  <x:c r="Q651" i="2"/>
  <x:c r="N656" i="2"/>
  <x:c r="R660" i="2"/>
  <x:c r="P665" i="3"/>
  <x:c r="P665" i="2" s="1"/>
  <x:c r="P666" i="2"/>
  <x:c r="M671" i="2"/>
  <x:c r="Q675" i="2"/>
  <x:c r="N680" i="2"/>
  <x:c r="R684" i="2"/>
  <x:c r="S689" i="2"/>
  <x:c r="Q701" i="3"/>
  <x:c r="Q701" i="2" s="1"/>
  <x:c r="Q702" i="2"/>
  <x:c r="Q717" i="2"/>
  <x:c r="Q733" i="2"/>
  <x:c r="G773" i="2"/>
  <x:c r="Q831" i="2"/>
  <x:c r="O624" i="2"/>
  <x:c r="S628" i="2"/>
  <x:c r="P633" i="2"/>
  <x:c r="M638" i="2"/>
  <x:c r="R643" i="2"/>
  <x:c r="O648" i="2"/>
  <x:c r="S652" i="2"/>
  <x:c r="P657" i="2"/>
  <x:c r="M662" i="2"/>
  <x:c r="R667" i="2"/>
  <x:c r="O672" i="2"/>
  <x:c r="O680" i="2"/>
  <x:c r="F691" i="2"/>
  <x:c r="N714" i="2"/>
  <x:c r="R641" i="3"/>
  <x:c r="R641" i="2" s="1"/>
  <x:c r="R642" i="2"/>
  <x:c r="M661" i="2"/>
  <x:c r="P680" i="2"/>
  <x:c r="L713" i="2"/>
  <x:c r="P716" i="2"/>
  <x:c r="R648" i="2"/>
  <x:c r="P686" i="2"/>
  <x:c r="S720" i="2"/>
  <x:c r="R791" i="3"/>
  <x:c r="R791" i="2" s="1"/>
  <x:c r="R792" i="2"/>
  <x:c r="J19" i="2"/>
  <x:c r="G24" i="2"/>
  <x:c r="L29" i="2"/>
  <x:c r="I34" i="2"/>
  <x:c r="F39" i="2"/>
  <x:c r="J43" i="2"/>
  <x:c r="G48" i="2"/>
  <x:c r="K52" i="2"/>
  <x:c r="H57" i="2"/>
  <x:c r="L61" i="2"/>
  <x:c r="K69" i="2"/>
  <x:c r="K78" i="2"/>
  <x:c r="J88" i="2"/>
  <x:c r="G101" i="2"/>
  <x:c r="S113" i="2"/>
  <x:c r="J124" i="2"/>
  <x:c r="Q135" i="2"/>
  <x:c r="N148" i="2"/>
  <x:c r="P158" i="2"/>
  <x:c r="M171" i="2"/>
  <x:c r="Q191" i="2"/>
  <x:c r="Q307" i="2"/>
  <x:c r="N5" i="3"/>
  <x:c r="N6" i="2"/>
  <x:c r="R10" i="2"/>
  <x:c r="O15" i="2"/>
  <x:c r="S19" i="2"/>
  <x:c r="P24" i="2"/>
  <x:c r="N30" i="2"/>
  <x:c r="R34" i="2"/>
  <x:c r="O39" i="2"/>
  <x:c r="S43" i="2"/>
  <x:c r="P48" i="2"/>
  <x:c r="M53" i="2"/>
  <x:c r="Q57" i="2"/>
  <x:c r="P62" i="2"/>
  <x:c r="L70" i="2"/>
  <x:c r="P79" i="2"/>
  <x:c r="O93" i="2"/>
  <x:c r="Q107" i="2"/>
  <x:c r="N120" i="2"/>
  <x:c r="K133" i="2"/>
  <x:c r="R144" i="2"/>
  <x:c r="I160" i="2"/>
  <x:c r="Q171" i="2"/>
  <x:c r="L186" i="2"/>
  <x:c r="M188" i="2"/>
  <x:c r="Q192" i="2"/>
  <x:c r="N197" i="2"/>
  <x:c r="J204" i="2"/>
  <x:c r="Q219" i="2"/>
  <x:c r="N232" i="2"/>
  <x:c r="K245" i="2"/>
  <x:c r="P265" i="3"/>
  <x:c r="P265" i="2" s="1"/>
  <x:c r="P266" i="2"/>
  <x:c r="O289" i="2"/>
  <x:c r="H309" i="2"/>
  <x:c r="P334" i="2"/>
  <x:c r="P365" i="3"/>
  <x:c r="P365" i="2" s="1"/>
  <x:c r="P366" i="2"/>
  <x:c r="P398" i="2"/>
  <x:c r="H465" i="2"/>
  <x:c r="L65" i="2"/>
  <x:c r="I70" i="2"/>
  <x:c r="N74" i="3"/>
  <x:c r="N74" i="2" s="1"/>
  <x:c r="N75" i="2"/>
  <x:c r="R79" i="2"/>
  <x:c r="O84" i="2"/>
  <x:c r="S88" i="2"/>
  <x:c r="P93" i="2"/>
  <x:c r="F99" i="2"/>
  <x:c r="J103" i="2"/>
  <x:c r="G108" i="2"/>
  <x:c r="K112" i="2"/>
  <x:c r="H117" i="2"/>
  <x:c r="L121" i="2"/>
  <x:c r="I126" i="2"/>
  <x:c r="F131" i="2"/>
  <x:c r="J135" i="2"/>
  <x:c r="G140" i="2"/>
  <x:c r="K144" i="2"/>
  <x:c r="H149" i="2"/>
  <x:c r="L153" i="2"/>
  <x:c r="I158" i="2"/>
  <x:c r="F163" i="2"/>
  <x:c r="J167" i="2"/>
  <x:c r="G172" i="2"/>
  <x:c r="K176" i="2"/>
  <x:c r="H181" i="2"/>
  <x:c r="L185" i="2"/>
  <x:c r="I190" i="2"/>
  <x:c r="F195" i="2"/>
  <x:c r="J199" i="2"/>
  <x:c r="Q209" i="2"/>
  <x:c r="N222" i="2"/>
  <x:c r="K235" i="2"/>
  <x:c r="M247" i="2"/>
  <x:c r="M263" i="2"/>
  <x:c r="G281" i="2"/>
  <x:c r="G297" i="2"/>
  <x:c r="G313" i="2"/>
  <x:c r="Q348" i="2"/>
  <x:c r="Q380" i="2"/>
  <x:c r="I436" i="2"/>
  <x:c r="F66" i="2"/>
  <x:c r="J70" i="2"/>
  <x:c r="H76" i="2"/>
  <x:c r="L80" i="2"/>
  <x:c r="I85" i="2"/>
  <x:c r="F90" i="2"/>
  <x:c r="J94" i="2"/>
  <x:c r="O99" i="2"/>
  <x:c r="S103" i="2"/>
  <x:c r="P108" i="2"/>
  <x:c r="M113" i="2"/>
  <x:c r="Q117" i="2"/>
  <x:c r="N122" i="2"/>
  <x:c r="R126" i="2"/>
  <x:c r="O131" i="2"/>
  <x:c r="S135" i="2"/>
  <x:c r="P140" i="2"/>
  <x:c r="M145" i="2"/>
  <x:c r="Q149" i="2"/>
  <x:c r="N154" i="2"/>
  <x:c r="R158" i="2"/>
  <x:c r="O163" i="2"/>
  <x:c r="S167" i="2"/>
  <x:c r="P172" i="2"/>
  <x:c r="M177" i="2"/>
  <x:c r="Q181" i="2"/>
  <x:c r="N186" i="2"/>
  <x:c r="R190" i="2"/>
  <x:c r="O195" i="2"/>
  <x:c r="S199" i="2"/>
  <x:c r="L212" i="2"/>
  <x:c r="F224" i="2"/>
  <x:c r="N235" i="2"/>
  <x:c r="R247" i="2"/>
  <x:c r="R263" i="2"/>
  <x:c r="L281" i="2"/>
  <x:c r="L297" i="2"/>
  <x:c r="L313" i="2"/>
  <x:c r="P343" i="2"/>
  <x:c r="P375" i="2"/>
  <x:c r="Q405" i="2"/>
  <x:c r="S596" i="2"/>
  <x:c r="P83" i="2"/>
  <x:c r="M88" i="2"/>
  <x:c r="Q92" i="2"/>
  <x:c r="O97" i="3"/>
  <x:c r="O97" i="2" s="1"/>
  <x:c r="O98" i="2"/>
  <x:c r="S102" i="2"/>
  <x:c r="P107" i="2"/>
  <x:c r="M112" i="2"/>
  <x:c r="Q116" i="2"/>
  <x:c r="N121" i="2"/>
  <x:c r="R125" i="2"/>
  <x:c r="O130" i="2"/>
  <x:c r="S134" i="2"/>
  <x:c r="P139" i="2"/>
  <x:c r="M144" i="2"/>
  <x:c r="Q148" i="2"/>
  <x:c r="N153" i="2"/>
  <x:c r="R157" i="2"/>
  <x:c r="O162" i="2"/>
  <x:c r="S166" i="2"/>
  <x:c r="P171" i="2"/>
  <x:c r="M176" i="2"/>
  <x:c r="Q180" i="2"/>
  <x:c r="N185" i="2"/>
  <x:c r="R189" i="2"/>
  <x:c r="O194" i="2"/>
  <x:c r="S198" i="2"/>
  <x:c r="H210" i="2"/>
  <x:c r="P221" i="2"/>
  <x:c r="Q235" i="2"/>
  <x:c r="N251" i="2"/>
  <x:c r="P274" i="2"/>
  <x:c r="O297" i="2"/>
  <x:c r="O317" i="2"/>
  <x:c r="J349" i="2"/>
  <x:c r="O386" i="2"/>
  <x:c r="N433" i="2"/>
  <x:c r="L527" i="2"/>
  <x:c r="G177" i="2"/>
  <x:c r="K181" i="2"/>
  <x:c r="H186" i="2"/>
  <x:c r="L190" i="2"/>
  <x:c r="I195" i="2"/>
  <x:c r="F200" i="2"/>
  <x:c r="R212" i="2"/>
  <x:c r="K224" i="2"/>
  <x:c r="S235" i="2"/>
  <x:c r="F248" i="2"/>
  <x:c r="K269" i="2"/>
  <x:c r="O292" i="2"/>
  <x:c r="F312" i="2"/>
  <x:c r="Q341" i="2"/>
  <x:c r="J376" i="2"/>
  <x:c r="N409" i="2"/>
  <x:c r="N63" i="2"/>
  <x:c r="R67" i="2"/>
  <x:c r="O72" i="2"/>
  <x:c r="M78" i="2"/>
  <x:c r="Q82" i="2"/>
  <x:c r="N87" i="2"/>
  <x:c r="R91" i="2"/>
  <x:c r="O96" i="2"/>
  <x:c r="M102" i="2"/>
  <x:c r="Q106" i="2"/>
  <x:c r="N111" i="2"/>
  <x:c r="R115" i="2"/>
  <x:c r="O120" i="2"/>
  <x:c r="S124" i="2"/>
  <x:c r="P129" i="2"/>
  <x:c r="M134" i="2"/>
  <x:c r="Q138" i="2"/>
  <x:c r="N143" i="2"/>
  <x:c r="R147" i="2"/>
  <x:c r="O152" i="2"/>
  <x:c r="S156" i="2"/>
  <x:c r="P161" i="2"/>
  <x:c r="M166" i="2"/>
  <x:c r="Q170" i="2"/>
  <x:c r="N175" i="2"/>
  <x:c r="R179" i="2"/>
  <x:c r="O184" i="2"/>
  <x:c r="S188" i="2"/>
  <x:c r="P193" i="2"/>
  <x:c r="M198" i="2"/>
  <x:c r="M210" i="2"/>
  <x:c r="J223" i="2"/>
  <x:c r="R234" i="2"/>
  <x:c r="H250" i="2"/>
  <x:c r="H265" i="3"/>
  <x:c r="H265" i="2" s="1"/>
  <x:c r="H266" i="2"/>
  <x:c r="H282" i="2"/>
  <x:c r="H298" i="2"/>
  <x:c r="H314" i="2"/>
  <x:c r="L347" i="2"/>
  <x:c r="L379" i="2"/>
  <x:c r="J413" i="2"/>
  <x:c r="I482" i="2"/>
  <x:c r="H64" i="2"/>
  <x:c r="L68" i="2"/>
  <x:c r="I73" i="2"/>
  <x:c r="G79" i="2"/>
  <x:c r="K83" i="2"/>
  <x:c r="H88" i="2"/>
  <x:c r="L92" i="2"/>
  <x:c r="J97" i="3"/>
  <x:c r="J97" i="2" s="1"/>
  <x:c r="J98" i="2"/>
  <x:c r="G103" i="2"/>
  <x:c r="K107" i="2"/>
  <x:c r="H112" i="2"/>
  <x:c r="L116" i="2"/>
  <x:c r="I121" i="2"/>
  <x:c r="F126" i="2"/>
  <x:c r="J130" i="2"/>
  <x:c r="G135" i="2"/>
  <x:c r="K139" i="2"/>
  <x:c r="H144" i="2"/>
  <x:c r="L148" i="2"/>
  <x:c r="I153" i="2"/>
  <x:c r="F158" i="2"/>
  <x:c r="J162" i="2"/>
  <x:c r="G167" i="2"/>
  <x:c r="K171" i="2"/>
  <x:c r="H176" i="2"/>
  <x:c r="L180" i="2"/>
  <x:c r="I185" i="2"/>
  <x:c r="F190" i="2"/>
  <x:c r="J194" i="2"/>
  <x:c r="G199" i="2"/>
  <x:c r="P210" i="2"/>
  <x:c r="F222" i="2"/>
  <x:c r="O233" i="2"/>
  <x:c r="H245" i="2"/>
  <x:c r="I259" i="2"/>
  <x:c r="I275" i="2"/>
  <x:c r="I291" i="2"/>
  <x:c r="I307" i="2"/>
  <x:c r="P331" i="2"/>
  <x:c r="P363" i="2"/>
  <x:c r="P395" i="2"/>
  <x:c r="G455" i="2"/>
  <x:c r="O202" i="2"/>
  <x:c r="M208" i="2"/>
  <x:c r="Q212" i="2"/>
  <x:c r="N217" i="2"/>
  <x:c r="R221" i="2"/>
  <x:c r="O226" i="2"/>
  <x:c r="S230" i="2"/>
  <x:c r="P235" i="2"/>
  <x:c r="M240" i="2"/>
  <x:c r="Q244" i="2"/>
  <x:c r="N249" i="2"/>
  <x:c r="R253" i="2"/>
  <x:c r="O258" i="2"/>
  <x:c r="S262" i="2"/>
  <x:c r="Q268" i="2"/>
  <x:c r="N273" i="2"/>
  <x:c r="R277" i="2"/>
  <x:c r="O282" i="2"/>
  <x:c r="S286" i="2"/>
  <x:c r="P291" i="2"/>
  <x:c r="M296" i="2"/>
  <x:c r="Q300" i="2"/>
  <x:c r="N305" i="2"/>
  <x:c r="R309" i="2"/>
  <x:c r="O314" i="2"/>
  <x:c r="M320" i="2"/>
  <x:c r="N329" i="2"/>
  <x:c r="N337" i="2"/>
  <x:c r="N345" i="2"/>
  <x:c r="N353" i="2"/>
  <x:c r="N361" i="2"/>
  <x:c r="N370" i="2"/>
  <x:c r="N378" i="2"/>
  <x:c r="N386" i="2"/>
  <x:c r="N394" i="2"/>
  <x:c r="N402" i="2"/>
  <x:c r="K415" i="2"/>
  <x:c r="K431" i="2"/>
  <x:c r="I449" i="2"/>
  <x:c r="G479" i="2"/>
  <x:c r="Q514" i="2"/>
  <x:c r="R608" i="2"/>
  <x:c r="J203" i="2"/>
  <x:c r="O208" i="2"/>
  <x:c r="S212" i="2"/>
  <x:c r="P217" i="2"/>
  <x:c r="M222" i="2"/>
  <x:c r="Q226" i="2"/>
  <x:c r="N231" i="2"/>
  <x:c r="R235" i="2"/>
  <x:c r="O240" i="2"/>
  <x:c r="S244" i="2"/>
  <x:c r="P249" i="2"/>
  <x:c r="M254" i="2"/>
  <x:c r="Q258" i="2"/>
  <x:c r="N263" i="2"/>
  <x:c r="S268" i="2"/>
  <x:c r="P273" i="2"/>
  <x:c r="M278" i="2"/>
  <x:c r="Q282" i="2"/>
  <x:c r="N287" i="2"/>
  <x:c r="R291" i="2"/>
  <x:c r="O296" i="2"/>
  <x:c r="S300" i="2"/>
  <x:c r="P305" i="2"/>
  <x:c r="M310" i="2"/>
  <x:c r="Q314" i="2"/>
  <x:c r="S321" i="2"/>
  <x:c r="R334" i="2"/>
  <x:c r="R344" i="2"/>
  <x:c r="S354" i="2"/>
  <x:c r="Q367" i="2"/>
  <x:c r="S377" i="2"/>
  <x:c r="R389" i="2"/>
  <x:c r="Q399" i="2"/>
  <x:c r="O411" i="2"/>
  <x:c r="O435" i="2"/>
  <x:c r="I465" i="2"/>
  <x:c r="I497" i="2"/>
  <x:c r="P537" i="2"/>
  <x:c r="H248" i="2"/>
  <x:c r="L252" i="2"/>
  <x:c r="I257" i="2"/>
  <x:c r="F262" i="2"/>
  <x:c r="K267" i="2"/>
  <x:c r="H272" i="2"/>
  <x:c r="L276" i="2"/>
  <x:c r="I281" i="2"/>
  <x:c r="F286" i="2"/>
  <x:c r="J290" i="2"/>
  <x:c r="G295" i="2"/>
  <x:c r="K299" i="2"/>
  <x:c r="H304" i="2"/>
  <x:c r="L308" i="2"/>
  <x:c r="I313" i="2"/>
  <x:c r="G318" i="2"/>
  <x:c r="S334" i="2"/>
  <x:c r="S350" i="2"/>
  <x:c r="S367" i="2"/>
  <x:c r="S383" i="2"/>
  <x:c r="S399" i="2"/>
  <x:c r="J414" i="2"/>
  <x:c r="J437" i="2"/>
  <x:c r="H457" i="2"/>
  <x:c r="I506" i="2"/>
  <x:c r="I200" i="2"/>
  <x:c r="G205" i="3"/>
  <x:c r="G205" i="2" s="1"/>
  <x:c r="G206" i="2"/>
  <x:c r="K210" i="2"/>
  <x:c r="H215" i="2"/>
  <x:c r="L219" i="2"/>
  <x:c r="I224" i="2"/>
  <x:c r="F229" i="2"/>
  <x:c r="J233" i="2"/>
  <x:c r="G238" i="2"/>
  <x:c r="K242" i="2"/>
  <x:c r="H247" i="2"/>
  <x:c r="L251" i="2"/>
  <x:c r="I256" i="2"/>
  <x:c r="F261" i="2"/>
  <x:c r="K265" i="3"/>
  <x:c r="K265" i="2" s="1"/>
  <x:c r="K266" i="2"/>
  <x:c r="H271" i="2"/>
  <x:c r="L275" i="2"/>
  <x:c r="I280" i="2"/>
  <x:c r="F285" i="2"/>
  <x:c r="J289" i="2"/>
  <x:c r="G294" i="2"/>
  <x:c r="K298" i="2"/>
  <x:c r="H303" i="2"/>
  <x:c r="L307" i="2"/>
  <x:c r="I312" i="2"/>
  <x:c r="J317" i="2"/>
  <x:c r="F329" i="2"/>
  <x:c r="G339" i="2"/>
  <x:c r="G349" i="2"/>
  <x:c r="F361" i="2"/>
  <x:c r="H372" i="2"/>
  <x:c r="G382" i="2"/>
  <x:c r="F394" i="2"/>
  <x:c r="H404" i="2"/>
  <x:c r="L416" i="2"/>
  <x:c r="G434" i="2"/>
  <x:c r="I457" i="2"/>
  <x:c r="I489" i="2"/>
  <x:c r="G530" i="2"/>
  <x:c r="J200" i="2"/>
  <x:c r="H205" i="3"/>
  <x:c r="H205" i="2" s="1"/>
  <x:c r="H206" i="2"/>
  <x:c r="L210" i="2"/>
  <x:c r="I215" i="2"/>
  <x:c r="F220" i="2"/>
  <x:c r="J224" i="2"/>
  <x:c r="G229" i="2"/>
  <x:c r="K233" i="2"/>
  <x:c r="H238" i="2"/>
  <x:c r="L242" i="2"/>
  <x:c r="I247" i="2"/>
  <x:c r="F252" i="2"/>
  <x:c r="J256" i="2"/>
  <x:c r="G261" i="2"/>
  <x:c r="L265" i="3"/>
  <x:c r="L265" i="2" s="1"/>
  <x:c r="L266" i="2"/>
  <x:c r="I271" i="2"/>
  <x:c r="F276" i="2"/>
  <x:c r="J280" i="2"/>
  <x:c r="G285" i="2"/>
  <x:c r="K289" i="2"/>
  <x:c r="H294" i="2"/>
  <x:c r="L298" i="2"/>
  <x:c r="I303" i="2"/>
  <x:c r="F308" i="2"/>
  <x:c r="J312" i="2"/>
  <x:c r="N317" i="2"/>
  <x:c r="I325" i="2"/>
  <x:c r="H334" i="2"/>
  <x:c r="H342" i="2"/>
  <x:c r="H350" i="2"/>
  <x:c r="H358" i="2"/>
  <x:c r="H367" i="2"/>
  <x:c r="H375" i="2"/>
  <x:c r="H383" i="2"/>
  <x:c r="H391" i="2"/>
  <x:c r="H399" i="2"/>
  <x:c r="M409" i="2"/>
  <x:c r="R421" i="2"/>
  <x:c r="R437" i="2"/>
  <x:c r="I466" i="2"/>
  <x:c r="G507" i="2"/>
  <x:c r="F202" i="2"/>
  <x:c r="K207" i="2"/>
  <x:c r="H212" i="2"/>
  <x:c r="L216" i="2"/>
  <x:c r="I221" i="2"/>
  <x:c r="F226" i="2"/>
  <x:c r="J230" i="2"/>
  <x:c r="G235" i="2"/>
  <x:c r="K239" i="2"/>
  <x:c r="H244" i="2"/>
  <x:c r="L248" i="2"/>
  <x:c r="I253" i="2"/>
  <x:c r="F258" i="2"/>
  <x:c r="J262" i="2"/>
  <x:c r="O267" i="2"/>
  <x:c r="S271" i="2"/>
  <x:c r="P276" i="2"/>
  <x:c r="M281" i="2"/>
  <x:c r="Q285" i="2"/>
  <x:c r="N290" i="2"/>
  <x:c r="R294" i="2"/>
  <x:c r="O299" i="2"/>
  <x:c r="S303" i="2"/>
  <x:c r="P308" i="2"/>
  <x:c r="M313" i="2"/>
  <x:c r="K319" i="2"/>
  <x:c r="L327" i="3"/>
  <x:c r="L327" i="2" s="1"/>
  <x:c r="L328" i="2"/>
  <x:c r="L336" i="2"/>
  <x:c r="L344" i="2"/>
  <x:c r="L352" i="2"/>
  <x:c r="L360" i="2"/>
  <x:c r="M369" i="2"/>
  <x:c r="M377" i="2"/>
  <x:c r="M385" i="2"/>
  <x:c r="M393" i="2"/>
  <x:c r="M401" i="2"/>
  <x:c r="I412" i="2"/>
  <x:c r="F433" i="2"/>
  <x:c r="H464" i="2"/>
  <x:c r="J501" i="3"/>
  <x:c r="J502" i="2"/>
  <x:c r="J556" i="2"/>
  <x:c r="M322" i="2"/>
  <x:c r="Q326" i="2"/>
  <x:c r="O332" i="2"/>
  <x:c r="S336" i="2"/>
  <x:c r="P341" i="2"/>
  <x:c r="M346" i="2"/>
  <x:c r="Q350" i="2"/>
  <x:c r="N355" i="2"/>
  <x:c r="R359" i="2"/>
  <x:c r="O364" i="2"/>
  <x:c r="M370" i="2"/>
  <x:c r="Q374" i="2"/>
  <x:c r="N379" i="2"/>
  <x:c r="R383" i="2"/>
  <x:c r="O388" i="2"/>
  <x:c r="S392" i="2"/>
  <x:c r="P397" i="2"/>
  <x:c r="M402" i="2"/>
  <x:c r="Q406" i="2"/>
  <x:c r="N411" i="2"/>
  <x:c r="R415" i="2"/>
  <x:c r="O420" i="2"/>
  <x:c r="S424" i="2"/>
  <x:c r="Q430" i="2"/>
  <x:c r="N435" i="2"/>
  <x:c r="R439" i="2"/>
  <x:c r="P445" i="2"/>
  <x:c r="S451" i="2"/>
  <x:c r="F465" i="2"/>
  <x:c r="F481" i="2"/>
  <x:c r="F497" i="2"/>
  <x:c r="H513" i="2"/>
  <x:c r="P524" i="2"/>
  <x:c r="G536" i="2"/>
  <x:c r="O548" i="2"/>
  <x:c r="S571" i="2"/>
  <x:c r="H608" i="2"/>
  <x:c r="F535" i="2"/>
  <x:c r="K547" i="2"/>
  <x:c r="G572" i="2"/>
  <x:c r="S611" i="2"/>
  <x:c r="L812" i="2"/>
  <x:c r="F320" i="2"/>
  <x:c r="J324" i="2"/>
  <x:c r="O329" i="2"/>
  <x:c r="S333" i="2"/>
  <x:c r="P338" i="2"/>
  <x:c r="M343" i="2"/>
  <x:c r="Q347" i="2"/>
  <x:c r="N352" i="2"/>
  <x:c r="R356" i="2"/>
  <x:c r="O361" i="2"/>
  <x:c r="M367" i="2"/>
  <x:c r="Q371" i="2"/>
  <x:c r="N376" i="2"/>
  <x:c r="R380" i="2"/>
  <x:c r="O385" i="2"/>
  <x:c r="S389" i="2"/>
  <x:c r="P394" i="2"/>
  <x:c r="M399" i="2"/>
  <x:c r="Q403" i="2"/>
  <x:c r="N408" i="2"/>
  <x:c r="R412" i="2"/>
  <x:c r="O417" i="2"/>
  <x:c r="S421" i="2"/>
  <x:c r="P426" i="2"/>
  <x:c r="N432" i="2"/>
  <x:c r="R436" i="2"/>
  <x:c r="Q441" i="2"/>
  <x:c r="K447" i="2"/>
  <x:c r="R452" i="2"/>
  <x:c r="I460" i="2"/>
  <x:c r="I468" i="2"/>
  <x:c r="I476" i="2"/>
  <x:c r="I484" i="2"/>
  <x:c r="I492" i="2"/>
  <x:c r="K501" i="3"/>
  <x:c r="K502" i="2"/>
  <x:c r="L512" i="2"/>
  <x:c r="K526" i="2"/>
  <x:c r="F538" i="2"/>
  <x:c r="S556" i="2"/>
  <x:c r="I583" i="2"/>
  <x:c r="S620" i="2"/>
  <x:c r="S316" i="2"/>
  <x:c r="P321" i="2"/>
  <x:c r="M326" i="2"/>
  <x:c r="R331" i="2"/>
  <x:c r="O336" i="2"/>
  <x:c r="S340" i="2"/>
  <x:c r="P345" i="2"/>
  <x:c r="M350" i="2"/>
  <x:c r="Q354" i="2"/>
  <x:c r="N359" i="2"/>
  <x:c r="R363" i="2"/>
  <x:c r="H369" i="2"/>
  <x:c r="L373" i="2"/>
  <x:c r="I378" i="2"/>
  <x:c r="F383" i="2"/>
  <x:c r="J387" i="2"/>
  <x:c r="G392" i="2"/>
  <x:c r="K396" i="2"/>
  <x:c r="H401" i="2"/>
  <x:c r="L405" i="2"/>
  <x:c r="I410" i="2"/>
  <x:c r="F415" i="2"/>
  <x:c r="J419" i="2"/>
  <x:c r="G424" i="2"/>
  <x:c r="L428" i="3"/>
  <x:c r="L428" i="2" s="1"/>
  <x:c r="L429" i="2"/>
  <x:c r="I434" i="2"/>
  <x:c r="F439" i="2"/>
  <x:c r="O444" i="2"/>
  <x:c r="O451" i="2"/>
  <x:c r="N458" i="2"/>
  <x:c r="N466" i="2"/>
  <x:c r="N474" i="2"/>
  <x:c r="N482" i="2"/>
  <x:c r="N490" i="2"/>
  <x:c r="N498" i="2"/>
  <x:c r="P508" i="2"/>
  <x:c r="G520" i="2"/>
  <x:c r="P531" i="2"/>
  <x:c r="F543" i="2"/>
  <x:c r="S560" i="2"/>
  <x:c r="H592" i="2"/>
  <x:c r="F318" i="2"/>
  <x:c r="J322" i="2"/>
  <x:c r="H327" i="3"/>
  <x:c r="H327" i="2" s="1"/>
  <x:c r="H328" i="2"/>
  <x:c r="L332" i="2"/>
  <x:c r="I337" i="2"/>
  <x:c r="F342" i="2"/>
  <x:c r="J346" i="2"/>
  <x:c r="G351" i="2"/>
  <x:c r="K355" i="2"/>
  <x:c r="H360" i="2"/>
  <x:c r="L364" i="2"/>
  <x:c r="Q369" i="2"/>
  <x:c r="N374" i="2"/>
  <x:c r="R378" i="2"/>
  <x:c r="O383" i="2"/>
  <x:c r="S387" i="2"/>
  <x:c r="P392" i="2"/>
  <x:c r="M397" i="2"/>
  <x:c r="Q401" i="2"/>
  <x:c r="N406" i="2"/>
  <x:c r="R410" i="2"/>
  <x:c r="O415" i="2"/>
  <x:c r="S419" i="2"/>
  <x:c r="P424" i="2"/>
  <x:c r="F430" i="2"/>
  <x:c r="J434" i="2"/>
  <x:c r="G439" i="2"/>
  <x:c r="P444" i="2"/>
  <x:c r="F451" i="2"/>
  <x:c r="O458" i="2"/>
  <x:c r="O466" i="2"/>
  <x:c r="O474" i="2"/>
  <x:c r="O482" i="2"/>
  <x:c r="O490" i="2"/>
  <x:c r="O498" i="2"/>
  <x:c r="Q508" i="2"/>
  <x:c r="P521" i="2"/>
  <x:c r="N535" i="2"/>
  <x:c r="P549" i="2"/>
  <x:c r="R570" i="2"/>
  <x:c r="I607" i="2"/>
  <x:c r="L667" i="2"/>
  <x:c r="I408" i="2"/>
  <x:c r="F413" i="2"/>
  <x:c r="J417" i="2"/>
  <x:c r="G422" i="2"/>
  <x:c r="K426" i="2"/>
  <x:c r="P431" i="2"/>
  <x:c r="M436" i="2"/>
  <x:c r="Q440" i="2"/>
  <x:c r="I446" i="2"/>
  <x:c r="Q451" i="2"/>
  <x:c r="P459" i="2"/>
  <x:c r="P467" i="2"/>
  <x:c r="P475" i="2"/>
  <x:c r="P483" i="2"/>
  <x:c r="P491" i="2"/>
  <x:c r="P499" i="2"/>
  <x:c r="J510" i="2"/>
  <x:c r="G523" i="2"/>
  <x:c r="M534" i="2"/>
  <x:c r="P546" i="2"/>
  <x:c r="S568" i="2"/>
  <x:c r="I610" i="2"/>
  <x:c r="I415" i="2"/>
  <x:c r="F420" i="2"/>
  <x:c r="J424" i="2"/>
  <x:c r="H430" i="2"/>
  <x:c r="L434" i="2"/>
  <x:c r="I439" i="2"/>
  <x:c r="H444" i="2"/>
  <x:c r="N450" i="2"/>
  <x:c r="R458" i="2"/>
  <x:c r="Q468" i="2"/>
  <x:c r="S478" i="2"/>
  <x:c r="R490" i="2"/>
  <x:c r="S501" i="3"/>
  <x:c r="S502" i="2"/>
  <x:c r="O515" i="2"/>
  <x:c r="L528" i="2"/>
  <x:c r="K542" i="2"/>
  <x:c r="Q561" i="2"/>
  <x:c r="I589" i="3"/>
  <x:c r="I590" i="2"/>
  <x:c r="I622" i="2"/>
  <x:c r="L454" i="2"/>
  <x:c r="I459" i="2"/>
  <x:c r="F464" i="2"/>
  <x:c r="J468" i="2"/>
  <x:c r="G473" i="2"/>
  <x:c r="K477" i="2"/>
  <x:c r="H482" i="2"/>
  <x:c r="L486" i="2"/>
  <x:c r="I491" i="2"/>
  <x:c r="F496" i="2"/>
  <x:c r="L501" i="3"/>
  <x:c r="L502" i="2"/>
  <x:c r="I507" i="2"/>
  <x:c r="F512" i="2"/>
  <x:c r="J516" i="2"/>
  <x:c r="G521" i="2"/>
  <x:c r="K525" i="2"/>
  <x:c r="H530" i="2"/>
  <x:c r="L534" i="2"/>
  <x:c r="I539" i="2"/>
  <x:c r="F544" i="2"/>
  <x:c r="M550" i="2"/>
  <x:c r="P558" i="2"/>
  <x:c r="G568" i="2"/>
  <x:c r="F580" i="2"/>
  <x:c r="G592" i="2"/>
  <x:c r="F604" i="2"/>
  <x:c r="G614" i="3"/>
  <x:c r="G614" i="2" s="1"/>
  <x:c r="G615" i="2"/>
  <x:c r="H628" i="2"/>
  <x:c r="J649" i="2"/>
  <x:c r="S678" i="2"/>
  <x:c r="L508" i="2"/>
  <x:c r="I513" i="2"/>
  <x:c r="F518" i="2"/>
  <x:c r="J522" i="2"/>
  <x:c r="G527" i="2"/>
  <x:c r="K531" i="2"/>
  <x:c r="H536" i="2"/>
  <x:c r="L540" i="2"/>
  <x:c r="K545" i="2"/>
  <x:c r="J552" i="2"/>
  <x:c r="N560" i="2"/>
  <x:c r="I569" i="2"/>
  <x:c r="I577" i="2"/>
  <x:c r="I585" i="2"/>
  <x:c r="K595" i="2"/>
  <x:c r="K603" i="2"/>
  <x:c r="K611" i="2"/>
  <x:c r="K620" i="2"/>
  <x:c r="S634" i="2"/>
  <x:c r="O674" i="2"/>
  <x:c r="P715" i="2"/>
  <x:c r="M444" i="2"/>
  <x:c r="Q448" i="2"/>
  <x:c r="N453" i="2"/>
  <x:c r="R457" i="2"/>
  <x:c r="O462" i="2"/>
  <x:c r="S466" i="2"/>
  <x:c r="P471" i="2"/>
  <x:c r="M476" i="2"/>
  <x:c r="Q480" i="2"/>
  <x:c r="N485" i="2"/>
  <x:c r="R489" i="2"/>
  <x:c r="O494" i="2"/>
  <x:c r="S498" i="2"/>
  <x:c r="J505" i="2"/>
  <x:c r="G510" i="2"/>
  <x:c r="K514" i="2"/>
  <x:c r="H519" i="2"/>
  <x:c r="L523" i="2"/>
  <x:c r="I528" i="2"/>
  <x:c r="F533" i="2"/>
  <x:c r="J537" i="2"/>
  <x:c r="G542" i="2"/>
  <x:c r="R546" i="2"/>
  <x:c r="Q554" i="3"/>
  <x:c r="Q554" i="2" s="1"/>
  <x:c r="Q555" i="2"/>
  <x:c r="L562" i="2"/>
  <x:c r="M571" i="2"/>
  <x:c r="M579" i="2"/>
  <x:c r="M587" i="2"/>
  <x:c r="M597" i="2"/>
  <x:c r="M605" i="2"/>
  <x:c r="M613" i="2"/>
  <x:c r="O622" i="2"/>
  <x:c r="S647" i="2"/>
  <x:c r="J677" i="2"/>
  <x:c r="N444" i="2"/>
  <x:c r="R448" i="2"/>
  <x:c r="O453" i="2"/>
  <x:c r="S457" i="2"/>
  <x:c r="P462" i="2"/>
  <x:c r="M467" i="2"/>
  <x:c r="Q471" i="2"/>
  <x:c r="N476" i="2"/>
  <x:c r="R480" i="2"/>
  <x:c r="O485" i="2"/>
  <x:c r="S489" i="2"/>
  <x:c r="P494" i="2"/>
  <x:c r="M499" i="2"/>
  <x:c r="S505" i="2"/>
  <x:c r="P510" i="2"/>
  <x:c r="M515" i="2"/>
  <x:c r="Q519" i="2"/>
  <x:c r="N524" i="2"/>
  <x:c r="R528" i="2"/>
  <x:c r="O533" i="2"/>
  <x:c r="S537" i="2"/>
  <x:c r="P542" i="2"/>
  <x:c r="K548" i="2"/>
  <x:c r="L557" i="2"/>
  <x:c r="O565" i="2"/>
  <x:c r="P574" i="2"/>
  <x:c r="P582" i="2"/>
  <x:c r="O592" i="2"/>
  <x:c r="O600" i="2"/>
  <x:c r="O608" i="2"/>
  <x:c r="L617" i="2"/>
  <x:c r="H627" i="2"/>
  <x:c r="L655" i="2"/>
  <x:c r="I685" i="2"/>
  <x:c r="J455" i="2"/>
  <x:c r="G460" i="2"/>
  <x:c r="K464" i="2"/>
  <x:c r="H469" i="2"/>
  <x:c r="L473" i="2"/>
  <x:c r="I478" i="2"/>
  <x:c r="F483" i="2"/>
  <x:c r="J487" i="2"/>
  <x:c r="G492" i="2"/>
  <x:c r="K496" i="2"/>
  <x:c r="J503" i="2"/>
  <x:c r="G508" i="2"/>
  <x:c r="K512" i="2"/>
  <x:c r="H517" i="2"/>
  <x:c r="L521" i="2"/>
  <x:c r="I526" i="2"/>
  <x:c r="F531" i="2"/>
  <x:c r="J535" i="2"/>
  <x:c r="G540" i="2"/>
  <x:c r="K544" i="2"/>
  <x:c r="H550" i="2"/>
  <x:c r="M557" i="2"/>
  <x:c r="O564" i="2"/>
  <x:c r="P573" i="2"/>
  <x:c r="P581" i="2"/>
  <x:c r="Q591" i="2"/>
  <x:c r="Q599" i="2"/>
  <x:c r="Q607" i="2"/>
  <x:c r="P616" i="2"/>
  <x:c r="P627" i="2"/>
  <x:c r="S650" i="2"/>
  <x:c r="I680" i="2"/>
  <x:c r="F582" i="2"/>
  <x:c r="F598" i="2"/>
  <x:c r="F614" i="3"/>
  <x:c r="F614" i="2" s="1"/>
  <x:c r="F615" i="2"/>
  <x:c r="R638" i="2"/>
  <x:c r="R661" i="2"/>
  <x:c r="R686" i="2"/>
  <x:c r="I563" i="2"/>
  <x:c r="N568" i="2"/>
  <x:c r="R572" i="2"/>
  <x:c r="O577" i="2"/>
  <x:c r="S581" i="2"/>
  <x:c r="P586" i="2"/>
  <x:c r="O593" i="2"/>
  <x:c r="S597" i="2"/>
  <x:c r="P602" i="2"/>
  <x:c r="M607" i="2"/>
  <x:c r="Q611" i="2"/>
  <x:c r="G617" i="2"/>
  <x:c r="K621" i="2"/>
  <x:c r="P628" i="2"/>
  <x:c r="P636" i="2"/>
  <x:c r="L647" i="2"/>
  <x:c r="Q661" i="2"/>
  <x:c r="J673" i="2"/>
  <x:c r="Q684" i="2"/>
  <x:c r="O715" i="2"/>
  <x:c r="K546" i="2"/>
  <x:c r="H551" i="2"/>
  <x:c r="F557" i="2"/>
  <x:c r="J561" i="2"/>
  <x:c r="H566" i="3"/>
  <x:c r="H566" i="2" s="1"/>
  <x:c r="H567" i="2"/>
  <x:c r="L571" i="2"/>
  <x:c r="I576" i="2"/>
  <x:c r="F581" i="2"/>
  <x:c r="J585" i="2"/>
  <x:c r="P591" i="2"/>
  <x:c r="M596" i="2"/>
  <x:c r="Q600" i="2"/>
  <x:c r="N605" i="2"/>
  <x:c r="R609" i="2"/>
  <x:c r="P614" i="3"/>
  <x:c r="P614" i="2" s="1"/>
  <x:c r="P615" i="2"/>
  <x:c r="M620" i="2"/>
  <x:c r="F626" i="2"/>
  <x:c r="I644" i="2"/>
  <x:c r="F657" i="2"/>
  <x:c r="P668" i="2"/>
  <x:c r="O682" i="2"/>
  <x:c r="K710" i="2"/>
  <x:c r="J634" i="2"/>
  <x:c r="H643" i="2"/>
  <x:c r="M657" i="2"/>
  <x:c r="K671" i="2"/>
  <x:c r="I684" i="2"/>
  <x:c r="O708" i="2"/>
  <x:c r="G788" i="2"/>
  <x:c r="K551" i="2"/>
  <x:c r="I557" i="2"/>
  <x:c r="F562" i="2"/>
  <x:c r="K566" i="3"/>
  <x:c r="K566" i="2" s="1"/>
  <x:c r="K567" i="2"/>
  <x:c r="H572" i="2"/>
  <x:c r="L576" i="2"/>
  <x:c r="I581" i="2"/>
  <x:c r="F586" i="2"/>
  <x:c r="L592" i="2"/>
  <x:c r="I597" i="2"/>
  <x:c r="F602" i="2"/>
  <x:c r="J606" i="2"/>
  <x:c r="G611" i="2"/>
  <x:c r="L616" i="2"/>
  <x:c r="I621" i="2"/>
  <x:c r="L628" i="2"/>
  <x:c r="L636" i="2"/>
  <x:c r="M648" i="2"/>
  <x:c r="H660" i="2"/>
  <x:c r="L671" i="2"/>
  <x:c r="S687" i="2"/>
  <x:c r="F545" i="2"/>
  <x:c r="J549" i="2"/>
  <x:c r="H554" i="3"/>
  <x:c r="H554" i="2" s="1"/>
  <x:c r="H555" i="2"/>
  <x:c r="L559" i="2"/>
  <x:c r="I564" i="2"/>
  <x:c r="G570" i="2"/>
  <x:c r="K574" i="2"/>
  <x:c r="H579" i="2"/>
  <x:c r="L583" i="2"/>
  <x:c r="K589" i="3"/>
  <x:c r="K590" i="2"/>
  <x:c r="H595" i="2"/>
  <x:c r="L599" i="2"/>
  <x:c r="I604" i="2"/>
  <x:c r="F609" i="2"/>
  <x:c r="J613" i="2"/>
  <x:c r="H619" i="2"/>
  <x:c r="S623" i="2"/>
  <x:c r="L631" i="2"/>
  <x:c r="P639" i="2"/>
  <x:c r="P652" i="2"/>
  <x:c r="I669" i="2"/>
  <x:c r="Q680" i="2"/>
  <x:c r="L703" i="2"/>
  <x:c r="N627" i="2"/>
  <x:c r="R631" i="2"/>
  <x:c r="O636" i="2"/>
  <x:c r="S640" i="2"/>
  <x:c r="I646" i="2"/>
  <x:c r="F651" i="2"/>
  <x:c r="J655" i="2"/>
  <x:c r="G660" i="2"/>
  <x:c r="K664" i="2"/>
  <x:c r="P669" i="2"/>
  <x:c r="M674" i="2"/>
  <x:c r="Q678" i="2"/>
  <x:c r="N683" i="2"/>
  <x:c r="R687" i="2"/>
  <x:c r="J694" i="2"/>
  <x:c r="J703" i="2"/>
  <x:c r="L711" i="3"/>
  <x:c r="L711" i="2" s="1"/>
  <x:c r="L712" i="2"/>
  <x:c r="H731" i="2"/>
  <x:c r="H768" i="2"/>
  <x:c r="F624" i="2"/>
  <x:c r="J628" i="2"/>
  <x:c r="G633" i="2"/>
  <x:c r="K637" i="2"/>
  <x:c r="I643" i="2"/>
  <x:c r="F648" i="2"/>
  <x:c r="J652" i="2"/>
  <x:c r="G657" i="2"/>
  <x:c r="K661" i="2"/>
  <x:c r="I667" i="2"/>
  <x:c r="F672" i="2"/>
  <x:c r="J676" i="2"/>
  <x:c r="G681" i="2"/>
  <x:c r="K685" i="2"/>
  <x:c r="Q692" i="2"/>
  <x:c r="Q703" i="2"/>
  <x:c r="K719" i="2"/>
  <x:c r="K735" i="2"/>
  <x:c r="H782" i="2"/>
  <x:c r="R837" i="2"/>
  <x:c r="H625" i="2"/>
  <x:c r="L629" i="2"/>
  <x:c r="I634" i="2"/>
  <x:c r="F639" i="2"/>
  <x:c r="K644" i="2"/>
  <x:c r="H649" i="2"/>
  <x:c r="L653" i="2"/>
  <x:c r="I658" i="2"/>
  <x:c r="F663" i="2"/>
  <x:c r="K668" i="2"/>
  <x:c r="P673" i="2"/>
  <x:c r="H681" i="2"/>
  <x:c r="F692" i="2"/>
  <x:c r="H716" i="2"/>
  <x:c r="K643" i="2"/>
  <x:c r="F662" i="2"/>
  <x:c r="I681" i="2"/>
  <x:c r="O714" i="2"/>
  <x:c r="F739" i="2"/>
  <x:c r="O653" i="2"/>
  <x:c r="I692" i="2"/>
  <x:c r="P725" i="2"/>
  <x:c r="K805" i="2"/>
  <x:c r="O24" i="2"/>
  <x:c r="M30" i="2"/>
  <x:c r="Q34" i="2"/>
  <x:c r="N39" i="2"/>
  <x:c r="R43" i="2"/>
  <x:c r="O48" i="2"/>
  <x:c r="S52" i="2"/>
  <x:c r="P57" i="2"/>
  <x:c r="O62" i="2"/>
  <x:c r="K70" i="2"/>
  <x:c r="M79" i="2"/>
  <x:c r="O89" i="2"/>
  <x:c r="L102" i="2"/>
  <x:c r="I115" i="2"/>
  <x:c r="N125" i="2"/>
  <x:c r="H138" i="2"/>
  <x:c r="S149" i="2"/>
  <x:c r="F160" i="2"/>
  <x:c r="G174" i="2"/>
  <x:c r="L194" i="2"/>
  <x:c r="M332" i="2"/>
  <x:c r="G7" i="2"/>
  <x:c r="K11" i="2"/>
  <x:c r="H16" i="2"/>
  <x:c r="L20" i="2"/>
  <x:c r="I25" i="2"/>
  <x:c r="G31" i="2"/>
  <x:c r="K35" i="2"/>
  <x:c r="H40" i="2"/>
  <x:c r="L44" i="2"/>
  <x:c r="I49" i="2"/>
  <x:c r="F54" i="2"/>
  <x:c r="J58" i="2"/>
  <x:c r="M63" i="2"/>
  <x:c r="M71" i="2"/>
  <x:c r="R80" i="2"/>
  <x:c r="I96" i="2"/>
  <x:c r="F109" i="2"/>
  <x:c r="R121" i="2"/>
  <x:c r="O134" i="2"/>
  <x:c r="L147" i="2"/>
  <x:c r="K161" i="2"/>
  <x:c r="F173" i="2"/>
  <x:c r="G189" i="2"/>
  <x:c r="F189" i="2"/>
  <x:c r="J193" i="2"/>
  <x:c r="G198" i="2"/>
  <x:c r="H208" i="2"/>
  <x:c r="I222" i="2"/>
  <x:c r="Q233" i="2"/>
  <x:c r="S248" i="2"/>
  <x:c r="J268" i="2"/>
  <x:c r="N291" i="2"/>
  <x:c r="S312" i="2"/>
  <x:c r="K337" i="2"/>
  <x:c r="K369" i="2"/>
  <x:c r="K401" i="2"/>
  <x:c r="F471" i="2"/>
  <x:c r="M66" i="2"/>
  <x:c r="Q70" i="2"/>
  <x:c r="G76" i="2"/>
  <x:c r="K80" i="2"/>
  <x:c r="H85" i="2"/>
  <x:c r="L89" i="2"/>
  <x:c r="I94" i="2"/>
  <x:c r="N99" i="2"/>
  <x:c r="R103" i="2"/>
  <x:c r="O108" i="2"/>
  <x:c r="S112" i="2"/>
  <x:c r="P117" i="2"/>
  <x:c r="M122" i="2"/>
  <x:c r="Q126" i="2"/>
  <x:c r="N131" i="2"/>
  <x:c r="R135" i="2"/>
  <x:c r="O140" i="2"/>
  <x:c r="S144" i="2"/>
  <x:c r="P149" i="2"/>
  <x:c r="M154" i="2"/>
  <x:c r="Q158" i="2"/>
  <x:c r="N163" i="2"/>
  <x:c r="R167" i="2"/>
  <x:c r="O172" i="2"/>
  <x:c r="S176" i="2"/>
  <x:c r="P181" i="2"/>
  <x:c r="M186" i="2"/>
  <x:c r="Q190" i="2"/>
  <x:c r="N195" i="2"/>
  <x:c r="R199" i="2"/>
  <x:c r="F211" i="2"/>
  <x:c r="G225" i="2"/>
  <x:c r="O236" i="2"/>
  <x:c r="G249" i="2"/>
  <x:c r="F267" i="2"/>
  <x:c r="F283" i="2"/>
  <x:c r="F299" i="2"/>
  <x:c r="F315" i="2"/>
  <x:c r="I351" i="2"/>
  <x:c r="I383" i="2"/>
  <x:c r="G447" i="2"/>
  <x:c r="N66" i="2"/>
  <x:c r="R70" i="2"/>
  <x:c r="P76" i="2"/>
  <x:c r="M81" i="2"/>
  <x:c r="Q85" i="2"/>
  <x:c r="N90" i="2"/>
  <x:c r="R94" i="2"/>
  <x:c r="H100" i="2"/>
  <x:c r="L104" i="2"/>
  <x:c r="I109" i="2"/>
  <x:c r="F114" i="2"/>
  <x:c r="J118" i="2"/>
  <x:c r="G123" i="2"/>
  <x:c r="K127" i="2"/>
  <x:c r="H132" i="2"/>
  <x:c r="L136" i="2"/>
  <x:c r="I141" i="2"/>
  <x:c r="F146" i="2"/>
  <x:c r="J150" i="2"/>
  <x:c r="G155" i="2"/>
  <x:c r="K159" i="2"/>
  <x:c r="H164" i="2"/>
  <x:c r="L168" i="2"/>
  <x:c r="I173" i="2"/>
  <x:c r="F178" i="2"/>
  <x:c r="J182" i="2"/>
  <x:c r="G187" i="2"/>
  <x:c r="K191" i="2"/>
  <x:c r="H196" i="2"/>
  <x:c r="J202" i="2"/>
  <x:c r="S213" i="2"/>
  <x:c r="I225" i="2"/>
  <x:c r="R236" i="2"/>
  <x:c r="L249" i="2"/>
  <x:c r="I267" i="2"/>
  <x:c r="I283" i="2"/>
  <x:c r="I299" i="2"/>
  <x:c r="I315" i="2"/>
  <x:c r="K346" i="2"/>
  <x:c r="K378" i="2"/>
  <x:c r="R408" i="2"/>
  <x:c r="L79" i="2"/>
  <x:c r="I84" i="2"/>
  <x:c r="F89" i="2"/>
  <x:c r="J93" i="2"/>
  <x:c r="H99" i="2"/>
  <x:c r="L103" i="2"/>
  <x:c r="I108" i="2"/>
  <x:c r="F113" i="2"/>
  <x:c r="J117" i="2"/>
  <x:c r="G122" i="2"/>
  <x:c r="K126" i="2"/>
  <x:c r="H131" i="2"/>
  <x:c r="L135" i="2"/>
  <x:c r="I140" i="2"/>
  <x:c r="F145" i="2"/>
  <x:c r="J149" i="2"/>
  <x:c r="G154" i="2"/>
  <x:c r="K158" i="2"/>
  <x:c r="H163" i="2"/>
  <x:c r="L167" i="2"/>
  <x:c r="I172" i="2"/>
  <x:c r="F177" i="2"/>
  <x:c r="J181" i="2"/>
  <x:c r="G186" i="2"/>
  <x:c r="K190" i="2"/>
  <x:c r="H195" i="2"/>
  <x:c r="L199" i="2"/>
  <x:c r="K211" i="2"/>
  <x:c r="H224" i="2"/>
  <x:c r="I238" i="2"/>
  <x:c r="H253" i="2"/>
  <x:c r="J276" i="2"/>
  <x:c r="N299" i="2"/>
  <x:c r="O322" i="2"/>
  <x:c r="O354" i="2"/>
  <x:c r="J389" i="2"/>
  <x:c r="O448" i="2"/>
  <x:c r="H540" i="2"/>
  <x:c r="O177" i="2"/>
  <x:c r="S181" i="2"/>
  <x:c r="P186" i="2"/>
  <x:c r="M191" i="2"/>
  <x:c r="Q195" i="2"/>
  <x:c r="I201" i="2"/>
  <x:c r="F214" i="2"/>
  <x:c r="O225" i="2"/>
  <x:c r="H237" i="2"/>
  <x:c r="Q251" i="2"/>
  <x:c r="J271" i="2"/>
  <x:c r="I294" i="2"/>
  <x:c r="Q315" i="2"/>
  <x:c r="J344" i="2"/>
  <x:c r="Q381" i="2"/>
  <x:c r="R428" i="3"/>
  <x:c r="R428" i="2" s="1"/>
  <x:c r="R429" i="2"/>
  <x:c r="G64" i="2"/>
  <x:c r="K68" i="2"/>
  <x:c r="H73" i="2"/>
  <x:c r="F79" i="2"/>
  <x:c r="J83" i="2"/>
  <x:c r="G88" i="2"/>
  <x:c r="K92" i="2"/>
  <x:c r="I97" i="3"/>
  <x:c r="I97" i="2" s="1"/>
  <x:c r="I98" i="2"/>
  <x:c r="F103" i="2"/>
  <x:c r="J107" i="2"/>
  <x:c r="G112" i="2"/>
  <x:c r="K116" i="2"/>
  <x:c r="H121" i="2"/>
  <x:c r="L125" i="2"/>
  <x:c r="I130" i="2"/>
  <x:c r="F135" i="2"/>
  <x:c r="J139" i="2"/>
  <x:c r="G144" i="2"/>
  <x:c r="K148" i="2"/>
  <x:c r="H153" i="2"/>
  <x:c r="L157" i="2"/>
  <x:c r="I162" i="2"/>
  <x:c r="F167" i="2"/>
  <x:c r="J171" i="2"/>
  <x:c r="G176" i="2"/>
  <x:c r="K180" i="2"/>
  <x:c r="H185" i="2"/>
  <x:c r="L189" i="2"/>
  <x:c r="I194" i="2"/>
  <x:c r="F199" i="2"/>
  <x:c r="Q211" i="2"/>
  <x:c r="N224" i="2"/>
  <x:c r="K237" i="2"/>
  <x:c r="P253" i="2"/>
  <x:c r="P269" i="2"/>
  <x:c r="P285" i="2"/>
  <x:c r="P301" i="2"/>
  <x:c r="Q320" i="2"/>
  <x:c r="Q352" i="2"/>
  <x:c r="Q384" i="2"/>
  <x:c r="N417" i="2"/>
  <x:c r="H497" i="2"/>
  <x:c r="P64" i="2"/>
  <x:c r="M69" i="2"/>
  <x:c r="Q73" i="2"/>
  <x:c r="O79" i="2"/>
  <x:c r="S83" i="2"/>
  <x:c r="P88" i="2"/>
  <x:c r="M93" i="2"/>
  <x:c r="R97" i="3"/>
  <x:c r="R97" i="2" s="1"/>
  <x:c r="R98" i="2"/>
  <x:c r="O103" i="2"/>
  <x:c r="S107" i="2"/>
  <x:c r="P112" i="2"/>
  <x:c r="M117" i="2"/>
  <x:c r="Q121" i="2"/>
  <x:c r="N126" i="2"/>
  <x:c r="R130" i="2"/>
  <x:c r="O135" i="2"/>
  <x:c r="S139" i="2"/>
  <x:c r="P144" i="2"/>
  <x:c r="M149" i="2"/>
  <x:c r="Q153" i="2"/>
  <x:c r="N158" i="2"/>
  <x:c r="R162" i="2"/>
  <x:c r="O167" i="2"/>
  <x:c r="S171" i="2"/>
  <x:c r="P176" i="2"/>
  <x:c r="M181" i="2"/>
  <x:c r="Q185" i="2"/>
  <x:c r="N190" i="2"/>
  <x:c r="R194" i="2"/>
  <x:c r="O199" i="2"/>
  <x:c r="S211" i="2"/>
  <x:c r="M223" i="2"/>
  <x:c r="G236" i="2"/>
  <x:c r="Q246" i="2"/>
  <x:c r="Q262" i="2"/>
  <x:c r="Q278" i="2"/>
  <x:c r="Q294" i="2"/>
  <x:c r="Q310" i="2"/>
  <x:c r="J334" i="2"/>
  <x:c r="J365" i="3"/>
  <x:c r="J365" i="2" s="1"/>
  <x:c r="J366" i="2"/>
  <x:c r="J398" i="2"/>
  <x:c r="H488" i="2"/>
  <x:c r="H203" i="2"/>
  <x:c r="F209" i="2"/>
  <x:c r="J213" i="2"/>
  <x:c r="G218" i="2"/>
  <x:c r="K222" i="2"/>
  <x:c r="H227" i="2"/>
  <x:c r="L231" i="2"/>
  <x:c r="I236" i="2"/>
  <x:c r="F241" i="2"/>
  <x:c r="J245" i="2"/>
  <x:c r="G250" i="2"/>
  <x:c r="K254" i="2"/>
  <x:c r="H259" i="2"/>
  <x:c r="L263" i="2"/>
  <x:c r="J269" i="2"/>
  <x:c r="G274" i="2"/>
  <x:c r="K278" i="2"/>
  <x:c r="H283" i="2"/>
  <x:c r="L287" i="2"/>
  <x:c r="I292" i="2"/>
  <x:c r="F297" i="2"/>
  <x:c r="J301" i="2"/>
  <x:c r="G306" i="2"/>
  <x:c r="K310" i="2"/>
  <x:c r="H315" i="2"/>
  <x:c r="N321" i="2"/>
  <x:c r="N330" i="2"/>
  <x:c r="N338" i="2"/>
  <x:c r="N346" i="2"/>
  <x:c r="N354" i="2"/>
  <x:c r="N362" i="2"/>
  <x:c r="O371" i="2"/>
  <x:c r="O379" i="2"/>
  <x:c r="O387" i="2"/>
  <x:c r="O395" i="2"/>
  <x:c r="O403" i="2"/>
  <x:c r="M417" i="2"/>
  <x:c r="M433" i="2"/>
  <x:c r="J451" i="2"/>
  <x:c r="G482" i="2"/>
  <x:c r="M518" i="2"/>
  <x:c r="S635" i="2"/>
  <x:c r="R203" i="2"/>
  <x:c r="H209" i="2"/>
  <x:c r="L213" i="2"/>
  <x:c r="I218" i="2"/>
  <x:c r="F223" i="2"/>
  <x:c r="J227" i="2"/>
  <x:c r="G232" i="2"/>
  <x:c r="K236" i="2"/>
  <x:c r="H241" i="2"/>
  <x:c r="L245" i="2"/>
  <x:c r="I250" i="2"/>
  <x:c r="F255" i="2"/>
  <x:c r="J259" i="2"/>
  <x:c r="G264" i="2"/>
  <x:c r="L269" i="2"/>
  <x:c r="I274" i="2"/>
  <x:c r="F279" i="2"/>
  <x:c r="J283" i="2"/>
  <x:c r="G288" i="2"/>
  <x:c r="K292" i="2"/>
  <x:c r="H297" i="2"/>
  <x:c r="L301" i="2"/>
  <x:c r="I306" i="2"/>
  <x:c r="F311" i="2"/>
  <x:c r="J315" i="2"/>
  <x:c r="S322" i="2"/>
  <x:c r="Q335" i="2"/>
  <x:c r="S345" i="2"/>
  <x:c r="R357" i="2"/>
  <x:c r="R368" i="2"/>
  <x:c r="S378" i="2"/>
  <x:c r="R390" i="2"/>
  <x:c r="R400" i="2"/>
  <x:c r="Q412" i="2"/>
  <x:c r="I437" i="2"/>
  <x:c r="H468" i="2"/>
  <x:c r="G503" i="2"/>
  <x:c r="R542" i="2"/>
  <x:c r="P248" i="2"/>
  <x:c r="M253" i="2"/>
  <x:c r="Q257" i="2"/>
  <x:c r="N262" i="2"/>
  <x:c r="S267" i="2"/>
  <x:c r="P272" i="2"/>
  <x:c r="M277" i="2"/>
  <x:c r="Q281" i="2"/>
  <x:c r="N286" i="2"/>
  <x:c r="R290" i="2"/>
  <x:c r="O295" i="2"/>
  <x:c r="S299" i="2"/>
  <x:c r="P304" i="2"/>
  <x:c r="M309" i="2"/>
  <x:c r="Q313" i="2"/>
  <x:c r="S318" i="2"/>
  <x:c r="S335" i="2"/>
  <x:c r="S351" i="2"/>
  <x:c r="F372" i="2"/>
  <x:c r="F388" i="2"/>
  <x:c r="F404" i="2"/>
  <x:c r="F418" i="2"/>
  <x:c r="F441" i="2"/>
  <x:c r="F463" i="2"/>
  <x:c r="J509" i="2"/>
  <x:c r="Q200" i="2"/>
  <x:c r="O205" i="3"/>
  <x:c r="O205" i="2" s="1"/>
  <x:c r="O206" i="2"/>
  <x:c r="S210" i="2"/>
  <x:c r="P215" i="2"/>
  <x:c r="M220" i="2"/>
  <x:c r="Q224" i="2"/>
  <x:c r="N229" i="2"/>
  <x:c r="R233" i="2"/>
  <x:c r="O238" i="2"/>
  <x:c r="S242" i="2"/>
  <x:c r="P247" i="2"/>
  <x:c r="M252" i="2"/>
  <x:c r="Q256" i="2"/>
  <x:c r="N261" i="2"/>
  <x:c r="S265" i="3"/>
  <x:c r="S265" i="2" s="1"/>
  <x:c r="S266" i="2"/>
  <x:c r="P271" i="2"/>
  <x:c r="M276" i="2"/>
  <x:c r="Q280" i="2"/>
  <x:c r="N285" i="2"/>
  <x:c r="R289" i="2"/>
  <x:c r="O294" i="2"/>
  <x:c r="S298" i="2"/>
  <x:c r="P303" i="2"/>
  <x:c r="M308" i="2"/>
  <x:c r="Q312" i="2"/>
  <x:c r="H318" i="2"/>
  <x:c r="F330" i="2"/>
  <x:c r="H340" i="2"/>
  <x:c r="G350" i="2"/>
  <x:c r="F362" i="2"/>
  <x:c r="G373" i="2"/>
  <x:c r="F385" i="2"/>
  <x:c r="G395" i="2"/>
  <x:c r="J405" i="2"/>
  <x:c r="G418" i="2"/>
  <x:c r="Q437" i="2"/>
  <x:c r="H460" i="2"/>
  <x:c r="H492" i="2"/>
  <x:c r="Q533" i="2"/>
  <x:c r="R200" i="2"/>
  <x:c r="P205" i="3"/>
  <x:c r="P205" i="2" s="1"/>
  <x:c r="P206" i="2"/>
  <x:c r="M211" i="2"/>
  <x:c r="Q215" i="2"/>
  <x:c r="N220" i="2"/>
  <x:c r="R224" i="2"/>
  <x:c r="O229" i="2"/>
  <x:c r="S233" i="2"/>
  <x:c r="P238" i="2"/>
  <x:c r="M243" i="2"/>
  <x:c r="Q247" i="2"/>
  <x:c r="N252" i="2"/>
  <x:c r="R256" i="2"/>
  <x:c r="O261" i="2"/>
  <x:c r="M267" i="2"/>
  <x:c r="Q271" i="2"/>
  <x:c r="N276" i="2"/>
  <x:c r="R280" i="2"/>
  <x:c r="O285" i="2"/>
  <x:c r="S289" i="2"/>
  <x:c r="P294" i="2"/>
  <x:c r="M299" i="2"/>
  <x:c r="Q303" i="2"/>
  <x:c r="N308" i="2"/>
  <x:c r="R312" i="2"/>
  <x:c r="I318" i="2"/>
  <x:c r="H326" i="2"/>
  <x:c r="H335" i="2"/>
  <x:c r="H343" i="2"/>
  <x:c r="H351" i="2"/>
  <x:c r="H359" i="2"/>
  <x:c r="I368" i="2"/>
  <x:c r="I376" i="2"/>
  <x:c r="I384" i="2"/>
  <x:c r="I392" i="2"/>
  <x:c r="I400" i="2"/>
  <x:c r="O410" i="2"/>
  <x:c r="L423" i="2"/>
  <x:c r="L439" i="2"/>
  <x:c r="H472" i="2"/>
  <x:c r="N513" i="2"/>
  <x:c r="N202" i="2"/>
  <x:c r="S207" i="2"/>
  <x:c r="P212" i="2"/>
  <x:c r="M217" i="2"/>
  <x:c r="Q221" i="2"/>
  <x:c r="N226" i="2"/>
  <x:c r="R230" i="2"/>
  <x:c r="O235" i="2"/>
  <x:c r="S239" i="2"/>
  <x:c r="P244" i="2"/>
  <x:c r="M249" i="2"/>
  <x:c r="Q253" i="2"/>
  <x:c r="N258" i="2"/>
  <x:c r="R262" i="2"/>
  <x:c r="H268" i="2"/>
  <x:c r="L272" i="2"/>
  <x:c r="I277" i="2"/>
  <x:c r="F282" i="2"/>
  <x:c r="J286" i="2"/>
  <x:c r="G291" i="2"/>
  <x:c r="K295" i="2"/>
  <x:c r="H300" i="2"/>
  <x:c r="L304" i="2"/>
  <x:c r="I309" i="2"/>
  <x:c r="F314" i="2"/>
  <x:c r="L320" i="2"/>
  <x:c r="M329" i="2"/>
  <x:c r="M337" i="2"/>
  <x:c r="M345" i="2"/>
  <x:c r="M353" i="2"/>
  <x:c r="M361" i="2"/>
  <x:c r="L370" i="2"/>
  <x:c r="L378" i="2"/>
  <x:c r="L386" i="2"/>
  <x:c r="L394" i="2"/>
  <x:c r="L402" i="2"/>
  <x:c r="O413" i="2"/>
  <x:c r="P436" i="2"/>
  <x:c r="G467" i="2"/>
  <x:c r="H505" i="2"/>
  <x:c r="L696" i="2"/>
  <x:c r="F323" i="2"/>
  <x:c r="K327" i="3"/>
  <x:c r="K327" i="2" s="1"/>
  <x:c r="K328" i="2"/>
  <x:c r="H333" i="2"/>
  <x:c r="L337" i="2"/>
  <x:c r="I342" i="2"/>
  <x:c r="F347" i="2"/>
  <x:c r="J351" i="2"/>
  <x:c r="G356" i="2"/>
  <x:c r="K360" i="2"/>
  <x:c r="I365" i="3"/>
  <x:c r="I365" i="2" s="1"/>
  <x:c r="I366" i="2"/>
  <x:c r="F371" i="2"/>
  <x:c r="J375" i="2"/>
  <x:c r="G380" i="2"/>
  <x:c r="K384" i="2"/>
  <x:c r="H389" i="2"/>
  <x:c r="L393" i="2"/>
  <x:c r="I398" i="2"/>
  <x:c r="F403" i="2"/>
  <x:c r="J407" i="2"/>
  <x:c r="G412" i="2"/>
  <x:c r="K416" i="2"/>
  <x:c r="H421" i="2"/>
  <x:c r="L425" i="2"/>
  <x:c r="J431" i="2"/>
  <x:c r="G436" i="2"/>
  <x:c r="K440" i="2"/>
  <x:c r="K446" i="2"/>
  <x:c r="O452" i="2"/>
  <x:c r="F466" i="2"/>
  <x:c r="F482" i="2"/>
  <x:c r="F498" i="2"/>
  <x:c r="N514" i="2"/>
  <x:c r="R525" i="2"/>
  <x:c r="N537" i="2"/>
  <x:c r="L550" i="2"/>
  <x:c r="I574" i="2"/>
  <x:c r="S619" i="2"/>
  <x:c r="M536" i="2"/>
  <x:c r="R552" i="2"/>
  <x:c r="F575" i="2"/>
  <x:c r="Q617" i="2"/>
  <x:c r="G819" i="2"/>
  <x:c r="N320" i="2"/>
  <x:c r="R324" i="2"/>
  <x:c r="H330" i="2"/>
  <x:c r="L334" i="2"/>
  <x:c r="I339" i="2"/>
  <x:c r="F344" i="2"/>
  <x:c r="J348" i="2"/>
  <x:c r="G353" i="2"/>
  <x:c r="K357" i="2"/>
  <x:c r="H362" i="2"/>
  <x:c r="F368" i="2"/>
  <x:c r="J372" i="2"/>
  <x:c r="G377" i="2"/>
  <x:c r="K381" i="2"/>
  <x:c r="H386" i="2"/>
  <x:c r="L390" i="2"/>
  <x:c r="I395" i="2"/>
  <x:c r="F400" i="2"/>
  <x:c r="J404" i="2"/>
  <x:c r="G409" i="2"/>
  <x:c r="K413" i="2"/>
  <x:c r="H418" i="2"/>
  <x:c r="L422" i="2"/>
  <x:c r="I427" i="2"/>
  <x:c r="G433" i="2"/>
  <x:c r="K437" i="2"/>
  <x:c r="N442" i="2"/>
  <x:c r="F448" i="2"/>
  <x:c r="P453" i="2"/>
  <x:c r="J461" i="2"/>
  <x:c r="J469" i="2"/>
  <x:c r="J477" i="2"/>
  <x:c r="J485" i="2"/>
  <x:c r="J493" i="2"/>
  <x:c r="K503" i="2"/>
  <x:c r="P513" i="2"/>
  <x:c r="N527" i="2"/>
  <x:c r="H539" i="2"/>
  <x:c r="Q558" i="2"/>
  <x:c r="R594" i="2"/>
  <x:c r="L624" i="2"/>
  <x:c r="L317" i="2"/>
  <x:c r="I322" i="2"/>
  <x:c r="G327" i="3"/>
  <x:c r="G327" i="2" s="1"/>
  <x:c r="G328" i="2"/>
  <x:c r="K332" i="2"/>
  <x:c r="H337" i="2"/>
  <x:c r="L341" i="2"/>
  <x:c r="I346" i="2"/>
  <x:c r="F351" i="2"/>
  <x:c r="J355" i="2"/>
  <x:c r="G360" i="2"/>
  <x:c r="K364" i="2"/>
  <x:c r="P369" i="2"/>
  <x:c r="M374" i="2"/>
  <x:c r="Q378" i="2"/>
  <x:c r="N383" i="2"/>
  <x:c r="R387" i="2"/>
  <x:c r="O392" i="2"/>
  <x:c r="S396" i="2"/>
  <x:c r="P401" i="2"/>
  <x:c r="M406" i="2"/>
  <x:c r="Q410" i="2"/>
  <x:c r="N415" i="2"/>
  <x:c r="R419" i="2"/>
  <x:c r="O424" i="2"/>
  <x:c r="M430" i="2"/>
  <x:c r="Q434" i="2"/>
  <x:c r="N439" i="2"/>
  <x:c r="J445" i="2"/>
  <x:c r="I452" i="2"/>
  <x:c r="K459" i="2"/>
  <x:c r="K467" i="2"/>
  <x:c r="K475" i="2"/>
  <x:c r="K483" i="2"/>
  <x:c r="K491" i="2"/>
  <x:c r="K499" i="2"/>
  <x:c r="R509" i="2"/>
  <x:c r="N521" i="2"/>
  <x:c r="S532" i="2"/>
  <x:c r="M544" i="2"/>
  <x:c r="H568" i="2"/>
  <x:c r="S603" i="2"/>
  <x:c r="N318" i="2"/>
  <x:c r="R322" i="2"/>
  <x:c r="P327" i="3"/>
  <x:c r="P327" i="2" s="1"/>
  <x:c r="P328" i="2"/>
  <x:c r="M333" i="2"/>
  <x:c r="Q337" i="2"/>
  <x:c r="N342" i="2"/>
  <x:c r="R346" i="2"/>
  <x:c r="O351" i="2"/>
  <x:c r="S355" i="2"/>
  <x:c r="P360" i="2"/>
  <x:c r="F365" i="3"/>
  <x:c r="F365" i="2" s="1"/>
  <x:c r="F366" i="2"/>
  <x:c r="J370" i="2"/>
  <x:c r="G375" i="2"/>
  <x:c r="K379" i="2"/>
  <x:c r="H384" i="2"/>
  <x:c r="L388" i="2"/>
  <x:c r="I393" i="2"/>
  <x:c r="F398" i="2"/>
  <x:c r="J402" i="2"/>
  <x:c r="G407" i="2"/>
  <x:c r="K411" i="2"/>
  <x:c r="H416" i="2"/>
  <x:c r="L420" i="2"/>
  <x:c r="I425" i="2"/>
  <x:c r="N430" i="2"/>
  <x:c r="R434" i="2"/>
  <x:c r="O439" i="2"/>
  <x:c r="K445" i="2"/>
  <x:c r="P451" i="2"/>
  <x:c r="O459" i="2"/>
  <x:c r="O467" i="2"/>
  <x:c r="O475" i="2"/>
  <x:c r="O483" i="2"/>
  <x:c r="O491" i="2"/>
  <x:c r="O499" i="2"/>
  <x:c r="K511" i="2"/>
  <x:c r="H524" i="2"/>
  <x:c r="F537" i="2"/>
  <x:c r="M551" i="2"/>
  <x:c r="H573" i="2"/>
  <x:c r="S612" i="2"/>
  <x:c r="M404" i="2"/>
  <x:c r="Q408" i="2"/>
  <x:c r="N413" i="2"/>
  <x:c r="R417" i="2"/>
  <x:c r="O422" i="2"/>
  <x:c r="S426" i="2"/>
  <x:c r="I432" i="2"/>
  <x:c r="F437" i="2"/>
  <x:c r="L441" i="2"/>
  <x:c r="S446" i="2"/>
  <x:c r="K452" i="2"/>
  <x:c r="P460" i="2"/>
  <x:c r="P468" i="2"/>
  <x:c r="P476" i="2"/>
  <x:c r="P484" i="2"/>
  <x:c r="P492" i="2"/>
  <x:c r="R501" i="3"/>
  <x:c r="R502" i="2"/>
  <x:c r="L511" i="2"/>
  <x:c r="I524" i="2"/>
  <x:c r="S535" i="2"/>
  <x:c r="F548" i="2"/>
  <x:c r="H576" i="2"/>
  <x:c r="H616" i="2"/>
  <x:c r="Q415" i="2"/>
  <x:c r="N420" i="2"/>
  <x:c r="R424" i="2"/>
  <x:c r="P430" i="2"/>
  <x:c r="M435" i="2"/>
  <x:c r="Q439" i="2"/>
  <x:c r="R444" i="2"/>
  <x:c r="H451" i="2"/>
  <x:c r="R459" i="2"/>
  <x:c r="R469" i="2"/>
  <x:c r="S479" i="2"/>
  <x:c r="R491" i="2"/>
  <x:c r="S503" i="2"/>
  <x:c r="Q516" i="2"/>
  <x:c r="P529" i="2"/>
  <x:c r="N543" i="2"/>
  <x:c r="J571" i="2"/>
  <x:c r="H593" i="2"/>
  <x:c r="G626" i="2"/>
  <x:c r="M455" i="2"/>
  <x:c r="Q459" i="2"/>
  <x:c r="N464" i="2"/>
  <x:c r="R468" i="2"/>
  <x:c r="O473" i="2"/>
  <x:c r="S477" i="2"/>
  <x:c r="P482" i="2"/>
  <x:c r="M487" i="2"/>
  <x:c r="Q491" i="2"/>
  <x:c r="N496" i="2"/>
  <x:c r="M503" i="2"/>
  <x:c r="Q507" i="2"/>
  <x:c r="N512" i="2"/>
  <x:c r="R516" i="2"/>
  <x:c r="O521" i="2"/>
  <x:c r="S525" i="2"/>
  <x:c r="P530" i="2"/>
  <x:c r="M535" i="2"/>
  <x:c r="Q539" i="2"/>
  <x:c r="N544" i="2"/>
  <x:c r="J551" i="2"/>
  <x:c r="N559" i="2"/>
  <x:c r="F571" i="2"/>
  <x:c r="G581" i="2"/>
  <x:c r="F595" i="2"/>
  <x:c r="G605" i="2"/>
  <x:c r="G616" i="2"/>
  <x:c r="G630" i="2"/>
  <x:c r="P651" i="2"/>
  <x:c r="J681" i="2"/>
  <x:c r="M509" i="2"/>
  <x:c r="Q513" i="2"/>
  <x:c r="N518" i="2"/>
  <x:c r="R522" i="2"/>
  <x:c r="O527" i="2"/>
  <x:c r="S531" i="2"/>
  <x:c r="P536" i="2"/>
  <x:c r="M541" i="2"/>
  <x:c r="F546" i="2"/>
  <x:c r="G553" i="2"/>
  <x:c r="I561" i="2"/>
  <x:c r="J570" i="2"/>
  <x:c r="J578" i="2"/>
  <x:c r="J586" i="2"/>
  <x:c r="K596" i="2"/>
  <x:c r="K604" i="2"/>
  <x:c r="K612" i="2"/>
  <x:c r="L621" i="2"/>
  <x:c r="H639" i="2"/>
  <x:c r="I677" i="2"/>
  <x:c r="J733" i="2"/>
  <x:c r="F445" i="2"/>
  <x:c r="J449" i="2"/>
  <x:c r="G454" i="2"/>
  <x:c r="K458" i="2"/>
  <x:c r="H463" i="2"/>
  <x:c r="L467" i="2"/>
  <x:c r="I472" i="2"/>
  <x:c r="F477" i="2"/>
  <x:c r="J481" i="2"/>
  <x:c r="G486" i="2"/>
  <x:c r="K490" i="2"/>
  <x:c r="H495" i="2"/>
  <x:c r="L499" i="2"/>
  <x:c r="R505" i="2"/>
  <x:c r="O510" i="2"/>
  <x:c r="S514" i="2"/>
  <x:c r="P519" i="2"/>
  <x:c r="M524" i="2"/>
  <x:c r="Q528" i="2"/>
  <x:c r="N533" i="2"/>
  <x:c r="R537" i="2"/>
  <x:c r="O542" i="2"/>
  <x:c r="N547" i="2"/>
  <x:c r="L556" i="2"/>
  <x:c r="M563" i="2"/>
  <x:c r="L572" i="2"/>
  <x:c r="L580" i="2"/>
  <x:c r="N589" i="3"/>
  <x:c r="N590" i="2"/>
  <x:c r="N598" i="2"/>
  <x:c r="N606" i="2"/>
  <x:c r="N614" i="3"/>
  <x:c r="N614" i="2" s="1"/>
  <x:c r="N615" i="2"/>
  <x:c r="L625" i="2"/>
  <x:c r="K650" i="2"/>
  <x:c r="S679" i="2"/>
  <x:c r="G445" i="2"/>
  <x:c r="K449" i="2"/>
  <x:c r="H454" i="2"/>
  <x:c r="L458" i="2"/>
  <x:c r="I463" i="2"/>
  <x:c r="F468" i="2"/>
  <x:c r="J472" i="2"/>
  <x:c r="G477" i="2"/>
  <x:c r="K481" i="2"/>
  <x:c r="H486" i="2"/>
  <x:c r="L490" i="2"/>
  <x:c r="I495" i="2"/>
  <x:c r="H501" i="3"/>
  <x:c r="H502" i="2"/>
  <x:c r="L506" i="2"/>
  <x:c r="I511" i="2"/>
  <x:c r="F516" i="2"/>
  <x:c r="J520" i="2"/>
  <x:c r="G525" i="2"/>
  <x:c r="K529" i="2"/>
  <x:c r="H534" i="2"/>
  <x:c r="L538" i="2"/>
  <x:c r="I543" i="2"/>
  <x:c r="H549" i="2"/>
  <x:c r="I558" i="2"/>
  <x:c r="O566" i="3"/>
  <x:c r="O566" i="2" s="1"/>
  <x:c r="O567" i="2"/>
  <x:c r="O575" i="2"/>
  <x:c r="O583" i="2"/>
  <x:c r="L593" i="2"/>
  <x:c r="L601" i="2"/>
  <x:c r="L609" i="2"/>
  <x:c r="M618" i="2"/>
  <x:c r="I629" i="2"/>
  <x:c r="G658" i="2"/>
  <x:c r="M688" i="2"/>
  <x:c r="R455" i="2"/>
  <x:c r="O460" i="2"/>
  <x:c r="S464" i="2"/>
  <x:c r="P469" i="2"/>
  <x:c r="M474" i="2"/>
  <x:c r="Q478" i="2"/>
  <x:c r="N483" i="2"/>
  <x:c r="R487" i="2"/>
  <x:c r="O492" i="2"/>
  <x:c r="S496" i="2"/>
  <x:c r="R503" i="2"/>
  <x:c r="O508" i="2"/>
  <x:c r="S512" i="2"/>
  <x:c r="P517" i="2"/>
  <x:c r="M522" i="2"/>
  <x:c r="Q526" i="2"/>
  <x:c r="N531" i="2"/>
  <x:c r="R535" i="2"/>
  <x:c r="O540" i="2"/>
  <x:c r="S544" i="2"/>
  <x:c r="F551" i="2"/>
  <x:c r="L558" i="2"/>
  <x:c r="P565" i="2"/>
  <x:c r="Q574" i="2"/>
  <x:c r="Q582" i="2"/>
  <x:c r="P592" i="2"/>
  <x:c r="P600" i="2"/>
  <x:c r="P608" i="2"/>
  <x:c r="P617" i="2"/>
  <x:c r="J629" i="2"/>
  <x:c r="J653" i="2"/>
  <x:c r="S682" i="2"/>
  <x:c r="F583" i="2"/>
  <x:c r="F599" i="2"/>
  <x:c r="S616" i="2"/>
  <x:c r="H644" i="2"/>
  <x:c r="M664" i="2"/>
  <x:c r="O699" i="2"/>
  <x:c r="Q563" i="2"/>
  <x:c r="G569" i="2"/>
  <x:c r="K573" i="2"/>
  <x:c r="H578" i="2"/>
  <x:c r="L582" i="2"/>
  <x:c r="I587" i="2"/>
  <x:c r="H594" i="2"/>
  <x:c r="L598" i="2"/>
  <x:c r="I603" i="2"/>
  <x:c r="F608" i="2"/>
  <x:c r="J612" i="2"/>
  <x:c r="O617" i="2"/>
  <x:c r="S621" i="2"/>
  <x:c r="Q629" i="2"/>
  <x:c r="Q637" i="2"/>
  <x:c r="G650" i="2"/>
  <x:c r="S662" i="2"/>
  <x:c r="N674" i="2"/>
  <x:c r="K686" i="2"/>
  <x:c r="I724" i="2"/>
  <x:c r="S546" i="2"/>
  <x:c r="P551" i="2"/>
  <x:c r="N557" i="2"/>
  <x:c r="R561" i="2"/>
  <x:c r="P566" i="3"/>
  <x:c r="P566" i="2" s="1"/>
  <x:c r="P567" i="2"/>
  <x:c r="M572" i="2"/>
  <x:c r="Q576" i="2"/>
  <x:c r="N581" i="2"/>
  <x:c r="R585" i="2"/>
  <x:c r="I592" i="2"/>
  <x:c r="F597" i="2"/>
  <x:c r="J601" i="2"/>
  <x:c r="G606" i="2"/>
  <x:c r="K610" i="2"/>
  <x:c r="I616" i="2"/>
  <x:c r="F621" i="2"/>
  <x:c r="F629" i="2"/>
  <x:c r="N645" i="2"/>
  <x:c r="K658" i="2"/>
  <x:c r="R669" i="2"/>
  <x:c r="J685" i="2"/>
  <x:c r="F721" i="2"/>
  <x:c r="H635" i="2"/>
  <x:c r="P644" i="2"/>
  <x:c r="O658" i="2"/>
  <x:c r="Q672" i="2"/>
  <x:c r="R685" i="2"/>
  <x:c r="F714" i="2"/>
  <x:c r="S801" i="2"/>
  <x:c r="S551" i="2"/>
  <x:c r="Q557" i="2"/>
  <x:c r="N562" i="2"/>
  <x:c r="S566" i="3"/>
  <x:c r="S566" i="2" s="1"/>
  <x:c r="S567" i="2"/>
  <x:c r="P572" i="2"/>
  <x:c r="M577" i="2"/>
  <x:c r="Q581" i="2"/>
  <x:c r="N586" i="2"/>
  <x:c r="M593" i="2"/>
  <x:c r="Q597" i="2"/>
  <x:c r="N602" i="2"/>
  <x:c r="R606" i="2"/>
  <x:c r="O611" i="2"/>
  <x:c r="M617" i="2"/>
  <x:c r="Q621" i="2"/>
  <x:c r="M629" i="2"/>
  <x:c r="M637" i="2"/>
  <x:c r="G651" i="2"/>
  <x:c r="J661" i="2"/>
  <x:c r="G674" i="2"/>
  <x:c r="P692" i="2"/>
  <x:c r="N545" i="2"/>
  <x:c r="R549" i="2"/>
  <x:c r="P554" i="3"/>
  <x:c r="P554" i="2" s="1"/>
  <x:c r="P555" i="2"/>
  <x:c r="M560" i="2"/>
  <x:c r="Q564" i="2"/>
  <x:c r="O570" i="2"/>
  <x:c r="S574" i="2"/>
  <x:c r="P579" i="2"/>
  <x:c r="M584" i="2"/>
  <x:c r="S589" i="3"/>
  <x:c r="S590" i="2"/>
  <x:c r="P595" i="2"/>
  <x:c r="M600" i="2"/>
  <x:c r="Q604" i="2"/>
  <x:c r="N609" i="2"/>
  <x:c r="R613" i="2"/>
  <x:c r="P619" i="2"/>
  <x:c r="Q624" i="2"/>
  <x:c r="M632" i="2"/>
  <x:c r="K641" i="3"/>
  <x:c r="K641" i="2" s="1"/>
  <x:c r="K642" i="2"/>
  <x:c r="R653" i="2"/>
  <x:c r="K670" i="2"/>
  <x:c r="F682" i="2"/>
  <x:c r="N706" i="2"/>
  <x:c r="G628" i="2"/>
  <x:c r="K632" i="2"/>
  <x:c r="H637" i="2"/>
  <x:c r="M641" i="3"/>
  <x:c r="M641" i="2" s="1"/>
  <x:c r="M642" i="2"/>
  <x:c r="Q646" i="2"/>
  <x:c r="N651" i="2"/>
  <x:c r="R655" i="2"/>
  <x:c r="O660" i="2"/>
  <x:c r="S664" i="2"/>
  <x:c r="I670" i="2"/>
  <x:c r="F675" i="2"/>
  <x:c r="J679" i="2"/>
  <x:c r="G684" i="2"/>
  <x:c r="K688" i="2"/>
  <x:c r="J695" i="2"/>
  <x:c r="K704" i="2"/>
  <x:c r="H715" i="2"/>
  <x:c r="R734" i="2"/>
  <x:c r="F772" i="2"/>
  <x:c r="N624" i="2"/>
  <x:c r="R628" i="2"/>
  <x:c r="O633" i="2"/>
  <x:c r="S637" i="2"/>
  <x:c r="Q643" i="2"/>
  <x:c r="N648" i="2"/>
  <x:c r="R652" i="2"/>
  <x:c r="O657" i="2"/>
  <x:c r="S661" i="2"/>
  <x:c r="Q667" i="2"/>
  <x:c r="N672" i="2"/>
  <x:c r="R676" i="2"/>
  <x:c r="O681" i="2"/>
  <x:c r="S685" i="2"/>
  <x:c r="Q693" i="2"/>
  <x:c r="R704" i="2"/>
  <x:c r="M721" i="2"/>
  <x:c r="S737" i="2"/>
  <x:c r="S785" i="2"/>
  <x:c r="P843" i="2"/>
  <x:c r="P625" i="2"/>
  <x:c r="M630" i="2"/>
  <x:c r="Q634" i="2"/>
  <x:c r="N639" i="2"/>
  <x:c r="S644" i="2"/>
  <x:c r="P649" i="2"/>
  <x:c r="M654" i="2"/>
  <x:c r="Q658" i="2"/>
  <x:c r="N663" i="2"/>
  <x:c r="S668" i="2"/>
  <x:c r="I674" i="2"/>
  <x:c r="Q682" i="2"/>
  <x:c r="R695" i="2"/>
  <x:c r="N721" i="2"/>
  <x:c r="O647" i="2"/>
  <x:c r="R665" i="3"/>
  <x:c r="R665" i="2" s="1"/>
  <x:c r="R666" i="2"/>
  <x:c r="M685" i="2"/>
  <x:c r="I732" i="2"/>
  <x:c r="H783" i="2"/>
  <x:c r="S657" i="2"/>
  <x:c r="I700" i="2"/>
  <x:c r="N731" i="2"/>
  <x:c r="P837" i="2"/>
  <x:c r="G196" i="2"/>
  <x:c r="S200" i="2"/>
  <x:c r="J212" i="2"/>
  <x:c r="M226" i="2"/>
  <x:c r="J239" i="2"/>
  <x:c r="F251" i="2"/>
  <x:c r="R268" i="2"/>
  <x:c r="R284" i="2"/>
  <x:c r="R300" i="2"/>
  <x:c r="I319" i="2"/>
  <x:c r="Q356" i="2"/>
  <x:c r="Q388" i="2"/>
  <x:c r="K451" i="2"/>
  <x:c r="G67" i="2"/>
  <x:c r="K71" i="2"/>
  <x:c r="I77" i="2"/>
  <x:c r="F82" i="2"/>
  <x:c r="J86" i="2"/>
  <x:c r="G91" i="2"/>
  <x:c r="K95" i="2"/>
  <x:c r="P100" i="2"/>
  <x:c r="M105" i="2"/>
  <x:c r="Q109" i="2"/>
  <x:c r="N114" i="2"/>
  <x:c r="R118" i="2"/>
  <x:c r="O123" i="2"/>
  <x:c r="S127" i="2"/>
  <x:c r="P132" i="2"/>
  <x:c r="M137" i="2"/>
  <x:c r="Q141" i="2"/>
  <x:c r="N146" i="2"/>
  <x:c r="R150" i="2"/>
  <x:c r="O155" i="2"/>
  <x:c r="S159" i="2"/>
  <x:c r="P164" i="2"/>
  <x:c r="M169" i="2"/>
  <x:c r="Q173" i="2"/>
  <x:c r="N178" i="2"/>
  <x:c r="R182" i="2"/>
  <x:c r="O187" i="2"/>
  <x:c r="S191" i="2"/>
  <x:c r="P196" i="2"/>
  <x:c r="N203" i="2"/>
  <x:c r="G215" i="2"/>
  <x:c r="P226" i="2"/>
  <x:c r="F238" i="2"/>
  <x:c r="I251" i="2"/>
  <x:c r="Q270" i="2"/>
  <x:c r="Q286" i="2"/>
  <x:c r="Q302" i="2"/>
  <x:c r="G317" i="2"/>
  <x:c r="P351" i="2"/>
  <x:c r="P383" i="2"/>
  <x:c r="H412" i="2"/>
  <x:c r="M80" i="2"/>
  <x:c r="Q84" i="2"/>
  <x:c r="N89" i="2"/>
  <x:c r="R93" i="2"/>
  <x:c r="P99" i="2"/>
  <x:c r="M104" i="2"/>
  <x:c r="Q108" i="2"/>
  <x:c r="N113" i="2"/>
  <x:c r="R117" i="2"/>
  <x:c r="O122" i="2"/>
  <x:c r="S126" i="2"/>
  <x:c r="P131" i="2"/>
  <x:c r="M136" i="2"/>
  <x:c r="Q140" i="2"/>
  <x:c r="N145" i="2"/>
  <x:c r="R149" i="2"/>
  <x:c r="O154" i="2"/>
  <x:c r="S158" i="2"/>
  <x:c r="P163" i="2"/>
  <x:c r="M168" i="2"/>
  <x:c r="Q172" i="2"/>
  <x:c r="N177" i="2"/>
  <x:c r="R181" i="2"/>
  <x:c r="O186" i="2"/>
  <x:c r="S190" i="2"/>
  <x:c r="P195" i="2"/>
  <x:c r="G201" i="2"/>
  <x:c r="O212" i="2"/>
  <x:c r="L225" i="2"/>
  <x:c r="O239" i="2"/>
  <x:c r="S256" i="2"/>
  <x:c r="O281" i="2"/>
  <x:c r="H301" i="2"/>
  <x:c r="J325" i="2"/>
  <x:c r="J357" i="2"/>
  <x:c r="O394" i="2"/>
  <x:c r="G458" i="2"/>
  <x:c r="P552" i="2"/>
  <x:c r="H178" i="2"/>
  <x:c r="L182" i="2"/>
  <x:c r="I187" i="2"/>
  <x:c r="F192" i="2"/>
  <x:c r="J196" i="2"/>
  <x:c r="P202" i="2"/>
  <x:c r="M215" i="2"/>
  <x:c r="G228" i="2"/>
  <x:c r="L238" i="2"/>
  <x:c r="K253" i="2"/>
  <x:c r="O276" i="2"/>
  <x:c r="F296" i="2"/>
  <x:c r="R317" i="2"/>
  <x:c r="Q349" i="2"/>
  <x:c r="J384" i="2"/>
  <x:c r="R438" i="2"/>
  <x:c r="O64" i="2"/>
  <x:c r="S68" i="2"/>
  <x:c r="P73" i="2"/>
  <x:c r="N79" i="2"/>
  <x:c r="R83" i="2"/>
  <x:c r="O88" i="2"/>
  <x:c r="S92" i="2"/>
  <x:c r="Q97" i="3"/>
  <x:c r="Q97" i="2" s="1"/>
  <x:c r="Q98" i="2"/>
  <x:c r="N103" i="2"/>
  <x:c r="R107" i="2"/>
  <x:c r="O112" i="2"/>
  <x:c r="S116" i="2"/>
  <x:c r="P121" i="2"/>
  <x:c r="M126" i="2"/>
  <x:c r="Q130" i="2"/>
  <x:c r="N135" i="2"/>
  <x:c r="R139" i="2"/>
  <x:c r="O144" i="2"/>
  <x:c r="S148" i="2"/>
  <x:c r="P153" i="2"/>
  <x:c r="M158" i="2"/>
  <x:c r="Q162" i="2"/>
  <x:c r="N167" i="2"/>
  <x:c r="R171" i="2"/>
  <x:c r="O176" i="2"/>
  <x:c r="S180" i="2"/>
  <x:c r="P185" i="2"/>
  <x:c r="M190" i="2"/>
  <x:c r="Q194" i="2"/>
  <x:c r="N199" i="2"/>
  <x:c r="I214" i="2"/>
  <x:c r="Q225" i="2"/>
  <x:c r="N238" i="2"/>
  <x:c r="M255" i="2"/>
  <x:c r="M271" i="2"/>
  <x:c r="M287" i="2"/>
  <x:c r="M303" i="2"/>
  <x:c r="L323" i="2"/>
  <x:c r="L355" i="2"/>
  <x:c r="L387" i="2"/>
  <x:c r="N426" i="2"/>
  <x:c r="F503" i="2"/>
  <x:c r="I65" i="2"/>
  <x:c r="F70" i="2"/>
  <x:c r="K74" i="3"/>
  <x:c r="K74" i="2" s="1"/>
  <x:c r="K75" i="2"/>
  <x:c r="H80" i="2"/>
  <x:c r="L84" i="2"/>
  <x:c r="I89" i="2"/>
  <x:c r="F94" i="2"/>
  <x:c r="K99" i="2"/>
  <x:c r="H104" i="2"/>
  <x:c r="L108" i="2"/>
  <x:c r="I113" i="2"/>
  <x:c r="F118" i="2"/>
  <x:c r="J122" i="2"/>
  <x:c r="G127" i="2"/>
  <x:c r="K131" i="2"/>
  <x:c r="H136" i="2"/>
  <x:c r="L140" i="2"/>
  <x:c r="I145" i="2"/>
  <x:c r="F150" i="2"/>
  <x:c r="J154" i="2"/>
  <x:c r="G159" i="2"/>
  <x:c r="K163" i="2"/>
  <x:c r="H168" i="2"/>
  <x:c r="L172" i="2"/>
  <x:c r="I177" i="2"/>
  <x:c r="F182" i="2"/>
  <x:c r="J186" i="2"/>
  <x:c r="G191" i="2"/>
  <x:c r="K195" i="2"/>
  <x:c r="K200" i="2"/>
  <x:c r="H213" i="2"/>
  <x:c r="P224" i="2"/>
  <x:c r="M237" i="2"/>
  <x:c r="N248" i="2"/>
  <x:c r="N264" i="2"/>
  <x:c r="N280" i="2"/>
  <x:c r="N296" i="2"/>
  <x:c r="N312" i="2"/>
  <x:c r="P339" i="2"/>
  <x:c r="P371" i="2"/>
  <x:c r="P403" i="2"/>
  <x:c r="I493" i="2"/>
  <x:c r="P203" i="2"/>
  <x:c r="N209" i="2"/>
  <x:c r="R213" i="2"/>
  <x:c r="O218" i="2"/>
  <x:c r="S222" i="2"/>
  <x:c r="P227" i="2"/>
  <x:c r="M232" i="2"/>
  <x:c r="Q236" i="2"/>
  <x:c r="N241" i="2"/>
  <x:c r="R245" i="2"/>
  <x:c r="O250" i="2"/>
  <x:c r="S254" i="2"/>
  <x:c r="P259" i="2"/>
  <x:c r="M264" i="2"/>
  <x:c r="R269" i="2"/>
  <x:c r="O274" i="2"/>
  <x:c r="S278" i="2"/>
  <x:c r="P283" i="2"/>
  <x:c r="M288" i="2"/>
  <x:c r="Q292" i="2"/>
  <x:c r="N297" i="2"/>
  <x:c r="R301" i="2"/>
  <x:c r="O306" i="2"/>
  <x:c r="S310" i="2"/>
  <x:c r="P315" i="2"/>
  <x:c r="N322" i="2"/>
  <x:c r="O331" i="2"/>
  <x:c r="O339" i="2"/>
  <x:c r="O347" i="2"/>
  <x:c r="O355" i="2"/>
  <x:c r="O363" i="2"/>
  <x:c r="P372" i="2"/>
  <x:c r="P380" i="2"/>
  <x:c r="P388" i="2"/>
  <x:c r="P396" i="2"/>
  <x:c r="Q404" i="2"/>
  <x:c r="G419" i="2"/>
  <x:c r="G435" i="2"/>
  <x:c r="M453" i="2"/>
  <x:c r="I485" i="2"/>
  <x:c r="S524" i="2"/>
  <x:c r="G200" i="2"/>
  <x:c r="K204" i="2"/>
  <x:c r="P209" i="2"/>
  <x:c r="M214" i="2"/>
  <x:c r="Q218" i="2"/>
  <x:c r="N223" i="2"/>
  <x:c r="R227" i="2"/>
  <x:c r="O232" i="2"/>
  <x:c r="S236" i="2"/>
  <x:c r="P241" i="2"/>
  <x:c r="M246" i="2"/>
  <x:c r="Q250" i="2"/>
  <x:c r="N255" i="2"/>
  <x:c r="R259" i="2"/>
  <x:c r="O264" i="2"/>
  <x:c r="M270" i="2"/>
  <x:c r="Q274" i="2"/>
  <x:c r="N279" i="2"/>
  <x:c r="R283" i="2"/>
  <x:c r="O288" i="2"/>
  <x:c r="S292" i="2"/>
  <x:c r="P297" i="2"/>
  <x:c r="M302" i="2"/>
  <x:c r="Q306" i="2"/>
  <x:c r="N311" i="2"/>
  <x:c r="R315" i="2"/>
  <x:c r="R325" i="2"/>
  <x:c r="R336" i="2"/>
  <x:c r="S346" i="2"/>
  <x:c r="R358" i="2"/>
  <x:c r="S369" i="2"/>
  <x:c r="R381" i="2"/>
  <x:c r="Q391" i="2"/>
  <x:c r="S401" i="2"/>
  <x:c r="S415" i="2"/>
  <x:c r="S438" i="2"/>
  <x:c r="G471" i="2"/>
  <x:c r="G506" i="2"/>
  <x:c r="M558" i="2"/>
  <x:c r="I249" i="2"/>
  <x:c r="F254" i="2"/>
  <x:c r="J258" i="2"/>
  <x:c r="G263" i="2"/>
  <x:c r="L268" i="2"/>
  <x:c r="I273" i="2"/>
  <x:c r="F278" i="2"/>
  <x:c r="J282" i="2"/>
  <x:c r="G287" i="2"/>
  <x:c r="K291" i="2"/>
  <x:c r="H296" i="2"/>
  <x:c r="L300" i="2"/>
  <x:c r="I305" i="2"/>
  <x:c r="F310" i="2"/>
  <x:c r="J314" i="2"/>
  <x:c r="S319" i="2"/>
  <x:c r="F340" i="2"/>
  <x:c r="F356" i="2"/>
  <x:c r="F373" i="2"/>
  <x:c r="F389" i="2"/>
  <x:c r="I405" i="2"/>
  <x:c r="P419" i="2"/>
  <x:c r="G443" i="2"/>
  <x:c r="I474" i="2"/>
  <x:c r="S519" i="2"/>
  <x:c r="J201" i="2"/>
  <x:c r="H207" i="2"/>
  <x:c r="L211" i="2"/>
  <x:c r="I216" i="2"/>
  <x:c r="F221" i="2"/>
  <x:c r="J225" i="2"/>
  <x:c r="G230" i="2"/>
  <x:c r="K234" i="2"/>
  <x:c r="H239" i="2"/>
  <x:c r="L243" i="2"/>
  <x:c r="I248" i="2"/>
  <x:c r="F253" i="2"/>
  <x:c r="J257" i="2"/>
  <x:c r="G262" i="2"/>
  <x:c r="L267" i="2"/>
  <x:c r="I272" i="2"/>
  <x:c r="F277" i="2"/>
  <x:c r="J281" i="2"/>
  <x:c r="G286" i="2"/>
  <x:c r="K290" i="2"/>
  <x:c r="H295" i="2"/>
  <x:c r="L299" i="2"/>
  <x:c r="I304" i="2"/>
  <x:c r="F309" i="2"/>
  <x:c r="J313" i="2"/>
  <x:c r="F321" i="2"/>
  <x:c r="G331" i="2"/>
  <x:c r="G341" i="2"/>
  <x:c r="F353" i="2"/>
  <x:c r="G363" i="2"/>
  <x:c r="G374" i="2"/>
  <x:c r="F386" i="2"/>
  <x:c r="H396" i="2"/>
  <x:c r="P406" i="2"/>
  <x:c r="Q421" i="2"/>
  <x:c r="K439" i="2"/>
  <x:c r="G463" i="2"/>
  <x:c r="G495" i="2"/>
  <x:c r="J579" i="2"/>
  <x:c r="K201" i="2"/>
  <x:c r="I207" i="2"/>
  <x:c r="F212" i="2"/>
  <x:c r="J216" i="2"/>
  <x:c r="G221" i="2"/>
  <x:c r="K225" i="2"/>
  <x:c r="H230" i="2"/>
  <x:c r="L234" i="2"/>
  <x:c r="I239" i="2"/>
  <x:c r="F244" i="2"/>
  <x:c r="J248" i="2"/>
  <x:c r="G253" i="2"/>
  <x:c r="K257" i="2"/>
  <x:c r="H262" i="2"/>
  <x:c r="F268" i="2"/>
  <x:c r="J272" i="2"/>
  <x:c r="G277" i="2"/>
  <x:c r="K281" i="2"/>
  <x:c r="H286" i="2"/>
  <x:c r="L290" i="2"/>
  <x:c r="I295" i="2"/>
  <x:c r="F300" i="2"/>
  <x:c r="J304" i="2"/>
  <x:c r="G309" i="2"/>
  <x:c r="K313" i="2"/>
  <x:c r="H319" i="2"/>
  <x:c r="I327" i="3"/>
  <x:c r="I327" i="2" s="1"/>
  <x:c r="I328" i="2"/>
  <x:c r="I336" i="2"/>
  <x:c r="I344" i="2"/>
  <x:c r="I352" i="2"/>
  <x:c r="I360" i="2"/>
  <x:c r="J369" i="2"/>
  <x:c r="J377" i="2"/>
  <x:c r="J385" i="2"/>
  <x:c r="J393" i="2"/>
  <x:c r="J401" i="2"/>
  <x:c r="F412" i="2"/>
  <x:c r="N425" i="2"/>
  <x:c r="P441" i="2"/>
  <x:c r="G475" i="2"/>
  <x:c r="I517" i="2"/>
  <x:c r="G203" i="2"/>
  <x:c r="L208" i="2"/>
  <x:c r="I213" i="2"/>
  <x:c r="F218" i="2"/>
  <x:c r="J222" i="2"/>
  <x:c r="G227" i="2"/>
  <x:c r="K231" i="2"/>
  <x:c r="H236" i="2"/>
  <x:c r="L240" i="2"/>
  <x:c r="I245" i="2"/>
  <x:c r="F250" i="2"/>
  <x:c r="J254" i="2"/>
  <x:c r="G259" i="2"/>
  <x:c r="K263" i="2"/>
  <x:c r="P268" i="2"/>
  <x:c r="M273" i="2"/>
  <x:c r="Q277" i="2"/>
  <x:c r="N282" i="2"/>
  <x:c r="R286" i="2"/>
  <x:c r="O291" i="2"/>
  <x:c r="S295" i="2"/>
  <x:c r="P300" i="2"/>
  <x:c r="M305" i="2"/>
  <x:c r="Q309" i="2"/>
  <x:c r="N314" i="2"/>
  <x:c r="M321" i="2"/>
  <x:c r="L330" i="2"/>
  <x:c r="L338" i="2"/>
  <x:c r="L346" i="2"/>
  <x:c r="L354" i="2"/>
  <x:c r="L362" i="2"/>
  <x:c r="M371" i="2"/>
  <x:c r="M379" i="2"/>
  <x:c r="M387" i="2"/>
  <x:c r="M395" i="2"/>
  <x:c r="M403" i="2"/>
  <x:c r="F417" i="2"/>
  <x:c r="J438" i="2"/>
  <x:c r="J470" i="2"/>
  <x:c r="S510" i="2"/>
  <x:c r="Q318" i="2"/>
  <x:c r="N323" i="2"/>
  <x:c r="S327" i="3"/>
  <x:c r="S327" i="2" s="1"/>
  <x:c r="S328" i="2"/>
  <x:c r="P333" i="2"/>
  <x:c r="M338" i="2"/>
  <x:c r="Q342" i="2"/>
  <x:c r="N347" i="2"/>
  <x:c r="R351" i="2"/>
  <x:c r="O356" i="2"/>
  <x:c r="S360" i="2"/>
  <x:c r="Q365" i="3"/>
  <x:c r="Q365" i="2" s="1"/>
  <x:c r="Q366" i="2"/>
  <x:c r="N371" i="2"/>
  <x:c r="R375" i="2"/>
  <x:c r="O380" i="2"/>
  <x:c r="S384" i="2"/>
  <x:c r="P389" i="2"/>
  <x:c r="M394" i="2"/>
  <x:c r="Q398" i="2"/>
  <x:c r="N403" i="2"/>
  <x:c r="R407" i="2"/>
  <x:c r="O412" i="2"/>
  <x:c r="S416" i="2"/>
  <x:c r="P421" i="2"/>
  <x:c r="M426" i="2"/>
  <x:c r="R431" i="2"/>
  <x:c r="O436" i="2"/>
  <x:c r="S440" i="2"/>
  <x:c r="F447" i="2"/>
  <x:c r="J453" i="2"/>
  <x:c r="S467" i="2"/>
  <x:c r="S483" i="2"/>
  <x:c r="S499" i="2"/>
  <x:c r="P515" i="2"/>
  <x:c r="F527" i="2"/>
  <x:c r="Q538" i="2"/>
  <x:c r="H552" i="2"/>
  <x:c r="S576" i="2"/>
  <x:c r="S626" i="2"/>
  <x:c r="G539" i="2"/>
  <x:c r="R556" i="2"/>
  <x:c r="H577" i="2"/>
  <x:c r="G620" i="2"/>
  <x:c r="J316" i="2"/>
  <x:c r="G321" i="2"/>
  <x:c r="K325" i="2"/>
  <x:c r="P330" i="2"/>
  <x:c r="M335" i="2"/>
  <x:c r="Q339" i="2"/>
  <x:c r="N344" i="2"/>
  <x:c r="R348" i="2"/>
  <x:c r="O353" i="2"/>
  <x:c r="S357" i="2"/>
  <x:c r="P362" i="2"/>
  <x:c r="N368" i="2"/>
  <x:c r="R372" i="2"/>
  <x:c r="O377" i="2"/>
  <x:c r="S381" i="2"/>
  <x:c r="P386" i="2"/>
  <x:c r="M391" i="2"/>
  <x:c r="Q395" i="2"/>
  <x:c r="N400" i="2"/>
  <x:c r="R404" i="2"/>
  <x:c r="O409" i="2"/>
  <x:c r="S413" i="2"/>
  <x:c r="P418" i="2"/>
  <x:c r="M423" i="2"/>
  <x:c r="Q427" i="2"/>
  <x:c r="O433" i="2"/>
  <x:c r="S437" i="2"/>
  <x:c r="H443" i="2"/>
  <x:c r="P448" i="2"/>
  <x:c r="M454" i="2"/>
  <x:c r="K462" i="2"/>
  <x:c r="K470" i="2"/>
  <x:c r="K478" i="2"/>
  <x:c r="K486" i="2"/>
  <x:c r="K494" i="2"/>
  <x:c r="L504" i="2"/>
  <x:c r="H516" i="2"/>
  <x:c r="F529" i="2"/>
  <x:c r="K540" i="2"/>
  <x:c r="K560" i="2"/>
  <x:c r="H597" i="2"/>
  <x:c r="Q636" i="2"/>
  <x:c r="M318" i="2"/>
  <x:c r="Q322" i="2"/>
  <x:c r="O327" i="3"/>
  <x:c r="O327" i="2" s="1"/>
  <x:c r="O328" i="2"/>
  <x:c r="S332" i="2"/>
  <x:c r="P337" i="2"/>
  <x:c r="M342" i="2"/>
  <x:c r="Q346" i="2"/>
  <x:c r="N351" i="2"/>
  <x:c r="R355" i="2"/>
  <x:c r="O360" i="2"/>
  <x:c r="S364" i="2"/>
  <x:c r="I370" i="2"/>
  <x:c r="F375" i="2"/>
  <x:c r="J379" i="2"/>
  <x:c r="G384" i="2"/>
  <x:c r="K388" i="2"/>
  <x:c r="H393" i="2"/>
  <x:c r="L397" i="2"/>
  <x:c r="I402" i="2"/>
  <x:c r="F407" i="2"/>
  <x:c r="J411" i="2"/>
  <x:c r="G416" i="2"/>
  <x:c r="K420" i="2"/>
  <x:c r="H425" i="2"/>
  <x:c r="F431" i="2"/>
  <x:c r="J435" i="2"/>
  <x:c r="G440" i="2"/>
  <x:c r="Q446" i="2"/>
  <x:c r="S452" i="2"/>
  <x:c r="K460" i="2"/>
  <x:c r="K468" i="2"/>
  <x:c r="K476" i="2"/>
  <x:c r="K484" i="2"/>
  <x:c r="K492" i="2"/>
  <x:c r="M501" i="3"/>
  <x:c r="M502" i="2"/>
  <x:c r="F511" i="2"/>
  <x:c r="Q522" i="2"/>
  <x:c r="J534" i="2"/>
  <x:c r="L546" i="2"/>
  <x:c r="I570" i="2"/>
  <x:c r="Q609" i="2"/>
  <x:c r="G319" i="2"/>
  <x:c r="K323" i="2"/>
  <x:c r="I329" i="2"/>
  <x:c r="F334" i="2"/>
  <x:c r="J338" i="2"/>
  <x:c r="G343" i="2"/>
  <x:c r="K347" i="2"/>
  <x:c r="H352" i="2"/>
  <x:c r="L356" i="2"/>
  <x:c r="I361" i="2"/>
  <x:c r="N365" i="3"/>
  <x:c r="N365" i="2" s="1"/>
  <x:c r="N366" i="2"/>
  <x:c r="R370" i="2"/>
  <x:c r="O375" i="2"/>
  <x:c r="S379" i="2"/>
  <x:c r="P384" i="2"/>
  <x:c r="M389" i="2"/>
  <x:c r="Q393" i="2"/>
  <x:c r="N398" i="2"/>
  <x:c r="R402" i="2"/>
  <x:c r="O407" i="2"/>
  <x:c r="S411" i="2"/>
  <x:c r="P416" i="2"/>
  <x:c r="M421" i="2"/>
  <x:c r="Q425" i="2"/>
  <x:c r="G431" i="2"/>
  <x:c r="K435" i="2"/>
  <x:c r="H440" i="2"/>
  <x:c r="F446" i="2"/>
  <x:c r="J452" i="2"/>
  <x:c r="L460" i="2"/>
  <x:c r="L468" i="2"/>
  <x:c r="L476" i="2"/>
  <x:c r="L484" i="2"/>
  <x:c r="L492" i="2"/>
  <x:c r="N501" i="3"/>
  <x:c r="N502" i="2"/>
  <x:c r="O512" i="2"/>
  <x:c r="J525" i="2"/>
  <x:c r="I538" i="2"/>
  <x:c r="O553" i="2"/>
  <x:c r="S580" i="2"/>
  <x:c r="R618" i="2"/>
  <x:c r="F405" i="2"/>
  <x:c r="J409" i="2"/>
  <x:c r="G414" i="2"/>
  <x:c r="K418" i="2"/>
  <x:c r="H423" i="2"/>
  <x:c r="L427" i="2"/>
  <x:c r="Q432" i="2"/>
  <x:c r="N437" i="2"/>
  <x:c r="G442" i="2"/>
  <x:c r="N447" i="2"/>
  <x:c r="H453" i="2"/>
  <x:c r="Q461" i="2"/>
  <x:c r="Q469" i="2"/>
  <x:c r="Q477" i="2"/>
  <x:c r="Q485" i="2"/>
  <x:c r="Q493" i="2"/>
  <x:c r="O503" i="2"/>
  <x:c r="G514" i="2"/>
  <x:c r="L525" i="2"/>
  <x:c r="H537" i="2"/>
  <x:c r="Q553" i="2"/>
  <x:c r="I578" i="2"/>
  <x:c r="R629" i="2"/>
  <x:c r="J416" i="2"/>
  <x:c r="G421" i="2"/>
  <x:c r="K425" i="2"/>
  <x:c r="I431" i="2"/>
  <x:c r="F436" i="2"/>
  <x:c r="J440" i="2"/>
  <x:c r="M445" i="2"/>
  <x:c r="R451" i="2"/>
  <x:c r="Q460" i="2"/>
  <x:c r="S470" i="2"/>
  <x:c r="R482" i="2"/>
  <x:c r="Q492" i="2"/>
  <x:c r="R506" i="2"/>
  <x:c r="K519" i="2"/>
  <x:c r="H532" i="2"/>
  <x:c r="G545" i="2"/>
  <x:c r="F574" i="2"/>
  <x:c r="I599" i="2"/>
  <x:c r="R634" i="2"/>
  <x:c r="F456" i="2"/>
  <x:c r="J460" i="2"/>
  <x:c r="G465" i="2"/>
  <x:c r="K469" i="2"/>
  <x:c r="H474" i="2"/>
  <x:c r="L478" i="2"/>
  <x:c r="I483" i="2"/>
  <x:c r="F488" i="2"/>
  <x:c r="J492" i="2"/>
  <x:c r="G497" i="2"/>
  <x:c r="F504" i="2"/>
  <x:c r="J508" i="2"/>
  <x:c r="G513" i="2"/>
  <x:c r="K517" i="2"/>
  <x:c r="H522" i="2"/>
  <x:c r="L526" i="2"/>
  <x:c r="I531" i="2"/>
  <x:c r="F536" i="2"/>
  <x:c r="J540" i="2"/>
  <x:c r="H545" i="2"/>
  <x:c r="G552" i="2"/>
  <x:c r="J560" i="2"/>
  <x:c r="F572" i="2"/>
  <x:c r="H582" i="2"/>
  <x:c r="F596" i="2"/>
  <x:c r="H606" i="2"/>
  <x:c r="F619" i="2"/>
  <x:c r="S631" i="2"/>
  <x:c r="J654" i="2"/>
  <x:c r="P683" i="2"/>
  <x:c r="F510" i="2"/>
  <x:c r="J514" i="2"/>
  <x:c r="G519" i="2"/>
  <x:c r="K523" i="2"/>
  <x:c r="H528" i="2"/>
  <x:c r="L532" i="2"/>
  <x:c r="I537" i="2"/>
  <x:c r="F542" i="2"/>
  <x:c r="Q546" i="2"/>
  <x:c r="S553" i="2"/>
  <x:c r="J562" i="2"/>
  <x:c r="K571" i="2"/>
  <x:c r="K579" i="2"/>
  <x:c r="K587" i="2"/>
  <x:c r="L597" i="2"/>
  <x:c r="L605" i="2"/>
  <x:c r="L613" i="2"/>
  <x:c r="N622" i="2"/>
  <x:c r="O641" i="3"/>
  <x:c r="O641" i="2" s="1"/>
  <x:c r="O642" i="2"/>
  <x:c r="P679" i="2"/>
  <x:c r="F891" i="2"/>
  <x:c r="N445" i="2"/>
  <x:c r="R449" i="2"/>
  <x:c r="O454" i="2"/>
  <x:c r="S458" i="2"/>
  <x:c r="P463" i="2"/>
  <x:c r="M468" i="2"/>
  <x:c r="Q472" i="2"/>
  <x:c r="N477" i="2"/>
  <x:c r="R481" i="2"/>
  <x:c r="O486" i="2"/>
  <x:c r="S490" i="2"/>
  <x:c r="P495" i="2"/>
  <x:c r="G501" i="3"/>
  <x:c r="G502" i="2"/>
  <x:c r="K506" i="2"/>
  <x:c r="H511" i="2"/>
  <x:c r="L515" i="2"/>
  <x:c r="I520" i="2"/>
  <x:c r="F525" i="2"/>
  <x:c r="J529" i="2"/>
  <x:c r="G534" i="2"/>
  <x:c r="K538" i="2"/>
  <x:c r="H543" i="2"/>
  <x:c r="J548" i="2"/>
  <x:c r="K557" i="2"/>
  <x:c r="L564" i="2"/>
  <x:c r="M573" i="2"/>
  <x:c r="M581" i="2"/>
  <x:c r="N591" i="2"/>
  <x:c r="N599" i="2"/>
  <x:c r="N607" i="2"/>
  <x:c r="K616" i="2"/>
  <x:c r="G627" i="2"/>
  <x:c r="K655" i="2"/>
  <x:c r="K682" i="2"/>
  <x:c r="O445" i="2"/>
  <x:c r="S449" i="2"/>
  <x:c r="P454" i="2"/>
  <x:c r="M459" i="2"/>
  <x:c r="Q463" i="2"/>
  <x:c r="N468" i="2"/>
  <x:c r="R472" i="2"/>
  <x:c r="O477" i="2"/>
  <x:c r="S481" i="2"/>
  <x:c r="P486" i="2"/>
  <x:c r="M491" i="2"/>
  <x:c r="Q495" i="2"/>
  <x:c r="P501" i="3"/>
  <x:c r="P502" i="2"/>
  <x:c r="M507" i="2"/>
  <x:c r="Q511" i="2"/>
  <x:c r="N516" i="2"/>
  <x:c r="R520" i="2"/>
  <x:c r="O525" i="2"/>
  <x:c r="S529" i="2"/>
  <x:c r="P534" i="2"/>
  <x:c r="M539" i="2"/>
  <x:c r="Q543" i="2"/>
  <x:c r="F550" i="2"/>
  <x:c r="G559" i="2"/>
  <x:c r="O568" i="2"/>
  <x:c r="O576" i="2"/>
  <x:c r="O584" i="2"/>
  <x:c r="M594" i="2"/>
  <x:c r="M602" i="2"/>
  <x:c r="M610" i="2"/>
  <x:c r="N619" i="2"/>
  <x:c r="G635" i="2"/>
  <x:c r="Q660" i="2"/>
  <x:c r="P693" i="2"/>
  <x:c r="K456" i="2"/>
  <x:c r="H461" i="2"/>
  <x:c r="L465" i="2"/>
  <x:c r="I470" i="2"/>
  <x:c r="F475" i="2"/>
  <x:c r="J479" i="2"/>
  <x:c r="G484" i="2"/>
  <x:c r="K488" i="2"/>
  <x:c r="H493" i="2"/>
  <x:c r="L497" i="2"/>
  <x:c r="K504" i="2"/>
  <x:c r="H509" i="2"/>
  <x:c r="L513" i="2"/>
  <x:c r="I518" i="2"/>
  <x:c r="F523" i="2"/>
  <x:c r="J527" i="2"/>
  <x:c r="G532" i="2"/>
  <x:c r="K536" i="2"/>
  <x:c r="H541" i="2"/>
  <x:c r="O545" i="2"/>
  <x:c r="R551" i="2"/>
  <x:c r="I559" i="2"/>
  <x:c r="Q566" i="3"/>
  <x:c r="Q566" i="2" s="1"/>
  <x:c r="Q567" i="2"/>
  <x:c r="Q575" i="2"/>
  <x:c r="Q583" i="2"/>
  <x:c r="P593" i="2"/>
  <x:c r="P601" i="2"/>
  <x:c r="P609" i="2"/>
  <x:c r="Q618" i="2"/>
  <x:c r="G631" i="2"/>
  <x:c r="S655" i="2"/>
  <x:c r="Q685" i="2"/>
  <x:c r="S584" i="2"/>
  <x:c r="S600" i="2"/>
  <x:c r="S617" i="2"/>
  <x:c r="O646" i="2"/>
  <x:c r="R670" i="2"/>
  <x:c r="L704" i="2"/>
  <x:c r="J564" i="2"/>
  <x:c r="O569" i="2"/>
  <x:c r="S573" i="2"/>
  <x:c r="P578" i="2"/>
  <x:c r="M583" i="2"/>
  <x:c r="Q587" i="2"/>
  <x:c r="P594" i="2"/>
  <x:c r="M599" i="2"/>
  <x:c r="Q603" i="2"/>
  <x:c r="N608" i="2"/>
  <x:c r="R612" i="2"/>
  <x:c r="H618" i="2"/>
  <x:c r="L622" i="2"/>
  <x:c r="O630" i="2"/>
  <x:c r="O638" i="2"/>
  <x:c r="L651" i="2"/>
  <x:c r="I664" i="2"/>
  <x:c r="P675" i="2"/>
  <x:c r="L688" i="2"/>
  <x:c r="I733" i="2"/>
  <x:c r="L547" i="2"/>
  <x:c r="I552" i="2"/>
  <x:c r="G558" i="2"/>
  <x:c r="K562" i="2"/>
  <x:c r="I568" i="2"/>
  <x:c r="F573" i="2"/>
  <x:c r="J577" i="2"/>
  <x:c r="G582" i="2"/>
  <x:c r="K586" i="2"/>
  <x:c r="Q592" i="2"/>
  <x:c r="N597" i="2"/>
  <x:c r="R601" i="2"/>
  <x:c r="O606" i="2"/>
  <x:c r="S610" i="2"/>
  <x:c r="Q616" i="2"/>
  <x:c r="N621" i="2"/>
  <x:c r="F630" i="2"/>
  <x:c r="R646" i="2"/>
  <x:c r="O659" i="2"/>
  <x:c r="L672" i="2"/>
  <x:c r="F689" i="2"/>
  <x:c r="S734" i="2"/>
  <x:c r="I636" i="2"/>
  <x:c r="R645" i="2"/>
  <x:c r="I661" i="2"/>
  <x:c r="F674" i="2"/>
  <x:c r="L687" i="2"/>
  <x:c r="J717" i="2"/>
  <x:c r="H548" i="2"/>
  <x:c r="L552" i="2"/>
  <x:c r="J558" i="2"/>
  <x:c r="G563" i="2"/>
  <x:c r="L568" i="2"/>
  <x:c r="I573" i="2"/>
  <x:c r="F578" i="2"/>
  <x:c r="J582" i="2"/>
  <x:c r="G587" i="2"/>
  <x:c r="F594" i="2"/>
  <x:c r="J598" i="2"/>
  <x:c r="G603" i="2"/>
  <x:c r="K607" i="2"/>
  <x:c r="H612" i="2"/>
  <x:c r="F618" i="2"/>
  <x:c r="J622" i="2"/>
  <x:c r="K630" i="2"/>
  <x:c r="K638" i="2"/>
  <x:c r="M652" i="2"/>
  <x:c r="O662" i="2"/>
  <x:c r="L675" i="2"/>
  <x:c r="K695" i="2"/>
  <x:c r="G546" i="2"/>
  <x:c r="K550" i="2"/>
  <x:c r="I556" i="2"/>
  <x:c r="F561" i="2"/>
  <x:c r="J565" i="2"/>
  <x:c r="H571" i="2"/>
  <x:c r="L575" i="2"/>
  <x:c r="I580" i="2"/>
  <x:c r="F585" i="2"/>
  <x:c r="L591" i="2"/>
  <x:c r="I596" i="2"/>
  <x:c r="F601" i="2"/>
  <x:c r="J605" i="2"/>
  <x:c r="G610" i="2"/>
  <x:c r="L614" i="3"/>
  <x:c r="L614" i="2" s="1"/>
  <x:c r="L615" i="2"/>
  <x:c r="I620" i="2"/>
  <x:c r="N625" i="2"/>
  <x:c r="N633" i="2"/>
  <x:c r="O643" i="2"/>
  <x:c r="L656" i="2"/>
  <x:c r="P671" i="2"/>
  <x:c r="H683" i="2"/>
  <x:c r="S718" i="2"/>
  <x:c r="O628" i="2"/>
  <x:c r="S632" i="2"/>
  <x:c r="P637" i="2"/>
  <x:c r="F643" i="2"/>
  <x:c r="J647" i="2"/>
  <x:c r="G652" i="2"/>
  <x:c r="K656" i="2"/>
  <x:c r="H661" i="2"/>
  <x:c r="M665" i="3"/>
  <x:c r="M665" i="2" s="1"/>
  <x:c r="M666" i="2"/>
  <x:c r="Q670" i="2"/>
  <x:c r="N675" i="2"/>
  <x:c r="R679" i="2"/>
  <x:c r="O684" i="2"/>
  <x:c r="S688" i="2"/>
  <x:c r="K696" i="2"/>
  <x:c r="L705" i="2"/>
  <x:c r="R718" i="2"/>
  <x:c r="M736" i="2"/>
  <x:c r="H781" i="2"/>
  <x:c r="G625" i="2"/>
  <x:c r="K629" i="2"/>
  <x:c r="H634" i="2"/>
  <x:c r="L638" i="2"/>
  <x:c r="J644" i="2"/>
  <x:c r="G649" i="2"/>
  <x:c r="K653" i="2"/>
  <x:c r="H658" i="2"/>
  <x:c r="L662" i="2"/>
  <x:c r="J668" i="2"/>
  <x:c r="G673" i="2"/>
  <x:c r="K677" i="2"/>
  <x:c r="H682" i="2"/>
  <x:c r="L686" i="2"/>
  <x:c r="Q694" i="2"/>
  <x:c r="S705" i="2"/>
  <x:c r="G723" i="2"/>
  <x:c r="G741" i="2"/>
  <x:c r="G789" i="2"/>
  <x:c r="P849" i="3"/>
  <x:c r="P849" i="2" s="1"/>
  <x:c r="P850" i="2"/>
  <x:c r="I626" i="2"/>
  <x:c r="F631" i="2"/>
  <x:c r="J635" i="2"/>
  <x:c r="G640" i="2"/>
  <x:c r="L645" i="2"/>
  <x:c r="I650" i="2"/>
  <x:c r="F655" i="2"/>
  <x:c r="J659" i="2"/>
  <x:c r="G664" i="2"/>
  <x:c r="L669" i="2"/>
  <x:c r="Q674" i="2"/>
  <x:c r="J683" i="2"/>
  <x:c r="S696" i="2"/>
  <x:c r="H723" i="2"/>
  <x:c r="H648" i="2"/>
  <x:c r="K667" i="2"/>
  <x:c r="F686" i="2"/>
  <x:c r="S735" i="2"/>
  <x:c r="R624" i="2"/>
  <x:c r="P662" i="2"/>
  <x:c r="I709" i="2"/>
  <x:c r="R735" i="2"/>
  <x:c r="N911" i="2"/>
  <x:c r="O196" i="2"/>
  <x:c r="H202" i="2"/>
  <x:c r="P213" i="2"/>
  <x:c r="Q227" i="2"/>
  <x:c r="N240" i="2"/>
  <x:c r="R252" i="2"/>
  <x:c r="L270" i="2"/>
  <x:c r="L286" i="2"/>
  <x:c r="L302" i="2"/>
  <x:c r="Q324" i="2"/>
  <x:c r="I359" i="2"/>
  <x:c r="I391" i="2"/>
  <x:c r="G490" i="2"/>
  <x:c r="O67" i="2"/>
  <x:c r="S71" i="2"/>
  <x:c r="Q77" i="2"/>
  <x:c r="N82" i="2"/>
  <x:c r="R86" i="2"/>
  <x:c r="O91" i="2"/>
  <x:c r="S95" i="2"/>
  <x:c r="I101" i="2"/>
  <x:c r="F106" i="2"/>
  <x:c r="J110" i="2"/>
  <x:c r="G115" i="2"/>
  <x:c r="K119" i="2"/>
  <x:c r="H124" i="2"/>
  <x:c r="L128" i="2"/>
  <x:c r="I133" i="2"/>
  <x:c r="F138" i="2"/>
  <x:c r="J142" i="2"/>
  <x:c r="G147" i="2"/>
  <x:c r="K151" i="2"/>
  <x:c r="H156" i="2"/>
  <x:c r="L160" i="2"/>
  <x:c r="I165" i="2"/>
  <x:c r="F170" i="2"/>
  <x:c r="J174" i="2"/>
  <x:c r="G179" i="2"/>
  <x:c r="K183" i="2"/>
  <x:c r="H188" i="2"/>
  <x:c r="L192" i="2"/>
  <x:c r="I197" i="2"/>
  <x:c r="R204" i="2"/>
  <x:c r="K216" i="2"/>
  <x:c r="S227" i="2"/>
  <x:c r="M239" i="2"/>
  <x:c r="Q254" i="2"/>
  <x:c r="N272" i="2"/>
  <x:c r="N288" i="2"/>
  <x:c r="N304" i="2"/>
  <x:c r="P319" i="2"/>
  <x:c r="K354" i="2"/>
  <x:c r="K386" i="2"/>
  <x:c r="L415" i="2"/>
  <x:c r="F81" i="2"/>
  <x:c r="J85" i="2"/>
  <x:c r="G90" i="2"/>
  <x:c r="K94" i="2"/>
  <x:c r="I100" i="2"/>
  <x:c r="F105" i="2"/>
  <x:c r="J109" i="2"/>
  <x:c r="G114" i="2"/>
  <x:c r="K118" i="2"/>
  <x:c r="H123" i="2"/>
  <x:c r="L127" i="2"/>
  <x:c r="I132" i="2"/>
  <x:c r="F137" i="2"/>
  <x:c r="J141" i="2"/>
  <x:c r="G146" i="2"/>
  <x:c r="K150" i="2"/>
  <x:c r="H155" i="2"/>
  <x:c r="L159" i="2"/>
  <x:c r="I164" i="2"/>
  <x:c r="F169" i="2"/>
  <x:c r="J173" i="2"/>
  <x:c r="G178" i="2"/>
  <x:c r="K182" i="2"/>
  <x:c r="H187" i="2"/>
  <x:c r="L191" i="2"/>
  <x:c r="I196" i="2"/>
  <x:c r="M202" i="2"/>
  <x:c r="J215" i="2"/>
  <x:c r="R226" i="2"/>
  <x:c r="S240" i="2"/>
  <x:c r="P258" i="2"/>
  <x:c r="N283" i="2"/>
  <x:c r="S304" i="2"/>
  <x:c r="O330" i="2"/>
  <x:c r="O362" i="2"/>
  <x:c r="J397" i="2"/>
  <x:c r="I481" i="2"/>
  <x:c r="I566" i="3"/>
  <x:c r="I566" i="2" s="1"/>
  <x:c r="I567" i="2"/>
  <x:c r="P178" i="2"/>
  <x:c r="M183" i="2"/>
  <x:c r="Q187" i="2"/>
  <x:c r="N192" i="2"/>
  <x:c r="R196" i="2"/>
  <x:c r="S203" i="2"/>
  <x:c r="P216" i="2"/>
  <x:c r="M229" i="2"/>
  <x:c r="R239" i="2"/>
  <x:c r="J255" i="2"/>
  <x:c r="I278" i="2"/>
  <x:c r="Q299" i="2"/>
  <x:c r="J320" i="2"/>
  <x:c r="J352" i="2"/>
  <x:c r="Q389" i="2"/>
  <x:c r="H475" i="2"/>
  <x:c r="H65" i="2"/>
  <x:c r="L69" i="2"/>
  <x:c r="J74" i="3"/>
  <x:c r="J74" i="2" s="1"/>
  <x:c r="J75" i="2"/>
  <x:c r="G80" i="2"/>
  <x:c r="K84" i="2"/>
  <x:c r="H89" i="2"/>
  <x:c r="L93" i="2"/>
  <x:c r="J99" i="2"/>
  <x:c r="G104" i="2"/>
  <x:c r="K108" i="2"/>
  <x:c r="H113" i="2"/>
  <x:c r="L117" i="2"/>
  <x:c r="I122" i="2"/>
  <x:c r="F127" i="2"/>
  <x:c r="J131" i="2"/>
  <x:c r="G136" i="2"/>
  <x:c r="K140" i="2"/>
  <x:c r="H145" i="2"/>
  <x:c r="L149" i="2"/>
  <x:c r="I154" i="2"/>
  <x:c r="F159" i="2"/>
  <x:c r="J163" i="2"/>
  <x:c r="G168" i="2"/>
  <x:c r="K172" i="2"/>
  <x:c r="H177" i="2"/>
  <x:c r="L181" i="2"/>
  <x:c r="I186" i="2"/>
  <x:c r="F191" i="2"/>
  <x:c r="J195" i="2"/>
  <x:c r="H200" i="2"/>
  <x:c r="O215" i="2"/>
  <x:c r="F227" i="2"/>
  <x:c r="G241" i="2"/>
  <x:c r="G257" i="2"/>
  <x:c r="G273" i="2"/>
  <x:c r="G289" i="2"/>
  <x:c r="G305" i="2"/>
  <x:c r="Q327" i="3"/>
  <x:c r="Q327" i="2" s="1"/>
  <x:c r="Q328" i="2"/>
  <x:c r="Q360" i="2"/>
  <x:c r="Q392" i="2"/>
  <x:c r="O434" i="2"/>
  <x:c r="I522" i="2"/>
  <x:c r="Q65" i="2"/>
  <x:c r="N70" i="2"/>
  <x:c r="S74" i="3"/>
  <x:c r="S74" i="2" s="1"/>
  <x:c r="S75" i="2"/>
  <x:c r="P80" i="2"/>
  <x:c r="M85" i="2"/>
  <x:c r="Q89" i="2"/>
  <x:c r="N94" i="2"/>
  <x:c r="S99" i="2"/>
  <x:c r="P104" i="2"/>
  <x:c r="M109" i="2"/>
  <x:c r="Q113" i="2"/>
  <x:c r="N118" i="2"/>
  <x:c r="R122" i="2"/>
  <x:c r="O127" i="2"/>
  <x:c r="S131" i="2"/>
  <x:c r="P136" i="2"/>
  <x:c r="M141" i="2"/>
  <x:c r="Q145" i="2"/>
  <x:c r="N150" i="2"/>
  <x:c r="R154" i="2"/>
  <x:c r="O159" i="2"/>
  <x:c r="S163" i="2"/>
  <x:c r="P168" i="2"/>
  <x:c r="M173" i="2"/>
  <x:c r="Q177" i="2"/>
  <x:c r="N182" i="2"/>
  <x:c r="R186" i="2"/>
  <x:c r="O191" i="2"/>
  <x:c r="S195" i="2"/>
  <x:c r="O201" i="2"/>
  <x:c r="L214" i="2"/>
  <x:c r="I227" i="2"/>
  <x:c r="Q238" i="2"/>
  <x:c r="M250" i="2"/>
  <x:c r="M265" i="3"/>
  <x:c r="M265" i="2" s="1"/>
  <x:c r="M266" i="2"/>
  <x:c r="M282" i="2"/>
  <x:c r="M298" i="2"/>
  <x:c r="M314" i="2"/>
  <x:c r="J342" i="2"/>
  <x:c r="J374" i="2"/>
  <x:c r="F410" i="2"/>
  <x:c r="Q569" i="2"/>
  <x:c r="I204" i="2"/>
  <x:c r="G210" i="2"/>
  <x:c r="K214" i="2"/>
  <x:c r="H219" i="2"/>
  <x:c r="L223" i="2"/>
  <x:c r="I228" i="2"/>
  <x:c r="F233" i="2"/>
  <x:c r="J237" i="2"/>
  <x:c r="G242" i="2"/>
  <x:c r="K246" i="2"/>
  <x:c r="H251" i="2"/>
  <x:c r="L255" i="2"/>
  <x:c r="I260" i="2"/>
  <x:c r="G265" i="3"/>
  <x:c r="G265" i="2" s="1"/>
  <x:c r="G266" i="2"/>
  <x:c r="K270" i="2"/>
  <x:c r="H275" i="2"/>
  <x:c r="L279" i="2"/>
  <x:c r="I284" i="2"/>
  <x:c r="F289" i="2"/>
  <x:c r="J293" i="2"/>
  <x:c r="G298" i="2"/>
  <x:c r="K302" i="2"/>
  <x:c r="H307" i="2"/>
  <x:c r="L311" i="2"/>
  <x:c r="I316" i="2"/>
  <x:c r="O323" i="2"/>
  <x:c r="P332" i="2"/>
  <x:c r="P340" i="2"/>
  <x:c r="P348" i="2"/>
  <x:c r="P356" i="2"/>
  <x:c r="P364" i="2"/>
  <x:c r="O373" i="2"/>
  <x:c r="O381" i="2"/>
  <x:c r="O389" i="2"/>
  <x:c r="O397" i="2"/>
  <x:c r="I407" i="2"/>
  <x:c r="Q420" i="2"/>
  <x:c r="Q436" i="2"/>
  <x:c r="G456" i="2"/>
  <x:c r="G488" i="2"/>
  <x:c r="O528" i="2"/>
  <x:c r="O200" i="2"/>
  <x:c r="S204" i="2"/>
  <x:c r="I210" i="2"/>
  <x:c r="F215" i="2"/>
  <x:c r="J219" i="2"/>
  <x:c r="G224" i="2"/>
  <x:c r="K228" i="2"/>
  <x:c r="H233" i="2"/>
  <x:c r="L237" i="2"/>
  <x:c r="I242" i="2"/>
  <x:c r="F247" i="2"/>
  <x:c r="J251" i="2"/>
  <x:c r="G256" i="2"/>
  <x:c r="K260" i="2"/>
  <x:c r="I265" i="3"/>
  <x:c r="I265" i="2" s="1"/>
  <x:c r="I266" i="2"/>
  <x:c r="F271" i="2"/>
  <x:c r="J275" i="2"/>
  <x:c r="G280" i="2"/>
  <x:c r="K284" i="2"/>
  <x:c r="H289" i="2"/>
  <x:c r="L293" i="2"/>
  <x:c r="I298" i="2"/>
  <x:c r="F303" i="2"/>
  <x:c r="J307" i="2"/>
  <x:c r="G312" i="2"/>
  <x:c r="M316" i="2"/>
  <x:c r="R326" i="2"/>
  <x:c r="S337" i="2"/>
  <x:c r="R349" i="2"/>
  <x:c r="Q359" i="2"/>
  <x:c r="S370" i="2"/>
  <x:c r="R382" i="2"/>
  <x:c r="R392" i="2"/>
  <x:c r="S402" i="2"/>
  <x:c r="O419" i="2"/>
  <x:c r="F443" i="2"/>
  <x:c r="G474" i="2"/>
  <x:c r="G512" i="2"/>
  <x:c r="S564" i="2"/>
  <x:c r="Q249" i="2"/>
  <x:c r="N254" i="2"/>
  <x:c r="R258" i="2"/>
  <x:c r="O263" i="2"/>
  <x:c r="M269" i="2"/>
  <x:c r="Q273" i="2"/>
  <x:c r="N278" i="2"/>
  <x:c r="R282" i="2"/>
  <x:c r="O287" i="2"/>
  <x:c r="S291" i="2"/>
  <x:c r="P296" i="2"/>
  <x:c r="M301" i="2"/>
  <x:c r="Q305" i="2"/>
  <x:c r="N310" i="2"/>
  <x:c r="R314" i="2"/>
  <x:c r="F324" i="2"/>
  <x:c r="F341" i="2"/>
  <x:c r="F357" i="2"/>
  <x:c r="S374" i="2"/>
  <x:c r="S390" i="2"/>
  <x:c r="K406" i="2"/>
  <x:c r="J421" i="2"/>
  <x:c r="Q445" i="2"/>
  <x:c r="H480" i="2"/>
  <x:c r="J526" i="2"/>
  <x:c r="R201" i="2"/>
  <x:c r="P207" i="2"/>
  <x:c r="M212" i="2"/>
  <x:c r="Q216" i="2"/>
  <x:c r="N221" i="2"/>
  <x:c r="R225" i="2"/>
  <x:c r="O230" i="2"/>
  <x:c r="S234" i="2"/>
  <x:c r="P239" i="2"/>
  <x:c r="M244" i="2"/>
  <x:c r="Q248" i="2"/>
  <x:c r="N253" i="2"/>
  <x:c r="R257" i="2"/>
  <x:c r="O262" i="2"/>
  <x:c r="M268" i="2"/>
  <x:c r="Q272" i="2"/>
  <x:c r="N277" i="2"/>
  <x:c r="R281" i="2"/>
  <x:c r="O286" i="2"/>
  <x:c r="S290" i="2"/>
  <x:c r="P295" i="2"/>
  <x:c r="M300" i="2"/>
  <x:c r="Q304" i="2"/>
  <x:c r="N309" i="2"/>
  <x:c r="R313" i="2"/>
  <x:c r="F322" i="2"/>
  <x:c r="H332" i="2"/>
  <x:c r="G342" i="2"/>
  <x:c r="F354" i="2"/>
  <x:c r="H364" i="2"/>
  <x:c r="F377" i="2"/>
  <x:c r="G387" i="2"/>
  <x:c r="G397" i="2"/>
  <x:c r="S407" i="2"/>
  <x:c r="K423" i="2"/>
  <x:c r="O441" i="2"/>
  <x:c r="G466" i="2"/>
  <x:c r="G498" i="2"/>
  <x:c r="H585" i="2"/>
  <x:c r="S201" i="2"/>
  <x:c r="Q207" i="2"/>
  <x:c r="N212" i="2"/>
  <x:c r="R216" i="2"/>
  <x:c r="O221" i="2"/>
  <x:c r="S225" i="2"/>
  <x:c r="P230" i="2"/>
  <x:c r="M235" i="2"/>
  <x:c r="Q239" i="2"/>
  <x:c r="N244" i="2"/>
  <x:c r="R248" i="2"/>
  <x:c r="O253" i="2"/>
  <x:c r="S257" i="2"/>
  <x:c r="P262" i="2"/>
  <x:c r="N268" i="2"/>
  <x:c r="R272" i="2"/>
  <x:c r="O277" i="2"/>
  <x:c r="S281" i="2"/>
  <x:c r="P286" i="2"/>
  <x:c r="M291" i="2"/>
  <x:c r="Q295" i="2"/>
  <x:c r="N300" i="2"/>
  <x:c r="R304" i="2"/>
  <x:c r="O309" i="2"/>
  <x:c r="S313" i="2"/>
  <x:c r="I320" i="2"/>
  <x:c r="J329" i="2"/>
  <x:c r="J337" i="2"/>
  <x:c r="J345" i="2"/>
  <x:c r="J353" i="2"/>
  <x:c r="J361" i="2"/>
  <x:c r="G370" i="2"/>
  <x:c r="G378" i="2"/>
  <x:c r="G386" i="2"/>
  <x:c r="G394" i="2"/>
  <x:c r="G402" i="2"/>
  <x:c r="I413" i="2"/>
  <x:c r="H427" i="2"/>
  <x:c r="Q443" i="2"/>
  <x:c r="J478" i="2"/>
  <x:c r="P523" i="2"/>
  <x:c r="O203" i="2"/>
  <x:c r="M209" i="2"/>
  <x:c r="Q213" i="2"/>
  <x:c r="N218" i="2"/>
  <x:c r="R222" i="2"/>
  <x:c r="O227" i="2"/>
  <x:c r="S231" i="2"/>
  <x:c r="P236" i="2"/>
  <x:c r="M241" i="2"/>
  <x:c r="Q245" i="2"/>
  <x:c r="N250" i="2"/>
  <x:c r="R254" i="2"/>
  <x:c r="O259" i="2"/>
  <x:c r="S263" i="2"/>
  <x:c r="I269" i="2"/>
  <x:c r="F274" i="2"/>
  <x:c r="J278" i="2"/>
  <x:c r="G283" i="2"/>
  <x:c r="K287" i="2"/>
  <x:c r="H292" i="2"/>
  <x:c r="L296" i="2"/>
  <x:c r="I301" i="2"/>
  <x:c r="F306" i="2"/>
  <x:c r="J310" i="2"/>
  <x:c r="G315" i="2"/>
  <x:c r="L322" i="2"/>
  <x:c r="M331" i="2"/>
  <x:c r="M339" i="2"/>
  <x:c r="M347" i="2"/>
  <x:c r="M355" i="2"/>
  <x:c r="M363" i="2"/>
  <x:c r="N372" i="2"/>
  <x:c r="N380" i="2"/>
  <x:c r="N388" i="2"/>
  <x:c r="N396" i="2"/>
  <x:c r="P404" i="2"/>
  <x:c r="P420" i="2"/>
  <x:c r="J442" i="2"/>
  <x:c r="H473" i="2"/>
  <x:c r="O514" i="2"/>
  <x:c r="J319" i="2"/>
  <x:c r="G324" i="2"/>
  <x:c r="L329" i="2"/>
  <x:c r="I334" i="2"/>
  <x:c r="F339" i="2"/>
  <x:c r="J343" i="2"/>
  <x:c r="G348" i="2"/>
  <x:c r="K352" i="2"/>
  <x:c r="H357" i="2"/>
  <x:c r="L361" i="2"/>
  <x:c r="J367" i="2"/>
  <x:c r="G372" i="2"/>
  <x:c r="K376" i="2"/>
  <x:c r="H381" i="2"/>
  <x:c r="L385" i="2"/>
  <x:c r="I390" i="2"/>
  <x:c r="F395" i="2"/>
  <x:c r="J399" i="2"/>
  <x:c r="G404" i="2"/>
  <x:c r="K408" i="2"/>
  <x:c r="H413" i="2"/>
  <x:c r="L417" i="2"/>
  <x:c r="I422" i="2"/>
  <x:c r="F427" i="2"/>
  <x:c r="K432" i="2"/>
  <x:c r="H437" i="2"/>
  <x:c r="N441" i="2"/>
  <x:c r="R447" i="2"/>
  <x:c r="I454" i="2"/>
  <x:c r="S468" i="2"/>
  <x:c r="S484" i="2"/>
  <x:c r="F505" i="2"/>
  <x:c r="S516" i="2"/>
  <x:c r="M528" i="2"/>
  <x:c r="I541" i="2"/>
  <x:c r="F556" i="2"/>
  <x:c r="S587" i="2"/>
  <x:c r="J630" i="2"/>
  <x:c r="I540" i="2"/>
  <x:c r="N558" i="2"/>
  <x:c r="S579" i="2"/>
  <x:c r="S627" i="2"/>
  <x:c r="R316" i="2"/>
  <x:c r="O321" i="2"/>
  <x:c r="S325" i="2"/>
  <x:c r="I331" i="2"/>
  <x:c r="F336" i="2"/>
  <x:c r="J340" i="2"/>
  <x:c r="G345" i="2"/>
  <x:c r="K349" i="2"/>
  <x:c r="H354" i="2"/>
  <x:c r="L358" i="2"/>
  <x:c r="I363" i="2"/>
  <x:c r="G369" i="2"/>
  <x:c r="K373" i="2"/>
  <x:c r="H378" i="2"/>
  <x:c r="L382" i="2"/>
  <x:c r="I387" i="2"/>
  <x:c r="F392" i="2"/>
  <x:c r="J396" i="2"/>
  <x:c r="G401" i="2"/>
  <x:c r="K405" i="2"/>
  <x:c r="H410" i="2"/>
  <x:c r="L414" i="2"/>
  <x:c r="I419" i="2"/>
  <x:c r="F424" i="2"/>
  <x:c r="K428" i="3"/>
  <x:c r="K428" i="2" s="1"/>
  <x:c r="K429" i="2"/>
  <x:c r="H434" i="2"/>
  <x:c r="L438" i="2"/>
  <x:c r="R443" i="2"/>
  <x:c r="M449" i="2"/>
  <x:c r="K455" i="2"/>
  <x:c r="K463" i="2"/>
  <x:c r="K471" i="2"/>
  <x:c r="K479" i="2"/>
  <x:c r="K487" i="2"/>
  <x:c r="K495" i="2"/>
  <x:c r="M505" i="2"/>
  <x:c r="J517" i="2"/>
  <x:c r="I530" i="2"/>
  <x:c r="Q541" i="2"/>
  <x:c r="R562" i="2"/>
  <x:c r="R600" i="2"/>
  <x:c r="N649" i="2"/>
  <x:c r="F319" i="2"/>
  <x:c r="J323" i="2"/>
  <x:c r="H329" i="2"/>
  <x:c r="L333" i="2"/>
  <x:c r="I338" i="2"/>
  <x:c r="F343" i="2"/>
  <x:c r="J347" i="2"/>
  <x:c r="G352" i="2"/>
  <x:c r="K356" i="2"/>
  <x:c r="H361" i="2"/>
  <x:c r="M365" i="3"/>
  <x:c r="M365" i="2" s="1"/>
  <x:c r="M366" i="2"/>
  <x:c r="Q370" i="2"/>
  <x:c r="N375" i="2"/>
  <x:c r="R379" i="2"/>
  <x:c r="O384" i="2"/>
  <x:c r="S388" i="2"/>
  <x:c r="P393" i="2"/>
  <x:c r="M398" i="2"/>
  <x:c r="Q402" i="2"/>
  <x:c r="N407" i="2"/>
  <x:c r="R411" i="2"/>
  <x:c r="O416" i="2"/>
  <x:c r="S420" i="2"/>
  <x:c r="P425" i="2"/>
  <x:c r="N431" i="2"/>
  <x:c r="R435" i="2"/>
  <x:c r="O440" i="2"/>
  <x:c r="L447" i="2"/>
  <x:c r="Q453" i="2"/>
  <x:c r="L461" i="2"/>
  <x:c r="L469" i="2"/>
  <x:c r="L477" i="2"/>
  <x:c r="L485" i="2"/>
  <x:c r="L493" i="2"/>
  <x:c r="L503" i="2"/>
  <x:c r="M512" i="2"/>
  <x:c r="I525" i="2"/>
  <x:c r="L535" i="2"/>
  <x:c r="S547" i="2"/>
  <x:c r="R575" i="2"/>
  <x:c r="G612" i="2"/>
  <x:c r="O319" i="2"/>
  <x:c r="S323" i="2"/>
  <x:c r="Q329" i="2"/>
  <x:c r="N334" i="2"/>
  <x:c r="R338" i="2"/>
  <x:c r="O343" i="2"/>
  <x:c r="S347" i="2"/>
  <x:c r="P352" i="2"/>
  <x:c r="M357" i="2"/>
  <x:c r="Q361" i="2"/>
  <x:c r="G367" i="2"/>
  <x:c r="K371" i="2"/>
  <x:c r="H376" i="2"/>
  <x:c r="L380" i="2"/>
  <x:c r="I385" i="2"/>
  <x:c r="F390" i="2"/>
  <x:c r="J394" i="2"/>
  <x:c r="G399" i="2"/>
  <x:c r="K403" i="2"/>
  <x:c r="H408" i="2"/>
  <x:c r="L412" i="2"/>
  <x:c r="I417" i="2"/>
  <x:c r="F422" i="2"/>
  <x:c r="J426" i="2"/>
  <x:c r="O431" i="2"/>
  <x:c r="S435" i="2"/>
  <x:c r="P440" i="2"/>
  <x:c r="R446" i="2"/>
  <x:c r="R453" i="2"/>
  <x:c r="M461" i="2"/>
  <x:c r="M469" i="2"/>
  <x:c r="M477" i="2"/>
  <x:c r="M485" i="2"/>
  <x:c r="M493" i="2"/>
  <x:c r="N503" i="2"/>
  <x:c r="F514" i="2"/>
  <x:c r="R526" i="2"/>
  <x:c r="O539" i="2"/>
  <x:c r="J554" i="3"/>
  <x:c r="J554" i="2" s="1"/>
  <x:c r="J555" i="2"/>
  <x:c r="R586" i="2"/>
  <x:c r="H621" i="2"/>
  <x:c r="N405" i="2"/>
  <x:c r="R409" i="2"/>
  <x:c r="O414" i="2"/>
  <x:c r="S418" i="2"/>
  <x:c r="P423" i="2"/>
  <x:c r="F428" i="3"/>
  <x:c r="F428" i="2" s="1"/>
  <x:c r="F429" i="2"/>
  <x:c r="J433" i="2"/>
  <x:c r="G438" i="2"/>
  <x:c r="Q442" i="2"/>
  <x:c r="K448" i="2"/>
  <x:c r="R454" i="2"/>
  <x:c r="R462" i="2"/>
  <x:c r="R470" i="2"/>
  <x:c r="R478" i="2"/>
  <x:c r="R486" i="2"/>
  <x:c r="R494" i="2"/>
  <x:c r="P504" i="2"/>
  <x:c r="J515" i="2"/>
  <x:c r="S526" i="2"/>
  <x:c r="N538" i="2"/>
  <x:c r="M554" i="3"/>
  <x:c r="M554" i="2" s="1"/>
  <x:c r="M555" i="2"/>
  <x:c r="H584" i="2"/>
  <x:c r="G638" i="2"/>
  <x:c r="R416" i="2"/>
  <x:c r="O421" i="2"/>
  <x:c r="S425" i="2"/>
  <x:c r="Q431" i="2"/>
  <x:c r="N436" i="2"/>
  <x:c r="R440" i="2"/>
  <x:c r="J446" i="2"/>
  <x:c r="L452" i="2"/>
  <x:c r="R461" i="2"/>
  <x:c r="S471" i="2"/>
  <x:c r="R483" i="2"/>
  <x:c r="R493" i="2"/>
  <x:c r="R507" i="2"/>
  <x:c r="O520" i="2"/>
  <x:c r="J533" i="2"/>
  <x:c r="N548" i="2"/>
  <x:c r="R576" i="2"/>
  <x:c r="S604" i="2"/>
  <x:c r="K646" i="2"/>
  <x:c r="N456" i="2"/>
  <x:c r="R460" i="2"/>
  <x:c r="O465" i="2"/>
  <x:c r="S469" i="2"/>
  <x:c r="P474" i="2"/>
  <x:c r="M479" i="2"/>
  <x:c r="Q483" i="2"/>
  <x:c r="N488" i="2"/>
  <x:c r="R492" i="2"/>
  <x:c r="O497" i="2"/>
  <x:c r="N504" i="2"/>
  <x:c r="R508" i="2"/>
  <x:c r="O513" i="2"/>
  <x:c r="S517" i="2"/>
  <x:c r="P522" i="2"/>
  <x:c r="M527" i="2"/>
  <x:c r="Q531" i="2"/>
  <x:c r="N536" i="2"/>
  <x:c r="R540" i="2"/>
  <x:c r="S545" i="2"/>
  <x:c r="S552" i="2"/>
  <x:c r="G561" i="2"/>
  <x:c r="G573" i="2"/>
  <x:c r="G583" i="2"/>
  <x:c r="G597" i="2"/>
  <x:c r="G607" i="2"/>
  <x:c r="F620" i="2"/>
  <x:c r="G634" i="2"/>
  <x:c r="L659" i="2"/>
  <x:c r="S686" i="2"/>
  <x:c r="N510" i="2"/>
  <x:c r="R514" i="2"/>
  <x:c r="O519" i="2"/>
  <x:c r="S523" i="2"/>
  <x:c r="P528" i="2"/>
  <x:c r="M533" i="2"/>
  <x:c r="Q537" i="2"/>
  <x:c r="N542" i="2"/>
  <x:c r="M547" i="2"/>
  <x:c r="N554" i="3"/>
  <x:c r="N554" i="2" s="1"/>
  <x:c r="N555" i="2"/>
  <x:c r="K563" i="2"/>
  <x:c r="K572" i="2"/>
  <x:c r="K580" i="2"/>
  <x:c r="M589" i="3"/>
  <x:c r="M590" i="2"/>
  <x:c r="M598" i="2"/>
  <x:c r="M606" i="2"/>
  <x:c r="J614" i="3"/>
  <x:c r="J614" i="2" s="1"/>
  <x:c r="J615" i="2"/>
  <x:c r="P623" i="2"/>
  <x:c r="I645" i="2"/>
  <x:c r="H684" i="2"/>
  <x:c r="J441" i="2"/>
  <x:c r="G446" i="2"/>
  <x:c r="K450" i="2"/>
  <x:c r="H455" i="2"/>
  <x:c r="L459" i="2"/>
  <x:c r="I464" i="2"/>
  <x:c r="F469" i="2"/>
  <x:c r="J473" i="2"/>
  <x:c r="G478" i="2"/>
  <x:c r="K482" i="2"/>
  <x:c r="H487" i="2"/>
  <x:c r="L491" i="2"/>
  <x:c r="I496" i="2"/>
  <x:c r="O501" i="3"/>
  <x:c r="O502" i="2"/>
  <x:c r="S506" i="2"/>
  <x:c r="P511" i="2"/>
  <x:c r="M516" i="2"/>
  <x:c r="Q520" i="2"/>
  <x:c r="N525" i="2"/>
  <x:c r="R529" i="2"/>
  <x:c r="O534" i="2"/>
  <x:c r="S538" i="2"/>
  <x:c r="P543" i="2"/>
  <x:c r="G549" i="2"/>
  <x:c r="H558" i="2"/>
  <x:c r="M565" i="2"/>
  <x:c r="N574" i="2"/>
  <x:c r="N582" i="2"/>
  <x:c r="K592" i="2"/>
  <x:c r="K600" i="2"/>
  <x:c r="K608" i="2"/>
  <x:c r="K617" i="2"/>
  <x:c r="S630" i="2"/>
  <x:c r="F658" i="2"/>
  <x:c r="K441" i="2"/>
  <x:c r="H446" i="2"/>
  <x:c r="L450" i="2"/>
  <x:c r="I455" i="2"/>
  <x:c r="F460" i="2"/>
  <x:c r="J464" i="2"/>
  <x:c r="G469" i="2"/>
  <x:c r="K473" i="2"/>
  <x:c r="H478" i="2"/>
  <x:c r="L482" i="2"/>
  <x:c r="I487" i="2"/>
  <x:c r="F492" i="2"/>
  <x:c r="J496" i="2"/>
  <x:c r="I503" i="2"/>
  <x:c r="F508" i="2"/>
  <x:c r="J512" i="2"/>
  <x:c r="G517" i="2"/>
  <x:c r="K521" i="2"/>
  <x:c r="H526" i="2"/>
  <x:c r="L530" i="2"/>
  <x:c r="I535" i="2"/>
  <x:c r="F540" i="2"/>
  <x:c r="J544" i="2"/>
  <x:c r="Q551" i="2"/>
  <x:c r="P560" i="2"/>
  <x:c r="L569" i="2"/>
  <x:c r="L577" i="2"/>
  <x:c r="L585" i="2"/>
  <x:c r="N595" i="2"/>
  <x:c r="N603" i="2"/>
  <x:c r="N611" i="2"/>
  <x:c r="N620" i="2"/>
  <x:c r="R637" i="2"/>
  <x:c r="L663" i="2"/>
  <x:c r="M697" i="2"/>
  <x:c r="S456" i="2"/>
  <x:c r="P461" i="2"/>
  <x:c r="M466" i="2"/>
  <x:c r="Q470" i="2"/>
  <x:c r="N475" i="2"/>
  <x:c r="R479" i="2"/>
  <x:c r="O484" i="2"/>
  <x:c r="S488" i="2"/>
  <x:c r="P493" i="2"/>
  <x:c r="M498" i="2"/>
  <x:c r="S504" i="2"/>
  <x:c r="P509" i="2"/>
  <x:c r="M514" i="2"/>
  <x:c r="Q518" i="2"/>
  <x:c r="N523" i="2"/>
  <x:c r="R527" i="2"/>
  <x:c r="O532" i="2"/>
  <x:c r="S536" i="2"/>
  <x:c r="P541" i="2"/>
  <x:c r="J546" i="2"/>
  <x:c r="O552" i="2"/>
  <x:c r="F560" i="2"/>
  <x:c r="P568" i="2"/>
  <x:c r="P576" i="2"/>
  <x:c r="P584" i="2"/>
  <x:c r="Q594" i="2"/>
  <x:c r="Q602" i="2"/>
  <x:c r="Q610" i="2"/>
  <x:c r="R619" i="2"/>
  <x:c r="I633" i="2"/>
  <x:c r="N658" i="2"/>
  <x:c r="O707" i="2"/>
  <x:c r="S585" i="2"/>
  <x:c r="S601" i="2"/>
  <x:c r="F622" i="2"/>
  <x:c r="F649" i="2"/>
  <x:c r="M673" i="2"/>
  <x:c r="O731" i="2"/>
  <x:c r="R564" i="2"/>
  <x:c r="H570" i="2"/>
  <x:c r="L574" i="2"/>
  <x:c r="I579" i="2"/>
  <x:c r="F584" i="2"/>
  <x:c r="L589" i="3"/>
  <x:c r="L590" i="2"/>
  <x:c r="I595" i="2"/>
  <x:c r="F600" i="2"/>
  <x:c r="J604" i="2"/>
  <x:c r="G609" i="2"/>
  <x:c r="K613" i="2"/>
  <x:c r="P618" i="2"/>
  <x:c r="H623" i="2"/>
  <x:c r="O631" i="2"/>
  <x:c r="S639" i="2"/>
  <x:c r="Q652" i="2"/>
  <x:c r="S665" i="3"/>
  <x:c r="S665" i="2" s="1"/>
  <x:c r="S666" i="2"/>
  <x:c r="F677" i="2"/>
  <x:c r="O690" i="2"/>
  <x:c r="H743" i="2"/>
  <x:c r="M548" i="2"/>
  <x:c r="Q552" i="2"/>
  <x:c r="O558" i="2"/>
  <x:c r="S562" i="2"/>
  <x:c r="Q568" i="2"/>
  <x:c r="N573" i="2"/>
  <x:c r="R577" i="2"/>
  <x:c r="O582" i="2"/>
  <x:c r="S586" i="2"/>
  <x:c r="J593" i="2"/>
  <x:c r="G598" i="2"/>
  <x:c r="K602" i="2"/>
  <x:c r="H607" i="2"/>
  <x:c r="L611" i="2"/>
  <x:c r="J617" i="2"/>
  <x:c r="G622" i="2"/>
  <x:c r="F633" i="2"/>
  <x:c r="M649" i="2"/>
  <x:c r="G662" i="2"/>
  <x:c r="R673" i="2"/>
  <x:c r="P691" i="2"/>
  <x:c r="G740" i="2"/>
  <x:c r="J637" i="2"/>
  <x:c r="L648" i="2"/>
  <x:c r="K662" i="2"/>
  <x:c r="H675" i="2"/>
  <x:c r="N689" i="2"/>
  <x:c r="O722" i="2"/>
  <x:c r="P548" i="2"/>
  <x:c r="M553" i="2"/>
  <x:c r="R558" i="2"/>
  <x:c r="O563" i="2"/>
  <x:c r="M569" i="2"/>
  <x:c r="Q573" i="2"/>
  <x:c r="N578" i="2"/>
  <x:c r="R582" i="2"/>
  <x:c r="O587" i="2"/>
  <x:c r="N594" i="2"/>
  <x:c r="R598" i="2"/>
  <x:c r="O603" i="2"/>
  <x:c r="S607" i="2"/>
  <x:c r="P612" i="2"/>
  <x:c r="N618" i="2"/>
  <x:c r="R623" i="2"/>
  <x:c r="K631" i="2"/>
  <x:c r="L639" i="2"/>
  <x:c r="Q653" i="2"/>
  <x:c r="S663" i="2"/>
  <x:c r="Q676" i="2"/>
  <x:c r="P700" i="2"/>
  <x:c r="O546" i="2"/>
  <x:c r="S550" i="2"/>
  <x:c r="Q556" i="2"/>
  <x:c r="N561" i="2"/>
  <x:c r="R565" i="2"/>
  <x:c r="P571" i="2"/>
  <x:c r="M576" i="2"/>
  <x:c r="Q580" i="2"/>
  <x:c r="N585" i="2"/>
  <x:c r="M592" i="2"/>
  <x:c r="Q596" i="2"/>
  <x:c r="N601" i="2"/>
  <x:c r="R605" i="2"/>
  <x:c r="O610" i="2"/>
  <x:c r="M616" i="2"/>
  <x:c r="Q620" i="2"/>
  <x:c r="N626" i="2"/>
  <x:c r="N634" i="2"/>
  <x:c r="G646" i="2"/>
  <x:c r="R657" i="2"/>
  <x:c r="F673" i="2"/>
  <x:c r="P684" i="2"/>
  <x:c r="F737" i="2"/>
  <x:c r="H629" i="2"/>
  <x:c r="L633" i="2"/>
  <x:c r="I638" i="2"/>
  <x:c r="N643" i="2"/>
  <x:c r="R647" i="2"/>
  <x:c r="O652" i="2"/>
  <x:c r="S656" i="2"/>
  <x:c r="P661" i="2"/>
  <x:c r="F667" i="2"/>
  <x:c r="J671" i="2"/>
  <x:c r="G676" i="2"/>
  <x:c r="K680" i="2"/>
  <x:c r="H685" i="2"/>
  <x:c r="L689" i="2"/>
  <x:c r="L697" i="2"/>
  <x:c r="M706" i="2"/>
  <x:c r="M720" i="2"/>
  <x:c r="F740" i="2"/>
  <x:c r="H784" i="2"/>
  <x:c r="O625" i="2"/>
  <x:c r="S629" i="2"/>
  <x:c r="P634" i="2"/>
  <x:c r="M639" i="2"/>
  <x:c r="R644" i="2"/>
  <x:c r="O649" i="2"/>
  <x:c r="S653" i="2"/>
  <x:c r="P658" i="2"/>
  <x:c r="M663" i="2"/>
  <x:c r="R668" i="2"/>
  <x:c r="O673" i="2"/>
  <x:c r="S677" i="2"/>
  <x:c r="P682" i="2"/>
  <x:c r="M687" i="2"/>
  <x:c r="Q695" i="2"/>
  <x:c r="Q708" i="2"/>
  <x:c r="Q724" i="2"/>
  <x:c r="H750" i="2"/>
  <x:c r="S793" i="2"/>
  <x:c r="M622" i="2"/>
  <x:c r="Q626" i="2"/>
  <x:c r="N631" i="2"/>
  <x:c r="R635" i="2"/>
  <x:c r="O640" i="2"/>
  <x:c r="M646" i="2"/>
  <x:c r="Q650" i="2"/>
  <x:c r="N655" i="2"/>
  <x:c r="R659" i="2"/>
  <x:c r="O664" i="2"/>
  <x:c r="M670" i="2"/>
  <x:c r="R675" i="2"/>
  <x:c r="S684" i="2"/>
  <x:c r="R701" i="3"/>
  <x:c r="R701" i="2" s="1"/>
  <x:c r="R702" i="2"/>
  <x:c r="H741" i="2"/>
  <x:c r="S651" i="2"/>
  <x:c r="O671" i="2"/>
  <x:c r="F690" i="2"/>
  <x:c r="G780" i="2"/>
  <x:c r="O629" i="2"/>
  <x:c r="N668" i="2"/>
  <x:c r="G722" i="2"/>
  <x:c r="R744" i="3"/>
  <x:c r="R744" i="2" s="1"/>
  <x:c r="R745" i="2"/>
  <x:c r="H798" i="2"/>
  <x:c r="H732" i="2"/>
  <x:c r="H773" i="2"/>
  <x:c r="H640" i="2"/>
  <x:c r="F646" i="2"/>
  <x:c r="J650" i="2"/>
  <x:c r="G655" i="2"/>
  <x:c r="K659" i="2"/>
  <x:c r="H664" i="2"/>
  <x:c r="F670" i="2"/>
  <x:c r="J674" i="2"/>
  <x:c r="G679" i="2"/>
  <x:c r="K683" i="2"/>
  <x:c r="H688" i="2"/>
  <x:c r="S695" i="2"/>
  <x:c r="G708" i="2"/>
  <x:c r="I725" i="2"/>
  <x:c r="G764" i="2"/>
  <x:c r="H858" i="2"/>
  <x:c r="Q688" i="2"/>
  <x:c r="G698" i="2"/>
  <x:c r="H709" i="2"/>
  <x:c r="F729" i="2"/>
  <x:c r="H766" i="3"/>
  <x:c r="H766" i="2" s="1"/>
  <x:c r="H767" i="2"/>
  <x:c r="I623" i="2"/>
  <x:c r="F628" i="2"/>
  <x:c r="J632" i="2"/>
  <x:c r="G637" i="2"/>
  <x:c r="L641" i="3"/>
  <x:c r="L641" i="2" s="1"/>
  <x:c r="L642" i="2"/>
  <x:c r="I647" i="2"/>
  <x:c r="F652" i="2"/>
  <x:c r="J656" i="2"/>
  <x:c r="G661" i="2"/>
  <x:c r="L665" i="3"/>
  <x:c r="L665" i="2" s="1"/>
  <x:c r="L666" i="2"/>
  <x:c r="I671" i="2"/>
  <x:c r="F676" i="2"/>
  <x:c r="J680" i="2"/>
  <x:c r="G685" i="2"/>
  <x:c r="K689" i="2"/>
  <x:c r="K697" i="2"/>
  <x:c r="L706" i="2"/>
  <x:c r="Q716" i="2"/>
  <x:c r="K734" i="2"/>
  <x:c r="H774" i="2"/>
  <x:c r="F715" i="2"/>
  <x:c r="J719" i="2"/>
  <x:c r="G724" i="2"/>
  <x:c r="L729" i="2"/>
  <x:c r="I734" i="2"/>
  <x:c r="F741" i="2"/>
  <x:c r="R752" i="2"/>
  <x:c r="S762" i="2"/>
  <x:c r="R775" i="2"/>
  <x:c r="S786" i="2"/>
  <x:c r="R799" i="3"/>
  <x:c r="R799" i="2" s="1"/>
  <x:c r="R800" i="2"/>
  <x:c r="F814" i="2"/>
  <x:c r="H854" i="2"/>
  <x:c r="F795" i="2"/>
  <x:c r="M807" i="2"/>
  <x:c r="S825" i="2"/>
  <x:c r="O897" i="2"/>
  <x:c r="K693" i="2"/>
  <x:c r="H698" i="2"/>
  <x:c r="F704" i="2"/>
  <x:c r="J708" i="2"/>
  <x:c r="O713" i="2"/>
  <x:c r="S717" i="2"/>
  <x:c r="P722" i="2"/>
  <x:c r="F727" i="3"/>
  <x:c r="F727" i="2" s="1"/>
  <x:c r="F728" i="2"/>
  <x:c r="J732" i="2"/>
  <x:c r="I737" i="2"/>
  <x:c r="J746" i="2"/>
  <x:c r="J754" i="2"/>
  <x:c r="J762" i="2"/>
  <x:c r="K771" i="2"/>
  <x:c r="L780" i="2"/>
  <x:c r="L788" i="2"/>
  <x:c r="M797" i="2"/>
  <x:c r="F809" i="2"/>
  <x:c r="Q844" i="2"/>
  <x:c r="P689" i="2"/>
  <x:c r="M694" i="2"/>
  <x:c r="Q698" i="2"/>
  <x:c r="G704" i="2"/>
  <x:c r="K708" i="2"/>
  <x:c r="I714" i="2"/>
  <x:c r="F719" i="2"/>
  <x:c r="J723" i="2"/>
  <x:c r="H729" i="2"/>
  <x:c r="L733" i="2"/>
  <x:c r="L739" i="2"/>
  <x:c r="M748" i="2"/>
  <x:c r="M756" i="2"/>
  <x:c r="M764" i="2"/>
  <x:c r="N773" i="2"/>
  <x:c r="N782" i="2"/>
  <x:c r="N790" i="2"/>
  <x:c r="J799" i="3"/>
  <x:c r="J799" i="2" s="1"/>
  <x:c r="J800" i="2"/>
  <x:c r="K811" i="2"/>
  <x:c r="O877" i="2"/>
  <x:c r="S691" i="2"/>
  <x:c r="P696" i="2"/>
  <x:c r="F701" i="3"/>
  <x:c r="F701" i="2" s="1"/>
  <x:c r="F702" i="2"/>
  <x:c r="J706" i="2"/>
  <x:c r="H711" i="3"/>
  <x:c r="H711" i="2" s="1"/>
  <x:c r="H712" i="2"/>
  <x:c r="L716" i="2"/>
  <x:c r="I721" i="2"/>
  <x:c r="F726" i="2"/>
  <x:c r="K731" i="2"/>
  <x:c r="H736" i="2"/>
  <x:c r="O743" i="2"/>
  <x:c r="K752" i="2"/>
  <x:c r="K760" i="2"/>
  <x:c r="K769" i="2"/>
  <x:c r="L777" i="3"/>
  <x:c r="L777" i="2" s="1"/>
  <x:c r="L778" i="2"/>
  <x:c r="L786" i="2"/>
  <x:c r="M795" i="2"/>
  <x:c r="R804" i="2"/>
  <x:c r="M824" i="2"/>
  <x:c r="P883" i="2"/>
  <x:c r="M692" i="2"/>
  <x:c r="Q696" i="2"/>
  <x:c r="O701" i="3"/>
  <x:c r="O701" i="2" s="1"/>
  <x:c r="O702" i="2"/>
  <x:c r="S706" i="2"/>
  <x:c r="Q711" i="3"/>
  <x:c r="Q711" i="2" s="1"/>
  <x:c r="Q712" i="2"/>
  <x:c r="N717" i="2"/>
  <x:c r="R721" i="2"/>
  <x:c r="O726" i="2"/>
  <x:c r="M732" i="2"/>
  <x:c r="Q736" i="2"/>
  <x:c r="L744" i="3"/>
  <x:c r="L744" i="2" s="1"/>
  <x:c r="L745" i="2"/>
  <x:c r="L753" i="2"/>
  <x:c r="L761" i="2"/>
  <x:c r="M770" i="2"/>
  <x:c r="N779" i="2"/>
  <x:c r="N787" i="2"/>
  <x:c r="O796" i="2"/>
  <x:c r="H806" i="2"/>
  <x:c r="P824" i="2"/>
  <x:c r="S916" i="2"/>
  <x:c r="F716" i="2"/>
  <x:c r="J720" i="2"/>
  <x:c r="G725" i="2"/>
  <x:c r="L730" i="2"/>
  <x:c r="I735" i="2"/>
  <x:c r="Q743" i="2"/>
  <x:c r="R754" i="2"/>
  <x:c r="Q766" i="3"/>
  <x:c r="Q766" i="2" s="1"/>
  <x:c r="Q767" i="2"/>
  <x:c r="R777" i="3"/>
  <x:c r="R777" i="2" s="1"/>
  <x:c r="R778" i="2"/>
  <x:c r="Q790" i="2"/>
  <x:c r="R802" i="2"/>
  <x:c r="R824" i="2"/>
  <x:c r="S884" i="2"/>
  <x:c r="P807" i="2"/>
  <x:c r="J815" i="3"/>
  <x:c r="J815" i="2" s="1"/>
  <x:c r="J816" i="2"/>
  <x:c r="S824" i="2"/>
  <x:c r="O839" i="2"/>
  <x:c r="R856" i="2"/>
  <x:c r="O927" i="2"/>
  <x:c r="P740" i="2"/>
  <x:c r="F746" i="2"/>
  <x:c r="J750" i="2"/>
  <x:c r="G755" i="2"/>
  <x:c r="K759" i="2"/>
  <x:c r="H764" i="2"/>
  <x:c r="F770" i="2"/>
  <x:c r="J774" i="2"/>
  <x:c r="O779" i="2"/>
  <x:c r="S783" i="2"/>
  <x:c r="P788" i="2"/>
  <x:c r="N794" i="2"/>
  <x:c r="R798" i="2"/>
  <x:c r="O805" i="2"/>
  <x:c r="P812" i="2"/>
  <x:c r="Q821" i="2"/>
  <x:c r="Q836" i="2"/>
  <x:c r="J859" i="2"/>
  <x:c r="I892" i="2"/>
  <x:c r="H739" i="2"/>
  <x:c r="L743" i="2"/>
  <x:c r="Q748" i="2"/>
  <x:c r="N753" i="2"/>
  <x:c r="R757" i="2"/>
  <x:c r="O762" i="2"/>
  <x:c r="M768" i="2"/>
  <x:c r="Q772" i="2"/>
  <x:c r="O777" i="3"/>
  <x:c r="O777" i="2" s="1"/>
  <x:c r="O778" i="2"/>
  <x:c r="S782" i="2"/>
  <x:c r="P787" i="2"/>
  <x:c r="F793" i="2"/>
  <x:c r="J797" i="2"/>
  <x:c r="O802" i="2"/>
  <x:c r="O808" i="2"/>
  <x:c r="P817" i="2"/>
  <x:c r="I827" i="3"/>
  <x:c r="I827" i="2" s="1"/>
  <x:c r="I828" i="2"/>
  <x:c r="I841" i="2"/>
  <x:c r="O859" i="2"/>
  <x:c r="P906" i="2"/>
  <x:c r="P738" i="2"/>
  <x:c r="M743" i="2"/>
  <x:c r="R748" i="2"/>
  <x:c r="O753" i="2"/>
  <x:c r="S757" i="2"/>
  <x:c r="P762" i="2"/>
  <x:c r="F768" i="2"/>
  <x:c r="J772" i="2"/>
  <x:c r="H777" i="3"/>
  <x:c r="H777" i="2" s="1"/>
  <x:c r="H778" i="2"/>
  <x:c r="L782" i="2"/>
  <x:c r="I787" i="2"/>
  <x:c r="N791" i="3"/>
  <x:c r="N791" i="2" s="1"/>
  <x:c r="N792" i="2"/>
  <x:c r="R796" i="2"/>
  <x:c r="H802" i="2"/>
  <x:c r="I807" i="2"/>
  <x:c r="R813" i="2"/>
  <x:c r="N827" i="3"/>
  <x:c r="N827" i="2" s="1"/>
  <x:c r="N828" i="2"/>
  <x:c r="N844" i="2"/>
  <x:c r="M870" i="2"/>
  <x:c r="H737" i="2"/>
  <x:c r="L741" i="2"/>
  <x:c r="J747" i="2"/>
  <x:c r="G752" i="2"/>
  <x:c r="K756" i="2"/>
  <x:c r="H761" i="2"/>
  <x:c r="L765" i="2"/>
  <x:c r="Q770" i="2"/>
  <x:c r="N775" i="2"/>
  <x:c r="S780" i="2"/>
  <x:c r="P785" i="2"/>
  <x:c r="M790" i="2"/>
  <x:c r="R795" i="2"/>
  <x:c r="P801" i="2"/>
  <x:c r="L807" i="2"/>
  <x:c r="S815" i="3"/>
  <x:c r="S815" i="2" s="1"/>
  <x:c r="S816" i="2"/>
  <x:c r="I830" i="2"/>
  <x:c r="N841" i="2"/>
  <x:c r="J867" i="3"/>
  <x:c r="J867" i="2" s="1"/>
  <x:c r="J868" i="2"/>
  <x:c r="F904" i="2"/>
  <x:c r="Q805" i="2"/>
  <x:c r="F811" i="2"/>
  <x:c r="O818" i="2"/>
  <x:c r="J824" i="2"/>
  <x:c r="F833" i="2"/>
  <x:c r="F841" i="2"/>
  <x:c r="H851" i="2"/>
  <x:c r="S862" i="2"/>
  <x:c r="Q875" i="2"/>
  <x:c r="I899" i="2"/>
  <x:c r="G818" i="2"/>
  <x:c r="L824" i="2"/>
  <x:c r="K833" i="2"/>
  <x:c r="K841" i="2"/>
  <x:c r="M851" i="2"/>
  <x:c r="I863" i="2"/>
  <x:c r="F876" i="2"/>
  <x:c r="I906" i="2"/>
  <x:c r="Q859" i="2"/>
  <x:c r="O873" i="2"/>
  <x:c r="K896" i="2"/>
  <x:c r="S958" i="3"/>
  <x:c r="S958" i="2" s="1"/>
  <x:c r="S959" i="2"/>
  <x:c r="I967" i="2"/>
  <x:c r="G874" i="2"/>
  <x:c r="J903" i="2"/>
  <x:c r="O804" i="2"/>
  <x:c r="S808" i="2"/>
  <x:c r="H817" i="2"/>
  <x:c r="K823" i="2"/>
  <x:c r="F838" i="2"/>
  <x:c r="J852" i="2"/>
  <x:c r="G865" i="2"/>
  <x:c r="L878" i="2"/>
  <x:c r="F897" i="2"/>
  <x:c r="Q914" i="2"/>
  <x:c r="L877" i="2"/>
  <x:c r="R884" i="2"/>
  <x:c r="R900" i="2"/>
  <x:c r="I914" i="2"/>
  <x:c r="L932" i="2"/>
  <x:c r="R953" i="2"/>
  <x:c r="F826" i="2"/>
  <x:c r="K831" i="2"/>
  <x:c r="H836" i="2"/>
  <x:c r="L840" i="2"/>
  <x:c r="I845" i="2"/>
  <x:c r="F852" i="2"/>
  <x:c r="I858" i="2"/>
  <x:c r="M864" i="2"/>
  <x:c r="G872" i="2"/>
  <x:c r="K878" i="2"/>
  <x:c r="F887" i="2"/>
  <x:c r="G897" i="2"/>
  <x:c r="H907" i="2"/>
  <x:c r="L922" i="2"/>
  <x:c r="F941" i="2"/>
  <x:c r="I811" i="2"/>
  <x:c r="N815" i="3"/>
  <x:c r="N815" i="2" s="1"/>
  <x:c r="N816" i="2"/>
  <x:c r="R820" i="2"/>
  <x:c r="O825" i="2"/>
  <x:c r="M831" i="2"/>
  <x:c r="Q835" i="2"/>
  <x:c r="N840" i="2"/>
  <x:c r="R844" i="2"/>
  <x:c r="N851" i="2"/>
  <x:c r="F857" i="2"/>
  <x:c r="M862" i="2"/>
  <x:c r="L869" i="2"/>
  <x:c r="H875" i="2"/>
  <x:c r="O881" i="2"/>
  <x:c r="L889" i="2"/>
  <x:c r="L897" i="2"/>
  <x:c r="L905" i="2"/>
  <x:c r="P913" i="2"/>
  <x:c r="J929" i="2"/>
  <x:c r="I948" i="2"/>
  <x:c r="P994" i="2"/>
  <x:c r="S827" i="3"/>
  <x:c r="S827" i="2" s="1"/>
  <x:c r="S828" i="2"/>
  <x:c r="P833" i="2"/>
  <x:c r="M838" i="2"/>
  <x:c r="Q842" i="2"/>
  <x:c r="F848" i="2"/>
  <x:c r="Q855" i="2"/>
  <x:c r="S861" i="2"/>
  <x:c r="S867" i="3"/>
  <x:c r="S867" i="2" s="1"/>
  <x:c r="S868" i="2"/>
  <x:c r="I875" i="2"/>
  <x:c r="O882" i="2"/>
  <x:c r="O890" i="2"/>
  <x:c r="O898" i="2"/>
  <x:c r="O906" i="2"/>
  <x:c r="J916" i="2"/>
  <x:c r="L930" i="3"/>
  <x:c r="L930" i="2" s="1"/>
  <x:c r="L931" i="2"/>
  <x:c r="P954" i="3"/>
  <x:c r="P954" i="2" s="1"/>
  <x:c r="P955" i="2"/>
  <x:c r="K810" i="2"/>
  <x:c r="I815" i="3"/>
  <x:c r="I815" i="2" s="1"/>
  <x:c r="I816" i="2"/>
  <x:c r="F821" i="2"/>
  <x:c r="J825" i="2"/>
  <x:c r="O830" i="2"/>
  <x:c r="S834" i="2"/>
  <x:c r="P839" i="2"/>
  <x:c r="M844" i="2"/>
  <x:c r="G851" i="2"/>
  <x:c r="N856" i="2"/>
  <x:c r="H862" i="2"/>
  <x:c r="Q869" i="2"/>
  <x:c r="M875" i="2"/>
  <x:c r="G881" i="2"/>
  <x:c r="S888" i="2"/>
  <x:c r="S896" i="2"/>
  <x:c r="S904" i="2"/>
  <x:c r="F913" i="2"/>
  <x:c r="N969" i="2"/>
  <x:c r="K851" i="2"/>
  <x:c r="H856" i="2"/>
  <x:c r="L860" i="2"/>
  <x:c r="I865" i="2"/>
  <x:c r="G871" i="2"/>
  <x:c r="K875" i="2"/>
  <x:c r="H880" i="2"/>
  <x:c r="L884" i="2"/>
  <x:c r="I889" i="2"/>
  <x:c r="F894" i="2"/>
  <x:c r="J898" i="2"/>
  <x:c r="G903" i="2"/>
  <x:c r="K907" i="2"/>
  <x:c r="H912" i="2"/>
  <x:c r="L916" i="2"/>
  <x:c r="O922" i="2"/>
  <x:c r="P930" i="3"/>
  <x:c r="P930" i="2" s="1"/>
  <x:c r="P931" i="2"/>
  <x:c r="J941" i="2"/>
  <x:c r="R960" i="2"/>
  <x:c r="O979" i="2"/>
  <x:c r="Q848" i="2"/>
  <x:c r="O854" i="2"/>
  <x:c r="S858" i="2"/>
  <x:c r="P863" i="2"/>
  <x:c r="F869" i="2"/>
  <x:c r="J873" i="2"/>
  <x:c r="G878" i="2"/>
  <x:c r="K882" i="2"/>
  <x:c r="H887" i="2"/>
  <x:c r="L891" i="2"/>
  <x:c r="I896" i="2"/>
  <x:c r="F901" i="2"/>
  <x:c r="J905" i="2"/>
  <x:c r="G910" i="2"/>
  <x:c r="K914" i="2"/>
  <x:c r="I920" i="2"/>
  <x:c r="R928" i="2"/>
  <x:c r="I940" i="2"/>
  <x:c r="R972" i="2"/>
  <x:c r="S881" i="2"/>
  <x:c r="P886" i="2"/>
  <x:c r="M891" i="2"/>
  <x:c r="Q895" i="2"/>
  <x:c r="N900" i="2"/>
  <x:c r="R904" i="2"/>
  <x:c r="O909" i="2"/>
  <x:c r="S913" i="2"/>
  <x:c r="Q918" i="3"/>
  <x:c r="Q918" i="2" s="1"/>
  <x:c r="Q919" i="2"/>
  <x:c r="S929" i="2"/>
  <x:c r="R944" i="2"/>
  <x:c r="M968" i="2"/>
  <x:c r="K912" i="2"/>
  <x:c r="H917" i="2"/>
  <x:c r="G925" i="2"/>
  <x:c r="G935" i="2"/>
  <x:c r="P949" i="2"/>
  <x:c r="F973" i="2"/>
  <x:c r="G883" i="2"/>
  <x:c r="K887" i="2"/>
  <x:c r="H892" i="2"/>
  <x:c r="L896" i="2"/>
  <x:c r="I901" i="2"/>
  <x:c r="F906" i="2"/>
  <x:c r="J910" i="2"/>
  <x:c r="G915" i="2"/>
  <x:c r="L920" i="2"/>
  <x:c r="I928" i="2"/>
  <x:c r="I937" i="2"/>
  <x:c r="L951" i="2"/>
  <x:c r="I976" i="2"/>
  <x:c r="H925" i="2"/>
  <x:c r="L929" i="2"/>
  <x:c r="Q934" i="2"/>
  <x:c r="Q939" i="2"/>
  <x:c r="S945" i="2"/>
  <x:c r="J953" i="2"/>
  <x:c r="M964" i="2"/>
  <x:c r="J976" i="2"/>
  <x:c r="O986" i="2"/>
  <x:c r="O923" i="2"/>
  <x:c r="S927" i="2"/>
  <x:c r="Q933" i="2"/>
  <x:c r="N938" i="2"/>
  <x:c r="K944" i="2"/>
  <x:c r="Q951" i="2"/>
  <x:c r="J961" i="2"/>
  <x:c r="J972" i="2"/>
  <x:c r="K984" i="2"/>
  <x:c r="K949" i="2"/>
  <x:c r="O957" i="2"/>
  <x:c r="H970" i="2"/>
  <x:c r="F981" i="2"/>
  <x:c r="I995" i="2"/>
  <x:c r="S925" i="2"/>
  <x:c r="Q930" i="3"/>
  <x:c r="Q930" i="2" s="1"/>
  <x:c r="Q931" i="2"/>
  <x:c r="N936" i="2"/>
  <x:c r="K941" i="2"/>
  <x:c r="Q948" i="2"/>
  <x:c r="P957" i="2"/>
  <x:c r="I970" i="2"/>
  <x:c r="G981" i="2"/>
  <x:c r="H994" i="2"/>
  <x:c r="L925" i="2"/>
  <x:c r="J930" i="3"/>
  <x:c r="J930" i="2" s="1"/>
  <x:c r="J931" i="2"/>
  <x:c r="G936" i="2"/>
  <x:c r="R940" i="2"/>
  <x:c r="F948" i="2"/>
  <x:c r="L954" i="3"/>
  <x:c r="L954" i="2" s="1"/>
  <x:c r="L955" i="2"/>
  <x:c r="G966" i="2"/>
  <x:c r="S974" i="3"/>
  <x:c r="S974" i="2" s="1"/>
  <x:c r="S975" i="2"/>
  <x:c r="O988" i="2"/>
  <x:c r="I941" i="2"/>
  <x:c r="F946" i="2"/>
  <x:c r="J950" i="2"/>
  <x:c r="H956" i="2"/>
  <x:c r="H962" i="3"/>
  <x:c r="H962" i="2" s="1"/>
  <x:c r="H963" i="2"/>
  <x:c r="Q968" i="2"/>
  <x:c r="P974" i="3"/>
  <x:c r="P974" i="2" s="1"/>
  <x:c r="P975" i="2"/>
  <x:c r="I981" i="2"/>
  <x:c r="K989" i="2"/>
  <x:c r="F943" i="2"/>
  <x:c r="J947" i="2"/>
  <x:c r="G952" i="2"/>
  <x:c r="L957" i="2"/>
  <x:c r="H966" i="2"/>
  <x:c r="Q971" i="2"/>
  <x:c r="P978" i="2"/>
  <x:c r="H986" i="2"/>
  <x:c r="S993" i="2"/>
  <x:c r="O943" i="2"/>
  <x:c r="S947" i="2"/>
  <x:c r="P952" i="2"/>
  <x:c r="F960" i="2"/>
  <x:c r="P967" i="2"/>
  <x:c r="I973" i="2"/>
  <x:c r="M979" i="2"/>
  <x:c r="K986" i="2"/>
  <x:c r="P960" i="2"/>
  <x:c r="N966" i="2"/>
  <x:c r="R970" i="2"/>
  <x:c r="P976" i="2"/>
  <x:c r="M981" i="2"/>
  <x:c r="M987" i="2"/>
  <x:c r="M995" i="2"/>
  <x:c r="G964" i="2"/>
  <x:c r="K968" i="2"/>
  <x:c r="H973" i="2"/>
  <x:c r="F979" i="2"/>
  <x:c r="O984" i="2"/>
  <x:c r="Q990" i="2"/>
  <x:c r="I989" i="2"/>
  <x:c r="F994" i="2"/>
  <x:c r="F991" i="2"/>
  <x:c r="J995" i="2"/>
  <x:c r="J986" i="2"/>
  <x:c r="G991" i="2"/>
  <x:c r="K995" i="2"/>
  <x:c r="S676" i="2"/>
  <x:c r="P681" i="2"/>
  <x:c r="M686" i="2"/>
  <x:c r="R693" i="2"/>
  <x:c r="S704" i="2"/>
  <x:c r="R717" i="2"/>
  <x:c r="R733" i="2"/>
  <x:c r="H776" i="2"/>
  <x:c r="P640" i="2"/>
  <x:c r="N646" i="2"/>
  <x:c r="R650" i="2"/>
  <x:c r="O655" i="2"/>
  <x:c r="S659" i="2"/>
  <x:c r="P664" i="2"/>
  <x:c r="N670" i="2"/>
  <x:c r="R674" i="2"/>
  <x:c r="O679" i="2"/>
  <x:c r="S683" i="2"/>
  <x:c r="P688" i="2"/>
  <x:c r="F698" i="2"/>
  <x:c r="G709" i="2"/>
  <x:c r="S726" i="2"/>
  <x:c r="G766" i="3"/>
  <x:c r="G766" i="2" s="1"/>
  <x:c r="G767" i="2"/>
  <x:c r="F685" i="2"/>
  <x:c r="J689" i="2"/>
  <x:c r="H699" i="2"/>
  <x:c r="H710" i="2"/>
  <x:c r="P732" i="2"/>
  <x:c r="F771" i="2"/>
  <x:c r="Q623" i="2"/>
  <x:c r="N628" i="2"/>
  <x:c r="R632" i="2"/>
  <x:c r="O637" i="2"/>
  <x:c r="M643" i="2"/>
  <x:c r="Q647" i="2"/>
  <x:c r="N652" i="2"/>
  <x:c r="R656" i="2"/>
  <x:c r="O661" i="2"/>
  <x:c r="M667" i="2"/>
  <x:c r="Q671" i="2"/>
  <x:c r="N676" i="2"/>
  <x:c r="R680" i="2"/>
  <x:c r="O685" i="2"/>
  <x:c r="L690" i="2"/>
  <x:c r="L698" i="2"/>
  <x:c r="M707" i="2"/>
  <x:c r="K718" i="2"/>
  <x:c r="L736" i="2"/>
  <x:c r="G781" i="2"/>
  <x:c r="N715" i="2"/>
  <x:c r="R719" i="2"/>
  <x:c r="O724" i="2"/>
  <x:c r="M730" i="2"/>
  <x:c r="Q734" i="2"/>
  <x:c r="F742" i="2"/>
  <x:c r="R753" i="2"/>
  <x:c r="F765" i="2"/>
  <x:c r="R776" i="2"/>
  <x:c r="F789" i="2"/>
  <x:c r="R801" i="2"/>
  <x:c r="H815" i="3"/>
  <x:c r="H815" i="2" s="1"/>
  <x:c r="H816" i="2"/>
  <x:c r="F866" i="2"/>
  <x:c r="G796" i="2"/>
  <x:c r="Q810" i="2"/>
  <x:c r="R831" i="2"/>
  <x:c r="O689" i="2"/>
  <x:c r="S693" i="2"/>
  <x:c r="P698" i="2"/>
  <x:c r="N704" i="2"/>
  <x:c r="R708" i="2"/>
  <x:c r="H714" i="2"/>
  <x:c r="L718" i="2"/>
  <x:c r="I723" i="2"/>
  <x:c r="N727" i="3"/>
  <x:c r="N727" i="2" s="1"/>
  <x:c r="N728" i="2"/>
  <x:c r="R732" i="2"/>
  <x:c r="J738" i="2"/>
  <x:c r="K747" i="2"/>
  <x:c r="K755" i="2"/>
  <x:c r="K763" i="2"/>
  <x:c r="L772" i="2"/>
  <x:c r="M781" i="2"/>
  <x:c r="M789" i="2"/>
  <x:c r="I798" i="2"/>
  <x:c r="S814" i="2"/>
  <x:c r="L848" i="2"/>
  <x:c r="I690" i="2"/>
  <x:c r="F695" i="2"/>
  <x:c r="J699" i="2"/>
  <x:c r="O704" i="2"/>
  <x:c r="S708" i="2"/>
  <x:c r="Q714" i="2"/>
  <x:c r="N719" i="2"/>
  <x:c r="R723" i="2"/>
  <x:c r="P729" i="2"/>
  <x:c r="M734" i="2"/>
  <x:c r="M740" i="2"/>
  <x:c r="N749" i="2"/>
  <x:c r="N757" i="2"/>
  <x:c r="N765" i="2"/>
  <x:c r="N774" i="2"/>
  <x:c r="J783" i="2"/>
  <x:c r="J791" i="3"/>
  <x:c r="J791" i="2" s="1"/>
  <x:c r="J792" i="2"/>
  <x:c r="J801" i="2"/>
  <x:c r="H813" i="2"/>
  <x:c r="G898" i="2"/>
  <x:c r="L692" i="2"/>
  <x:c r="I697" i="2"/>
  <x:c r="N701" i="3"/>
  <x:c r="N701" i="2" s="1"/>
  <x:c r="N702" i="2"/>
  <x:c r="R706" i="2"/>
  <x:c r="P711" i="3"/>
  <x:c r="P711" i="2" s="1"/>
  <x:c r="P712" i="2"/>
  <x:c r="M717" i="2"/>
  <x:c r="Q721" i="2"/>
  <x:c r="N726" i="2"/>
  <x:c r="S731" i="2"/>
  <x:c r="P736" i="2"/>
  <x:c r="K744" i="3"/>
  <x:c r="K744" i="2" s="1"/>
  <x:c r="K745" i="2"/>
  <x:c r="K753" i="2"/>
  <x:c r="K761" i="2"/>
  <x:c r="L770" i="2"/>
  <x:c r="M779" i="2"/>
  <x:c r="M787" i="2"/>
  <x:c r="N796" i="2"/>
  <x:c r="G806" i="2"/>
  <x:c r="N830" i="2"/>
  <x:c r="F888" i="2"/>
  <x:c r="F693" i="2"/>
  <x:c r="J697" i="2"/>
  <x:c r="H703" i="2"/>
  <x:c r="L707" i="2"/>
  <x:c r="J713" i="2"/>
  <x:c r="G718" i="2"/>
  <x:c r="K722" i="2"/>
  <x:c r="I727" i="3"/>
  <x:c r="I727" i="2" s="1"/>
  <x:c r="I728" i="2"/>
  <x:c r="F733" i="2"/>
  <x:c r="L737" i="2"/>
  <x:c r="M746" i="2"/>
  <x:c r="M754" i="2"/>
  <x:c r="M762" i="2"/>
  <x:c r="N771" i="2"/>
  <x:c r="O780" i="2"/>
  <x:c r="O788" i="2"/>
  <x:c r="P797" i="2"/>
  <x:c r="H808" i="2"/>
  <x:c r="P830" i="2"/>
  <x:c r="M936" i="2"/>
  <x:c r="N716" i="2"/>
  <x:c r="R720" i="2"/>
  <x:c r="O725" i="2"/>
  <x:c r="M731" i="2"/>
  <x:c r="Q735" i="2"/>
  <x:c r="Q744" i="3"/>
  <x:c r="Q744" i="2" s="1"/>
  <x:c r="Q745" i="2"/>
  <x:c r="S755" i="2"/>
  <x:c r="Q768" i="2"/>
  <x:c r="S779" i="2"/>
  <x:c r="Q791" i="3"/>
  <x:c r="Q791" i="2" s="1"/>
  <x:c r="Q792" i="2"/>
  <x:c r="S803" i="2"/>
  <x:c r="Q830" i="2"/>
  <x:c r="S900" i="2"/>
  <x:c r="M808" i="2"/>
  <x:c r="M817" i="2"/>
  <x:c r="J826" i="2"/>
  <x:c r="S840" i="2"/>
  <x:c r="G861" i="2"/>
  <x:c r="M932" i="2"/>
  <x:c r="I741" i="2"/>
  <x:c r="N746" i="2"/>
  <x:c r="R750" i="2"/>
  <x:c r="O755" i="2"/>
  <x:c r="S759" i="2"/>
  <x:c r="P764" i="2"/>
  <x:c r="N770" i="2"/>
  <x:c r="R774" i="2"/>
  <x:c r="H780" i="2"/>
  <x:c r="L784" i="2"/>
  <x:c r="I789" i="2"/>
  <x:c r="G795" i="2"/>
  <x:c r="L799" i="3"/>
  <x:c r="L799" i="2" s="1"/>
  <x:c r="L800" i="2"/>
  <x:c r="L806" i="2"/>
  <x:c r="M813" i="2"/>
  <x:c r="S822" i="2"/>
  <x:c r="N838" i="2"/>
  <x:c r="O861" i="2"/>
  <x:c r="I902" i="2"/>
  <x:c r="P739" i="2"/>
  <x:c r="F744" i="3"/>
  <x:c r="F744" i="2" s="1"/>
  <x:c r="F745" i="2"/>
  <x:c r="J749" i="2"/>
  <x:c r="G754" i="2"/>
  <x:c r="K758" i="2"/>
  <x:c r="H763" i="2"/>
  <x:c r="F769" i="2"/>
  <x:c r="J773" i="2"/>
  <x:c r="H779" i="2"/>
  <x:c r="L783" i="2"/>
  <x:c r="I788" i="2"/>
  <x:c r="N793" i="2"/>
  <x:c r="R797" i="2"/>
  <x:c r="H803" i="2"/>
  <x:c r="I809" i="2"/>
  <x:c r="Q818" i="2"/>
  <x:c r="R829" i="2"/>
  <x:c r="O842" i="2"/>
  <x:c r="M872" i="2"/>
  <x:c r="G914" i="2"/>
  <x:c r="I739" i="2"/>
  <x:c r="G744" i="3"/>
  <x:c r="G744" i="2" s="1"/>
  <x:c r="G745" i="2"/>
  <x:c r="K749" i="2"/>
  <x:c r="H754" i="2"/>
  <x:c r="L758" i="2"/>
  <x:c r="I763" i="2"/>
  <x:c r="N768" i="2"/>
  <x:c r="R772" i="2"/>
  <x:c r="P777" i="3"/>
  <x:c r="P777" i="2" s="1"/>
  <x:c r="P778" i="2"/>
  <x:c r="M783" i="2"/>
  <x:c r="Q787" i="2"/>
  <x:c r="G793" i="2"/>
  <x:c r="K797" i="2"/>
  <x:c r="P802" i="2"/>
  <x:c r="F808" i="2"/>
  <x:c r="Q814" i="2"/>
  <x:c r="L831" i="2"/>
  <x:c r="G848" i="2"/>
  <x:c r="H876" i="2"/>
  <x:c r="P737" i="2"/>
  <x:c r="M742" i="2"/>
  <x:c r="R747" i="2"/>
  <x:c r="O752" i="2"/>
  <x:c r="S756" i="2"/>
  <x:c r="P761" i="2"/>
  <x:c r="F766" i="3"/>
  <x:c r="F766" i="2" s="1"/>
  <x:c r="F767" i="2"/>
  <x:c r="J771" i="2"/>
  <x:c r="G776" i="2"/>
  <x:c r="L781" i="2"/>
  <x:c r="I786" i="2"/>
  <x:c r="G791" i="3"/>
  <x:c r="G791" i="2" s="1"/>
  <x:c r="G792" i="2"/>
  <x:c r="K796" i="2"/>
  <x:c r="I802" i="2"/>
  <x:c r="G808" i="2"/>
  <x:c r="F819" i="2"/>
  <x:c r="O831" i="2"/>
  <x:c r="O844" i="2"/>
  <x:c r="R870" i="2"/>
  <x:c r="F907" i="2"/>
  <x:c r="J806" i="2"/>
  <x:c r="P811" i="2"/>
  <x:c r="K819" i="2"/>
  <x:c r="F825" i="2"/>
  <x:c r="G834" i="2"/>
  <x:c r="G842" i="2"/>
  <x:c r="N852" i="2"/>
  <x:c r="G864" i="2"/>
  <x:c r="Q878" i="2"/>
  <x:c r="L901" i="2"/>
  <x:c r="R818" i="2"/>
  <x:c r="K825" i="2"/>
  <x:c r="L834" i="2"/>
  <x:c r="L842" i="2"/>
  <x:c r="Q852" i="2"/>
  <x:c r="L864" i="2"/>
  <x:c r="J877" i="2"/>
  <x:c r="O908" i="2"/>
  <x:c r="S860" i="2"/>
  <x:c r="G875" i="2"/>
  <x:c r="I898" i="2"/>
  <x:c r="P921" i="2"/>
  <x:c r="L862" i="2"/>
  <x:c r="N875" i="2"/>
  <x:c r="H905" i="2"/>
  <x:c r="H805" i="2"/>
  <x:c r="M809" i="2"/>
  <x:c r="S817" i="2"/>
  <x:c r="H824" i="2"/>
  <x:c r="F843" i="2"/>
  <x:c r="P853" i="2"/>
  <x:c r="M866" i="2"/>
  <x:c r="G880" i="2"/>
  <x:c r="F899" i="2"/>
  <x:c r="J917" i="2"/>
  <x:c r="I878" i="2"/>
  <x:c r="R885" i="2"/>
  <x:c r="R901" i="2"/>
  <x:c r="P915" i="2"/>
  <x:c r="K934" i="2"/>
  <x:c r="H957" i="2"/>
  <x:c r="N826" i="2"/>
  <x:c r="S831" i="2"/>
  <x:c r="P836" i="2"/>
  <x:c r="M841" i="2"/>
  <x:c r="Q845" i="2"/>
  <x:c r="P852" i="2"/>
  <x:c r="F859" i="2"/>
  <x:c r="H865" i="2"/>
  <x:c r="S872" i="2"/>
  <x:c r="F879" i="2"/>
  <x:c r="G888" i="2"/>
  <x:c r="H898" i="2"/>
  <x:c r="G908" i="2"/>
  <x:c r="N924" i="2"/>
  <x:c r="F944" i="2"/>
  <x:c r="Q811" i="2"/>
  <x:c r="G817" i="2"/>
  <x:c r="K821" i="2"/>
  <x:c r="H826" i="2"/>
  <x:c r="F832" i="2"/>
  <x:c r="J836" i="2"/>
  <x:c r="G841" i="2"/>
  <x:c r="K845" i="2"/>
  <x:c r="H852" i="2"/>
  <x:c r="P857" i="2"/>
  <x:c r="J863" i="2"/>
  <x:c r="I870" i="2"/>
  <x:c r="R875" i="2"/>
  <x:c r="N882" i="2"/>
  <x:c r="M890" i="2"/>
  <x:c r="M898" i="2"/>
  <x:c r="M906" i="2"/>
  <x:c r="I916" i="2"/>
  <x:c r="K930" i="3"/>
  <x:c r="K930" i="2" s="1"/>
  <x:c r="K931" i="2"/>
  <x:c r="M951" i="2"/>
  <x:c r="G824" i="2"/>
  <x:c r="L829" i="2"/>
  <x:c r="I834" i="2"/>
  <x:c r="F839" i="2"/>
  <x:c r="J843" i="2"/>
  <x:c r="R848" i="2"/>
  <x:c r="L856" i="2"/>
  <x:c r="P862" i="2"/>
  <x:c r="O869" i="2"/>
  <x:c r="O876" i="2"/>
  <x:c r="N883" i="2"/>
  <x:c r="N891" i="2"/>
  <x:c r="N899" i="2"/>
  <x:c r="N907" i="2"/>
  <x:c r="L917" i="2"/>
  <x:c r="N933" i="2"/>
  <x:c r="Q958" i="3"/>
  <x:c r="Q958" i="2" s="1"/>
  <x:c r="Q959" i="2"/>
  <x:c r="S810" i="2"/>
  <x:c r="Q815" i="3"/>
  <x:c r="Q815" i="2" s="1"/>
  <x:c r="Q816" i="2"/>
  <x:c r="N821" i="2"/>
  <x:c r="R825" i="2"/>
  <x:c r="H831" i="2"/>
  <x:c r="L835" i="2"/>
  <x:c r="I840" i="2"/>
  <x:c r="F845" i="2"/>
  <x:c r="Q851" i="2"/>
  <x:c r="K857" i="2"/>
  <x:c r="R862" i="2"/>
  <x:c r="L870" i="2"/>
  <x:c r="G876" i="2"/>
  <x:c r="F882" i="2"/>
  <x:c r="P889" i="2"/>
  <x:c r="P897" i="2"/>
  <x:c r="P905" i="2"/>
  <x:c r="H914" i="2"/>
  <x:c r="N846" i="2"/>
  <x:c r="S851" i="2"/>
  <x:c r="P856" i="2"/>
  <x:c r="M861" i="2"/>
  <x:c r="Q865" i="2"/>
  <x:c r="O871" i="2"/>
  <x:c r="S875" i="2"/>
  <x:c r="P880" i="2"/>
  <x:c r="M885" i="2"/>
  <x:c r="Q889" i="2"/>
  <x:c r="N894" i="2"/>
  <x:c r="R898" i="2"/>
  <x:c r="O903" i="2"/>
  <x:c r="S907" i="2"/>
  <x:c r="P912" i="2"/>
  <x:c r="M917" i="2"/>
  <x:c r="P923" i="2"/>
  <x:c r="Q932" i="2"/>
  <x:c r="Q942" i="2"/>
  <x:c r="I962" i="3"/>
  <x:c r="I962" i="2" s="1"/>
  <x:c r="I963" i="2"/>
  <x:c r="Q981" i="2"/>
  <x:c r="K849" i="3"/>
  <x:c r="K849" i="2" s="1"/>
  <x:c r="K850" i="2"/>
  <x:c r="H855" i="2"/>
  <x:c r="L859" i="2"/>
  <x:c r="I864" i="2"/>
  <x:c r="N869" i="2"/>
  <x:c r="R873" i="2"/>
  <x:c r="O878" i="2"/>
  <x:c r="S882" i="2"/>
  <x:c r="P887" i="2"/>
  <x:c r="M892" i="2"/>
  <x:c r="Q896" i="2"/>
  <x:c r="N901" i="2"/>
  <x:c r="R905" i="2"/>
  <x:c r="O910" i="2"/>
  <x:c r="S914" i="2"/>
  <x:c r="Q920" i="2"/>
  <x:c r="R929" i="2"/>
  <x:c r="N941" i="2"/>
  <x:c r="H974" i="3"/>
  <x:c r="H974" i="2" s="1"/>
  <x:c r="H975" i="2"/>
  <x:c r="L882" i="2"/>
  <x:c r="I887" i="2"/>
  <x:c r="F892" i="2"/>
  <x:c r="J896" i="2"/>
  <x:c r="G901" i="2"/>
  <x:c r="K905" i="2"/>
  <x:c r="H910" i="2"/>
  <x:c r="L914" i="2"/>
  <x:c r="J920" i="2"/>
  <x:c r="F933" i="2"/>
  <x:c r="G946" i="2"/>
  <x:c r="O970" i="2"/>
  <x:c r="S912" i="2"/>
  <x:c r="P917" i="2"/>
  <x:c r="G926" i="2"/>
  <x:c r="H936" i="2"/>
  <x:c r="J951" i="2"/>
  <x:c r="G976" i="2"/>
  <x:c r="O883" i="2"/>
  <x:c r="S887" i="2"/>
  <x:c r="P892" i="2"/>
  <x:c r="M897" i="2"/>
  <x:c r="Q901" i="2"/>
  <x:c r="N906" i="2"/>
  <x:c r="R910" i="2"/>
  <x:c r="O915" i="2"/>
  <x:c r="M921" i="2"/>
  <x:c r="I929" i="2"/>
  <x:c r="G938" i="2"/>
  <x:c r="G953" i="2"/>
  <x:c r="K978" i="2"/>
  <x:c r="P925" i="2"/>
  <x:c r="F930" i="3"/>
  <x:c r="F930" i="2" s="1"/>
  <x:c r="F931" i="2"/>
  <x:c r="J935" i="2"/>
  <x:c r="M940" i="2"/>
  <x:c r="P946" i="2"/>
  <x:c r="Q954" i="3"/>
  <x:c r="Q954" i="2" s="1"/>
  <x:c r="Q955" i="2"/>
  <x:c r="O965" i="2"/>
  <x:c r="N977" i="2"/>
  <x:c r="G989" i="2"/>
  <x:c r="H924" i="2"/>
  <x:c r="L928" i="2"/>
  <x:c r="J934" i="2"/>
  <x:c r="H939" i="2"/>
  <x:c r="G945" i="2"/>
  <x:c r="N952" i="2"/>
  <x:c r="O962" i="3"/>
  <x:c r="O962" i="2" s="1"/>
  <x:c r="O963" i="2"/>
  <x:c r="K973" i="2"/>
  <x:c r="P985" i="2"/>
  <x:c r="H950" i="2"/>
  <x:c r="L958" i="3"/>
  <x:c r="L958" i="2" s="1"/>
  <x:c r="L959" i="2"/>
  <x:c r="J971" i="2"/>
  <x:c r="J982" i="3"/>
  <x:c r="J982" i="2" s="1"/>
  <x:c r="J983" i="2"/>
  <x:c r="H922" i="2"/>
  <x:c r="L926" i="2"/>
  <x:c r="J932" i="2"/>
  <x:c r="G937" i="2"/>
  <x:c r="G942" i="2"/>
  <x:c r="N949" i="2"/>
  <x:c r="M958" i="3"/>
  <x:c r="M958" i="2" s="1"/>
  <x:c r="M959" i="2"/>
  <x:c r="L971" i="2"/>
  <x:c r="K982" i="3"/>
  <x:c r="K982" i="2" s="1"/>
  <x:c r="K983" i="2"/>
  <x:c r="L995" i="2"/>
  <x:c r="M926" i="2"/>
  <x:c r="R930" i="3"/>
  <x:c r="R930" i="2" s="1"/>
  <x:c r="R931" i="2"/>
  <x:c r="O936" i="2"/>
  <x:c r="L941" i="2"/>
  <x:c r="R948" i="2"/>
  <x:c r="I956" i="2"/>
  <x:c r="H967" i="2"/>
  <x:c r="G979" i="2"/>
  <x:c r="M991" i="2"/>
  <x:c r="Q941" i="2"/>
  <x:c r="N946" i="2"/>
  <x:c r="R950" i="2"/>
  <x:c r="P956" i="2"/>
  <x:c r="R962" i="3"/>
  <x:c r="R962" i="2" s="1"/>
  <x:c r="R963" i="2"/>
  <x:c r="M969" i="2"/>
  <x:c r="L976" i="2"/>
  <x:c r="S981" i="2"/>
  <x:c r="I990" i="2"/>
  <x:c r="N943" i="2"/>
  <x:c r="R947" i="2"/>
  <x:c r="O952" i="2"/>
  <x:c r="I958" i="3"/>
  <x:c r="I958" i="2" s="1"/>
  <x:c r="I959" i="2"/>
  <x:c r="S966" i="2"/>
  <x:c r="M972" i="2"/>
  <x:c r="L979" i="2"/>
  <x:c r="F987" i="2"/>
  <x:c r="K939" i="2"/>
  <x:c r="H944" i="2"/>
  <x:c r="L948" i="2"/>
  <x:c r="I953" i="2"/>
  <x:c r="Q960" i="2"/>
  <x:c r="L968" i="2"/>
  <x:c r="S973" i="2"/>
  <x:c r="I980" i="2"/>
  <x:c r="H987" i="2"/>
  <x:c r="I961" i="2"/>
  <x:c r="G967" i="2"/>
  <x:c r="K971" i="2"/>
  <x:c r="I977" i="2"/>
  <x:c r="I982" i="3"/>
  <x:c r="I982" i="2" s="1"/>
  <x:c r="I983" i="2"/>
  <x:c r="G988" i="2"/>
  <x:c r="J958" i="3"/>
  <x:c r="J958" i="2" s="1"/>
  <x:c r="J959" i="2"/>
  <x:c r="O964" i="2"/>
  <x:c r="S968" i="2"/>
  <x:c r="P973" i="2"/>
  <x:c r="N979" i="2"/>
  <x:c r="J985" i="2"/>
  <x:c r="P991" i="2"/>
  <x:c r="Q989" i="2"/>
  <x:c r="N994" i="2"/>
  <x:c r="N991" i="2"/>
  <x:c r="R995" i="2"/>
  <x:c r="R986" i="2"/>
  <x:c r="O991" i="2"/>
  <x:c r="S995" i="2"/>
  <x:c r="H673" i="2"/>
  <x:c r="L677" i="2"/>
  <x:c r="I682" i="2"/>
  <x:c r="F687" i="2"/>
  <x:c r="R694" i="2"/>
  <x:c r="F707" i="2"/>
  <x:c r="L719" i="2"/>
  <x:c r="L735" i="2"/>
  <x:c r="F780" i="2"/>
  <x:c r="J641" i="3"/>
  <x:c r="J641" i="2" s="1"/>
  <x:c r="J642" i="2"/>
  <x:c r="G647" i="2"/>
  <x:c r="K651" i="2"/>
  <x:c r="H656" i="2"/>
  <x:c r="L660" i="2"/>
  <x:c r="J665" i="3"/>
  <x:c r="J665" i="2" s="1"/>
  <x:c r="J666" i="2"/>
  <x:c r="G671" i="2"/>
  <x:c r="K675" i="2"/>
  <x:c r="H680" i="2"/>
  <x:c r="L684" i="2"/>
  <x:c r="I689" i="2"/>
  <x:c r="G699" i="2"/>
  <x:c r="S710" i="2"/>
  <x:c r="O730" i="2"/>
  <x:c r="S776" i="2"/>
  <x:c r="N685" i="2"/>
  <x:c r="G690" i="2"/>
  <x:c r="H700" i="2"/>
  <x:c r="M713" i="2"/>
  <x:c r="J734" i="2"/>
  <x:c r="G774" i="2"/>
  <x:c r="J624" i="2"/>
  <x:c r="G629" i="2"/>
  <x:c r="K633" i="2"/>
  <x:c r="H638" i="2"/>
  <x:c r="F644" i="2"/>
  <x:c r="J648" i="2"/>
  <x:c r="G653" i="2"/>
  <x:c r="K657" i="2"/>
  <x:c r="H662" i="2"/>
  <x:c r="F668" i="2"/>
  <x:c r="J672" i="2"/>
  <x:c r="G677" i="2"/>
  <x:c r="K681" i="2"/>
  <x:c r="H686" i="2"/>
  <x:c r="M691" i="2"/>
  <x:c r="M699" i="2"/>
  <x:c r="I708" i="2"/>
  <x:c r="L720" i="2"/>
  <x:c r="H742" i="2"/>
  <x:c r="F796" i="2"/>
  <x:c r="G716" i="2"/>
  <x:c r="K720" i="2"/>
  <x:c r="H725" i="2"/>
  <x:c r="F731" i="2"/>
  <x:c r="J735" i="2"/>
  <x:c r="R743" i="2"/>
  <x:c r="S754" i="2"/>
  <x:c r="R766" i="3"/>
  <x:c r="R766" i="2" s="1"/>
  <x:c r="R767" i="2"/>
  <x:c r="S777" i="3"/>
  <x:c r="S777" i="2" s="1"/>
  <x:c r="S778" i="2"/>
  <x:c r="F790" i="2"/>
  <x:c r="S802" i="2"/>
  <x:c r="M834" i="2"/>
  <x:c r="O880" i="2"/>
  <x:c r="H797" i="2"/>
  <x:c r="N812" i="2"/>
  <x:c r="R834" i="2"/>
  <x:c r="H690" i="2"/>
  <x:c r="L694" i="2"/>
  <x:c r="I699" i="2"/>
  <x:c r="G705" i="2"/>
  <x:c r="K709" i="2"/>
  <x:c r="P714" i="2"/>
  <x:c r="M719" i="2"/>
  <x:c r="Q723" i="2"/>
  <x:c r="G729" i="2"/>
  <x:c r="K733" i="2"/>
  <x:c r="K739" i="2"/>
  <x:c r="L748" i="2"/>
  <x:c r="L756" i="2"/>
  <x:c r="L764" i="2"/>
  <x:c r="M773" i="2"/>
  <x:c r="I782" i="2"/>
  <x:c r="I790" i="2"/>
  <x:c r="I799" i="3"/>
  <x:c r="I799" i="2" s="1"/>
  <x:c r="I800" i="2"/>
  <x:c r="K817" i="2"/>
  <x:c r="Q858" i="2"/>
  <x:c r="Q690" i="2"/>
  <x:c r="N695" i="2"/>
  <x:c r="R699" i="2"/>
  <x:c r="H705" i="2"/>
  <x:c r="L709" i="2"/>
  <x:c r="J715" i="2"/>
  <x:c r="G720" i="2"/>
  <x:c r="K724" i="2"/>
  <x:c r="I730" i="2"/>
  <x:c r="F735" i="2"/>
  <x:c r="N741" i="2"/>
  <x:c r="N750" i="2"/>
  <x:c r="N758" i="2"/>
  <x:c r="J766" i="3"/>
  <x:c r="J766" i="2" s="1"/>
  <x:c r="J767" i="2"/>
  <x:c r="J775" i="2"/>
  <x:c r="J784" i="2"/>
  <x:c r="J793" i="2"/>
  <x:c r="K802" i="2"/>
  <x:c r="I839" i="2"/>
  <x:c r="S908" i="2"/>
  <x:c r="M693" i="2"/>
  <x:c r="Q697" i="2"/>
  <x:c r="G703" i="2"/>
  <x:c r="K707" i="2"/>
  <x:c r="I713" i="2"/>
  <x:c r="F718" i="2"/>
  <x:c r="J722" i="2"/>
  <x:c r="H727" i="3"/>
  <x:c r="H727" i="2" s="1"/>
  <x:c r="H728" i="2"/>
  <x:c r="L732" i="2"/>
  <x:c r="K737" i="2"/>
  <x:c r="L746" i="2"/>
  <x:c r="L754" i="2"/>
  <x:c r="L762" i="2"/>
  <x:c r="M771" i="2"/>
  <x:c r="N780" i="2"/>
  <x:c r="N788" i="2"/>
  <x:c r="O797" i="2"/>
  <x:c r="Q809" i="2"/>
  <x:c r="I833" i="2"/>
  <x:c r="O904" i="2"/>
  <x:c r="N693" i="2"/>
  <x:c r="R697" i="2"/>
  <x:c r="P703" i="2"/>
  <x:c r="M708" i="2"/>
  <x:c r="R713" i="2"/>
  <x:c r="O718" i="2"/>
  <x:c r="S722" i="2"/>
  <x:c r="Q727" i="3"/>
  <x:c r="Q727" i="2" s="1"/>
  <x:c r="Q728" i="2"/>
  <x:c r="N733" i="2"/>
  <x:c r="M738" i="2"/>
  <x:c r="N747" i="2"/>
  <x:c r="N755" i="2"/>
  <x:c r="N763" i="2"/>
  <x:c r="O772" i="2"/>
  <x:c r="P781" i="2"/>
  <x:c r="P789" i="2"/>
  <x:c r="P798" i="2"/>
  <x:c r="S809" i="2"/>
  <x:c r="L833" i="2"/>
  <x:c r="J711" i="3"/>
  <x:c r="J711" i="2" s="1"/>
  <x:c r="J712" i="2"/>
  <x:c r="G717" i="2"/>
  <x:c r="K721" i="2"/>
  <x:c r="H726" i="2"/>
  <x:c r="F732" i="2"/>
  <x:c r="J736" i="2"/>
  <x:c r="R746" i="2"/>
  <x:c r="Q758" i="2"/>
  <x:c r="Q769" i="2"/>
  <x:c r="Q782" i="2"/>
  <x:c r="Q793" i="2"/>
  <x:c r="P806" i="2"/>
  <x:c r="M840" i="2"/>
  <x:c r="F905" i="2"/>
  <x:c r="G809" i="2"/>
  <x:c r="L818" i="2"/>
  <x:c r="O829" i="2"/>
  <x:c r="J842" i="2"/>
  <x:c r="K864" i="2"/>
  <x:c r="M737" i="2"/>
  <x:c r="Q741" i="2"/>
  <x:c r="G747" i="2"/>
  <x:c r="K751" i="2"/>
  <x:c r="H756" i="2"/>
  <x:c r="L760" i="2"/>
  <x:c r="I765" i="2"/>
  <x:c r="G771" i="2"/>
  <x:c r="K775" i="2"/>
  <x:c r="P780" i="2"/>
  <x:c r="M785" i="2"/>
  <x:c r="Q789" i="2"/>
  <x:c r="O795" i="2"/>
  <x:c r="M801" i="2"/>
  <x:c r="G807" i="2"/>
  <x:c r="N814" i="2"/>
  <x:c r="R823" i="2"/>
  <x:c r="Q839" i="2"/>
  <x:c r="N864" i="2"/>
  <x:c r="G906" i="2"/>
  <x:c r="I740" i="2"/>
  <x:c r="N744" i="3"/>
  <x:c r="N744" i="2" s="1"/>
  <x:c r="N745" i="2"/>
  <x:c r="R749" i="2"/>
  <x:c r="O754" i="2"/>
  <x:c r="S758" i="2"/>
  <x:c r="P763" i="2"/>
  <x:c r="N769" i="2"/>
  <x:c r="R773" i="2"/>
  <x:c r="P779" i="2"/>
  <x:c r="M784" i="2"/>
  <x:c r="Q788" i="2"/>
  <x:c r="G794" i="2"/>
  <x:c r="K798" i="2"/>
  <x:c r="P803" i="2"/>
  <x:c r="G810" i="2"/>
  <x:c r="R819" i="2"/>
  <x:c r="I831" i="2"/>
  <x:c r="I844" i="2"/>
  <x:c r="L879" i="2"/>
  <x:c r="M923" i="2"/>
  <x:c r="Q739" i="2"/>
  <x:c r="O744" i="3"/>
  <x:c r="O744" i="2" s="1"/>
  <x:c r="O745" i="2"/>
  <x:c r="S749" i="2"/>
  <x:c r="P754" i="2"/>
  <x:c r="M759" i="2"/>
  <x:c r="Q763" i="2"/>
  <x:c r="G769" i="2"/>
  <x:c r="K773" i="2"/>
  <x:c r="I779" i="2"/>
  <x:c r="F784" i="2"/>
  <x:c r="J788" i="2"/>
  <x:c r="O793" i="2"/>
  <x:c r="S797" i="2"/>
  <x:c r="I803" i="2"/>
  <x:c r="P808" i="2"/>
  <x:c r="R815" i="3"/>
  <x:c r="R815" i="2" s="1"/>
  <x:c r="R816" i="2"/>
  <x:c r="R832" i="2"/>
  <x:c r="R851" i="2"/>
  <x:c r="S879" i="2"/>
  <x:c r="I738" i="2"/>
  <x:c r="F743" i="2"/>
  <x:c r="K748" i="2"/>
  <x:c r="H753" i="2"/>
  <x:c r="L757" i="2"/>
  <x:c r="I762" i="2"/>
  <x:c r="N766" i="3"/>
  <x:c r="N766" i="2" s="1"/>
  <x:c r="N767" i="2"/>
  <x:c r="R771" i="2"/>
  <x:c r="O776" i="2"/>
  <x:c r="M782" i="2"/>
  <x:c r="Q786" i="2"/>
  <x:c r="O791" i="3"/>
  <x:c r="O791" i="2" s="1"/>
  <x:c r="O792" i="2"/>
  <x:c r="S796" i="2"/>
  <x:c r="Q802" i="2"/>
  <x:c r="Q808" i="2"/>
  <x:c r="G821" i="2"/>
  <x:c r="S832" i="2"/>
  <x:c r="J846" i="2"/>
  <x:c r="H873" i="2"/>
  <x:c r="I915" i="2"/>
  <x:c r="R806" i="2"/>
  <x:c r="K812" i="2"/>
  <x:c r="F820" i="2"/>
  <x:c r="G826" i="2"/>
  <x:c r="H835" i="2"/>
  <x:c r="H843" i="2"/>
  <x:c r="R853" i="2"/>
  <x:c r="K865" i="2"/>
  <x:c r="M880" i="2"/>
  <x:c r="M912" i="2"/>
  <x:c r="N819" i="2"/>
  <x:c r="L826" i="2"/>
  <x:c r="M835" i="2"/>
  <x:c r="M843" i="2"/>
  <x:c r="J855" i="2"/>
  <x:c r="P865" i="2"/>
  <x:c r="I879" i="2"/>
  <x:c r="M910" i="2"/>
  <x:c r="I862" i="2"/>
  <x:c r="I876" i="2"/>
  <x:c r="O900" i="2"/>
  <x:c r="O925" i="2"/>
  <x:c r="S863" i="2"/>
  <x:c r="P876" i="2"/>
  <x:c r="I907" i="2"/>
  <x:c r="P805" i="2"/>
  <x:c r="I810" i="2"/>
  <x:c r="N818" i="2"/>
  <x:c r="F827" i="3"/>
  <x:c r="F827" i="2" s="1"/>
  <x:c r="F828" i="2"/>
  <x:c r="F844" i="2"/>
  <x:c r="R854" i="2"/>
  <x:c r="H870" i="2"/>
  <x:c r="H882" i="2"/>
  <x:c r="H901" i="2"/>
  <x:c r="K922" i="2"/>
  <x:c r="S878" i="2"/>
  <x:c r="S886" i="2"/>
  <x:c r="S902" i="2"/>
  <x:c r="R916" i="2"/>
  <x:c r="J936" i="2"/>
  <x:c r="J965" i="2"/>
  <x:c r="H827" i="3"/>
  <x:c r="H827" i="2" s="1"/>
  <x:c r="H828" i="2"/>
  <x:c r="L832" i="2"/>
  <x:c r="I837" i="2"/>
  <x:c r="F842" i="2"/>
  <x:c r="K846" i="2"/>
  <x:c r="J853" i="2"/>
  <x:c r="P859" i="2"/>
  <x:c r="O866" i="2"/>
  <x:c r="N873" i="2"/>
  <x:c r="R879" i="2"/>
  <x:c r="G889" i="2"/>
  <x:c r="H899" i="2"/>
  <x:c r="F911" i="2"/>
  <x:c r="O926" i="2"/>
  <x:c r="I947" i="2"/>
  <x:c r="J812" i="2"/>
  <x:c r="O817" i="2"/>
  <x:c r="S821" i="2"/>
  <x:c r="P826" i="2"/>
  <x:c r="N832" i="2"/>
  <x:c r="R836" i="2"/>
  <x:c r="O841" i="2"/>
  <x:c r="S845" i="2"/>
  <x:c r="R852" i="2"/>
  <x:c r="M858" i="2"/>
  <x:c r="O864" i="2"/>
  <x:c r="S870" i="2"/>
  <x:c r="N876" i="2"/>
  <x:c r="J883" i="2"/>
  <x:c r="J891" i="2"/>
  <x:c r="J899" i="2"/>
  <x:c r="J907" i="2"/>
  <x:c r="K917" i="2"/>
  <x:c r="M933" i="2"/>
  <x:c r="N954" i="3"/>
  <x:c r="N954" i="2" s="1"/>
  <x:c r="N955" i="2"/>
  <x:c r="O824" i="2"/>
  <x:c r="M830" i="2"/>
  <x:c r="Q834" i="2"/>
  <x:c r="N839" i="2"/>
  <x:c r="R843" i="2"/>
  <x:c r="H849" i="3"/>
  <x:c r="H849" i="2" s="1"/>
  <x:c r="H850" i="2"/>
  <x:c r="G857" i="2"/>
  <x:c r="K863" i="2"/>
  <x:c r="J870" i="2"/>
  <x:c r="I877" i="2"/>
  <x:c r="K884" i="2"/>
  <x:c r="K892" i="2"/>
  <x:c r="K900" i="2"/>
  <x:c r="K908" i="2"/>
  <x:c r="M920" i="2"/>
  <x:c r="L935" i="2"/>
  <x:c r="H977" i="2"/>
  <x:c r="L811" i="2"/>
  <x:c r="J817" i="2"/>
  <x:c r="G822" i="2"/>
  <x:c r="K826" i="2"/>
  <x:c r="P831" i="2"/>
  <x:c r="M836" i="2"/>
  <x:c r="Q840" i="2"/>
  <x:c r="N845" i="2"/>
  <x:c r="K852" i="2"/>
  <x:c r="F858" i="2"/>
  <x:c r="M863" i="2"/>
  <x:c r="I871" i="2"/>
  <x:c r="Q876" i="2"/>
  <x:c r="Q882" i="2"/>
  <x:c r="Q890" i="2"/>
  <x:c r="Q898" i="2"/>
  <x:c r="Q906" i="2"/>
  <x:c r="J915" i="2"/>
  <x:c r="G847" i="2"/>
  <x:c r="L852" i="2"/>
  <x:c r="I857" i="2"/>
  <x:c r="F862" i="2"/>
  <x:c r="J866" i="2"/>
  <x:c r="H872" i="2"/>
  <x:c r="L876" i="2"/>
  <x:c r="I881" i="2"/>
  <x:c r="F886" i="2"/>
  <x:c r="J890" i="2"/>
  <x:c r="G895" i="2"/>
  <x:c r="K899" i="2"/>
  <x:c r="H904" i="2"/>
  <x:c r="L908" i="2"/>
  <x:c r="I913" i="2"/>
  <x:c r="G918" i="3"/>
  <x:c r="G918" i="2" s="1"/>
  <x:c r="G919" i="2"/>
  <x:c r="Q924" i="2"/>
  <x:c r="R933" i="2"/>
  <x:c r="I944" i="2"/>
  <x:c r="K965" i="2"/>
  <x:c r="G984" i="2"/>
  <x:c r="S849" i="3"/>
  <x:c r="S849" i="2" s="1"/>
  <x:c r="S850" i="2"/>
  <x:c r="P855" i="2"/>
  <x:c r="M860" i="2"/>
  <x:c r="Q864" i="2"/>
  <x:c r="G870" i="2"/>
  <x:c r="K874" i="2"/>
  <x:c r="H879" i="2"/>
  <x:c r="L883" i="2"/>
  <x:c r="I888" i="2"/>
  <x:c r="F893" i="2"/>
  <x:c r="J897" i="2"/>
  <x:c r="G902" i="2"/>
  <x:c r="K906" i="2"/>
  <x:c r="H911" i="2"/>
  <x:c r="L915" i="2"/>
  <x:c r="J921" i="2"/>
  <x:c r="S930" i="3"/>
  <x:c r="S930" i="2" s="1"/>
  <x:c r="S931" i="2"/>
  <x:c r="M944" i="2"/>
  <x:c r="L987" i="2"/>
  <x:c r="M883" i="2"/>
  <x:c r="Q887" i="2"/>
  <x:c r="N892" i="2"/>
  <x:c r="R896" i="2"/>
  <x:c r="O901" i="2"/>
  <x:c r="S905" i="2"/>
  <x:c r="P910" i="2"/>
  <x:c r="M915" i="2"/>
  <x:c r="R920" i="2"/>
  <x:c r="F934" i="2"/>
  <x:c r="Q947" i="2"/>
  <x:c r="H978" i="2"/>
  <x:c r="L913" i="2"/>
  <x:c r="J918" i="3"/>
  <x:c r="J918" i="2" s="1"/>
  <x:c r="J919" i="2"/>
  <x:c r="G927" i="2"/>
  <x:c r="F937" i="2"/>
  <x:c r="F953" i="2"/>
  <x:c r="I978" i="2"/>
  <x:c r="H884" i="2"/>
  <x:c r="L888" i="2"/>
  <x:c r="I893" i="2"/>
  <x:c r="F898" i="2"/>
  <x:c r="J902" i="2"/>
  <x:c r="G907" i="2"/>
  <x:c r="K911" i="2"/>
  <x:c r="H916" i="2"/>
  <x:c r="G922" i="2"/>
  <x:c r="H930" i="3"/>
  <x:c r="H930" i="2" s="1"/>
  <x:c r="H931" i="2"/>
  <x:c r="I939" i="2"/>
  <x:c r="M954" i="3"/>
  <x:c r="M954" i="2" s="1"/>
  <x:c r="M955" i="2"/>
  <x:c r="P980" i="2"/>
  <x:c r="I926" i="2"/>
  <x:c r="N930" i="3"/>
  <x:c r="N930" i="2" s="1"/>
  <x:c r="N931" i="2"/>
  <x:c r="R935" i="2"/>
  <x:c r="G941" i="2"/>
  <x:c r="N947" i="2"/>
  <x:c r="O956" i="2"/>
  <x:c r="P966" i="2"/>
  <x:c r="N978" i="2"/>
  <x:c r="O990" i="2"/>
  <x:c r="P924" i="2"/>
  <x:c r="M929" i="2"/>
  <x:c r="R934" i="2"/>
  <x:c r="R939" i="2"/>
  <x:c r="S946" i="2"/>
  <x:c r="K953" i="2"/>
  <x:c r="P964" i="2"/>
  <x:c r="M974" i="3"/>
  <x:c r="M974" i="2" s="1"/>
  <x:c r="M975" i="2"/>
  <x:c r="Q986" i="2"/>
  <x:c r="R951" i="2"/>
  <x:c r="J960" i="2"/>
  <x:c r="K972" i="2"/>
  <x:c r="M984" i="2"/>
  <x:c r="P922" i="2"/>
  <x:c r="M927" i="2"/>
  <x:c r="R932" i="2"/>
  <x:c r="O937" i="2"/>
  <x:c r="S942" i="2"/>
  <x:c r="I950" i="2"/>
  <x:c r="M960" i="2"/>
  <x:c r="P972" i="2"/>
  <x:c r="R984" i="2"/>
  <x:c r="I922" i="2"/>
  <x:c r="F927" i="2"/>
  <x:c r="K932" i="2"/>
  <x:c r="H937" i="2"/>
  <x:c r="H942" i="2"/>
  <x:c r="O949" i="2"/>
  <x:c r="F957" i="2"/>
  <x:c r="I968" i="2"/>
  <x:c r="J980" i="2"/>
  <x:c r="K994" i="2"/>
  <x:c r="J942" i="2"/>
  <x:c r="G947" i="2"/>
  <x:c r="K951" i="2"/>
  <x:c r="I957" i="2"/>
  <x:c r="N964" i="2"/>
  <x:c r="G970" i="2"/>
  <x:c r="G977" i="2"/>
  <x:c r="M982" i="3"/>
  <x:c r="M982" i="2" s="1"/>
  <x:c r="M983" i="2"/>
  <x:c r="L991" i="2"/>
  <x:c r="G944" i="2"/>
  <x:c r="K948" i="2"/>
  <x:c r="H953" i="2"/>
  <x:c r="O960" i="2"/>
  <x:c r="N967" i="2"/>
  <x:c r="G973" i="2"/>
  <x:c r="H980" i="2"/>
  <x:c r="R987" i="2"/>
  <x:c r="S939" i="2"/>
  <x:c r="P944" i="2"/>
  <x:c r="M949" i="2"/>
  <x:c r="Q953" i="2"/>
  <x:c r="M961" i="2"/>
  <x:c r="G969" i="2"/>
  <x:c r="K974" i="3"/>
  <x:c r="K974" i="2" s="1"/>
  <x:c r="K975" i="2"/>
  <x:c r="S980" i="2"/>
  <x:c r="S989" i="2"/>
  <x:c r="Q961" i="2"/>
  <x:c r="O967" i="2"/>
  <x:c r="S971" i="2"/>
  <x:c r="Q977" i="2"/>
  <x:c r="R982" i="3"/>
  <x:c r="R982" i="2" s="1"/>
  <x:c r="R983" i="2"/>
  <x:c r="P989" i="2"/>
  <x:c r="R958" i="3"/>
  <x:c r="R958" i="2" s="1"/>
  <x:c r="R959" i="2"/>
  <x:c r="H965" i="2"/>
  <x:c r="L969" i="2"/>
  <x:c r="J974" i="3"/>
  <x:c r="J974" i="2" s="1"/>
  <x:c r="J975" i="2"/>
  <x:c r="G980" i="2"/>
  <x:c r="S985" i="2"/>
  <x:c r="M992" i="2"/>
  <x:c r="J990" i="2"/>
  <x:c r="G995" i="2"/>
  <x:c r="G992" i="2"/>
  <x:c r="G982" i="3"/>
  <x:c r="G982" i="2" s="1"/>
  <x:c r="G983" i="2"/>
  <x:c r="K987" i="2"/>
  <x:c r="H992" i="2"/>
  <x:c r="I814" i="2"/>
  <x:c r="M854" i="2"/>
  <x:c r="P690" i="2"/>
  <x:c r="M695" i="2"/>
  <x:c r="Q699" i="2"/>
  <x:c r="O705" i="2"/>
  <x:c r="S709" i="2"/>
  <x:c r="I715" i="2"/>
  <x:c r="F720" i="2"/>
  <x:c r="J724" i="2"/>
  <x:c r="O729" i="2"/>
  <x:c r="S733" i="2"/>
  <x:c r="L740" i="2"/>
  <x:c r="M749" i="2"/>
  <x:c r="M757" i="2"/>
  <x:c r="M765" i="2"/>
  <x:c r="I774" i="2"/>
  <x:c r="I783" i="2"/>
  <x:c r="I791" i="3"/>
  <x:c r="I791" i="2" s="1"/>
  <x:c r="I792" i="2"/>
  <x:c r="I801" i="2"/>
  <x:c r="M819" i="2"/>
  <x:c r="L863" i="2"/>
  <x:c r="J691" i="2"/>
  <x:c r="G696" i="2"/>
  <x:c r="K700" i="2"/>
  <x:c r="P705" i="2"/>
  <x:c r="M710" i="2"/>
  <x:c r="R715" i="2"/>
  <x:c r="O720" i="2"/>
  <x:c r="S724" i="2"/>
  <x:c r="Q730" i="2"/>
  <x:c r="N735" i="2"/>
  <x:c r="N742" i="2"/>
  <x:c r="J751" i="2"/>
  <x:c r="J759" i="2"/>
  <x:c r="J768" i="2"/>
  <x:c r="J776" i="2"/>
  <x:c r="J785" i="2"/>
  <x:c r="K794" i="2"/>
  <x:c r="L803" i="2"/>
  <x:c r="S841" i="2"/>
  <x:c r="J957" i="2"/>
  <x:c r="F694" i="2"/>
  <x:c r="J698" i="2"/>
  <x:c r="O703" i="2"/>
  <x:c r="S707" i="2"/>
  <x:c r="Q713" i="2"/>
  <x:c r="N718" i="2"/>
  <x:c r="R722" i="2"/>
  <x:c r="P727" i="3"/>
  <x:c r="P727" i="2" s="1"/>
  <x:c r="P728" i="2"/>
  <x:c r="M733" i="2"/>
  <x:c r="L738" i="2"/>
  <x:c r="M747" i="2"/>
  <x:c r="M755" i="2"/>
  <x:c r="M763" i="2"/>
  <x:c r="N772" i="2"/>
  <x:c r="O781" i="2"/>
  <x:c r="O789" i="2"/>
  <x:c r="O798" i="2"/>
  <x:c r="M811" i="2"/>
  <x:c r="I836" i="2"/>
  <x:c r="F921" i="2"/>
  <x:c r="G694" i="2"/>
  <x:c r="K698" i="2"/>
  <x:c r="I704" i="2"/>
  <x:c r="F709" i="2"/>
  <x:c r="K714" i="2"/>
  <x:c r="H719" i="2"/>
  <x:c r="L723" i="2"/>
  <x:c r="J729" i="2"/>
  <x:c r="G734" i="2"/>
  <x:c r="N739" i="2"/>
  <x:c r="O748" i="2"/>
  <x:c r="O756" i="2"/>
  <x:c r="O764" i="2"/>
  <x:c r="P773" i="2"/>
  <x:c r="P782" i="2"/>
  <x:c r="P790" i="2"/>
  <x:c r="P799" i="3"/>
  <x:c r="P799" i="2" s="1"/>
  <x:c r="P800" i="2"/>
  <x:c r="N811" i="2"/>
  <x:c r="N836" i="2"/>
  <x:c r="R711" i="3"/>
  <x:c r="R711" i="2" s="1"/>
  <x:c r="R712" i="2"/>
  <x:c r="O717" i="2"/>
  <x:c r="S721" i="2"/>
  <x:c r="P726" i="2"/>
  <x:c r="N732" i="2"/>
  <x:c r="R736" i="2"/>
  <x:c r="S747" i="2"/>
  <x:c r="Q759" i="2"/>
  <x:c r="R770" i="2"/>
  <x:c r="Q783" i="2"/>
  <x:c r="R794" i="2"/>
  <x:c r="I808" i="2"/>
  <x:c r="K843" i="2"/>
  <x:c r="J979" i="2"/>
  <x:c r="R810" i="2"/>
  <x:c r="O819" i="2"/>
  <x:c r="S830" i="2"/>
  <x:c r="S843" i="2"/>
  <x:c r="P869" i="2"/>
  <x:c r="F738" i="2"/>
  <x:c r="J742" i="2"/>
  <x:c r="O747" i="2"/>
  <x:c r="S751" i="2"/>
  <x:c r="P756" i="2"/>
  <x:c r="M761" i="2"/>
  <x:c r="Q765" i="2"/>
  <x:c r="O771" i="2"/>
  <x:c r="S775" i="2"/>
  <x:c r="I781" i="2"/>
  <x:c r="F786" i="2"/>
  <x:c r="J790" i="2"/>
  <x:c r="H796" i="2"/>
  <x:c r="F802" i="2"/>
  <x:c r="Q807" i="2"/>
  <x:c r="K815" i="3"/>
  <x:c r="K815" i="2" s="1"/>
  <x:c r="K816" i="2"/>
  <x:c r="M826" i="2"/>
  <x:c r="M842" i="2"/>
  <x:c r="S869" i="2"/>
  <x:c r="H909" i="2"/>
  <x:c r="Q740" i="2"/>
  <x:c r="G746" i="2"/>
  <x:c r="K750" i="2"/>
  <x:c r="H755" i="2"/>
  <x:c r="L759" i="2"/>
  <x:c r="I764" i="2"/>
  <x:c r="G770" i="2"/>
  <x:c r="K774" i="2"/>
  <x:c r="I780" i="2"/>
  <x:c r="F785" i="2"/>
  <x:c r="J789" i="2"/>
  <x:c r="O794" i="2"/>
  <x:c r="S798" i="2"/>
  <x:c r="K804" i="2"/>
  <x:c r="G811" i="2"/>
  <x:c r="Q820" i="2"/>
  <x:c r="P832" i="2"/>
  <x:c r="R845" i="2"/>
  <x:c r="P882" i="2"/>
  <x:c r="M928" i="2"/>
  <x:c r="J740" i="2"/>
  <x:c r="H746" i="2"/>
  <x:c r="L750" i="2"/>
  <x:c r="I755" i="2"/>
  <x:c r="F760" i="2"/>
  <x:c r="J764" i="2"/>
  <x:c r="O769" i="2"/>
  <x:c r="S773" i="2"/>
  <x:c r="Q779" i="2"/>
  <x:c r="N784" i="2"/>
  <x:c r="R788" i="2"/>
  <x:c r="H794" i="2"/>
  <x:c r="L798" i="2"/>
  <x:c r="Q803" i="2"/>
  <x:c r="K809" i="2"/>
  <x:c r="Q817" i="2"/>
  <x:c r="P835" i="2"/>
  <x:c r="S853" i="2"/>
  <x:c r="H893" i="2"/>
  <x:c r="Q738" i="2"/>
  <x:c r="N743" i="2"/>
  <x:c r="S748" i="2"/>
  <x:c r="P753" i="2"/>
  <x:c r="M758" i="2"/>
  <x:c r="Q762" i="2"/>
  <x:c r="G768" i="2"/>
  <x:c r="K772" i="2"/>
  <x:c r="I777" i="3"/>
  <x:c r="I777" i="2" s="1"/>
  <x:c r="I778" i="2"/>
  <x:c r="F783" i="2"/>
  <x:c r="J787" i="2"/>
  <x:c r="H793" i="2"/>
  <x:c r="L797" i="2"/>
  <x:c r="J803" i="2"/>
  <x:c r="L809" i="2"/>
  <x:c r="I822" i="2"/>
  <x:c r="J834" i="2"/>
  <x:c r="K848" i="2"/>
  <x:c r="K876" i="2"/>
  <x:c r="M924" i="2"/>
  <x:c r="K807" i="2"/>
  <x:c r="G813" i="2"/>
  <x:c r="P820" i="2"/>
  <x:c r="G827" i="3"/>
  <x:c r="G827" i="2" s="1"/>
  <x:c r="G828" i="2"/>
  <x:c r="G836" i="2"/>
  <x:c r="G844" i="2"/>
  <x:c r="J856" i="2"/>
  <x:c r="N866" i="2"/>
  <x:c r="M882" i="2"/>
  <x:c r="R917" i="2"/>
  <x:c r="H820" i="2"/>
  <x:c r="L827" i="3"/>
  <x:c r="L827" i="2" s="1"/>
  <x:c r="L828" i="2"/>
  <x:c r="L836" i="2"/>
  <x:c r="L844" i="2"/>
  <x:c r="O856" i="2"/>
  <x:c r="G867" i="3"/>
  <x:c r="G867" i="2" s="1"/>
  <x:c r="G868" i="2"/>
  <x:c r="J887" i="2"/>
  <x:c r="H913" i="2"/>
  <x:c r="N863" i="2"/>
  <x:c r="Q877" i="2"/>
  <x:c r="M902" i="2"/>
  <x:c r="N929" i="2"/>
  <x:c r="F865" i="2"/>
  <x:c r="J878" i="2"/>
  <x:c r="L909" i="2"/>
  <x:c r="I806" i="2"/>
  <x:c r="O811" i="2"/>
  <x:c r="J819" i="2"/>
  <x:c r="G829" i="2"/>
  <x:c r="G845" i="2"/>
  <x:c r="F856" i="2"/>
  <x:c r="K871" i="2"/>
  <x:c r="I884" i="2"/>
  <x:c r="N903" i="2"/>
  <x:c r="N926" i="2"/>
  <x:c r="N879" i="2"/>
  <x:c r="R891" i="2"/>
  <x:c r="R907" i="2"/>
  <x:c r="M918" i="3"/>
  <x:c r="M918" i="2" s="1"/>
  <x:c r="M919" i="2"/>
  <x:c r="J938" i="2"/>
  <x:c r="O969" i="2"/>
  <x:c r="P827" i="3"/>
  <x:c r="P827" i="2" s="1"/>
  <x:c r="P828" i="2"/>
  <x:c r="M833" i="2"/>
  <x:c r="Q837" i="2"/>
  <x:c r="N842" i="2"/>
  <x:c r="F847" i="2"/>
  <x:c r="Q854" i="2"/>
  <x:c r="J860" i="2"/>
  <x:c r="F867" i="3"/>
  <x:c r="F867" i="2" s="1"/>
  <x:c r="F868" i="2"/>
  <x:c r="I874" i="2"/>
  <x:c r="N880" i="2"/>
  <x:c r="H890" i="2"/>
  <x:c r="G900" i="2"/>
  <x:c r="G912" i="2"/>
  <x:c r="P928" i="2"/>
  <x:c r="L950" i="2"/>
  <x:c r="R812" i="2"/>
  <x:c r="H818" i="2"/>
  <x:c r="L822" i="2"/>
  <x:c r="J827" i="3"/>
  <x:c r="J827" i="2" s="1"/>
  <x:c r="J828" i="2"/>
  <x:c r="G833" i="2"/>
  <x:c r="K837" i="2"/>
  <x:c r="H842" i="2"/>
  <x:c r="M846" i="2"/>
  <x:c r="L853" i="2"/>
  <x:c r="H859" i="2"/>
  <x:c r="L865" i="2"/>
  <x:c r="N871" i="2"/>
  <x:c r="H877" i="2"/>
  <x:c r="J884" i="2"/>
  <x:c r="J892" i="2"/>
  <x:c r="J900" i="2"/>
  <x:c r="J908" i="2"/>
  <x:c r="G920" i="2"/>
  <x:c r="I935" i="2"/>
  <x:c r="G962" i="3"/>
  <x:c r="G962" i="2" s="1"/>
  <x:c r="G963" i="2"/>
  <x:c r="H825" i="2"/>
  <x:c r="F831" i="2"/>
  <x:c r="J835" i="2"/>
  <x:c r="G840" i="2"/>
  <x:c r="K844" i="2"/>
  <x:c r="O851" i="2"/>
  <x:c r="S857" i="2"/>
  <x:c r="F864" i="2"/>
  <x:c r="Q871" i="2"/>
  <x:c r="S877" i="2"/>
  <x:c r="K885" i="2"/>
  <x:c r="K893" i="2"/>
  <x:c r="K901" i="2"/>
  <x:c r="K909" i="2"/>
  <x:c r="O921" i="2"/>
  <x:c r="K937" i="2"/>
  <x:c r="O981" i="2"/>
  <x:c r="M812" i="2"/>
  <x:c r="R817" i="2"/>
  <x:c r="O822" i="2"/>
  <x:c r="S826" i="2"/>
  <x:c r="I832" i="2"/>
  <x:c r="F837" i="2"/>
  <x:c r="J841" i="2"/>
  <x:c r="H846" i="2"/>
  <x:c r="G853" i="2"/>
  <x:c r="P858" i="2"/>
  <x:c r="J864" i="2"/>
  <x:c r="S871" i="2"/>
  <x:c r="K877" i="2"/>
  <x:c r="Q883" i="2"/>
  <x:c r="Q891" i="2"/>
  <x:c r="Q899" i="2"/>
  <x:c r="Q907" i="2"/>
  <x:c r="Q916" i="2"/>
  <x:c r="O847" i="2"/>
  <x:c r="M853" i="2"/>
  <x:c r="Q857" i="2"/>
  <x:c r="N862" i="2"/>
  <x:c r="R866" i="2"/>
  <x:c r="P872" i="2"/>
  <x:c r="M877" i="2"/>
  <x:c r="Q881" i="2"/>
  <x:c r="N886" i="2"/>
  <x:c r="R890" i="2"/>
  <x:c r="O895" i="2"/>
  <x:c r="S899" i="2"/>
  <x:c r="P904" i="2"/>
  <x:c r="M909" i="2"/>
  <x:c r="Q913" i="2"/>
  <x:c r="O918" i="3"/>
  <x:c r="O918" i="2" s="1"/>
  <x:c r="O919" i="2"/>
  <x:c r="R925" i="2"/>
  <x:c r="P934" i="2"/>
  <x:c r="R945" i="2"/>
  <x:c r="M967" i="2"/>
  <x:c r="G846" i="2"/>
  <x:c r="L851" i="2"/>
  <x:c r="I856" i="2"/>
  <x:c r="F861" i="2"/>
  <x:c r="J865" i="2"/>
  <x:c r="O870" i="2"/>
  <x:c r="S874" i="2"/>
  <x:c r="P879" i="2"/>
  <x:c r="M884" i="2"/>
  <x:c r="Q888" i="2"/>
  <x:c r="N893" i="2"/>
  <x:c r="R897" i="2"/>
  <x:c r="O902" i="2"/>
  <x:c r="S906" i="2"/>
  <x:c r="P911" i="2"/>
  <x:c r="M916" i="2"/>
  <x:c r="R921" i="2"/>
  <x:c r="S934" i="2"/>
  <x:c r="M947" i="2"/>
  <x:c r="G990" i="2"/>
  <x:c r="F884" i="2"/>
  <x:c r="J888" i="2"/>
  <x:c r="G893" i="2"/>
  <x:c r="K897" i="2"/>
  <x:c r="H902" i="2"/>
  <x:c r="L906" i="2"/>
  <x:c r="I911" i="2"/>
  <x:c r="F916" i="2"/>
  <x:c r="K921" i="2"/>
  <x:c r="S937" i="2"/>
  <x:c r="G949" i="2"/>
  <x:c r="K980" i="2"/>
  <x:c r="M914" i="2"/>
  <x:c r="R918" i="3"/>
  <x:c r="R918" i="2" s="1"/>
  <x:c r="R919" i="2"/>
  <x:c r="H928" i="2"/>
  <x:c r="K940" i="2"/>
  <x:c r="S961" i="2"/>
  <x:c r="M980" i="2"/>
  <x:c r="P884" i="2"/>
  <x:c r="M889" i="2"/>
  <x:c r="Q893" i="2"/>
  <x:c r="N898" i="2"/>
  <x:c r="R902" i="2"/>
  <x:c r="O907" i="2"/>
  <x:c r="S911" i="2"/>
  <x:c r="P916" i="2"/>
  <x:c r="H923" i="2"/>
  <x:c r="I932" i="2"/>
  <x:c r="O940" i="2"/>
  <x:c r="G957" i="2"/>
  <x:c r="M922" i="2"/>
  <x:c r="Q926" i="2"/>
  <x:c r="G932" i="2"/>
  <x:c r="K936" i="2"/>
  <x:c r="R941" i="2"/>
  <x:c r="M948" i="2"/>
  <x:c r="K957" i="2"/>
  <x:c r="Q967" i="2"/>
  <x:c r="P979" i="2"/>
  <x:c r="J992" i="2"/>
  <x:c r="I925" i="2"/>
  <x:c r="G930" i="3"/>
  <x:c r="G930" i="2" s="1"/>
  <x:c r="G931" i="2"/>
  <x:c r="K935" i="2"/>
  <x:c r="N940" i="2"/>
  <x:c r="P947" i="2"/>
  <x:c r="F954" i="3"/>
  <x:c r="F954" i="2" s="1"/>
  <x:c r="F955" i="2"/>
  <x:c r="Q965" i="2"/>
  <x:c r="M976" i="2"/>
  <x:c r="F988" i="2"/>
  <x:c r="Q952" i="2"/>
  <x:c r="N961" i="2"/>
  <x:c r="L973" i="2"/>
  <x:c r="R985" i="2"/>
  <x:c r="I923" i="2"/>
  <x:c r="F928" i="2"/>
  <x:c r="K933" i="2"/>
  <x:c r="H938" i="2"/>
  <x:c r="Q943" i="2"/>
  <x:c r="H951" i="2"/>
  <x:c r="O961" i="2"/>
  <x:c r="O973" i="2"/>
  <x:c r="I987" i="2"/>
  <x:c r="Q922" i="2"/>
  <x:c r="N927" i="2"/>
  <x:c r="S932" i="2"/>
  <x:c r="P937" i="2"/>
  <x:c r="R943" i="2"/>
  <x:c r="K950" i="2"/>
  <x:c r="R957" i="2"/>
  <x:c r="K969" i="2"/>
  <x:c r="J981" i="2"/>
  <x:c r="P995" i="2"/>
  <x:c r="R942" i="2"/>
  <x:c r="O947" i="2"/>
  <x:c r="S951" i="2"/>
  <x:c r="Q957" i="2"/>
  <x:c r="I965" i="2"/>
  <x:c r="Q970" i="2"/>
  <x:c r="R977" i="2"/>
  <x:c r="J984" i="2"/>
  <x:c r="N992" i="2"/>
  <x:c r="O944" i="2"/>
  <x:c r="S948" i="2"/>
  <x:c r="P953" i="2"/>
  <x:c r="K961" i="2"/>
  <x:c r="J968" i="2"/>
  <x:c r="R973" i="2"/>
  <x:c r="R980" i="2"/>
  <x:c r="R988" i="2"/>
  <x:c r="L940" i="2"/>
  <x:c r="I945" i="2"/>
  <x:c r="F950" i="2"/>
  <x:c r="K954" i="3"/>
  <x:c r="K954" i="2" s="1"/>
  <x:c r="K955" i="2"/>
  <x:c r="M962" i="3"/>
  <x:c r="M962" i="2" s="1"/>
  <x:c r="M963" i="2"/>
  <x:c r="R969" i="2"/>
  <x:c r="F976" i="2"/>
  <x:c r="N981" i="2"/>
  <x:c r="S990" i="2"/>
  <x:c r="K962" i="3"/>
  <x:c r="K962" i="2" s="1"/>
  <x:c r="K963" i="2"/>
  <x:c r="H968" i="2"/>
  <x:c r="L972" i="2"/>
  <x:c r="J978" i="2"/>
  <x:c r="L984" i="2"/>
  <x:c r="L990" i="2"/>
  <x:c r="K960" i="2"/>
  <x:c r="P965" i="2"/>
  <x:c r="M970" i="2"/>
  <x:c r="R974" i="3"/>
  <x:c r="R974" i="2" s="1"/>
  <x:c r="R975" i="2"/>
  <x:c r="O980" i="2"/>
  <x:c r="M986" i="2"/>
  <x:c r="J993" i="2"/>
  <x:c r="R990" i="2"/>
  <x:c r="O995" i="2"/>
  <x:c r="O992" i="2"/>
  <x:c r="O982" i="3"/>
  <x:c r="O982" i="2" s="1"/>
  <x:c r="O983" i="2"/>
  <x:c r="S987" i="2"/>
  <x:c r="P992" i="2"/>
  <x:c r="G783" i="2"/>
  <x:c r="O686" i="2"/>
  <x:c r="H692" i="2"/>
  <x:c r="F705" i="2"/>
  <x:c r="J718" i="2"/>
  <x:c r="G742" i="2"/>
  <x:c r="F787" i="2"/>
  <x:c r="K625" i="2"/>
  <x:c r="H630" i="2"/>
  <x:c r="L634" i="2"/>
  <x:c r="I639" i="2"/>
  <x:c r="G645" i="2"/>
  <x:c r="K649" i="2"/>
  <x:c r="H654" i="2"/>
  <x:c r="L658" i="2"/>
  <x:c r="I663" i="2"/>
  <x:c r="G669" i="2"/>
  <x:c r="K673" i="2"/>
  <x:c r="H678" i="2"/>
  <x:c r="L682" i="2"/>
  <x:c r="I687" i="2"/>
  <x:c r="I693" i="2"/>
  <x:c r="I701" i="3"/>
  <x:c r="I701" i="2" s="1"/>
  <x:c r="I702" i="2"/>
  <x:c r="I710" i="2"/>
  <x:c r="Q725" i="2"/>
  <x:c r="G749" i="2"/>
  <x:c r="L805" i="2"/>
  <x:c r="H717" i="2"/>
  <x:c r="L721" i="2"/>
  <x:c r="I726" i="2"/>
  <x:c r="G732" i="2"/>
  <x:c r="K736" i="2"/>
  <x:c r="S746" i="2"/>
  <x:c r="F758" i="2"/>
  <x:c r="R769" i="2"/>
  <x:c r="F782" i="2"/>
  <x:c r="R793" i="2"/>
  <x:c r="S806" i="2"/>
  <x:c r="P840" i="2"/>
  <x:c r="M930" i="3"/>
  <x:c r="M930" i="2" s="1"/>
  <x:c r="M931" i="2"/>
  <x:c r="H799" i="3"/>
  <x:c r="H799" i="2" s="1"/>
  <x:c r="H800" i="2"/>
  <x:c r="F817" i="2"/>
  <x:c r="O858" i="2"/>
  <x:c r="I691" i="2"/>
  <x:c r="F696" i="2"/>
  <x:c r="J700" i="2"/>
  <x:c r="H706" i="2"/>
  <x:c r="L710" i="2"/>
  <x:c r="Q715" i="2"/>
  <x:c r="N720" i="2"/>
  <x:c r="R724" i="2"/>
  <x:c r="H730" i="2"/>
  <x:c r="L734" i="2"/>
  <x:c r="M741" i="2"/>
  <x:c r="I750" i="2"/>
  <x:c r="I758" i="2"/>
  <x:c r="I766" i="3"/>
  <x:c r="I766" i="2" s="1"/>
  <x:c r="I767" i="2"/>
  <x:c r="I775" i="2"/>
  <x:c r="I784" i="2"/>
  <x:c r="I793" i="2"/>
  <x:c r="J802" i="2"/>
  <x:c r="M821" i="2"/>
  <x:c r="G877" i="2"/>
  <x:c r="R691" i="2"/>
  <x:c r="O696" i="2"/>
  <x:c r="S700" i="2"/>
  <x:c r="I706" i="2"/>
  <x:c r="G711" i="3"/>
  <x:c r="G711" i="2" s="1"/>
  <x:c r="G712" i="2"/>
  <x:c r="K716" i="2"/>
  <x:c r="H721" i="2"/>
  <x:c r="L725" i="2"/>
  <x:c r="J731" i="2"/>
  <x:c r="G736" i="2"/>
  <x:c r="J743" i="2"/>
  <x:c r="J752" i="2"/>
  <x:c r="J760" i="2"/>
  <x:c r="J769" i="2"/>
  <x:c r="K777" i="3"/>
  <x:c r="K777" i="2" s="1"/>
  <x:c r="K778" i="2"/>
  <x:c r="K786" i="2"/>
  <x:c r="L795" i="2"/>
  <x:c r="Q804" i="2"/>
  <x:c r="G852" i="2"/>
  <x:c r="Q689" i="2"/>
  <x:c r="N694" i="2"/>
  <x:c r="R698" i="2"/>
  <x:c r="H704" i="2"/>
  <x:c r="L708" i="2"/>
  <x:c r="J714" i="2"/>
  <x:c r="G719" i="2"/>
  <x:c r="K723" i="2"/>
  <x:c r="I729" i="2"/>
  <x:c r="F734" i="2"/>
  <x:c r="M739" i="2"/>
  <x:c r="N748" i="2"/>
  <x:c r="N756" i="2"/>
  <x:c r="N764" i="2"/>
  <x:c r="O773" i="2"/>
  <x:c r="O782" i="2"/>
  <x:c r="O790" i="2"/>
  <x:c r="K799" i="3"/>
  <x:c r="K799" i="2" s="1"/>
  <x:c r="K800" i="2"/>
  <x:c r="I813" i="2"/>
  <x:c r="L839" i="2"/>
  <x:c r="R689" i="2"/>
  <x:c r="O694" i="2"/>
  <x:c r="S698" i="2"/>
  <x:c r="Q704" i="2"/>
  <x:c r="N709" i="2"/>
  <x:c r="S714" i="2"/>
  <x:c r="P719" i="2"/>
  <x:c r="M724" i="2"/>
  <x:c r="R729" i="2"/>
  <x:c r="O734" i="2"/>
  <x:c r="O740" i="2"/>
  <x:c r="P749" i="2"/>
  <x:c r="P757" i="2"/>
  <x:c r="P765" i="2"/>
  <x:c r="P774" i="2"/>
  <x:c r="P783" i="2"/>
  <x:c r="P791" i="3"/>
  <x:c r="P791" i="2" s="1"/>
  <x:c r="P792" i="2"/>
  <x:c r="L801" i="2"/>
  <x:c r="J813" i="2"/>
  <x:c r="M856" i="2"/>
  <x:c r="K713" i="2"/>
  <x:c r="H718" i="2"/>
  <x:c r="L722" i="2"/>
  <x:c r="J727" i="3"/>
  <x:c r="J727" i="2" s="1"/>
  <x:c r="J728" i="2"/>
  <x:c r="G733" i="2"/>
  <x:c r="Q737" i="2"/>
  <x:c r="Q750" i="2"/>
  <x:c r="Q760" i="2"/>
  <x:c r="S771" i="2"/>
  <x:c r="Q784" i="2"/>
  <x:c r="S795" i="2"/>
  <x:c r="G815" i="3"/>
  <x:c r="G815" i="2" s="1"/>
  <x:c r="G816" i="2"/>
  <x:c r="Q846" i="2"/>
  <x:c r="N986" i="2"/>
  <x:c r="R811" i="2"/>
  <x:c r="L820" i="2"/>
  <x:c r="J832" i="2"/>
  <x:c r="O845" i="2"/>
  <x:c r="N881" i="2"/>
  <x:c r="N738" i="2"/>
  <x:c r="R742" i="2"/>
  <x:c r="H748" i="2"/>
  <x:c r="L752" i="2"/>
  <x:c r="I757" i="2"/>
  <x:c r="F762" i="2"/>
  <x:c r="K766" i="3"/>
  <x:c r="K766" i="2" s="1"/>
  <x:c r="K767" i="2"/>
  <x:c r="H772" i="2"/>
  <x:c r="L776" i="2"/>
  <x:c r="Q781" i="2"/>
  <x:c r="N786" i="2"/>
  <x:c r="R790" i="2"/>
  <x:c r="P796" i="2"/>
  <x:c r="N802" i="2"/>
  <x:c r="N808" i="2"/>
  <x:c r="N817" i="2"/>
  <x:c r="P829" i="2"/>
  <x:c r="P845" i="2"/>
  <x:c r="F872" i="2"/>
  <x:c r="O945" i="2"/>
  <x:c r="J741" i="2"/>
  <x:c r="O746" i="2"/>
  <x:c r="S750" i="2"/>
  <x:c r="P755" i="2"/>
  <x:c r="M760" i="2"/>
  <x:c r="Q764" i="2"/>
  <x:c r="O770" i="2"/>
  <x:c r="S774" i="2"/>
  <x:c r="Q780" i="2"/>
  <x:c r="N785" i="2"/>
  <x:c r="R789" i="2"/>
  <x:c r="H795" i="2"/>
  <x:c r="M799" i="3"/>
  <x:c r="M799" i="2" s="1"/>
  <x:c r="M800" i="2"/>
  <x:c r="F805" i="2"/>
  <x:c r="Q812" i="2"/>
  <x:c r="R821" i="2"/>
  <x:c r="S833" i="2"/>
  <x:c r="P851" i="2"/>
  <x:c r="S885" i="2"/>
  <x:c r="P939" i="2"/>
  <x:c r="R740" i="2"/>
  <x:c r="P746" i="2"/>
  <x:c r="M751" i="2"/>
  <x:c r="Q755" i="2"/>
  <x:c r="N760" i="2"/>
  <x:c r="R764" i="2"/>
  <x:c r="H770" i="2"/>
  <x:c r="L774" i="2"/>
  <x:c r="J780" i="2"/>
  <x:c r="G785" i="2"/>
  <x:c r="K789" i="2"/>
  <x:c r="P794" i="2"/>
  <x:c r="F799" i="3"/>
  <x:c r="F799" i="2" s="1"/>
  <x:c r="F800" i="2"/>
  <x:c r="L804" i="2"/>
  <x:c r="L810" i="2"/>
  <x:c r="S819" i="2"/>
  <x:c r="J837" i="2"/>
  <x:c r="K855" i="2"/>
  <x:c r="O896" i="2"/>
  <x:c r="J739" i="2"/>
  <x:c r="H744" i="3"/>
  <x:c r="H744" i="2" s="1"/>
  <x:c r="H745" i="2"/>
  <x:c r="L749" i="2"/>
  <x:c r="I754" i="2"/>
  <x:c r="F759" i="2"/>
  <x:c r="J763" i="2"/>
  <x:c r="O768" i="2"/>
  <x:c r="S772" i="2"/>
  <x:c r="Q777" i="3"/>
  <x:c r="Q777" i="2" s="1"/>
  <x:c r="Q778" i="2"/>
  <x:c r="N783" i="2"/>
  <x:c r="R787" i="2"/>
  <x:c r="P793" i="2"/>
  <x:c r="M798" i="2"/>
  <x:c r="R803" i="2"/>
  <x:c r="M810" i="2"/>
  <x:c r="G823" i="2"/>
  <x:c r="S835" i="2"/>
  <x:c r="F849" i="3"/>
  <x:c r="F849" i="2" s="1"/>
  <x:c r="F850" i="2"/>
  <x:c r="F883" i="2"/>
  <x:c r="O935" i="2"/>
  <x:c r="S807" i="2"/>
  <x:c r="Q813" i="2"/>
  <x:c r="L821" i="2"/>
  <x:c r="H829" i="2"/>
  <x:c r="H837" i="2"/>
  <x:c r="H845" i="2"/>
  <x:c r="O857" i="2"/>
  <x:c r="H869" i="2"/>
  <x:c r="O884" i="2"/>
  <x:c r="F920" i="2"/>
  <x:c r="S820" i="2"/>
  <x:c r="M829" i="2"/>
  <x:c r="M837" i="2"/>
  <x:c r="M845" i="2"/>
  <x:c r="G858" i="2"/>
  <x:c r="K869" i="2"/>
  <x:c r="H889" i="2"/>
  <x:c r="Q915" i="2"/>
  <x:c r="S864" i="2"/>
  <x:c r="Q879" i="2"/>
  <x:c r="J911" i="2"/>
  <x:c r="O933" i="2"/>
  <x:c r="I866" i="2"/>
  <x:c r="K888" i="2"/>
  <x:c r="O914" i="2"/>
  <x:c r="Q806" i="2"/>
  <x:c r="I812" i="2"/>
  <x:c r="O820" i="2"/>
  <x:c r="F830" i="2"/>
  <x:c r="F846" i="2"/>
  <x:c r="M857" i="2"/>
  <x:c r="R872" i="2"/>
  <x:c r="I886" i="2"/>
  <x:c r="O905" i="2"/>
  <x:c r="N934" i="2"/>
  <x:c r="L880" i="2"/>
  <x:c r="R892" i="2"/>
  <x:c r="R908" i="2"/>
  <x:c r="J922" i="2"/>
  <x:c r="S940" i="2"/>
  <x:c r="I979" i="2"/>
  <x:c r="I829" i="2"/>
  <x:c r="F834" i="2"/>
  <x:c r="J838" i="2"/>
  <x:c r="G843" i="2"/>
  <x:c r="R847" i="2"/>
  <x:c r="L855" i="2"/>
  <x:c r="P861" i="2"/>
  <x:c r="P867" i="3"/>
  <x:c r="P867" i="2" s="1"/>
  <x:c r="P868" i="2"/>
  <x:c r="F875" i="2"/>
  <x:c r="M881" i="2"/>
  <x:c r="H891" i="2"/>
  <x:c r="F903" i="2"/>
  <x:c r="N913" i="2"/>
  <x:c r="N932" i="2"/>
  <x:c r="S957" i="2"/>
  <x:c r="K813" i="2"/>
  <x:c r="P818" i="2"/>
  <x:c r="M823" i="2"/>
  <x:c r="R827" i="3"/>
  <x:c r="R827" i="2" s="1"/>
  <x:c r="R828" i="2"/>
  <x:c r="O833" i="2"/>
  <x:c r="S837" i="2"/>
  <x:c r="P842" i="2"/>
  <x:c r="J847" i="2"/>
  <x:c r="I854" i="2"/>
  <x:c r="R859" i="2"/>
  <x:c r="G866" i="2"/>
  <x:c r="K872" i="2"/>
  <x:c r="R877" i="2"/>
  <x:c r="J885" i="2"/>
  <x:c r="J893" i="2"/>
  <x:c r="J901" i="2"/>
  <x:c r="J909" i="2"/>
  <x:c r="N921" i="2"/>
  <x:c r="J937" i="2"/>
  <x:c r="L967" i="2"/>
  <x:c r="P825" i="2"/>
  <x:c r="N831" i="2"/>
  <x:c r="R835" i="2"/>
  <x:c r="O840" i="2"/>
  <x:c r="S844" i="2"/>
  <x:c r="I852" i="2"/>
  <x:c r="N858" i="2"/>
  <x:c r="R864" i="2"/>
  <x:c r="L872" i="2"/>
  <x:c r="P878" i="2"/>
  <x:c r="L886" i="2"/>
  <x:c r="L894" i="2"/>
  <x:c r="L902" i="2"/>
  <x:c r="L910" i="2"/>
  <x:c r="L923" i="2"/>
  <x:c r="N939" i="2"/>
  <x:c r="L986" i="2"/>
  <x:c r="F813" i="2"/>
  <x:c r="K818" i="2"/>
  <x:c r="H823" i="2"/>
  <x:c r="M827" i="3"/>
  <x:c r="M827" i="2" s="1"/>
  <x:c r="M828" i="2"/>
  <x:c r="Q832" i="2"/>
  <x:c r="N837" i="2"/>
  <x:c r="R841" i="2"/>
  <x:c r="R846" i="2"/>
  <x:c r="Q853" i="2"/>
  <x:c r="M859" i="2"/>
  <x:c r="O865" i="2"/>
  <x:c r="N872" i="2"/>
  <x:c r="H878" i="2"/>
  <x:c r="Q884" i="2"/>
  <x:c r="Q892" i="2"/>
  <x:c r="Q900" i="2"/>
  <x:c r="Q908" i="2"/>
  <x:c r="S917" i="2"/>
  <x:c r="H848" i="2"/>
  <x:c r="F854" i="2"/>
  <x:c r="J858" i="2"/>
  <x:c r="G863" i="2"/>
  <x:c r="L867" i="3"/>
  <x:c r="L867" i="2" s="1"/>
  <x:c r="L868" i="2"/>
  <x:c r="I873" i="2"/>
  <x:c r="F878" i="2"/>
  <x:c r="J882" i="2"/>
  <x:c r="G887" i="2"/>
  <x:c r="K891" i="2"/>
  <x:c r="H896" i="2"/>
  <x:c r="L900" i="2"/>
  <x:c r="I905" i="2"/>
  <x:c r="F910" i="2"/>
  <x:c r="J914" i="2"/>
  <x:c r="H920" i="2"/>
  <x:c r="P926" i="2"/>
  <x:c r="P935" i="2"/>
  <x:c r="L947" i="2"/>
  <x:c r="S969" i="2"/>
  <x:c r="O846" i="2"/>
  <x:c r="M852" i="2"/>
  <x:c r="Q856" i="2"/>
  <x:c r="N861" i="2"/>
  <x:c r="R865" i="2"/>
  <x:c r="H871" i="2"/>
  <x:c r="L875" i="2"/>
  <x:c r="I880" i="2"/>
  <x:c r="F885" i="2"/>
  <x:c r="J889" i="2"/>
  <x:c r="G894" i="2"/>
  <x:c r="K898" i="2"/>
  <x:c r="H903" i="2"/>
  <x:c r="L907" i="2"/>
  <x:c r="I912" i="2"/>
  <x:c r="F917" i="2"/>
  <x:c r="R922" i="2"/>
  <x:c r="Q935" i="2"/>
  <x:c r="F949" i="2"/>
  <x:c r="F993" i="2"/>
  <x:c r="N884" i="2"/>
  <x:c r="R888" i="2"/>
  <x:c r="O893" i="2"/>
  <x:c r="S897" i="2"/>
  <x:c r="P902" i="2"/>
  <x:c r="M907" i="2"/>
  <x:c r="Q911" i="2"/>
  <x:c r="N916" i="2"/>
  <x:c r="S921" i="2"/>
  <x:c r="S938" i="2"/>
  <x:c r="N956" i="2"/>
  <x:c r="H985" i="2"/>
  <x:c r="F915" i="2"/>
  <x:c r="K920" i="2"/>
  <x:c r="F929" i="2"/>
  <x:c r="P941" i="2"/>
  <x:c r="J964" i="2"/>
  <x:c r="K985" i="2"/>
  <x:c r="I885" i="2"/>
  <x:c r="F890" i="2"/>
  <x:c r="J894" i="2"/>
  <x:c r="G899" i="2"/>
  <x:c r="K903" i="2"/>
  <x:c r="H908" i="2"/>
  <x:c r="L912" i="2"/>
  <x:c r="I917" i="2"/>
  <x:c r="I924" i="2"/>
  <x:c r="J933" i="2"/>
  <x:c r="J943" i="2"/>
  <x:c r="K964" i="2"/>
  <x:c r="F923" i="2"/>
  <x:c r="J927" i="2"/>
  <x:c r="O932" i="2"/>
  <x:c r="S936" i="2"/>
  <x:c r="O942" i="2"/>
  <x:c r="H949" i="2"/>
  <x:c r="F958" i="3"/>
  <x:c r="F958" i="2" s="1"/>
  <x:c r="F959" i="2"/>
  <x:c r="R968" i="2"/>
  <x:c r="Q980" i="2"/>
  <x:c r="N993" i="2"/>
  <x:c r="Q925" i="2"/>
  <x:c r="O930" i="3"/>
  <x:c r="O930" i="2" s="1"/>
  <x:c r="O931" i="2"/>
  <x:c r="S935" i="2"/>
  <x:c r="H941" i="2"/>
  <x:c r="N948" i="2"/>
  <x:c r="Q956" i="2"/>
  <x:c r="R966" i="2"/>
  <x:c r="O977" i="2"/>
  <x:c r="J989" i="2"/>
  <x:c r="L953" i="2"/>
  <x:c r="P962" i="3"/>
  <x:c r="P962" i="2" s="1"/>
  <x:c r="P963" i="2"/>
  <x:c r="N974" i="3"/>
  <x:c r="N974" i="2" s="1"/>
  <x:c r="N975" i="2"/>
  <x:c r="I988" i="2"/>
  <x:c r="Q923" i="2"/>
  <x:c r="N928" i="2"/>
  <x:c r="S933" i="2"/>
  <x:c r="P938" i="2"/>
  <x:c r="N944" i="2"/>
  <x:c r="R952" i="2"/>
  <x:c r="Q962" i="3"/>
  <x:c r="Q962" i="2" s="1"/>
  <x:c r="Q963" i="2"/>
  <x:c r="Q974" i="3"/>
  <x:c r="Q974" i="2" s="1"/>
  <x:c r="Q975" i="2"/>
  <x:c r="J988" i="2"/>
  <x:c r="J923" i="2"/>
  <x:c r="G928" i="2"/>
  <x:c r="L933" i="2"/>
  <x:c r="I938" i="2"/>
  <x:c r="Q944" i="2"/>
  <x:c r="I951" i="2"/>
  <x:c r="N958" i="3"/>
  <x:c r="N958" i="2" s="1"/>
  <x:c r="N959" i="2"/>
  <x:c r="N970" i="2"/>
  <x:c r="N982" i="3"/>
  <x:c r="N982" i="2" s="1"/>
  <x:c r="N983" i="2"/>
  <x:c r="G939" i="2"/>
  <x:c r="K943" i="2"/>
  <x:c r="H948" i="2"/>
  <x:c r="L952" i="2"/>
  <x:c r="P958" i="3"/>
  <x:c r="P958" i="2" s="1"/>
  <x:c r="P959" i="2"/>
  <x:c r="S965" i="2"/>
  <x:c r="M971" i="2"/>
  <x:c r="L978" i="2"/>
  <x:c r="G985" i="2"/>
  <x:c r="L993" i="2"/>
  <x:c r="H945" i="2"/>
  <x:c r="L949" i="2"/>
  <x:c r="J954" i="3"/>
  <x:c r="J954" i="2" s="1"/>
  <x:c r="J955" i="2"/>
  <x:c r="L962" i="3"/>
  <x:c r="L962" i="2" s="1"/>
  <x:c r="L963" i="2"/>
  <x:c r="F969" i="2"/>
  <x:c r="I974" i="3"/>
  <x:c r="I974" i="2" s="1"/>
  <x:c r="I975" i="2"/>
  <x:c r="L981" i="2"/>
  <x:c r="R989" i="2"/>
  <x:c r="M941" i="2"/>
  <x:c r="Q945" i="2"/>
  <x:c r="N950" i="2"/>
  <x:c r="S954" i="3"/>
  <x:c r="S954" i="2" s="1"/>
  <x:c r="S955" i="2"/>
  <x:c r="I964" i="2"/>
  <x:c r="L970" i="2"/>
  <x:c r="Q976" i="2"/>
  <x:c r="F982" i="3"/>
  <x:c r="F982" i="2" s="1"/>
  <x:c r="F983" i="2"/>
  <x:c r="F995" i="2"/>
  <x:c r="S962" i="3"/>
  <x:c r="S962" i="2" s="1"/>
  <x:c r="S963" i="2"/>
  <x:c r="P968" i="2"/>
  <x:c r="M973" i="2"/>
  <x:c r="R978" i="2"/>
  <x:c r="F985" i="2"/>
  <x:c r="J991" i="2"/>
  <x:c r="S960" i="2"/>
  <x:c r="I966" i="2"/>
  <x:c r="F971" i="2"/>
  <x:c r="K976" i="2"/>
  <x:c r="H981" i="2"/>
  <x:c r="G987" i="2"/>
  <x:c r="G994" i="2"/>
  <x:c r="K991" i="2"/>
  <x:c r="K988" i="2"/>
  <x:c r="H993" i="2"/>
  <x:c r="H984" i="2"/>
  <x:c r="L988" i="2"/>
  <x:c r="I993" i="2"/>
  <x:c r="N679" i="2"/>
  <x:c r="R683" i="2"/>
  <x:c r="O688" i="2"/>
  <x:c r="F699" i="2"/>
  <x:c r="R710" i="2"/>
  <x:c r="R726" i="2"/>
  <x:c r="H757" i="2"/>
  <x:c r="S901" i="2"/>
  <x:c r="S643" i="2"/>
  <x:c r="P648" i="2"/>
  <x:c r="M653" i="2"/>
  <x:c r="Q657" i="2"/>
  <x:c r="N662" i="2"/>
  <x:c r="S667" i="2"/>
  <x:c r="P672" i="2"/>
  <x:c r="M677" i="2"/>
  <x:c r="Q681" i="2"/>
  <x:c r="N686" i="2"/>
  <x:c r="G692" i="2"/>
  <x:c r="S703" i="2"/>
  <x:c r="I716" i="2"/>
  <x:c r="G748" i="2"/>
  <x:c r="G790" i="2"/>
  <x:c r="H687" i="2"/>
  <x:c r="H693" i="2"/>
  <x:c r="G706" i="2"/>
  <x:c r="F722" i="2"/>
  <x:c r="H751" i="2"/>
  <x:c r="O810" i="2"/>
  <x:c r="S625" i="2"/>
  <x:c r="P630" i="2"/>
  <x:c r="M635" i="2"/>
  <x:c r="Q639" i="2"/>
  <x:c r="O645" i="2"/>
  <x:c r="S649" i="2"/>
  <x:c r="P654" i="2"/>
  <x:c r="M659" i="2"/>
  <x:c r="Q663" i="2"/>
  <x:c r="O669" i="2"/>
  <x:c r="S673" i="2"/>
  <x:c r="P678" i="2"/>
  <x:c r="M683" i="2"/>
  <x:c r="Q687" i="2"/>
  <x:c r="I694" i="2"/>
  <x:c r="I703" i="2"/>
  <x:c r="K711" i="3"/>
  <x:c r="K711" i="2" s="1"/>
  <x:c r="K712" i="2"/>
  <x:c r="M729" i="2"/>
  <x:c r="H758" i="2"/>
  <x:c r="Q827" i="3"/>
  <x:c r="Q827" i="2" s="1"/>
  <x:c r="Q828" i="2"/>
  <x:c r="P717" i="2"/>
  <x:c r="M722" i="2"/>
  <x:c r="Q726" i="2"/>
  <x:c r="O732" i="2"/>
  <x:c r="S736" i="2"/>
  <x:c r="F749" i="2"/>
  <x:c r="R759" i="2"/>
  <x:c r="S770" i="2"/>
  <x:c r="R783" i="2"/>
  <x:c r="S794" i="2"/>
  <x:c r="J808" i="2"/>
  <x:c r="N843" i="2"/>
  <x:c r="H789" i="2"/>
  <x:c r="F803" i="2"/>
  <x:c r="H819" i="2"/>
  <x:c r="R871" i="2"/>
  <x:c r="Q691" i="2"/>
  <x:c r="N696" i="2"/>
  <x:c r="R700" i="2"/>
  <x:c r="P706" i="2"/>
  <x:c r="F711" i="3"/>
  <x:c r="F711" i="2" s="1"/>
  <x:c r="F712" i="2"/>
  <x:c r="J716" i="2"/>
  <x:c r="G721" i="2"/>
  <x:c r="K725" i="2"/>
  <x:c r="P730" i="2"/>
  <x:c r="M735" i="2"/>
  <x:c r="I742" i="2"/>
  <x:c r="I751" i="2"/>
  <x:c r="I759" i="2"/>
  <x:c r="I768" i="2"/>
  <x:c r="I776" i="2"/>
  <x:c r="I785" i="2"/>
  <x:c r="J794" i="2"/>
  <x:c r="K803" i="2"/>
  <x:c r="N823" i="2"/>
  <x:c r="N887" i="2"/>
  <x:c r="K692" i="2"/>
  <x:c r="H697" i="2"/>
  <x:c r="M701" i="3"/>
  <x:c r="M701" i="2" s="1"/>
  <x:c r="M702" i="2"/>
  <x:c r="Q706" i="2"/>
  <x:c r="O711" i="3"/>
  <x:c r="O711" i="2" s="1"/>
  <x:c r="O712" i="2"/>
  <x:c r="S716" i="2"/>
  <x:c r="P721" i="2"/>
  <x:c r="M726" i="2"/>
  <x:c r="R731" i="2"/>
  <x:c r="O736" i="2"/>
  <x:c r="J744" i="3"/>
  <x:c r="J744" i="2" s="1"/>
  <x:c r="J745" i="2"/>
  <x:c r="J753" i="2"/>
  <x:c r="J761" i="2"/>
  <x:c r="K770" i="2"/>
  <x:c r="L779" i="2"/>
  <x:c r="L787" i="2"/>
  <x:c r="M796" i="2"/>
  <x:c r="F806" i="2"/>
  <x:c r="R855" i="2"/>
  <x:c r="J690" i="2"/>
  <x:c r="G695" i="2"/>
  <x:c r="K699" i="2"/>
  <x:c r="P704" i="2"/>
  <x:c r="M709" i="2"/>
  <x:c r="R714" i="2"/>
  <x:c r="O719" i="2"/>
  <x:c r="S723" i="2"/>
  <x:c r="Q729" i="2"/>
  <x:c r="N734" i="2"/>
  <x:c r="N740" i="2"/>
  <x:c r="O749" i="2"/>
  <x:c r="O757" i="2"/>
  <x:c r="O765" i="2"/>
  <x:c r="O774" i="2"/>
  <x:c r="O783" i="2"/>
  <x:c r="K791" i="3"/>
  <x:c r="K791" i="2" s="1"/>
  <x:c r="K792" i="2"/>
  <x:c r="K801" i="2"/>
  <x:c r="F818" i="2"/>
  <x:c r="J845" i="2"/>
  <x:c r="K690" i="2"/>
  <x:c r="H695" i="2"/>
  <x:c r="L699" i="2"/>
  <x:c r="J705" i="2"/>
  <x:c r="G710" i="2"/>
  <x:c r="L715" i="2"/>
  <x:c r="I720" i="2"/>
  <x:c r="F725" i="2"/>
  <x:c r="K730" i="2"/>
  <x:c r="H735" i="2"/>
  <x:c r="P741" i="2"/>
  <x:c r="P750" i="2"/>
  <x:c r="P758" i="2"/>
  <x:c r="P766" i="3"/>
  <x:c r="P766" i="2" s="1"/>
  <x:c r="P767" i="2"/>
  <x:c r="P775" i="2"/>
  <x:c r="P784" i="2"/>
  <x:c r="L793" i="2"/>
  <x:c r="M802" i="2"/>
  <x:c r="I818" i="2"/>
  <x:c r="K860" i="2"/>
  <x:c r="S713" i="2"/>
  <x:c r="P718" i="2"/>
  <x:c r="M723" i="2"/>
  <x:c r="R727" i="3"/>
  <x:c r="R727" i="2" s="1"/>
  <x:c r="R728" i="2"/>
  <x:c r="O733" i="2"/>
  <x:c r="R738" i="2"/>
  <x:c r="Q751" i="2"/>
  <x:c r="Q761" i="2"/>
  <x:c r="Q774" i="2"/>
  <x:c r="Q785" i="2"/>
  <x:c r="Q798" i="2"/>
  <x:c r="J818" i="2"/>
  <x:c r="M849" i="3"/>
  <x:c r="M849" i="2" s="1"/>
  <x:c r="M850" i="2"/>
  <x:c r="N805" i="2"/>
  <x:c r="O812" i="2"/>
  <x:c r="P821" i="2"/>
  <x:c r="N833" i="2"/>
  <x:c r="I847" i="2"/>
  <x:c r="N895" i="2"/>
  <x:c r="G739" i="2"/>
  <x:c r="K743" i="2"/>
  <x:c r="P748" i="2"/>
  <x:c r="M753" i="2"/>
  <x:c r="Q757" i="2"/>
  <x:c r="N762" i="2"/>
  <x:c r="S766" i="3"/>
  <x:c r="S766" i="2" s="1"/>
  <x:c r="S767" i="2"/>
  <x:c r="P772" i="2"/>
  <x:c r="F777" i="3"/>
  <x:c r="F777" i="2" s="1"/>
  <x:c r="F778" i="2"/>
  <x:c r="J782" i="2"/>
  <x:c r="G787" i="2"/>
  <x:c r="L791" i="3"/>
  <x:c r="L791" i="2" s="1"/>
  <x:c r="L792" i="2"/>
  <x:c r="I797" i="2"/>
  <x:c r="G803" i="2"/>
  <x:c r="H809" i="2"/>
  <x:c r="M818" i="2"/>
  <x:c r="M832" i="2"/>
  <x:c r="Q847" i="2"/>
  <x:c r="J875" i="2"/>
  <x:c r="N737" i="2"/>
  <x:c r="R741" i="2"/>
  <x:c r="H747" i="2"/>
  <x:c r="L751" i="2"/>
  <x:c r="I756" i="2"/>
  <x:c r="F761" i="2"/>
  <x:c r="J765" i="2"/>
  <x:c r="H771" i="2"/>
  <x:c r="L775" i="2"/>
  <x:c r="J781" i="2"/>
  <x:c r="G786" i="2"/>
  <x:c r="K790" i="2"/>
  <x:c r="P795" i="2"/>
  <x:c r="F801" i="2"/>
  <x:c r="R805" i="2"/>
  <x:c r="O813" i="2"/>
  <x:c r="S823" i="2"/>
  <x:c r="N835" i="2"/>
  <x:c r="K853" i="2"/>
  <x:c r="O889" i="2"/>
  <x:c r="G737" i="2"/>
  <x:c r="K741" i="2"/>
  <x:c r="I747" i="2"/>
  <x:c r="F752" i="2"/>
  <x:c r="J756" i="2"/>
  <x:c r="G761" i="2"/>
  <x:c r="K765" i="2"/>
  <x:c r="P770" i="2"/>
  <x:c r="M775" i="2"/>
  <x:c r="R780" i="2"/>
  <x:c r="O785" i="2"/>
  <x:c r="S789" i="2"/>
  <x:c r="I795" i="2"/>
  <x:c r="N799" i="3"/>
  <x:c r="N799" i="2" s="1"/>
  <x:c r="N800" i="2"/>
  <x:c r="G805" i="2"/>
  <x:c r="H811" i="2"/>
  <x:c r="F823" i="2"/>
  <x:c r="Q838" i="2"/>
  <x:c r="L857" i="2"/>
  <x:c r="I910" i="2"/>
  <x:c r="R739" i="2"/>
  <x:c r="P744" i="3"/>
  <x:c r="P744" i="2" s="1"/>
  <x:c r="P745" i="2"/>
  <x:c r="M750" i="2"/>
  <x:c r="Q754" i="2"/>
  <x:c r="N759" i="2"/>
  <x:c r="R763" i="2"/>
  <x:c r="H769" i="2"/>
  <x:c r="L773" i="2"/>
  <x:c r="J779" i="2"/>
  <x:c r="G784" i="2"/>
  <x:c r="K788" i="2"/>
  <x:c r="I794" i="2"/>
  <x:c r="G799" i="3"/>
  <x:c r="G799" i="2" s="1"/>
  <x:c r="G800" i="2"/>
  <x:c r="M804" i="2"/>
  <x:c r="J811" i="2"/>
  <x:c r="K824" i="2"/>
  <x:c r="O837" i="2"/>
  <x:c r="M855" i="2"/>
  <x:c r="G890" i="2"/>
  <x:c r="H804" i="2"/>
  <x:c r="L808" i="2"/>
  <x:c r="M814" i="2"/>
  <x:c r="H822" i="2"/>
  <x:c r="H830" i="2"/>
  <x:c r="H838" i="2"/>
  <x:c r="I846" i="2"/>
  <x:c r="G859" i="2"/>
  <x:c r="K870" i="2"/>
  <x:c r="M886" i="2"/>
  <x:c r="F989" i="2"/>
  <x:c r="O821" i="2"/>
  <x:c r="K830" i="2"/>
  <x:c r="K838" i="2"/>
  <x:c r="L846" i="2"/>
  <x:c r="N859" i="2"/>
  <x:c r="P870" i="2"/>
  <x:c r="I891" i="2"/>
  <x:c r="I952" i="2"/>
  <x:c r="N867" i="3"/>
  <x:c r="N867" i="2" s="1"/>
  <x:c r="N868" i="2"/>
  <x:c r="L881" i="2"/>
  <x:c r="K916" i="2"/>
  <x:c r="N937" i="2"/>
  <x:c r="Q867" i="3"/>
  <x:c r="Q867" i="2" s="1"/>
  <x:c r="Q868" i="2"/>
  <x:c r="I890" i="2"/>
  <x:c r="N918" i="3"/>
  <x:c r="N918" i="2" s="1"/>
  <x:c r="N919" i="2"/>
  <x:c r="J807" i="2"/>
  <x:c r="P813" i="2"/>
  <x:c r="J821" i="2"/>
  <x:c r="F835" i="2"/>
  <x:c r="L847" i="2"/>
  <x:c r="H860" i="2"/>
  <x:c r="H874" i="2"/>
  <x:c r="O888" i="2"/>
  <x:c r="P907" i="2"/>
  <x:c r="K938" i="2"/>
  <x:c r="H881" i="2"/>
  <x:c r="R893" i="2"/>
  <x:c r="R909" i="2"/>
  <x:c r="L924" i="2"/>
  <x:c r="P943" i="2"/>
  <x:c r="P982" i="3"/>
  <x:c r="P982" i="2" s="1"/>
  <x:c r="P983" i="2"/>
  <x:c r="Q829" i="2"/>
  <x:c r="N834" i="2"/>
  <x:c r="R838" i="2"/>
  <x:c r="O843" i="2"/>
  <x:c r="M848" i="2"/>
  <x:c r="G856" i="2"/>
  <x:c r="K862" i="2"/>
  <x:c r="J869" i="2"/>
  <x:c r="P875" i="2"/>
  <x:c r="I882" i="2"/>
  <x:c r="G892" i="2"/>
  <x:c r="G904" i="2"/>
  <x:c r="P914" i="2"/>
  <x:c r="O934" i="2"/>
  <x:c r="O809" i="2"/>
  <x:c r="S813" i="2"/>
  <x:c r="I819" i="2"/>
  <x:c r="F824" i="2"/>
  <x:c r="K829" i="2"/>
  <x:c r="H834" i="2"/>
  <x:c r="L838" i="2"/>
  <x:c r="I843" i="2"/>
  <x:c r="O848" i="2"/>
  <x:c r="S854" i="2"/>
  <x:c r="N860" i="2"/>
  <x:c r="Q866" i="2"/>
  <x:c r="F873" i="2"/>
  <x:c r="M878" i="2"/>
  <x:c r="K886" i="2"/>
  <x:c r="K894" i="2"/>
  <x:c r="K902" i="2"/>
  <x:c r="K910" i="2"/>
  <x:c r="K923" i="2"/>
  <x:c r="M939" i="2"/>
  <x:c r="F977" i="2"/>
  <x:c r="I826" i="2"/>
  <x:c r="G832" i="2"/>
  <x:c r="K836" i="2"/>
  <x:c r="H841" i="2"/>
  <x:c r="L845" i="2"/>
  <x:c r="S852" i="2"/>
  <x:c r="I859" i="2"/>
  <x:c r="M865" i="2"/>
  <x:c r="G873" i="2"/>
  <x:c r="K879" i="2"/>
  <x:c r="M887" i="2"/>
  <x:c r="M895" i="2"/>
  <x:c r="M903" i="2"/>
  <x:c r="M911" i="2"/>
  <x:c r="N925" i="2"/>
  <x:c r="K942" i="2"/>
  <x:c r="S994" i="2"/>
  <x:c r="N813" i="2"/>
  <x:c r="S818" i="2"/>
  <x:c r="P823" i="2"/>
  <x:c r="F829" i="2"/>
  <x:c r="J833" i="2"/>
  <x:c r="G838" i="2"/>
  <x:c r="K842" i="2"/>
  <x:c r="M847" i="2"/>
  <x:c r="L854" i="2"/>
  <x:c r="G860" i="2"/>
  <x:c r="L866" i="2"/>
  <x:c r="K873" i="2"/>
  <x:c r="R878" i="2"/>
  <x:c r="P885" i="2"/>
  <x:c r="P893" i="2"/>
  <x:c r="P901" i="2"/>
  <x:c r="P909" i="2"/>
  <x:c r="L918" i="3"/>
  <x:c r="L918" i="2" s="1"/>
  <x:c r="L919" i="2"/>
  <x:c r="P848" i="2"/>
  <x:c r="N854" i="2"/>
  <x:c r="R858" i="2"/>
  <x:c r="O863" i="2"/>
  <x:c r="M869" i="2"/>
  <x:c r="Q873" i="2"/>
  <x:c r="N878" i="2"/>
  <x:c r="R882" i="2"/>
  <x:c r="O887" i="2"/>
  <x:c r="S891" i="2"/>
  <x:c r="P896" i="2"/>
  <x:c r="M901" i="2"/>
  <x:c r="Q905" i="2"/>
  <x:c r="N910" i="2"/>
  <x:c r="R914" i="2"/>
  <x:c r="P920" i="2"/>
  <x:c r="P927" i="2"/>
  <x:c r="Q936" i="2"/>
  <x:c r="O950" i="2"/>
  <x:c r="F972" i="2"/>
  <x:c r="H847" i="2"/>
  <x:c r="F853" i="2"/>
  <x:c r="J857" i="2"/>
  <x:c r="G862" i="2"/>
  <x:c r="K866" i="2"/>
  <x:c r="P871" i="2"/>
  <x:c r="M876" i="2"/>
  <x:c r="Q880" i="2"/>
  <x:c r="N885" i="2"/>
  <x:c r="R889" i="2"/>
  <x:c r="O894" i="2"/>
  <x:c r="S898" i="2"/>
  <x:c r="P903" i="2"/>
  <x:c r="M908" i="2"/>
  <x:c r="Q912" i="2"/>
  <x:c r="N917" i="2"/>
  <x:c r="S923" i="2"/>
  <x:c r="R936" i="2"/>
  <x:c r="P950" i="2"/>
  <x:c r="J880" i="2"/>
  <x:c r="G885" i="2"/>
  <x:c r="K889" i="2"/>
  <x:c r="H894" i="2"/>
  <x:c r="L898" i="2"/>
  <x:c r="I903" i="2"/>
  <x:c r="F908" i="2"/>
  <x:c r="J912" i="2"/>
  <x:c r="G917" i="2"/>
  <x:c r="S922" i="2"/>
  <x:c r="J940" i="2"/>
  <x:c r="F961" i="2"/>
  <x:c r="O987" i="2"/>
  <x:c r="N915" i="2"/>
  <x:c r="S920" i="2"/>
  <x:c r="F932" i="2"/>
  <x:c r="I943" i="2"/>
  <x:c r="L966" i="2"/>
  <x:c r="Q987" i="2"/>
  <x:c r="Q885" i="2"/>
  <x:c r="N890" i="2"/>
  <x:c r="R894" i="2"/>
  <x:c r="O899" i="2"/>
  <x:c r="S903" i="2"/>
  <x:c r="P908" i="2"/>
  <x:c r="M913" i="2"/>
  <x:c r="Q917" i="2"/>
  <x:c r="J925" i="2"/>
  <x:c r="H934" i="2"/>
  <x:c r="M946" i="2"/>
  <x:c r="M966" i="2"/>
  <x:c r="N923" i="2"/>
  <x:c r="R927" i="2"/>
  <x:c r="H933" i="2"/>
  <x:c r="L937" i="2"/>
  <x:c r="L943" i="2"/>
  <x:c r="Q950" i="2"/>
  <x:c r="G960" i="2"/>
  <x:c r="H972" i="2"/>
  <x:c r="R981" i="2"/>
  <x:c r="F922" i="2"/>
  <x:c r="J926" i="2"/>
  <x:c r="H932" i="2"/>
  <x:c r="L936" i="2"/>
  <x:c r="S941" i="2"/>
  <x:c r="J949" i="2"/>
  <x:c r="N957" i="2"/>
  <x:c r="S967" i="2"/>
  <x:c r="O978" i="2"/>
  <x:c r="K992" i="2"/>
  <x:c r="H954" i="3"/>
  <x:c r="H954" i="2" s="1"/>
  <x:c r="H955" i="2"/>
  <x:c r="Q964" i="2"/>
  <x:c r="N976" i="2"/>
  <x:c r="N989" i="2"/>
  <x:c r="J924" i="2"/>
  <x:c r="G929" i="2"/>
  <x:c r="L934" i="2"/>
  <x:c r="J939" i="2"/>
  <x:c r="K945" i="2"/>
  <x:c r="N953" i="2"/>
  <x:c r="F967" i="2"/>
  <x:c r="R976" i="2"/>
  <x:c r="O989" i="2"/>
  <x:c r="R923" i="2"/>
  <x:c r="O928" i="2"/>
  <x:c r="M934" i="2"/>
  <x:c r="Q938" i="2"/>
  <x:c r="L945" i="2"/>
  <x:c r="F952" i="2"/>
  <x:c r="N960" i="2"/>
  <x:c r="O971" i="2"/>
  <x:c r="S984" i="2"/>
  <x:c r="O939" i="2"/>
  <x:c r="S943" i="2"/>
  <x:c r="P948" i="2"/>
  <x:c r="M953" i="2"/>
  <x:c r="L960" i="2"/>
  <x:c r="O966" i="2"/>
  <x:c r="I972" i="2"/>
  <x:c r="H979" i="2"/>
  <x:c r="P986" i="2"/>
  <x:c r="M994" i="2"/>
  <x:c r="P945" i="2"/>
  <x:c r="M950" i="2"/>
  <x:c r="R954" i="3"/>
  <x:c r="R954" i="2" s="1"/>
  <x:c r="R955" i="2"/>
  <x:c r="H964" i="2"/>
  <x:c r="P969" i="2"/>
  <x:c r="O976" i="2"/>
  <x:c r="Q982" i="3"/>
  <x:c r="Q982" i="2" s="1"/>
  <x:c r="Q983" i="2"/>
  <x:c r="P990" i="2"/>
  <x:c r="F942" i="2"/>
  <x:c r="J946" i="2"/>
  <x:c r="G951" i="2"/>
  <x:c r="L956" i="2"/>
  <x:c r="S964" i="2"/>
  <x:c r="H971" i="2"/>
  <x:c r="M977" i="2"/>
  <x:c r="S982" i="3"/>
  <x:c r="S982" i="2" s="1"/>
  <x:c r="S983" i="2"/>
  <x:c r="G958" i="3"/>
  <x:c r="G958" i="2" s="1"/>
  <x:c r="G959" i="2"/>
  <x:c r="L964" i="2"/>
  <x:c r="I969" i="2"/>
  <x:c r="G974" i="3"/>
  <x:c r="G974" i="2" s="1"/>
  <x:c r="G975" i="2"/>
  <x:c r="K979" i="2"/>
  <x:c r="O985" i="2"/>
  <x:c r="I992" i="2"/>
  <x:c r="L961" i="2"/>
  <x:c r="Q966" i="2"/>
  <x:c r="N971" i="2"/>
  <x:c r="S976" i="2"/>
  <x:c r="P981" i="2"/>
  <x:c r="P987" i="2"/>
  <x:c r="Q995" i="2"/>
  <x:c r="S991" i="2"/>
  <x:c r="S988" i="2"/>
  <x:c r="P993" i="2"/>
  <x:c r="P984" i="2"/>
  <x:c r="M989" i="2"/>
  <x:c r="Q993" i="2"/>
  <x:c r="J675" i="2"/>
  <x:c r="G680" i="2"/>
  <x:c r="K684" i="2"/>
  <x:c r="H689" i="2"/>
  <x:c r="F700" i="2"/>
  <x:c r="F713" i="2"/>
  <x:c r="M727" i="3"/>
  <x:c r="M727" i="2" s="1"/>
  <x:c r="M728" i="2"/>
  <x:c r="H760" i="2"/>
  <x:c r="G639" i="2"/>
  <x:c r="L644" i="2"/>
  <x:c r="I649" i="2"/>
  <x:c r="F654" i="2"/>
  <x:c r="J658" i="2"/>
  <x:c r="G663" i="2"/>
  <x:c r="L668" i="2"/>
  <x:c r="I673" i="2"/>
  <x:c r="F678" i="2"/>
  <x:c r="J682" i="2"/>
  <x:c r="G687" i="2"/>
  <x:c r="G693" i="2"/>
  <x:c r="F706" i="2"/>
  <x:c r="S719" i="2"/>
  <x:c r="G751" i="2"/>
  <x:c r="F804" i="2"/>
  <x:c r="P687" i="2"/>
  <x:c r="H694" i="2"/>
  <x:c r="H707" i="2"/>
  <x:c r="P723" i="2"/>
  <x:c r="F755" i="2"/>
  <x:c r="P866" i="2"/>
  <x:c r="L626" i="2"/>
  <x:c r="I631" i="2"/>
  <x:c r="F636" i="2"/>
  <x:c r="J640" i="2"/>
  <x:c r="H646" i="2"/>
  <x:c r="L650" i="2"/>
  <x:c r="I655" i="2"/>
  <x:c r="F660" i="2"/>
  <x:c r="J664" i="2"/>
  <x:c r="H670" i="2"/>
  <x:c r="L674" i="2"/>
  <x:c r="I679" i="2"/>
  <x:c r="F684" i="2"/>
  <x:c r="J688" i="2"/>
  <x:c r="I695" i="2"/>
  <x:c r="J704" i="2"/>
  <x:c r="N713" i="2"/>
  <x:c r="G731" i="2"/>
  <x:c r="S761" i="2"/>
  <x:c r="O834" i="2"/>
  <x:c r="I718" i="2"/>
  <x:c r="F723" i="2"/>
  <x:c r="K727" i="3"/>
  <x:c r="K727" i="2" s="1"/>
  <x:c r="K728" i="2"/>
  <x:c r="H733" i="2"/>
  <x:c r="R737" i="2"/>
  <x:c r="F750" i="2"/>
  <x:c r="R760" i="2"/>
  <x:c r="F773" i="2"/>
  <x:c r="R784" i="2"/>
  <x:c r="F797" i="2"/>
  <x:c r="N810" i="2"/>
  <x:c r="S846" i="2"/>
  <x:c r="H790" i="2"/>
  <x:c r="I804" i="2"/>
  <x:c r="I821" i="2"/>
  <x:c r="F881" i="2"/>
  <x:c r="J692" i="2"/>
  <x:c r="G697" i="2"/>
  <x:c r="L701" i="3"/>
  <x:c r="L701" i="2" s="1"/>
  <x:c r="L702" i="2"/>
  <x:c r="I707" i="2"/>
  <x:c r="N711" i="3"/>
  <x:c r="N711" i="2" s="1"/>
  <x:c r="N712" i="2"/>
  <x:c r="R716" i="2"/>
  <x:c r="O721" i="2"/>
  <x:c r="S725" i="2"/>
  <x:c r="I731" i="2"/>
  <x:c r="F736" i="2"/>
  <x:c r="I743" i="2"/>
  <x:c r="I752" i="2"/>
  <x:c r="I760" i="2"/>
  <x:c r="I769" i="2"/>
  <x:c r="J777" i="3"/>
  <x:c r="J777" i="2" s="1"/>
  <x:c r="J778" i="2"/>
  <x:c r="J786" i="2"/>
  <x:c r="K795" i="2"/>
  <x:c r="N804" i="2"/>
  <x:c r="J829" i="2"/>
  <x:c r="I908" i="2"/>
  <x:c r="S692" i="2"/>
  <x:c r="P697" i="2"/>
  <x:c r="F703" i="2"/>
  <x:c r="J707" i="2"/>
  <x:c r="H713" i="2"/>
  <x:c r="L717" i="2"/>
  <x:c r="I722" i="2"/>
  <x:c r="G727" i="3"/>
  <x:c r="G727" i="2" s="1"/>
  <x:c r="G728" i="2"/>
  <x:c r="K732" i="2"/>
  <x:c r="J737" i="2"/>
  <x:c r="K746" i="2"/>
  <x:c r="K754" i="2"/>
  <x:c r="K762" i="2"/>
  <x:c r="L771" i="2"/>
  <x:c r="M780" i="2"/>
  <x:c r="M788" i="2"/>
  <x:c r="N797" i="2"/>
  <x:c r="O807" i="2"/>
  <x:c r="Q863" i="2"/>
  <x:c r="R690" i="2"/>
  <x:c r="O695" i="2"/>
  <x:c r="S699" i="2"/>
  <x:c r="I705" i="2"/>
  <x:c r="F710" i="2"/>
  <x:c r="K715" i="2"/>
  <x:c r="H720" i="2"/>
  <x:c r="L724" i="2"/>
  <x:c r="J730" i="2"/>
  <x:c r="G735" i="2"/>
  <x:c r="O741" i="2"/>
  <x:c r="O750" i="2"/>
  <x:c r="O758" i="2"/>
  <x:c r="O766" i="3"/>
  <x:c r="O766" i="2" s="1"/>
  <x:c r="O767" i="2"/>
  <x:c r="O775" i="2"/>
  <x:c r="K784" i="2"/>
  <x:c r="K793" i="2"/>
  <x:c r="L802" i="2"/>
  <x:c r="G820" i="2"/>
  <x:c r="O852" i="2"/>
  <x:c r="S690" i="2"/>
  <x:c r="P695" i="2"/>
  <x:c r="M700" i="2"/>
  <x:c r="R705" i="2"/>
  <x:c r="O710" i="2"/>
  <x:c r="M716" i="2"/>
  <x:c r="Q720" i="2"/>
  <x:c r="N725" i="2"/>
  <x:c r="S730" i="2"/>
  <x:c r="P735" i="2"/>
  <x:c r="P742" i="2"/>
  <x:c r="P751" i="2"/>
  <x:c r="P759" i="2"/>
  <x:c r="P768" i="2"/>
  <x:c r="P776" i="2"/>
  <x:c r="L785" i="2"/>
  <x:c r="M794" i="2"/>
  <x:c r="N803" i="2"/>
  <x:c r="I820" i="2"/>
  <x:c r="I869" i="2"/>
  <x:c r="L714" i="2"/>
  <x:c r="I719" i="2"/>
  <x:c r="F724" i="2"/>
  <x:c r="K729" i="2"/>
  <x:c r="H734" i="2"/>
  <x:c r="S739" i="2"/>
  <x:c r="Q752" i="2"/>
  <x:c r="R762" i="2"/>
  <x:c r="Q775" i="2"/>
  <x:c r="R786" i="2"/>
  <x:c r="Q799" i="3"/>
  <x:c r="Q799" i="2" s="1"/>
  <x:c r="Q800" i="2"/>
  <x:c r="K820" i="2"/>
  <x:c r="R860" i="2"/>
  <x:c r="K806" i="2"/>
  <x:c r="L813" i="2"/>
  <x:c r="P822" i="2"/>
  <x:c r="O836" i="2"/>
  <x:c r="H853" i="2"/>
  <x:c r="P898" i="2"/>
  <x:c r="O739" i="2"/>
  <x:c r="S743" i="2"/>
  <x:c r="I749" i="2"/>
  <x:c r="F754" i="2"/>
  <x:c r="J758" i="2"/>
  <x:c r="G763" i="2"/>
  <x:c r="L768" i="2"/>
  <x:c r="I773" i="2"/>
  <x:c r="N777" i="3"/>
  <x:c r="N777" i="2" s="1"/>
  <x:c r="N778" i="2"/>
  <x:c r="R782" i="2"/>
  <x:c r="O787" i="2"/>
  <x:c r="M793" i="2"/>
  <x:c r="Q797" i="2"/>
  <x:c r="O803" i="2"/>
  <x:c r="F810" i="2"/>
  <x:c r="P819" i="2"/>
  <x:c r="Q833" i="2"/>
  <x:c r="I851" i="2"/>
  <x:c r="H885" i="2"/>
  <x:c r="G738" i="2"/>
  <x:c r="K742" i="2"/>
  <x:c r="P747" i="2"/>
  <x:c r="M752" i="2"/>
  <x:c r="Q756" i="2"/>
  <x:c r="N761" i="2"/>
  <x:c r="R765" i="2"/>
  <x:c r="P771" i="2"/>
  <x:c r="M776" i="2"/>
  <x:c r="R781" i="2"/>
  <x:c r="O786" i="2"/>
  <x:c r="S790" i="2"/>
  <x:c r="I796" i="2"/>
  <x:c r="N801" i="2"/>
  <x:c r="M806" i="2"/>
  <x:c r="P814" i="2"/>
  <x:c r="I825" i="2"/>
  <x:c r="P838" i="2"/>
  <x:c r="F855" i="2"/>
  <x:c r="F896" i="2"/>
  <x:c r="O737" i="2"/>
  <x:c r="S741" i="2"/>
  <x:c r="Q747" i="2"/>
  <x:c r="N752" i="2"/>
  <x:c r="R756" i="2"/>
  <x:c r="O761" i="2"/>
  <x:c r="S765" i="2"/>
  <x:c r="I771" i="2"/>
  <x:c r="F776" i="2"/>
  <x:c r="K781" i="2"/>
  <x:c r="H786" i="2"/>
  <x:c r="L790" i="2"/>
  <x:c r="Q795" i="2"/>
  <x:c r="G801" i="2"/>
  <x:c r="S805" i="2"/>
  <x:c r="F812" i="2"/>
  <x:c r="L825" i="2"/>
  <x:c r="L841" i="2"/>
  <x:c r="J862" i="2"/>
  <x:c r="F918" i="3"/>
  <x:c r="F918" i="2" s="1"/>
  <x:c r="F919" i="2"/>
  <x:c r="K740" i="2"/>
  <x:c r="I746" i="2"/>
  <x:c r="F751" i="2"/>
  <x:c r="J755" i="2"/>
  <x:c r="G760" i="2"/>
  <x:c r="K764" i="2"/>
  <x:c r="P769" i="2"/>
  <x:c r="M774" i="2"/>
  <x:c r="R779" i="2"/>
  <x:c r="O784" i="2"/>
  <x:c r="S788" i="2"/>
  <x:c r="Q794" i="2"/>
  <x:c r="O799" i="3"/>
  <x:c r="O799" i="2" s="1"/>
  <x:c r="O800" i="2"/>
  <x:c r="J805" i="2"/>
  <x:c r="G812" i="2"/>
  <x:c r="N825" i="2"/>
  <x:c r="S838" i="2"/>
  <x:c r="F860" i="2"/>
  <x:c r="S893" i="2"/>
  <x:c r="P804" i="2"/>
  <x:c r="N809" i="2"/>
  <x:c r="M815" i="3"/>
  <x:c r="M815" i="2" s="1"/>
  <x:c r="M816" i="2"/>
  <x:c r="R822" i="2"/>
  <x:c r="G831" i="2"/>
  <x:c r="G839" i="2"/>
  <x:c r="N847" i="2"/>
  <x:c r="I860" i="2"/>
  <x:c r="M871" i="2"/>
  <x:c r="J895" i="2"/>
  <x:c r="P815" i="3"/>
  <x:c r="P815" i="2" s="1"/>
  <x:c r="P816" i="2"/>
  <x:c r="J822" i="2"/>
  <x:c r="J831" i="2"/>
  <x:c r="J839" i="2"/>
  <x:c r="S847" i="2"/>
  <x:c r="P860" i="2"/>
  <x:c r="L873" i="2"/>
  <x:c r="L893" i="2"/>
  <x:c r="P971" i="2"/>
  <x:c r="R869" i="2"/>
  <x:c r="I883" i="2"/>
  <x:c r="H921" i="2"/>
  <x:c r="L942" i="2"/>
  <x:c r="J871" i="2"/>
  <x:c r="O892" i="2"/>
  <x:c r="Q988" i="2"/>
  <x:c r="R807" i="2"/>
  <x:c r="K814" i="2"/>
  <x:c r="F822" i="2"/>
  <x:c r="F836" i="2"/>
  <x:c r="N848" i="2"/>
  <x:c r="J861" i="2"/>
  <x:c r="O875" i="2"/>
  <x:c r="P890" i="2"/>
  <x:c r="S909" i="2"/>
  <x:c r="L994" i="2"/>
  <x:c r="G882" i="2"/>
  <x:c r="S894" i="2"/>
  <x:c r="S910" i="2"/>
  <x:c r="K926" i="2"/>
  <x:c r="O946" i="2"/>
  <x:c r="F992" i="2"/>
  <x:c r="J830" i="2"/>
  <x:c r="G835" i="2"/>
  <x:c r="K839" i="2"/>
  <x:c r="H844" i="2"/>
  <x:c r="O849" i="3"/>
  <x:c r="O849" i="2" s="1"/>
  <x:c r="O850" i="2"/>
  <x:c r="S856" i="2"/>
  <x:c r="F863" i="2"/>
  <x:c r="Q870" i="2"/>
  <x:c r="J876" i="2"/>
  <x:c r="H883" i="2"/>
  <x:c r="F895" i="2"/>
  <x:c r="G905" i="2"/>
  <x:c r="R915" i="2"/>
  <x:c r="P936" i="2"/>
  <x:c r="H810" i="2"/>
  <x:c r="L814" i="2"/>
  <x:c r="Q819" i="2"/>
  <x:c r="N824" i="2"/>
  <x:c r="S829" i="2"/>
  <x:c r="P834" i="2"/>
  <x:c r="M839" i="2"/>
  <x:c r="Q843" i="2"/>
  <x:c r="G849" i="3"/>
  <x:c r="G849" i="2" s="1"/>
  <x:c r="G850" i="2"/>
  <x:c r="N855" i="2"/>
  <x:c r="H861" i="2"/>
  <x:c r="H867" i="3"/>
  <x:c r="H867" i="2" s="1"/>
  <x:c r="H868" i="2"/>
  <x:c r="P873" i="2"/>
  <x:c r="J879" i="2"/>
  <x:c r="L887" i="2"/>
  <x:c r="L895" i="2"/>
  <x:c r="L903" i="2"/>
  <x:c r="L911" i="2"/>
  <x:c r="M925" i="2"/>
  <x:c r="I942" i="2"/>
  <x:c r="K981" i="2"/>
  <x:c r="Q826" i="2"/>
  <x:c r="O832" i="2"/>
  <x:c r="S836" i="2"/>
  <x:c r="P841" i="2"/>
  <x:c r="P846" i="2"/>
  <x:c r="O853" i="2"/>
  <x:c r="O860" i="2"/>
  <x:c r="H866" i="2"/>
  <x:c r="S873" i="2"/>
  <x:c r="F880" i="2"/>
  <x:c r="N888" i="2"/>
  <x:c r="N896" i="2"/>
  <x:c r="N904" i="2"/>
  <x:c r="O912" i="2"/>
  <x:c r="L927" i="2"/>
  <x:c r="N945" i="2"/>
  <x:c r="J809" i="2"/>
  <x:c r="G814" i="2"/>
  <x:c r="L819" i="2"/>
  <x:c r="I824" i="2"/>
  <x:c r="N829" i="2"/>
  <x:c r="R833" i="2"/>
  <x:c r="O838" i="2"/>
  <x:c r="S842" i="2"/>
  <x:c r="J848" i="2"/>
  <x:c r="I855" i="2"/>
  <x:c r="Q860" i="2"/>
  <x:c r="K867" i="3"/>
  <x:c r="K867" i="2" s="1"/>
  <x:c r="K868" i="2"/>
  <x:c r="F874" i="2"/>
  <x:c r="M879" i="2"/>
  <x:c r="Q886" i="2"/>
  <x:c r="Q894" i="2"/>
  <x:c r="Q902" i="2"/>
  <x:c r="Q910" i="2"/>
  <x:c r="O920" i="2"/>
  <x:c r="J849" i="3"/>
  <x:c r="J849" i="2" s="1"/>
  <x:c r="J850" i="2"/>
  <x:c r="G855" i="2"/>
  <x:c r="K859" i="2"/>
  <x:c r="H864" i="2"/>
  <x:c r="F870" i="2"/>
  <x:c r="J874" i="2"/>
  <x:c r="G879" i="2"/>
  <x:c r="K883" i="2"/>
  <x:c r="H888" i="2"/>
  <x:c r="L892" i="2"/>
  <x:c r="I897" i="2"/>
  <x:c r="F902" i="2"/>
  <x:c r="J906" i="2"/>
  <x:c r="G911" i="2"/>
  <x:c r="K915" i="2"/>
  <x:c r="I921" i="2"/>
  <x:c r="Q928" i="2"/>
  <x:c r="Q937" i="2"/>
  <x:c r="J952" i="2"/>
  <x:c r="F974" i="3"/>
  <x:c r="F974" i="2" s="1"/>
  <x:c r="F975" i="2"/>
  <x:c r="P847" i="2"/>
  <x:c r="N853" i="2"/>
  <x:c r="R857" i="2"/>
  <x:c r="O862" i="2"/>
  <x:c r="S866" i="2"/>
  <x:c r="I872" i="2"/>
  <x:c r="F877" i="2"/>
  <x:c r="J881" i="2"/>
  <x:c r="G886" i="2"/>
  <x:c r="K890" i="2"/>
  <x:c r="H895" i="2"/>
  <x:c r="L899" i="2"/>
  <x:c r="I904" i="2"/>
  <x:c r="F909" i="2"/>
  <x:c r="J913" i="2"/>
  <x:c r="H918" i="3"/>
  <x:c r="H918" i="2" s="1"/>
  <x:c r="H919" i="2"/>
  <x:c r="S926" i="2"/>
  <x:c r="R937" i="2"/>
  <x:c r="K952" i="2"/>
  <x:c r="R880" i="2"/>
  <x:c r="O885" i="2"/>
  <x:c r="S889" i="2"/>
  <x:c r="P894" i="2"/>
  <x:c r="M899" i="2"/>
  <x:c r="Q903" i="2"/>
  <x:c r="N908" i="2"/>
  <x:c r="R912" i="2"/>
  <x:c r="O917" i="2"/>
  <x:c r="F925" i="2"/>
  <x:c r="O941" i="2"/>
  <x:c r="F964" i="2"/>
  <x:c r="H990" i="2"/>
  <x:c r="G916" i="2"/>
  <x:c r="L921" i="2"/>
  <x:c r="G933" i="2"/>
  <x:c r="S944" i="2"/>
  <x:c r="N968" i="2"/>
  <x:c r="K990" i="2"/>
  <x:c r="J886" i="2"/>
  <x:c r="G891" i="2"/>
  <x:c r="K895" i="2"/>
  <x:c r="H900" i="2"/>
  <x:c r="L904" i="2"/>
  <x:c r="I909" i="2"/>
  <x:c r="F914" i="2"/>
  <x:c r="K918" i="3"/>
  <x:c r="K918" i="2" s="1"/>
  <x:c r="K919" i="2"/>
  <x:c r="H926" i="2"/>
  <x:c r="H935" i="2"/>
  <x:c r="G948" i="2"/>
  <x:c r="O968" i="2"/>
  <x:c r="G924" i="2"/>
  <x:c r="K928" i="2"/>
  <x:c r="P933" i="2"/>
  <x:c r="M938" i="2"/>
  <x:c r="J944" i="2"/>
  <x:c r="P951" i="2"/>
  <x:c r="H961" i="2"/>
  <x:c r="J973" i="2"/>
  <x:c r="I984" i="2"/>
  <x:c r="N922" i="2"/>
  <x:c r="R926" i="2"/>
  <x:c r="P932" i="2"/>
  <x:c r="M937" i="2"/>
  <x:c r="P942" i="2"/>
  <x:c r="G950" i="2"/>
  <x:c r="H958" i="3"/>
  <x:c r="H958" i="2" s="1"/>
  <x:c r="H959" i="2"/>
  <x:c r="F970" i="2"/>
  <x:c r="Q979" i="2"/>
  <x:c r="O993" i="2"/>
  <x:c r="F956" i="2"/>
  <x:c r="R965" i="2"/>
  <x:c r="P977" i="2"/>
  <x:c r="H991" i="2"/>
  <x:c r="R924" i="2"/>
  <x:c r="O929" i="2"/>
  <x:c r="M935" i="2"/>
  <x:c r="F940" i="2"/>
  <x:c r="H946" i="2"/>
  <x:c r="I954" i="3"/>
  <x:c r="I954" i="2" s="1"/>
  <x:c r="I955" i="2"/>
  <x:c r="G968" i="2"/>
  <x:c r="S977" i="2"/>
  <x:c r="I991" i="2"/>
  <x:c r="K924" i="2"/>
  <x:c r="H929" i="2"/>
  <x:c r="F935" i="2"/>
  <x:c r="L939" i="2"/>
  <x:c r="K946" i="2"/>
  <x:c r="S952" i="2"/>
  <x:c r="P961" i="2"/>
  <x:c r="Q972" i="2"/>
  <x:c r="F986" i="2"/>
  <x:c r="H940" i="2"/>
  <x:c r="L944" i="2"/>
  <x:c r="I949" i="2"/>
  <x:c r="G954" i="3"/>
  <x:c r="G954" i="2" s="1"/>
  <x:c r="G955" i="2"/>
  <x:c r="G961" i="2"/>
  <x:c r="K967" i="2"/>
  <x:c r="S972" i="2"/>
  <x:c r="R979" i="2"/>
  <x:c r="N987" i="2"/>
  <x:c r="N995" i="2"/>
  <x:c r="I946" i="2"/>
  <x:c r="F951" i="2"/>
  <x:c r="K956" i="2"/>
  <x:c r="R964" i="2"/>
  <x:c r="K970" i="2"/>
  <x:c r="K977" i="2"/>
  <x:c r="N984" i="2"/>
  <x:c r="R991" i="2"/>
  <x:c r="N942" i="2"/>
  <x:c r="R946" i="2"/>
  <x:c r="O951" i="2"/>
  <x:c r="M957" i="2"/>
  <x:c r="N965" i="2"/>
  <x:c r="R971" i="2"/>
  <x:c r="G978" i="2"/>
  <x:c r="Q984" i="2"/>
  <x:c r="O958" i="3"/>
  <x:c r="O958" i="2" s="1"/>
  <x:c r="O959" i="2"/>
  <x:c r="M965" i="2"/>
  <x:c r="Q969" i="2"/>
  <x:c r="O974" i="3"/>
  <x:c r="O974" i="2" s="1"/>
  <x:c r="O975" i="2"/>
  <x:c r="S979" i="2"/>
  <x:c r="I986" i="2"/>
  <x:c r="R993" i="2"/>
  <x:c r="F962" i="3"/>
  <x:c r="F962" i="2" s="1"/>
  <x:c r="F963" i="2"/>
  <x:c r="J967" i="2"/>
  <x:c r="G972" i="2"/>
  <x:c r="L977" i="2"/>
  <x:c r="L982" i="3"/>
  <x:c r="L982" i="2" s="1"/>
  <x:c r="L983" i="2"/>
  <x:c r="M988" i="2"/>
  <x:c r="H988" i="2"/>
  <x:c r="L992" i="2"/>
  <x:c r="L989" i="2"/>
  <x:c r="I994" i="2"/>
  <x:c r="I985" i="2"/>
  <x:c r="F990" i="2"/>
  <x:c r="J994" i="2"/>
  <x:c r="N730" i="2"/>
  <x:c r="F764" i="2"/>
  <x:c r="O639" i="2"/>
  <x:c r="M645" i="2"/>
  <x:c r="Q649" i="2"/>
  <x:c r="N654" i="2"/>
  <x:c r="R658" i="2"/>
  <x:c r="O663" i="2"/>
  <x:c r="M669" i="2"/>
  <x:c r="Q673" i="2"/>
  <x:c r="N678" i="2"/>
  <x:c r="R682" i="2"/>
  <x:c r="O687" i="2"/>
  <x:c r="S694" i="2"/>
  <x:c r="G707" i="2"/>
  <x:c r="O723" i="2"/>
  <x:c r="S760" i="2"/>
  <x:c r="H821" i="2"/>
  <x:c r="I688" i="2"/>
  <x:c r="F697" i="2"/>
  <x:c r="H708" i="2"/>
  <x:c r="J725" i="2"/>
  <x:c r="G758" i="2"/>
  <x:c r="P622" i="2"/>
  <x:c r="M627" i="2"/>
  <x:c r="Q631" i="2"/>
  <x:c r="N636" i="2"/>
  <x:c r="R640" i="2"/>
  <x:c r="P646" i="2"/>
  <x:c r="M651" i="2"/>
  <x:c r="Q655" i="2"/>
  <x:c r="N660" i="2"/>
  <x:c r="R664" i="2"/>
  <x:c r="P670" i="2"/>
  <x:c r="M675" i="2"/>
  <x:c r="Q679" i="2"/>
  <x:c r="N684" i="2"/>
  <x:c r="R688" i="2"/>
  <x:c r="J696" i="2"/>
  <x:c r="K705" i="2"/>
  <x:c r="G715" i="2"/>
  <x:c r="Q732" i="2"/>
  <x:c r="G765" i="2"/>
  <x:c r="R840" i="2"/>
  <x:c r="Q718" i="2"/>
  <x:c r="N723" i="2"/>
  <x:c r="S727" i="3"/>
  <x:c r="S727" i="2" s="1"/>
  <x:c r="S728" i="2"/>
  <x:c r="P733" i="2"/>
  <x:c r="S738" i="2"/>
  <x:c r="R751" i="2"/>
  <x:c r="R761" i="2"/>
  <x:c r="F774" i="2"/>
  <x:c r="R785" i="2"/>
  <x:c r="F798" i="2"/>
  <x:c r="H812" i="2"/>
  <x:c r="N849" i="3"/>
  <x:c r="N849" i="2" s="1"/>
  <x:c r="N850" i="2"/>
  <x:c r="H791" i="3"/>
  <x:c r="H791" i="2" s="1"/>
  <x:c r="H792" i="2"/>
  <x:c r="M805" i="2"/>
  <x:c r="J823" i="2"/>
  <x:c r="P891" i="2"/>
  <x:c r="R692" i="2"/>
  <x:c r="O697" i="2"/>
  <x:c r="M703" i="2"/>
  <x:c r="Q707" i="2"/>
  <x:c r="G713" i="2"/>
  <x:c r="K717" i="2"/>
  <x:c r="H722" i="2"/>
  <x:c r="L726" i="2"/>
  <x:c r="Q731" i="2"/>
  <x:c r="N736" i="2"/>
  <x:c r="I744" i="3"/>
  <x:c r="I744" i="2" s="1"/>
  <x:c r="I745" i="2"/>
  <x:c r="I753" i="2"/>
  <x:c r="I761" i="2"/>
  <x:c r="J770" i="2"/>
  <x:c r="K779" i="2"/>
  <x:c r="K787" i="2"/>
  <x:c r="L796" i="2"/>
  <x:c r="N807" i="2"/>
  <x:c r="Q841" i="2"/>
  <x:c r="N920" i="2"/>
  <x:c r="L693" i="2"/>
  <x:c r="I698" i="2"/>
  <x:c r="N703" i="2"/>
  <x:c r="R707" i="2"/>
  <x:c r="P713" i="2"/>
  <x:c r="M718" i="2"/>
  <x:c r="Q722" i="2"/>
  <x:c r="O727" i="3"/>
  <x:c r="O727" i="2" s="1"/>
  <x:c r="O728" i="2"/>
  <x:c r="S732" i="2"/>
  <x:c r="K738" i="2"/>
  <x:c r="L747" i="2"/>
  <x:c r="L755" i="2"/>
  <x:c r="L763" i="2"/>
  <x:c r="M772" i="2"/>
  <x:c r="N781" i="2"/>
  <x:c r="N789" i="2"/>
  <x:c r="N798" i="2"/>
  <x:c r="P809" i="2"/>
  <x:c r="O867" i="3"/>
  <x:c r="O867" i="2" s="1"/>
  <x:c r="O868" i="2"/>
  <x:c r="K691" i="2"/>
  <x:c r="H696" i="2"/>
  <x:c r="L700" i="2"/>
  <x:c r="Q705" i="2"/>
  <x:c r="N710" i="2"/>
  <x:c r="S715" i="2"/>
  <x:c r="P720" i="2"/>
  <x:c r="M725" i="2"/>
  <x:c r="R730" i="2"/>
  <x:c r="O735" i="2"/>
  <x:c r="O742" i="2"/>
  <x:c r="O751" i="2"/>
  <x:c r="O759" i="2"/>
  <x:c r="K768" i="2"/>
  <x:c r="K776" i="2"/>
  <x:c r="K785" i="2"/>
  <x:c r="L794" i="2"/>
  <x:c r="M803" i="2"/>
  <x:c r="K822" i="2"/>
  <x:c r="M873" i="2"/>
  <x:c r="L691" i="2"/>
  <x:c r="I696" i="2"/>
  <x:c r="G701" i="3"/>
  <x:c r="G701" i="2" s="1"/>
  <x:c r="G702" i="2"/>
  <x:c r="K706" i="2"/>
  <x:c r="I711" i="3"/>
  <x:c r="I711" i="2" s="1"/>
  <x:c r="I712" i="2"/>
  <x:c r="F717" i="2"/>
  <x:c r="J721" i="2"/>
  <x:c r="G726" i="2"/>
  <x:c r="L731" i="2"/>
  <x:c r="I736" i="2"/>
  <x:c r="P743" i="2"/>
  <x:c r="P752" i="2"/>
  <x:c r="P760" i="2"/>
  <x:c r="L769" i="2"/>
  <x:c r="M777" i="3"/>
  <x:c r="M777" i="2" s="1"/>
  <x:c r="M778" i="2"/>
  <x:c r="M786" i="2"/>
  <x:c r="N795" i="2"/>
  <x:c r="S804" i="2"/>
  <x:c r="M822" i="2"/>
  <x:c r="I894" i="2"/>
  <x:c r="M715" i="2"/>
  <x:c r="Q719" i="2"/>
  <x:c r="N724" i="2"/>
  <x:c r="S729" i="2"/>
  <x:c r="P734" i="2"/>
  <x:c r="Q742" i="2"/>
  <x:c r="Q753" i="2"/>
  <x:c r="S763" i="2"/>
  <x:c r="Q776" i="2"/>
  <x:c r="S787" i="2"/>
  <x:c r="Q801" i="2"/>
  <x:c r="N822" i="2"/>
  <x:c r="O874" i="2"/>
  <x:c r="F807" i="2"/>
  <x:c r="J814" i="2"/>
  <x:c r="Q823" i="2"/>
  <x:c r="I838" i="2"/>
  <x:c r="P854" i="2"/>
  <x:c r="O913" i="2"/>
  <x:c r="H740" i="2"/>
  <x:c r="M744" i="3"/>
  <x:c r="M744" i="2" s="1"/>
  <x:c r="M745" i="2"/>
  <x:c r="Q749" i="2"/>
  <x:c r="N754" i="2"/>
  <x:c r="R758" i="2"/>
  <x:c r="O763" i="2"/>
  <x:c r="M769" i="2"/>
  <x:c r="Q773" i="2"/>
  <x:c r="G779" i="2"/>
  <x:c r="K783" i="2"/>
  <x:c r="H788" i="2"/>
  <x:c r="F794" i="2"/>
  <x:c r="J798" i="2"/>
  <x:c r="J804" i="2"/>
  <x:c r="S811" i="2"/>
  <x:c r="N820" i="2"/>
  <x:c r="K835" i="2"/>
  <x:c r="I853" i="2"/>
  <x:c r="F889" i="2"/>
  <x:c r="O738" i="2"/>
  <x:c r="S742" i="2"/>
  <x:c r="I748" i="2"/>
  <x:c r="F753" i="2"/>
  <x:c r="J757" i="2"/>
  <x:c r="G762" i="2"/>
  <x:c r="L766" i="3"/>
  <x:c r="L766" i="2" s="1"/>
  <x:c r="L767" i="2"/>
  <x:c r="I772" i="2"/>
  <x:c r="G777" i="3"/>
  <x:c r="G777" i="2" s="1"/>
  <x:c r="G778" i="2"/>
  <x:c r="K782" i="2"/>
  <x:c r="H787" i="2"/>
  <x:c r="M791" i="3"/>
  <x:c r="M791" i="2" s="1"/>
  <x:c r="M792" i="2"/>
  <x:c r="Q796" i="2"/>
  <x:c r="G802" i="2"/>
  <x:c r="H807" i="2"/>
  <x:c r="O815" i="3"/>
  <x:c r="O815" i="2" s="1"/>
  <x:c r="O816" i="2"/>
  <x:c r="O826" i="2"/>
  <x:c r="R839" i="2"/>
  <x:c r="H857" i="2"/>
  <x:c r="P899" i="2"/>
  <x:c r="H738" i="2"/>
  <x:c r="L742" i="2"/>
  <x:c r="J748" i="2"/>
  <x:c r="G753" i="2"/>
  <x:c r="K757" i="2"/>
  <x:c r="H762" i="2"/>
  <x:c r="M766" i="3"/>
  <x:c r="M766" i="2" s="1"/>
  <x:c r="M767" i="2"/>
  <x:c r="Q771" i="2"/>
  <x:c r="N776" i="2"/>
  <x:c r="S781" i="2"/>
  <x:c r="P786" i="2"/>
  <x:c r="F791" i="3"/>
  <x:c r="F791" i="2" s="1"/>
  <x:c r="F792" i="2"/>
  <x:c r="J796" i="2"/>
  <x:c r="O801" i="2"/>
  <x:c r="N806" i="2"/>
  <x:c r="S812" i="2"/>
  <x:c r="R826" i="2"/>
  <x:c r="R842" i="2"/>
  <x:c r="N865" i="2"/>
  <x:c r="Q991" i="2"/>
  <x:c r="S740" i="2"/>
  <x:c r="Q746" i="2"/>
  <x:c r="N751" i="2"/>
  <x:c r="R755" i="2"/>
  <x:c r="O760" i="2"/>
  <x:c r="S764" i="2"/>
  <x:c r="I770" i="2"/>
  <x:c r="F775" i="2"/>
  <x:c r="K780" i="2"/>
  <x:c r="H785" i="2"/>
  <x:c r="L789" i="2"/>
  <x:c r="J795" i="2"/>
  <x:c r="H801" i="2"/>
  <x:c r="O806" i="2"/>
  <x:c r="R814" i="2"/>
  <x:c r="O827" i="3"/>
  <x:c r="O827" i="2" s="1"/>
  <x:c r="O828" i="2"/>
  <x:c r="J840" i="2"/>
  <x:c r="S865" i="2"/>
  <x:c r="I900" i="2"/>
  <x:c r="I805" i="2"/>
  <x:c r="J810" i="2"/>
  <x:c r="I817" i="2"/>
  <x:c r="L823" i="2"/>
  <x:c r="H832" i="2"/>
  <x:c r="H840" i="2"/>
  <x:c r="S848" i="2"/>
  <x:c r="L861" i="2"/>
  <x:c r="L874" i="2"/>
  <x:c r="H897" i="2"/>
  <x:c r="L817" i="2"/>
  <x:c r="O823" i="2"/>
  <x:c r="K832" i="2"/>
  <x:c r="K840" i="2"/>
  <x:c r="I849" i="3"/>
  <x:c r="I849" i="2" s="1"/>
  <x:c r="I850" i="2"/>
  <x:c r="Q861" i="2"/>
  <x:c r="Q874" i="2"/>
  <x:c r="K904" i="2"/>
  <x:c r="L858" i="2"/>
  <x:c r="J872" i="2"/>
  <x:c r="L885" i="2"/>
  <x:c r="S953" i="2"/>
  <x:c r="O948" i="2"/>
  <x:c r="O872" i="2"/>
  <x:c r="M894" i="2"/>
  <x:c r="G804" i="2"/>
  <x:c r="K808" i="2"/>
  <x:c r="L815" i="3"/>
  <x:c r="L815" i="2" s="1"/>
  <x:c r="L816" i="2"/>
  <x:c r="Q822" i="2"/>
  <x:c r="G837" i="2"/>
  <x:c r="F851" i="2"/>
  <x:c r="Q862" i="2"/>
  <x:c r="S876" i="2"/>
  <x:c r="S892" i="2"/>
  <x:c r="F912" i="2"/>
  <x:c r="R876" i="2"/>
  <x:c r="R883" i="2"/>
  <x:c r="R899" i="2"/>
  <x:c r="G913" i="2"/>
  <x:c r="J928" i="2"/>
  <x:c r="S949" i="2"/>
  <x:c r="M825" i="2"/>
  <x:c r="R830" i="2"/>
  <x:c r="O835" i="2"/>
  <x:c r="S839" i="2"/>
  <x:c r="P844" i="2"/>
  <x:c r="J851" i="2"/>
  <x:c r="N857" i="2"/>
  <x:c r="R863" i="2"/>
  <x:c r="L871" i="2"/>
  <x:c r="P877" i="2"/>
  <x:c r="G884" i="2"/>
  <x:c r="G896" i="2"/>
  <x:c r="H906" i="2"/>
  <x:c r="G921" i="2"/>
  <x:c r="L938" i="2"/>
  <x:c r="P810" i="2"/>
  <x:c r="F815" i="3"/>
  <x:c r="F815" i="2" s="1"/>
  <x:c r="F816" i="2"/>
  <x:c r="J820" i="2"/>
  <x:c r="G825" i="2"/>
  <x:c r="L830" i="2"/>
  <x:c r="I835" i="2"/>
  <x:c r="F840" i="2"/>
  <x:c r="J844" i="2"/>
  <x:c r="Q849" i="3"/>
  <x:c r="Q849" i="2" s="1"/>
  <x:c r="Q850" i="2"/>
  <x:c r="K856" i="2"/>
  <x:c r="R861" i="2"/>
  <x:c r="R867" i="3"/>
  <x:c r="R867" i="2" s="1"/>
  <x:c r="R868" i="2"/>
  <x:c r="M874" i="2"/>
  <x:c r="S880" i="2"/>
  <x:c r="M888" i="2"/>
  <x:c r="M896" i="2"/>
  <x:c r="M904" i="2"/>
  <x:c r="N912" i="2"/>
  <x:c r="I927" i="2"/>
  <x:c r="J945" i="2"/>
  <x:c r="G986" i="2"/>
  <x:c r="K827" i="3"/>
  <x:c r="K827" i="2" s="1"/>
  <x:c r="K828" i="2"/>
  <x:c r="H833" i="2"/>
  <x:c r="L837" i="2"/>
  <x:c r="I842" i="2"/>
  <x:c r="K847" i="2"/>
  <x:c r="J854" i="2"/>
  <x:c r="I861" i="2"/>
  <x:c r="I867" i="3"/>
  <x:c r="I867" i="2" s="1"/>
  <x:c r="I868" i="2"/>
  <x:c r="N874" i="2"/>
  <x:c r="P881" i="2"/>
  <x:c r="N889" i="2"/>
  <x:c r="N897" i="2"/>
  <x:c r="N905" i="2"/>
  <x:c r="H915" i="2"/>
  <x:c r="K929" i="2"/>
  <x:c r="J948" i="2"/>
  <x:c r="R809" i="2"/>
  <x:c r="O814" i="2"/>
  <x:c r="M820" i="2"/>
  <x:c r="Q824" i="2"/>
  <x:c r="G830" i="2"/>
  <x:c r="K834" i="2"/>
  <x:c r="H839" i="2"/>
  <x:c r="L843" i="2"/>
  <x:c r="L849" i="3"/>
  <x:c r="L849" i="2" s="1"/>
  <x:c r="L850" i="2"/>
  <x:c r="S855" i="2"/>
  <x:c r="K861" i="2"/>
  <x:c r="G869" i="2"/>
  <x:c r="P874" i="2"/>
  <x:c r="K880" i="2"/>
  <x:c r="R887" i="2"/>
  <x:c r="R895" i="2"/>
  <x:c r="R903" i="2"/>
  <x:c r="R911" i="2"/>
  <x:c r="G965" i="2"/>
  <x:c r="R849" i="3"/>
  <x:c r="R849" i="2" s="1"/>
  <x:c r="R850" i="2"/>
  <x:c r="O855" i="2"/>
  <x:c r="S859" i="2"/>
  <x:c r="P864" i="2"/>
  <x:c r="N870" i="2"/>
  <x:c r="R874" i="2"/>
  <x:c r="O879" i="2"/>
  <x:c r="S883" i="2"/>
  <x:c r="P888" i="2"/>
  <x:c r="M893" i="2"/>
  <x:c r="Q897" i="2"/>
  <x:c r="N902" i="2"/>
  <x:c r="R906" i="2"/>
  <x:c r="O911" i="2"/>
  <x:c r="S915" i="2"/>
  <x:c r="Q921" i="2"/>
  <x:c r="Q929" i="2"/>
  <x:c r="O938" i="2"/>
  <x:c r="J956" i="2"/>
  <x:c r="J977" i="2"/>
  <x:c r="I848" i="2"/>
  <x:c r="G854" i="2"/>
  <x:c r="K858" i="2"/>
  <x:c r="H863" i="2"/>
  <x:c r="M867" i="3"/>
  <x:c r="M867" i="2" s="1"/>
  <x:c r="M868" i="2"/>
  <x:c r="Q872" i="2"/>
  <x:c r="N877" i="2"/>
  <x:c r="R881" i="2"/>
  <x:c r="O886" i="2"/>
  <x:c r="S890" i="2"/>
  <x:c r="P895" i="2"/>
  <x:c r="M900" i="2"/>
  <x:c r="Q904" i="2"/>
  <x:c r="N909" i="2"/>
  <x:c r="R913" i="2"/>
  <x:c r="P918" i="3"/>
  <x:c r="P918" i="2" s="1"/>
  <x:c r="P919" i="2"/>
  <x:c r="Q927" i="2"/>
  <x:c r="R938" i="2"/>
  <x:c r="M956" i="2"/>
  <x:c r="K881" i="2"/>
  <x:c r="H886" i="2"/>
  <x:c r="L890" i="2"/>
  <x:c r="I895" i="2"/>
  <x:c r="F900" i="2"/>
  <x:c r="J904" i="2"/>
  <x:c r="G909" i="2"/>
  <x:c r="K913" i="2"/>
  <x:c r="I918" i="3"/>
  <x:c r="I918" i="2" s="1"/>
  <x:c r="I919" i="2"/>
  <x:c r="F926" i="2"/>
  <x:c r="H943" i="2"/>
  <x:c r="K966" i="2"/>
  <x:c r="G993" i="2"/>
  <x:c r="O916" i="2"/>
  <x:c r="F924" i="2"/>
  <x:c r="G934" i="2"/>
  <x:c r="L946" i="2"/>
  <x:c r="P970" i="2"/>
  <x:c r="K993" i="2"/>
  <x:c r="R886" i="2"/>
  <x:c r="O891" i="2"/>
  <x:c r="S895" i="2"/>
  <x:c r="P900" i="2"/>
  <x:c r="M905" i="2"/>
  <x:c r="Q909" i="2"/>
  <x:c r="N914" i="2"/>
  <x:c r="S918" i="3"/>
  <x:c r="S918" i="2" s="1"/>
  <x:c r="S919" i="2"/>
  <x:c r="H927" i="2"/>
  <x:c r="I936" i="2"/>
  <x:c r="R949" i="2"/>
  <x:c r="S970" i="2"/>
  <x:c r="O924" i="2"/>
  <x:c r="S928" i="2"/>
  <x:c r="I934" i="2"/>
  <x:c r="F939" i="2"/>
  <x:c r="F945" i="2"/>
  <x:c r="M952" i="2"/>
  <x:c r="J962" i="3"/>
  <x:c r="J962" i="2" s="1"/>
  <x:c r="J963" i="2"/>
  <x:c r="L974" i="3"/>
  <x:c r="L974" i="2" s="1"/>
  <x:c r="L975" i="2"/>
  <x:c r="N985" i="2"/>
  <x:c r="G923" i="2"/>
  <x:c r="K927" i="2"/>
  <x:c r="I933" i="2"/>
  <x:c r="F938" i="2"/>
  <x:c r="M943" i="2"/>
  <x:c r="S950" i="2"/>
  <x:c r="I960" i="2"/>
  <x:c r="I971" i="2"/>
  <x:c r="H982" i="3"/>
  <x:c r="H982" i="2" s="1"/>
  <x:c r="H983" i="2"/>
  <x:c r="H995" i="2"/>
  <x:c r="R956" i="2"/>
  <x:c r="H969" i="2"/>
  <x:c r="S978" i="2"/>
  <x:c r="Q992" i="2"/>
  <x:c r="K925" i="2"/>
  <x:c r="I930" i="3"/>
  <x:c r="I930" i="2" s="1"/>
  <x:c r="I931" i="2"/>
  <x:c r="F936" i="2"/>
  <x:c r="Q940" i="2"/>
  <x:c r="F947" i="2"/>
  <x:c r="G956" i="2"/>
  <x:c r="J969" i="2"/>
  <x:c r="F980" i="2"/>
  <x:c r="R992" i="2"/>
  <x:c r="S924" i="2"/>
  <x:c r="P929" i="2"/>
  <x:c r="N935" i="2"/>
  <x:c r="G940" i="2"/>
  <x:c r="H947" i="2"/>
  <x:c r="O953" i="2"/>
  <x:c r="F965" i="2"/>
  <x:c r="Q973" i="2"/>
  <x:c r="J987" i="2"/>
  <x:c r="P940" i="2"/>
  <x:c r="M945" i="2"/>
  <x:c r="Q949" i="2"/>
  <x:c r="O954" i="3"/>
  <x:c r="O954" i="2" s="1"/>
  <x:c r="O955" i="2"/>
  <x:c r="R961" i="2"/>
  <x:c r="F968" i="2"/>
  <x:c r="N973" i="2"/>
  <x:c r="N980" i="2"/>
  <x:c r="N988" i="2"/>
  <x:c r="M942" i="2"/>
  <x:c r="Q946" i="2"/>
  <x:c r="N951" i="2"/>
  <x:c r="S956" i="2"/>
  <x:c r="L965" i="2"/>
  <x:c r="G971" i="2"/>
  <x:c r="F978" i="2"/>
  <x:c r="L985" i="2"/>
  <x:c r="S992" i="2"/>
  <x:c r="G943" i="2"/>
  <x:c r="K947" i="2"/>
  <x:c r="H952" i="2"/>
  <x:c r="K958" i="3"/>
  <x:c r="K958" i="2" s="1"/>
  <x:c r="K959" i="2"/>
  <x:c r="J966" i="2"/>
  <x:c r="N972" i="2"/>
  <x:c r="Q978" i="2"/>
  <x:c r="M985" i="2"/>
  <x:c r="H960" i="2"/>
  <x:c r="F966" i="2"/>
  <x:c r="J970" i="2"/>
  <x:c r="H976" i="2"/>
  <x:c r="L980" i="2"/>
  <x:c r="S986" i="2"/>
  <x:c r="O994" i="2"/>
  <x:c r="N962" i="3"/>
  <x:c r="N962" i="2" s="1"/>
  <x:c r="N963" i="2"/>
  <x:c r="R967" i="2"/>
  <x:c r="O972" i="2"/>
  <x:c r="M978" i="2"/>
  <x:c r="F984" i="2"/>
  <x:c r="H989" i="2"/>
  <x:c r="P988" i="2"/>
  <x:c r="M993" i="2"/>
  <x:c r="M990" i="2"/>
  <x:c r="Q994" i="2"/>
  <x:c r="Q985" i="2"/>
  <x:c r="N990" i="2"/>
  <x:c r="R994" i="2"/>
  <x:c r="O500" i="3" l="1"/>
  <x:c r="O500" i="2" s="1"/>
  <x:c r="O501" i="2"/>
  <x:c r="N500" i="3"/>
  <x:c r="N500" i="2" s="1"/>
  <x:c r="N501" i="2"/>
  <x:c r="S588" i="3"/>
  <x:c r="S588" i="2" s="1"/>
  <x:c r="S589" i="2"/>
  <x:c r="H500" i="3"/>
  <x:c r="H500" i="2" s="1"/>
  <x:c r="H501" i="2"/>
  <x:c r="J500" i="3"/>
  <x:c r="J500" i="2" s="1"/>
  <x:c r="J501" i="2"/>
  <x:c r="F5" i="2"/>
  <x:c r="K500" i="3"/>
  <x:c r="K500" i="2" s="1"/>
  <x:c r="K501" i="2"/>
  <x:c r="I500" i="3"/>
  <x:c r="I500" i="2" s="1"/>
  <x:c r="I501" i="2"/>
  <x:c r="H588" i="3"/>
  <x:c r="H588" i="2" s="1"/>
  <x:c r="H589" i="2"/>
  <x:c r="Q5" i="2"/>
  <x:c r="H5" i="2"/>
  <x:c r="S500" i="3"/>
  <x:c r="S500" i="2" s="1"/>
  <x:c r="S501" i="2"/>
  <x:c r="F500" i="3"/>
  <x:c r="F500" i="2" s="1"/>
  <x:c r="F501" i="2"/>
  <x:c r="P5" i="2"/>
  <x:c r="I5" i="2"/>
  <x:c r="P500" i="3"/>
  <x:c r="P500" i="2" s="1"/>
  <x:c r="P501" i="2"/>
  <x:c r="M500" i="3"/>
  <x:c r="M500" i="2" s="1"/>
  <x:c r="M501" i="2"/>
  <x:c r="G588" i="3"/>
  <x:c r="G588" i="2" s="1"/>
  <x:c r="G589" i="2"/>
  <x:c r="J588" i="3"/>
  <x:c r="J588" i="2" s="1"/>
  <x:c r="J589" i="2"/>
  <x:c r="S5" i="2"/>
  <x:c r="O5" i="2"/>
  <x:c r="M5" i="2"/>
  <x:c r="L588" i="3"/>
  <x:c r="L588" i="2" s="1"/>
  <x:c r="L589" i="2"/>
  <x:c r="I588" i="3"/>
  <x:c r="I588" i="2" s="1"/>
  <x:c r="I589" i="2"/>
  <x:c r="O588" i="3"/>
  <x:c r="O588" i="2" s="1"/>
  <x:c r="O589" i="2"/>
  <x:c r="P588" i="3"/>
  <x:c r="P588" i="2" s="1"/>
  <x:c r="P589" i="2"/>
  <x:c r="R588" i="3"/>
  <x:c r="R588" i="2" s="1"/>
  <x:c r="R589" i="2"/>
  <x:c r="F588" i="3"/>
  <x:c r="F588" i="2" s="1"/>
  <x:c r="F589" i="2"/>
  <x:c r="R5" i="2"/>
  <x:c r="N588" i="3"/>
  <x:c r="N588" i="2" s="1"/>
  <x:c r="N589" i="2"/>
  <x:c r="K588" i="3"/>
  <x:c r="K588" i="2" s="1"/>
  <x:c r="K589" i="2"/>
  <x:c r="N5" i="2"/>
  <x:c r="G5" i="2"/>
  <x:c r="M588" i="3"/>
  <x:c r="M588" i="2" s="1"/>
  <x:c r="M589" i="2"/>
  <x:c r="G500" i="3"/>
  <x:c r="G500" i="2" s="1"/>
  <x:c r="G501" i="2"/>
  <x:c r="R500" i="3"/>
  <x:c r="R500" i="2" s="1"/>
  <x:c r="R501" i="2"/>
  <x:c r="J5" i="2"/>
  <x:c r="L500" i="3"/>
  <x:c r="L500" i="2" s="1"/>
  <x:c r="L501" i="2"/>
  <x:c r="Q588" i="3"/>
  <x:c r="Q588" i="2" s="1"/>
  <x:c r="Q589" i="2"/>
  <x:c r="Q500" i="3"/>
  <x:c r="Q500" i="2" s="1"/>
  <x:c r="Q501" i="2"/>
  <x:c r="L5" i="2"/>
  <x:c r="K5" i="2"/>
  <x:c r="J4" i="3" l="1"/>
  <x:c r="J4" i="2" s="1"/>
  <x:c r="S4" i="3"/>
  <x:c r="S4" i="2" s="1"/>
  <x:c r="L4" i="3"/>
  <x:c r="L4" i="2" s="1"/>
  <x:c r="O4" i="3"/>
  <x:c r="O4" i="2" s="1"/>
  <x:c r="N4" i="3"/>
  <x:c r="N4" i="2" s="1"/>
  <x:c r="I4" i="3"/>
  <x:c r="I4" i="2" s="1"/>
  <x:c r="H4" i="3"/>
  <x:c r="H4" i="2" s="1"/>
  <x:c r="P4" i="3"/>
  <x:c r="P4" i="2" s="1"/>
  <x:c r="Q4" i="3"/>
  <x:c r="Q4" i="2" s="1"/>
  <x:c r="F4" i="3"/>
  <x:c r="F4" i="2" s="1"/>
  <x:c r="M4" i="3"/>
  <x:c r="M4" i="2" s="1"/>
  <x:c r="K4" i="3"/>
  <x:c r="K4" i="2" s="1"/>
  <x:c r="G4" i="3"/>
  <x:c r="G4" i="2" s="1"/>
  <x:c r="R4" i="3"/>
  <x:c r="R4" i="2" s="1"/>
</x:calcChain>
</file>

<file path=xl/sharedStrings.xml><?xml version="1.0" encoding="utf-8"?>
<x:sst xmlns:x="http://schemas.openxmlformats.org/spreadsheetml/2006/main" count="29" uniqueCount="28">
  <x:si>
    <x:t>**IMPORTANT NOTE**</x:t>
  </x:si>
  <x:si>
    <x:t>This document, the information contained herein and any derived information created therefrom are for the exclusive use of SRZ LIBRARY at SCHULTE ROTH &amp; ZABEL.</x:t>
  </x:si>
  <x:si>
    <x:t>~~~~~~~~~~~~~~~~~~~~~~~~~~~~~~~~~~~~~~~~~~~~~~~~~~~~~~~~~~~~~~~~~~~~~~~~~~~~~~~~~~~~~~~~~~~~~~~~~~~~~~~~~~~~~~~~~~~~~~~~~~~~~~~~~~~~~~~~~~~~~~~~~~~~~~~~~~~~~~~~</x:t>
  </x:si>
  <x:si>
    <x:t>**REFERENCE**</x:t>
  </x:si>
  <x:si>
    <x:t xml:space="preserve">     Spreadsheets generated from the BI Excel export can be used as reference tables to fuel various models and other sheets on your desktop.</x:t>
  </x:si>
  <x:si>
    <x:t xml:space="preserve">     Automated model building or 'drag and drop' from the BI export sheet are not supported at this time, but using the BI export</x:t>
  </x:si>
  <x:si>
    <x:t xml:space="preserve">     as a reference table for use in other spreadsheets is a powerful and convenient tool to help achieve your goals.</x:t>
  </x:si>
  <x:si>
    <x:t xml:space="preserve">   --The BI Excel export sheet typically contains two data tabs (certain BI modules like those in the 'Monitor' section on BI will only result in a single 'Sheet 1' data tab):</x:t>
  </x:si>
  <x:si>
    <x:t xml:space="preserve">     1) 'BIData':  This is the fully curated grid that is meant to be a clean, simple, synchronized match to what is seen on the BI dashboard. </x:t>
  </x:si>
  <x:si>
    <x:t xml:space="preserve">          The grid on the 'BIData' tab can be used as a reference table for use in your models and other downstream spreadsheets.</x:t>
  </x:si>
  <x:si>
    <x:t xml:space="preserve">     2) 'ReferenceData':  This is the tab where all the raw data is housed and data preparation is done.  There are typically 2 separate grids here:</x:t>
  </x:si>
  <x:si>
    <x:t xml:space="preserve">          a top curated grid that includes error handling, expressions, etc., and a bottom raw grid that includes any/all live API information for this export. </x:t>
  </x:si>
  <x:si>
    <x:t xml:space="preserve">          The bottom grid on the ReferenceData tab is where actual API (BDP/BDH) expressions are constructed, so refer to this section if you</x:t>
  </x:si>
  <x:si>
    <x:t xml:space="preserve">          are interested in seeing/using the underlying API details.</x:t>
  </x:si>
  <x:si>
    <x:t xml:space="preserve">          Note: In some cases the bottom grid will not exist (in the event that none of the data selected is coming from live API links).</x:t>
  </x:si>
  <x:si>
    <x:t xml:space="preserve">   --In any grid on either tab, there are common columns:</x:t>
  </x:si>
  <x:si>
    <x:t xml:space="preserve">     1) Description:  The row label that matches the row label you'd find on BI</x:t>
  </x:si>
  <x:si>
    <x:t xml:space="preserve">     2) Ticker:  The company/index ticker corresponding to that row (this is the ticker used in the </x:t>
  </x:si>
  <x:si>
    <x:t xml:space="preserve">          BDP/BDH formula for that row, if applicable)</x:t>
  </x:si>
  <x:si>
    <x:t xml:space="preserve">     3) Field ID:  The calcrout ID used to structure the BDP/BDH formula for that row (where applicable).</x:t>
  </x:si>
  <x:si>
    <x:t xml:space="preserve">     4) Field Mnemonic:  The calcrout mnemonic corresponding to the field ID used to structure the BDP/BDH formula for that row (where applicable).</x:t>
  </x:si>
  <x:si>
    <x:t xml:space="preserve">     5) Data State:  The state of the data within that particular row, including 'Dynamic', 'Static', 'Sum', 'Average', 'Median' or 'Heading'.  If 'Dynamic'</x:t>
  </x:si>
  <x:si>
    <x:t xml:space="preserve">          then new data will be expected to come to the sheet when it becomes available in the database with no need for another export.</x:t>
  </x:si>
  <x:si>
    <x:t xml:space="preserve">          If 'Static' then there are no live links in this row and new data will only be procured by running and exporting from BI again.</x:t>
  </x:si>
  <x:si>
    <x:t xml:space="preserve">          If it's 'Sum', 'Average', 'Median' or 'Expression', then new data may come to the sheet for some expression components, but</x:t>
  </x:si>
  <x:si>
    <x:t xml:space="preserve">          to ensure the latest data is present in the sheet, BI should be run and exported again.</x:t>
  </x:si>
  <x:si>
    <x:t>**HELP**</x:t>
  </x:si>
  <x:si>
    <x:t xml:space="preserve">     If you experience any issues with the BI Excel export process or results, run the BI&lt;GO&gt; function on your Bloomberg terminal, and then hit the &lt;HELP&gt; key twice.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</x:si>
</x:sst>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9" x14ac:knownFonts="1">
    <x:font>
      <x:sz val="11"/>
      <x:color theme="1"/>
      <x:name val="Calibri"/>
      <x:family val="2"/>
      <x:scheme val="minor"/>
    </x:font>
    <x:font>
      <x:b/>
      <x:sz val="11"/>
      <x:color indexed="9"/>
      <x:name val="Calibri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10" borderId="0" applyNumberFormat="0" applyBorder="0" applyAlignment="0" applyProtection="0"/>
    <x:xf numFmtId="0" fontId="2" fillId="14" borderId="0" applyNumberFormat="0" applyBorder="0" applyAlignment="0" applyProtection="0"/>
    <x:xf numFmtId="0" fontId="2" fillId="18" borderId="0" applyNumberFormat="0" applyBorder="0" applyAlignment="0" applyProtection="0"/>
    <x:xf numFmtId="0" fontId="2" fillId="22" borderId="0" applyNumberFormat="0" applyBorder="0" applyAlignment="0" applyProtection="0"/>
    <x:xf numFmtId="0" fontId="2" fillId="26" borderId="0" applyNumberFormat="0" applyBorder="0" applyAlignment="0" applyProtection="0"/>
    <x:xf numFmtId="0" fontId="2" fillId="30" borderId="0" applyNumberFormat="0" applyBorder="0" applyAlignment="0" applyProtection="0"/>
    <x:xf numFmtId="0" fontId="2" fillId="11" borderId="0" applyNumberFormat="0" applyBorder="0" applyAlignment="0" applyProtection="0"/>
    <x:xf numFmtId="0" fontId="2" fillId="15" borderId="0" applyNumberFormat="0" applyBorder="0" applyAlignment="0" applyProtection="0"/>
    <x:xf numFmtId="0" fontId="2" fillId="19" borderId="0" applyNumberFormat="0" applyBorder="0" applyAlignment="0" applyProtection="0"/>
    <x:xf numFmtId="0" fontId="2" fillId="23" borderId="0" applyNumberFormat="0" applyBorder="0" applyAlignment="0" applyProtection="0"/>
    <x:xf numFmtId="0" fontId="2" fillId="27" borderId="0" applyNumberFormat="0" applyBorder="0" applyAlignment="0" applyProtection="0"/>
    <x:xf numFmtId="0" fontId="2" fillId="31" borderId="0" applyNumberFormat="0" applyBorder="0" applyAlignment="0" applyProtection="0"/>
    <x:xf numFmtId="0" fontId="18" fillId="12" borderId="0" applyNumberFormat="0" applyBorder="0" applyAlignment="0" applyProtection="0"/>
    <x:xf numFmtId="0" fontId="18" fillId="16" borderId="0" applyNumberFormat="0" applyBorder="0" applyAlignment="0" applyProtection="0"/>
    <x:xf numFmtId="0" fontId="18" fillId="20" borderId="0" applyNumberFormat="0" applyBorder="0" applyAlignment="0" applyProtection="0"/>
    <x:xf numFmtId="0" fontId="18" fillId="24" borderId="0" applyNumberFormat="0" applyBorder="0" applyAlignment="0" applyProtection="0"/>
    <x:xf numFmtId="0" fontId="18" fillId="28" borderId="0" applyNumberFormat="0" applyBorder="0" applyAlignment="0" applyProtection="0"/>
    <x:xf numFmtId="0" fontId="18" fillId="32" borderId="0" applyNumberFormat="0" applyBorder="0" applyAlignment="0" applyProtection="0"/>
    <x:xf numFmtId="0" fontId="18" fillId="9" borderId="0" applyNumberFormat="0" applyBorder="0" applyAlignment="0" applyProtection="0"/>
    <x:xf numFmtId="0" fontId="18" fillId="13" borderId="0" applyNumberFormat="0" applyBorder="0" applyAlignment="0" applyProtection="0"/>
    <x:xf numFmtId="0" fontId="18" fillId="17" borderId="0" applyNumberFormat="0" applyBorder="0" applyAlignment="0" applyProtection="0"/>
    <x:xf numFmtId="0" fontId="18" fillId="21" borderId="0" applyNumberFormat="0" applyBorder="0" applyAlignment="0" applyProtection="0"/>
    <x:xf numFmtId="0" fontId="18" fillId="25" borderId="0" applyNumberFormat="0" applyBorder="0" applyAlignment="0" applyProtection="0"/>
    <x:xf numFmtId="0" fontId="18" fillId="29" borderId="0" applyNumberFormat="0" applyBorder="0" applyAlignment="0" applyProtection="0"/>
    <x:xf numFmtId="0" fontId="8" fillId="3" borderId="0" applyNumberFormat="0" applyBorder="0" applyAlignment="0" applyProtection="0"/>
    <x:xf numFmtId="0" fontId="1" fillId="33" borderId="0"/>
    <x:xf numFmtId="0" fontId="12" fillId="6" borderId="4" applyNumberFormat="0" applyAlignment="0" applyProtection="0"/>
    <x:xf numFmtId="0" fontId="14" fillId="7" borderId="7" applyNumberFormat="0" applyAlignment="0" applyProtection="0"/>
    <x:xf numFmtId="0" fontId="16" fillId="0" borderId="0" applyNumberFormat="0" applyFill="0" applyBorder="0" applyAlignment="0" applyProtection="0"/>
    <x:xf numFmtId="0" fontId="7" fillId="2" borderId="0" applyNumberFormat="0" applyBorder="0" applyAlignment="0" applyProtection="0"/>
    <x:xf numFmtId="0" fontId="4" fillId="0" borderId="1" applyNumberFormat="0" applyFill="0" applyAlignment="0" applyProtection="0"/>
    <x:xf numFmtId="0" fontId="5" fillId="0" borderId="2" applyNumberFormat="0" applyFill="0" applyAlignment="0" applyProtection="0"/>
    <x:xf numFmtId="0" fontId="6" fillId="0" borderId="3" applyNumberFormat="0" applyFill="0" applyAlignment="0" applyProtection="0"/>
    <x:xf numFmtId="0" fontId="6" fillId="0" borderId="0" applyNumberFormat="0" applyFill="0" applyBorder="0" applyAlignment="0" applyProtection="0"/>
    <x:xf numFmtId="0" fontId="10" fillId="5" borderId="4" applyNumberFormat="0" applyAlignment="0" applyProtection="0"/>
    <x:xf numFmtId="0" fontId="13" fillId="0" borderId="6" applyNumberFormat="0" applyFill="0" applyAlignment="0" applyProtection="0"/>
    <x:xf numFmtId="0" fontId="9" fillId="4" borderId="0" applyNumberFormat="0" applyBorder="0" applyAlignment="0" applyProtection="0"/>
    <x:xf numFmtId="0" fontId="2" fillId="8" borderId="8" applyNumberFormat="0" applyFont="0" applyAlignment="0" applyProtection="0"/>
    <x:xf numFmtId="0" fontId="11" fillId="6" borderId="5" applyNumberFormat="0" applyAlignment="0" applyProtection="0"/>
    <x:xf numFmtId="0" fontId="3" fillId="0" borderId="0" applyNumberFormat="0" applyFill="0" applyBorder="0" applyAlignment="0" applyProtection="0"/>
    <x:xf numFmtId="0" fontId="17" fillId="0" borderId="9" applyNumberFormat="0" applyFill="0" applyAlignment="0" applyProtection="0"/>
    <x:xf numFmtId="0" fontId="15" fillId="0" borderId="0" applyNumberFormat="0" applyFill="0" applyBorder="0" applyAlignment="0" applyProtection="0"/>
  </x:cellStyleXfs>
  <x:cellXfs count="2">
    <x:xf numFmtId="0" fontId="0" fillId="0" borderId="0" xfId="0"/>
    <x:xf numFmtId="0" fontId="1" fillId="33" borderId="0" xfId="26" applyNumberFormat="1" applyFont="1" applyFill="1" applyBorder="1" applyAlignment="1" applyProtection="1"/>
  </x:cellXfs>
  <x:cellStyles count="43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6"/>
    <x:cellStyle name="Calculation" xfId="27" builtinId="22" customBuiltin="1"/>
    <x:cellStyle name="Check Cell" xfId="28" builtinId="23" customBuiltin="1"/>
    <x:cellStyle name="Explanatory Text" xfId="29" builtinId="53" customBuiltin="1"/>
    <x:cellStyle name="Good" xfId="30" builtinId="26" customBuiltin="1"/>
    <x:cellStyle name="Heading 1" xfId="31" builtinId="16" customBuiltin="1"/>
    <x:cellStyle name="Heading 2" xfId="32" builtinId="17" customBuiltin="1"/>
    <x:cellStyle name="Heading 3" xfId="33" builtinId="18" customBuiltin="1"/>
    <x:cellStyle name="Heading 4" xfId="34" builtinId="19" customBuiltin="1"/>
    <x:cellStyle name="Input" xfId="35" builtinId="20" customBuiltin="1"/>
    <x:cellStyle name="Linked Cell" xfId="36" builtinId="24" customBuiltin="1"/>
    <x:cellStyle name="Neutral" xfId="37" builtinId="28" customBuiltin="1"/>
    <x:cellStyle name="Normal" xfId="0" builtinId="0"/>
    <x:cellStyle name="Note" xfId="38" builtinId="10" customBuiltin="1"/>
    <x:cellStyle name="Output" xfId="39" builtinId="21" customBuiltin="1"/>
    <x:cellStyle name="Title" xfId="40" builtinId="15" customBuiltin="1"/>
    <x:cellStyle name="Total" xfId="41" builtinId="25" customBuiltin="1"/>
    <x:cellStyle name="Warning Text" xfId="42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BDH|10477536276550214826</stp>
        <tr r="F1654" s="3"/>
      </tp>
      <tp t="s">
        <v>#N/A N/A</v>
        <stp/>
        <stp>BDH|12050219105973267975</stp>
        <tr r="F1346" s="3"/>
      </tp>
      <tp t="s">
        <v>#N/A N/A</v>
        <stp/>
        <stp>BDH|15268787425443712988</stp>
        <tr r="F1431" s="3"/>
      </tp>
      <tp t="s">
        <v>#N/A N/A</v>
        <stp/>
        <stp>BDH|16631222083923732533</stp>
        <tr r="F1683" s="3"/>
      </tp>
      <tp t="s">
        <v>#N/A N/A</v>
        <stp/>
        <stp>BDH|17147958612704704126</stp>
        <tr r="F1126" s="3"/>
      </tp>
      <tp t="s">
        <v>#N/A N/A</v>
        <stp/>
        <stp>BDH|13226704942693424971</stp>
        <tr r="F1867" s="3"/>
      </tp>
      <tp t="s">
        <v>#N/A N/A</v>
        <stp/>
        <stp>BDH|17767439706098639179</stp>
        <tr r="F1324" s="3"/>
      </tp>
      <tp t="s">
        <v>#N/A N/A</v>
        <stp/>
        <stp>BDH|15157019979988291091</stp>
        <tr r="F1845" s="3"/>
      </tp>
      <tp t="s">
        <v>#N/A N/A</v>
        <stp/>
        <stp>BDH|10840113788157660421</stp>
        <tr r="F1853" s="3"/>
      </tp>
      <tp t="s">
        <v>#N/A N/A</v>
        <stp/>
        <stp>BDH|11589663871062028866</stp>
        <tr r="F1901" s="3"/>
      </tp>
      <tp t="s">
        <v>#N/A N/A</v>
        <stp/>
        <stp>BDH|14775927368872357398</stp>
        <tr r="F1955" s="3"/>
      </tp>
      <tp t="s">
        <v>#N/A N/A</v>
        <stp/>
        <stp>BDH|11119721025968601664</stp>
        <tr r="F1900" s="3"/>
      </tp>
      <tp t="s">
        <v>#N/A N/A</v>
        <stp/>
        <stp>BDH|15994575089791092311</stp>
        <tr r="F1182" s="3"/>
      </tp>
      <tp t="s">
        <v>#N/A N/A</v>
        <stp/>
        <stp>BDH|15638485929790903980</stp>
        <tr r="F1158" s="3"/>
      </tp>
      <tp t="s">
        <v>#N/A N/A</v>
        <stp/>
        <stp>BDH|14027984359315809705</stp>
        <tr r="F1771" s="3"/>
      </tp>
      <tp t="s">
        <v>#N/A N/A</v>
        <stp/>
        <stp>BDH|17408764438279235015</stp>
        <tr r="F1677" s="3"/>
      </tp>
      <tp t="s">
        <v>#N/A N/A</v>
        <stp/>
        <stp>BDH|12401256799624647773</stp>
        <tr r="F1398" s="3"/>
      </tp>
      <tp t="s">
        <v>#N/A N/A</v>
        <stp/>
        <stp>BDH|15409705648429325567</stp>
        <tr r="F1309" s="3"/>
      </tp>
      <tp t="s">
        <v>#N/A N/A</v>
        <stp/>
        <stp>BDH|17257843517630953406</stp>
        <tr r="F1906" s="3"/>
      </tp>
      <tp t="s">
        <v>#N/A N/A</v>
        <stp/>
        <stp>BDH|17155733025550520884</stp>
        <tr r="F1836" s="3"/>
      </tp>
      <tp t="s">
        <v>#N/A N/A</v>
        <stp/>
        <stp>BDH|16737092603805615961</stp>
        <tr r="F1163" s="3"/>
      </tp>
      <tp t="s">
        <v>#N/A N/A</v>
        <stp/>
        <stp>BDH|12218689915027431840</stp>
        <tr r="F1549" s="3"/>
      </tp>
      <tp t="s">
        <v>#N/A N/A</v>
        <stp/>
        <stp>BDH|17000997147095114504</stp>
        <tr r="F1101" s="3"/>
      </tp>
      <tp t="s">
        <v>#N/A N/A</v>
        <stp/>
        <stp>BDH|17971240395370197673</stp>
        <tr r="F1256" s="3"/>
      </tp>
      <tp t="s">
        <v>#N/A N/A</v>
        <stp/>
        <stp>BDH|15213562838301528988</stp>
        <tr r="F1219" s="3"/>
      </tp>
      <tp t="s">
        <v>#N/A N/A</v>
        <stp/>
        <stp>BDH|17674732256399505779</stp>
        <tr r="F1788" s="3"/>
      </tp>
      <tp t="s">
        <v>#N/A N/A</v>
        <stp/>
        <stp>BDH|10686452938615968937</stp>
        <tr r="F1408" s="3"/>
      </tp>
      <tp t="s">
        <v>#N/A N/A</v>
        <stp/>
        <stp>BDH|13442175586225203466</stp>
        <tr r="F1169" s="3"/>
      </tp>
      <tp t="s">
        <v>#N/A N/A</v>
        <stp/>
        <stp>BDH|18337529815536122160</stp>
        <tr r="F1503" s="3"/>
      </tp>
      <tp t="s">
        <v>#N/A N/A</v>
        <stp/>
        <stp>BDH|15959052922039511584</stp>
        <tr r="F1824" s="3"/>
      </tp>
      <tp t="s">
        <v>#N/A N/A</v>
        <stp/>
        <stp>BDH|13269153695960588044</stp>
        <tr r="F1331" s="3"/>
      </tp>
      <tp t="s">
        <v>#N/A N/A</v>
        <stp/>
        <stp>BDH|10435748354669500028</stp>
        <tr r="F1191" s="3"/>
      </tp>
      <tp t="s">
        <v>#N/A N/A</v>
        <stp/>
        <stp>BDH|17675825775091655256</stp>
        <tr r="F1272" s="3"/>
      </tp>
      <tp t="s">
        <v>#N/A N/A</v>
        <stp/>
        <stp>BDH|12458113582412570269</stp>
        <tr r="F1377" s="3"/>
      </tp>
      <tp t="s">
        <v>#N/A N/A</v>
        <stp/>
        <stp>BDH|12119991612261532086</stp>
        <tr r="F1433" s="3"/>
      </tp>
      <tp t="s">
        <v>#N/A N/A</v>
        <stp/>
        <stp>BDH|15473240318575364827</stp>
        <tr r="F1221" s="3"/>
      </tp>
      <tp t="s">
        <v>#N/A N/A</v>
        <stp/>
        <stp>BDH|14131352559211575800</stp>
        <tr r="F1838" s="3"/>
      </tp>
      <tp t="s">
        <v>#N/A N/A</v>
        <stp/>
        <stp>BDH|14328874729220333557</stp>
        <tr r="F1800" s="3"/>
      </tp>
      <tp t="s">
        <v>#N/A N/A</v>
        <stp/>
        <stp>BDH|17209392804736721932</stp>
        <tr r="F1121" s="3"/>
      </tp>
      <tp t="s">
        <v>#N/A N/A</v>
        <stp/>
        <stp>BDH|17898743941159060674</stp>
        <tr r="F1630" s="3"/>
      </tp>
      <tp t="s">
        <v>#N/A N/A</v>
        <stp/>
        <stp>BDH|13500790146579285220</stp>
        <tr r="F1628" s="3"/>
      </tp>
      <tp t="s">
        <v>#N/A N/A</v>
        <stp/>
        <stp>BDH|12136686792633751565</stp>
        <tr r="F1636" s="3"/>
      </tp>
      <tp t="s">
        <v>#N/A N/A</v>
        <stp/>
        <stp>BDH|16408871968664221734</stp>
        <tr r="F1177" s="3"/>
      </tp>
      <tp t="s">
        <v>#N/A N/A</v>
        <stp/>
        <stp>BDH|16564640683462856100</stp>
        <tr r="F1587" s="3"/>
      </tp>
      <tp t="s">
        <v>#N/A N/A</v>
        <stp/>
        <stp>BDH|10479377580561973172</stp>
        <tr r="F1750" s="3"/>
      </tp>
      <tp t="s">
        <v>#N/A N/A</v>
        <stp/>
        <stp>BDH|15210058273458084191</stp>
        <tr r="F1718" s="3"/>
      </tp>
      <tp t="s">
        <v>#N/A N/A</v>
        <stp/>
        <stp>BDH|15634415484153930169</stp>
        <tr r="F1048" s="3"/>
      </tp>
      <tp t="s">
        <v>#N/A N/A</v>
        <stp/>
        <stp>BDH|13495532819694255809</stp>
        <tr r="F1815" s="3"/>
      </tp>
      <tp t="s">
        <v>#N/A N/A</v>
        <stp/>
        <stp>BDH|17230179171413866932</stp>
        <tr r="F1958" s="3"/>
      </tp>
      <tp t="s">
        <v>#N/A N/A</v>
        <stp/>
        <stp>BDH|17529657498730379349</stp>
        <tr r="F1657" s="3"/>
      </tp>
      <tp t="s">
        <v>#N/A N/A</v>
        <stp/>
        <stp>BDH|10834913217983635078</stp>
        <tr r="F1727" s="3"/>
      </tp>
      <tp t="s">
        <v>#N/A N/A</v>
        <stp/>
        <stp>BDH|11988944127950958207</stp>
        <tr r="F1634" s="3"/>
      </tp>
      <tp t="s">
        <v>#N/A N/A</v>
        <stp/>
        <stp>BDH|13368773747710004819</stp>
        <tr r="F1861" s="3"/>
      </tp>
      <tp t="s">
        <v>#N/A N/A</v>
        <stp/>
        <stp>BDH|14542847953452100319</stp>
        <tr r="F1637" s="3"/>
      </tp>
      <tp t="s">
        <v>#N/A N/A</v>
        <stp/>
        <stp>BDH|18028234542445144323</stp>
        <tr r="F1679" s="3"/>
      </tp>
      <tp t="s">
        <v>#N/A N/A</v>
        <stp/>
        <stp>BDH|16130035584406219016</stp>
        <tr r="F1030" s="3"/>
      </tp>
      <tp t="s">
        <v>#N/A N/A</v>
        <stp/>
        <stp>BDH|18008296403070585295</stp>
        <tr r="F1624" s="3"/>
      </tp>
      <tp t="s">
        <v>#N/A N/A</v>
        <stp/>
        <stp>BDH|17031212814205402982</stp>
        <tr r="F1320" s="3"/>
      </tp>
      <tp t="s">
        <v>#N/A N/A</v>
        <stp/>
        <stp>BDH|16267583355179648719</stp>
        <tr r="F1515" s="3"/>
      </tp>
      <tp t="s">
        <v>#N/A N/A</v>
        <stp/>
        <stp>BDH|11157426480431815431</stp>
        <tr r="F1539" s="3"/>
        <tr r="F1606" s="3"/>
      </tp>
      <tp t="s">
        <v>#N/A N/A</v>
        <stp/>
        <stp>BDH|10988725117929700730</stp>
        <tr r="F1530" s="3"/>
      </tp>
      <tp t="s">
        <v>#N/A N/A</v>
        <stp/>
        <stp>BDH|17760323912418981535</stp>
        <tr r="F1561" s="3"/>
      </tp>
      <tp t="s">
        <v>#N/A N/A</v>
        <stp/>
        <stp>BDH|13900978438825809432</stp>
        <tr r="F1060" s="3"/>
      </tp>
      <tp t="s">
        <v>#N/A N/A</v>
        <stp/>
        <stp>BDH|11442491301269767466</stp>
        <tr r="F1656" s="3"/>
      </tp>
      <tp t="s">
        <v>#N/A N/A</v>
        <stp/>
        <stp>BDH|15757108359468042113</stp>
        <tr r="F1909" s="3"/>
      </tp>
      <tp t="s">
        <v>#N/A N/A</v>
        <stp/>
        <stp>BDH|14529462529933780921</stp>
        <tr r="F1028" s="3"/>
      </tp>
      <tp t="s">
        <v>#N/A N/A</v>
        <stp/>
        <stp>BDH|13985156933980585944</stp>
        <tr r="F1603" s="3"/>
      </tp>
      <tp t="s">
        <v>#N/A N/A</v>
        <stp/>
        <stp>BDH|14250154613604931833</stp>
        <tr r="F1510" s="3"/>
      </tp>
      <tp t="s">
        <v>#N/A N/A</v>
        <stp/>
        <stp>BDH|11672705614859113728</stp>
        <tr r="F1039" s="3"/>
      </tp>
      <tp t="s">
        <v>#N/A N/A</v>
        <stp/>
        <stp>BDH|10292224131830758868</stp>
        <tr r="F1492" s="3"/>
      </tp>
      <tp t="s">
        <v>#N/A N/A</v>
        <stp/>
        <stp>BDH|11754936004213350204</stp>
        <tr r="F1230" s="3"/>
      </tp>
      <tp t="s">
        <v>#N/A N/A</v>
        <stp/>
        <stp>BDH|18137027601705780400</stp>
        <tr r="F1024" s="3"/>
      </tp>
      <tp t="s">
        <v>#N/A N/A</v>
        <stp/>
        <stp>BDH|11435872233804088757</stp>
        <tr r="F1373" s="3"/>
      </tp>
      <tp t="s">
        <v>#N/A N/A</v>
        <stp/>
        <stp>BDH|15231050836969646631</stp>
        <tr r="F1744" s="3"/>
      </tp>
      <tp t="s">
        <v>#N/A N/A</v>
        <stp/>
        <stp>BDH|15428714725929555018</stp>
        <tr r="F1837" s="3"/>
      </tp>
      <tp t="s">
        <v>#N/A N/A</v>
        <stp/>
        <stp>BDH|17262637146304612855</stp>
        <tr r="F1333" s="3"/>
      </tp>
      <tp t="s">
        <v>#N/A N/A</v>
        <stp/>
        <stp>BDH|15799071167163379937</stp>
        <tr r="F1524" s="3"/>
      </tp>
      <tp t="s">
        <v>#N/A N/A</v>
        <stp/>
        <stp>BDH|11927459439139018629</stp>
        <tr r="F1534" s="3"/>
      </tp>
      <tp t="s">
        <v>#N/A N/A</v>
        <stp/>
        <stp>BDH|10159375742048496679</stp>
        <tr r="F1575" s="3"/>
      </tp>
      <tp t="s">
        <v>#N/A N/A</v>
        <stp/>
        <stp>BDH|14497939050115817486</stp>
        <tr r="F1118" s="3"/>
      </tp>
      <tp t="s">
        <v>#N/A N/A</v>
        <stp/>
        <stp>BDH|16010894118266203042</stp>
        <tr r="F1816" s="3"/>
      </tp>
      <tp t="s">
        <v>#N/A N/A</v>
        <stp/>
        <stp>BDH|13259602052529769001</stp>
        <tr r="F1609" s="3"/>
      </tp>
      <tp t="s">
        <v>#N/A N/A</v>
        <stp/>
        <stp>BDH|14961971547188795885</stp>
        <tr r="F1576" s="3"/>
      </tp>
      <tp t="s">
        <v>#N/A N/A</v>
        <stp/>
        <stp>BDH|11339376896726624423</stp>
        <tr r="F1621" s="3"/>
      </tp>
      <tp t="s">
        <v>#N/A N/A</v>
        <stp/>
        <stp>BDH|14154356668060256885</stp>
        <tr r="F1933" s="3"/>
      </tp>
      <tp t="s">
        <v>#N/A N/A</v>
        <stp/>
        <stp>BDH|13129460587511960701</stp>
        <tr r="F1843" s="3"/>
      </tp>
      <tp t="s">
        <v>#N/A N/A</v>
        <stp/>
        <stp>BDH|16095606604539884043</stp>
        <tr r="F1213" s="3"/>
      </tp>
      <tp t="s">
        <v>#N/A N/A</v>
        <stp/>
        <stp>BDH|12448744819989381412</stp>
        <tr r="F1117" s="3"/>
      </tp>
      <tp t="s">
        <v>#N/A N/A</v>
        <stp/>
        <stp>BDH|17604754622278497390</stp>
        <tr r="F1480" s="3"/>
      </tp>
      <tp t="s">
        <v>#N/A N/A</v>
        <stp/>
        <stp>BDH|11151990475658801948</stp>
        <tr r="F1096" s="3"/>
      </tp>
      <tp t="s">
        <v>#N/A N/A</v>
        <stp/>
        <stp>BDH|11860473179888049476</stp>
        <tr r="F1113" s="3"/>
      </tp>
      <tp t="s">
        <v>#N/A N/A</v>
        <stp/>
        <stp>BDH|18380785315295772586</stp>
        <tr r="F1407" s="3"/>
      </tp>
      <tp t="s">
        <v>#N/A N/A</v>
        <stp/>
        <stp>BDH|13240719477258527500</stp>
        <tr r="F1269" s="3"/>
      </tp>
      <tp t="s">
        <v>#N/A N/A</v>
        <stp/>
        <stp>BDH|15167768743540669824</stp>
        <tr r="F1860" s="3"/>
      </tp>
      <tp t="s">
        <v>#N/A N/A</v>
        <stp/>
        <stp>BDH|13369484392887129787</stp>
        <tr r="F1484" s="3"/>
      </tp>
      <tp t="s">
        <v>#N/A N/A</v>
        <stp/>
        <stp>BDH|12695004882045457109</stp>
        <tr r="F1544" s="3"/>
        <tr r="F1540" s="3"/>
      </tp>
      <tp t="s">
        <v>#N/A N/A</v>
        <stp/>
        <stp>BDH|17229968717340437144</stp>
        <tr r="F1746" s="3"/>
      </tp>
      <tp t="s">
        <v>#N/A N/A</v>
        <stp/>
        <stp>BDH|18077256583054054857</stp>
        <tr r="F1234" s="3"/>
      </tp>
      <tp t="s">
        <v>#N/A N/A</v>
        <stp/>
        <stp>BDH|11144841634786762250</stp>
        <tr r="F1565" s="3"/>
      </tp>
      <tp t="s">
        <v>#N/A N/A</v>
        <stp/>
        <stp>BDH|15936546219577440825</stp>
        <tr r="F1469" s="3"/>
      </tp>
      <tp t="s">
        <v>#N/A N/A</v>
        <stp/>
        <stp>BDH|10108816263325740518</stp>
        <tr r="F1072" s="3"/>
      </tp>
      <tp t="s">
        <v>#N/A N/A</v>
        <stp/>
        <stp>BDH|16686753782054726338</stp>
        <tr r="F1209" s="3"/>
      </tp>
      <tp t="s">
        <v>#N/A N/A</v>
        <stp/>
        <stp>BDH|17991004670878940651</stp>
        <tr r="F1359" s="3"/>
      </tp>
      <tp t="s">
        <v>#N/A N/A</v>
        <stp/>
        <stp>BDH|10617978862536604716</stp>
        <tr r="F1895" s="3"/>
      </tp>
      <tp t="s">
        <v>#N/A N/A</v>
        <stp/>
        <stp>BDH|12357744131759568174</stp>
        <tr r="F1481" s="3"/>
      </tp>
      <tp t="s">
        <v>#N/A N/A</v>
        <stp/>
        <stp>BDH|11292093534055107999</stp>
        <tr r="F1206" s="3"/>
      </tp>
      <tp t="s">
        <v>#N/A N/A</v>
        <stp/>
        <stp>BDH|18415454122832983234</stp>
        <tr r="F1455" s="3"/>
      </tp>
      <tp t="s">
        <v>#N/A N/A</v>
        <stp/>
        <stp>BDH|14076890070380404542</stp>
        <tr r="F1712" s="3"/>
      </tp>
      <tp t="s">
        <v>#N/A N/A</v>
        <stp/>
        <stp>BDH|17426142199914711563</stp>
        <tr r="F1063" s="3"/>
      </tp>
      <tp t="s">
        <v>#N/A N/A</v>
        <stp/>
        <stp>BDH|10737994966511349036</stp>
        <tr r="F1550" s="3"/>
      </tp>
      <tp t="s">
        <v>#N/A N/A</v>
        <stp/>
        <stp>BDH|14084663680507704398</stp>
        <tr r="F1409" s="3"/>
      </tp>
      <tp t="s">
        <v>#N/A N/A</v>
        <stp/>
        <stp>BDH|12999625291712137100</stp>
        <tr r="F1456" s="3"/>
      </tp>
      <tp t="s">
        <v>#N/A N/A</v>
        <stp/>
        <stp>BDH|17657104390505838448</stp>
        <tr r="F1304" s="3"/>
      </tp>
      <tp t="s">
        <v>#N/A N/A</v>
        <stp/>
        <stp>BDH|16136421253249878054</stp>
        <tr r="F1419" s="3"/>
      </tp>
      <tp t="s">
        <v>#N/A N/A</v>
        <stp/>
        <stp>BDH|11710198773851594842</stp>
        <tr r="F1946" s="3"/>
      </tp>
      <tp t="s">
        <v>#N/A N/A</v>
        <stp/>
        <stp>BDH|14203588141969643211</stp>
        <tr r="F1160" s="3"/>
      </tp>
      <tp t="s">
        <v>#N/A N/A</v>
        <stp/>
        <stp>BDH|10956061597890672711</stp>
        <tr r="F1710" s="3"/>
      </tp>
      <tp t="s">
        <v>#N/A N/A</v>
        <stp/>
        <stp>BDH|10926918347413585055</stp>
        <tr r="F1781" s="3"/>
      </tp>
      <tp t="s">
        <v>#N/A N/A</v>
        <stp/>
        <stp>BDH|16559083287903297369</stp>
        <tr r="F1132" s="3"/>
      </tp>
      <tp t="s">
        <v>#N/A N/A</v>
        <stp/>
        <stp>BDH|13483227819276996884</stp>
        <tr r="F1478" s="3"/>
      </tp>
      <tp t="s">
        <v>#N/A N/A</v>
        <stp/>
        <stp>BDH|13290206887735079344</stp>
        <tr r="F1032" s="3"/>
      </tp>
      <tp t="s">
        <v>#N/A N/A</v>
        <stp/>
        <stp>BDH|11459889428745326163</stp>
        <tr r="F1914" s="3"/>
      </tp>
      <tp t="s">
        <v>#N/A N/A</v>
        <stp/>
        <stp>BDH|12038920320192487472</stp>
        <tr r="F1522" s="3"/>
      </tp>
      <tp t="s">
        <v>#N/A N/A</v>
        <stp/>
        <stp>BDH|15142879155536421176</stp>
        <tr r="F1145" s="3"/>
      </tp>
      <tp t="s">
        <v>#N/A N/A</v>
        <stp/>
        <stp>BDH|11395917032071437575</stp>
        <tr r="F1772" s="3"/>
      </tp>
      <tp t="s">
        <v>#N/A N/A</v>
        <stp/>
        <stp>BDH|16373056589687886648</stp>
        <tr r="F1229" s="3"/>
      </tp>
      <tp t="s">
        <v>#N/A N/A</v>
        <stp/>
        <stp>BDH|10180469654866378824</stp>
        <tr r="F1144" s="3"/>
      </tp>
      <tp t="s">
        <v>#N/A N/A</v>
        <stp/>
        <stp>BDH|10481894113073456584</stp>
        <tr r="F1519" s="3"/>
      </tp>
      <tp t="s">
        <v>#N/A N/A</v>
        <stp/>
        <stp>BDH|13484453380711056135</stp>
        <tr r="F1807" s="3"/>
      </tp>
      <tp t="s">
        <v>#N/A N/A</v>
        <stp/>
        <stp>BDH|15500865129488895873</stp>
        <tr r="F1275" s="3"/>
      </tp>
      <tp t="s">
        <v>#N/A N/A</v>
        <stp/>
        <stp>BDH|11058085310827989844</stp>
        <tr r="F1915" s="3"/>
      </tp>
      <tp t="s">
        <v>#N/A N/A</v>
        <stp/>
        <stp>BDH|16192767113398640760</stp>
        <tr r="F1709" s="3"/>
      </tp>
      <tp t="s">
        <v>#N/A N/A</v>
        <stp/>
        <stp>BDH|16460723079460958929</stp>
        <tr r="F1021" s="3"/>
      </tp>
      <tp t="s">
        <v>#N/A N/A</v>
        <stp/>
        <stp>BDH|14525684118318908487</stp>
        <tr r="F1110" s="3"/>
      </tp>
      <tp t="s">
        <v>#N/A N/A</v>
        <stp/>
        <stp>BDH|17696189228843065814</stp>
        <tr r="F1332" s="3"/>
      </tp>
      <tp t="s">
        <v>#N/A N/A</v>
        <stp/>
        <stp>BDH|11779228624309466722</stp>
        <tr r="F1483" s="3"/>
      </tp>
      <tp t="s">
        <v>#N/A N/A</v>
        <stp/>
        <stp>BDH|10836853800603376490</stp>
        <tr r="F1292" s="3"/>
      </tp>
      <tp t="s">
        <v>#N/A N/A</v>
        <stp/>
        <stp>BDH|15379684199866765329</stp>
        <tr r="F1928" s="3"/>
      </tp>
      <tp t="s">
        <v>#N/A N/A</v>
        <stp/>
        <stp>BDH|10195843832223203737</stp>
        <tr r="F1308" s="3"/>
      </tp>
      <tp t="s">
        <v>#N/A N/A</v>
        <stp/>
        <stp>BDH|18112021372369461935</stp>
        <tr r="F1387" s="3"/>
      </tp>
      <tp t="s">
        <v>#N/A N/A</v>
        <stp/>
        <stp>BDH|11727875936710208525</stp>
        <tr r="F1939" s="3"/>
      </tp>
      <tp t="s">
        <v>#N/A N/A</v>
        <stp/>
        <stp>BDH|18251408466023118638</stp>
        <tr r="F1406" s="3"/>
      </tp>
      <tp t="s">
        <v>#N/A N/A</v>
        <stp/>
        <stp>BDH|15953588906749709691</stp>
        <tr r="F1427" s="3"/>
        <tr r="F1729" s="3"/>
      </tp>
      <tp t="s">
        <v>#N/A N/A</v>
        <stp/>
        <stp>BDH|12734994031642460524</stp>
        <tr r="F1682" s="3"/>
      </tp>
      <tp t="s">
        <v>#N/A N/A</v>
        <stp/>
        <stp>BDH|11927540305662389935</stp>
        <tr r="F1611" s="3"/>
      </tp>
      <tp t="s">
        <v>#N/A N/A</v>
        <stp/>
        <stp>BDH|17262855733691580299</stp>
        <tr r="F1880" s="3"/>
      </tp>
      <tp t="s">
        <v>#N/A N/A</v>
        <stp/>
        <stp>BDH|16757223587401098291</stp>
        <tr r="F1787" s="3"/>
      </tp>
      <tp t="s">
        <v>#N/A N/A</v>
        <stp/>
        <stp>BDH|16846775204608476642</stp>
        <tr r="F1607" s="3"/>
      </tp>
      <tp t="s">
        <v>#N/A N/A</v>
        <stp/>
        <stp>BDH|11633348505374925921</stp>
        <tr r="F1240" s="3"/>
      </tp>
      <tp t="s">
        <v>#N/A N/A</v>
        <stp/>
        <stp>BDH|13094688870788548533</stp>
        <tr r="F1052" s="3"/>
      </tp>
      <tp t="s">
        <v>#N/A N/A</v>
        <stp/>
        <stp>BDH|10309654913921995923</stp>
        <tr r="F1418" s="3"/>
      </tp>
      <tp t="s">
        <v>#N/A N/A</v>
        <stp/>
        <stp>BDH|15295409934866318841</stp>
        <tr r="F1467" s="3"/>
      </tp>
      <tp t="s">
        <v>#N/A N/A</v>
        <stp/>
        <stp>BDH|13846566989040442225</stp>
        <tr r="F1205" s="3"/>
      </tp>
      <tp t="s">
        <v>#N/A N/A</v>
        <stp/>
        <stp>BDH|15001917963856686051</stp>
        <tr r="F1143" s="3"/>
      </tp>
      <tp t="s">
        <v>#N/A N/A</v>
        <stp/>
        <stp>BDH|17246925537850355159</stp>
        <tr r="F1931" s="3"/>
      </tp>
      <tp t="s">
        <v>#N/A N/A</v>
        <stp/>
        <stp>BDH|11554251020989753473</stp>
        <tr r="F1437" s="3"/>
      </tp>
      <tp t="s">
        <v>#N/A N/A</v>
        <stp/>
        <stp>BDH|18002800026927710914</stp>
        <tr r="F1612" s="3"/>
      </tp>
      <tp t="s">
        <v>#N/A N/A</v>
        <stp/>
        <stp>BDH|11602861432246075026</stp>
        <tr r="F1795" s="3"/>
      </tp>
      <tp t="s">
        <v>#N/A N/A</v>
        <stp/>
        <stp>BDH|11464944853369210826</stp>
        <tr r="F1751" s="3"/>
      </tp>
      <tp t="s">
        <v>#N/A N/A</v>
        <stp/>
        <stp>BDH|13337940070794255570</stp>
        <tr r="F1674" s="3"/>
      </tp>
      <tp t="s">
        <v>#N/A N/A</v>
        <stp/>
        <stp>BDH|15492082496795829576</stp>
        <tr r="F1454" s="3"/>
      </tp>
      <tp t="s">
        <v>#N/A N/A</v>
        <stp/>
        <stp>BDH|15213645843349368223</stp>
        <tr r="F1689" s="3"/>
      </tp>
      <tp t="s">
        <v>#N/A N/A</v>
        <stp/>
        <stp>BDH|13499900053172786141</stp>
        <tr r="F1848" s="3"/>
      </tp>
      <tp t="s">
        <v>#N/A N/A</v>
        <stp/>
        <stp>BDH|11309732389172429090</stp>
        <tr r="F1353" s="3"/>
      </tp>
      <tp t="s">
        <v>#N/A N/A</v>
        <stp/>
        <stp>BDH|13284465933931121914</stp>
        <tr r="F1338" s="3"/>
      </tp>
      <tp t="s">
        <v>#N/A N/A</v>
        <stp/>
        <stp>BDH|14640402393196478370</stp>
        <tr r="F1393" s="3"/>
      </tp>
      <tp t="s">
        <v>#N/A N/A</v>
        <stp/>
        <stp>BDH|10908892725477332102</stp>
        <tr r="F1025" s="3"/>
      </tp>
      <tp t="s">
        <v>#N/A N/A</v>
        <stp/>
        <stp>BDH|13801869297889208724</stp>
        <tr r="F1842" s="3"/>
      </tp>
      <tp t="s">
        <v>#N/A N/A</v>
        <stp/>
        <stp>BDH|16545687318525829852</stp>
        <tr r="F1468" s="3"/>
      </tp>
      <tp t="s">
        <v>#N/A N/A</v>
        <stp/>
        <stp>BDH|15994221496842242072</stp>
        <tr r="F1282" s="3"/>
      </tp>
      <tp t="s">
        <v>#N/A N/A</v>
        <stp/>
        <stp>BDH|13523115099950036700</stp>
        <tr r="F1745" s="3"/>
      </tp>
      <tp t="s">
        <v>#N/A N/A</v>
        <stp/>
        <stp>BDH|17482394844955722932</stp>
        <tr r="F1633" s="3"/>
      </tp>
      <tp t="s">
        <v>#N/A N/A</v>
        <stp/>
        <stp>BDH|13354133902557767997</stp>
        <tr r="F1278" s="3"/>
      </tp>
      <tp t="s">
        <v>#N/A N/A</v>
        <stp/>
        <stp>BDH|12885917823255102041</stp>
        <tr r="F1535" s="3"/>
      </tp>
      <tp t="s">
        <v>#N/A N/A</v>
        <stp/>
        <stp>BDH|11919832587354662951</stp>
        <tr r="F1505" s="3"/>
      </tp>
      <tp t="s">
        <v>#N/A N/A</v>
        <stp/>
        <stp>BDH|12554939611064015364</stp>
        <tr r="F1592" s="3"/>
      </tp>
      <tp t="s">
        <v>#N/A N/A</v>
        <stp/>
        <stp>BDH|15776545716825538915</stp>
        <tr r="F1793" s="3"/>
      </tp>
      <tp t="s">
        <v>#N/A N/A</v>
        <stp/>
        <stp>BDH|16364520484193474510</stp>
        <tr r="F1385" s="3"/>
      </tp>
      <tp t="s">
        <v>#N/A N/A</v>
        <stp/>
        <stp>BDH|11106803059773802203</stp>
        <tr r="F1262" s="3"/>
      </tp>
      <tp t="s">
        <v>#N/A N/A</v>
        <stp/>
        <stp>BDH|12639861217456645017</stp>
        <tr r="F1077" s="3"/>
      </tp>
      <tp t="s">
        <v>#N/A N/A</v>
        <stp/>
        <stp>BDH|13245408881721561355</stp>
        <tr r="F1266" s="3"/>
      </tp>
      <tp t="s">
        <v>#N/A N/A</v>
        <stp/>
        <stp>BDH|16541655984236277357</stp>
        <tr r="F1093" s="3"/>
      </tp>
      <tp t="s">
        <v>#N/A N/A</v>
        <stp/>
        <stp>BDH|14991201291120954230</stp>
        <tr r="F1186" s="3"/>
      </tp>
      <tp t="s">
        <v>#N/A N/A</v>
        <stp/>
        <stp>BDH|10690407683860300142</stp>
        <tr r="C1990" s="3"/>
        <tr r="C1982" s="3"/>
      </tp>
      <tp t="s">
        <v>#N/A N/A</v>
        <stp/>
        <stp>BDH|17622366970217109932</stp>
        <tr r="F1646" s="3"/>
      </tp>
      <tp t="s">
        <v>#N/A N/A</v>
        <stp/>
        <stp>BDH|11355940561476638570</stp>
        <tr r="F1600" s="3"/>
      </tp>
      <tp t="s">
        <v>#N/A N/A</v>
        <stp/>
        <stp>BDH|17268676153958065109</stp>
        <tr r="F1300" s="3"/>
      </tp>
      <tp t="s">
        <v>#N/A N/A</v>
        <stp/>
        <stp>BDH|12659741529593080902</stp>
        <tr r="F1386" s="3"/>
      </tp>
      <tp t="s">
        <v>#N/A N/A</v>
        <stp/>
        <stp>BDH|16418975359321618674</stp>
        <tr r="F1925" s="3"/>
      </tp>
      <tp t="s">
        <v>#N/A N/A</v>
        <stp/>
        <stp>BDH|11424688514732752951</stp>
        <tr r="F1713" s="3"/>
      </tp>
      <tp t="s">
        <v>#N/A N/A</v>
        <stp/>
        <stp>BDH|12807315182641511538</stp>
        <tr r="F1776" s="3"/>
      </tp>
      <tp t="s">
        <v>#N/A N/A</v>
        <stp/>
        <stp>BDH|15398088380334531425</stp>
        <tr r="F1374" s="3"/>
      </tp>
      <tp t="s">
        <v>#N/A N/A</v>
        <stp/>
        <stp>BDH|11464957738495434321</stp>
        <tr r="F1919" s="3"/>
      </tp>
      <tp t="s">
        <v>#N/A N/A</v>
        <stp/>
        <stp>BDH|17221120722984260234</stp>
        <tr r="F1956" s="3"/>
      </tp>
      <tp t="s">
        <v>#N/A N/A</v>
        <stp/>
        <stp>BDH|14358879070941081873</stp>
        <tr r="F1424" s="3"/>
      </tp>
      <tp t="s">
        <v>#N/A N/A</v>
        <stp/>
        <stp>BDH|16057069788839825557</stp>
        <tr r="F1820" s="3"/>
      </tp>
      <tp t="s">
        <v>#N/A N/A</v>
        <stp/>
        <stp>BDH|11327504941481454352</stp>
        <tr r="F1714" s="3"/>
      </tp>
      <tp t="s">
        <v>#N/A N/A</v>
        <stp/>
        <stp>BDH|18332562300056059960</stp>
        <tr r="F1099" s="3"/>
      </tp>
      <tp t="s">
        <v>#N/A N/A</v>
        <stp/>
        <stp>BDH|14720124139116765292</stp>
        <tr r="F1394" s="3"/>
      </tp>
      <tp t="s">
        <v>#N/A N/A</v>
        <stp/>
        <stp>BDH|14426191721717153289</stp>
        <tr r="F1237" s="3"/>
      </tp>
      <tp t="s">
        <v>#N/A N/A</v>
        <stp/>
        <stp>BDH|11781018323665862482</stp>
        <tr r="F1792" s="3"/>
      </tp>
      <tp t="s">
        <v>#N/A N/A</v>
        <stp/>
        <stp>BDH|10670091249214223205</stp>
        <tr r="F1354" s="3"/>
      </tp>
      <tp t="s">
        <v>#N/A N/A</v>
        <stp/>
        <stp>BDH|11926645516935949147</stp>
        <tr r="F1834" s="3"/>
      </tp>
      <tp t="s">
        <v>#N/A N/A</v>
        <stp/>
        <stp>BDH|15353247005557494203</stp>
        <tr r="F1135" s="3"/>
      </tp>
      <tp t="s">
        <v>#N/A N/A</v>
        <stp/>
        <stp>BDH|14594674359981894484</stp>
        <tr r="F1653" s="3"/>
      </tp>
      <tp t="s">
        <v>#N/A N/A</v>
        <stp/>
        <stp>BDH|13682951078818642768</stp>
        <tr r="F1844" s="3"/>
      </tp>
      <tp t="s">
        <v>#N/A N/A</v>
        <stp/>
        <stp>BDH|14798431428737021778</stp>
        <tr r="F1569" s="3"/>
      </tp>
      <tp t="s">
        <v>#N/A N/A</v>
        <stp/>
        <stp>BDH|13637534129226242054</stp>
        <tr r="F1722" s="3"/>
      </tp>
      <tp t="s">
        <v>#N/A N/A</v>
        <stp/>
        <stp>BDH|17711628430880669094</stp>
        <tr r="F1440" s="3"/>
      </tp>
      <tp t="s">
        <v>#N/A N/A</v>
        <stp/>
        <stp>BDH|16079610749082588428</stp>
        <tr r="F1279" s="3"/>
      </tp>
      <tp t="s">
        <v>#N/A N/A</v>
        <stp/>
        <stp>BDH|12109584651454350441</stp>
        <tr r="F1476" s="3"/>
      </tp>
      <tp t="s">
        <v>#N/A N/A</v>
        <stp/>
        <stp>BDH|12487757326221812413</stp>
        <tr r="F1851" s="3"/>
      </tp>
      <tp t="s">
        <v>#N/A N/A</v>
        <stp/>
        <stp>BDH|11687399035196475507</stp>
        <tr r="F1321" s="3"/>
      </tp>
      <tp t="s">
        <v>#N/A N/A</v>
        <stp/>
        <stp>BDH|13230236156010684708</stp>
        <tr r="F1396" s="3"/>
      </tp>
      <tp t="s">
        <v>#N/A N/A</v>
        <stp/>
        <stp>BDH|12296007917423142347</stp>
        <tr r="F1708" s="3"/>
      </tp>
      <tp t="s">
        <v>#N/A N/A</v>
        <stp/>
        <stp>BDH|11602825751849103642</stp>
        <tr r="F1218" s="3"/>
      </tp>
      <tp t="s">
        <v>#N/A N/A</v>
        <stp/>
        <stp>BDH|11110051644331588762</stp>
        <tr r="F1083" s="3"/>
      </tp>
      <tp t="s">
        <v>#N/A N/A</v>
        <stp/>
        <stp>BDH|14646398317000352584</stp>
        <tr r="F1411" s="3"/>
      </tp>
      <tp t="s">
        <v>#N/A N/A</v>
        <stp/>
        <stp>BDH|15039184833485172195</stp>
        <tr r="F1892" s="3"/>
      </tp>
      <tp t="s">
        <v>#N/A N/A</v>
        <stp/>
        <stp>BDH|12346653577593751351</stp>
        <tr r="F1259" s="3"/>
      </tp>
      <tp t="s">
        <v>#N/A N/A</v>
        <stp/>
        <stp>BDH|18055886845234664399</stp>
        <tr r="F1902" s="3"/>
      </tp>
      <tp t="s">
        <v>#N/A N/A</v>
        <stp/>
        <stp>BDH|14686078716645010320</stp>
        <tr r="F1369" s="3"/>
      </tp>
      <tp t="s">
        <v>#N/A N/A</v>
        <stp/>
        <stp>BDH|13357086076377151084</stp>
        <tr r="F1328" s="3"/>
      </tp>
      <tp t="s">
        <v>#N/A N/A</v>
        <stp/>
        <stp>BDH|17387635522777107740</stp>
        <tr r="F1493" s="3"/>
      </tp>
      <tp t="s">
        <v>#N/A N/A</v>
        <stp/>
        <stp>BDH|10609067712230224274</stp>
        <tr r="F1684" s="3"/>
      </tp>
      <tp t="s">
        <v>#N/A N/A</v>
        <stp/>
        <stp>BDH|14404942899161751695</stp>
        <tr r="F1199" s="3"/>
      </tp>
      <tp t="s">
        <v>#N/A N/A</v>
        <stp/>
        <stp>BDH|10018472631367235335</stp>
        <tr r="F1264" s="3"/>
      </tp>
      <tp t="s">
        <v>#N/A N/A</v>
        <stp/>
        <stp>BDH|12768141737851039226</stp>
        <tr r="F1645" s="3"/>
      </tp>
      <tp t="s">
        <v>#N/A N/A</v>
        <stp/>
        <stp>BDH|17032107385405407885</stp>
        <tr r="F1064" s="3"/>
      </tp>
      <tp t="s">
        <v>#N/A N/A</v>
        <stp/>
        <stp>BDH|13064292130443630274</stp>
        <tr r="F1363" s="3"/>
      </tp>
      <tp t="s">
        <v>#N/A N/A</v>
        <stp/>
        <stp>BDH|12160136178153026419</stp>
        <tr r="F1552" s="3"/>
      </tp>
      <tp t="s">
        <v>#N/A N/A</v>
        <stp/>
        <stp>BDH|11879597472817166791</stp>
        <tr r="F1700" s="3"/>
      </tp>
      <tp t="s">
        <v>#N/A N/A</v>
        <stp/>
        <stp>BDH|16561919785994357096</stp>
        <tr r="F1310" s="3"/>
      </tp>
      <tp t="s">
        <v>#N/A N/A</v>
        <stp/>
        <stp>BDH|14247301252194271588</stp>
        <tr r="F1666" s="3"/>
      </tp>
      <tp t="s">
        <v>#N/A N/A</v>
        <stp/>
        <stp>BDH|17041702625702786380</stp>
        <tr r="F1017" s="3"/>
      </tp>
      <tp t="s">
        <v>#N/A N/A</v>
        <stp/>
        <stp>BDH|10570732247635985526</stp>
        <tr r="F1488" s="3"/>
      </tp>
      <tp t="s">
        <v>#N/A N/A</v>
        <stp/>
        <stp>BDH|13632569568856626545</stp>
        <tr r="F1435" s="3"/>
      </tp>
      <tp t="s">
        <v>#N/A N/A</v>
        <stp/>
        <stp>BDH|11626350718937524726</stp>
        <tr r="F1214" s="3"/>
      </tp>
      <tp t="s">
        <v>#N/A N/A</v>
        <stp/>
        <stp>BDH|15482281088445099987</stp>
        <tr r="F1372" s="3"/>
      </tp>
      <tp t="s">
        <v>#N/A N/A</v>
        <stp/>
        <stp>BDH|16011752742210923624</stp>
        <tr r="F1920" s="3"/>
      </tp>
      <tp t="s">
        <v>#N/A N/A</v>
        <stp/>
        <stp>BDH|13903140313227066715</stp>
        <tr r="F1641" s="3"/>
      </tp>
      <tp t="s">
        <v>#N/A N/A</v>
        <stp/>
        <stp>BDH|18165637091720923452</stp>
        <tr r="F1070" s="3"/>
      </tp>
      <tp t="s">
        <v>#N/A N/A</v>
        <stp/>
        <stp>BDH|17651541788498786137</stp>
        <tr r="F1556" s="3"/>
      </tp>
      <tp t="s">
        <v>#N/A N/A</v>
        <stp/>
        <stp>BDH|10537158439530548124</stp>
        <tr r="F1090" s="3"/>
      </tp>
      <tp t="s">
        <v>#N/A N/A</v>
        <stp/>
        <stp>BDH|13158718853071400399</stp>
        <tr r="F1705" s="3"/>
      </tp>
      <tp t="s">
        <v>#N/A N/A</v>
        <stp/>
        <stp>BDH|16620969790040094605</stp>
        <tr r="F1523" s="3"/>
      </tp>
      <tp t="s">
        <v>#N/A N/A</v>
        <stp/>
        <stp>BDH|15164821524096325943</stp>
        <tr r="F1562" s="3"/>
      </tp>
      <tp t="s">
        <v>#N/A N/A</v>
        <stp/>
        <stp>BDH|15609442435966363475</stp>
        <tr r="F1668" s="3"/>
      </tp>
      <tp t="s">
        <v>#N/A N/A</v>
        <stp/>
        <stp>BDH|17695395446887997732</stp>
        <tr r="F1716" s="3"/>
      </tp>
      <tp t="s">
        <v>#N/A N/A</v>
        <stp/>
        <stp>BDH|11092309017512590107</stp>
        <tr r="F1184" s="3"/>
      </tp>
      <tp t="s">
        <v>#N/A N/A</v>
        <stp/>
        <stp>BDH|11242644816350203678</stp>
        <tr r="F1951" s="3"/>
      </tp>
      <tp t="s">
        <v>#N/A N/A</v>
        <stp/>
        <stp>BDH|15447303634227339268</stp>
        <tr r="F1047" s="3"/>
      </tp>
      <tp t="s">
        <v>#N/A N/A</v>
        <stp/>
        <stp>BDH|16175143505576041150</stp>
        <tr r="F1905" s="3"/>
      </tp>
      <tp t="s">
        <v>#N/A N/A</v>
        <stp/>
        <stp>BDH|10059557441448555955</stp>
        <tr r="F1893" s="3"/>
      </tp>
      <tp t="s">
        <v>#N/A N/A</v>
        <stp/>
        <stp>BDH|11413213406421126261</stp>
        <tr r="F1115" s="3"/>
      </tp>
      <tp t="s">
        <v>#N/A N/A</v>
        <stp/>
        <stp>BDH|13538349337930871384</stp>
        <tr r="F1378" s="3"/>
      </tp>
      <tp t="s">
        <v>#N/A N/A</v>
        <stp/>
        <stp>BDH|16290162910407103139</stp>
        <tr r="F1536" s="3"/>
      </tp>
      <tp t="s">
        <v>#N/A N/A</v>
        <stp/>
        <stp>BDH|11320273224284430524</stp>
        <tr r="F1796" s="3"/>
      </tp>
      <tp t="s">
        <v>#N/A N/A</v>
        <stp/>
        <stp>BDH|14953837736576059951</stp>
        <tr r="F1507" s="3"/>
      </tp>
      <tp t="s">
        <v>#N/A N/A</v>
        <stp/>
        <stp>BDH|15623371120202817606</stp>
        <tr r="F1098" s="3"/>
      </tp>
      <tp t="s">
        <v>#N/A N/A</v>
        <stp/>
        <stp>BDH|18307232700318933219</stp>
        <tr r="F1361" s="3"/>
        <tr r="F1356" s="3"/>
      </tp>
      <tp t="s">
        <v>#N/A N/A</v>
        <stp/>
        <stp>BDH|12031566869967358641</stp>
        <tr r="F1703" s="3"/>
      </tp>
      <tp t="s">
        <v>#N/A N/A</v>
        <stp/>
        <stp>BDH|16531949562419959025</stp>
        <tr r="F1673" s="3"/>
      </tp>
      <tp t="s">
        <v>#N/A N/A</v>
        <stp/>
        <stp>BDH|13066828590572072085</stp>
        <tr r="F1763" s="3"/>
      </tp>
      <tp t="s">
        <v>#N/A N/A</v>
        <stp/>
        <stp>BDH|10725810288282769239</stp>
        <tr r="F1567" s="3"/>
      </tp>
      <tp t="s">
        <v>#N/A N/A</v>
        <stp/>
        <stp>BDH|17712564713767988419</stp>
        <tr r="F1260" s="3"/>
      </tp>
      <tp t="s">
        <v>#N/A N/A</v>
        <stp/>
        <stp>BDH|14669258438254156174</stp>
        <tr r="F1948" s="3"/>
      </tp>
      <tp t="s">
        <v>#N/A N/A</v>
        <stp/>
        <stp>BDH|13155253738630661272</stp>
        <tr r="F1736" s="3"/>
      </tp>
      <tp t="s">
        <v>#N/A N/A</v>
        <stp/>
        <stp>BDH|10722576643577656694</stp>
        <tr r="F1514" s="3"/>
      </tp>
      <tp t="s">
        <v>#N/A N/A</v>
        <stp/>
        <stp>BDH|14470086826576769012</stp>
        <tr r="F1087" s="3"/>
      </tp>
      <tp t="s">
        <v>#N/A N/A</v>
        <stp/>
        <stp>BDH|11656570016722233796</stp>
        <tr r="F1168" s="3"/>
      </tp>
      <tp t="s">
        <v>#N/A N/A</v>
        <stp/>
        <stp>BDH|17782187442006098432</stp>
        <tr r="F1764" s="3"/>
      </tp>
      <tp t="s">
        <v>#N/A N/A</v>
        <stp/>
        <stp>BDH|15108676262756596206</stp>
        <tr r="F1103" s="3"/>
      </tp>
      <tp t="s">
        <v>#N/A N/A</v>
        <stp/>
        <stp>BDH|16130735744557324347</stp>
        <tr r="F1733" s="3"/>
      </tp>
      <tp t="s">
        <v>#N/A N/A</v>
        <stp/>
        <stp>BDH|10620540825875302341</stp>
        <tr r="F1878" s="3"/>
      </tp>
      <tp t="s">
        <v>#N/A N/A</v>
        <stp/>
        <stp>BDH|12177781664863519185</stp>
        <tr r="F1742" s="3"/>
      </tp>
      <tp t="s">
        <v>#N/A N/A</v>
        <stp/>
        <stp>BDH|17479279841956518675</stp>
        <tr r="F1347" s="3"/>
      </tp>
      <tp t="s">
        <v>#N/A N/A</v>
        <stp/>
        <stp>BDH|10862627934672933656</stp>
        <tr r="F1106" s="3"/>
      </tp>
      <tp t="s">
        <v>#N/A N/A</v>
        <stp/>
        <stp>BDH|16520362171043735075</stp>
        <tr r="F1285" s="3"/>
      </tp>
      <tp t="s">
        <v>#N/A N/A</v>
        <stp/>
        <stp>BDH|13319125124915268420</stp>
        <tr r="F1706" s="3"/>
      </tp>
      <tp t="s">
        <v>#N/A N/A</v>
        <stp/>
        <stp>BDH|13808194229761961043</stp>
        <tr r="F1577" s="3"/>
      </tp>
      <tp t="s">
        <v>#N/A N/A</v>
        <stp/>
        <stp>BDH|12904037217064053698</stp>
        <tr r="F1215" s="3"/>
      </tp>
      <tp t="s">
        <v>#N/A N/A</v>
        <stp/>
        <stp>BDH|17880324457476148683</stp>
        <tr r="F1075" s="3"/>
      </tp>
      <tp t="s">
        <v>#N/A N/A</v>
        <stp/>
        <stp>BDH|15994218771516907748</stp>
        <tr r="F1521" s="3"/>
      </tp>
      <tp t="s">
        <v>#N/A N/A</v>
        <stp/>
        <stp>BDH|11286444094355389868</stp>
        <tr r="F1817" s="3"/>
      </tp>
      <tp t="s">
        <v>#N/A N/A</v>
        <stp/>
        <stp>BDH|17140700816244035408</stp>
        <tr r="F1477" s="3"/>
      </tp>
      <tp t="s">
        <v>#N/A N/A</v>
        <stp/>
        <stp>BDH|14397650610150667273</stp>
        <tr r="F1299" s="3"/>
      </tp>
      <tp t="s">
        <v>#N/A N/A</v>
        <stp/>
        <stp>BDH|12459342805365464563</stp>
        <tr r="F1314" s="3"/>
      </tp>
      <tp t="s">
        <v>#N/A N/A</v>
        <stp/>
        <stp>BDH|15783804801599883578</stp>
        <tr r="F1342" s="3"/>
      </tp>
      <tp t="s">
        <v>#N/A N/A</v>
        <stp/>
        <stp>BDH|17845954497642406465</stp>
        <tr r="F1066" s="3"/>
      </tp>
      <tp t="s">
        <v>#N/A N/A</v>
        <stp/>
        <stp>BDH|14601795541802201448</stp>
        <tr r="F1801" s="3"/>
      </tp>
      <tp t="s">
        <v>#N/A N/A</v>
        <stp/>
        <stp>BDH|17925155150472739004</stp>
        <tr r="F1829" s="3"/>
      </tp>
      <tp t="s">
        <v>#N/A N/A</v>
        <stp/>
        <stp>BDH|14086047007053862616</stp>
        <tr r="F1762" s="3"/>
        <tr r="F1548" s="3"/>
      </tp>
      <tp t="s">
        <v>#N/A N/A</v>
        <stp/>
        <stp>BDH|13406638182474824873</stp>
        <tr r="F1691" s="3"/>
      </tp>
      <tp t="s">
        <v>#N/A N/A</v>
        <stp/>
        <stp>BDH|11799433947741847166</stp>
        <tr r="F1938" s="3"/>
      </tp>
      <tp t="s">
        <v>#N/A N/A</v>
        <stp/>
        <stp>BDH|14149888264022227923</stp>
        <tr r="F1216" s="3"/>
      </tp>
      <tp t="s">
        <v>#N/A N/A</v>
        <stp/>
        <stp>BDH|10005371515347968468</stp>
        <tr r="F1604" s="3"/>
      </tp>
      <tp t="s">
        <v>#N/A N/A</v>
        <stp/>
        <stp>BDH|18166681830464798839</stp>
        <tr r="F1752" s="3"/>
      </tp>
      <tp t="s">
        <v>#N/A N/A</v>
        <stp/>
        <stp>BDH|14156214739077415300</stp>
        <tr r="F1046" s="3"/>
      </tp>
      <tp t="s">
        <v>#N/A N/A</v>
        <stp/>
        <stp>BDH|11682854337418902318</stp>
        <tr r="F1572" s="3"/>
      </tp>
      <tp t="s">
        <v>#N/A N/A</v>
        <stp/>
        <stp>BDH|15163236460905943554</stp>
        <tr r="F1749" s="3"/>
      </tp>
      <tp t="s">
        <v>#N/A N/A</v>
        <stp/>
        <stp>BDH|15384496502064795415</stp>
        <tr r="F1613" s="3"/>
      </tp>
      <tp t="s">
        <v>#N/A N/A</v>
        <stp/>
        <stp>BDH|11744224873097877202</stp>
        <tr r="F1280" s="3"/>
      </tp>
      <tp t="s">
        <v>#N/A N/A</v>
        <stp/>
        <stp>BDH|11552548469820792318</stp>
        <tr r="F1608" s="3"/>
      </tp>
      <tp t="s">
        <v>#N/A N/A</v>
        <stp/>
        <stp>BDH|12263242699579974668</stp>
        <tr r="F1883" s="3"/>
      </tp>
      <tp t="s">
        <v>#N/A N/A</v>
        <stp/>
        <stp>BDH|11395458205526322505</stp>
        <tr r="F1286" s="3"/>
      </tp>
      <tp t="s">
        <v>#N/A N/A</v>
        <stp/>
        <stp>BDH|16066351320246380768</stp>
        <tr r="F1808" s="3"/>
      </tp>
      <tp t="s">
        <v>#N/A N/A</v>
        <stp/>
        <stp>BDH|10203689438930569348</stp>
        <tr r="F1417" s="3"/>
      </tp>
      <tp t="s">
        <v>#N/A N/A</v>
        <stp/>
        <stp>BDH|11238213135271354767</stp>
        <tr r="F1553" s="3"/>
      </tp>
      <tp t="s">
        <v>#N/A N/A</v>
        <stp/>
        <stp>BDH|16940863431209908241</stp>
        <tr r="F1871" s="3"/>
      </tp>
      <tp t="s">
        <v>#N/A N/A</v>
        <stp/>
        <stp>BDH|17590309004213466179</stp>
        <tr r="F1289" s="3"/>
      </tp>
      <tp t="s">
        <v>#N/A N/A</v>
        <stp/>
        <stp>BDH|10074846156778557350</stp>
        <tr r="F1782" s="3"/>
      </tp>
      <tp t="s">
        <v>#N/A N/A</v>
        <stp/>
        <stp>BDH|12553643139419867827</stp>
        <tr r="F1854" s="3"/>
      </tp>
      <tp t="s">
        <v>#N/A N/A</v>
        <stp/>
        <stp>BDH|18424450286453177146</stp>
        <tr r="F1770" s="3"/>
      </tp>
      <tp t="s">
        <v>#N/A N/A</v>
        <stp/>
        <stp>BDH|13899236217116883063</stp>
        <tr r="F1761" s="3"/>
      </tp>
      <tp t="s">
        <v>#N/A N/A</v>
        <stp/>
        <stp>BDH|17457846722519509229</stp>
        <tr r="F1243" s="3"/>
      </tp>
      <tp t="s">
        <v>#N/A N/A</v>
        <stp/>
        <stp>BDH|10928617930481858259</stp>
        <tr r="F1399" s="3"/>
      </tp>
      <tp t="s">
        <v>#N/A N/A</v>
        <stp/>
        <stp>BDH|18010428780236750412</stp>
        <tr r="F1295" s="3"/>
      </tp>
      <tp t="s">
        <v>#N/A N/A</v>
        <stp/>
        <stp>BDH|17809212620756466793</stp>
        <tr r="F1835" s="3"/>
      </tp>
      <tp t="s">
        <v>#N/A N/A</v>
        <stp/>
        <stp>BDH|15699067769524899169</stp>
        <tr r="F1236" s="3"/>
      </tp>
      <tp t="s">
        <v>#N/A N/A</v>
        <stp/>
        <stp>BDH|12849989891680735400</stp>
        <tr r="F1156" s="3"/>
      </tp>
      <tp t="s">
        <v>#N/A N/A</v>
        <stp/>
        <stp>BDH|18440618337499458208</stp>
        <tr r="F1767" s="3"/>
      </tp>
      <tp t="s">
        <v>#N/A N/A</v>
        <stp/>
        <stp>BDH|13045228243134135787</stp>
        <tr r="F1015" s="3"/>
      </tp>
      <tp t="s">
        <v>#N/A N/A</v>
        <stp/>
        <stp>BDH|11487813476641903920</stp>
        <tr r="F1412" s="3"/>
      </tp>
      <tp t="s">
        <v>#N/A N/A</v>
        <stp/>
        <stp>BDH|14726085662753733725</stp>
        <tr r="F1631" s="3"/>
      </tp>
      <tp t="s">
        <v>#N/A N/A</v>
        <stp/>
        <stp>BDH|15614815706739290295</stp>
        <tr r="F1249" s="3"/>
      </tp>
      <tp t="s">
        <v>#N/A N/A</v>
        <stp/>
        <stp>BDH|10523618824991258388</stp>
        <tr r="F1932" s="3"/>
      </tp>
      <tp t="s">
        <v>#N/A N/A</v>
        <stp/>
        <stp>BDH|16663599835510607619</stp>
        <tr r="F1862" s="3"/>
      </tp>
      <tp t="s">
        <v>#N/A N/A</v>
        <stp/>
        <stp>BDH|11355491603971580213</stp>
        <tr r="F1038" s="3"/>
      </tp>
      <tp t="s">
        <v>#N/A N/A</v>
        <stp/>
        <stp>BDH|10518755568176098146</stp>
        <tr r="F1789" s="3"/>
      </tp>
      <tp t="s">
        <v>#N/A N/A</v>
        <stp/>
        <stp>BDH|10901150555257544508</stp>
        <tr r="F1496" s="3"/>
      </tp>
      <tp t="s">
        <v>#N/A N/A</v>
        <stp/>
        <stp>BDH|16611819848059388507</stp>
        <tr r="F1701" s="3"/>
      </tp>
      <tp t="s">
        <v>#N/A N/A</v>
        <stp/>
        <stp>BDH|12630973746499183093</stp>
        <tr r="F1891" s="3"/>
      </tp>
      <tp t="s">
        <v>#N/A N/A</v>
        <stp/>
        <stp>BDH|11550729531274685619</stp>
        <tr r="F1405" s="3"/>
      </tp>
      <tp t="s">
        <v>#N/A N/A</v>
        <stp/>
        <stp>BDH|17136020275982732504</stp>
        <tr r="F1537" s="3"/>
      </tp>
      <tp t="s">
        <v>#N/A N/A</v>
        <stp/>
        <stp>BDH|17627054491408175127</stp>
        <tr r="F1364" s="3"/>
      </tp>
      <tp t="s">
        <v>#N/A N/A</v>
        <stp/>
        <stp>BDH|14323303400023342313</stp>
        <tr r="F1382" s="3"/>
      </tp>
      <tp t="s">
        <v>#N/A N/A</v>
        <stp/>
        <stp>BDH|15682008261172691612</stp>
        <tr r="F1452" s="3"/>
      </tp>
      <tp t="s">
        <v>#N/A N/A</v>
        <stp/>
        <stp>BDH|18171265109684825969</stp>
        <tr r="F1383" s="3"/>
      </tp>
      <tp t="s">
        <v>#N/A N/A</v>
        <stp/>
        <stp>BDH|10336547492043625837</stp>
        <tr r="F1252" s="3"/>
      </tp>
      <tp t="s">
        <v>#N/A N/A</v>
        <stp/>
        <stp>BDH|13281657850252641523</stp>
        <tr r="F1380" s="3"/>
      </tp>
      <tp t="s">
        <v>#N/A N/A</v>
        <stp/>
        <stp>BDH|13947698623080927093</stp>
        <tr r="F1225" s="3"/>
      </tp>
      <tp t="s">
        <v>#N/A N/A</v>
        <stp/>
        <stp>BDH|17498744394817785901</stp>
        <tr r="F1081" s="3"/>
      </tp>
      <tp t="s">
        <v>#N/A N/A</v>
        <stp/>
        <stp>BDH|13599655351691479677</stp>
        <tr r="F1775" s="3"/>
      </tp>
      <tp t="s">
        <v>#N/A N/A</v>
        <stp/>
        <stp>BDH|10045826251678431255</stp>
        <tr r="F1934" s="3"/>
      </tp>
      <tp t="s">
        <v>#N/A N/A</v>
        <stp/>
        <stp>BDH|16541646761872385362</stp>
        <tr r="F1267" s="3"/>
      </tp>
      <tp t="s">
        <v>#N/A N/A</v>
        <stp/>
        <stp>BDH|18104903627936353214</stp>
        <tr r="F1340" s="3"/>
      </tp>
      <tp t="s">
        <v>#N/A N/A</v>
        <stp/>
        <stp>BDH|17401537692324573841</stp>
        <tr r="F1250" s="3"/>
      </tp>
      <tp t="s">
        <v>#N/A N/A</v>
        <stp/>
        <stp>BDH|12981598730360453306</stp>
        <tr r="F1241" s="3"/>
      </tp>
      <tp t="s">
        <v>#N/A N/A</v>
        <stp/>
        <stp>BDH|17707251964073734754</stp>
        <tr r="F1821" s="3"/>
      </tp>
      <tp t="s">
        <v>#N/A N/A</v>
        <stp/>
        <stp>BDH|16300598742607907758</stp>
        <tr r="F1785" s="3"/>
      </tp>
      <tp t="s">
        <v>#N/A N/A</v>
        <stp/>
        <stp>BDH|13206674037605580401</stp>
        <tr r="F1688" s="3"/>
      </tp>
      <tp t="s">
        <v>#N/A N/A</v>
        <stp/>
        <stp>BDH|10045112115452094528</stp>
        <tr r="F1238" s="3"/>
      </tp>
      <tp t="s">
        <v>#N/A N/A</v>
        <stp/>
        <stp>BDH|13498259412266576107</stp>
        <tr r="F1667" s="3"/>
      </tp>
      <tp t="s">
        <v>#N/A N/A</v>
        <stp/>
        <stp>BDH|10886596082129414319</stp>
        <tr r="F1760" s="3"/>
      </tp>
      <tp t="s">
        <v>#N/A N/A</v>
        <stp/>
        <stp>BDH|16468258201986871511</stp>
        <tr r="F1379" s="3"/>
      </tp>
      <tp t="s">
        <v>#N/A N/A</v>
        <stp/>
        <stp>BDH|10691597559425791284</stp>
        <tr r="F1859" s="3"/>
      </tp>
      <tp t="s">
        <v>#N/A N/A</v>
        <stp/>
        <stp>BDH|16484496051750183052</stp>
        <tr r="F1335" s="3"/>
      </tp>
      <tp t="s">
        <v>#N/A N/A</v>
        <stp/>
        <stp>BDH|17285567165454141789</stp>
        <tr r="F1284" s="3"/>
      </tp>
      <tp t="s">
        <v>#N/A N/A</v>
        <stp/>
        <stp>BDH|14744732433675442282</stp>
        <tr r="F1941" s="3"/>
      </tp>
      <tp t="s">
        <v>#N/A N/A</v>
        <stp/>
        <stp>BDH|13034421839517020415</stp>
        <tr r="F1449" s="3"/>
      </tp>
      <tp t="s">
        <v>#N/A N/A</v>
        <stp/>
        <stp>BDH|11416864031904779994</stp>
        <tr r="F1886" s="3"/>
      </tp>
      <tp t="s">
        <v>#N/A N/A</v>
        <stp/>
        <stp>BDH|14135449425606912340</stp>
        <tr r="F1181" s="3"/>
      </tp>
      <tp t="s">
        <v>#N/A N/A</v>
        <stp/>
        <stp>BDH|12071317444621019399</stp>
        <tr r="F1765" s="3"/>
      </tp>
      <tp t="s">
        <v>#N/A N/A</v>
        <stp/>
        <stp>BDH|17741248045146069080</stp>
        <tr r="F1888" s="3"/>
      </tp>
      <tp t="s">
        <v>#N/A N/A</v>
        <stp/>
        <stp>BDH|13963916850941006961</stp>
        <tr r="F1680" s="3"/>
      </tp>
      <tp t="s">
        <v>#N/A N/A</v>
        <stp/>
        <stp>BDH|13588593074273165570</stp>
        <tr r="F1495" s="3"/>
      </tp>
      <tp t="s">
        <v>#N/A N/A</v>
        <stp/>
        <stp>BDH|10543307021274126145</stp>
        <tr r="F1471" s="3"/>
      </tp>
      <tp t="s">
        <v>#N/A N/A</v>
        <stp/>
        <stp>BDH|10931891633579573675</stp>
        <tr r="F1790" s="3"/>
      </tp>
      <tp t="s">
        <v>#N/A N/A</v>
        <stp/>
        <stp>BDH|17078210707497775623</stp>
        <tr r="F1660" s="3"/>
      </tp>
      <tp t="s">
        <v>#N/A N/A</v>
        <stp/>
        <stp>BDH|17808165337308869937</stp>
        <tr r="F1351" s="3"/>
      </tp>
      <tp t="s">
        <v>#N/A N/A</v>
        <stp/>
        <stp>BDH|15777771208325257385</stp>
        <tr r="F1204" s="3"/>
      </tp>
      <tp t="s">
        <v>#N/A N/A</v>
        <stp/>
        <stp>BDH|11298050244169480823</stp>
        <tr r="F1529" s="3"/>
      </tp>
      <tp t="s">
        <v>#N/A N/A</v>
        <stp/>
        <stp>BDH|15068230758657774195</stp>
        <tr r="F1647" s="3"/>
      </tp>
      <tp t="s">
        <v>#N/A N/A</v>
        <stp/>
        <stp>BDH|17041028957161788775</stp>
        <tr r="F1541" s="3"/>
      </tp>
      <tp t="s">
        <v>#N/A N/A</v>
        <stp/>
        <stp>BDH|15043209262593001662</stp>
        <tr r="F1585" s="3"/>
      </tp>
      <tp t="s">
        <v>#N/A N/A</v>
        <stp/>
        <stp>BDH|12230215983639061546</stp>
        <tr r="F1658" s="3"/>
      </tp>
      <tp t="s">
        <v>#N/A N/A</v>
        <stp/>
        <stp>BDH|14557076397240186930</stp>
        <tr r="F1728" s="3"/>
      </tp>
      <tp t="s">
        <v>#N/A N/A</v>
        <stp/>
        <stp>BDH|17618549552173171061</stp>
        <tr r="F1244" s="3"/>
      </tp>
      <tp t="s">
        <v>#N/A N/A</v>
        <stp/>
        <stp>BDH|15922292129182606381</stp>
        <tr r="F1511" s="3"/>
      </tp>
      <tp t="s">
        <v>#N/A N/A</v>
        <stp/>
        <stp>BDH|17017198807074040664</stp>
        <tr r="F1642" s="3"/>
      </tp>
      <tp t="s">
        <v>#N/A N/A</v>
        <stp/>
        <stp>BDH|18263811872522165187</stp>
        <tr r="F1571" s="3"/>
      </tp>
      <tp t="s">
        <v>#N/A N/A</v>
        <stp/>
        <stp>BDH|10626703702637867445</stp>
        <tr r="F1290" s="3"/>
      </tp>
      <tp t="s">
        <v>#N/A N/A</v>
        <stp/>
        <stp>BDH|12238218368672668063</stp>
        <tr r="F1726" s="3"/>
      </tp>
      <tp t="s">
        <v>#N/A N/A</v>
        <stp/>
        <stp>BDH|11695290674745379534</stp>
        <tr r="F1258" s="3"/>
      </tp>
      <tp t="s">
        <v>#N/A N/A</v>
        <stp/>
        <stp>BDH|11785862000778953525</stp>
        <tr r="F1188" s="3"/>
      </tp>
      <tp t="s">
        <v>#N/A N/A</v>
        <stp/>
        <stp>BDH|16328450677817818639</stp>
        <tr r="F1128" s="3"/>
      </tp>
      <tp t="s">
        <v>#N/A N/A</v>
        <stp/>
        <stp>BDH|11711120712886899356</stp>
        <tr r="F1783" s="3"/>
      </tp>
      <tp t="s">
        <v>#N/A N/A</v>
        <stp/>
        <stp>BDH|16982349865914639331</stp>
        <tr r="F1446" s="3"/>
      </tp>
      <tp t="s">
        <v>#N/A N/A</v>
        <stp/>
        <stp>BDH|14342445853640182194</stp>
        <tr r="F1323" s="3"/>
      </tp>
      <tp t="s">
        <v>#N/A N/A</v>
        <stp/>
        <stp>BDH|11430791466145731109</stp>
        <tr r="F1107" s="3"/>
      </tp>
      <tp t="s">
        <v>#N/A N/A</v>
        <stp/>
        <stp>BDH|17343898599112951054</stp>
        <tr r="F1865" s="3"/>
      </tp>
      <tp t="s">
        <v>#N/A N/A</v>
        <stp/>
        <stp>BDH|12018993637169413548</stp>
        <tr r="F1453" s="3"/>
      </tp>
      <tp t="s">
        <v>#N/A N/A</v>
        <stp/>
        <stp>BDH|12455517528254441577</stp>
        <tr r="F1318" s="3"/>
      </tp>
      <tp t="s">
        <v>#N/A N/A</v>
        <stp/>
        <stp>BDH|11055354653474143792</stp>
        <tr r="F1715" s="3"/>
      </tp>
      <tp t="s">
        <v>#N/A N/A</v>
        <stp/>
        <stp>BDH|13922651899749723031</stp>
        <tr r="F1671" s="3"/>
      </tp>
      <tp t="s">
        <v>#N/A N/A</v>
        <stp/>
        <stp>BDH|11566017608006932259</stp>
        <tr r="F1512" s="3"/>
      </tp>
      <tp t="s">
        <v>#N/A N/A</v>
        <stp/>
        <stp>BDH|11112046520476522001</stp>
        <tr r="F1036" s="3"/>
      </tp>
      <tp t="s">
        <v>#N/A N/A</v>
        <stp/>
        <stp>BDH|17684108812530255266</stp>
        <tr r="F1798" s="3"/>
      </tp>
      <tp t="s">
        <v>#N/A N/A</v>
        <stp/>
        <stp>BDH|10726579102916811698</stp>
        <tr r="F1084" s="3"/>
      </tp>
      <tp t="s">
        <v>#N/A N/A</v>
        <stp/>
        <stp>BDH|17823383352033679770</stp>
        <tr r="F1257" s="3"/>
      </tp>
      <tp t="s">
        <v>#N/A N/A</v>
        <stp/>
        <stp>BDH|15771359913213745140</stp>
        <tr r="F1170" s="3"/>
      </tp>
      <tp t="s">
        <v>#N/A N/A</v>
        <stp/>
        <stp>BDH|11964027058827459628</stp>
        <tr r="F1197" s="3"/>
      </tp>
      <tp t="s">
        <v>#N/A N/A</v>
        <stp/>
        <stp>BDH|11228025477497830480</stp>
        <tr r="F1702" s="3"/>
      </tp>
      <tp t="s">
        <v>#N/A N/A</v>
        <stp/>
        <stp>BDH|11664300274577066746</stp>
        <tr r="F1460" s="3"/>
      </tp>
      <tp t="s">
        <v>#N/A N/A</v>
        <stp/>
        <stp>BDH|15192695324136361273</stp>
        <tr r="F1358" s="3"/>
      </tp>
      <tp t="s">
        <v>#N/A N/A</v>
        <stp/>
        <stp>BDH|14368101706236530680</stp>
        <tr r="F1217" s="3"/>
      </tp>
      <tp t="s">
        <v>#N/A N/A</v>
        <stp/>
        <stp>BDH|16481239647712957716</stp>
        <tr r="F1595" s="3"/>
      </tp>
      <tp t="s">
        <v>#N/A N/A</v>
        <stp/>
        <stp>BDH|16629927684315991726</stp>
        <tr r="F1415" s="3"/>
      </tp>
      <tp t="s">
        <v>#N/A N/A</v>
        <stp/>
        <stp>BDH|17386544391909448794</stp>
        <tr r="F1962" s="3"/>
      </tp>
      <tp t="s">
        <v>#N/A N/A</v>
        <stp/>
        <stp>BDH|13988952387966235135</stp>
        <tr r="F1120" s="3"/>
      </tp>
      <tp t="s">
        <v>#N/A N/A</v>
        <stp/>
        <stp>BDH|13242025946815852737</stp>
        <tr r="F1811" s="3"/>
      </tp>
      <tp t="s">
        <v>#N/A N/A</v>
        <stp/>
        <stp>BDH|17296773551726876613</stp>
        <tr r="F1146" s="3"/>
      </tp>
      <tp t="s">
        <v>#N/A N/A</v>
        <stp/>
        <stp>BDH|10029593945107653378</stp>
        <tr r="F1518" s="3"/>
      </tp>
      <tp t="s">
        <v>#N/A N/A</v>
        <stp/>
        <stp>BDH|11857619100575524718</stp>
        <tr r="F1305" s="3"/>
      </tp>
      <tp t="s">
        <v>#N/A N/A</v>
        <stp/>
        <stp>BDH|17462507165467931678</stp>
        <tr r="F1754" s="3"/>
      </tp>
      <tp t="s">
        <v>#N/A N/A</v>
        <stp/>
        <stp>BDH|15567968962977954870</stp>
        <tr r="C1992" s="3"/>
        <tr r="C1984" s="3"/>
      </tp>
      <tp t="s">
        <v>#N/A N/A</v>
        <stp/>
        <stp>BDH|14401851357569927504</stp>
        <tr r="F1665" s="3"/>
      </tp>
    </main>
    <main first="bofaddin.rtdserver">
      <tp t="s">
        <v>#N/A N/A</v>
        <stp/>
        <stp>BDH|2138078614539877</stp>
        <tr r="F1058" s="3"/>
      </tp>
    </main>
    <main first="bloomberg.ccyreader">
      <tp>
        <v>0</v>
        <stp/>
        <stp>#track</stp>
        <stp>DBG</stp>
        <stp>BIHITX</stp>
        <stp>1.0</stp>
        <stp>RepeatHit</stp>
        <tr r="A1006" s="3"/>
      </tp>
    </main>
    <main first="bofaddin.rtdserver">
      <tp t="s">
        <v>#N/A N/A</v>
        <stp/>
        <stp>BDH|8817893928699656750</stp>
        <tr r="F1432" s="3"/>
      </tp>
      <tp t="s">
        <v>#N/A N/A</v>
        <stp/>
        <stp>BDH|8662720572291906544</stp>
        <tr r="F1458" s="3"/>
      </tp>
      <tp t="s">
        <v>#N/A N/A</v>
        <stp/>
        <stp>BDH|2268986196427654912</stp>
        <tr r="F1050" s="3"/>
      </tp>
      <tp t="s">
        <v>#N/A N/A</v>
        <stp/>
        <stp>BDH|4151005475058733784</stp>
        <tr r="F1451" s="3"/>
      </tp>
      <tp t="s">
        <v>#N/A N/A</v>
        <stp/>
        <stp>BDH|9099337434933878676</stp>
        <tr r="F1499" s="3"/>
      </tp>
      <tp t="s">
        <v>#N/A N/A</v>
        <stp/>
        <stp>BDH|5969862801997298642</stp>
        <tr r="F1472" s="3"/>
      </tp>
      <tp t="s">
        <v>#N/A N/A</v>
        <stp/>
        <stp>BDH|6744970347546917168</stp>
        <tr r="F1371" s="3"/>
      </tp>
      <tp t="s">
        <v>#N/A N/A</v>
        <stp/>
        <stp>BDH|5852023071297082923</stp>
        <tr r="F1856" s="3"/>
      </tp>
      <tp t="s">
        <v>#N/A N/A</v>
        <stp/>
        <stp>BDH|8550873167442844836</stp>
        <tr r="F1071" s="3"/>
      </tp>
      <tp t="s">
        <v>#N/A N/A</v>
        <stp/>
        <stp>BDH|6609315401851860809</stp>
        <tr r="F1293" s="3"/>
      </tp>
      <tp t="s">
        <v>#N/A N/A</v>
        <stp/>
        <stp>BDH|4134710688013656400</stp>
        <tr r="F1780" s="3"/>
      </tp>
      <tp t="s">
        <v>#N/A N/A</v>
        <stp/>
        <stp>BDH|3685446690755973756</stp>
        <tr r="F1578" s="3"/>
      </tp>
      <tp t="s">
        <v>#N/A N/A</v>
        <stp/>
        <stp>BDH|1032251504928506788</stp>
        <tr r="F1211" s="3"/>
      </tp>
      <tp t="s">
        <v>#N/A N/A</v>
        <stp/>
        <stp>BDH|9063166818847477298</stp>
        <tr r="F1879" s="3"/>
      </tp>
      <tp t="s">
        <v>#N/A N/A</v>
        <stp/>
        <stp>BDH|5870870008289405836</stp>
        <tr r="F1137" s="3"/>
      </tp>
      <tp t="s">
        <v>#N/A N/A</v>
        <stp/>
        <stp>BDH|2278925932336046220</stp>
        <tr r="F1344" s="3"/>
        <tr r="F1747" s="3"/>
      </tp>
      <tp t="s">
        <v>#N/A N/A</v>
        <stp/>
        <stp>BDH|5004595770993129887</stp>
        <tr r="F1223" s="3"/>
      </tp>
      <tp t="s">
        <v>#N/A N/A</v>
        <stp/>
        <stp>BDH|9643819397896937298</stp>
        <tr r="F1232" s="3"/>
      </tp>
      <tp t="s">
        <v>#N/A N/A</v>
        <stp/>
        <stp>BDH|5027608825835535810</stp>
        <tr r="F1127" s="3"/>
      </tp>
      <tp t="s">
        <v>#N/A N/A</v>
        <stp/>
        <stp>BDH|3788196586457171189</stp>
        <tr r="F1517" s="3"/>
      </tp>
      <tp t="s">
        <v>#N/A N/A</v>
        <stp/>
        <stp>BDH|5249966122613192164</stp>
        <tr r="F1459" s="3"/>
      </tp>
      <tp t="s">
        <v>#N/A N/A</v>
        <stp/>
        <stp>BDH|6535355465719529661</stp>
        <tr r="F1648" s="3"/>
      </tp>
      <tp t="s">
        <v>#N/A N/A</v>
        <stp/>
        <stp>BDH|7669998731704856509</stp>
        <tr r="F1563" s="3"/>
      </tp>
      <tp t="s">
        <v>#N/A N/A</v>
        <stp/>
        <stp>BDH|7618308881495171503</stp>
        <tr r="F1086" s="3"/>
      </tp>
      <tp t="s">
        <v>#N/A N/A</v>
        <stp/>
        <stp>BDH|5951343727281454991</stp>
        <tr r="F1953" s="3"/>
      </tp>
      <tp t="s">
        <v>#N/A N/A</v>
        <stp/>
        <stp>BDH|5056271804769417235</stp>
        <tr r="F1610" s="3"/>
      </tp>
      <tp t="s">
        <v>#N/A N/A</v>
        <stp/>
        <stp>BDH|5962770538649025432</stp>
        <tr r="F1273" s="3"/>
      </tp>
      <tp t="s">
        <v>#N/A N/A</v>
        <stp/>
        <stp>BDH|7185509692492055563</stp>
        <tr r="F1365" s="3"/>
      </tp>
      <tp t="s">
        <v>#N/A N/A</v>
        <stp/>
        <stp>BDH|6845782384486931260</stp>
        <tr r="F1950" s="3"/>
      </tp>
      <tp t="s">
        <v>#N/A N/A</v>
        <stp/>
        <stp>BDH|8220964038199620639</stp>
        <tr r="F1952" s="3"/>
      </tp>
      <tp t="s">
        <v>#N/A N/A</v>
        <stp/>
        <stp>BDH|9225893763292789818</stp>
        <tr r="F1089" s="3"/>
      </tp>
      <tp t="s">
        <v>#N/A N/A</v>
        <stp/>
        <stp>BDH|5507908771970860621</stp>
        <tr r="F1806" s="3"/>
      </tp>
      <tp t="s">
        <v>#N/A N/A</v>
        <stp/>
        <stp>BDH|7324543650209911310</stp>
        <tr r="F1669" s="3"/>
      </tp>
      <tp t="s">
        <v>#N/A N/A</v>
        <stp/>
        <stp>BDH|6959046381470745346</stp>
        <tr r="F1428" s="3"/>
      </tp>
      <tp t="s">
        <v>#N/A N/A</v>
        <stp/>
        <stp>BDH|2966648792219151916</stp>
        <tr r="F1263" s="3"/>
      </tp>
      <tp t="s">
        <v>#N/A N/A</v>
        <stp/>
        <stp>BDH|4946613188443487489</stp>
        <tr r="F1423" s="3"/>
      </tp>
      <tp t="s">
        <v>#N/A N/A</v>
        <stp/>
        <stp>BDH|9440925606358434588</stp>
        <tr r="F1085" s="3"/>
      </tp>
      <tp t="s">
        <v>#N/A N/A</v>
        <stp/>
        <stp>BDH|1249260952918951332</stp>
        <tr r="F1425" s="3"/>
      </tp>
      <tp t="s">
        <v>#N/A N/A</v>
        <stp/>
        <stp>BDH|5655882455772644719</stp>
        <tr r="F1881" s="3"/>
      </tp>
      <tp t="s">
        <v>#N/A N/A</v>
        <stp/>
        <stp>BDH|5416864216587918603</stp>
        <tr r="F1823" s="3"/>
      </tp>
      <tp t="s">
        <v>#N/A N/A</v>
        <stp/>
        <stp>BDH|4836636703396109940</stp>
        <tr r="F1033" s="3"/>
      </tp>
      <tp t="s">
        <v>#N/A N/A</v>
        <stp/>
        <stp>BDH|3798924558503553153</stp>
        <tr r="F1694" s="3"/>
      </tp>
      <tp t="s">
        <v>#N/A N/A</v>
        <stp/>
        <stp>BDH|3632907652306375450</stp>
        <tr r="F1711" s="3"/>
      </tp>
      <tp t="s">
        <v>#N/A N/A</v>
        <stp/>
        <stp>BDH|9896729474903441781</stp>
        <tr r="F1035" s="3"/>
      </tp>
      <tp t="s">
        <v>#N/A N/A</v>
        <stp/>
        <stp>BDH|8279949594956118305</stp>
        <tr r="F1116" s="3"/>
      </tp>
      <tp t="s">
        <v>#N/A N/A</v>
        <stp/>
        <stp>BDH|8100747164746708257</stp>
        <tr r="F1228" s="3"/>
      </tp>
      <tp t="s">
        <v>#N/A N/A</v>
        <stp/>
        <stp>BDH|1564587357709308596</stp>
        <tr r="F1149" s="3"/>
      </tp>
      <tp t="s">
        <v>#N/A N/A</v>
        <stp/>
        <stp>BDH|9640705112426282464</stp>
        <tr r="F1068" s="3"/>
      </tp>
      <tp t="s">
        <v>#N/A N/A</v>
        <stp/>
        <stp>BDH|5689472650700736965</stp>
        <tr r="F1588" s="3"/>
      </tp>
      <tp t="s">
        <v>#N/A N/A</v>
        <stp/>
        <stp>BDH|8328875984164489143</stp>
        <tr r="F1650" s="3"/>
      </tp>
      <tp t="s">
        <v>#N/A N/A</v>
        <stp/>
        <stp>BDH|5986693156133215845</stp>
        <tr r="F1140" s="3"/>
      </tp>
      <tp t="s">
        <v>#N/A N/A</v>
        <stp/>
        <stp>BDH|9894228001263351593</stp>
        <tr r="F1265" s="3"/>
      </tp>
      <tp t="s">
        <v>#N/A N/A</v>
        <stp/>
        <stp>BDH|9136996497986870261</stp>
        <tr r="F1094" s="3"/>
      </tp>
      <tp t="s">
        <v>#N/A N/A</v>
        <stp/>
        <stp>BDH|7183537625725520837</stp>
        <tr r="F1847" s="3"/>
      </tp>
      <tp t="s">
        <v>#N/A N/A</v>
        <stp/>
        <stp>BDH|1455051287075085170</stp>
        <tr r="F1057" s="3"/>
      </tp>
      <tp t="s">
        <v>#N/A N/A</v>
        <stp/>
        <stp>BDH|8116507864210022635</stp>
        <tr r="F1583" s="3"/>
      </tp>
      <tp t="s">
        <v>#N/A N/A</v>
        <stp/>
        <stp>BDH|3380348649140184992</stp>
        <tr r="F1602" s="3"/>
      </tp>
      <tp t="s">
        <v>#N/A N/A</v>
        <stp/>
        <stp>BDH|4349327387181556346</stp>
        <tr r="F1910" s="3"/>
      </tp>
      <tp t="s">
        <v>#N/A N/A</v>
        <stp/>
        <stp>BDH|8608710385893284971</stp>
        <tr r="F1924" s="3"/>
      </tp>
      <tp t="s">
        <v>#N/A N/A</v>
        <stp/>
        <stp>BDH|5455083409400437846</stp>
        <tr r="F1877" s="3"/>
      </tp>
      <tp t="s">
        <v>#N/A N/A</v>
        <stp/>
        <stp>BDH|6274289386137862612</stp>
        <tr r="F1766" s="3"/>
      </tp>
      <tp t="s">
        <v>#N/A N/A</v>
        <stp/>
        <stp>BDH|54511441836768776</stp>
        <tr r="F1095" s="3"/>
      </tp>
      <tp t="s">
        <v>#N/A N/A</v>
        <stp/>
        <stp>BDH|8632286248652514295</stp>
        <tr r="F1067" s="3"/>
      </tp>
      <tp t="s">
        <v>#N/A N/A</v>
        <stp/>
        <stp>BDH|8059006151243210097</stp>
        <tr r="F1554" s="3"/>
      </tp>
      <tp t="s">
        <v>#N/A N/A</v>
        <stp/>
        <stp>BDH|5869774436976444977</stp>
        <tr r="F1582" s="3"/>
      </tp>
      <tp t="s">
        <v>#N/A N/A</v>
        <stp/>
        <stp>BDH|1893979717637395013</stp>
        <tr r="F1596" s="3"/>
      </tp>
      <tp t="s">
        <v>#N/A N/A</v>
        <stp/>
        <stp>BDH|9945179627385535174</stp>
        <tr r="F1758" s="3"/>
      </tp>
      <tp t="s">
        <v>#N/A N/A</v>
        <stp/>
        <stp>BDH|2535470857599972447</stp>
        <tr r="F1922" s="3"/>
      </tp>
      <tp t="s">
        <v>#N/A N/A</v>
        <stp/>
        <stp>BDH|7120442268529065232</stp>
        <tr r="F1474" s="3"/>
      </tp>
      <tp t="s">
        <v>#N/A N/A</v>
        <stp/>
        <stp>BDH|1962687076056828812</stp>
        <tr r="F1661" s="3"/>
      </tp>
      <tp t="s">
        <v>#N/A N/A</v>
        <stp/>
        <stp>BDH|8512188117313737531</stp>
        <tr r="F1316" s="3"/>
      </tp>
      <tp t="s">
        <v>#N/A N/A</v>
        <stp/>
        <stp>BDH|7872125220123021962</stp>
        <tr r="F1528" s="3"/>
      </tp>
      <tp t="s">
        <v>#N/A N/A</v>
        <stp/>
        <stp>BDH|1847774418748904130</stp>
        <tr r="F1384" s="3"/>
      </tp>
      <tp t="s">
        <v>#N/A N/A</v>
        <stp/>
        <stp>BDH|8665122078217290739</stp>
        <tr r="F1509" s="3"/>
      </tp>
      <tp t="s">
        <v>#N/A N/A</v>
        <stp/>
        <stp>BDH|2794358854938923220</stp>
        <tr r="F1194" s="3"/>
      </tp>
      <tp t="s">
        <v>#N/A N/A</v>
        <stp/>
        <stp>BDH|1025615395860193075</stp>
        <tr r="F1741" s="3"/>
      </tp>
      <tp t="s">
        <v>#N/A N/A</v>
        <stp/>
        <stp>BDH|1459171480667373126</stp>
        <tr r="F1731" s="3"/>
        <tr r="F1392" s="3"/>
      </tp>
      <tp t="s">
        <v>#N/A N/A</v>
        <stp/>
        <stp>BDH|1261947940740604206</stp>
        <tr r="F1904" s="3"/>
      </tp>
      <tp t="s">
        <v>#N/A N/A</v>
        <stp/>
        <stp>BDH|6127878329693870173</stp>
        <tr r="F1175" s="3"/>
      </tp>
      <tp t="s">
        <v>#N/A N/A</v>
        <stp/>
        <stp>BDH|4383488240522919834</stp>
        <tr r="F1202" s="3"/>
      </tp>
      <tp t="s">
        <v>#N/A N/A</v>
        <stp/>
        <stp>BDH|9323357645203218301</stp>
        <tr r="F1873" s="3"/>
      </tp>
      <tp t="s">
        <v>#N/A N/A</v>
        <stp/>
        <stp>BDH|8831755154833147793</stp>
        <tr r="F1784" s="3"/>
      </tp>
      <tp t="s">
        <v>#N/A N/A</v>
        <stp/>
        <stp>BDH|3739187942978978020</stp>
        <tr r="F1026" s="3"/>
      </tp>
      <tp t="s">
        <v>#N/A N/A</v>
        <stp/>
        <stp>BDH|5111274374477441908</stp>
        <tr r="F1942" s="3"/>
      </tp>
      <tp t="s">
        <v>#N/A N/A</v>
        <stp/>
        <stp>BDH|6443000090689609852</stp>
        <tr r="F1855" s="3"/>
      </tp>
      <tp t="s">
        <v>#N/A N/A</v>
        <stp/>
        <stp>BDH|1423861489807987858</stp>
        <tr r="F1473" s="3"/>
      </tp>
      <tp t="s">
        <v>#N/A N/A</v>
        <stp/>
        <stp>BDH|8778712804093603205</stp>
        <tr r="F1926" s="3"/>
      </tp>
      <tp t="s">
        <v>#N/A N/A</v>
        <stp/>
        <stp>BDH|1678778358804558988</stp>
        <tr r="F1954" s="3"/>
      </tp>
      <tp t="s">
        <v>#N/A N/A</v>
        <stp/>
        <stp>BDH|5789162892495198677</stp>
        <tr r="F1923" s="3"/>
      </tp>
      <tp t="s">
        <v>#N/A N/A</v>
        <stp/>
        <stp>BDH|4403559746532052920</stp>
        <tr r="F1723" s="3"/>
      </tp>
      <tp t="s">
        <v>#N/A N/A</v>
        <stp/>
        <stp>BDH|8446093576672835295</stp>
        <tr r="F1210" s="3"/>
      </tp>
      <tp t="s">
        <v>#N/A N/A</v>
        <stp/>
        <stp>BDH|6342245137781372984</stp>
        <tr r="F1640" s="3"/>
      </tp>
      <tp t="s">
        <v>#N/A N/A</v>
        <stp/>
        <stp>BDH|8617346893365863824</stp>
        <tr r="F1104" s="3"/>
      </tp>
      <tp t="s">
        <v>#N/A N/A</v>
        <stp/>
        <stp>BDH|3574858906817803358</stp>
        <tr r="F1538" s="3"/>
      </tp>
      <tp t="s">
        <v>#N/A N/A</v>
        <stp/>
        <stp>BDH|8880239102192193768</stp>
        <tr r="F1079" s="3"/>
      </tp>
      <tp t="s">
        <v>#N/A N/A</v>
        <stp/>
        <stp>BDH|1428341019514427833</stp>
        <tr r="F1462" s="3"/>
      </tp>
      <tp t="s">
        <v>#N/A N/A</v>
        <stp/>
        <stp>BDH|7350019029723385978</stp>
        <tr r="F1123" s="3"/>
      </tp>
      <tp t="s">
        <v>#N/A N/A</v>
        <stp/>
        <stp>BDH|3577053245909110180</stp>
        <tr r="F1850" s="3"/>
      </tp>
      <tp t="s">
        <v>#N/A N/A</v>
        <stp/>
        <stp>BDH|9419716121710146389</stp>
        <tr r="F1150" s="3"/>
      </tp>
      <tp t="s">
        <v>#N/A N/A</v>
        <stp/>
        <stp>BDH|2484202492820262698</stp>
        <tr r="F1148" s="3"/>
      </tp>
      <tp t="s">
        <v>#N/A N/A</v>
        <stp/>
        <stp>BDH|8862045194717834923</stp>
        <tr r="F1899" s="3"/>
      </tp>
      <tp t="s">
        <v>#N/A N/A</v>
        <stp/>
        <stp>BDH|6438119463289706736</stp>
        <tr r="F1400" s="3"/>
      </tp>
      <tp t="s">
        <v>#N/A N/A</v>
        <stp/>
        <stp>BDH|3991641081835710780</stp>
        <tr r="F1102" s="3"/>
      </tp>
      <tp t="s">
        <v>#N/A N/A</v>
        <stp/>
        <stp>BDH|2411436737533116913</stp>
        <tr r="F1698" s="3"/>
      </tp>
      <tp t="s">
        <v>#N/A N/A</v>
        <stp/>
        <stp>BDH|1186870160286617609</stp>
        <tr r="F1532" s="3"/>
      </tp>
      <tp t="s">
        <v>#N/A N/A</v>
        <stp/>
        <stp>BDH|4161122083335899785</stp>
        <tr r="F1876" s="3"/>
      </tp>
      <tp t="s">
        <v>#N/A N/A</v>
        <stp/>
        <stp>BDH|7139121065607798811</stp>
        <tr r="F1676" s="3"/>
      </tp>
      <tp t="s">
        <v>#N/A N/A</v>
        <stp/>
        <stp>BDH|8041234980308718522</stp>
        <tr r="F1166" s="3"/>
      </tp>
      <tp t="s">
        <v>#N/A N/A</v>
        <stp/>
        <stp>BDH|4580106391523303010</stp>
        <tr r="F1778" s="3"/>
      </tp>
      <tp t="s">
        <v>#N/A N/A</v>
        <stp/>
        <stp>BDH|7926455348659183121</stp>
        <tr r="F1389" s="3"/>
      </tp>
      <tp t="s">
        <v>#N/A N/A</v>
        <stp/>
        <stp>BDH|6732278695294210637</stp>
        <tr r="F1020" s="3"/>
      </tp>
      <tp t="s">
        <v>#N/A N/A</v>
        <stp/>
        <stp>BDH|9216174155232427016</stp>
        <tr r="F1557" s="3"/>
      </tp>
      <tp t="s">
        <v>#N/A N/A</v>
        <stp/>
        <stp>BDH|8670837049294236849</stp>
        <tr r="F1245" s="3"/>
      </tp>
      <tp t="s">
        <v>#N/A N/A</v>
        <stp/>
        <stp>BDH|3351792281652327629</stp>
        <tr r="F1183" s="3"/>
      </tp>
      <tp t="s">
        <v>#N/A N/A</v>
        <stp/>
        <stp>BDH|2058807307340554296</stp>
        <tr r="F1450" s="3"/>
      </tp>
      <tp t="s">
        <v>#N/A N/A</v>
        <stp/>
        <stp>BDH|1100027896118808852</stp>
        <tr r="F1759" s="3"/>
      </tp>
      <tp t="s">
        <v>#N/A N/A</v>
        <stp/>
        <stp>BDH|8788113982241873850</stp>
        <tr r="F1178" s="3"/>
      </tp>
      <tp t="s">
        <v>#N/A N/A</v>
        <stp/>
        <stp>BDH|9730101739795065604</stp>
        <tr r="F1187" s="3"/>
      </tp>
      <tp t="s">
        <v>#N/A N/A</v>
        <stp/>
        <stp>BDH|6625611488357795765</stp>
        <tr r="F1884" s="3"/>
      </tp>
      <tp t="s">
        <v>#N/A N/A</v>
        <stp/>
        <stp>BDH|2866961129400800107</stp>
        <tr r="F1329" s="3"/>
      </tp>
      <tp t="s">
        <v>#N/A N/A</v>
        <stp/>
        <stp>BDH|2556654618918738505</stp>
        <tr r="F1074" s="3"/>
      </tp>
      <tp t="s">
        <v>#N/A N/A</v>
        <stp/>
        <stp>BDH|1026179405601801968</stp>
        <tr r="F1944" s="3"/>
      </tp>
      <tp t="s">
        <v>#N/A N/A</v>
        <stp/>
        <stp>BDH|5924077299863982722</stp>
        <tr r="F1692" s="3"/>
      </tp>
      <tp t="s">
        <v>#N/A N/A</v>
        <stp/>
        <stp>BDH|9717359381478825270</stp>
        <tr r="F1622" s="3"/>
      </tp>
      <tp t="s">
        <v>#N/A N/A</v>
        <stp/>
        <stp>BDH|9462853839629656337</stp>
        <tr r="F1889" s="3"/>
      </tp>
      <tp t="s">
        <v>#N/A N/A</v>
        <stp/>
        <stp>BDH|3856112215079680277</stp>
        <tr r="F1864" s="3"/>
      </tp>
      <tp t="s">
        <v>#N/A N/A</v>
        <stp/>
        <stp>BDH|9291130604951560125</stp>
        <tr r="F1818" s="3"/>
      </tp>
      <tp t="s">
        <v>#N/A N/A</v>
        <stp/>
        <stp>BDH|4645964568204973722</stp>
        <tr r="F1254" s="3"/>
      </tp>
      <tp t="s">
        <v>#N/A N/A</v>
        <stp/>
        <stp>BDH|1967284099956010499</stp>
        <tr r="F1605" s="3"/>
      </tp>
      <tp t="s">
        <v>#N/A N/A</v>
        <stp/>
        <stp>BDH|7675969315461485607</stp>
        <tr r="F1670" s="3"/>
      </tp>
      <tp t="s">
        <v>#N/A N/A</v>
        <stp/>
        <stp>BDH|9463127236320086312</stp>
        <tr r="F1061" s="3"/>
      </tp>
      <tp t="s">
        <v>#N/A N/A</v>
        <stp/>
        <stp>BDH|5128945851710591107</stp>
        <tr r="F1960" s="3"/>
      </tp>
      <tp t="s">
        <v>#N/A N/A</v>
        <stp/>
        <stp>BDH|2722745567519392212</stp>
        <tr r="F1500" s="3"/>
      </tp>
      <tp t="s">
        <v>#N/A N/A</v>
        <stp/>
        <stp>BDH|5292871275282478025</stp>
        <tr r="F1629" s="3"/>
      </tp>
      <tp t="s">
        <v>#N/A N/A</v>
        <stp/>
        <stp>BDH|7917823817834257298</stp>
        <tr r="F1153" s="3"/>
      </tp>
      <tp t="s">
        <v>#N/A N/A</v>
        <stp/>
        <stp>BDH|2208507515449500755</stp>
        <tr r="F1326" s="3"/>
      </tp>
      <tp t="s">
        <v>#N/A N/A</v>
        <stp/>
        <stp>BDH|7760302026289692702</stp>
        <tr r="F1724" s="3"/>
      </tp>
      <tp t="s">
        <v>#N/A N/A</v>
        <stp/>
        <stp>BDH|7287093023869548496</stp>
        <tr r="F1486" s="3"/>
      </tp>
      <tp t="s">
        <v>#N/A N/A</v>
        <stp/>
        <stp>BDH|8911097655261252434</stp>
        <tr r="F1426" s="3"/>
      </tp>
      <tp t="s">
        <v>#N/A N/A</v>
        <stp/>
        <stp>BDH|1467004405161414815</stp>
        <tr r="F1632" s="3"/>
      </tp>
      <tp t="s">
        <v>#N/A N/A</v>
        <stp/>
        <stp>BDH|9407338275150530535</stp>
        <tr r="F1291" s="3"/>
      </tp>
      <tp t="s">
        <v>#N/A N/A</v>
        <stp/>
        <stp>BDH|1315355559469252681</stp>
        <tr r="F1416" s="3"/>
      </tp>
      <tp t="s">
        <v>#N/A N/A</v>
        <stp/>
        <stp>BDH|6908555460395027899</stp>
        <tr r="F1584" s="3"/>
      </tp>
      <tp t="s">
        <v>#N/A N/A</v>
        <stp/>
        <stp>BDH|5033862523633595452</stp>
        <tr r="F1429" s="3"/>
      </tp>
      <tp t="s">
        <v>#N/A N/A</v>
        <stp/>
        <stp>BDH|4986013002499238409</stp>
        <tr r="F1029" s="3"/>
      </tp>
      <tp t="s">
        <v>#N/A N/A</v>
        <stp/>
        <stp>BDH|8711468398284547848</stp>
        <tr r="F1367" s="3"/>
      </tp>
      <tp t="s">
        <v>#N/A N/A</v>
        <stp/>
        <stp>BDH|2449439287813883469</stp>
        <tr r="F1100" s="3"/>
      </tp>
      <tp t="s">
        <v>#N/A N/A</v>
        <stp/>
        <stp>BDH|5605810363095964730</stp>
        <tr r="F1882" s="3"/>
      </tp>
      <tp t="s">
        <v>#N/A N/A</v>
        <stp/>
        <stp>BDH|6016937322643874778</stp>
        <tr r="F1573" s="3"/>
      </tp>
      <tp t="s">
        <v>#N/A N/A</v>
        <stp/>
        <stp>BDH|5979093259858414109</stp>
        <tr r="F1555" s="3"/>
      </tp>
      <tp t="s">
        <v>#N/A N/A</v>
        <stp/>
        <stp>BDH|4164857908946794366</stp>
        <tr r="C1988" s="3"/>
        <tr r="C1980" s="3"/>
      </tp>
      <tp t="s">
        <v>#N/A N/A</v>
        <stp/>
        <stp>BDH|2172841306860507359</stp>
        <tr r="F1255" s="3"/>
      </tp>
      <tp t="s">
        <v>#N/A N/A</v>
        <stp/>
        <stp>BDH|6250055637864526854</stp>
        <tr r="F1935" s="3"/>
      </tp>
      <tp t="s">
        <v>#N/A N/A</v>
        <stp/>
        <stp>BDH|8736763528741129598</stp>
        <tr r="F1044" s="3"/>
      </tp>
      <tp t="s">
        <v>#N/A N/A</v>
        <stp/>
        <stp>BDH|8208775573358628969</stp>
        <tr r="F1325" s="3"/>
      </tp>
      <tp t="s">
        <v>#N/A N/A</v>
        <stp/>
        <stp>BDH|8144771214963591418</stp>
        <tr r="F1497" s="3"/>
      </tp>
      <tp t="s">
        <v>#N/A N/A</v>
        <stp/>
        <stp>BDH|3935092057729181602</stp>
        <tr r="F1301" s="3"/>
      </tp>
      <tp t="s">
        <v>#N/A N/A</v>
        <stp/>
        <stp>BDH|8437779006636437071</stp>
        <tr r="F1825" s="3"/>
      </tp>
      <tp t="s">
        <v>#N/A N/A</v>
        <stp/>
        <stp>BDH|9402159706043328237</stp>
        <tr r="F1276" s="3"/>
      </tp>
      <tp t="s">
        <v>#N/A N/A</v>
        <stp/>
        <stp>BDH|1308741000088237713</stp>
        <tr r="F1779" s="3"/>
      </tp>
      <tp t="s">
        <v>#N/A N/A</v>
        <stp/>
        <stp>BDH|4549980943470258086</stp>
        <tr r="F1157" s="3"/>
      </tp>
      <tp t="s">
        <v>#N/A N/A</v>
        <stp/>
        <stp>BDH|8934627744411819237</stp>
        <tr r="F1614" s="3"/>
      </tp>
      <tp t="s">
        <v>#N/A N/A</v>
        <stp/>
        <stp>BDH|2415977761062149666</stp>
        <tr r="F1810" s="3"/>
      </tp>
      <tp t="s">
        <v>#N/A N/A</v>
        <stp/>
        <stp>BDH|1457992021076090599</stp>
        <tr r="F1375" s="3"/>
      </tp>
      <tp t="s">
        <v>#N/A N/A</v>
        <stp/>
        <stp>BDH|9260757968632333069</stp>
        <tr r="F1936" s="3"/>
      </tp>
      <tp t="s">
        <v>#N/A N/A</v>
        <stp/>
        <stp>BDH|4097511473919968527</stp>
        <tr r="F1490" s="3"/>
      </tp>
      <tp t="s">
        <v>#N/A N/A</v>
        <stp/>
        <stp>BDH|9929414551660725278</stp>
        <tr r="F1224" s="3"/>
      </tp>
      <tp t="s">
        <v>#N/A N/A</v>
        <stp/>
        <stp>BDH|5073601994087820758</stp>
        <tr r="F1831" s="3"/>
      </tp>
      <tp t="s">
        <v>#N/A N/A</v>
        <stp/>
        <stp>BDH|8559292681058599073</stp>
        <tr r="F1124" s="3"/>
        <tr r="F1672" s="3"/>
      </tp>
      <tp t="s">
        <v>#N/A N/A</v>
        <stp/>
        <stp>BDH|5307341557178843140</stp>
        <tr r="F1664" s="3"/>
      </tp>
      <tp t="s">
        <v>#N/A N/A</v>
        <stp/>
        <stp>BDH|7237305832864566982</stp>
        <tr r="F1643" s="3"/>
      </tp>
      <tp t="s">
        <v>#N/A N/A</v>
        <stp/>
        <stp>BDH|5939359192793763645</stp>
        <tr r="F1348" s="3"/>
      </tp>
      <tp t="s">
        <v>#N/A N/A</v>
        <stp/>
        <stp>BDH|9627979805318786219</stp>
        <tr r="F1317" s="3"/>
      </tp>
      <tp t="s">
        <v>#N/A N/A</v>
        <stp/>
        <stp>BDH|4446752985200341148</stp>
        <tr r="F1965" s="3"/>
      </tp>
      <tp t="s">
        <v>#N/A N/A</v>
        <stp/>
        <stp>BDH|3721708007606332801</stp>
        <tr r="F1350" s="3"/>
      </tp>
      <tp t="s">
        <v>#N/A N/A</v>
        <stp/>
        <stp>BDH|9258080855487874172</stp>
        <tr r="F1833" s="3"/>
      </tp>
      <tp t="s">
        <v>#N/A N/A</v>
        <stp/>
        <stp>BDH|8837285601167082717</stp>
        <tr r="F1193" s="3"/>
      </tp>
      <tp t="s">
        <v>#N/A N/A</v>
        <stp/>
        <stp>BDH|9297534591599456647</stp>
        <tr r="F1504" s="3"/>
      </tp>
      <tp t="s">
        <v>#N/A N/A</v>
        <stp/>
        <stp>BDH|9481101377497017225</stp>
        <tr r="F1732" s="3"/>
      </tp>
      <tp t="s">
        <v>#N/A N/A</v>
        <stp/>
        <stp>BDH|5918497241089617612</stp>
        <tr r="F1288" s="3"/>
      </tp>
      <tp t="s">
        <v>#N/A N/A</v>
        <stp/>
        <stp>BDH|8459808982743315133</stp>
        <tr r="F1430" s="3"/>
      </tp>
      <tp t="s">
        <v>#N/A N/A</v>
        <stp/>
        <stp>BDH|4662961976223632370</stp>
        <tr r="F1139" s="3"/>
      </tp>
      <tp t="s">
        <v>#N/A N/A</v>
        <stp/>
        <stp>BDH|6178964833422116429</stp>
        <tr r="F1737" s="3"/>
      </tp>
      <tp t="s">
        <v>#N/A N/A</v>
        <stp/>
        <stp>BDH|8797376638403678193</stp>
        <tr r="F1297" s="3"/>
      </tp>
      <tp t="s">
        <v>#N/A N/A</v>
        <stp/>
        <stp>BDH|7471302976978554107</stp>
        <tr r="F1062" s="3"/>
      </tp>
      <tp t="s">
        <v>#N/A N/A</v>
        <stp/>
        <stp>BDH|9849717808283134752</stp>
        <tr r="F1134" s="3"/>
      </tp>
      <tp t="s">
        <v>#N/A N/A</v>
        <stp/>
        <stp>BDH|2658067507790548877</stp>
        <tr r="F1161" s="3"/>
      </tp>
      <tp t="s">
        <v>#N/A N/A</v>
        <stp/>
        <stp>BDH|9215488914400261690</stp>
        <tr r="F1319" s="3"/>
      </tp>
      <tp t="s">
        <v>#N/A N/A</v>
        <stp/>
        <stp>BDH|7847895918912348705</stp>
        <tr r="F1897" s="3"/>
      </tp>
      <tp t="s">
        <v>#N/A N/A</v>
        <stp/>
        <stp>BDH|5386319301825202884</stp>
        <tr r="F1171" s="3"/>
      </tp>
      <tp t="s">
        <v>#N/A N/A</v>
        <stp/>
        <stp>BDH|5865168529679704496</stp>
        <tr r="F1803" s="3"/>
      </tp>
      <tp t="s">
        <v>#N/A N/A</v>
        <stp/>
        <stp>BDH|5550217193150060582</stp>
        <tr r="F1271" s="3"/>
      </tp>
      <tp t="s">
        <v>#N/A N/A</v>
        <stp/>
        <stp>BDH|8088283874533060535</stp>
        <tr r="F1580" s="3"/>
      </tp>
      <tp t="s">
        <v>#N/A N/A</v>
        <stp/>
        <stp>BDH|1494867464386331282</stp>
        <tr r="F1268" s="3"/>
      </tp>
      <tp t="s">
        <v>#N/A N/A</v>
        <stp/>
        <stp>BDH|9901636143850869032</stp>
        <tr r="F1586" s="3"/>
      </tp>
      <tp t="s">
        <v>#N/A N/A</v>
        <stp/>
        <stp>BDH|4835557722061595982</stp>
        <tr r="F1822" s="3"/>
      </tp>
      <tp t="s">
        <v>#N/A N/A</v>
        <stp/>
        <stp>BDH|2635200916633052931</stp>
        <tr r="F1027" s="3"/>
      </tp>
      <tp t="s">
        <v>#N/A N/A</v>
        <stp/>
        <stp>BDH|4617203670442755823</stp>
        <tr r="F1201" s="3"/>
      </tp>
      <tp t="s">
        <v>#N/A N/A</v>
        <stp/>
        <stp>BDH|5935491904862503820</stp>
        <tr r="F1114" s="3"/>
      </tp>
      <tp t="s">
        <v>#N/A N/A</v>
        <stp/>
        <stp>BDH|3366612653179272233</stp>
        <tr r="F1579" s="3"/>
      </tp>
      <tp t="s">
        <v>#N/A N/A</v>
        <stp/>
        <stp>BDH|7549680772745746890</stp>
        <tr r="F1735" s="3"/>
      </tp>
      <tp t="s">
        <v>#N/A N/A</v>
        <stp/>
        <stp>BDH|8098491828295167015</stp>
        <tr r="F1597" s="3"/>
      </tp>
      <tp t="s">
        <v>#N/A N/A</v>
        <stp/>
        <stp>BDH|5625868706100094608</stp>
        <tr r="F1720" s="3"/>
      </tp>
      <tp t="s">
        <v>#N/A N/A</v>
        <stp/>
        <stp>BDH|6781042291922281666</stp>
        <tr r="F1797" s="3"/>
      </tp>
      <tp t="s">
        <v>#N/A N/A</v>
        <stp/>
        <stp>BDH|3742638015878539739</stp>
        <tr r="F1138" s="3"/>
      </tp>
      <tp t="s">
        <v>#N/A N/A</v>
        <stp/>
        <stp>BDH|3176879372106278121</stp>
        <tr r="F1207" s="3"/>
      </tp>
      <tp t="s">
        <v>#N/A N/A</v>
        <stp/>
        <stp>BDH|8520916182396603448</stp>
        <tr r="F1501" s="3"/>
      </tp>
      <tp t="s">
        <v>#N/A N/A</v>
        <stp/>
        <stp>BDH|3390531839086800849</stp>
        <tr r="F1445" s="3"/>
      </tp>
      <tp t="s">
        <v>#N/A N/A</v>
        <stp/>
        <stp>BDH|4107210540308719126</stp>
        <tr r="F1154" s="3"/>
      </tp>
      <tp t="s">
        <v>#N/A N/A</v>
        <stp/>
        <stp>BDH|2740545452081611826</stp>
        <tr r="F1073" s="3"/>
      </tp>
      <tp t="s">
        <v>#N/A N/A</v>
        <stp/>
        <stp>BDH|1374164118862802806</stp>
        <tr r="F1112" s="3"/>
      </tp>
      <tp t="s">
        <v>#N/A N/A</v>
        <stp/>
        <stp>BDH|4991756545985234618</stp>
        <tr r="F1336" s="3"/>
      </tp>
      <tp t="s">
        <v>#N/A N/A</v>
        <stp/>
        <stp>BDH|5421703651870871367</stp>
        <tr r="F1570" s="3"/>
      </tp>
      <tp t="s">
        <v>#N/A N/A</v>
        <stp/>
        <stp>BDH|4324333359413322537</stp>
        <tr r="F1832" s="3"/>
      </tp>
      <tp t="s">
        <v>#N/A N/A</v>
        <stp/>
        <stp>BDH|1058708861313919715</stp>
        <tr r="F1887" s="3"/>
      </tp>
      <tp t="s">
        <v>#N/A N/A</v>
        <stp/>
        <stp>BDH|7071838989837756425</stp>
        <tr r="F1533" s="3"/>
      </tp>
      <tp t="s">
        <v>#N/A N/A</v>
        <stp/>
        <stp>BDH|5575983338209969236</stp>
        <tr r="F1129" s="3"/>
      </tp>
      <tp t="s">
        <v>#N/A N/A</v>
        <stp/>
        <stp>BDH|4480321663707814210</stp>
        <tr r="F1165" s="3"/>
      </tp>
      <tp t="s">
        <v>#N/A N/A</v>
        <stp/>
        <stp>BDH|9022708307522818830</stp>
        <tr r="F1352" s="3"/>
      </tp>
      <tp t="s">
        <v>#N/A N/A</v>
        <stp/>
        <stp>BDH|7365053295893734963</stp>
        <tr r="F1564" s="3"/>
      </tp>
      <tp t="s">
        <v>#N/A N/A</v>
        <stp/>
        <stp>BDH|2489508304865166621</stp>
        <tr r="F1343" s="3"/>
      </tp>
      <tp t="s">
        <v>#N/A N/A</v>
        <stp/>
        <stp>BDH|8920396826274388959</stp>
        <tr r="F1719" s="3"/>
      </tp>
      <tp t="s">
        <v>#N/A N/A</v>
        <stp/>
        <stp>BDH|4736281081662074882</stp>
        <tr r="F1531" s="3"/>
      </tp>
      <tp t="s">
        <v>#N/A N/A</v>
        <stp/>
        <stp>BDH|5938592893004157942</stp>
        <tr r="F1152" s="3"/>
      </tp>
      <tp t="s">
        <v>#N/A N/A</v>
        <stp/>
        <stp>BDH|7611476536185203126</stp>
        <tr r="F1370" s="3"/>
      </tp>
      <tp t="s">
        <v>#N/A N/A</v>
        <stp/>
        <stp>BDH|4667075626490035209</stp>
        <tr r="F1858" s="3"/>
      </tp>
      <tp t="s">
        <v>#N/A N/A</v>
        <stp/>
        <stp>BDH|4692159703635632425</stp>
        <tr r="F1828" s="3"/>
      </tp>
      <tp t="s">
        <v>#N/A N/A</v>
        <stp/>
        <stp>BDH|1155999165233938904</stp>
        <tr r="F1294" s="3"/>
      </tp>
      <tp t="s">
        <v>#N/A N/A</v>
        <stp/>
        <stp>BDH|8166947741338095905</stp>
        <tr r="F1401" s="3"/>
      </tp>
      <tp t="s">
        <v>#N/A N/A</v>
        <stp/>
        <stp>BDH|3211092719884302246</stp>
        <tr r="F1839" s="3"/>
      </tp>
      <tp t="s">
        <v>#N/A N/A</v>
        <stp/>
        <stp>BDH|6338604890404940806</stp>
        <tr r="F1463" s="3"/>
      </tp>
      <tp t="s">
        <v>#N/A N/A</v>
        <stp/>
        <stp>BDH|5697485905950542445</stp>
        <tr r="F1441" s="3"/>
      </tp>
      <tp t="s">
        <v>#N/A N/A</v>
        <stp/>
        <stp>BDH|1296563202770969151</stp>
        <tr r="F1397" s="3"/>
      </tp>
      <tp t="s">
        <v>#N/A N/A</v>
        <stp/>
        <stp>BDH|9622921718986741210</stp>
        <tr r="F1195" s="3"/>
      </tp>
      <tp t="s">
        <v>#N/A N/A</v>
        <stp/>
        <stp>BDH|6129545046360817207</stp>
        <tr r="F1155" s="3"/>
      </tp>
      <tp t="s">
        <v>#N/A N/A</v>
        <stp/>
        <stp>BDH|5597563402467250286</stp>
        <tr r="F1704" s="3"/>
      </tp>
      <tp t="s">
        <v>#N/A N/A</v>
        <stp/>
        <stp>BDH|7700311093370908855</stp>
        <tr r="F1164" s="3"/>
      </tp>
      <tp t="s">
        <v>#N/A N/A</v>
        <stp/>
        <stp>BDH|9984122171743563907</stp>
        <tr r="F1391" s="3"/>
      </tp>
      <tp t="s">
        <v>#N/A N/A</v>
        <stp/>
        <stp>BDH|1418237924901850579</stp>
        <tr r="F1055" s="3"/>
      </tp>
      <tp t="s">
        <v>#N/A N/A</v>
        <stp/>
        <stp>BDH|8612605989317621452</stp>
        <tr r="F1598" s="3"/>
      </tp>
      <tp t="s">
        <v>#N/A N/A</v>
        <stp/>
        <stp>BDH|4397460223092865526</stp>
        <tr r="F1159" s="3"/>
      </tp>
      <tp t="s">
        <v>#N/A N/A</v>
        <stp/>
        <stp>BDH|6104497450793189154</stp>
        <tr r="F1849" s="3"/>
      </tp>
      <tp t="s">
        <v>#N/A N/A</v>
        <stp/>
        <stp>BDH|2310442464234949169</stp>
        <tr r="F1568" s="3"/>
      </tp>
      <tp t="s">
        <v>#N/A N/A</v>
        <stp/>
        <stp>BDH|8476645360059820453</stp>
        <tr r="F1444" s="3"/>
      </tp>
      <tp t="s">
        <v>#N/A N/A</v>
        <stp/>
        <stp>BDH|9380748628308646143</stp>
        <tr r="F1147" s="3"/>
      </tp>
      <tp t="s">
        <v>#N/A N/A</v>
        <stp/>
        <stp>BDH|7315604827397335155</stp>
        <tr r="F1686" s="3"/>
      </tp>
      <tp t="s">
        <v>#N/A N/A</v>
        <stp/>
        <stp>BDH|1580965831619002708</stp>
        <tr r="F1482" s="3"/>
      </tp>
      <tp t="s">
        <v>#N/A N/A</v>
        <stp/>
        <stp>BDH|6943281769324360392</stp>
        <tr r="F1360" s="3"/>
        <tr r="F1357" s="3"/>
      </tp>
      <tp t="s">
        <v>#N/A N/A</v>
        <stp/>
        <stp>BDH|4514761814130652724</stp>
        <tr r="F1898" s="3"/>
      </tp>
      <tp t="s">
        <v>#N/A N/A</v>
        <stp/>
        <stp>BDH|5806537547415873471</stp>
        <tr r="F1846" s="3"/>
      </tp>
      <tp t="s">
        <v>#N/A N/A</v>
        <stp/>
        <stp>BDH|4294459322295040263</stp>
        <tr r="F1558" s="3"/>
      </tp>
      <tp t="s">
        <v>#N/A N/A</v>
        <stp/>
        <stp>BDH|7674765911074762052</stp>
        <tr r="F1042" s="3"/>
      </tp>
      <tp t="s">
        <v>#N/A N/A</v>
        <stp/>
        <stp>BDH|5266580353837249783</stp>
        <tr r="F1916" s="3"/>
      </tp>
      <tp t="s">
        <v>#N/A N/A</v>
        <stp/>
        <stp>BDH|9912529682507870612</stp>
        <tr r="F1907" s="3"/>
      </tp>
      <tp t="s">
        <v>#N/A N/A</v>
        <stp/>
        <stp>BDH|8086404688949910801</stp>
        <tr r="F1345" s="3"/>
      </tp>
      <tp t="s">
        <v>#N/A N/A</v>
        <stp/>
        <stp>BDH|2998706609764129407</stp>
        <tr r="F1819" s="3"/>
      </tp>
      <tp t="s">
        <v>#N/A N/A</v>
        <stp/>
        <stp>BDH|9659516296161555121</stp>
        <tr r="F1945" s="3"/>
      </tp>
      <tp t="s">
        <v>#N/A N/A</v>
        <stp/>
        <stp>BDH|5281057478582101585</stp>
        <tr r="F1890" s="3"/>
      </tp>
      <tp t="s">
        <v>#N/A N/A</v>
        <stp/>
        <stp>BDH|1800254143224167683</stp>
        <tr r="F1133" s="3"/>
      </tp>
      <tp t="s">
        <v>#N/A N/A</v>
        <stp/>
        <stp>BDH|5621132224554419726</stp>
        <tr r="F1179" s="3"/>
      </tp>
      <tp t="s">
        <v>#N/A N/A</v>
        <stp/>
        <stp>BDH|9774676695510441355</stp>
        <tr r="F1404" s="3"/>
      </tp>
      <tp t="s">
        <v>#N/A N/A</v>
        <stp/>
        <stp>BDH|1765205943767665565</stp>
        <tr r="F1330" s="3"/>
      </tp>
      <tp t="s">
        <v>#N/A N/A</v>
        <stp/>
        <stp>BDH|7452770500617770217</stp>
        <tr r="F1381" s="3"/>
      </tp>
      <tp t="s">
        <v>#N/A N/A</v>
        <stp/>
        <stp>BDH|6686241616835624576</stp>
        <tr r="F1769" s="3"/>
      </tp>
      <tp t="s">
        <v>#N/A N/A</v>
        <stp/>
        <stp>BDH|7491487942337933525</stp>
        <tr r="F1414" s="3"/>
      </tp>
      <tp t="s">
        <v>#N/A N/A</v>
        <stp/>
        <stp>BDH|2005774854391291441</stp>
        <tr r="F1312" s="3"/>
      </tp>
      <tp t="s">
        <v>#N/A N/A</v>
        <stp/>
        <stp>BDH|1154564150795604148</stp>
        <tr r="F1298" s="3"/>
      </tp>
      <tp t="s">
        <v>#N/A N/A</v>
        <stp/>
        <stp>BDH|27051812581058882</stp>
        <tr r="F1685" s="3"/>
      </tp>
      <tp t="s">
        <v>#N/A N/A</v>
        <stp/>
        <stp>BDH|1383334435503970465</stp>
        <tr r="F1697" s="3"/>
      </tp>
      <tp t="s">
        <v>#N/A N/A</v>
        <stp/>
        <stp>BDH|4530731154928190898</stp>
        <tr r="F1198" s="3"/>
      </tp>
      <tp t="s">
        <v>#N/A N/A</v>
        <stp/>
        <stp>BDH|8995537564704150951</stp>
        <tr r="F1018" s="3"/>
      </tp>
      <tp t="s">
        <v>#N/A N/A</v>
        <stp/>
        <stp>BDH|1948258023104014353</stp>
        <tr r="F1875" s="3"/>
      </tp>
      <tp t="s">
        <v>#N/A N/A</v>
        <stp/>
        <stp>BDH|5478622804835846007</stp>
        <tr r="F1687" s="3"/>
      </tp>
      <tp t="s">
        <v>#N/A N/A</v>
        <stp/>
        <stp>BDH|5398155438441608003</stp>
        <tr r="F1599" s="3"/>
      </tp>
      <tp t="s">
        <v>#N/A N/A</v>
        <stp/>
        <stp>BDH|5045759816343378682</stp>
        <tr r="F1755" s="3"/>
      </tp>
      <tp t="s">
        <v>#N/A N/A</v>
        <stp/>
        <stp>BDH|3347526241750897403</stp>
        <tr r="F1774" s="3"/>
      </tp>
      <tp t="s">
        <v>#N/A N/A</v>
        <stp/>
        <stp>BDH|3213520004346519680</stp>
        <tr r="F1311" s="3"/>
      </tp>
      <tp t="s">
        <v>#N/A N/A</v>
        <stp/>
        <stp>BDH|1265266240422461390</stp>
        <tr r="F1125" s="3"/>
      </tp>
      <tp t="s">
        <v>#N/A N/A</v>
        <stp/>
        <stp>BDH|4965185051614890216</stp>
        <tr r="F1635" s="3"/>
      </tp>
      <tp t="s">
        <v>#N/A N/A</v>
        <stp/>
        <stp>BDH|5516131711943710097</stp>
        <tr r="F1693" s="3"/>
      </tp>
      <tp t="s">
        <v>#N/A N/A</v>
        <stp/>
        <stp>BDH|9073509889961795318</stp>
        <tr r="F1065" s="3"/>
      </tp>
      <tp t="s">
        <v>#N/A N/A</v>
        <stp/>
        <stp>BDH|4750664550816897751</stp>
        <tr r="F1447" s="3"/>
      </tp>
      <tp t="s">
        <v>#N/A N/A</v>
        <stp/>
        <stp>BDH|2953664323474134416</stp>
        <tr r="F1443" s="3"/>
      </tp>
      <tp t="s">
        <v>#N/A N/A</v>
        <stp/>
        <stp>BDH|5428710720203021590</stp>
        <tr r="F1315" s="3"/>
      </tp>
      <tp t="s">
        <v>#N/A N/A</v>
        <stp/>
        <stp>BDH|4156192199738403297</stp>
        <tr r="F1601" s="3"/>
      </tp>
      <tp t="s">
        <v>#N/A N/A</v>
        <stp/>
        <stp>BDH|2618177129376034157</stp>
        <tr r="F1913" s="3"/>
      </tp>
      <tp t="s">
        <v>#N/A N/A</v>
        <stp/>
        <stp>BDH|4278851108388962244</stp>
        <tr r="F1248" s="3"/>
      </tp>
      <tp t="s">
        <v>#N/A N/A</v>
        <stp/>
        <stp>BDH|3840607248250080725</stp>
        <tr r="F1675" s="3"/>
      </tp>
      <tp t="s">
        <v>#N/A N/A</v>
        <stp/>
        <stp>BDH|1370576242965261361</stp>
        <tr r="F1339" s="3"/>
      </tp>
      <tp t="s">
        <v>#N/A N/A</v>
        <stp/>
        <stp>BDH|8905702689725364402</stp>
        <tr r="F1545" s="3"/>
      </tp>
      <tp t="s">
        <v>#N/A N/A</v>
        <stp/>
        <stp>BDH|4886598342587807487</stp>
        <tr r="F1768" s="3"/>
      </tp>
      <tp t="s">
        <v>#N/A N/A</v>
        <stp/>
        <stp>BDH|9269312280765985193</stp>
        <tr r="F1322" s="3"/>
      </tp>
      <tp t="s">
        <v>#N/A N/A</v>
        <stp/>
        <stp>BDH|4078109121735501441</stp>
        <tr r="F1937" s="3"/>
      </tp>
      <tp t="s">
        <v>#N/A N/A</v>
        <stp/>
        <stp>BDH|8186799923763854839</stp>
        <tr r="F1239" s="3"/>
      </tp>
      <tp t="s">
        <v>#N/A N/A</v>
        <stp/>
        <stp>BDH|5388390937551523282</stp>
        <tr r="F1526" s="3"/>
      </tp>
      <tp t="s">
        <v>#N/A N/A</v>
        <stp/>
        <stp>BDH|5244147226767739764</stp>
        <tr r="F1281" s="3"/>
      </tp>
      <tp t="s">
        <v>#N/A N/A</v>
        <stp/>
        <stp>BDH|4712706781565737807</stp>
        <tr r="F1349" s="3"/>
      </tp>
      <tp t="s">
        <v>#N/A N/A</v>
        <stp/>
        <stp>BDH|7768843291916343671</stp>
        <tr r="F1508" s="3"/>
      </tp>
      <tp t="s">
        <v>#N/A N/A</v>
        <stp/>
        <stp>BDH|4439321300995612473</stp>
        <tr r="F1516" s="3"/>
      </tp>
      <tp t="s">
        <v>#N/A N/A</v>
        <stp/>
        <stp>BDH|5399444632762566677</stp>
        <tr r="F1189" s="3"/>
      </tp>
      <tp t="s">
        <v>#N/A N/A</v>
        <stp/>
        <stp>BDH|3791598109530783070</stp>
        <tr r="F1190" s="3"/>
      </tp>
      <tp t="s">
        <v>#N/A N/A</v>
        <stp/>
        <stp>BDH|9672536208598985230</stp>
        <tr r="F1566" s="3"/>
      </tp>
      <tp t="s">
        <v>#N/A N/A</v>
        <stp/>
        <stp>BDH|2676219896447374852</stp>
        <tr r="F1327" s="3"/>
      </tp>
      <tp t="s">
        <v>#N/A N/A</v>
        <stp/>
        <stp>BDH|6174287012720946371</stp>
        <tr r="F1403" s="3"/>
      </tp>
      <tp t="s">
        <v>#N/A N/A</v>
        <stp/>
        <stp>BDH|2693792798523343910</stp>
        <tr r="F1448" s="3"/>
      </tp>
      <tp t="s">
        <v>#N/A N/A</v>
        <stp/>
        <stp>BDH|9127605510978152057</stp>
        <tr r="F1173" s="3"/>
      </tp>
      <tp t="s">
        <v>#N/A N/A</v>
        <stp/>
        <stp>BDH|2352264179161320153</stp>
        <tr r="F1136" s="3"/>
      </tp>
      <tp t="s">
        <v>#N/A N/A</v>
        <stp/>
        <stp>BDH|7847067405672623271</stp>
        <tr r="F1487" s="3"/>
      </tp>
      <tp t="s">
        <v>#N/A N/A</v>
        <stp/>
        <stp>BDH|1609146494807984940</stp>
        <tr r="F1172" s="3"/>
      </tp>
      <tp t="s">
        <v>#N/A N/A</v>
        <stp/>
        <stp>BDH|4640058769773909687</stp>
        <tr r="F1253" s="3"/>
      </tp>
      <tp t="s">
        <v>#N/A N/A</v>
        <stp/>
        <stp>BDH|4004532937426865340</stp>
        <tr r="F1097" s="3"/>
      </tp>
      <tp t="s">
        <v>#N/A N/A</v>
        <stp/>
        <stp>BDH|2731410878533699512</stp>
        <tr r="F1681" s="3"/>
      </tp>
      <tp t="s">
        <v>#N/A N/A</v>
        <stp/>
        <stp>BDH|4947720499164937959</stp>
        <tr r="F1678" s="3"/>
      </tp>
      <tp t="s">
        <v>#N/A N/A</v>
        <stp/>
        <stp>BDH|5211147834492400298</stp>
        <tr r="F1045" s="3"/>
      </tp>
      <tp t="s">
        <v>#N/A N/A</v>
        <stp/>
        <stp>BDH|2312984663363289950</stp>
        <tr r="F1730" s="3"/>
        <tr r="F1422" s="3"/>
      </tp>
      <tp t="s">
        <v>#N/A N/A</v>
        <stp/>
        <stp>BDH|3180268234495841076</stp>
        <tr r="F1203" s="3"/>
      </tp>
      <tp t="s">
        <v>#N/A N/A</v>
        <stp/>
        <stp>BDH|1210497771293239652</stp>
        <tr r="F1777" s="3"/>
      </tp>
      <tp t="s">
        <v>#N/A N/A</v>
        <stp/>
        <stp>BDH|1177711227960342392</stp>
        <tr r="F1748" s="3"/>
      </tp>
      <tp t="s">
        <v>#N/A N/A</v>
        <stp/>
        <stp>BDH|4329506454277762427</stp>
        <tr r="F1896" s="3"/>
      </tp>
      <tp t="s">
        <v>#N/A N/A</v>
        <stp/>
        <stp>BDH|5520917863695006858</stp>
        <tr r="F1439" s="3"/>
      </tp>
      <tp t="s">
        <v>#N/A N/A</v>
        <stp/>
        <stp>BDH|3764389478449336966</stp>
        <tr r="F1615" s="3"/>
      </tp>
      <tp t="s">
        <v>#N/A N/A</v>
        <stp/>
        <stp>BDH|2119376534585878096</stp>
        <tr r="F1489" s="3"/>
      </tp>
      <tp t="s">
        <v>#N/A N/A</v>
        <stp/>
        <stp>BDH|6042450506682215715</stp>
        <tr r="F1421" s="3"/>
      </tp>
      <tp t="s">
        <v>#N/A N/A</v>
        <stp/>
        <stp>BDH|7082585649120760165</stp>
        <tr r="F1826" s="3"/>
      </tp>
      <tp t="s">
        <v>#N/A N/A</v>
        <stp/>
        <stp>BDH|4001106760951772568</stp>
        <tr r="F1857" s="3"/>
      </tp>
      <tp t="s">
        <v>#N/A N/A</v>
        <stp/>
        <stp>BDH|2699664904096586505</stp>
        <tr r="F1022" s="3"/>
      </tp>
      <tp t="s">
        <v>#N/A N/A</v>
        <stp/>
        <stp>BDH|5461113235969215948</stp>
        <tr r="F1957" s="3"/>
      </tp>
      <tp t="s">
        <v>#N/A N/A</v>
        <stp/>
        <stp>BDH|1686048074724531552</stp>
        <tr r="F1054" s="3"/>
      </tp>
      <tp t="s">
        <v>#N/A N/A</v>
        <stp/>
        <stp>BDH|2107636905656140502</stp>
        <tr r="F1717" s="3"/>
      </tp>
      <tp t="s">
        <v>#N/A N/A</v>
        <stp/>
        <stp>BDH|9533526956599247746</stp>
        <tr r="F1870" s="3"/>
      </tp>
      <tp t="s">
        <v>#N/A N/A</v>
        <stp/>
        <stp>BDH|5954395086428354123</stp>
        <tr r="F1251" s="3"/>
      </tp>
      <tp t="s">
        <v>#N/A N/A</v>
        <stp/>
        <stp>BDH|8012996267634806416</stp>
        <tr r="F1395" s="3"/>
      </tp>
      <tp t="s">
        <v>#N/A N/A</v>
        <stp/>
        <stp>BDH|9558624851639203406</stp>
        <tr r="F1912" s="3"/>
      </tp>
      <tp t="s">
        <v>#N/A N/A</v>
        <stp/>
        <stp>BDH|5111471246912516013</stp>
        <tr r="F1464" s="3"/>
      </tp>
      <tp t="s">
        <v>#N/A N/A</v>
        <stp/>
        <stp>BDH|2008810486576793347</stp>
        <tr r="F1362" s="3"/>
        <tr r="F1355" s="3"/>
      </tp>
      <tp t="s">
        <v>#N/A N/A</v>
        <stp/>
        <stp>BDH|3589252303364310246</stp>
        <tr r="F1226" s="3"/>
      </tp>
      <tp t="s">
        <v>#N/A N/A</v>
        <stp/>
        <stp>BDH|7015017256767702254</stp>
        <tr r="F1438" s="3"/>
      </tp>
      <tp t="s">
        <v>#N/A N/A</v>
        <stp/>
        <stp>BDH|7614543248822758387</stp>
        <tr r="F1111" s="3"/>
      </tp>
      <tp t="s">
        <v>#N/A N/A</v>
        <stp/>
        <stp>BDH|6690373563806665218</stp>
        <tr r="F1649" s="3"/>
      </tp>
      <tp t="s">
        <v>#N/A N/A</v>
        <stp/>
        <stp>BDH|9812181606688470084</stp>
        <tr r="F1092" s="3"/>
      </tp>
      <tp t="s">
        <v>#N/A N/A</v>
        <stp/>
        <stp>BDH|3554284457321931595</stp>
        <tr r="F1725" s="3"/>
      </tp>
      <tp t="s">
        <v>#N/A N/A</v>
        <stp/>
        <stp>BDH|3743424109312591532</stp>
        <tr r="F1813" s="3"/>
      </tp>
      <tp t="s">
        <v>#N/A N/A</v>
        <stp/>
        <stp>BDH|4882124544299454800</stp>
        <tr r="F1174" s="3"/>
      </tp>
      <tp t="s">
        <v>#N/A N/A</v>
        <stp/>
        <stp>BDH|8452123213029509190</stp>
        <tr r="F1040" s="3"/>
      </tp>
      <tp t="s">
        <v>#N/A N/A</v>
        <stp/>
        <stp>BDH|7732793585160184832</stp>
        <tr r="F1402" s="3"/>
      </tp>
      <tp t="s">
        <v>#N/A N/A</v>
        <stp/>
        <stp>BDH|6737394274817163525</stp>
        <tr r="F1662" s="3"/>
      </tp>
      <tp t="s">
        <v>#N/A N/A</v>
        <stp/>
        <stp>BDH|4815135602782628719</stp>
        <tr r="F1283" s="3"/>
      </tp>
      <tp t="s">
        <v>#N/A N/A</v>
        <stp/>
        <stp>BDH|5951127025045066327</stp>
        <tr r="F1334" s="3"/>
      </tp>
      <tp t="s">
        <v>#N/A N/A</v>
        <stp/>
        <stp>BDH|4844035676787050416</stp>
        <tr r="F1131" s="3"/>
      </tp>
      <tp t="s">
        <v>#N/A N/A</v>
        <stp/>
        <stp>BDH|3350396600967691707</stp>
        <tr r="F1740" s="3"/>
      </tp>
      <tp t="s">
        <v>#N/A N/A</v>
        <stp/>
        <stp>BDH|8719991654431704513</stp>
        <tr r="F1525" s="3"/>
      </tp>
      <tp t="s">
        <v>#N/A N/A</v>
        <stp/>
        <stp>BDH|7367351249826505664</stp>
        <tr r="F1119" s="3"/>
      </tp>
      <tp t="s">
        <v>#N/A N/A</v>
        <stp/>
        <stp>BDH|4644174456785307590</stp>
        <tr r="F1502" s="3"/>
      </tp>
      <tp t="s">
        <v>#N/A N/A</v>
        <stp/>
        <stp>BDH|9269117378548174787</stp>
        <tr r="F1270" s="3"/>
      </tp>
      <tp t="s">
        <v>#N/A N/A</v>
        <stp/>
        <stp>BDH|2907108529732672340</stp>
        <tr r="F1242" s="3"/>
      </tp>
      <tp t="s">
        <v>#N/A N/A</v>
        <stp/>
        <stp>BDH|8665056191976315735</stp>
        <tr r="F1227" s="3"/>
      </tp>
      <tp t="s">
        <v>#N/A N/A</v>
        <stp/>
        <stp>BDH|4527326414750241638</stp>
        <tr r="F1959" s="3"/>
      </tp>
      <tp t="s">
        <v>#N/A N/A</v>
        <stp/>
        <stp>BDH|2846092776390553512</stp>
        <tr r="F1088" s="3"/>
      </tp>
      <tp t="s">
        <v>#N/A N/A</v>
        <stp/>
        <stp>BDH|7750155202655034330</stp>
        <tr r="F1390" s="3"/>
      </tp>
      <tp t="s">
        <v>#N/A N/A</v>
        <stp/>
        <stp>BDH|6711878051539332211</stp>
        <tr r="F1644" s="3"/>
      </tp>
      <tp t="s">
        <v>#N/A N/A</v>
        <stp/>
        <stp>BDH|6288152456625442759</stp>
        <tr r="F1827" s="3"/>
      </tp>
      <tp t="s">
        <v>#N/A N/A</v>
        <stp/>
        <stp>BDH|1910696993089223715</stp>
        <tr r="F1366" s="3"/>
      </tp>
      <tp t="s">
        <v>#N/A N/A</v>
        <stp/>
        <stp>BDH|1145694468381352030</stp>
        <tr r="F1802" s="3"/>
      </tp>
      <tp t="s">
        <v>#N/A N/A</v>
        <stp/>
        <stp>BDH|7093596520990138094</stp>
        <tr r="F1616" s="3"/>
      </tp>
      <tp t="s">
        <v>#N/A N/A</v>
        <stp/>
        <stp>BDH|2618631977175605651</stp>
        <tr r="F1051" s="3"/>
      </tp>
      <tp t="s">
        <v>#N/A N/A</v>
        <stp/>
        <stp>BDH|8141268391064644717</stp>
        <tr r="F1303" s="3"/>
      </tp>
      <tp t="s">
        <v>#N/A N/A</v>
        <stp/>
        <stp>BDH|6477054117077975085</stp>
        <tr r="F1773" s="3"/>
      </tp>
      <tp t="s">
        <v>#N/A N/A</v>
        <stp/>
        <stp>BDH|3874725558429772823</stp>
        <tr r="F1574" s="3"/>
      </tp>
      <tp t="s">
        <v>#N/A N/A</v>
        <stp/>
        <stp>BDH|7633612075041760720</stp>
        <tr r="F1590" s="3"/>
      </tp>
      <tp t="s">
        <v>#N/A N/A</v>
        <stp/>
        <stp>BDH|1219098331582576080</stp>
        <tr r="F1786" s="3"/>
      </tp>
      <tp t="s">
        <v>#N/A N/A</v>
        <stp/>
        <stp>BDH|1887256058201030723</stp>
        <tr r="F1162" s="3"/>
      </tp>
      <tp t="s">
        <v>#N/A N/A</v>
        <stp/>
        <stp>BDH|5343591152326948353</stp>
        <tr r="F1208" s="3"/>
      </tp>
      <tp t="s">
        <v>#N/A N/A</v>
        <stp/>
        <stp>BDH|3573021141834671347</stp>
        <tr r="F1885" s="3"/>
      </tp>
      <tp t="s">
        <v>#N/A N/A</v>
        <stp/>
        <stp>BDH|1992053738732621072</stp>
        <tr r="F1841" s="3"/>
      </tp>
      <tp t="s">
        <v>#N/A N/A</v>
        <stp/>
        <stp>BDH|2151516477134941551</stp>
        <tr r="F1623" s="3"/>
      </tp>
      <tp t="s">
        <v>#N/A N/A</v>
        <stp/>
        <stp>BDH|4968306025217783303</stp>
        <tr r="F1498" s="3"/>
      </tp>
      <tp t="s">
        <v>#N/A N/A</v>
        <stp/>
        <stp>BDH|5030051490915678880</stp>
        <tr r="F1461" s="3"/>
      </tp>
      <tp t="s">
        <v>#N/A N/A</v>
        <stp/>
        <stp>BDH|7915360216733202726</stp>
        <tr r="F1167" s="3"/>
      </tp>
      <tp t="s">
        <v>#N/A N/A</v>
        <stp/>
        <stp>BDH|7390903898193095520</stp>
        <tr r="F1594" s="3"/>
      </tp>
      <tp t="s">
        <v>#N/A N/A</v>
        <stp/>
        <stp>BDH|1102505897039635593</stp>
        <tr r="F1192" s="3"/>
      </tp>
      <tp t="s">
        <v>#N/A N/A</v>
        <stp/>
        <stp>BDH|3247782420707463000</stp>
        <tr r="F1757" s="3"/>
      </tp>
      <tp t="s">
        <v>#N/A N/A</v>
        <stp/>
        <stp>BDH|1128835388008162841</stp>
        <tr r="F1721" s="3"/>
      </tp>
      <tp t="s">
        <v>#N/A N/A</v>
        <stp/>
        <stp>BDH|7663280851477042605</stp>
        <tr r="F1261" s="3"/>
      </tp>
      <tp t="s">
        <v>#N/A N/A</v>
        <stp/>
        <stp>BDH|7635609746385791186</stp>
        <tr r="F1231" s="3"/>
      </tp>
      <tp t="s">
        <v>#N/A N/A</v>
        <stp/>
        <stp>BDH|6748703412828927937</stp>
        <tr r="F1814" s="3"/>
      </tp>
      <tp t="s">
        <v>#N/A N/A</v>
        <stp/>
        <stp>BDH|4077463077362941450</stp>
        <tr r="F1560" s="3"/>
      </tp>
      <tp t="s">
        <v>#N/A N/A</v>
        <stp/>
        <stp>BDH|3513586878480142095</stp>
        <tr r="F1420" s="3"/>
      </tp>
      <tp t="s">
        <v>#N/A N/A</v>
        <stp/>
        <stp>BDH|6713222032525076358</stp>
        <tr r="F1874" s="3"/>
      </tp>
      <tp t="s">
        <v>#N/A N/A</v>
        <stp/>
        <stp>BDH|5607030032726202178</stp>
        <tr r="F1908" s="3"/>
      </tp>
      <tp t="s">
        <v>#N/A N/A</v>
        <stp/>
        <stp>BDH|9164958714219017939</stp>
        <tr r="F1753" s="3"/>
      </tp>
      <tp t="s">
        <v>#N/A N/A</v>
        <stp/>
        <stp>BDH|3520515803322062548</stp>
        <tr r="F1034" s="3"/>
      </tp>
      <tp t="s">
        <v>#N/A N/A</v>
        <stp/>
        <stp>BDH|1386601186206399870</stp>
        <tr r="F1805" s="3"/>
      </tp>
      <tp t="s">
        <v>#N/A N/A</v>
        <stp/>
        <stp>BDH|7546154617051772764</stp>
        <tr r="F1940" s="3"/>
      </tp>
      <tp t="s">
        <v>#N/A N/A</v>
        <stp/>
        <stp>BDH|8038935694140007915</stp>
        <tr r="F1639" s="3"/>
      </tp>
      <tp t="s">
        <v>#N/A N/A</v>
        <stp/>
        <stp>BDH|2935981053947341879</stp>
        <tr r="F1738" s="3"/>
      </tp>
      <tp t="s">
        <v>#N/A N/A</v>
        <stp/>
        <stp>BDH|1039854684835661510</stp>
        <tr r="F1591" s="3"/>
      </tp>
      <tp t="s">
        <v>#N/A N/A</v>
        <stp/>
        <stp>BDH|9060792048832304944</stp>
        <tr r="F1869" s="3"/>
      </tp>
      <tp t="s">
        <v>#N/A N/A</v>
        <stp/>
        <stp>BDH|2550111517803405011</stp>
        <tr r="F1049" s="3"/>
      </tp>
      <tp t="s">
        <v>#N/A N/A</v>
        <stp/>
        <stp>BDH|3396819291790789333</stp>
        <tr r="F1894" s="3"/>
      </tp>
      <tp t="s">
        <v>#N/A N/A</v>
        <stp/>
        <stp>BDH|2131401745465050604</stp>
        <tr r="F1589" s="3"/>
      </tp>
      <tp t="s">
        <v>#N/A N/A</v>
        <stp/>
        <stp>BDH|5362154103145585043</stp>
        <tr r="F1943" s="3"/>
      </tp>
      <tp t="s">
        <v>#N/A N/A</v>
        <stp/>
        <stp>BDH|9707114487009671839</stp>
        <tr r="F1341" s="3"/>
      </tp>
      <tp t="s">
        <v>#N/A N/A</v>
        <stp/>
        <stp>BDH|6677910006577645939</stp>
        <tr r="F1200" s="3"/>
      </tp>
      <tp t="s">
        <v>#N/A N/A</v>
        <stp/>
        <stp>BDH|3312645323692192408</stp>
        <tr r="F1466" s="3"/>
      </tp>
      <tp t="s">
        <v>#N/A N/A</v>
        <stp/>
        <stp>BDH|4464358924237866388</stp>
        <tr r="F1069" s="3"/>
      </tp>
      <tp t="s">
        <v>#N/A N/A</v>
        <stp/>
        <stp>BDH|5092916605319637788</stp>
        <tr r="F1014" s="3"/>
      </tp>
      <tp t="s">
        <v>#N/A N/A</v>
        <stp/>
        <stp>BDH|2320398665007018252</stp>
        <tr r="F1031" s="3"/>
      </tp>
      <tp t="s">
        <v>#N/A N/A</v>
        <stp/>
        <stp>BDH|4846512440881463675</stp>
        <tr r="F1122" s="3"/>
      </tp>
      <tp t="s">
        <v>#N/A N/A</v>
        <stp/>
        <stp>BDH|4126387044019056861</stp>
        <tr r="F1961" s="3"/>
      </tp>
      <tp t="s">
        <v>#N/A N/A</v>
        <stp/>
        <stp>BDH|1510640559165606552</stp>
        <tr r="F1019" s="3"/>
      </tp>
      <tp t="s">
        <v>#N/A N/A</v>
        <stp/>
        <stp>BDH|1036571278323537210</stp>
        <tr r="F1274" s="3"/>
      </tp>
      <tp t="s">
        <v>#N/A N/A</v>
        <stp/>
        <stp>BDH|5417973855549556289</stp>
        <tr r="F1494" s="3"/>
      </tp>
      <tp t="s">
        <v>#N/A N/A</v>
        <stp/>
        <stp>BDH|9543680516464133832</stp>
        <tr r="F1247" s="3"/>
      </tp>
      <tp t="s">
        <v>#N/A N/A</v>
        <stp/>
        <stp>BDH|5669019598556780813</stp>
        <tr r="F1918" s="3"/>
      </tp>
      <tp t="s">
        <v>#N/A N/A</v>
        <stp/>
        <stp>BDH|3994221530753798323</stp>
        <tr r="F1142" s="3"/>
      </tp>
      <tp t="s">
        <v>#N/A N/A</v>
        <stp/>
        <stp>BDH|1932182974461874420</stp>
        <tr r="F1655" s="3"/>
      </tp>
      <tp t="s">
        <v>#N/A N/A</v>
        <stp/>
        <stp>BDH|8782513506486942950</stp>
        <tr r="F1743" s="3"/>
      </tp>
      <tp t="s">
        <v>#N/A N/A</v>
        <stp/>
        <stp>BDH|4981178147931268275</stp>
        <tr r="F1627" s="3"/>
      </tp>
      <tp t="s">
        <v>#N/A N/A</v>
        <stp/>
        <stp>BDH|4739104910241914736</stp>
        <tr r="F1470" s="3"/>
      </tp>
      <tp t="s">
        <v>#N/A N/A</v>
        <stp/>
        <stp>BDH|2018191400175248469</stp>
        <tr r="F1080" s="3"/>
      </tp>
      <tp t="s">
        <v>#N/A N/A</v>
        <stp/>
        <stp>BDH|9398570601666122891</stp>
        <tr r="F1699" s="3"/>
      </tp>
      <tp t="s">
        <v>#N/A N/A</v>
        <stp/>
        <stp>BDH|3653881044258794501</stp>
        <tr r="F1619" s="3"/>
      </tp>
      <tp t="s">
        <v>#N/A N/A</v>
        <stp/>
        <stp>BDH|6443091769767622508</stp>
        <tr r="F1491" s="3"/>
      </tp>
      <tp t="s">
        <v>#N/A N/A</v>
        <stp/>
        <stp>BDH|5615044114467192152</stp>
        <tr r="F1141" s="3"/>
      </tp>
      <tp t="s">
        <v>#N/A N/A</v>
        <stp/>
        <stp>BDH|6689630220969395945</stp>
        <tr r="F1220" s="3"/>
      </tp>
      <tp t="s">
        <v>#N/A N/A</v>
        <stp/>
        <stp>BDH|4780579608472814128</stp>
        <tr r="F1620" s="3"/>
      </tp>
      <tp t="s">
        <v>#N/A N/A</v>
        <stp/>
        <stp>BDH|5019176785118474653</stp>
        <tr r="F1626" s="3"/>
      </tp>
      <tp t="s">
        <v>#N/A N/A</v>
        <stp/>
        <stp>BDH|4835623141580111491</stp>
        <tr r="F1465" s="3"/>
      </tp>
      <tp t="s">
        <v>#N/A N/A</v>
        <stp/>
        <stp>BDH|1057028937121404120</stp>
        <tr r="F1296" s="3"/>
      </tp>
      <tp t="s">
        <v>#N/A N/A</v>
        <stp/>
        <stp>BDH|5789472154365666322</stp>
        <tr r="F1180" s="3"/>
      </tp>
      <tp t="s">
        <v>#N/A N/A</v>
        <stp/>
        <stp>BDH|4031542337285604542</stp>
        <tr r="F1287" s="3"/>
      </tp>
      <tp t="s">
        <v>#N/A N/A</v>
        <stp/>
        <stp>BDH|1098345999691429888</stp>
        <tr r="F1963" s="3"/>
      </tp>
      <tp t="s">
        <v>#N/A N/A</v>
        <stp/>
        <stp>BDH|3382211535946178671</stp>
        <tr r="F1235" s="3"/>
      </tp>
      <tp t="s">
        <v>#N/A N/A</v>
        <stp/>
        <stp>BDH|2109555204381662478</stp>
        <tr r="F1442" s="3"/>
      </tp>
      <tp t="s">
        <v>#N/A N/A</v>
        <stp/>
        <stp>BDH|7658401622765772651</stp>
        <tr r="F1130" s="3"/>
      </tp>
      <tp t="s">
        <v>#N/A N/A</v>
        <stp/>
        <stp>BDH|4133087493397500890</stp>
        <tr r="F1638" s="3"/>
      </tp>
      <tp t="s">
        <v>#N/A N/A</v>
        <stp/>
        <stp>BDH|8046750855658342047</stp>
        <tr r="F1076" s="3"/>
      </tp>
      <tp t="s">
        <v>#N/A N/A</v>
        <stp/>
        <stp>BDH|3558619674977692711</stp>
        <tr r="F1593" s="3"/>
      </tp>
      <tp t="s">
        <v>#N/A N/A</v>
        <stp/>
        <stp>BDH|6218790359526194041</stp>
        <tr r="F1863" s="3"/>
      </tp>
      <tp t="s">
        <v>#N/A N/A</v>
        <stp/>
        <stp>BDH|2902177280530952934</stp>
        <tr r="F1176" s="3"/>
      </tp>
      <tp t="s">
        <v>#N/A N/A</v>
        <stp/>
        <stp>BDH|9467971551256374154</stp>
        <tr r="F1082" s="3"/>
      </tp>
      <tp t="s">
        <v>#N/A N/A</v>
        <stp/>
        <stp>BDH|2780262915795179615</stp>
        <tr r="F1410" s="3"/>
      </tp>
      <tp t="s">
        <v>#N/A N/A</v>
        <stp/>
        <stp>BDH|8724370419448402086</stp>
        <tr r="F1059" s="3"/>
      </tp>
      <tp t="s">
        <v>#N/A N/A</v>
        <stp/>
        <stp>BDH|8621931735228202875</stp>
        <tr r="F1520" s="3"/>
      </tp>
      <tp t="s">
        <v>#N/A N/A</v>
        <stp/>
        <stp>BDH|5237327940964507406</stp>
        <tr r="F1949" s="3"/>
      </tp>
      <tp t="s">
        <v>#N/A N/A</v>
        <stp/>
        <stp>BDH|1688852395192607056</stp>
        <tr r="F1707" s="3"/>
      </tp>
      <tp t="s">
        <v>#N/A N/A</v>
        <stp/>
        <stp>BDH|6888879686221102422</stp>
        <tr r="F1337" s="3"/>
      </tp>
      <tp t="s">
        <v>#N/A N/A</v>
        <stp/>
        <stp>BDH|7220331217363534597</stp>
        <tr r="F1927" s="3"/>
      </tp>
      <tp t="s">
        <v>#N/A N/A</v>
        <stp/>
        <stp>BDH|1042584364964789516</stp>
        <tr r="F1625" s="3"/>
      </tp>
      <tp t="s">
        <v>#N/A N/A</v>
        <stp/>
        <stp>BDH|2501272735914815456</stp>
        <tr r="F1222" s="3"/>
      </tp>
      <tp t="s">
        <v>#N/A N/A</v>
        <stp/>
        <stp>BDH|4646351206426511286</stp>
        <tr r="F1434" s="3"/>
      </tp>
      <tp t="s">
        <v>#N/A N/A</v>
        <stp/>
        <stp>BDH|3655080325671071359</stp>
        <tr r="F1804" s="3"/>
      </tp>
      <tp t="s">
        <v>#N/A N/A</v>
        <stp/>
        <stp>BDH|9823109770935741905</stp>
        <tr r="F1695" s="3"/>
      </tp>
      <tp t="s">
        <v>#N/A N/A</v>
        <stp/>
        <stp>BDH|4435593204562713011</stp>
        <tr r="F1809" s="3"/>
      </tp>
      <tp t="s">
        <v>#N/A N/A</v>
        <stp/>
        <stp>BDH|1993157164612525721</stp>
        <tr r="F1559" s="3"/>
      </tp>
      <tp t="s">
        <v>#N/A N/A</v>
        <stp/>
        <stp>BDH|5171367622795836217</stp>
        <tr r="F1546" s="3"/>
      </tp>
      <tp t="s">
        <v>#N/A N/A</v>
        <stp/>
        <stp>BDH|5623153358960553224</stp>
        <tr r="F1513" s="3"/>
      </tp>
      <tp t="s">
        <v>#N/A N/A</v>
        <stp/>
        <stp>BDH|3794206069665779152</stp>
        <tr r="F1866" s="3"/>
      </tp>
      <tp t="s">
        <v>#N/A N/A</v>
        <stp/>
        <stp>BDH|2507489912872212600</stp>
        <tr r="F1663" s="3"/>
      </tp>
      <tp t="s">
        <v>#N/A N/A</v>
        <stp/>
        <stp>BDH|8345890155913031520</stp>
        <tr r="F1830" s="3"/>
      </tp>
      <tp t="s">
        <v>#N/A N/A</v>
        <stp/>
        <stp>BDH|9665361775568609616</stp>
        <tr r="F1436" s="3"/>
      </tp>
      <tp t="s">
        <v>#N/A N/A</v>
        <stp/>
        <stp>BDH|2963045951825943174</stp>
        <tr r="F1306" s="3"/>
      </tp>
      <tp t="s">
        <v>#N/A N/A</v>
        <stp/>
        <stp>BDH|4530201511200622408</stp>
        <tr r="F1053" s="3"/>
      </tp>
      <tp t="s">
        <v>#N/A N/A</v>
        <stp/>
        <stp>BDH|8809298793536769667</stp>
        <tr r="F1023" s="3"/>
      </tp>
      <tp t="s">
        <v>#N/A N/A</v>
        <stp/>
        <stp>BDH|1394765040707081651</stp>
        <tr r="F1967" s="3"/>
      </tp>
      <tp t="s">
        <v>#N/A N/A</v>
        <stp/>
        <stp>BDH|6646754863226345234</stp>
        <tr r="F1551" s="3"/>
      </tp>
      <tp t="s">
        <v>#N/A N/A</v>
        <stp/>
        <stp>BDH|4551754854986391379</stp>
        <tr r="F1233" s="3"/>
      </tp>
      <tp t="s">
        <v>#N/A N/A</v>
        <stp/>
        <stp>BDH|9223805354643115465</stp>
        <tr r="F1313" s="3"/>
      </tp>
      <tp t="s">
        <v>#N/A N/A</v>
        <stp/>
        <stp>BDH|9931388693104409475</stp>
        <tr r="F1651" s="3"/>
      </tp>
      <tp t="s">
        <v>#N/A N/A</v>
        <stp/>
        <stp>BDH|9630409122315180933</stp>
        <tr r="F1037" s="3"/>
      </tp>
      <tp t="s">
        <v>#N/A N/A</v>
        <stp/>
        <stp>BDH|5991256468963771154</stp>
        <tr r="F1108" s="3"/>
      </tp>
      <tp t="s">
        <v>#N/A N/A</v>
        <stp/>
        <stp>BDH|4531356240884544421</stp>
        <tr r="F1696" s="3"/>
      </tp>
      <tp t="s">
        <v>#N/A N/A</v>
        <stp/>
        <stp>BDH|6834659223234810513</stp>
        <tr r="F1302" s="3"/>
      </tp>
      <tp t="s">
        <v>#N/A N/A</v>
        <stp/>
        <stp>BDH|4235501291699413208</stp>
        <tr r="F1041" s="3"/>
      </tp>
      <tp t="s">
        <v>#N/A N/A</v>
        <stp/>
        <stp>BDH|3382724936067296315</stp>
        <tr r="F1485" s="3"/>
      </tp>
      <tp t="s">
        <v>#N/A N/A</v>
        <stp/>
        <stp>BDH|2319301510117030471</stp>
        <tr r="F1947" s="3"/>
      </tp>
      <tp t="s">
        <v>#N/A N/A</v>
        <stp/>
        <stp>BDH|3258429256900279109</stp>
        <tr r="F1799" s="3"/>
      </tp>
      <tp t="s">
        <v>#N/A N/A</v>
        <stp/>
        <stp>BDH|9112257591865992496</stp>
        <tr r="F1734" s="3"/>
      </tp>
      <tp t="s">
        <v>#N/A N/A</v>
        <stp/>
        <stp>BDH|26488495814090762</stp>
        <tr r="F1911" s="3"/>
      </tp>
      <tp t="s">
        <v>#N/A N/A</v>
        <stp/>
        <stp>BDH|962359293139677674</stp>
        <tr r="F1246" s="3"/>
      </tp>
      <tp t="s">
        <v>#N/A N/A</v>
        <stp/>
        <stp>BDH|958785202503141194</stp>
        <tr r="F1659" s="3"/>
      </tp>
      <tp t="s">
        <v>#N/A N/A</v>
        <stp/>
        <stp>BDH|892757870721897441</stp>
        <tr r="F1652" s="3"/>
      </tp>
      <tp t="s">
        <v>#N/A N/A</v>
        <stp/>
        <stp>BDH|667982026397667855</stp>
        <tr r="F1756" s="3"/>
      </tp>
      <tp t="s">
        <v>#N/A N/A</v>
        <stp/>
        <stp>BDH|291752735766481612</stp>
        <tr r="F1307" s="3"/>
      </tp>
      <tp t="s">
        <v>#N/A N/A</v>
        <stp/>
        <stp>BDH|390981646109889046</stp>
        <tr r="F1581" s="3"/>
      </tp>
      <tp t="s">
        <v>#N/A N/A</v>
        <stp/>
        <stp>BDH|428322745670842051</stp>
        <tr r="F1475" s="3"/>
      </tp>
      <tp t="s">
        <v>#N/A N/A</v>
        <stp/>
        <stp>BDH|283793564757095107</stp>
        <tr r="F1277" s="3"/>
      </tp>
      <tp t="s">
        <v>#N/A N/A</v>
        <stp/>
        <stp>BDH|885306874565576689</stp>
        <tr r="F1852" s="3"/>
      </tp>
      <tp t="s">
        <v>#N/A N/A</v>
        <stp/>
        <stp>BDH|268597017887282574</stp>
        <tr r="F1812" s="3"/>
      </tp>
      <tp t="s">
        <v>#N/A N/A</v>
        <stp/>
        <stp>BDH|704946596294888270</stp>
        <tr r="F1212" s="3"/>
      </tp>
      <tp t="s">
        <v>#N/A N/A</v>
        <stp/>
        <stp>BDH|669190686108241703</stp>
        <tr r="F1618" s="3"/>
      </tp>
      <tp t="s">
        <v>#N/A N/A</v>
        <stp/>
        <stp>BDH|897199224280370562</stp>
        <tr r="F1929" s="3"/>
      </tp>
      <tp t="s">
        <v>#N/A N/A</v>
        <stp/>
        <stp>BDH|469049957193469763</stp>
        <tr r="F1196" s="3"/>
      </tp>
      <tp t="s">
        <v>#N/A N/A</v>
        <stp/>
        <stp>BDH|854659541930712271</stp>
        <tr r="F1917" s="3"/>
      </tp>
      <tp t="s">
        <v>#N/A N/A</v>
        <stp/>
        <stp>BDH|997678731790627523</stp>
        <tr r="F1739" s="3"/>
      </tp>
      <tp t="s">
        <v>#N/A N/A</v>
        <stp/>
        <stp>BDH|573688848855437710</stp>
        <tr r="F1506" s="3"/>
      </tp>
      <tp t="s">
        <v>#N/A N/A</v>
        <stp/>
        <stp>BDH|864594801522424491</stp>
        <tr r="F1690" s="3"/>
      </tp>
      <tp t="s">
        <v>#N/A N/A</v>
        <stp/>
        <stp>BDH|804985281784890662</stp>
        <tr r="F1016" s="3"/>
      </tp>
      <tp t="s">
        <v>#N/A N/A</v>
        <stp/>
        <stp>BDH|181483495959187726</stp>
        <tr r="F1966" s="3"/>
      </tp>
      <tp t="s">
        <v>#N/A N/A</v>
        <stp/>
        <stp>BDH|780857781603055011</stp>
        <tr r="F1868" s="3"/>
      </tp>
      <tp t="s">
        <v>#N/A N/A</v>
        <stp/>
        <stp>BDH|660709305533973647</stp>
        <tr r="F1091" s="3"/>
      </tp>
      <tp t="s">
        <v>#N/A N/A</v>
        <stp/>
        <stp>BDH|162307676110444698</stp>
        <tr r="F1543" s="3"/>
      </tp>
      <tp t="s">
        <v>#N/A N/A</v>
        <stp/>
        <stp>BDH|532326373370657687</stp>
        <tr r="F1964" s="3"/>
        <tr r="F1527" s="3"/>
      </tp>
      <tp t="s">
        <v>#N/A N/A</v>
        <stp/>
        <stp>BDH|420543829682391875</stp>
        <tr r="F1930" s="3"/>
        <tr r="F1547" s="3"/>
      </tp>
      <tp t="s">
        <v>#N/A N/A</v>
        <stp/>
        <stp>BDH|693883872945785764</stp>
        <tr r="F1105" s="3"/>
      </tp>
      <tp t="s">
        <v>#N/A N/A</v>
        <stp/>
        <stp>BDH|832222670158887003</stp>
        <tr r="F1542" s="3"/>
      </tp>
      <tp t="s">
        <v>#N/A N/A</v>
        <stp/>
        <stp>BDH|569862954605099461</stp>
        <tr r="F1872" s="3"/>
      </tp>
      <tp t="s">
        <v>#N/A N/A</v>
        <stp/>
        <stp>BDH|388413099596338465</stp>
        <tr r="F1056" s="3"/>
      </tp>
      <tp t="s">
        <v>#N/A N/A</v>
        <stp/>
        <stp>BDH|216092384816457145</stp>
        <tr r="F1078" s="3"/>
      </tp>
      <tp t="s">
        <v>#N/A N/A</v>
        <stp/>
        <stp>BDH|660356707559449524</stp>
        <tr r="F1903" s="3"/>
      </tp>
      <tp t="s">
        <v>#N/A N/A</v>
        <stp/>
        <stp>BDH|326532035359844149</stp>
        <tr r="F1794" s="3"/>
      </tp>
      <tp t="s">
        <v>#N/A N/A</v>
        <stp/>
        <stp>BDH|417979150285759711</stp>
        <tr r="F1368" s="3"/>
      </tp>
      <tp t="s">
        <v>#N/A N/A</v>
        <stp/>
        <stp>BDH|424912101184673319</stp>
        <tr r="F1413" s="3"/>
      </tp>
      <tp t="s">
        <v>#N/A N/A</v>
        <stp/>
        <stp>BDH|121329811299666287</stp>
        <tr r="F1840" s="3"/>
      </tp>
      <tp t="s">
        <v>#N/A N/A</v>
        <stp/>
        <stp>BDH|355777260348926074</stp>
        <tr r="F1479" s="3"/>
      </tp>
      <tp t="s">
        <v>#N/A N/A</v>
        <stp/>
        <stp>BDH|962421122406962912</stp>
        <tr r="F1791" s="3"/>
      </tp>
      <tp t="s">
        <v>#N/A N/A</v>
        <stp/>
        <stp>BDH|828948568637009174</stp>
        <tr r="F1617" s="3"/>
      </tp>
      <tp t="s">
        <v>#N/A N/A</v>
        <stp/>
        <stp>BDH|246427694411650486</stp>
        <tr r="F1376" s="3"/>
      </tp>
      <tp t="s">
        <v>#N/A N/A</v>
        <stp/>
        <stp>BDH|219487081754988394</stp>
        <tr r="F1457" s="3"/>
      </tp>
      <tp t="s">
        <v>#N/A N/A</v>
        <stp/>
        <stp>BDH|386820451074469234</stp>
        <tr r="F1043" s="3"/>
      </tp>
      <tp t="s">
        <v>#N/A N/A</v>
        <stp/>
        <stp>BDH|167709656611523836</stp>
        <tr r="F1388" s="3"/>
      </tp>
      <tp t="s">
        <v>#N/A N/A</v>
        <stp/>
        <stp>BDH|795843481228775348</stp>
        <tr r="F1109" s="3"/>
      </tp>
      <tp t="s">
        <v>#N/A N/A</v>
        <stp/>
        <stp>BDH|267858428315838539</stp>
        <tr r="F1151" s="3"/>
      </tp>
      <tp t="s">
        <v>#N/A N/A</v>
        <stp/>
        <stp>BDH|220927743515334278</stp>
        <tr r="F1185" s="3"/>
      </tp>
      <tp t="s">
        <v>#N/A N/A</v>
        <stp/>
        <stp>BDH|965326254019441582</stp>
        <tr r="F1921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996"/>
  <x:sheetViews>
    <x:sheetView tabSelected="1" workbookViewId="0"/>
  </x:sheetViews>
  <x:sheetFormatPr defaultRowHeight="15" x14ac:dyDescent="0.25"/>
  <x:cols>
    <x:col min="1" max="1" width="56.28515625" customWidth="1"/>
    <x:col min="2" max="2" width="15.85546875" customWidth="1"/>
    <x:col min="3" max="19" width="9.140625" bestFit="1" customWidth="1"/>
  </x:cols>
  <x:sheetData>
    <x:row r="1" spans="1:19" x14ac:dyDescent="0.2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</x:row>
    <x:row r="2" spans="1:19" x14ac:dyDescent="0.25">
      <x:c r="A2" t="str">
        <x:f>IFERROR(IF(0=LEN(ReferenceData!$A$2),"",ReferenceData!$A$2),"")</x:f>
        <x:v>Description</x:v>
      </x:c>
      <x:c r="B2" t="str">
        <x:f>IFERROR(IF(0=LEN(ReferenceData!$B$2),"",ReferenceData!$B$2),"")</x:f>
        <x:v>Ticker</x:v>
      </x:c>
      <x:c r="C2" t="str">
        <x:f>IFERROR(IF(0=LEN(ReferenceData!$C$2),"",ReferenceData!$C$2),"")</x:f>
        <x:v>Field ID</x:v>
      </x:c>
      <x:c r="D2" t="str">
        <x:f>IFERROR(IF(0=LEN(ReferenceData!$D$2),"",ReferenceData!$D$2),"")</x:f>
        <x:v>Field Mnemonic</x:v>
      </x:c>
      <x:c r="E2" t="str">
        <x:f>IFERROR(IF(0=LEN(ReferenceData!$E$2),"",ReferenceData!$E$2),"")</x:f>
        <x:v>Data State</x:v>
      </x:c>
      <x:c r="F2" t="str">
        <x:f>IFERROR(IF(0=LEN(ReferenceData!$F$2),"",ReferenceData!$F$2),"")</x:f>
        <x:v>11/2023</x:v>
      </x:c>
      <x:c r="G2" t="str">
        <x:f>IFERROR(IF(0=LEN(ReferenceData!$G$2),"",ReferenceData!$G$2),"")</x:f>
        <x:v>10/2023</x:v>
      </x:c>
      <x:c r="H2" t="str">
        <x:f>IFERROR(IF(0=LEN(ReferenceData!$H$2),"",ReferenceData!$H$2),"")</x:f>
        <x:v>9/2023</x:v>
      </x:c>
      <x:c r="I2" t="str">
        <x:f>IFERROR(IF(0=LEN(ReferenceData!$I$2),"",ReferenceData!$I$2),"")</x:f>
        <x:v>8/2023</x:v>
      </x:c>
      <x:c r="J2" t="str">
        <x:f>IFERROR(IF(0=LEN(ReferenceData!$J$2),"",ReferenceData!$J$2),"")</x:f>
        <x:v>7/2023</x:v>
      </x:c>
      <x:c r="K2" t="str">
        <x:f>IFERROR(IF(0=LEN(ReferenceData!$K$2),"",ReferenceData!$K$2),"")</x:f>
        <x:v>6/2023</x:v>
      </x:c>
      <x:c r="L2" t="str">
        <x:f>IFERROR(IF(0=LEN(ReferenceData!$L$2),"",ReferenceData!$L$2),"")</x:f>
        <x:v>5/2023</x:v>
      </x:c>
      <x:c r="M2" t="str">
        <x:f>IFERROR(IF(0=LEN(ReferenceData!$M$2),"",ReferenceData!$M$2),"")</x:f>
        <x:v>4/2023</x:v>
      </x:c>
      <x:c r="N2" t="str">
        <x:f>IFERROR(IF(0=LEN(ReferenceData!$N$2),"",ReferenceData!$N$2),"")</x:f>
        <x:v>3/2023</x:v>
      </x:c>
      <x:c r="O2" t="str">
        <x:f>IFERROR(IF(0=LEN(ReferenceData!$O$2),"",ReferenceData!$O$2),"")</x:f>
        <x:v>2/2023</x:v>
      </x:c>
      <x:c r="P2" t="str">
        <x:f>IFERROR(IF(0=LEN(ReferenceData!$P$2),"",ReferenceData!$P$2),"")</x:f>
        <x:v>1/2023</x:v>
      </x:c>
      <x:c r="Q2" t="str">
        <x:f>IFERROR(IF(0=LEN(ReferenceData!$Q$2),"",ReferenceData!$Q$2),"")</x:f>
        <x:v>12/2022</x:v>
      </x:c>
      <x:c r="R2" t="str">
        <x:f>IFERROR(IF(0=LEN(ReferenceData!$R$2),"",ReferenceData!$R$2),"")</x:f>
        <x:v>11/2022</x:v>
      </x:c>
      <x:c r="S2" t="str">
        <x:f>IFERROR(IF(0=LEN(ReferenceData!$S$2),"",ReferenceData!$S$2),"")</x:f>
        <x:v>10/2022</x:v>
      </x:c>
    </x:row>
    <x:row r="3" spans="1:19" x14ac:dyDescent="0.25">
      <x:c r="A3" t="str">
        <x:f>IFERROR(IF(0=LEN(ReferenceData!$A$3),"",ReferenceData!$A$3),"")</x:f>
        <x:v>All tickers and data are US listed</x:v>
      </x:c>
      <x:c r="B3" t="str">
        <x:f>IFERROR(IF(0=LEN(ReferenceData!$B$3),"",ReferenceData!$B$3),"")</x:f>
        <x:v/>
      </x:c>
      <x:c r="C3" t="str">
        <x:f>IFERROR(IF(0=LEN(ReferenceData!$C$3),"",ReferenceData!$C$3),"")</x:f>
        <x:v/>
      </x:c>
      <x:c r="D3" t="str">
        <x:f>IFERROR(IF(0=LEN(ReferenceData!$D$3),"",ReferenceData!$D$3),"")</x:f>
        <x:v/>
      </x:c>
      <x:c r="E3" t="str">
        <x:f>IFERROR(IF(0=LEN(ReferenceData!$E$3),"",ReferenceData!$E$3),"")</x:f>
        <x:v>Heading</x:v>
      </x:c>
      <x:c r="F3" t="str">
        <x:f>IFERROR(IF(0=LEN(ReferenceData!$F$3),"",ReferenceData!$F$3),"")</x:f>
        <x:v/>
      </x:c>
      <x:c r="G3" t="str">
        <x:f>IFERROR(IF(0=LEN(ReferenceData!$G$3),"",ReferenceData!$G$3),"")</x:f>
        <x:v/>
      </x:c>
      <x:c r="H3" t="str">
        <x:f>IFERROR(IF(0=LEN(ReferenceData!$H$3),"",ReferenceData!$H$3),"")</x:f>
        <x:v/>
      </x:c>
      <x:c r="I3" t="str">
        <x:f>IFERROR(IF(0=LEN(ReferenceData!$I$3),"",ReferenceData!$I$3),"")</x:f>
        <x:v/>
      </x:c>
      <x:c r="J3" t="str">
        <x:f>IFERROR(IF(0=LEN(ReferenceData!$J$3),"",ReferenceData!$J$3),"")</x:f>
        <x:v/>
      </x:c>
      <x:c r="K3" t="str">
        <x:f>IFERROR(IF(0=LEN(ReferenceData!$K$3),"",ReferenceData!$K$3),"")</x:f>
        <x:v/>
      </x:c>
      <x:c r="L3" t="str">
        <x:f>IFERROR(IF(0=LEN(ReferenceData!$L$3),"",ReferenceData!$L$3),"")</x:f>
        <x:v/>
      </x:c>
      <x:c r="M3" t="str">
        <x:f>IFERROR(IF(0=LEN(ReferenceData!$M$3),"",ReferenceData!$M$3),"")</x:f>
        <x:v/>
      </x:c>
      <x:c r="N3" t="str">
        <x:f>IFERROR(IF(0=LEN(ReferenceData!$N$3),"",ReferenceData!$N$3),"")</x:f>
        <x:v/>
      </x:c>
      <x:c r="O3" t="str">
        <x:f>IFERROR(IF(0=LEN(ReferenceData!$O$3),"",ReferenceData!$O$3),"")</x:f>
        <x:v/>
      </x:c>
      <x:c r="P3" t="str">
        <x:f>IFERROR(IF(0=LEN(ReferenceData!$P$3),"",ReferenceData!$P$3),"")</x:f>
        <x:v/>
      </x:c>
      <x:c r="Q3" t="str">
        <x:f>IFERROR(IF(0=LEN(ReferenceData!$Q$3),"",ReferenceData!$Q$3),"")</x:f>
        <x:v/>
      </x:c>
      <x:c r="R3" t="str">
        <x:f>IFERROR(IF(0=LEN(ReferenceData!$R$3),"",ReferenceData!$R$3),"")</x:f>
        <x:v/>
      </x:c>
      <x:c r="S3" t="str">
        <x:f>IFERROR(IF(0=LEN(ReferenceData!$S$3),"",ReferenceData!$S$3),"")</x:f>
        <x:v/>
      </x:c>
    </x:row>
    <x:row r="4" spans="1:19" x14ac:dyDescent="0.25">
      <x:c r="A4" t="str">
        <x:f>IFERROR(IF(0=LEN(ReferenceData!$A$4),"",ReferenceData!$A$4),"")</x:f>
        <x:v>Sector Focus Flows ($ Mln)</x:v>
      </x:c>
      <x:c r="B4" t="str">
        <x:f>IFERROR(IF(0=LEN(ReferenceData!$B$4),"",ReferenceData!$B$4),"")</x:f>
        <x:v/>
      </x:c>
      <x:c r="C4" t="str">
        <x:f>IFERROR(IF(0=LEN(ReferenceData!$C$4),"",ReferenceData!$C$4),"")</x:f>
        <x:v/>
      </x:c>
      <x:c r="D4" t="str">
        <x:f>IFERROR(IF(0=LEN(ReferenceData!$D$4),"",ReferenceData!$D$4),"")</x:f>
        <x:v/>
      </x:c>
      <x:c r="E4" t="str">
        <x:f>IFERROR(IF(0=LEN(ReferenceData!$E$4),"",ReferenceData!$E$4),"")</x:f>
        <x:v>Sum</x:v>
      </x:c>
      <x:c r="F4">
        <x:f ca="1">IFERROR(IF(0=LEN(ReferenceData!$F$4),"",ReferenceData!$F$4),"")</x:f>
        <x:v>4412.6532079999988</x:v>
      </x:c>
      <x:c r="G4">
        <x:f ca="1">IFERROR(IF(0=LEN(ReferenceData!$G$4),"",ReferenceData!$G$4),"")</x:f>
        <x:v>-5886.782482999999</x:v>
      </x:c>
      <x:c r="H4">
        <x:f ca="1">IFERROR(IF(0=LEN(ReferenceData!$H$4),"",ReferenceData!$H$4),"")</x:f>
        <x:v>-7938.5235470000007</x:v>
      </x:c>
      <x:c r="I4">
        <x:f ca="1">IFERROR(IF(0=LEN(ReferenceData!$I$4),"",ReferenceData!$I$4),"")</x:f>
        <x:v>-846.93140500000015</x:v>
      </x:c>
      <x:c r="J4">
        <x:f ca="1">IFERROR(IF(0=LEN(ReferenceData!$J$4),"",ReferenceData!$J$4),"")</x:f>
        <x:v>8093.0020250000007</x:v>
      </x:c>
      <x:c r="K4">
        <x:f ca="1">IFERROR(IF(0=LEN(ReferenceData!$K$4),"",ReferenceData!$K$4),"")</x:f>
        <x:v>-7144.9035249999979</x:v>
      </x:c>
      <x:c r="L4">
        <x:f ca="1">IFERROR(IF(0=LEN(ReferenceData!$L$4),"",ReferenceData!$L$4),"")</x:f>
        <x:v>3038.7428700000009</x:v>
      </x:c>
      <x:c r="M4">
        <x:f ca="1">IFERROR(IF(0=LEN(ReferenceData!$M$4),"",ReferenceData!$M$4),"")</x:f>
        <x:v>-260.54634499999997</x:v>
      </x:c>
      <x:c r="N4">
        <x:f ca="1">IFERROR(IF(0=LEN(ReferenceData!$N$4),"",ReferenceData!$N$4),"")</x:f>
        <x:v>-3002.1083350000013</x:v>
      </x:c>
      <x:c r="O4">
        <x:f ca="1">IFERROR(IF(0=LEN(ReferenceData!$O$4),"",ReferenceData!$O$4),"")</x:f>
        <x:v>-5367.7518810000001</x:v>
      </x:c>
      <x:c r="P4">
        <x:f ca="1">IFERROR(IF(0=LEN(ReferenceData!$P$4),"",ReferenceData!$P$4),"")</x:f>
        <x:v>-1698.2423259999994</x:v>
      </x:c>
      <x:c r="Q4">
        <x:f ca="1">IFERROR(IF(0=LEN(ReferenceData!$Q$4),"",ReferenceData!$Q$4),"")</x:f>
        <x:v>-4289.5486430000001</x:v>
      </x:c>
      <x:c r="R4">
        <x:f ca="1">IFERROR(IF(0=LEN(ReferenceData!$R$4),"",ReferenceData!$R$4),"")</x:f>
        <x:v>5155.2119080000002</x:v>
      </x:c>
      <x:c r="S4">
        <x:f ca="1">IFERROR(IF(0=LEN(ReferenceData!$S$4),"",ReferenceData!$S$4),"")</x:f>
        <x:v>6956.9289579999995</x:v>
      </x:c>
    </x:row>
    <x:row r="5" spans="1:19" x14ac:dyDescent="0.25">
      <x:c r="A5" t="str">
        <x:f>IFERROR(IF(0=LEN(ReferenceData!$A$5),"",ReferenceData!$A$5),"")</x:f>
        <x:v xml:space="preserve">    Communications</x:v>
      </x:c>
      <x:c r="B5" t="str">
        <x:f>IFERROR(IF(0=LEN(ReferenceData!$B$5),"",ReferenceData!$B$5),"")</x:f>
        <x:v/>
      </x:c>
      <x:c r="C5" t="str">
        <x:f>IFERROR(IF(0=LEN(ReferenceData!$C$5),"",ReferenceData!$C$5),"")</x:f>
        <x:v/>
      </x:c>
      <x:c r="D5" t="str">
        <x:f>IFERROR(IF(0=LEN(ReferenceData!$D$5),"",ReferenceData!$D$5),"")</x:f>
        <x:v/>
      </x:c>
      <x:c r="E5" t="str">
        <x:f>IFERROR(IF(0=LEN(ReferenceData!$E$5),"",ReferenceData!$E$5),"")</x:f>
        <x:v>Sum</x:v>
      </x:c>
      <x:c r="F5">
        <x:f ca="1">IFERROR(IF(0=LEN(ReferenceData!$F$5),"",ReferenceData!$F$5),"")</x:f>
        <x:v>371.78441699999996</x:v>
      </x:c>
      <x:c r="G5">
        <x:f ca="1">IFERROR(IF(0=LEN(ReferenceData!$G$5),"",ReferenceData!$G$5),"")</x:f>
        <x:v>89.286933000000019</x:v>
      </x:c>
      <x:c r="H5">
        <x:f ca="1">IFERROR(IF(0=LEN(ReferenceData!$H$5),"",ReferenceData!$H$5),"")</x:f>
        <x:v>-1049.3497209999998</x:v>
      </x:c>
      <x:c r="I5">
        <x:f ca="1">IFERROR(IF(0=LEN(ReferenceData!$I$5),"",ReferenceData!$I$5),"")</x:f>
        <x:v>381.226156</x:v>
      </x:c>
      <x:c r="J5">
        <x:f ca="1">IFERROR(IF(0=LEN(ReferenceData!$J$5),"",ReferenceData!$J$5),"")</x:f>
        <x:v>908.7443189999999</x:v>
      </x:c>
      <x:c r="K5">
        <x:f ca="1">IFERROR(IF(0=LEN(ReferenceData!$K$5),"",ReferenceData!$K$5),"")</x:f>
        <x:v>171.45164800000001</x:v>
      </x:c>
      <x:c r="L5">
        <x:f ca="1">IFERROR(IF(0=LEN(ReferenceData!$L$5),"",ReferenceData!$L$5),"")</x:f>
        <x:v>696.85332699999992</x:v>
      </x:c>
      <x:c r="M5">
        <x:f ca="1">IFERROR(IF(0=LEN(ReferenceData!$M$5),"",ReferenceData!$M$5),"")</x:f>
        <x:v>945.69449799999995</x:v>
      </x:c>
      <x:c r="N5">
        <x:f ca="1">IFERROR(IF(0=LEN(ReferenceData!$N$5),"",ReferenceData!$N$5),"")</x:f>
        <x:v>162.34541099999998</x:v>
      </x:c>
      <x:c r="O5">
        <x:f ca="1">IFERROR(IF(0=LEN(ReferenceData!$O$5),"",ReferenceData!$O$5),"")</x:f>
        <x:v>-26.877200999999999</x:v>
      </x:c>
      <x:c r="P5">
        <x:f ca="1">IFERROR(IF(0=LEN(ReferenceData!$P$5),"",ReferenceData!$P$5),"")</x:f>
        <x:v>114.99995599999998</x:v>
      </x:c>
      <x:c r="Q5">
        <x:f ca="1">IFERROR(IF(0=LEN(ReferenceData!$Q$5),"",ReferenceData!$Q$5),"")</x:f>
        <x:v>-78.026331000000013</x:v>
      </x:c>
      <x:c r="R5">
        <x:f ca="1">IFERROR(IF(0=LEN(ReferenceData!$R$5),"",ReferenceData!$R$5),"")</x:f>
        <x:v>-73.034899000000024</x:v>
      </x:c>
      <x:c r="S5">
        <x:f ca="1">IFERROR(IF(0=LEN(ReferenceData!$S$5),"",ReferenceData!$S$5),"")</x:f>
        <x:v>501.66005000000001</x:v>
      </x:c>
    </x:row>
    <x:row r="6" spans="1:19" x14ac:dyDescent="0.25">
      <x:c r="A6" t="str">
        <x:f>IFERROR(IF(0=LEN(ReferenceData!$A$6),"",ReferenceData!$A$6),"")</x:f>
        <x:v xml:space="preserve">        Global X MSCI China Communicat</x:v>
      </x:c>
      <x:c r="B6" t="str">
        <x:f>IFERROR(IF(0=LEN(ReferenceData!$B$6),"",ReferenceData!$B$6),"")</x:f>
        <x:v>CHIC US Equity</x:v>
      </x:c>
      <x:c r="C6" t="str">
        <x:f>IFERROR(IF(0=LEN(ReferenceData!$C$6),"",ReferenceData!$C$6),"")</x:f>
        <x:v/>
      </x:c>
      <x:c r="D6" t="str">
        <x:f>IFERROR(IF(0=LEN(ReferenceData!$D$6),"",ReferenceData!$D$6),"")</x:f>
        <x:v/>
      </x:c>
      <x:c r="E6" t="str">
        <x:f>IFERROR(IF(0=LEN(ReferenceData!$E$6),"",ReferenceData!$E$6),"")</x:f>
        <x:v>Expression</x:v>
      </x:c>
      <x:c r="F6">
        <x:f ca="1">IFERROR(IF(0=LEN(ReferenceData!$F$6),"",ReferenceData!$F$6),"")</x:f>
        <x:v>0</x:v>
      </x:c>
      <x:c r="G6">
        <x:f ca="1">IFERROR(IF(0=LEN(ReferenceData!$G$6),"",ReferenceData!$G$6),"")</x:f>
        <x:v>0</x:v>
      </x:c>
      <x:c r="H6">
        <x:f ca="1">IFERROR(IF(0=LEN(ReferenceData!$H$6),"",ReferenceData!$H$6),"")</x:f>
        <x:v>-0.70199999999999996</x:v>
      </x:c>
      <x:c r="I6">
        <x:f ca="1">IFERROR(IF(0=LEN(ReferenceData!$I$6),"",ReferenceData!$I$6),"")</x:f>
        <x:v>0</x:v>
      </x:c>
      <x:c r="J6">
        <x:f ca="1">IFERROR(IF(0=LEN(ReferenceData!$J$6),"",ReferenceData!$J$6),"")</x:f>
        <x:v>0</x:v>
      </x:c>
      <x:c r="K6">
        <x:f ca="1">IFERROR(IF(0=LEN(ReferenceData!$K$6),"",ReferenceData!$K$6),"")</x:f>
        <x:v>0</x:v>
      </x:c>
      <x:c r="L6">
        <x:f ca="1">IFERROR(IF(0=LEN(ReferenceData!$L$6),"",ReferenceData!$L$6),"")</x:f>
        <x:v>0</x:v>
      </x:c>
      <x:c r="M6">
        <x:f ca="1">IFERROR(IF(0=LEN(ReferenceData!$M$6),"",ReferenceData!$M$6),"")</x:f>
        <x:v>0</x:v>
      </x:c>
      <x:c r="N6">
        <x:f ca="1">IFERROR(IF(0=LEN(ReferenceData!$N$6),"",ReferenceData!$N$6),"")</x:f>
        <x:v>0</x:v>
      </x:c>
      <x:c r="O6">
        <x:f ca="1">IFERROR(IF(0=LEN(ReferenceData!$O$6),"",ReferenceData!$O$6),"")</x:f>
        <x:v>0</x:v>
      </x:c>
      <x:c r="P6">
        <x:f ca="1">IFERROR(IF(0=LEN(ReferenceData!$P$6),"",ReferenceData!$P$6),"")</x:f>
        <x:v>0</x:v>
      </x:c>
      <x:c r="Q6">
        <x:f ca="1">IFERROR(IF(0=LEN(ReferenceData!$Q$6),"",ReferenceData!$Q$6),"")</x:f>
        <x:v>-0.38879999999999998</x:v>
      </x:c>
      <x:c r="R6">
        <x:f ca="1">IFERROR(IF(0=LEN(ReferenceData!$R$6),"",ReferenceData!$R$6),"")</x:f>
        <x:v>0</x:v>
      </x:c>
      <x:c r="S6">
        <x:f ca="1">IFERROR(IF(0=LEN(ReferenceData!$S$6),"",ReferenceData!$S$6),"")</x:f>
        <x:v>0</x:v>
      </x:c>
    </x:row>
    <x:row r="7" spans="1:19" x14ac:dyDescent="0.25">
      <x:c r="A7" t="str">
        <x:f>IFERROR(IF(0=LEN(ReferenceData!$A$7),"",ReferenceData!$A$7),"")</x:f>
        <x:v xml:space="preserve">        Vanguard Communication Service</x:v>
      </x:c>
      <x:c r="B7" t="str">
        <x:f>IFERROR(IF(0=LEN(ReferenceData!$B$7),"",ReferenceData!$B$7),"")</x:f>
        <x:v>VOX US Equity</x:v>
      </x:c>
      <x:c r="C7" t="str">
        <x:f>IFERROR(IF(0=LEN(ReferenceData!$C$7),"",ReferenceData!$C$7),"")</x:f>
        <x:v/>
      </x:c>
      <x:c r="D7" t="str">
        <x:f>IFERROR(IF(0=LEN(ReferenceData!$D$7),"",ReferenceData!$D$7),"")</x:f>
        <x:v/>
      </x:c>
      <x:c r="E7" t="str">
        <x:f>IFERROR(IF(0=LEN(ReferenceData!$E$7),"",ReferenceData!$E$7),"")</x:f>
        <x:v>Expression</x:v>
      </x:c>
      <x:c r="F7">
        <x:f ca="1">IFERROR(IF(0=LEN(ReferenceData!$F$7),"",ReferenceData!$F$7),"")</x:f>
        <x:v>52.590839000000003</x:v>
      </x:c>
      <x:c r="G7">
        <x:f ca="1">IFERROR(IF(0=LEN(ReferenceData!$G$7),"",ReferenceData!$G$7),"")</x:f>
        <x:v>-169.95474999999999</x:v>
      </x:c>
      <x:c r="H7">
        <x:f ca="1">IFERROR(IF(0=LEN(ReferenceData!$H$7),"",ReferenceData!$H$7),"")</x:f>
        <x:v>21.327500000000001</x:v>
      </x:c>
      <x:c r="I7">
        <x:f ca="1">IFERROR(IF(0=LEN(ReferenceData!$I$7),"",ReferenceData!$I$7),"")</x:f>
        <x:v>93.558000000000007</x:v>
      </x:c>
      <x:c r="J7">
        <x:f ca="1">IFERROR(IF(0=LEN(ReferenceData!$J$7),"",ReferenceData!$J$7),"")</x:f>
        <x:v>255.75774999999999</x:v>
      </x:c>
      <x:c r="K7">
        <x:f ca="1">IFERROR(IF(0=LEN(ReferenceData!$K$7),"",ReferenceData!$K$7),"")</x:f>
        <x:v>8.0120000000000005</x:v>
      </x:c>
      <x:c r="L7">
        <x:f ca="1">IFERROR(IF(0=LEN(ReferenceData!$L$7),"",ReferenceData!$L$7),"")</x:f>
        <x:v>-38.923749999999998</x:v>
      </x:c>
      <x:c r="M7">
        <x:f ca="1">IFERROR(IF(0=LEN(ReferenceData!$M$7),"",ReferenceData!$M$7),"")</x:f>
        <x:v>33.857250000000001</x:v>
      </x:c>
      <x:c r="N7">
        <x:f ca="1">IFERROR(IF(0=LEN(ReferenceData!$N$7),"",ReferenceData!$N$7),"")</x:f>
        <x:v>-98.185500000000005</x:v>
      </x:c>
      <x:c r="O7">
        <x:f ca="1">IFERROR(IF(0=LEN(ReferenceData!$O$7),"",ReferenceData!$O$7),"")</x:f>
        <x:v>22.97025</x:v>
      </x:c>
      <x:c r="P7">
        <x:f ca="1">IFERROR(IF(0=LEN(ReferenceData!$P$7),"",ReferenceData!$P$7),"")</x:f>
        <x:v>-12.899349000000001</x:v>
      </x:c>
      <x:c r="Q7">
        <x:f ca="1">IFERROR(IF(0=LEN(ReferenceData!$Q$7),"",ReferenceData!$Q$7),"")</x:f>
        <x:v>-11.843999999999999</x:v>
      </x:c>
      <x:c r="R7">
        <x:f ca="1">IFERROR(IF(0=LEN(ReferenceData!$R$7),"",ReferenceData!$R$7),"")</x:f>
        <x:v>104.081</x:v>
      </x:c>
      <x:c r="S7">
        <x:f ca="1">IFERROR(IF(0=LEN(ReferenceData!$S$7),"",ReferenceData!$S$7),"")</x:f>
        <x:v>-26.756499999999999</x:v>
      </x:c>
    </x:row>
    <x:row r="8" spans="1:19" x14ac:dyDescent="0.25">
      <x:c r="A8" t="str">
        <x:f>IFERROR(IF(0=LEN(ReferenceData!$A$8),"",ReferenceData!$A$8),"")</x:f>
        <x:v xml:space="preserve">        iShares US Telecommunications</x:v>
      </x:c>
      <x:c r="B8" t="str">
        <x:f>IFERROR(IF(0=LEN(ReferenceData!$B$8),"",ReferenceData!$B$8),"")</x:f>
        <x:v>IYZ US Equity</x:v>
      </x:c>
      <x:c r="C8" t="str">
        <x:f>IFERROR(IF(0=LEN(ReferenceData!$C$8),"",ReferenceData!$C$8),"")</x:f>
        <x:v/>
      </x:c>
      <x:c r="D8" t="str">
        <x:f>IFERROR(IF(0=LEN(ReferenceData!$D$8),"",ReferenceData!$D$8),"")</x:f>
        <x:v/>
      </x:c>
      <x:c r="E8" t="str">
        <x:f>IFERROR(IF(0=LEN(ReferenceData!$E$8),"",ReferenceData!$E$8),"")</x:f>
        <x:v>Expression</x:v>
      </x:c>
      <x:c r="F8">
        <x:f ca="1">IFERROR(IF(0=LEN(ReferenceData!$F$8),"",ReferenceData!$F$8),"")</x:f>
        <x:v>1.0878950000000001</x:v>
      </x:c>
      <x:c r="G8">
        <x:f ca="1">IFERROR(IF(0=LEN(ReferenceData!$G$8),"",ReferenceData!$G$8),"")</x:f>
        <x:v>-14.59263</x:v>
      </x:c>
      <x:c r="H8">
        <x:f ca="1">IFERROR(IF(0=LEN(ReferenceData!$H$8),"",ReferenceData!$H$8),"")</x:f>
        <x:v>-22.828022000000001</x:v>
      </x:c>
      <x:c r="I8">
        <x:f ca="1">IFERROR(IF(0=LEN(ReferenceData!$I$8),"",ReferenceData!$I$8),"")</x:f>
        <x:v>18.995685000000002</x:v>
      </x:c>
      <x:c r="J8">
        <x:f ca="1">IFERROR(IF(0=LEN(ReferenceData!$J$8),"",ReferenceData!$J$8),"")</x:f>
        <x:v>7.8651949999999999</x:v>
      </x:c>
      <x:c r="K8">
        <x:f ca="1">IFERROR(IF(0=LEN(ReferenceData!$K$8),"",ReferenceData!$K$8),"")</x:f>
        <x:v>-5.7293450000000004</x:v>
      </x:c>
      <x:c r="L8">
        <x:f ca="1">IFERROR(IF(0=LEN(ReferenceData!$L$8),"",ReferenceData!$L$8),"")</x:f>
        <x:v>-1.6009100000000001</x:v>
      </x:c>
      <x:c r="M8">
        <x:f ca="1">IFERROR(IF(0=LEN(ReferenceData!$M$8),"",ReferenceData!$M$8),"")</x:f>
        <x:v>-11.5543</x:v>
      </x:c>
      <x:c r="N8">
        <x:f ca="1">IFERROR(IF(0=LEN(ReferenceData!$N$8),"",ReferenceData!$N$8),"")</x:f>
        <x:v>-2.53545</x:v>
      </x:c>
      <x:c r="O8">
        <x:f ca="1">IFERROR(IF(0=LEN(ReferenceData!$O$8),"",ReferenceData!$O$8),"")</x:f>
        <x:v>-25.390135000000001</x:v>
      </x:c>
      <x:c r="P8">
        <x:f ca="1">IFERROR(IF(0=LEN(ReferenceData!$P$8),"",ReferenceData!$P$8),"")</x:f>
        <x:v>-128.05872500000001</x:v>
      </x:c>
      <x:c r="Q8">
        <x:f ca="1">IFERROR(IF(0=LEN(ReferenceData!$Q$8),"",ReferenceData!$Q$8),"")</x:f>
        <x:v>91.257864999999995</x:v>
      </x:c>
      <x:c r="R8">
        <x:f ca="1">IFERROR(IF(0=LEN(ReferenceData!$R$8),"",ReferenceData!$R$8),"")</x:f>
        <x:v>32.235700000000001</x:v>
      </x:c>
      <x:c r="S8">
        <x:f ca="1">IFERROR(IF(0=LEN(ReferenceData!$S$8),"",ReferenceData!$S$8),"")</x:f>
        <x:v>-159.81028499999999</x:v>
      </x:c>
    </x:row>
    <x:row r="9" spans="1:19" x14ac:dyDescent="0.25">
      <x:c r="A9" t="str">
        <x:f>IFERROR(IF(0=LEN(ReferenceData!$A$9),"",ReferenceData!$A$9),"")</x:f>
        <x:v xml:space="preserve">        iShares Global Comm Services E</x:v>
      </x:c>
      <x:c r="B9" t="str">
        <x:f>IFERROR(IF(0=LEN(ReferenceData!$B$9),"",ReferenceData!$B$9),"")</x:f>
        <x:v>IXP US Equity</x:v>
      </x:c>
      <x:c r="C9" t="str">
        <x:f>IFERROR(IF(0=LEN(ReferenceData!$C$9),"",ReferenceData!$C$9),"")</x:f>
        <x:v/>
      </x:c>
      <x:c r="D9" t="str">
        <x:f>IFERROR(IF(0=LEN(ReferenceData!$D$9),"",ReferenceData!$D$9),"")</x:f>
        <x:v/>
      </x:c>
      <x:c r="E9" t="str">
        <x:f>IFERROR(IF(0=LEN(ReferenceData!$E$9),"",ReferenceData!$E$9),"")</x:f>
        <x:v>Expression</x:v>
      </x:c>
      <x:c r="F9">
        <x:f ca="1">IFERROR(IF(0=LEN(ReferenceData!$F$9),"",ReferenceData!$F$9),"")</x:f>
        <x:v>0</x:v>
      </x:c>
      <x:c r="G9">
        <x:f ca="1">IFERROR(IF(0=LEN(ReferenceData!$G$9),"",ReferenceData!$G$9),"")</x:f>
        <x:v>-13.681226000000001</x:v>
      </x:c>
      <x:c r="H9">
        <x:f ca="1">IFERROR(IF(0=LEN(ReferenceData!$H$9),"",ReferenceData!$H$9),"")</x:f>
        <x:v>-17.184349999999998</x:v>
      </x:c>
      <x:c r="I9">
        <x:f ca="1">IFERROR(IF(0=LEN(ReferenceData!$I$9),"",ReferenceData!$I$9),"")</x:f>
        <x:v>17.537459999999999</x:v>
      </x:c>
      <x:c r="J9">
        <x:f ca="1">IFERROR(IF(0=LEN(ReferenceData!$J$9),"",ReferenceData!$J$9),"")</x:f>
        <x:v>-37.698329999999999</x:v>
      </x:c>
      <x:c r="K9">
        <x:f ca="1">IFERROR(IF(0=LEN(ReferenceData!$K$9),"",ReferenceData!$K$9),"")</x:f>
        <x:v>10.158065000000001</x:v>
      </x:c>
      <x:c r="L9">
        <x:f ca="1">IFERROR(IF(0=LEN(ReferenceData!$L$9),"",ReferenceData!$L$9),"")</x:f>
        <x:v>22.793970000000002</x:v>
      </x:c>
      <x:c r="M9">
        <x:f ca="1">IFERROR(IF(0=LEN(ReferenceData!$M$9),"",ReferenceData!$M$9),"")</x:f>
        <x:v>12.99072</x:v>
      </x:c>
      <x:c r="N9">
        <x:f ca="1">IFERROR(IF(0=LEN(ReferenceData!$N$9),"",ReferenceData!$N$9),"")</x:f>
        <x:v>-11.90593</x:v>
      </x:c>
      <x:c r="O9">
        <x:f ca="1">IFERROR(IF(0=LEN(ReferenceData!$O$9),"",ReferenceData!$O$9),"")</x:f>
        <x:v>19.075575000000001</x:v>
      </x:c>
      <x:c r="P9">
        <x:f ca="1">IFERROR(IF(0=LEN(ReferenceData!$P$9),"",ReferenceData!$P$9),"")</x:f>
        <x:v>3.0830500000000001</x:v>
      </x:c>
      <x:c r="Q9">
        <x:f ca="1">IFERROR(IF(0=LEN(ReferenceData!$Q$9),"",ReferenceData!$Q$9),"")</x:f>
        <x:v>2.7810299999999999</x:v>
      </x:c>
      <x:c r="R9">
        <x:f ca="1">IFERROR(IF(0=LEN(ReferenceData!$R$9),"",ReferenceData!$R$9),"")</x:f>
        <x:v>-70.856795000000005</x:v>
      </x:c>
      <x:c r="S9">
        <x:f ca="1">IFERROR(IF(0=LEN(ReferenceData!$S$9),"",ReferenceData!$S$9),"")</x:f>
        <x:v>85.675454999999999</x:v>
      </x:c>
    </x:row>
    <x:row r="10" spans="1:19" x14ac:dyDescent="0.25">
      <x:c r="A10" t="str">
        <x:f>IFERROR(IF(0=LEN(ReferenceData!$A$10),"",ReferenceData!$A$10),"")</x:f>
        <x:v xml:space="preserve">        Fidelity MSCI Communication Se</x:v>
      </x:c>
      <x:c r="B10" t="str">
        <x:f>IFERROR(IF(0=LEN(ReferenceData!$B$10),"",ReferenceData!$B$10),"")</x:f>
        <x:v>FCOM US Equity</x:v>
      </x:c>
      <x:c r="C10" t="str">
        <x:f>IFERROR(IF(0=LEN(ReferenceData!$C$10),"",ReferenceData!$C$10),"")</x:f>
        <x:v/>
      </x:c>
      <x:c r="D10" t="str">
        <x:f>IFERROR(IF(0=LEN(ReferenceData!$D$10),"",ReferenceData!$D$10),"")</x:f>
        <x:v/>
      </x:c>
      <x:c r="E10" t="str">
        <x:f>IFERROR(IF(0=LEN(ReferenceData!$E$10),"",ReferenceData!$E$10),"")</x:f>
        <x:v>Expression</x:v>
      </x:c>
      <x:c r="F10">
        <x:f ca="1">IFERROR(IF(0=LEN(ReferenceData!$F$10),"",ReferenceData!$F$10),"")</x:f>
        <x:v>8.6698299999999993</x:v>
      </x:c>
      <x:c r="G10">
        <x:f ca="1">IFERROR(IF(0=LEN(ReferenceData!$G$10),"",ReferenceData!$G$10),"")</x:f>
        <x:v>32.547714999999997</x:v>
      </x:c>
      <x:c r="H10">
        <x:f ca="1">IFERROR(IF(0=LEN(ReferenceData!$H$10),"",ReferenceData!$H$10),"")</x:f>
        <x:v>18.082345</x:v>
      </x:c>
      <x:c r="I10">
        <x:f ca="1">IFERROR(IF(0=LEN(ReferenceData!$I$10),"",ReferenceData!$I$10),"")</x:f>
        <x:v>-9.6915150000000008</x:v>
      </x:c>
      <x:c r="J10">
        <x:f ca="1">IFERROR(IF(0=LEN(ReferenceData!$J$10),"",ReferenceData!$J$10),"")</x:f>
        <x:v>2.0476299999999998</x:v>
      </x:c>
      <x:c r="K10">
        <x:f ca="1">IFERROR(IF(0=LEN(ReferenceData!$K$10),"",ReferenceData!$K$10),"")</x:f>
        <x:v>21.582799999999999</x:v>
      </x:c>
      <x:c r="L10">
        <x:f ca="1">IFERROR(IF(0=LEN(ReferenceData!$L$10),"",ReferenceData!$L$10),"")</x:f>
        <x:v>77.238155000000006</x:v>
      </x:c>
      <x:c r="M10">
        <x:f ca="1">IFERROR(IF(0=LEN(ReferenceData!$M$10),"",ReferenceData!$M$10),"")</x:f>
        <x:v>23.814205000000001</x:v>
      </x:c>
      <x:c r="N10">
        <x:f ca="1">IFERROR(IF(0=LEN(ReferenceData!$N$10),"",ReferenceData!$N$10),"")</x:f>
        <x:v>12.527884999999999</x:v>
      </x:c>
      <x:c r="O10">
        <x:f ca="1">IFERROR(IF(0=LEN(ReferenceData!$O$10),"",ReferenceData!$O$10),"")</x:f>
        <x:v>18.147514999999999</x:v>
      </x:c>
      <x:c r="P10">
        <x:f ca="1">IFERROR(IF(0=LEN(ReferenceData!$P$10),"",ReferenceData!$P$10),"")</x:f>
        <x:v>-4.2656099999999997</x:v>
      </x:c>
      <x:c r="Q10">
        <x:f ca="1">IFERROR(IF(0=LEN(ReferenceData!$Q$10),"",ReferenceData!$Q$10),"")</x:f>
        <x:v>-16.842420000000001</x:v>
      </x:c>
      <x:c r="R10">
        <x:f ca="1">IFERROR(IF(0=LEN(ReferenceData!$R$10),"",ReferenceData!$R$10),"")</x:f>
        <x:v>-14.435485</x:v>
      </x:c>
      <x:c r="S10">
        <x:f ca="1">IFERROR(IF(0=LEN(ReferenceData!$S$10),"",ReferenceData!$S$10),"")</x:f>
        <x:v>3.3193199999999998</x:v>
      </x:c>
    </x:row>
    <x:row r="11" spans="1:19" x14ac:dyDescent="0.25">
      <x:c r="A11" t="str">
        <x:f>IFERROR(IF(0=LEN(ReferenceData!$A$11),"",ReferenceData!$A$11),"")</x:f>
        <x:v xml:space="preserve">        SPDR S&amp;P Telecom ETF</x:v>
      </x:c>
      <x:c r="B11" t="str">
        <x:f>IFERROR(IF(0=LEN(ReferenceData!$B$11),"",ReferenceData!$B$11),"")</x:f>
        <x:v>XTL US Equity</x:v>
      </x:c>
      <x:c r="C11" t="str">
        <x:f>IFERROR(IF(0=LEN(ReferenceData!$C$11),"",ReferenceData!$C$11),"")</x:f>
        <x:v/>
      </x:c>
      <x:c r="D11" t="str">
        <x:f>IFERROR(IF(0=LEN(ReferenceData!$D$11),"",ReferenceData!$D$11),"")</x:f>
        <x:v/>
      </x:c>
      <x:c r="E11" t="str">
        <x:f>IFERROR(IF(0=LEN(ReferenceData!$E$11),"",ReferenceData!$E$11),"")</x:f>
        <x:v>Expression</x:v>
      </x:c>
      <x:c r="F11">
        <x:f ca="1">IFERROR(IF(0=LEN(ReferenceData!$F$11),"",ReferenceData!$F$11),"")</x:f>
        <x:v>1.743633</x:v>
      </x:c>
      <x:c r="G11">
        <x:f ca="1">IFERROR(IF(0=LEN(ReferenceData!$G$11),"",ReferenceData!$G$11),"")</x:f>
        <x:v>-4.9504469999999996</x:v>
      </x:c>
      <x:c r="H11">
        <x:f ca="1">IFERROR(IF(0=LEN(ReferenceData!$H$11),"",ReferenceData!$H$11),"")</x:f>
        <x:v>0</x:v>
      </x:c>
      <x:c r="I11">
        <x:f ca="1">IFERROR(IF(0=LEN(ReferenceData!$I$11),"",ReferenceData!$I$11),"")</x:f>
        <x:v>3.79576</x:v>
      </x:c>
      <x:c r="J11">
        <x:f ca="1">IFERROR(IF(0=LEN(ReferenceData!$J$11),"",ReferenceData!$J$11),"")</x:f>
        <x:v>-3.8305030000000002</x:v>
      </x:c>
      <x:c r="K11">
        <x:f ca="1">IFERROR(IF(0=LEN(ReferenceData!$K$11),"",ReferenceData!$K$11),"")</x:f>
        <x:v>0</x:v>
      </x:c>
      <x:c r="L11">
        <x:f ca="1">IFERROR(IF(0=LEN(ReferenceData!$L$11),"",ReferenceData!$L$11),"")</x:f>
        <x:v>0</x:v>
      </x:c>
      <x:c r="M11">
        <x:f ca="1">IFERROR(IF(0=LEN(ReferenceData!$M$11),"",ReferenceData!$M$11),"")</x:f>
        <x:v>-1.82334</x:v>
      </x:c>
      <x:c r="N11">
        <x:f ca="1">IFERROR(IF(0=LEN(ReferenceData!$N$11),"",ReferenceData!$N$11),"")</x:f>
        <x:v>-2.0234380000000001</x:v>
      </x:c>
      <x:c r="O11">
        <x:f ca="1">IFERROR(IF(0=LEN(ReferenceData!$O$11),"",ReferenceData!$O$11),"")</x:f>
        <x:v>-2.10094</x:v>
      </x:c>
      <x:c r="P11">
        <x:f ca="1">IFERROR(IF(0=LEN(ReferenceData!$P$11),"",ReferenceData!$P$11),"")</x:f>
        <x:v>2.143923</x:v>
      </x:c>
      <x:c r="Q11">
        <x:f ca="1">IFERROR(IF(0=LEN(ReferenceData!$Q$11),"",ReferenceData!$Q$11),"")</x:f>
        <x:v>2.0216609999999999</x:v>
      </x:c>
      <x:c r="R11">
        <x:f ca="1">IFERROR(IF(0=LEN(ReferenceData!$R$11),"",ReferenceData!$R$11),"")</x:f>
        <x:v>6.3777939999999997</x:v>
      </x:c>
      <x:c r="S11">
        <x:f ca="1">IFERROR(IF(0=LEN(ReferenceData!$S$11),"",ReferenceData!$S$11),"")</x:f>
        <x:v>2.1047859999999998</x:v>
      </x:c>
    </x:row>
    <x:row r="12" spans="1:19" x14ac:dyDescent="0.25">
      <x:c r="A12" t="str">
        <x:f>IFERROR(IF(0=LEN(ReferenceData!$A$12),"",ReferenceData!$A$12),"")</x:f>
        <x:v xml:space="preserve">        SPDR S&amp;P International Telecom</x:v>
      </x:c>
      <x:c r="B12" t="str">
        <x:f>IFERROR(IF(0=LEN(ReferenceData!$B$12),"",ReferenceData!$B$12),"")</x:f>
        <x:v>IST US Equity</x:v>
      </x:c>
      <x:c r="C12" t="str">
        <x:f>IFERROR(IF(0=LEN(ReferenceData!$C$12),"",ReferenceData!$C$12),"")</x:f>
        <x:v/>
      </x:c>
      <x:c r="D12" t="str">
        <x:f>IFERROR(IF(0=LEN(ReferenceData!$D$12),"",ReferenceData!$D$12),"")</x:f>
        <x:v/>
      </x:c>
      <x:c r="E12" t="str">
        <x:f>IFERROR(IF(0=LEN(ReferenceData!$E$12),"",ReferenceData!$E$12),"")</x:f>
        <x:v>Expression</x:v>
      </x:c>
      <x:c r="F12" t="str">
        <x:f ca="1">IFERROR(IF(0=LEN(ReferenceData!$F$12),"",ReferenceData!$F$12),"")</x:f>
        <x:v/>
      </x:c>
      <x:c r="G12" t="str">
        <x:f ca="1">IFERROR(IF(0=LEN(ReferenceData!$G$12),"",ReferenceData!$G$12),"")</x:f>
        <x:v/>
      </x:c>
      <x:c r="H12" t="str">
        <x:f ca="1">IFERROR(IF(0=LEN(ReferenceData!$H$12),"",ReferenceData!$H$12),"")</x:f>
        <x:v/>
      </x:c>
      <x:c r="I12" t="str">
        <x:f ca="1">IFERROR(IF(0=LEN(ReferenceData!$I$12),"",ReferenceData!$I$12),"")</x:f>
        <x:v/>
      </x:c>
      <x:c r="J12" t="str">
        <x:f ca="1">IFERROR(IF(0=LEN(ReferenceData!$J$12),"",ReferenceData!$J$12),"")</x:f>
        <x:v/>
      </x:c>
      <x:c r="K12" t="str">
        <x:f ca="1">IFERROR(IF(0=LEN(ReferenceData!$K$12),"",ReferenceData!$K$12),"")</x:f>
        <x:v/>
      </x:c>
      <x:c r="L12" t="str">
        <x:f ca="1">IFERROR(IF(0=LEN(ReferenceData!$L$12),"",ReferenceData!$L$12),"")</x:f>
        <x:v/>
      </x:c>
      <x:c r="M12" t="str">
        <x:f ca="1">IFERROR(IF(0=LEN(ReferenceData!$M$12),"",ReferenceData!$M$12),"")</x:f>
        <x:v/>
      </x:c>
      <x:c r="N12" t="str">
        <x:f ca="1">IFERROR(IF(0=LEN(ReferenceData!$N$12),"",ReferenceData!$N$12),"")</x:f>
        <x:v/>
      </x:c>
      <x:c r="O12" t="str">
        <x:f ca="1">IFERROR(IF(0=LEN(ReferenceData!$O$12),"",ReferenceData!$O$12),"")</x:f>
        <x:v/>
      </x:c>
      <x:c r="P12" t="str">
        <x:f ca="1">IFERROR(IF(0=LEN(ReferenceData!$P$12),"",ReferenceData!$P$12),"")</x:f>
        <x:v/>
      </x:c>
      <x:c r="Q12" t="str">
        <x:f ca="1">IFERROR(IF(0=LEN(ReferenceData!$Q$12),"",ReferenceData!$Q$12),"")</x:f>
        <x:v/>
      </x:c>
      <x:c r="R12" t="str">
        <x:f ca="1">IFERROR(IF(0=LEN(ReferenceData!$R$12),"",ReferenceData!$R$12),"")</x:f>
        <x:v/>
      </x:c>
      <x:c r="S12" t="str">
        <x:f ca="1">IFERROR(IF(0=LEN(ReferenceData!$S$12),"",ReferenceData!$S$12),"")</x:f>
        <x:v/>
      </x:c>
    </x:row>
    <x:row r="13" spans="1:19" x14ac:dyDescent="0.25">
      <x:c r="A13" t="str">
        <x:f>IFERROR(IF(0=LEN(ReferenceData!$A$13),"",ReferenceData!$A$13),"")</x:f>
        <x:v xml:space="preserve">        ProShares Ultra Communication</x:v>
      </x:c>
      <x:c r="B13" t="str">
        <x:f>IFERROR(IF(0=LEN(ReferenceData!$B$13),"",ReferenceData!$B$13),"")</x:f>
        <x:v>LTL US Equity</x:v>
      </x:c>
      <x:c r="C13" t="str">
        <x:f>IFERROR(IF(0=LEN(ReferenceData!$C$13),"",ReferenceData!$C$13),"")</x:f>
        <x:v/>
      </x:c>
      <x:c r="D13" t="str">
        <x:f>IFERROR(IF(0=LEN(ReferenceData!$D$13),"",ReferenceData!$D$13),"")</x:f>
        <x:v/>
      </x:c>
      <x:c r="E13" t="str">
        <x:f>IFERROR(IF(0=LEN(ReferenceData!$E$13),"",ReferenceData!$E$13),"")</x:f>
        <x:v>Expression</x:v>
      </x:c>
      <x:c r="F13">
        <x:f ca="1">IFERROR(IF(0=LEN(ReferenceData!$F$13),"",ReferenceData!$F$13),"")</x:f>
        <x:v>0.474802</x:v>
      </x:c>
      <x:c r="G13">
        <x:f ca="1">IFERROR(IF(0=LEN(ReferenceData!$G$13),"",ReferenceData!$G$13),"")</x:f>
        <x:v>0</x:v>
      </x:c>
      <x:c r="H13">
        <x:f ca="1">IFERROR(IF(0=LEN(ReferenceData!$H$13),"",ReferenceData!$H$13),"")</x:f>
        <x:v>0</x:v>
      </x:c>
      <x:c r="I13">
        <x:f ca="1">IFERROR(IF(0=LEN(ReferenceData!$I$13),"",ReferenceData!$I$13),"")</x:f>
        <x:v>0</x:v>
      </x:c>
      <x:c r="J13">
        <x:f ca="1">IFERROR(IF(0=LEN(ReferenceData!$J$13),"",ReferenceData!$J$13),"")</x:f>
        <x:v>0</x:v>
      </x:c>
      <x:c r="K13">
        <x:f ca="1">IFERROR(IF(0=LEN(ReferenceData!$K$13),"",ReferenceData!$K$13),"")</x:f>
        <x:v>0</x:v>
      </x:c>
      <x:c r="L13">
        <x:f ca="1">IFERROR(IF(0=LEN(ReferenceData!$L$13),"",ReferenceData!$L$13),"")</x:f>
        <x:v>0</x:v>
      </x:c>
      <x:c r="M13">
        <x:f ca="1">IFERROR(IF(0=LEN(ReferenceData!$M$13),"",ReferenceData!$M$13),"")</x:f>
        <x:v>0</x:v>
      </x:c>
      <x:c r="N13">
        <x:f ca="1">IFERROR(IF(0=LEN(ReferenceData!$N$13),"",ReferenceData!$N$13),"")</x:f>
        <x:v>0</x:v>
      </x:c>
      <x:c r="O13">
        <x:f ca="1">IFERROR(IF(0=LEN(ReferenceData!$O$13),"",ReferenceData!$O$13),"")</x:f>
        <x:v>-0.73187599999999997</x:v>
      </x:c>
      <x:c r="P13">
        <x:f ca="1">IFERROR(IF(0=LEN(ReferenceData!$P$13),"",ReferenceData!$P$13),"")</x:f>
        <x:v>0</x:v>
      </x:c>
      <x:c r="Q13">
        <x:f ca="1">IFERROR(IF(0=LEN(ReferenceData!$Q$13),"",ReferenceData!$Q$13),"")</x:f>
        <x:v>-1.0818920000000001</x:v>
      </x:c>
      <x:c r="R13">
        <x:f ca="1">IFERROR(IF(0=LEN(ReferenceData!$R$13),"",ReferenceData!$R$13),"")</x:f>
        <x:v>0.79818500000000003</x:v>
      </x:c>
      <x:c r="S13">
        <x:f ca="1">IFERROR(IF(0=LEN(ReferenceData!$S$13),"",ReferenceData!$S$13),"")</x:f>
        <x:v>0</x:v>
      </x:c>
    </x:row>
    <x:row r="14" spans="1:19" x14ac:dyDescent="0.25">
      <x:c r="A14" t="str">
        <x:f>IFERROR(IF(0=LEN(ReferenceData!$A$14),"",ReferenceData!$A$14),"")</x:f>
        <x:v xml:space="preserve">        iShares Evolved US Media and E</x:v>
      </x:c>
      <x:c r="B14" t="str">
        <x:f>IFERROR(IF(0=LEN(ReferenceData!$B$14),"",ReferenceData!$B$14),"")</x:f>
        <x:v>IEME US Equity</x:v>
      </x:c>
      <x:c r="C14" t="str">
        <x:f>IFERROR(IF(0=LEN(ReferenceData!$C$14),"",ReferenceData!$C$14),"")</x:f>
        <x:v/>
      </x:c>
      <x:c r="D14" t="str">
        <x:f>IFERROR(IF(0=LEN(ReferenceData!$D$14),"",ReferenceData!$D$14),"")</x:f>
        <x:v/>
      </x:c>
      <x:c r="E14" t="str">
        <x:f>IFERROR(IF(0=LEN(ReferenceData!$E$14),"",ReferenceData!$E$14),"")</x:f>
        <x:v>Expression</x:v>
      </x:c>
      <x:c r="F14" t="str">
        <x:f ca="1">IFERROR(IF(0=LEN(ReferenceData!$F$14),"",ReferenceData!$F$14),"")</x:f>
        <x:v/>
      </x:c>
      <x:c r="G14" t="str">
        <x:f ca="1">IFERROR(IF(0=LEN(ReferenceData!$G$14),"",ReferenceData!$G$14),"")</x:f>
        <x:v/>
      </x:c>
      <x:c r="H14" t="str">
        <x:f ca="1">IFERROR(IF(0=LEN(ReferenceData!$H$14),"",ReferenceData!$H$14),"")</x:f>
        <x:v/>
      </x:c>
      <x:c r="I14" t="str">
        <x:f ca="1">IFERROR(IF(0=LEN(ReferenceData!$I$14),"",ReferenceData!$I$14),"")</x:f>
        <x:v/>
      </x:c>
      <x:c r="J14" t="str">
        <x:f ca="1">IFERROR(IF(0=LEN(ReferenceData!$J$14),"",ReferenceData!$J$14),"")</x:f>
        <x:v/>
      </x:c>
      <x:c r="K14" t="str">
        <x:f ca="1">IFERROR(IF(0=LEN(ReferenceData!$K$14),"",ReferenceData!$K$14),"")</x:f>
        <x:v/>
      </x:c>
      <x:c r="L14" t="str">
        <x:f ca="1">IFERROR(IF(0=LEN(ReferenceData!$L$14),"",ReferenceData!$L$14),"")</x:f>
        <x:v/>
      </x:c>
      <x:c r="M14" t="str">
        <x:f ca="1">IFERROR(IF(0=LEN(ReferenceData!$M$14),"",ReferenceData!$M$14),"")</x:f>
        <x:v/>
      </x:c>
      <x:c r="N14" t="str">
        <x:f ca="1">IFERROR(IF(0=LEN(ReferenceData!$N$14),"",ReferenceData!$N$14),"")</x:f>
        <x:v/>
      </x:c>
      <x:c r="O14" t="str">
        <x:f ca="1">IFERROR(IF(0=LEN(ReferenceData!$O$14),"",ReferenceData!$O$14),"")</x:f>
        <x:v/>
      </x:c>
      <x:c r="P14" t="str">
        <x:f ca="1">IFERROR(IF(0=LEN(ReferenceData!$P$14),"",ReferenceData!$P$14),"")</x:f>
        <x:v/>
      </x:c>
      <x:c r="Q14" t="str">
        <x:f ca="1">IFERROR(IF(0=LEN(ReferenceData!$Q$14),"",ReferenceData!$Q$14),"")</x:f>
        <x:v/>
      </x:c>
      <x:c r="R14" t="str">
        <x:f ca="1">IFERROR(IF(0=LEN(ReferenceData!$R$14),"",ReferenceData!$R$14),"")</x:f>
        <x:v/>
      </x:c>
      <x:c r="S14" t="str">
        <x:f ca="1">IFERROR(IF(0=LEN(ReferenceData!$S$14),"",ReferenceData!$S$14),"")</x:f>
        <x:v/>
      </x:c>
    </x:row>
    <x:row r="15" spans="1:19" x14ac:dyDescent="0.25">
      <x:c r="A15" t="str">
        <x:f>IFERROR(IF(0=LEN(ReferenceData!$A$15),"",ReferenceData!$A$15),"")</x:f>
        <x:v xml:space="preserve">        Communication Services Select</x:v>
      </x:c>
      <x:c r="B15" t="str">
        <x:f>IFERROR(IF(0=LEN(ReferenceData!$B$15),"",ReferenceData!$B$15),"")</x:f>
        <x:v>XLC US Equity</x:v>
      </x:c>
      <x:c r="C15" t="str">
        <x:f>IFERROR(IF(0=LEN(ReferenceData!$C$15),"",ReferenceData!$C$15),"")</x:f>
        <x:v/>
      </x:c>
      <x:c r="D15" t="str">
        <x:f>IFERROR(IF(0=LEN(ReferenceData!$D$15),"",ReferenceData!$D$15),"")</x:f>
        <x:v/>
      </x:c>
      <x:c r="E15" t="str">
        <x:f>IFERROR(IF(0=LEN(ReferenceData!$E$15),"",ReferenceData!$E$15),"")</x:f>
        <x:v>Expression</x:v>
      </x:c>
      <x:c r="F15">
        <x:f ca="1">IFERROR(IF(0=LEN(ReferenceData!$F$15),"",ReferenceData!$F$15),"")</x:f>
        <x:v>303.47692799999999</x:v>
      </x:c>
      <x:c r="G15">
        <x:f ca="1">IFERROR(IF(0=LEN(ReferenceData!$G$15),"",ReferenceData!$G$15),"")</x:f>
        <x:v>263.486467</x:v>
      </x:c>
      <x:c r="H15">
        <x:f ca="1">IFERROR(IF(0=LEN(ReferenceData!$H$15),"",ReferenceData!$H$15),"")</x:f>
        <x:v>-1050.400727</x:v>
      </x:c>
      <x:c r="I15">
        <x:f ca="1">IFERROR(IF(0=LEN(ReferenceData!$I$15),"",ReferenceData!$I$15),"")</x:f>
        <x:v>259.197383</x:v>
      </x:c>
      <x:c r="J15">
        <x:f ca="1">IFERROR(IF(0=LEN(ReferenceData!$J$15),"",ReferenceData!$J$15),"")</x:f>
        <x:v>672.58660399999997</x:v>
      </x:c>
      <x:c r="K15">
        <x:f ca="1">IFERROR(IF(0=LEN(ReferenceData!$K$15),"",ReferenceData!$K$15),"")</x:f>
        <x:v>201.42626000000001</x:v>
      </x:c>
      <x:c r="L15">
        <x:f ca="1">IFERROR(IF(0=LEN(ReferenceData!$L$15),"",ReferenceData!$L$15),"")</x:f>
        <x:v>634.88717999999994</x:v>
      </x:c>
      <x:c r="M15">
        <x:f ca="1">IFERROR(IF(0=LEN(ReferenceData!$M$15),"",ReferenceData!$M$15),"")</x:f>
        <x:v>887.814842</x:v>
      </x:c>
      <x:c r="N15">
        <x:f ca="1">IFERROR(IF(0=LEN(ReferenceData!$N$15),"",ReferenceData!$N$15),"")</x:f>
        <x:v>262.87162899999998</x:v>
      </x:c>
      <x:c r="O15">
        <x:f ca="1">IFERROR(IF(0=LEN(ReferenceData!$O$15),"",ReferenceData!$O$15),"")</x:f>
        <x:v>-62.540000999999997</x:v>
      </x:c>
      <x:c r="P15">
        <x:f ca="1">IFERROR(IF(0=LEN(ReferenceData!$P$15),"",ReferenceData!$P$15),"")</x:f>
        <x:v>254.55850799999999</x:v>
      </x:c>
      <x:c r="Q15">
        <x:f ca="1">IFERROR(IF(0=LEN(ReferenceData!$Q$15),"",ReferenceData!$Q$15),"")</x:f>
        <x:v>-146.43011100000001</x:v>
      </x:c>
      <x:c r="R15">
        <x:f ca="1">IFERROR(IF(0=LEN(ReferenceData!$R$15),"",ReferenceData!$R$15),"")</x:f>
        <x:v>-131.63188500000001</x:v>
      </x:c>
      <x:c r="S15">
        <x:f ca="1">IFERROR(IF(0=LEN(ReferenceData!$S$15),"",ReferenceData!$S$15),"")</x:f>
        <x:v>598.564165</x:v>
      </x:c>
    </x:row>
    <x:row r="16" spans="1:19" x14ac:dyDescent="0.25">
      <x:c r="A16" t="str">
        <x:f>IFERROR(IF(0=LEN(ReferenceData!$A$16),"",ReferenceData!$A$16),"")</x:f>
        <x:v xml:space="preserve">        Invesco S&amp;P 500 Equal Weight C</x:v>
      </x:c>
      <x:c r="B16" t="str">
        <x:f>IFERROR(IF(0=LEN(ReferenceData!$B$16),"",ReferenceData!$B$16),"")</x:f>
        <x:v>EWCO US Equity</x:v>
      </x:c>
      <x:c r="C16" t="str">
        <x:f>IFERROR(IF(0=LEN(ReferenceData!$C$16),"",ReferenceData!$C$16),"")</x:f>
        <x:v/>
      </x:c>
      <x:c r="D16" t="str">
        <x:f>IFERROR(IF(0=LEN(ReferenceData!$D$16),"",ReferenceData!$D$16),"")</x:f>
        <x:v/>
      </x:c>
      <x:c r="E16" t="str">
        <x:f>IFERROR(IF(0=LEN(ReferenceData!$E$16),"",ReferenceData!$E$16),"")</x:f>
        <x:v>Expression</x:v>
      </x:c>
      <x:c r="F16">
        <x:f ca="1">IFERROR(IF(0=LEN(ReferenceData!$F$16),"",ReferenceData!$F$16),"")</x:f>
        <x:v>7.0211269999999999</x:v>
      </x:c>
      <x:c r="G16">
        <x:f ca="1">IFERROR(IF(0=LEN(ReferenceData!$G$16),"",ReferenceData!$G$16),"")</x:f>
        <x:v>0.32584800000000003</x:v>
      </x:c>
      <x:c r="H16">
        <x:f ca="1">IFERROR(IF(0=LEN(ReferenceData!$H$16),"",ReferenceData!$H$16),"")</x:f>
        <x:v>0.26657700000000001</x:v>
      </x:c>
      <x:c r="I16">
        <x:f ca="1">IFERROR(IF(0=LEN(ReferenceData!$I$16),"",ReferenceData!$I$16),"")</x:f>
        <x:v>-1.938526</x:v>
      </x:c>
      <x:c r="J16">
        <x:f ca="1">IFERROR(IF(0=LEN(ReferenceData!$J$16),"",ReferenceData!$J$16),"")</x:f>
        <x:v>0.24685599999999999</x:v>
      </x:c>
      <x:c r="K16">
        <x:f ca="1">IFERROR(IF(0=LEN(ReferenceData!$K$16),"",ReferenceData!$K$16),"")</x:f>
        <x:v>-72.011267000000004</x:v>
      </x:c>
      <x:c r="L16" t="str">
        <x:f ca="1">IFERROR(IF(0=LEN(ReferenceData!$L$16),"",ReferenceData!$L$16),"")</x:f>
        <x:v/>
      </x:c>
      <x:c r="M16" t="str">
        <x:f ca="1">IFERROR(IF(0=LEN(ReferenceData!$M$16),"",ReferenceData!$M$16),"")</x:f>
        <x:v/>
      </x:c>
      <x:c r="N16" t="str">
        <x:f ca="1">IFERROR(IF(0=LEN(ReferenceData!$N$16),"",ReferenceData!$N$16),"")</x:f>
        <x:v/>
      </x:c>
      <x:c r="O16" t="str">
        <x:f ca="1">IFERROR(IF(0=LEN(ReferenceData!$O$16),"",ReferenceData!$O$16),"")</x:f>
        <x:v/>
      </x:c>
      <x:c r="P16" t="str">
        <x:f ca="1">IFERROR(IF(0=LEN(ReferenceData!$P$16),"",ReferenceData!$P$16),"")</x:f>
        <x:v/>
      </x:c>
      <x:c r="Q16" t="str">
        <x:f ca="1">IFERROR(IF(0=LEN(ReferenceData!$Q$16),"",ReferenceData!$Q$16),"")</x:f>
        <x:v/>
      </x:c>
      <x:c r="R16" t="str">
        <x:f ca="1">IFERROR(IF(0=LEN(ReferenceData!$R$16),"",ReferenceData!$R$16),"")</x:f>
        <x:v/>
      </x:c>
      <x:c r="S16" t="str">
        <x:f ca="1">IFERROR(IF(0=LEN(ReferenceData!$S$16),"",ReferenceData!$S$16),"")</x:f>
        <x:v/>
      </x:c>
    </x:row>
    <x:row r="17" spans="1:19" x14ac:dyDescent="0.25">
      <x:c r="A17" t="str">
        <x:f>IFERROR(IF(0=LEN(ReferenceData!$A$17),"",ReferenceData!$A$17),"")</x:f>
        <x:v xml:space="preserve">        John Hancock Multifactor Media</x:v>
      </x:c>
      <x:c r="B17" t="str">
        <x:f>IFERROR(IF(0=LEN(ReferenceData!$B$17),"",ReferenceData!$B$17),"")</x:f>
        <x:v>JHCS US Equity</x:v>
      </x:c>
      <x:c r="C17" t="str">
        <x:f>IFERROR(IF(0=LEN(ReferenceData!$C$17),"",ReferenceData!$C$17),"")</x:f>
        <x:v/>
      </x:c>
      <x:c r="D17" t="str">
        <x:f>IFERROR(IF(0=LEN(ReferenceData!$D$17),"",ReferenceData!$D$17),"")</x:f>
        <x:v/>
      </x:c>
      <x:c r="E17" t="str">
        <x:f>IFERROR(IF(0=LEN(ReferenceData!$E$17),"",ReferenceData!$E$17),"")</x:f>
        <x:v>Expression</x:v>
      </x:c>
      <x:c r="F17" t="str">
        <x:f ca="1">IFERROR(IF(0=LEN(ReferenceData!$F$17),"",ReferenceData!$F$17),"")</x:f>
        <x:v/>
      </x:c>
      <x:c r="G17" t="str">
        <x:f ca="1">IFERROR(IF(0=LEN(ReferenceData!$G$17),"",ReferenceData!$G$17),"")</x:f>
        <x:v/>
      </x:c>
      <x:c r="H17" t="str">
        <x:f ca="1">IFERROR(IF(0=LEN(ReferenceData!$H$17),"",ReferenceData!$H$17),"")</x:f>
        <x:v/>
      </x:c>
      <x:c r="I17" t="str">
        <x:f ca="1">IFERROR(IF(0=LEN(ReferenceData!$I$17),"",ReferenceData!$I$17),"")</x:f>
        <x:v/>
      </x:c>
      <x:c r="J17" t="str">
        <x:f ca="1">IFERROR(IF(0=LEN(ReferenceData!$J$17),"",ReferenceData!$J$17),"")</x:f>
        <x:v/>
      </x:c>
      <x:c r="K17" t="str">
        <x:f ca="1">IFERROR(IF(0=LEN(ReferenceData!$K$17),"",ReferenceData!$K$17),"")</x:f>
        <x:v/>
      </x:c>
      <x:c r="L17" t="str">
        <x:f ca="1">IFERROR(IF(0=LEN(ReferenceData!$L$17),"",ReferenceData!$L$17),"")</x:f>
        <x:v/>
      </x:c>
      <x:c r="M17" t="str">
        <x:f ca="1">IFERROR(IF(0=LEN(ReferenceData!$M$17),"",ReferenceData!$M$17),"")</x:f>
        <x:v/>
      </x:c>
      <x:c r="N17" t="str">
        <x:f ca="1">IFERROR(IF(0=LEN(ReferenceData!$N$17),"",ReferenceData!$N$17),"")</x:f>
        <x:v/>
      </x:c>
      <x:c r="O17" t="str">
        <x:f ca="1">IFERROR(IF(0=LEN(ReferenceData!$O$17),"",ReferenceData!$O$17),"")</x:f>
        <x:v/>
      </x:c>
      <x:c r="P17" t="str">
        <x:f ca="1">IFERROR(IF(0=LEN(ReferenceData!$P$17),"",ReferenceData!$P$17),"")</x:f>
        <x:v/>
      </x:c>
      <x:c r="Q17" t="str">
        <x:f ca="1">IFERROR(IF(0=LEN(ReferenceData!$Q$17),"",ReferenceData!$Q$17),"")</x:f>
        <x:v/>
      </x:c>
      <x:c r="R17" t="str">
        <x:f ca="1">IFERROR(IF(0=LEN(ReferenceData!$R$17),"",ReferenceData!$R$17),"")</x:f>
        <x:v/>
      </x:c>
      <x:c r="S17">
        <x:f ca="1">IFERROR(IF(0=LEN(ReferenceData!$S$17),"",ReferenceData!$S$17),"")</x:f>
        <x:v>-0.97201899999999997</x:v>
      </x:c>
    </x:row>
    <x:row r="18" spans="1:19" x14ac:dyDescent="0.25">
      <x:c r="A18" t="str">
        <x:f>IFERROR(IF(0=LEN(ReferenceData!$A$18),"",ReferenceData!$A$18),"")</x:f>
        <x:v xml:space="preserve">        Direxion Daily Communication S</x:v>
      </x:c>
      <x:c r="B18" t="str">
        <x:f>IFERROR(IF(0=LEN(ReferenceData!$B$18),"",ReferenceData!$B$18),"")</x:f>
        <x:v>MUTE US Equity</x:v>
      </x:c>
      <x:c r="C18" t="str">
        <x:f>IFERROR(IF(0=LEN(ReferenceData!$C$18),"",ReferenceData!$C$18),"")</x:f>
        <x:v/>
      </x:c>
      <x:c r="D18" t="str">
        <x:f>IFERROR(IF(0=LEN(ReferenceData!$D$18),"",ReferenceData!$D$18),"")</x:f>
        <x:v/>
      </x:c>
      <x:c r="E18" t="str">
        <x:f>IFERROR(IF(0=LEN(ReferenceData!$E$18),"",ReferenceData!$E$18),"")</x:f>
        <x:v>Expression</x:v>
      </x:c>
      <x:c r="F18" t="str">
        <x:f ca="1">IFERROR(IF(0=LEN(ReferenceData!$F$18),"",ReferenceData!$F$18),"")</x:f>
        <x:v/>
      </x:c>
      <x:c r="G18" t="str">
        <x:f ca="1">IFERROR(IF(0=LEN(ReferenceData!$G$18),"",ReferenceData!$G$18),"")</x:f>
        <x:v/>
      </x:c>
      <x:c r="H18" t="str">
        <x:f ca="1">IFERROR(IF(0=LEN(ReferenceData!$H$18),"",ReferenceData!$H$18),"")</x:f>
        <x:v/>
      </x:c>
      <x:c r="I18" t="str">
        <x:f ca="1">IFERROR(IF(0=LEN(ReferenceData!$I$18),"",ReferenceData!$I$18),"")</x:f>
        <x:v/>
      </x:c>
      <x:c r="J18" t="str">
        <x:f ca="1">IFERROR(IF(0=LEN(ReferenceData!$J$18),"",ReferenceData!$J$18),"")</x:f>
        <x:v/>
      </x:c>
      <x:c r="K18" t="str">
        <x:f ca="1">IFERROR(IF(0=LEN(ReferenceData!$K$18),"",ReferenceData!$K$18),"")</x:f>
        <x:v/>
      </x:c>
      <x:c r="L18" t="str">
        <x:f ca="1">IFERROR(IF(0=LEN(ReferenceData!$L$18),"",ReferenceData!$L$18),"")</x:f>
        <x:v/>
      </x:c>
      <x:c r="M18" t="str">
        <x:f ca="1">IFERROR(IF(0=LEN(ReferenceData!$M$18),"",ReferenceData!$M$18),"")</x:f>
        <x:v/>
      </x:c>
      <x:c r="N18" t="str">
        <x:f ca="1">IFERROR(IF(0=LEN(ReferenceData!$N$18),"",ReferenceData!$N$18),"")</x:f>
        <x:v/>
      </x:c>
      <x:c r="O18" t="str">
        <x:f ca="1">IFERROR(IF(0=LEN(ReferenceData!$O$18),"",ReferenceData!$O$18),"")</x:f>
        <x:v/>
      </x:c>
      <x:c r="P18" t="str">
        <x:f ca="1">IFERROR(IF(0=LEN(ReferenceData!$P$18),"",ReferenceData!$P$18),"")</x:f>
        <x:v/>
      </x:c>
      <x:c r="Q18" t="str">
        <x:f ca="1">IFERROR(IF(0=LEN(ReferenceData!$Q$18),"",ReferenceData!$Q$18),"")</x:f>
        <x:v/>
      </x:c>
      <x:c r="R18" t="str">
        <x:f ca="1">IFERROR(IF(0=LEN(ReferenceData!$R$18),"",ReferenceData!$R$18),"")</x:f>
        <x:v/>
      </x:c>
      <x:c r="S18" t="str">
        <x:f ca="1">IFERROR(IF(0=LEN(ReferenceData!$S$18),"",ReferenceData!$S$18),"")</x:f>
        <x:v/>
      </x:c>
    </x:row>
    <x:row r="19" spans="1:19" x14ac:dyDescent="0.25">
      <x:c r="A19" t="str">
        <x:f>IFERROR(IF(0=LEN(ReferenceData!$A$19),"",ReferenceData!$A$19),"")</x:f>
        <x:v xml:space="preserve">        Proshares Ultrapro Short Commu</x:v>
      </x:c>
      <x:c r="B19" t="str">
        <x:f>IFERROR(IF(0=LEN(ReferenceData!$B$19),"",ReferenceData!$B$19),"")</x:f>
        <x:v>SCOM US Equity</x:v>
      </x:c>
      <x:c r="C19" t="str">
        <x:f>IFERROR(IF(0=LEN(ReferenceData!$C$19),"",ReferenceData!$C$19),"")</x:f>
        <x:v/>
      </x:c>
      <x:c r="D19" t="str">
        <x:f>IFERROR(IF(0=LEN(ReferenceData!$D$19),"",ReferenceData!$D$19),"")</x:f>
        <x:v/>
      </x:c>
      <x:c r="E19" t="str">
        <x:f>IFERROR(IF(0=LEN(ReferenceData!$E$19),"",ReferenceData!$E$19),"")</x:f>
        <x:v>Expression</x:v>
      </x:c>
      <x:c r="F19" t="str">
        <x:f ca="1">IFERROR(IF(0=LEN(ReferenceData!$F$19),"",ReferenceData!$F$19),"")</x:f>
        <x:v/>
      </x:c>
      <x:c r="G19" t="str">
        <x:f ca="1">IFERROR(IF(0=LEN(ReferenceData!$G$19),"",ReferenceData!$G$19),"")</x:f>
        <x:v/>
      </x:c>
      <x:c r="H19" t="str">
        <x:f ca="1">IFERROR(IF(0=LEN(ReferenceData!$H$19),"",ReferenceData!$H$19),"")</x:f>
        <x:v/>
      </x:c>
      <x:c r="I19" t="str">
        <x:f ca="1">IFERROR(IF(0=LEN(ReferenceData!$I$19),"",ReferenceData!$I$19),"")</x:f>
        <x:v/>
      </x:c>
      <x:c r="J19" t="str">
        <x:f ca="1">IFERROR(IF(0=LEN(ReferenceData!$J$19),"",ReferenceData!$J$19),"")</x:f>
        <x:v/>
      </x:c>
      <x:c r="K19" t="str">
        <x:f ca="1">IFERROR(IF(0=LEN(ReferenceData!$K$19),"",ReferenceData!$K$19),"")</x:f>
        <x:v/>
      </x:c>
      <x:c r="L19" t="str">
        <x:f ca="1">IFERROR(IF(0=LEN(ReferenceData!$L$19),"",ReferenceData!$L$19),"")</x:f>
        <x:v/>
      </x:c>
      <x:c r="M19" t="str">
        <x:f ca="1">IFERROR(IF(0=LEN(ReferenceData!$M$19),"",ReferenceData!$M$19),"")</x:f>
        <x:v/>
      </x:c>
      <x:c r="N19" t="str">
        <x:f ca="1">IFERROR(IF(0=LEN(ReferenceData!$N$19),"",ReferenceData!$N$19),"")</x:f>
        <x:v/>
      </x:c>
      <x:c r="O19" t="str">
        <x:f ca="1">IFERROR(IF(0=LEN(ReferenceData!$O$19),"",ReferenceData!$O$19),"")</x:f>
        <x:v/>
      </x:c>
      <x:c r="P19" t="str">
        <x:f ca="1">IFERROR(IF(0=LEN(ReferenceData!$P$19),"",ReferenceData!$P$19),"")</x:f>
        <x:v/>
      </x:c>
      <x:c r="Q19" t="str">
        <x:f ca="1">IFERROR(IF(0=LEN(ReferenceData!$Q$19),"",ReferenceData!$Q$19),"")</x:f>
        <x:v/>
      </x:c>
      <x:c r="R19" t="str">
        <x:f ca="1">IFERROR(IF(0=LEN(ReferenceData!$R$19),"",ReferenceData!$R$19),"")</x:f>
        <x:v/>
      </x:c>
      <x:c r="S19" t="str">
        <x:f ca="1">IFERROR(IF(0=LEN(ReferenceData!$S$19),"",ReferenceData!$S$19),"")</x:f>
        <x:v/>
      </x:c>
    </x:row>
    <x:row r="20" spans="1:19" x14ac:dyDescent="0.25">
      <x:c r="A20" t="str">
        <x:f>IFERROR(IF(0=LEN(ReferenceData!$A$20),"",ReferenceData!$A$20),"")</x:f>
        <x:v xml:space="preserve">        Direxion Daily Communication S</x:v>
      </x:c>
      <x:c r="B20" t="str">
        <x:f>IFERROR(IF(0=LEN(ReferenceData!$B$20),"",ReferenceData!$B$20),"")</x:f>
        <x:v>TAWK US Equity</x:v>
      </x:c>
      <x:c r="C20" t="str">
        <x:f>IFERROR(IF(0=LEN(ReferenceData!$C$20),"",ReferenceData!$C$20),"")</x:f>
        <x:v/>
      </x:c>
      <x:c r="D20" t="str">
        <x:f>IFERROR(IF(0=LEN(ReferenceData!$D$20),"",ReferenceData!$D$20),"")</x:f>
        <x:v/>
      </x:c>
      <x:c r="E20" t="str">
        <x:f>IFERROR(IF(0=LEN(ReferenceData!$E$20),"",ReferenceData!$E$20),"")</x:f>
        <x:v>Expression</x:v>
      </x:c>
      <x:c r="F20" t="str">
        <x:f ca="1">IFERROR(IF(0=LEN(ReferenceData!$F$20),"",ReferenceData!$F$20),"")</x:f>
        <x:v/>
      </x:c>
      <x:c r="G20" t="str">
        <x:f ca="1">IFERROR(IF(0=LEN(ReferenceData!$G$20),"",ReferenceData!$G$20),"")</x:f>
        <x:v/>
      </x:c>
      <x:c r="H20" t="str">
        <x:f ca="1">IFERROR(IF(0=LEN(ReferenceData!$H$20),"",ReferenceData!$H$20),"")</x:f>
        <x:v/>
      </x:c>
      <x:c r="I20" t="str">
        <x:f ca="1">IFERROR(IF(0=LEN(ReferenceData!$I$20),"",ReferenceData!$I$20),"")</x:f>
        <x:v/>
      </x:c>
      <x:c r="J20" t="str">
        <x:f ca="1">IFERROR(IF(0=LEN(ReferenceData!$J$20),"",ReferenceData!$J$20),"")</x:f>
        <x:v/>
      </x:c>
      <x:c r="K20" t="str">
        <x:f ca="1">IFERROR(IF(0=LEN(ReferenceData!$K$20),"",ReferenceData!$K$20),"")</x:f>
        <x:v/>
      </x:c>
      <x:c r="L20" t="str">
        <x:f ca="1">IFERROR(IF(0=LEN(ReferenceData!$L$20),"",ReferenceData!$L$20),"")</x:f>
        <x:v/>
      </x:c>
      <x:c r="M20" t="str">
        <x:f ca="1">IFERROR(IF(0=LEN(ReferenceData!$M$20),"",ReferenceData!$M$20),"")</x:f>
        <x:v/>
      </x:c>
      <x:c r="N20" t="str">
        <x:f ca="1">IFERROR(IF(0=LEN(ReferenceData!$N$20),"",ReferenceData!$N$20),"")</x:f>
        <x:v/>
      </x:c>
      <x:c r="O20" t="str">
        <x:f ca="1">IFERROR(IF(0=LEN(ReferenceData!$O$20),"",ReferenceData!$O$20),"")</x:f>
        <x:v/>
      </x:c>
      <x:c r="P20" t="str">
        <x:f ca="1">IFERROR(IF(0=LEN(ReferenceData!$P$20),"",ReferenceData!$P$20),"")</x:f>
        <x:v/>
      </x:c>
      <x:c r="Q20" t="str">
        <x:f ca="1">IFERROR(IF(0=LEN(ReferenceData!$Q$20),"",ReferenceData!$Q$20),"")</x:f>
        <x:v/>
      </x:c>
      <x:c r="R20" t="str">
        <x:f ca="1">IFERROR(IF(0=LEN(ReferenceData!$R$20),"",ReferenceData!$R$20),"")</x:f>
        <x:v/>
      </x:c>
      <x:c r="S20" t="str">
        <x:f ca="1">IFERROR(IF(0=LEN(ReferenceData!$S$20),"",ReferenceData!$S$20),"")</x:f>
        <x:v/>
      </x:c>
    </x:row>
    <x:row r="21" spans="1:19" x14ac:dyDescent="0.25">
      <x:c r="A21" t="str">
        <x:f>IFERROR(IF(0=LEN(ReferenceData!$A$21),"",ReferenceData!$A$21),"")</x:f>
        <x:v xml:space="preserve">        Proshares Ultrapro Communicati</x:v>
      </x:c>
      <x:c r="B21" t="str">
        <x:f>IFERROR(IF(0=LEN(ReferenceData!$B$21),"",ReferenceData!$B$21),"")</x:f>
        <x:v>UCOM US Equity</x:v>
      </x:c>
      <x:c r="C21" t="str">
        <x:f>IFERROR(IF(0=LEN(ReferenceData!$C$21),"",ReferenceData!$C$21),"")</x:f>
        <x:v/>
      </x:c>
      <x:c r="D21" t="str">
        <x:f>IFERROR(IF(0=LEN(ReferenceData!$D$21),"",ReferenceData!$D$21),"")</x:f>
        <x:v/>
      </x:c>
      <x:c r="E21" t="str">
        <x:f>IFERROR(IF(0=LEN(ReferenceData!$E$21),"",ReferenceData!$E$21),"")</x:f>
        <x:v>Expression</x:v>
      </x:c>
      <x:c r="F21" t="str">
        <x:f ca="1">IFERROR(IF(0=LEN(ReferenceData!$F$21),"",ReferenceData!$F$21),"")</x:f>
        <x:v/>
      </x:c>
      <x:c r="G21" t="str">
        <x:f ca="1">IFERROR(IF(0=LEN(ReferenceData!$G$21),"",ReferenceData!$G$21),"")</x:f>
        <x:v/>
      </x:c>
      <x:c r="H21" t="str">
        <x:f ca="1">IFERROR(IF(0=LEN(ReferenceData!$H$21),"",ReferenceData!$H$21),"")</x:f>
        <x:v/>
      </x:c>
      <x:c r="I21" t="str">
        <x:f ca="1">IFERROR(IF(0=LEN(ReferenceData!$I$21),"",ReferenceData!$I$21),"")</x:f>
        <x:v/>
      </x:c>
      <x:c r="J21" t="str">
        <x:f ca="1">IFERROR(IF(0=LEN(ReferenceData!$J$21),"",ReferenceData!$J$21),"")</x:f>
        <x:v/>
      </x:c>
      <x:c r="K21" t="str">
        <x:f ca="1">IFERROR(IF(0=LEN(ReferenceData!$K$21),"",ReferenceData!$K$21),"")</x:f>
        <x:v/>
      </x:c>
      <x:c r="L21" t="str">
        <x:f ca="1">IFERROR(IF(0=LEN(ReferenceData!$L$21),"",ReferenceData!$L$21),"")</x:f>
        <x:v/>
      </x:c>
      <x:c r="M21" t="str">
        <x:f ca="1">IFERROR(IF(0=LEN(ReferenceData!$M$21),"",ReferenceData!$M$21),"")</x:f>
        <x:v/>
      </x:c>
      <x:c r="N21" t="str">
        <x:f ca="1">IFERROR(IF(0=LEN(ReferenceData!$N$21),"",ReferenceData!$N$21),"")</x:f>
        <x:v/>
      </x:c>
      <x:c r="O21" t="str">
        <x:f ca="1">IFERROR(IF(0=LEN(ReferenceData!$O$21),"",ReferenceData!$O$21),"")</x:f>
        <x:v/>
      </x:c>
      <x:c r="P21" t="str">
        <x:f ca="1">IFERROR(IF(0=LEN(ReferenceData!$P$21),"",ReferenceData!$P$21),"")</x:f>
        <x:v/>
      </x:c>
      <x:c r="Q21" t="str">
        <x:f ca="1">IFERROR(IF(0=LEN(ReferenceData!$Q$21),"",ReferenceData!$Q$21),"")</x:f>
        <x:v/>
      </x:c>
      <x:c r="R21" t="str">
        <x:f ca="1">IFERROR(IF(0=LEN(ReferenceData!$R$21),"",ReferenceData!$R$21),"")</x:f>
        <x:v/>
      </x:c>
      <x:c r="S21" t="str">
        <x:f ca="1">IFERROR(IF(0=LEN(ReferenceData!$S$21),"",ReferenceData!$S$21),"")</x:f>
        <x:v/>
      </x:c>
    </x:row>
    <x:row r="22" spans="1:19" x14ac:dyDescent="0.25">
      <x:c r="A22" t="str">
        <x:f>IFERROR(IF(0=LEN(ReferenceData!$A$22),"",ReferenceData!$A$22),"")</x:f>
        <x:v xml:space="preserve">        Proshares Ultra Communication</x:v>
      </x:c>
      <x:c r="B22" t="str">
        <x:f>IFERROR(IF(0=LEN(ReferenceData!$B$22),"",ReferenceData!$B$22),"")</x:f>
        <x:v>XCOM US Equity</x:v>
      </x:c>
      <x:c r="C22" t="str">
        <x:f>IFERROR(IF(0=LEN(ReferenceData!$C$22),"",ReferenceData!$C$22),"")</x:f>
        <x:v/>
      </x:c>
      <x:c r="D22" t="str">
        <x:f>IFERROR(IF(0=LEN(ReferenceData!$D$22),"",ReferenceData!$D$22),"")</x:f>
        <x:v/>
      </x:c>
      <x:c r="E22" t="str">
        <x:f>IFERROR(IF(0=LEN(ReferenceData!$E$22),"",ReferenceData!$E$22),"")</x:f>
        <x:v>Expression</x:v>
      </x:c>
      <x:c r="F22" t="str">
        <x:f ca="1">IFERROR(IF(0=LEN(ReferenceData!$F$22),"",ReferenceData!$F$22),"")</x:f>
        <x:v/>
      </x:c>
      <x:c r="G22" t="str">
        <x:f ca="1">IFERROR(IF(0=LEN(ReferenceData!$G$22),"",ReferenceData!$G$22),"")</x:f>
        <x:v/>
      </x:c>
      <x:c r="H22" t="str">
        <x:f ca="1">IFERROR(IF(0=LEN(ReferenceData!$H$22),"",ReferenceData!$H$22),"")</x:f>
        <x:v/>
      </x:c>
      <x:c r="I22" t="str">
        <x:f ca="1">IFERROR(IF(0=LEN(ReferenceData!$I$22),"",ReferenceData!$I$22),"")</x:f>
        <x:v/>
      </x:c>
      <x:c r="J22" t="str">
        <x:f ca="1">IFERROR(IF(0=LEN(ReferenceData!$J$22),"",ReferenceData!$J$22),"")</x:f>
        <x:v/>
      </x:c>
      <x:c r="K22" t="str">
        <x:f ca="1">IFERROR(IF(0=LEN(ReferenceData!$K$22),"",ReferenceData!$K$22),"")</x:f>
        <x:v/>
      </x:c>
      <x:c r="L22" t="str">
        <x:f ca="1">IFERROR(IF(0=LEN(ReferenceData!$L$22),"",ReferenceData!$L$22),"")</x:f>
        <x:v/>
      </x:c>
      <x:c r="M22" t="str">
        <x:f ca="1">IFERROR(IF(0=LEN(ReferenceData!$M$22),"",ReferenceData!$M$22),"")</x:f>
        <x:v/>
      </x:c>
      <x:c r="N22" t="str">
        <x:f ca="1">IFERROR(IF(0=LEN(ReferenceData!$N$22),"",ReferenceData!$N$22),"")</x:f>
        <x:v/>
      </x:c>
      <x:c r="O22" t="str">
        <x:f ca="1">IFERROR(IF(0=LEN(ReferenceData!$O$22),"",ReferenceData!$O$22),"")</x:f>
        <x:v/>
      </x:c>
      <x:c r="P22" t="str">
        <x:f ca="1">IFERROR(IF(0=LEN(ReferenceData!$P$22),"",ReferenceData!$P$22),"")</x:f>
        <x:v/>
      </x:c>
      <x:c r="Q22" t="str">
        <x:f ca="1">IFERROR(IF(0=LEN(ReferenceData!$Q$22),"",ReferenceData!$Q$22),"")</x:f>
        <x:v/>
      </x:c>
      <x:c r="R22" t="str">
        <x:f ca="1">IFERROR(IF(0=LEN(ReferenceData!$R$22),"",ReferenceData!$R$22),"")</x:f>
        <x:v/>
      </x:c>
      <x:c r="S22" t="str">
        <x:f ca="1">IFERROR(IF(0=LEN(ReferenceData!$S$22),"",ReferenceData!$S$22),"")</x:f>
        <x:v/>
      </x:c>
    </x:row>
    <x:row r="23" spans="1:19" x14ac:dyDescent="0.25">
      <x:c r="A23" t="str">
        <x:f>IFERROR(IF(0=LEN(ReferenceData!$A$23),"",ReferenceData!$A$23),"")</x:f>
        <x:v xml:space="preserve">        Proshares UltraShort Communica</x:v>
      </x:c>
      <x:c r="B23" t="str">
        <x:f>IFERROR(IF(0=LEN(ReferenceData!$B$23),"",ReferenceData!$B$23),"")</x:f>
        <x:v>YCOM US Equity</x:v>
      </x:c>
      <x:c r="C23" t="str">
        <x:f>IFERROR(IF(0=LEN(ReferenceData!$C$23),"",ReferenceData!$C$23),"")</x:f>
        <x:v/>
      </x:c>
      <x:c r="D23" t="str">
        <x:f>IFERROR(IF(0=LEN(ReferenceData!$D$23),"",ReferenceData!$D$23),"")</x:f>
        <x:v/>
      </x:c>
      <x:c r="E23" t="str">
        <x:f>IFERROR(IF(0=LEN(ReferenceData!$E$23),"",ReferenceData!$E$23),"")</x:f>
        <x:v>Expression</x:v>
      </x:c>
      <x:c r="F23" t="str">
        <x:f ca="1">IFERROR(IF(0=LEN(ReferenceData!$F$23),"",ReferenceData!$F$23),"")</x:f>
        <x:v/>
      </x:c>
      <x:c r="G23" t="str">
        <x:f ca="1">IFERROR(IF(0=LEN(ReferenceData!$G$23),"",ReferenceData!$G$23),"")</x:f>
        <x:v/>
      </x:c>
      <x:c r="H23" t="str">
        <x:f ca="1">IFERROR(IF(0=LEN(ReferenceData!$H$23),"",ReferenceData!$H$23),"")</x:f>
        <x:v/>
      </x:c>
      <x:c r="I23" t="str">
        <x:f ca="1">IFERROR(IF(0=LEN(ReferenceData!$I$23),"",ReferenceData!$I$23),"")</x:f>
        <x:v/>
      </x:c>
      <x:c r="J23" t="str">
        <x:f ca="1">IFERROR(IF(0=LEN(ReferenceData!$J$23),"",ReferenceData!$J$23),"")</x:f>
        <x:v/>
      </x:c>
      <x:c r="K23" t="str">
        <x:f ca="1">IFERROR(IF(0=LEN(ReferenceData!$K$23),"",ReferenceData!$K$23),"")</x:f>
        <x:v/>
      </x:c>
      <x:c r="L23" t="str">
        <x:f ca="1">IFERROR(IF(0=LEN(ReferenceData!$L$23),"",ReferenceData!$L$23),"")</x:f>
        <x:v/>
      </x:c>
      <x:c r="M23" t="str">
        <x:f ca="1">IFERROR(IF(0=LEN(ReferenceData!$M$23),"",ReferenceData!$M$23),"")</x:f>
        <x:v/>
      </x:c>
      <x:c r="N23" t="str">
        <x:f ca="1">IFERROR(IF(0=LEN(ReferenceData!$N$23),"",ReferenceData!$N$23),"")</x:f>
        <x:v/>
      </x:c>
      <x:c r="O23" t="str">
        <x:f ca="1">IFERROR(IF(0=LEN(ReferenceData!$O$23),"",ReferenceData!$O$23),"")</x:f>
        <x:v/>
      </x:c>
      <x:c r="P23" t="str">
        <x:f ca="1">IFERROR(IF(0=LEN(ReferenceData!$P$23),"",ReferenceData!$P$23),"")</x:f>
        <x:v/>
      </x:c>
      <x:c r="Q23" t="str">
        <x:f ca="1">IFERROR(IF(0=LEN(ReferenceData!$Q$23),"",ReferenceData!$Q$23),"")</x:f>
        <x:v/>
      </x:c>
      <x:c r="R23" t="str">
        <x:f ca="1">IFERROR(IF(0=LEN(ReferenceData!$R$23),"",ReferenceData!$R$23),"")</x:f>
        <x:v/>
      </x:c>
      <x:c r="S23" t="str">
        <x:f ca="1">IFERROR(IF(0=LEN(ReferenceData!$S$23),"",ReferenceData!$S$23),"")</x:f>
        <x:v/>
      </x:c>
    </x:row>
    <x:row r="24" spans="1:19" x14ac:dyDescent="0.25">
      <x:c r="A24" t="str">
        <x:f>IFERROR(IF(0=LEN(ReferenceData!$A$24),"",ReferenceData!$A$24),"")</x:f>
        <x:v xml:space="preserve">        Direxion Daily AAPL Bull 1.5X</x:v>
      </x:c>
      <x:c r="B24" t="str">
        <x:f>IFERROR(IF(0=LEN(ReferenceData!$B$24),"",ReferenceData!$B$24),"")</x:f>
        <x:v>AAPU US Equity</x:v>
      </x:c>
      <x:c r="C24" t="str">
        <x:f>IFERROR(IF(0=LEN(ReferenceData!$C$24),"",ReferenceData!$C$24),"")</x:f>
        <x:v/>
      </x:c>
      <x:c r="D24" t="str">
        <x:f>IFERROR(IF(0=LEN(ReferenceData!$D$24),"",ReferenceData!$D$24),"")</x:f>
        <x:v/>
      </x:c>
      <x:c r="E24" t="str">
        <x:f>IFERROR(IF(0=LEN(ReferenceData!$E$24),"",ReferenceData!$E$24),"")</x:f>
        <x:v>Expression</x:v>
      </x:c>
      <x:c r="F24">
        <x:f ca="1">IFERROR(IF(0=LEN(ReferenceData!$F$24),"",ReferenceData!$F$24),"")</x:f>
        <x:v>-3.280637</x:v>
      </x:c>
      <x:c r="G24">
        <x:f ca="1">IFERROR(IF(0=LEN(ReferenceData!$G$24),"",ReferenceData!$G$24),"")</x:f>
        <x:v>-4.2089990000000004</x:v>
      </x:c>
      <x:c r="H24">
        <x:f ca="1">IFERROR(IF(0=LEN(ReferenceData!$H$24),"",ReferenceData!$H$24),"")</x:f>
        <x:v>2.088956</x:v>
      </x:c>
      <x:c r="I24">
        <x:f ca="1">IFERROR(IF(0=LEN(ReferenceData!$I$24),"",ReferenceData!$I$24),"")</x:f>
        <x:v>-0.41946099999999997</x:v>
      </x:c>
      <x:c r="J24">
        <x:f ca="1">IFERROR(IF(0=LEN(ReferenceData!$J$24),"",ReferenceData!$J$24),"")</x:f>
        <x:v>11.769117</x:v>
      </x:c>
      <x:c r="K24">
        <x:f ca="1">IFERROR(IF(0=LEN(ReferenceData!$K$24),"",ReferenceData!$K$24),"")</x:f>
        <x:v>8.0131350000000001</x:v>
      </x:c>
      <x:c r="L24">
        <x:f ca="1">IFERROR(IF(0=LEN(ReferenceData!$L$24),"",ReferenceData!$L$24),"")</x:f>
        <x:v>2.458682</x:v>
      </x:c>
      <x:c r="M24">
        <x:f ca="1">IFERROR(IF(0=LEN(ReferenceData!$M$24),"",ReferenceData!$M$24),"")</x:f>
        <x:v>0.59512100000000001</x:v>
      </x:c>
      <x:c r="N24">
        <x:f ca="1">IFERROR(IF(0=LEN(ReferenceData!$N$24),"",ReferenceData!$N$24),"")</x:f>
        <x:v>1.5962149999999999</x:v>
      </x:c>
      <x:c r="O24">
        <x:f ca="1">IFERROR(IF(0=LEN(ReferenceData!$O$24),"",ReferenceData!$O$24),"")</x:f>
        <x:v>3.6924109999999999</x:v>
      </x:c>
      <x:c r="P24">
        <x:f ca="1">IFERROR(IF(0=LEN(ReferenceData!$P$24),"",ReferenceData!$P$24),"")</x:f>
        <x:v>0.43815900000000002</x:v>
      </x:c>
      <x:c r="Q24">
        <x:f ca="1">IFERROR(IF(0=LEN(ReferenceData!$Q$24),"",ReferenceData!$Q$24),"")</x:f>
        <x:v>2.5003359999999999</x:v>
      </x:c>
      <x:c r="R24">
        <x:f ca="1">IFERROR(IF(0=LEN(ReferenceData!$R$24),"",ReferenceData!$R$24),"")</x:f>
        <x:v>0.39658700000000002</x:v>
      </x:c>
      <x:c r="S24">
        <x:f ca="1">IFERROR(IF(0=LEN(ReferenceData!$S$24),"",ReferenceData!$S$24),"")</x:f>
        <x:v>-0.46487200000000001</x:v>
      </x:c>
    </x:row>
    <x:row r="25" spans="1:19" x14ac:dyDescent="0.25">
      <x:c r="A25" t="str">
        <x:f>IFERROR(IF(0=LEN(ReferenceData!$A$25),"",ReferenceData!$A$25),"")</x:f>
        <x:v xml:space="preserve">        KPOP and Korean Entertainment</x:v>
      </x:c>
      <x:c r="B25" t="str">
        <x:f>IFERROR(IF(0=LEN(ReferenceData!$B$25),"",ReferenceData!$B$25),"")</x:f>
        <x:v>KPOP US Equity</x:v>
      </x:c>
      <x:c r="C25" t="str">
        <x:f>IFERROR(IF(0=LEN(ReferenceData!$C$25),"",ReferenceData!$C$25),"")</x:f>
        <x:v/>
      </x:c>
      <x:c r="D25" t="str">
        <x:f>IFERROR(IF(0=LEN(ReferenceData!$D$25),"",ReferenceData!$D$25),"")</x:f>
        <x:v/>
      </x:c>
      <x:c r="E25" t="str">
        <x:f>IFERROR(IF(0=LEN(ReferenceData!$E$25),"",ReferenceData!$E$25),"")</x:f>
        <x:v>Expression</x:v>
      </x:c>
      <x:c r="F25">
        <x:f ca="1">IFERROR(IF(0=LEN(ReferenceData!$F$25),"",ReferenceData!$F$25),"")</x:f>
        <x:v>0</x:v>
      </x:c>
      <x:c r="G25">
        <x:f ca="1">IFERROR(IF(0=LEN(ReferenceData!$G$25),"",ReferenceData!$G$25),"")</x:f>
        <x:v>0.31495499999999998</x:v>
      </x:c>
      <x:c r="H25">
        <x:f ca="1">IFERROR(IF(0=LEN(ReferenceData!$H$25),"",ReferenceData!$H$25),"")</x:f>
        <x:v>0</x:v>
      </x:c>
      <x:c r="I25">
        <x:f ca="1">IFERROR(IF(0=LEN(ReferenceData!$I$25),"",ReferenceData!$I$25),"")</x:f>
        <x:v>0.19137000000000001</x:v>
      </x:c>
      <x:c r="J25">
        <x:f ca="1">IFERROR(IF(0=LEN(ReferenceData!$J$25),"",ReferenceData!$J$25),"")</x:f>
        <x:v>0</x:v>
      </x:c>
      <x:c r="K25">
        <x:f ca="1">IFERROR(IF(0=LEN(ReferenceData!$K$25),"",ReferenceData!$K$25),"")</x:f>
        <x:v>0</x:v>
      </x:c>
      <x:c r="L25">
        <x:f ca="1">IFERROR(IF(0=LEN(ReferenceData!$L$25),"",ReferenceData!$L$25),"")</x:f>
        <x:v>0</x:v>
      </x:c>
      <x:c r="M25">
        <x:f ca="1">IFERROR(IF(0=LEN(ReferenceData!$M$25),"",ReferenceData!$M$25),"")</x:f>
        <x:v>0</x:v>
      </x:c>
      <x:c r="N25">
        <x:f ca="1">IFERROR(IF(0=LEN(ReferenceData!$N$25),"",ReferenceData!$N$25),"")</x:f>
        <x:v>0</x:v>
      </x:c>
      <x:c r="O25">
        <x:f ca="1">IFERROR(IF(0=LEN(ReferenceData!$O$25),"",ReferenceData!$O$25),"")</x:f>
        <x:v>0</x:v>
      </x:c>
      <x:c r="P25">
        <x:f ca="1">IFERROR(IF(0=LEN(ReferenceData!$P$25),"",ReferenceData!$P$25),"")</x:f>
        <x:v>0</x:v>
      </x:c>
      <x:c r="Q25">
        <x:f ca="1">IFERROR(IF(0=LEN(ReferenceData!$Q$25),"",ReferenceData!$Q$25),"")</x:f>
        <x:v>0</x:v>
      </x:c>
      <x:c r="R25">
        <x:f ca="1">IFERROR(IF(0=LEN(ReferenceData!$R$25),"",ReferenceData!$R$25),"")</x:f>
        <x:v>0</x:v>
      </x:c>
      <x:c r="S25">
        <x:f ca="1">IFERROR(IF(0=LEN(ReferenceData!$S$25),"",ReferenceData!$S$25),"")</x:f>
        <x:v>0</x:v>
      </x:c>
    </x:row>
    <x:row r="26" spans="1:19" x14ac:dyDescent="0.25">
      <x:c r="A26" t="str">
        <x:f>IFERROR(IF(0=LEN(ReferenceData!$A$26),"",ReferenceData!$A$26),"")</x:f>
        <x:v xml:space="preserve">    Consumer Discretionary</x:v>
      </x:c>
      <x:c r="B26" t="str">
        <x:f>IFERROR(IF(0=LEN(ReferenceData!$B$26),"",ReferenceData!$B$26),"")</x:f>
        <x:v/>
      </x:c>
      <x:c r="C26" t="str">
        <x:f>IFERROR(IF(0=LEN(ReferenceData!$C$26),"",ReferenceData!$C$26),"")</x:f>
        <x:v/>
      </x:c>
      <x:c r="D26" t="str">
        <x:f>IFERROR(IF(0=LEN(ReferenceData!$D$26),"",ReferenceData!$D$26),"")</x:f>
        <x:v/>
      </x:c>
      <x:c r="E26" t="str">
        <x:f>IFERROR(IF(0=LEN(ReferenceData!$E$26),"",ReferenceData!$E$26),"")</x:f>
        <x:v>Sum</x:v>
      </x:c>
      <x:c r="F26">
        <x:f ca="1">IFERROR(IF(0=LEN(ReferenceData!$F$26),"",ReferenceData!$F$26),"")</x:f>
        <x:v>805.3730310000002</x:v>
      </x:c>
      <x:c r="G26">
        <x:f ca="1">IFERROR(IF(0=LEN(ReferenceData!$G$26),"",ReferenceData!$G$26),"")</x:f>
        <x:v>-1749.0003790000005</x:v>
      </x:c>
      <x:c r="H26">
        <x:f ca="1">IFERROR(IF(0=LEN(ReferenceData!$H$26),"",ReferenceData!$H$26),"")</x:f>
        <x:v>101.29337299999992</x:v>
      </x:c>
      <x:c r="I26">
        <x:f ca="1">IFERROR(IF(0=LEN(ReferenceData!$I$26),"",ReferenceData!$I$26),"")</x:f>
        <x:v>324.04761499999995</x:v>
      </x:c>
      <x:c r="J26">
        <x:f ca="1">IFERROR(IF(0=LEN(ReferenceData!$J$26),"",ReferenceData!$J$26),"")</x:f>
        <x:v>949.10794200000009</x:v>
      </x:c>
      <x:c r="K26">
        <x:f ca="1">IFERROR(IF(0=LEN(ReferenceData!$K$26),"",ReferenceData!$K$26),"")</x:f>
        <x:v>741.39767299999971</x:v>
      </x:c>
      <x:c r="L26">
        <x:f ca="1">IFERROR(IF(0=LEN(ReferenceData!$L$26),"",ReferenceData!$L$26),"")</x:f>
        <x:v>804.327853</x:v>
      </x:c>
      <x:c r="M26">
        <x:f ca="1">IFERROR(IF(0=LEN(ReferenceData!$M$26),"",ReferenceData!$M$26),"")</x:f>
        <x:v>315.09271499999994</x:v>
      </x:c>
      <x:c r="N26">
        <x:f ca="1">IFERROR(IF(0=LEN(ReferenceData!$N$26),"",ReferenceData!$N$26),"")</x:f>
        <x:v>1104.517961</x:v>
      </x:c>
      <x:c r="O26">
        <x:f ca="1">IFERROR(IF(0=LEN(ReferenceData!$O$26),"",ReferenceData!$O$26),"")</x:f>
        <x:v>-228.53338599999995</x:v>
      </x:c>
      <x:c r="P26">
        <x:f ca="1">IFERROR(IF(0=LEN(ReferenceData!$P$26),"",ReferenceData!$P$26),"")</x:f>
        <x:v>277.23086500000005</x:v>
      </x:c>
      <x:c r="Q26">
        <x:f ca="1">IFERROR(IF(0=LEN(ReferenceData!$Q$26),"",ReferenceData!$Q$26),"")</x:f>
        <x:v>-270.49451700000009</x:v>
      </x:c>
      <x:c r="R26">
        <x:f ca="1">IFERROR(IF(0=LEN(ReferenceData!$R$26),"",ReferenceData!$R$26),"")</x:f>
        <x:v>-305.92191100000002</x:v>
      </x:c>
      <x:c r="S26">
        <x:f ca="1">IFERROR(IF(0=LEN(ReferenceData!$S$26),"",ReferenceData!$S$26),"")</x:f>
        <x:v>292.16806300000002</x:v>
      </x:c>
    </x:row>
    <x:row r="27" spans="1:19" x14ac:dyDescent="0.25">
      <x:c r="A27" t="str">
        <x:f>IFERROR(IF(0=LEN(ReferenceData!$A$27),"",ReferenceData!$A$27),"")</x:f>
        <x:v xml:space="preserve">        Consumer Discretionary Select</x:v>
      </x:c>
      <x:c r="B27" t="str">
        <x:f>IFERROR(IF(0=LEN(ReferenceData!$B$27),"",ReferenceData!$B$27),"")</x:f>
        <x:v>XLY US Equity</x:v>
      </x:c>
      <x:c r="C27" t="str">
        <x:f>IFERROR(IF(0=LEN(ReferenceData!$C$27),"",ReferenceData!$C$27),"")</x:f>
        <x:v/>
      </x:c>
      <x:c r="D27" t="str">
        <x:f>IFERROR(IF(0=LEN(ReferenceData!$D$27),"",ReferenceData!$D$27),"")</x:f>
        <x:v/>
      </x:c>
      <x:c r="E27" t="str">
        <x:f>IFERROR(IF(0=LEN(ReferenceData!$E$27),"",ReferenceData!$E$27),"")</x:f>
        <x:v>Expression</x:v>
      </x:c>
      <x:c r="F27">
        <x:f ca="1">IFERROR(IF(0=LEN(ReferenceData!$F$27),"",ReferenceData!$F$27),"")</x:f>
        <x:v>501.77841000000001</x:v>
      </x:c>
      <x:c r="G27">
        <x:f ca="1">IFERROR(IF(0=LEN(ReferenceData!$G$27),"",ReferenceData!$G$27),"")</x:f>
        <x:v>-1076.046353</x:v>
      </x:c>
      <x:c r="H27">
        <x:f ca="1">IFERROR(IF(0=LEN(ReferenceData!$H$27),"",ReferenceData!$H$27),"")</x:f>
        <x:v>934.12230999999997</x:v>
      </x:c>
      <x:c r="I27">
        <x:f ca="1">IFERROR(IF(0=LEN(ReferenceData!$I$27),"",ReferenceData!$I$27),"")</x:f>
        <x:v>271.57747799999999</x:v>
      </x:c>
      <x:c r="J27">
        <x:f ca="1">IFERROR(IF(0=LEN(ReferenceData!$J$27),"",ReferenceData!$J$27),"")</x:f>
        <x:v>18.631157999999999</x:v>
      </x:c>
      <x:c r="K27">
        <x:f ca="1">IFERROR(IF(0=LEN(ReferenceData!$K$27),"",ReferenceData!$K$27),"")</x:f>
        <x:v>91.440310999999994</x:v>
      </x:c>
      <x:c r="L27">
        <x:f ca="1">IFERROR(IF(0=LEN(ReferenceData!$L$27),"",ReferenceData!$L$27),"")</x:f>
        <x:v>463.69523500000003</x:v>
      </x:c>
      <x:c r="M27">
        <x:f ca="1">IFERROR(IF(0=LEN(ReferenceData!$M$27),"",ReferenceData!$M$27),"")</x:f>
        <x:v>271.705129</x:v>
      </x:c>
      <x:c r="N27">
        <x:f ca="1">IFERROR(IF(0=LEN(ReferenceData!$N$27),"",ReferenceData!$N$27),"")</x:f>
        <x:v>120.197132</x:v>
      </x:c>
      <x:c r="O27">
        <x:f ca="1">IFERROR(IF(0=LEN(ReferenceData!$O$27),"",ReferenceData!$O$27),"")</x:f>
        <x:v>-365.42153200000001</x:v>
      </x:c>
      <x:c r="P27">
        <x:f ca="1">IFERROR(IF(0=LEN(ReferenceData!$P$27),"",ReferenceData!$P$27),"")</x:f>
        <x:v>13.161346999999999</x:v>
      </x:c>
      <x:c r="Q27">
        <x:f ca="1">IFERROR(IF(0=LEN(ReferenceData!$Q$27),"",ReferenceData!$Q$27),"")</x:f>
        <x:v>170.416707</x:v>
      </x:c>
      <x:c r="R27">
        <x:f ca="1">IFERROR(IF(0=LEN(ReferenceData!$R$27),"",ReferenceData!$R$27),"")</x:f>
        <x:v>-656.624415</x:v>
      </x:c>
      <x:c r="S27">
        <x:f ca="1">IFERROR(IF(0=LEN(ReferenceData!$S$27),"",ReferenceData!$S$27),"")</x:f>
        <x:v>286.87410199999999</x:v>
      </x:c>
    </x:row>
    <x:row r="28" spans="1:19" x14ac:dyDescent="0.25">
      <x:c r="A28" t="str">
        <x:f>IFERROR(IF(0=LEN(ReferenceData!$A$28),"",ReferenceData!$A$28),"")</x:f>
        <x:v xml:space="preserve">        Vanguard Consumer Discretionar</x:v>
      </x:c>
      <x:c r="B28" t="str">
        <x:f>IFERROR(IF(0=LEN(ReferenceData!$B$28),"",ReferenceData!$B$28),"")</x:f>
        <x:v>VCR US Equity</x:v>
      </x:c>
      <x:c r="C28" t="str">
        <x:f>IFERROR(IF(0=LEN(ReferenceData!$C$28),"",ReferenceData!$C$28),"")</x:f>
        <x:v/>
      </x:c>
      <x:c r="D28" t="str">
        <x:f>IFERROR(IF(0=LEN(ReferenceData!$D$28),"",ReferenceData!$D$28),"")</x:f>
        <x:v/>
      </x:c>
      <x:c r="E28" t="str">
        <x:f>IFERROR(IF(0=LEN(ReferenceData!$E$28),"",ReferenceData!$E$28),"")</x:f>
        <x:v>Expression</x:v>
      </x:c>
      <x:c r="F28">
        <x:f ca="1">IFERROR(IF(0=LEN(ReferenceData!$F$28),"",ReferenceData!$F$28),"")</x:f>
        <x:v>6.9702500000000001</x:v>
      </x:c>
      <x:c r="G28">
        <x:f ca="1">IFERROR(IF(0=LEN(ReferenceData!$G$28),"",ReferenceData!$G$28),"")</x:f>
        <x:v>-318.63425000000001</x:v>
      </x:c>
      <x:c r="H28">
        <x:f ca="1">IFERROR(IF(0=LEN(ReferenceData!$H$28),"",ReferenceData!$H$28),"")</x:f>
        <x:v>-57.536810000000003</x:v>
      </x:c>
      <x:c r="I28">
        <x:f ca="1">IFERROR(IF(0=LEN(ReferenceData!$I$28),"",ReferenceData!$I$28),"")</x:f>
        <x:v>72.960499999999996</x:v>
      </x:c>
      <x:c r="J28">
        <x:f ca="1">IFERROR(IF(0=LEN(ReferenceData!$J$28),"",ReferenceData!$J$28),"")</x:f>
        <x:v>278.93525</x:v>
      </x:c>
      <x:c r="K28">
        <x:f ca="1">IFERROR(IF(0=LEN(ReferenceData!$K$28),"",ReferenceData!$K$28),"")</x:f>
        <x:v>-62.932250000000003</x:v>
      </x:c>
      <x:c r="L28">
        <x:f ca="1">IFERROR(IF(0=LEN(ReferenceData!$L$28),"",ReferenceData!$L$28),"")</x:f>
        <x:v>160.70758000000001</x:v>
      </x:c>
      <x:c r="M28">
        <x:f ca="1">IFERROR(IF(0=LEN(ReferenceData!$M$28),"",ReferenceData!$M$28),"")</x:f>
        <x:v>0.67792300000000005</x:v>
      </x:c>
      <x:c r="N28">
        <x:f ca="1">IFERROR(IF(0=LEN(ReferenceData!$N$28),"",ReferenceData!$N$28),"")</x:f>
        <x:v>-48.043500000000002</x:v>
      </x:c>
      <x:c r="O28">
        <x:f ca="1">IFERROR(IF(0=LEN(ReferenceData!$O$28),"",ReferenceData!$O$28),"")</x:f>
        <x:v>65.211225999999996</x:v>
      </x:c>
      <x:c r="P28">
        <x:f ca="1">IFERROR(IF(0=LEN(ReferenceData!$P$28),"",ReferenceData!$P$28),"")</x:f>
        <x:v>-75.849999999999994</x:v>
      </x:c>
      <x:c r="Q28">
        <x:f ca="1">IFERROR(IF(0=LEN(ReferenceData!$Q$28),"",ReferenceData!$Q$28),"")</x:f>
        <x:v>-203.1875</x:v>
      </x:c>
      <x:c r="R28">
        <x:f ca="1">IFERROR(IF(0=LEN(ReferenceData!$R$28),"",ReferenceData!$R$28),"")</x:f>
        <x:v>30.400483999999999</x:v>
      </x:c>
      <x:c r="S28">
        <x:f ca="1">IFERROR(IF(0=LEN(ReferenceData!$S$28),"",ReferenceData!$S$28),"")</x:f>
        <x:v>-65.069000000000003</x:v>
      </x:c>
    </x:row>
    <x:row r="29" spans="1:19" x14ac:dyDescent="0.25">
      <x:c r="A29" t="str">
        <x:f>IFERROR(IF(0=LEN(ReferenceData!$A$29),"",ReferenceData!$A$29),"")</x:f>
        <x:v xml:space="preserve">        VanEck Gaming ETF</x:v>
      </x:c>
      <x:c r="B29" t="str">
        <x:f>IFERROR(IF(0=LEN(ReferenceData!$B$29),"",ReferenceData!$B$29),"")</x:f>
        <x:v>BJK US Equity</x:v>
      </x:c>
      <x:c r="C29" t="str">
        <x:f>IFERROR(IF(0=LEN(ReferenceData!$C$29),"",ReferenceData!$C$29),"")</x:f>
        <x:v/>
      </x:c>
      <x:c r="D29" t="str">
        <x:f>IFERROR(IF(0=LEN(ReferenceData!$D$29),"",ReferenceData!$D$29),"")</x:f>
        <x:v/>
      </x:c>
      <x:c r="E29" t="str">
        <x:f>IFERROR(IF(0=LEN(ReferenceData!$E$29),"",ReferenceData!$E$29),"")</x:f>
        <x:v>Expression</x:v>
      </x:c>
      <x:c r="F29">
        <x:f ca="1">IFERROR(IF(0=LEN(ReferenceData!$F$29),"",ReferenceData!$F$29),"")</x:f>
        <x:v>0</x:v>
      </x:c>
      <x:c r="G29">
        <x:f ca="1">IFERROR(IF(0=LEN(ReferenceData!$G$29),"",ReferenceData!$G$29),"")</x:f>
        <x:v>-4.7454520000000002</x:v>
      </x:c>
      <x:c r="H29">
        <x:f ca="1">IFERROR(IF(0=LEN(ReferenceData!$H$29),"",ReferenceData!$H$29),"")</x:f>
        <x:v>-6.217765</x:v>
      </x:c>
      <x:c r="I29">
        <x:f ca="1">IFERROR(IF(0=LEN(ReferenceData!$I$29),"",ReferenceData!$I$29),"")</x:f>
        <x:v>0</x:v>
      </x:c>
      <x:c r="J29">
        <x:f ca="1">IFERROR(IF(0=LEN(ReferenceData!$J$29),"",ReferenceData!$J$29),"")</x:f>
        <x:v>-1.9822040000000001</x:v>
      </x:c>
      <x:c r="K29">
        <x:f ca="1">IFERROR(IF(0=LEN(ReferenceData!$K$29),"",ReferenceData!$K$29),"")</x:f>
        <x:v>-30.154409000000001</x:v>
      </x:c>
      <x:c r="L29">
        <x:f ca="1">IFERROR(IF(0=LEN(ReferenceData!$L$29),"",ReferenceData!$L$29),"")</x:f>
        <x:v>-1.0736110000000001</x:v>
      </x:c>
      <x:c r="M29">
        <x:f ca="1">IFERROR(IF(0=LEN(ReferenceData!$M$29),"",ReferenceData!$M$29),"")</x:f>
        <x:v>4.5549429999999997</x:v>
      </x:c>
      <x:c r="N29">
        <x:f ca="1">IFERROR(IF(0=LEN(ReferenceData!$N$29),"",ReferenceData!$N$29),"")</x:f>
        <x:v>-5.3320109999999996</x:v>
      </x:c>
      <x:c r="O29">
        <x:f ca="1">IFERROR(IF(0=LEN(ReferenceData!$O$29),"",ReferenceData!$O$29),"")</x:f>
        <x:v>-2.2187869999999998</x:v>
      </x:c>
      <x:c r="P29">
        <x:f ca="1">IFERROR(IF(0=LEN(ReferenceData!$P$29),"",ReferenceData!$P$29),"")</x:f>
        <x:v>-11.572531</x:v>
      </x:c>
      <x:c r="Q29">
        <x:f ca="1">IFERROR(IF(0=LEN(ReferenceData!$Q$29),"",ReferenceData!$Q$29),"")</x:f>
        <x:v>22.447347000000001</x:v>
      </x:c>
      <x:c r="R29">
        <x:f ca="1">IFERROR(IF(0=LEN(ReferenceData!$R$29),"",ReferenceData!$R$29),"")</x:f>
        <x:v>0</x:v>
      </x:c>
      <x:c r="S29">
        <x:f ca="1">IFERROR(IF(0=LEN(ReferenceData!$S$29),"",ReferenceData!$S$29),"")</x:f>
        <x:v>3.2773500000000002</x:v>
      </x:c>
    </x:row>
    <x:row r="30" spans="1:19" x14ac:dyDescent="0.25">
      <x:c r="A30" t="str">
        <x:f>IFERROR(IF(0=LEN(ReferenceData!$A$30),"",ReferenceData!$A$30),"")</x:f>
        <x:v xml:space="preserve">        iShares U.S. Home Construction</x:v>
      </x:c>
      <x:c r="B30" t="str">
        <x:f>IFERROR(IF(0=LEN(ReferenceData!$B$30),"",ReferenceData!$B$30),"")</x:f>
        <x:v>ITB US Equity</x:v>
      </x:c>
      <x:c r="C30" t="str">
        <x:f>IFERROR(IF(0=LEN(ReferenceData!$C$30),"",ReferenceData!$C$30),"")</x:f>
        <x:v/>
      </x:c>
      <x:c r="D30" t="str">
        <x:f>IFERROR(IF(0=LEN(ReferenceData!$D$30),"",ReferenceData!$D$30),"")</x:f>
        <x:v/>
      </x:c>
      <x:c r="E30" t="str">
        <x:f>IFERROR(IF(0=LEN(ReferenceData!$E$30),"",ReferenceData!$E$30),"")</x:f>
        <x:v>Expression</x:v>
      </x:c>
      <x:c r="F30">
        <x:f ca="1">IFERROR(IF(0=LEN(ReferenceData!$F$30),"",ReferenceData!$F$30),"")</x:f>
        <x:v>36.388258</x:v>
      </x:c>
      <x:c r="G30">
        <x:f ca="1">IFERROR(IF(0=LEN(ReferenceData!$G$30),"",ReferenceData!$G$30),"")</x:f>
        <x:v>-136.31896</x:v>
      </x:c>
      <x:c r="H30">
        <x:f ca="1">IFERROR(IF(0=LEN(ReferenceData!$H$30),"",ReferenceData!$H$30),"")</x:f>
        <x:v>-167.48435000000001</x:v>
      </x:c>
      <x:c r="I30">
        <x:f ca="1">IFERROR(IF(0=LEN(ReferenceData!$I$30),"",ReferenceData!$I$30),"")</x:f>
        <x:v>-182.87598</x:v>
      </x:c>
      <x:c r="J30">
        <x:f ca="1">IFERROR(IF(0=LEN(ReferenceData!$J$30),"",ReferenceData!$J$30),"")</x:f>
        <x:v>27.654910000000001</x:v>
      </x:c>
      <x:c r="K30">
        <x:f ca="1">IFERROR(IF(0=LEN(ReferenceData!$K$30),"",ReferenceData!$K$30),"")</x:f>
        <x:v>284.84854000000001</x:v>
      </x:c>
      <x:c r="L30">
        <x:f ca="1">IFERROR(IF(0=LEN(ReferenceData!$L$30),"",ReferenceData!$L$30),"")</x:f>
        <x:v>93.970984999999999</x:v>
      </x:c>
      <x:c r="M30">
        <x:f ca="1">IFERROR(IF(0=LEN(ReferenceData!$M$30),"",ReferenceData!$M$30),"")</x:f>
        <x:v>24.582174999999999</x:v>
      </x:c>
      <x:c r="N30">
        <x:f ca="1">IFERROR(IF(0=LEN(ReferenceData!$N$30),"",ReferenceData!$N$30),"")</x:f>
        <x:v>257.31223499999999</x:v>
      </x:c>
      <x:c r="O30">
        <x:f ca="1">IFERROR(IF(0=LEN(ReferenceData!$O$30),"",ReferenceData!$O$30),"")</x:f>
        <x:v>-270.01718499999998</x:v>
      </x:c>
      <x:c r="P30">
        <x:f ca="1">IFERROR(IF(0=LEN(ReferenceData!$P$30),"",ReferenceData!$P$30),"")</x:f>
        <x:v>77.380705000000006</x:v>
      </x:c>
      <x:c r="Q30">
        <x:f ca="1">IFERROR(IF(0=LEN(ReferenceData!$Q$30),"",ReferenceData!$Q$30),"")</x:f>
        <x:v>115.67323</x:v>
      </x:c>
      <x:c r="R30">
        <x:f ca="1">IFERROR(IF(0=LEN(ReferenceData!$R$30),"",ReferenceData!$R$30),"")</x:f>
        <x:v>0.30639499999999997</x:v>
      </x:c>
      <x:c r="S30">
        <x:f ca="1">IFERROR(IF(0=LEN(ReferenceData!$S$30),"",ReferenceData!$S$30),"")</x:f>
        <x:v>-126.662415</x:v>
      </x:c>
    </x:row>
    <x:row r="31" spans="1:19" x14ac:dyDescent="0.25">
      <x:c r="A31" t="str">
        <x:f>IFERROR(IF(0=LEN(ReferenceData!$A$31),"",ReferenceData!$A$31),"")</x:f>
        <x:v xml:space="preserve">        SPDR S&amp;P Homebuilders ETF</x:v>
      </x:c>
      <x:c r="B31" t="str">
        <x:f>IFERROR(IF(0=LEN(ReferenceData!$B$31),"",ReferenceData!$B$31),"")</x:f>
        <x:v>XHB US Equity</x:v>
      </x:c>
      <x:c r="C31" t="str">
        <x:f>IFERROR(IF(0=LEN(ReferenceData!$C$31),"",ReferenceData!$C$31),"")</x:f>
        <x:v/>
      </x:c>
      <x:c r="D31" t="str">
        <x:f>IFERROR(IF(0=LEN(ReferenceData!$D$31),"",ReferenceData!$D$31),"")</x:f>
        <x:v/>
      </x:c>
      <x:c r="E31" t="str">
        <x:f>IFERROR(IF(0=LEN(ReferenceData!$E$31),"",ReferenceData!$E$31),"")</x:f>
        <x:v>Expression</x:v>
      </x:c>
      <x:c r="F31">
        <x:f ca="1">IFERROR(IF(0=LEN(ReferenceData!$F$31),"",ReferenceData!$F$31),"")</x:f>
        <x:v>114.70027399999999</x:v>
      </x:c>
      <x:c r="G31">
        <x:f ca="1">IFERROR(IF(0=LEN(ReferenceData!$G$31),"",ReferenceData!$G$31),"")</x:f>
        <x:v>-40.300663</x:v>
      </x:c>
      <x:c r="H31">
        <x:f ca="1">IFERROR(IF(0=LEN(ReferenceData!$H$31),"",ReferenceData!$H$31),"")</x:f>
        <x:v>-14.683935999999999</x:v>
      </x:c>
      <x:c r="I31">
        <x:f ca="1">IFERROR(IF(0=LEN(ReferenceData!$I$31),"",ReferenceData!$I$31),"")</x:f>
        <x:v>-139.976698</x:v>
      </x:c>
      <x:c r="J31">
        <x:f ca="1">IFERROR(IF(0=LEN(ReferenceData!$J$31),"",ReferenceData!$J$31),"")</x:f>
        <x:v>76.9148</x:v>
      </x:c>
      <x:c r="K31">
        <x:f ca="1">IFERROR(IF(0=LEN(ReferenceData!$K$31),"",ReferenceData!$K$31),"")</x:f>
        <x:v>98.504418000000001</x:v>
      </x:c>
      <x:c r="L31">
        <x:f ca="1">IFERROR(IF(0=LEN(ReferenceData!$L$31),"",ReferenceData!$L$31),"")</x:f>
        <x:v>185.28616099999999</x:v>
      </x:c>
      <x:c r="M31">
        <x:f ca="1">IFERROR(IF(0=LEN(ReferenceData!$M$31),"",ReferenceData!$M$31),"")</x:f>
        <x:v>-96.621579999999994</x:v>
      </x:c>
      <x:c r="N31">
        <x:f ca="1">IFERROR(IF(0=LEN(ReferenceData!$N$31),"",ReferenceData!$N$31),"")</x:f>
        <x:v>11.516522999999999</x:v>
      </x:c>
      <x:c r="O31">
        <x:f ca="1">IFERROR(IF(0=LEN(ReferenceData!$O$31),"",ReferenceData!$O$31),"")</x:f>
        <x:v>3.936159</x:v>
      </x:c>
      <x:c r="P31">
        <x:f ca="1">IFERROR(IF(0=LEN(ReferenceData!$P$31),"",ReferenceData!$P$31),"")</x:f>
        <x:v>63.115130000000001</x:v>
      </x:c>
      <x:c r="Q31">
        <x:f ca="1">IFERROR(IF(0=LEN(ReferenceData!$Q$31),"",ReferenceData!$Q$31),"")</x:f>
        <x:v>-96.932319000000007</x:v>
      </x:c>
      <x:c r="R31">
        <x:f ca="1">IFERROR(IF(0=LEN(ReferenceData!$R$31),"",ReferenceData!$R$31),"")</x:f>
        <x:v>-108.512989</x:v>
      </x:c>
      <x:c r="S31">
        <x:f ca="1">IFERROR(IF(0=LEN(ReferenceData!$S$31),"",ReferenceData!$S$31),"")</x:f>
        <x:v>89.889418000000006</x:v>
      </x:c>
    </x:row>
    <x:row r="32" spans="1:19" x14ac:dyDescent="0.25">
      <x:c r="A32" t="str">
        <x:f>IFERROR(IF(0=LEN(ReferenceData!$A$32),"",ReferenceData!$A$32),"")</x:f>
        <x:v xml:space="preserve">        iShares US Consumer Discretion</x:v>
      </x:c>
      <x:c r="B32" t="str">
        <x:f>IFERROR(IF(0=LEN(ReferenceData!$B$32),"",ReferenceData!$B$32),"")</x:f>
        <x:v>IYC US Equity</x:v>
      </x:c>
      <x:c r="C32" t="str">
        <x:f>IFERROR(IF(0=LEN(ReferenceData!$C$32),"",ReferenceData!$C$32),"")</x:f>
        <x:v/>
      </x:c>
      <x:c r="D32" t="str">
        <x:f>IFERROR(IF(0=LEN(ReferenceData!$D$32),"",ReferenceData!$D$32),"")</x:f>
        <x:v/>
      </x:c>
      <x:c r="E32" t="str">
        <x:f>IFERROR(IF(0=LEN(ReferenceData!$E$32),"",ReferenceData!$E$32),"")</x:f>
        <x:v>Expression</x:v>
      </x:c>
      <x:c r="F32">
        <x:f ca="1">IFERROR(IF(0=LEN(ReferenceData!$F$32),"",ReferenceData!$F$32),"")</x:f>
        <x:v>-23.730792000000001</x:v>
      </x:c>
      <x:c r="G32">
        <x:f ca="1">IFERROR(IF(0=LEN(ReferenceData!$G$32),"",ReferenceData!$G$32),"")</x:f>
        <x:v>-0.177783</x:v>
      </x:c>
      <x:c r="H32">
        <x:f ca="1">IFERROR(IF(0=LEN(ReferenceData!$H$32),"",ReferenceData!$H$32),"")</x:f>
        <x:v>11.551671000000001</x:v>
      </x:c>
      <x:c r="I32">
        <x:f ca="1">IFERROR(IF(0=LEN(ReferenceData!$I$32),"",ReferenceData!$I$32),"")</x:f>
        <x:v>-10.136089999999999</x:v>
      </x:c>
      <x:c r="J32">
        <x:f ca="1">IFERROR(IF(0=LEN(ReferenceData!$J$32),"",ReferenceData!$J$32),"")</x:f>
        <x:v>45.873925</x:v>
      </x:c>
      <x:c r="K32">
        <x:f ca="1">IFERROR(IF(0=LEN(ReferenceData!$K$32),"",ReferenceData!$K$32),"")</x:f>
        <x:v>23.880794999999999</x:v>
      </x:c>
      <x:c r="L32">
        <x:f ca="1">IFERROR(IF(0=LEN(ReferenceData!$L$32),"",ReferenceData!$L$32),"")</x:f>
        <x:v>-3.2375699999999998</x:v>
      </x:c>
      <x:c r="M32">
        <x:f ca="1">IFERROR(IF(0=LEN(ReferenceData!$M$32),"",ReferenceData!$M$32),"")</x:f>
        <x:v>-19.311589999999999</x:v>
      </x:c>
      <x:c r="N32">
        <x:f ca="1">IFERROR(IF(0=LEN(ReferenceData!$N$32),"",ReferenceData!$N$32),"")</x:f>
        <x:v>-6.2387100000000002</x:v>
      </x:c>
      <x:c r="O32">
        <x:f ca="1">IFERROR(IF(0=LEN(ReferenceData!$O$32),"",ReferenceData!$O$32),"")</x:f>
        <x:v>21.186865000000001</x:v>
      </x:c>
      <x:c r="P32">
        <x:f ca="1">IFERROR(IF(0=LEN(ReferenceData!$P$32),"",ReferenceData!$P$32),"")</x:f>
        <x:v>-30.709415</x:v>
      </x:c>
      <x:c r="Q32">
        <x:f ca="1">IFERROR(IF(0=LEN(ReferenceData!$Q$32),"",ReferenceData!$Q$32),"")</x:f>
        <x:v>-2.5389599999999999</x:v>
      </x:c>
      <x:c r="R32">
        <x:f ca="1">IFERROR(IF(0=LEN(ReferenceData!$R$32),"",ReferenceData!$R$32),"")</x:f>
        <x:v>8.8981949999999994</x:v>
      </x:c>
      <x:c r="S32">
        <x:f ca="1">IFERROR(IF(0=LEN(ReferenceData!$S$32),"",ReferenceData!$S$32),"")</x:f>
        <x:v>5.9445750000000004</x:v>
      </x:c>
    </x:row>
    <x:row r="33" spans="1:19" x14ac:dyDescent="0.25">
      <x:c r="A33" t="str">
        <x:f>IFERROR(IF(0=LEN(ReferenceData!$A$33),"",ReferenceData!$A$33),"")</x:f>
        <x:v xml:space="preserve">        First Trust Consumer Discretio</x:v>
      </x:c>
      <x:c r="B33" t="str">
        <x:f>IFERROR(IF(0=LEN(ReferenceData!$B$33),"",ReferenceData!$B$33),"")</x:f>
        <x:v>FXD US Equity</x:v>
      </x:c>
      <x:c r="C33" t="str">
        <x:f>IFERROR(IF(0=LEN(ReferenceData!$C$33),"",ReferenceData!$C$33),"")</x:f>
        <x:v/>
      </x:c>
      <x:c r="D33" t="str">
        <x:f>IFERROR(IF(0=LEN(ReferenceData!$D$33),"",ReferenceData!$D$33),"")</x:f>
        <x:v/>
      </x:c>
      <x:c r="E33" t="str">
        <x:f>IFERROR(IF(0=LEN(ReferenceData!$E$33),"",ReferenceData!$E$33),"")</x:f>
        <x:v>Expression</x:v>
      </x:c>
      <x:c r="F33">
        <x:f ca="1">IFERROR(IF(0=LEN(ReferenceData!$F$33),"",ReferenceData!$F$33),"")</x:f>
        <x:v>-53.651245000000003</x:v>
      </x:c>
      <x:c r="G33">
        <x:f ca="1">IFERROR(IF(0=LEN(ReferenceData!$G$33),"",ReferenceData!$G$33),"")</x:f>
        <x:v>-78.798631</x:v>
      </x:c>
      <x:c r="H33">
        <x:f ca="1">IFERROR(IF(0=LEN(ReferenceData!$H$33),"",ReferenceData!$H$33),"")</x:f>
        <x:v>5.5945980000000004</x:v>
      </x:c>
      <x:c r="I33">
        <x:f ca="1">IFERROR(IF(0=LEN(ReferenceData!$I$33),"",ReferenceData!$I$33),"")</x:f>
        <x:v>27.82602</x:v>
      </x:c>
      <x:c r="J33">
        <x:f ca="1">IFERROR(IF(0=LEN(ReferenceData!$J$33),"",ReferenceData!$J$33),"")</x:f>
        <x:v>37.134999999999998</x:v>
      </x:c>
      <x:c r="K33">
        <x:f ca="1">IFERROR(IF(0=LEN(ReferenceData!$K$33),"",ReferenceData!$K$33),"")</x:f>
        <x:v>59.784999999999997</x:v>
      </x:c>
      <x:c r="L33">
        <x:f ca="1">IFERROR(IF(0=LEN(ReferenceData!$L$33),"",ReferenceData!$L$33),"")</x:f>
        <x:v>-8.7499999999999994E-2</x:v>
      </x:c>
      <x:c r="M33">
        <x:f ca="1">IFERROR(IF(0=LEN(ReferenceData!$M$33),"",ReferenceData!$M$33),"")</x:f>
        <x:v>30.593499999999999</x:v>
      </x:c>
      <x:c r="N33">
        <x:f ca="1">IFERROR(IF(0=LEN(ReferenceData!$N$33),"",ReferenceData!$N$33),"")</x:f>
        <x:v>823.61400000000003</x:v>
      </x:c>
      <x:c r="O33">
        <x:f ca="1">IFERROR(IF(0=LEN(ReferenceData!$O$33),"",ReferenceData!$O$33),"")</x:f>
        <x:v>40.177500000000002</x:v>
      </x:c>
      <x:c r="P33">
        <x:f ca="1">IFERROR(IF(0=LEN(ReferenceData!$P$33),"",ReferenceData!$P$33),"")</x:f>
        <x:v>-5.335</x:v>
      </x:c>
      <x:c r="Q33">
        <x:f ca="1">IFERROR(IF(0=LEN(ReferenceData!$Q$33),"",ReferenceData!$Q$33),"")</x:f>
        <x:v>-16.966377999999999</x:v>
      </x:c>
      <x:c r="R33">
        <x:f ca="1">IFERROR(IF(0=LEN(ReferenceData!$R$33),"",ReferenceData!$R$33),"")</x:f>
        <x:v>-14.570415000000001</x:v>
      </x:c>
      <x:c r="S33">
        <x:f ca="1">IFERROR(IF(0=LEN(ReferenceData!$S$33),"",ReferenceData!$S$33),"")</x:f>
        <x:v>-20.666592999999999</x:v>
      </x:c>
    </x:row>
    <x:row r="34" spans="1:19" x14ac:dyDescent="0.25">
      <x:c r="A34" t="str">
        <x:f>IFERROR(IF(0=LEN(ReferenceData!$A$34),"",ReferenceData!$A$34),"")</x:f>
        <x:v xml:space="preserve">        ETRACS Monthly Reset 2xLeverag</x:v>
      </x:c>
      <x:c r="B34" t="str">
        <x:f>IFERROR(IF(0=LEN(ReferenceData!$B$34),"",ReferenceData!$B$34),"")</x:f>
        <x:v>HOML US Equity</x:v>
      </x:c>
      <x:c r="C34" t="str">
        <x:f>IFERROR(IF(0=LEN(ReferenceData!$C$34),"",ReferenceData!$C$34),"")</x:f>
        <x:v/>
      </x:c>
      <x:c r="D34" t="str">
        <x:f>IFERROR(IF(0=LEN(ReferenceData!$D$34),"",ReferenceData!$D$34),"")</x:f>
        <x:v/>
      </x:c>
      <x:c r="E34" t="str">
        <x:f>IFERROR(IF(0=LEN(ReferenceData!$E$34),"",ReferenceData!$E$34),"")</x:f>
        <x:v>Expression</x:v>
      </x:c>
      <x:c r="F34" t="str">
        <x:f ca="1">IFERROR(IF(0=LEN(ReferenceData!$F$34),"",ReferenceData!$F$34),"")</x:f>
        <x:v/>
      </x:c>
      <x:c r="G34" t="str">
        <x:f ca="1">IFERROR(IF(0=LEN(ReferenceData!$G$34),"",ReferenceData!$G$34),"")</x:f>
        <x:v/>
      </x:c>
      <x:c r="H34" t="str">
        <x:f ca="1">IFERROR(IF(0=LEN(ReferenceData!$H$34),"",ReferenceData!$H$34),"")</x:f>
        <x:v/>
      </x:c>
      <x:c r="I34" t="str">
        <x:f ca="1">IFERROR(IF(0=LEN(ReferenceData!$I$34),"",ReferenceData!$I$34),"")</x:f>
        <x:v/>
      </x:c>
      <x:c r="J34" t="str">
        <x:f ca="1">IFERROR(IF(0=LEN(ReferenceData!$J$34),"",ReferenceData!$J$34),"")</x:f>
        <x:v/>
      </x:c>
      <x:c r="K34" t="str">
        <x:f ca="1">IFERROR(IF(0=LEN(ReferenceData!$K$34),"",ReferenceData!$K$34),"")</x:f>
        <x:v/>
      </x:c>
      <x:c r="L34" t="str">
        <x:f ca="1">IFERROR(IF(0=LEN(ReferenceData!$L$34),"",ReferenceData!$L$34),"")</x:f>
        <x:v/>
      </x:c>
      <x:c r="M34" t="str">
        <x:f ca="1">IFERROR(IF(0=LEN(ReferenceData!$M$34),"",ReferenceData!$M$34),"")</x:f>
        <x:v/>
      </x:c>
      <x:c r="N34" t="str">
        <x:f ca="1">IFERROR(IF(0=LEN(ReferenceData!$N$34),"",ReferenceData!$N$34),"")</x:f>
        <x:v/>
      </x:c>
      <x:c r="O34" t="str">
        <x:f ca="1">IFERROR(IF(0=LEN(ReferenceData!$O$34),"",ReferenceData!$O$34),"")</x:f>
        <x:v/>
      </x:c>
      <x:c r="P34" t="str">
        <x:f ca="1">IFERROR(IF(0=LEN(ReferenceData!$P$34),"",ReferenceData!$P$34),"")</x:f>
        <x:v/>
      </x:c>
      <x:c r="Q34" t="str">
        <x:f ca="1">IFERROR(IF(0=LEN(ReferenceData!$Q$34),"",ReferenceData!$Q$34),"")</x:f>
        <x:v/>
      </x:c>
      <x:c r="R34" t="str">
        <x:f ca="1">IFERROR(IF(0=LEN(ReferenceData!$R$34),"",ReferenceData!$R$34),"")</x:f>
        <x:v/>
      </x:c>
      <x:c r="S34" t="str">
        <x:f ca="1">IFERROR(IF(0=LEN(ReferenceData!$S$34),"",ReferenceData!$S$34),"")</x:f>
        <x:v/>
      </x:c>
    </x:row>
    <x:row r="35" spans="1:19" x14ac:dyDescent="0.25">
      <x:c r="A35" t="str">
        <x:f>IFERROR(IF(0=LEN(ReferenceData!$A$35),"",ReferenceData!$A$35),"")</x:f>
        <x:v xml:space="preserve">        SPDR S&amp;P Retail ETF</x:v>
      </x:c>
      <x:c r="B35" t="str">
        <x:f>IFERROR(IF(0=LEN(ReferenceData!$B$35),"",ReferenceData!$B$35),"")</x:f>
        <x:v>XRT US Equity</x:v>
      </x:c>
      <x:c r="C35" t="str">
        <x:f>IFERROR(IF(0=LEN(ReferenceData!$C$35),"",ReferenceData!$C$35),"")</x:f>
        <x:v/>
      </x:c>
      <x:c r="D35" t="str">
        <x:f>IFERROR(IF(0=LEN(ReferenceData!$D$35),"",ReferenceData!$D$35),"")</x:f>
        <x:v/>
      </x:c>
      <x:c r="E35" t="str">
        <x:f>IFERROR(IF(0=LEN(ReferenceData!$E$35),"",ReferenceData!$E$35),"")</x:f>
        <x:v>Expression</x:v>
      </x:c>
      <x:c r="F35">
        <x:f ca="1">IFERROR(IF(0=LEN(ReferenceData!$F$35),"",ReferenceData!$F$35),"")</x:f>
        <x:v>226.857617</x:v>
      </x:c>
      <x:c r="G35">
        <x:f ca="1">IFERROR(IF(0=LEN(ReferenceData!$G$35),"",ReferenceData!$G$35),"")</x:f>
        <x:v>-53.202739999999999</x:v>
      </x:c>
      <x:c r="H35">
        <x:f ca="1">IFERROR(IF(0=LEN(ReferenceData!$H$35),"",ReferenceData!$H$35),"")</x:f>
        <x:v>4.9252399999999996</x:v>
      </x:c>
      <x:c r="I35">
        <x:f ca="1">IFERROR(IF(0=LEN(ReferenceData!$I$35),"",ReferenceData!$I$35),"")</x:f>
        <x:v>-56.061323000000002</x:v>
      </x:c>
      <x:c r="J35">
        <x:f ca="1">IFERROR(IF(0=LEN(ReferenceData!$J$35),"",ReferenceData!$J$35),"")</x:f>
        <x:v>-29.674424999999999</x:v>
      </x:c>
      <x:c r="K35">
        <x:f ca="1">IFERROR(IF(0=LEN(ReferenceData!$K$35),"",ReferenceData!$K$35),"")</x:f>
        <x:v>124.62820000000001</x:v>
      </x:c>
      <x:c r="L35">
        <x:f ca="1">IFERROR(IF(0=LEN(ReferenceData!$L$35),"",ReferenceData!$L$35),"")</x:f>
        <x:v>-74.982178000000005</x:v>
      </x:c>
      <x:c r="M35">
        <x:f ca="1">IFERROR(IF(0=LEN(ReferenceData!$M$35),"",ReferenceData!$M$35),"")</x:f>
        <x:v>-33.859282</x:v>
      </x:c>
      <x:c r="N35">
        <x:f ca="1">IFERROR(IF(0=LEN(ReferenceData!$N$35),"",ReferenceData!$N$35),"")</x:f>
        <x:v>83.434726999999995</x:v>
      </x:c>
      <x:c r="O35">
        <x:f ca="1">IFERROR(IF(0=LEN(ReferenceData!$O$35),"",ReferenceData!$O$35),"")</x:f>
        <x:v>35.100901999999998</x:v>
      </x:c>
      <x:c r="P35">
        <x:f ca="1">IFERROR(IF(0=LEN(ReferenceData!$P$35),"",ReferenceData!$P$35),"")</x:f>
        <x:v>41.807827000000003</x:v>
      </x:c>
      <x:c r="Q35">
        <x:f ca="1">IFERROR(IF(0=LEN(ReferenceData!$Q$35),"",ReferenceData!$Q$35),"")</x:f>
        <x:v>-355.08657499999998</x:v>
      </x:c>
      <x:c r="R35">
        <x:f ca="1">IFERROR(IF(0=LEN(ReferenceData!$R$35),"",ReferenceData!$R$35),"")</x:f>
        <x:v>228.589887</x:v>
      </x:c>
      <x:c r="S35">
        <x:f ca="1">IFERROR(IF(0=LEN(ReferenceData!$S$35),"",ReferenceData!$S$35),"")</x:f>
        <x:v>152.35579200000001</x:v>
      </x:c>
    </x:row>
    <x:row r="36" spans="1:19" x14ac:dyDescent="0.25">
      <x:c r="A36" t="str">
        <x:f>IFERROR(IF(0=LEN(ReferenceData!$A$36),"",ReferenceData!$A$36),"")</x:f>
        <x:v xml:space="preserve">        Invesco Dynamic Building &amp; Con</x:v>
      </x:c>
      <x:c r="B36" t="str">
        <x:f>IFERROR(IF(0=LEN(ReferenceData!$B$36),"",ReferenceData!$B$36),"")</x:f>
        <x:v>PKB US Equity</x:v>
      </x:c>
      <x:c r="C36" t="str">
        <x:f>IFERROR(IF(0=LEN(ReferenceData!$C$36),"",ReferenceData!$C$36),"")</x:f>
        <x:v/>
      </x:c>
      <x:c r="D36" t="str">
        <x:f>IFERROR(IF(0=LEN(ReferenceData!$D$36),"",ReferenceData!$D$36),"")</x:f>
        <x:v/>
      </x:c>
      <x:c r="E36" t="str">
        <x:f>IFERROR(IF(0=LEN(ReferenceData!$E$36),"",ReferenceData!$E$36),"")</x:f>
        <x:v>Expression</x:v>
      </x:c>
      <x:c r="F36">
        <x:f ca="1">IFERROR(IF(0=LEN(ReferenceData!$F$36),"",ReferenceData!$F$36),"")</x:f>
        <x:v>-1.541158</x:v>
      </x:c>
      <x:c r="G36">
        <x:f ca="1">IFERROR(IF(0=LEN(ReferenceData!$G$36),"",ReferenceData!$G$36),"")</x:f>
        <x:v>-12.665741000000001</x:v>
      </x:c>
      <x:c r="H36">
        <x:f ca="1">IFERROR(IF(0=LEN(ReferenceData!$H$36),"",ReferenceData!$H$36),"")</x:f>
        <x:v>-25.700094</x:v>
      </x:c>
      <x:c r="I36">
        <x:f ca="1">IFERROR(IF(0=LEN(ReferenceData!$I$36),"",ReferenceData!$I$36),"")</x:f>
        <x:v>18.179748</x:v>
      </x:c>
      <x:c r="J36">
        <x:f ca="1">IFERROR(IF(0=LEN(ReferenceData!$J$36),"",ReferenceData!$J$36),"")</x:f>
        <x:v>14.065690999999999</x:v>
      </x:c>
      <x:c r="K36">
        <x:f ca="1">IFERROR(IF(0=LEN(ReferenceData!$K$36),"",ReferenceData!$K$36),"")</x:f>
        <x:v>1.979223</x:v>
      </x:c>
      <x:c r="L36">
        <x:f ca="1">IFERROR(IF(0=LEN(ReferenceData!$L$36),"",ReferenceData!$L$36),"")</x:f>
        <x:v>15.821191000000001</x:v>
      </x:c>
      <x:c r="M36">
        <x:f ca="1">IFERROR(IF(0=LEN(ReferenceData!$M$36),"",ReferenceData!$M$36),"")</x:f>
        <x:v>7.0478430000000003</x:v>
      </x:c>
      <x:c r="N36">
        <x:f ca="1">IFERROR(IF(0=LEN(ReferenceData!$N$36),"",ReferenceData!$N$36),"")</x:f>
        <x:v>6.8287589999999998</x:v>
      </x:c>
      <x:c r="O36">
        <x:f ca="1">IFERROR(IF(0=LEN(ReferenceData!$O$36),"",ReferenceData!$O$36),"")</x:f>
        <x:v>46.431742999999997</x:v>
      </x:c>
      <x:c r="P36">
        <x:f ca="1">IFERROR(IF(0=LEN(ReferenceData!$P$36),"",ReferenceData!$P$36),"")</x:f>
        <x:v>-1.714942</x:v>
      </x:c>
      <x:c r="Q36">
        <x:f ca="1">IFERROR(IF(0=LEN(ReferenceData!$Q$36),"",ReferenceData!$Q$36),"")</x:f>
        <x:v>-2.917125</x:v>
      </x:c>
      <x:c r="R36">
        <x:f ca="1">IFERROR(IF(0=LEN(ReferenceData!$R$36),"",ReferenceData!$R$36),"")</x:f>
        <x:v>-4.8781800000000004</x:v>
      </x:c>
      <x:c r="S36">
        <x:f ca="1">IFERROR(IF(0=LEN(ReferenceData!$S$36),"",ReferenceData!$S$36),"")</x:f>
        <x:v>-3.4782259999999998</x:v>
      </x:c>
    </x:row>
    <x:row r="37" spans="1:19" x14ac:dyDescent="0.25">
      <x:c r="A37" t="str">
        <x:f>IFERROR(IF(0=LEN(ReferenceData!$A$37),"",ReferenceData!$A$37),"")</x:f>
        <x:v xml:space="preserve">        Fidelity MSCI Consumer Discret</x:v>
      </x:c>
      <x:c r="B37" t="str">
        <x:f>IFERROR(IF(0=LEN(ReferenceData!$B$37),"",ReferenceData!$B$37),"")</x:f>
        <x:v>FDIS US Equity</x:v>
      </x:c>
      <x:c r="C37" t="str">
        <x:f>IFERROR(IF(0=LEN(ReferenceData!$C$37),"",ReferenceData!$C$37),"")</x:f>
        <x:v/>
      </x:c>
      <x:c r="D37" t="str">
        <x:f>IFERROR(IF(0=LEN(ReferenceData!$D$37),"",ReferenceData!$D$37),"")</x:f>
        <x:v/>
      </x:c>
      <x:c r="E37" t="str">
        <x:f>IFERROR(IF(0=LEN(ReferenceData!$E$37),"",ReferenceData!$E$37),"")</x:f>
        <x:v>Expression</x:v>
      </x:c>
      <x:c r="F37">
        <x:f ca="1">IFERROR(IF(0=LEN(ReferenceData!$F$37),"",ReferenceData!$F$37),"")</x:f>
        <x:v>-3.49525</x:v>
      </x:c>
      <x:c r="G37">
        <x:f ca="1">IFERROR(IF(0=LEN(ReferenceData!$G$37),"",ReferenceData!$G$37),"")</x:f>
        <x:v>3.4907650000000001</x:v>
      </x:c>
      <x:c r="H37">
        <x:f ca="1">IFERROR(IF(0=LEN(ReferenceData!$H$37),"",ReferenceData!$H$37),"")</x:f>
        <x:v>-7.8232549999999996</x:v>
      </x:c>
      <x:c r="I37">
        <x:f ca="1">IFERROR(IF(0=LEN(ReferenceData!$I$37),"",ReferenceData!$I$37),"")</x:f>
        <x:v>-17.80527</x:v>
      </x:c>
      <x:c r="J37">
        <x:f ca="1">IFERROR(IF(0=LEN(ReferenceData!$J$37),"",ReferenceData!$J$37),"")</x:f>
        <x:v>15.028795000000001</x:v>
      </x:c>
      <x:c r="K37">
        <x:f ca="1">IFERROR(IF(0=LEN(ReferenceData!$K$37),"",ReferenceData!$K$37),"")</x:f>
        <x:v>17.933634999999999</x:v>
      </x:c>
      <x:c r="L37">
        <x:f ca="1">IFERROR(IF(0=LEN(ReferenceData!$L$37),"",ReferenceData!$L$37),"")</x:f>
        <x:v>-3.2417250000000002</x:v>
      </x:c>
      <x:c r="M37">
        <x:f ca="1">IFERROR(IF(0=LEN(ReferenceData!$M$37),"",ReferenceData!$M$37),"")</x:f>
        <x:v>16.207975000000001</x:v>
      </x:c>
      <x:c r="N37">
        <x:f ca="1">IFERROR(IF(0=LEN(ReferenceData!$N$37),"",ReferenceData!$N$37),"")</x:f>
        <x:v>21.73263</x:v>
      </x:c>
      <x:c r="O37">
        <x:f ca="1">IFERROR(IF(0=LEN(ReferenceData!$O$37),"",ReferenceData!$O$37),"")</x:f>
        <x:v>0.15348000000000001</x:v>
      </x:c>
      <x:c r="P37">
        <x:f ca="1">IFERROR(IF(0=LEN(ReferenceData!$P$37),"",ReferenceData!$P$37),"")</x:f>
        <x:v>-17.971299999999999</x:v>
      </x:c>
      <x:c r="Q37">
        <x:f ca="1">IFERROR(IF(0=LEN(ReferenceData!$Q$37),"",ReferenceData!$Q$37),"")</x:f>
        <x:v>-5.8042749999999996</x:v>
      </x:c>
      <x:c r="R37">
        <x:f ca="1">IFERROR(IF(0=LEN(ReferenceData!$R$37),"",ReferenceData!$R$37),"")</x:f>
        <x:v>-2.96706</x:v>
      </x:c>
      <x:c r="S37">
        <x:f ca="1">IFERROR(IF(0=LEN(ReferenceData!$S$37),"",ReferenceData!$S$37),"")</x:f>
        <x:v>-15.560174999999999</x:v>
      </x:c>
    </x:row>
    <x:row r="38" spans="1:19" x14ac:dyDescent="0.25">
      <x:c r="A38" t="str">
        <x:f>IFERROR(IF(0=LEN(ReferenceData!$A$38),"",ReferenceData!$A$38),"")</x:f>
        <x:v xml:space="preserve">        iShares Global Consumer Discre</x:v>
      </x:c>
      <x:c r="B38" t="str">
        <x:f>IFERROR(IF(0=LEN(ReferenceData!$B$38),"",ReferenceData!$B$38),"")</x:f>
        <x:v>RXI US Equity</x:v>
      </x:c>
      <x:c r="C38" t="str">
        <x:f>IFERROR(IF(0=LEN(ReferenceData!$C$38),"",ReferenceData!$C$38),"")</x:f>
        <x:v/>
      </x:c>
      <x:c r="D38" t="str">
        <x:f>IFERROR(IF(0=LEN(ReferenceData!$D$38),"",ReferenceData!$D$38),"")</x:f>
        <x:v/>
      </x:c>
      <x:c r="E38" t="str">
        <x:f>IFERROR(IF(0=LEN(ReferenceData!$E$38),"",ReferenceData!$E$38),"")</x:f>
        <x:v>Expression</x:v>
      </x:c>
      <x:c r="F38">
        <x:f ca="1">IFERROR(IF(0=LEN(ReferenceData!$F$38),"",ReferenceData!$F$38),"")</x:f>
        <x:v>-22.017346</x:v>
      </x:c>
      <x:c r="G38">
        <x:f ca="1">IFERROR(IF(0=LEN(ReferenceData!$G$38),"",ReferenceData!$G$38),"")</x:f>
        <x:v>0</x:v>
      </x:c>
      <x:c r="H38">
        <x:f ca="1">IFERROR(IF(0=LEN(ReferenceData!$H$38),"",ReferenceData!$H$38),"")</x:f>
        <x:v>-14.667524999999999</x:v>
      </x:c>
      <x:c r="I38">
        <x:f ca="1">IFERROR(IF(0=LEN(ReferenceData!$I$38),"",ReferenceData!$I$38),"")</x:f>
        <x:v>-7.8760950000000003</x:v>
      </x:c>
      <x:c r="J38">
        <x:f ca="1">IFERROR(IF(0=LEN(ReferenceData!$J$38),"",ReferenceData!$J$38),"")</x:f>
        <x:v>0</x:v>
      </x:c>
      <x:c r="K38">
        <x:f ca="1">IFERROR(IF(0=LEN(ReferenceData!$K$38),"",ReferenceData!$K$38),"")</x:f>
        <x:v>7.3685900000000002</x:v>
      </x:c>
      <x:c r="L38">
        <x:f ca="1">IFERROR(IF(0=LEN(ReferenceData!$L$38),"",ReferenceData!$L$38),"")</x:f>
        <x:v>0</x:v>
      </x:c>
      <x:c r="M38">
        <x:f ca="1">IFERROR(IF(0=LEN(ReferenceData!$M$38),"",ReferenceData!$M$38),"")</x:f>
        <x:v>14.332125</x:v>
      </x:c>
      <x:c r="N38">
        <x:f ca="1">IFERROR(IF(0=LEN(ReferenceData!$N$38),"",ReferenceData!$N$38),"")</x:f>
        <x:v>6.4366399999999997</x:v>
      </x:c>
      <x:c r="O38">
        <x:f ca="1">IFERROR(IF(0=LEN(ReferenceData!$O$38),"",ReferenceData!$O$38),"")</x:f>
        <x:v>-13.962199999999999</x:v>
      </x:c>
      <x:c r="P38">
        <x:f ca="1">IFERROR(IF(0=LEN(ReferenceData!$P$38),"",ReferenceData!$P$38),"")</x:f>
        <x:v>13.42582</x:v>
      </x:c>
      <x:c r="Q38">
        <x:f ca="1">IFERROR(IF(0=LEN(ReferenceData!$Q$38),"",ReferenceData!$Q$38),"")</x:f>
        <x:v>6.7105800000000002</x:v>
      </x:c>
      <x:c r="R38">
        <x:f ca="1">IFERROR(IF(0=LEN(ReferenceData!$R$38),"",ReferenceData!$R$38),"")</x:f>
        <x:v>13.1678</x:v>
      </x:c>
      <x:c r="S38">
        <x:f ca="1">IFERROR(IF(0=LEN(ReferenceData!$S$38),"",ReferenceData!$S$38),"")</x:f>
        <x:v>-42.142139999999998</x:v>
      </x:c>
    </x:row>
    <x:row r="39" spans="1:19" x14ac:dyDescent="0.25">
      <x:c r="A39" t="str">
        <x:f>IFERROR(IF(0=LEN(ReferenceData!$A$39),"",ReferenceData!$A$39),"")</x:f>
        <x:v xml:space="preserve">        Invesco Dynamic Media ETF</x:v>
      </x:c>
      <x:c r="B39" t="str">
        <x:f>IFERROR(IF(0=LEN(ReferenceData!$B$39),"",ReferenceData!$B$39),"")</x:f>
        <x:v>PBS US Equity</x:v>
      </x:c>
      <x:c r="C39" t="str">
        <x:f>IFERROR(IF(0=LEN(ReferenceData!$C$39),"",ReferenceData!$C$39),"")</x:f>
        <x:v/>
      </x:c>
      <x:c r="D39" t="str">
        <x:f>IFERROR(IF(0=LEN(ReferenceData!$D$39),"",ReferenceData!$D$39),"")</x:f>
        <x:v/>
      </x:c>
      <x:c r="E39" t="str">
        <x:f>IFERROR(IF(0=LEN(ReferenceData!$E$39),"",ReferenceData!$E$39),"")</x:f>
        <x:v>Expression</x:v>
      </x:c>
      <x:c r="F39">
        <x:f ca="1">IFERROR(IF(0=LEN(ReferenceData!$F$39),"",ReferenceData!$F$39),"")</x:f>
        <x:v>0</x:v>
      </x:c>
      <x:c r="G39">
        <x:f ca="1">IFERROR(IF(0=LEN(ReferenceData!$G$39),"",ReferenceData!$G$39),"")</x:f>
        <x:v>0</x:v>
      </x:c>
      <x:c r="H39">
        <x:f ca="1">IFERROR(IF(0=LEN(ReferenceData!$H$39),"",ReferenceData!$H$39),"")</x:f>
        <x:v>0</x:v>
      </x:c>
      <x:c r="I39">
        <x:f ca="1">IFERROR(IF(0=LEN(ReferenceData!$I$39),"",ReferenceData!$I$39),"")</x:f>
        <x:v>0</x:v>
      </x:c>
      <x:c r="J39" t="str">
        <x:f ca="1">IFERROR(IF(0=LEN(ReferenceData!$J$39),"",ReferenceData!$J$39),"")</x:f>
        <x:v/>
      </x:c>
      <x:c r="K39" t="str">
        <x:f ca="1">IFERROR(IF(0=LEN(ReferenceData!$K$39),"",ReferenceData!$K$39),"")</x:f>
        <x:v/>
      </x:c>
      <x:c r="L39" t="str">
        <x:f ca="1">IFERROR(IF(0=LEN(ReferenceData!$L$39),"",ReferenceData!$L$39),"")</x:f>
        <x:v/>
      </x:c>
      <x:c r="M39" t="str">
        <x:f ca="1">IFERROR(IF(0=LEN(ReferenceData!$M$39),"",ReferenceData!$M$39),"")</x:f>
        <x:v/>
      </x:c>
      <x:c r="N39" t="str">
        <x:f ca="1">IFERROR(IF(0=LEN(ReferenceData!$N$39),"",ReferenceData!$N$39),"")</x:f>
        <x:v/>
      </x:c>
      <x:c r="O39" t="str">
        <x:f ca="1">IFERROR(IF(0=LEN(ReferenceData!$O$39),"",ReferenceData!$O$39),"")</x:f>
        <x:v/>
      </x:c>
      <x:c r="P39" t="str">
        <x:f ca="1">IFERROR(IF(0=LEN(ReferenceData!$P$39),"",ReferenceData!$P$39),"")</x:f>
        <x:v/>
      </x:c>
      <x:c r="Q39" t="str">
        <x:f ca="1">IFERROR(IF(0=LEN(ReferenceData!$Q$39),"",ReferenceData!$Q$39),"")</x:f>
        <x:v/>
      </x:c>
      <x:c r="R39" t="str">
        <x:f ca="1">IFERROR(IF(0=LEN(ReferenceData!$R$39),"",ReferenceData!$R$39),"")</x:f>
        <x:v/>
      </x:c>
      <x:c r="S39" t="str">
        <x:f ca="1">IFERROR(IF(0=LEN(ReferenceData!$S$39),"",ReferenceData!$S$39),"")</x:f>
        <x:v/>
      </x:c>
    </x:row>
    <x:row r="40" spans="1:19" x14ac:dyDescent="0.25">
      <x:c r="A40" t="str">
        <x:f>IFERROR(IF(0=LEN(ReferenceData!$A$40),"",ReferenceData!$A$40),"")</x:f>
        <x:v xml:space="preserve">        Invesco S&amp;P 500 Equal Weight C</x:v>
      </x:c>
      <x:c r="B40" t="str">
        <x:f>IFERROR(IF(0=LEN(ReferenceData!$B$40),"",ReferenceData!$B$40),"")</x:f>
        <x:v>RCD US Equity</x:v>
      </x:c>
      <x:c r="C40" t="str">
        <x:f>IFERROR(IF(0=LEN(ReferenceData!$C$40),"",ReferenceData!$C$40),"")</x:f>
        <x:v/>
      </x:c>
      <x:c r="D40" t="str">
        <x:f>IFERROR(IF(0=LEN(ReferenceData!$D$40),"",ReferenceData!$D$40),"")</x:f>
        <x:v/>
      </x:c>
      <x:c r="E40" t="str">
        <x:f>IFERROR(IF(0=LEN(ReferenceData!$E$40),"",ReferenceData!$E$40),"")</x:f>
        <x:v>Expression</x:v>
      </x:c>
      <x:c r="F40">
        <x:f ca="1">IFERROR(IF(0=LEN(ReferenceData!$F$40),"",ReferenceData!$F$40),"")</x:f>
        <x:v>-8.6567150000000002</x:v>
      </x:c>
      <x:c r="G40">
        <x:f ca="1">IFERROR(IF(0=LEN(ReferenceData!$G$40),"",ReferenceData!$G$40),"")</x:f>
        <x:v>-159.73446300000001</x:v>
      </x:c>
      <x:c r="H40">
        <x:f ca="1">IFERROR(IF(0=LEN(ReferenceData!$H$40),"",ReferenceData!$H$40),"")</x:f>
        <x:v>91.366223000000005</x:v>
      </x:c>
      <x:c r="I40">
        <x:f ca="1">IFERROR(IF(0=LEN(ReferenceData!$I$40),"",ReferenceData!$I$40),"")</x:f>
        <x:v>-0.98035700000000003</x:v>
      </x:c>
      <x:c r="J40">
        <x:f ca="1">IFERROR(IF(0=LEN(ReferenceData!$J$40),"",ReferenceData!$J$40),"")</x:f>
        <x:v>11.316909000000001</x:v>
      </x:c>
      <x:c r="K40">
        <x:f ca="1">IFERROR(IF(0=LEN(ReferenceData!$K$40),"",ReferenceData!$K$40),"")</x:f>
        <x:v>-6.39567</x:v>
      </x:c>
      <x:c r="L40">
        <x:f ca="1">IFERROR(IF(0=LEN(ReferenceData!$L$40),"",ReferenceData!$L$40),"")</x:f>
        <x:v>-10.19924</x:v>
      </x:c>
      <x:c r="M40">
        <x:f ca="1">IFERROR(IF(0=LEN(ReferenceData!$M$40),"",ReferenceData!$M$40),"")</x:f>
        <x:v>6.3025770000000003</x:v>
      </x:c>
      <x:c r="N40">
        <x:f ca="1">IFERROR(IF(0=LEN(ReferenceData!$N$40),"",ReferenceData!$N$40),"")</x:f>
        <x:v>-132.64999299999999</x:v>
      </x:c>
      <x:c r="O40">
        <x:f ca="1">IFERROR(IF(0=LEN(ReferenceData!$O$40),"",ReferenceData!$O$40),"")</x:f>
        <x:v>20.908677000000001</x:v>
      </x:c>
      <x:c r="P40">
        <x:f ca="1">IFERROR(IF(0=LEN(ReferenceData!$P$40),"",ReferenceData!$P$40),"")</x:f>
        <x:v>104.23140600000001</x:v>
      </x:c>
      <x:c r="Q40">
        <x:f ca="1">IFERROR(IF(0=LEN(ReferenceData!$Q$40),"",ReferenceData!$Q$40),"")</x:f>
        <x:v>-43.497230000000002</x:v>
      </x:c>
      <x:c r="R40">
        <x:f ca="1">IFERROR(IF(0=LEN(ReferenceData!$R$40),"",ReferenceData!$R$40),"")</x:f>
        <x:v>141.920241</x:v>
      </x:c>
      <x:c r="S40">
        <x:f ca="1">IFERROR(IF(0=LEN(ReferenceData!$S$40),"",ReferenceData!$S$40),"")</x:f>
        <x:v>1.1940649999999999</x:v>
      </x:c>
    </x:row>
    <x:row r="41" spans="1:19" x14ac:dyDescent="0.25">
      <x:c r="A41" t="str">
        <x:f>IFERROR(IF(0=LEN(ReferenceData!$A$41),"",ReferenceData!$A$41),"")</x:f>
        <x:v xml:space="preserve">        Global X MSCI China Consumer D</x:v>
      </x:c>
      <x:c r="B41" t="str">
        <x:f>IFERROR(IF(0=LEN(ReferenceData!$B$41),"",ReferenceData!$B$41),"")</x:f>
        <x:v>CHIQ US Equity</x:v>
      </x:c>
      <x:c r="C41" t="str">
        <x:f>IFERROR(IF(0=LEN(ReferenceData!$C$41),"",ReferenceData!$C$41),"")</x:f>
        <x:v/>
      </x:c>
      <x:c r="D41" t="str">
        <x:f>IFERROR(IF(0=LEN(ReferenceData!$D$41),"",ReferenceData!$D$41),"")</x:f>
        <x:v/>
      </x:c>
      <x:c r="E41" t="str">
        <x:f>IFERROR(IF(0=LEN(ReferenceData!$E$41),"",ReferenceData!$E$41),"")</x:f>
        <x:v>Expression</x:v>
      </x:c>
      <x:c r="F41">
        <x:f ca="1">IFERROR(IF(0=LEN(ReferenceData!$F$41),"",ReferenceData!$F$41),"")</x:f>
        <x:v>-4.5449999999999999</x:v>
      </x:c>
      <x:c r="G41">
        <x:f ca="1">IFERROR(IF(0=LEN(ReferenceData!$G$41),"",ReferenceData!$G$41),"")</x:f>
        <x:v>-9.6929999999999996</x:v>
      </x:c>
      <x:c r="H41">
        <x:f ca="1">IFERROR(IF(0=LEN(ReferenceData!$H$41),"",ReferenceData!$H$41),"")</x:f>
        <x:v>-1.3411999999999999</x:v>
      </x:c>
      <x:c r="I41">
        <x:f ca="1">IFERROR(IF(0=LEN(ReferenceData!$I$41),"",ReferenceData!$I$41),"")</x:f>
        <x:v>-11.592000000000001</x:v>
      </x:c>
      <x:c r="J41">
        <x:f ca="1">IFERROR(IF(0=LEN(ReferenceData!$J$41),"",ReferenceData!$J$41),"")</x:f>
        <x:v>0</x:v>
      </x:c>
      <x:c r="K41">
        <x:f ca="1">IFERROR(IF(0=LEN(ReferenceData!$K$41),"",ReferenceData!$K$41),"")</x:f>
        <x:v>-4.9382999999999999</x:v>
      </x:c>
      <x:c r="L41">
        <x:f ca="1">IFERROR(IF(0=LEN(ReferenceData!$L$41),"",ReferenceData!$L$41),"")</x:f>
        <x:v>-4.3848000000000003</x:v>
      </x:c>
      <x:c r="M41">
        <x:f ca="1">IFERROR(IF(0=LEN(ReferenceData!$M$41),"",ReferenceData!$M$41),"")</x:f>
        <x:v>0</x:v>
      </x:c>
      <x:c r="N41">
        <x:f ca="1">IFERROR(IF(0=LEN(ReferenceData!$N$41),"",ReferenceData!$N$41),"")</x:f>
        <x:v>0</x:v>
      </x:c>
      <x:c r="O41">
        <x:f ca="1">IFERROR(IF(0=LEN(ReferenceData!$O$41),"",ReferenceData!$O$41),"")</x:f>
        <x:v>9.8122000000000007</x:v>
      </x:c>
      <x:c r="P41">
        <x:f ca="1">IFERROR(IF(0=LEN(ReferenceData!$P$41),"",ReferenceData!$P$41),"")</x:f>
        <x:v>57.566200000000002</x:v>
      </x:c>
      <x:c r="Q41">
        <x:f ca="1">IFERROR(IF(0=LEN(ReferenceData!$Q$41),"",ReferenceData!$Q$41),"")</x:f>
        <x:v>3.6432000000000002</x:v>
      </x:c>
      <x:c r="R41">
        <x:f ca="1">IFERROR(IF(0=LEN(ReferenceData!$R$41),"",ReferenceData!$R$41),"")</x:f>
        <x:v>-9.0208999999999993</x:v>
      </x:c>
      <x:c r="S41">
        <x:f ca="1">IFERROR(IF(0=LEN(ReferenceData!$S$41),"",ReferenceData!$S$41),"")</x:f>
        <x:v>-11.051299999999999</x:v>
      </x:c>
    </x:row>
    <x:row r="42" spans="1:19" x14ac:dyDescent="0.25">
      <x:c r="A42" t="str">
        <x:f>IFERROR(IF(0=LEN(ReferenceData!$A$42),"",ReferenceData!$A$42),"")</x:f>
        <x:v xml:space="preserve">        VanEck Retail ETF</x:v>
      </x:c>
      <x:c r="B42" t="str">
        <x:f>IFERROR(IF(0=LEN(ReferenceData!$B$42),"",ReferenceData!$B$42),"")</x:f>
        <x:v>RTH US Equity</x:v>
      </x:c>
      <x:c r="C42" t="str">
        <x:f>IFERROR(IF(0=LEN(ReferenceData!$C$42),"",ReferenceData!$C$42),"")</x:f>
        <x:v/>
      </x:c>
      <x:c r="D42" t="str">
        <x:f>IFERROR(IF(0=LEN(ReferenceData!$D$42),"",ReferenceData!$D$42),"")</x:f>
        <x:v/>
      </x:c>
      <x:c r="E42" t="str">
        <x:f>IFERROR(IF(0=LEN(ReferenceData!$E$42),"",ReferenceData!$E$42),"")</x:f>
        <x:v>Expression</x:v>
      </x:c>
      <x:c r="F42">
        <x:f ca="1">IFERROR(IF(0=LEN(ReferenceData!$F$42),"",ReferenceData!$F$42),"")</x:f>
        <x:v>0</x:v>
      </x:c>
      <x:c r="G42">
        <x:f ca="1">IFERROR(IF(0=LEN(ReferenceData!$G$42),"",ReferenceData!$G$42),"")</x:f>
        <x:v>8.1552030000000002</x:v>
      </x:c>
      <x:c r="H42">
        <x:f ca="1">IFERROR(IF(0=LEN(ReferenceData!$H$42),"",ReferenceData!$H$42),"")</x:f>
        <x:v>8.8662500000000009</x:v>
      </x:c>
      <x:c r="I42">
        <x:f ca="1">IFERROR(IF(0=LEN(ReferenceData!$I$42),"",ReferenceData!$I$42),"")</x:f>
        <x:v>0</x:v>
      </x:c>
      <x:c r="J42">
        <x:f ca="1">IFERROR(IF(0=LEN(ReferenceData!$J$42),"",ReferenceData!$J$42),"")</x:f>
        <x:v>0</x:v>
      </x:c>
      <x:c r="K42">
        <x:f ca="1">IFERROR(IF(0=LEN(ReferenceData!$K$42),"",ReferenceData!$K$42),"")</x:f>
        <x:v>0</x:v>
      </x:c>
      <x:c r="L42">
        <x:f ca="1">IFERROR(IF(0=LEN(ReferenceData!$L$42),"",ReferenceData!$L$42),"")</x:f>
        <x:v>-8.1361760000000007</x:v>
      </x:c>
      <x:c r="M42">
        <x:f ca="1">IFERROR(IF(0=LEN(ReferenceData!$M$42),"",ReferenceData!$M$42),"")</x:f>
        <x:v>0</x:v>
      </x:c>
      <x:c r="N42">
        <x:f ca="1">IFERROR(IF(0=LEN(ReferenceData!$N$42),"",ReferenceData!$N$42),"")</x:f>
        <x:v>-4.5599999999999998E-3</x:v>
      </x:c>
      <x:c r="O42">
        <x:f ca="1">IFERROR(IF(0=LEN(ReferenceData!$O$42),"",ReferenceData!$O$42),"")</x:f>
        <x:v>0</x:v>
      </x:c>
      <x:c r="P42">
        <x:f ca="1">IFERROR(IF(0=LEN(ReferenceData!$P$42),"",ReferenceData!$P$42),"")</x:f>
        <x:v>0</x:v>
      </x:c>
      <x:c r="Q42">
        <x:f ca="1">IFERROR(IF(0=LEN(ReferenceData!$Q$42),"",ReferenceData!$Q$42),"")</x:f>
        <x:v>0</x:v>
      </x:c>
      <x:c r="R42">
        <x:f ca="1">IFERROR(IF(0=LEN(ReferenceData!$R$42),"",ReferenceData!$R$42),"")</x:f>
        <x:v>-16.153072999999999</x:v>
      </x:c>
      <x:c r="S42">
        <x:f ca="1">IFERROR(IF(0=LEN(ReferenceData!$S$42),"",ReferenceData!$S$42),"")</x:f>
        <x:v>7.9092750000000001</x:v>
      </x:c>
    </x:row>
    <x:row r="43" spans="1:19" x14ac:dyDescent="0.25">
      <x:c r="A43" t="str">
        <x:f>IFERROR(IF(0=LEN(ReferenceData!$A$43),"",ReferenceData!$A$43),"")</x:f>
        <x:v xml:space="preserve">        Invesco S&amp;P SmallCap Consumer</x:v>
      </x:c>
      <x:c r="B43" t="str">
        <x:f>IFERROR(IF(0=LEN(ReferenceData!$B$43),"",ReferenceData!$B$43),"")</x:f>
        <x:v>PSCD US Equity</x:v>
      </x:c>
      <x:c r="C43" t="str">
        <x:f>IFERROR(IF(0=LEN(ReferenceData!$C$43),"",ReferenceData!$C$43),"")</x:f>
        <x:v/>
      </x:c>
      <x:c r="D43" t="str">
        <x:f>IFERROR(IF(0=LEN(ReferenceData!$D$43),"",ReferenceData!$D$43),"")</x:f>
        <x:v/>
      </x:c>
      <x:c r="E43" t="str">
        <x:f>IFERROR(IF(0=LEN(ReferenceData!$E$43),"",ReferenceData!$E$43),"")</x:f>
        <x:v>Expression</x:v>
      </x:c>
      <x:c r="F43">
        <x:f ca="1">IFERROR(IF(0=LEN(ReferenceData!$F$43),"",ReferenceData!$F$43),"")</x:f>
        <x:v>0</x:v>
      </x:c>
      <x:c r="G43">
        <x:f ca="1">IFERROR(IF(0=LEN(ReferenceData!$G$43),"",ReferenceData!$G$43),"")</x:f>
        <x:v>0</x:v>
      </x:c>
      <x:c r="H43">
        <x:f ca="1">IFERROR(IF(0=LEN(ReferenceData!$H$43),"",ReferenceData!$H$43),"")</x:f>
        <x:v>4.2478550000000004</x:v>
      </x:c>
      <x:c r="I43">
        <x:f ca="1">IFERROR(IF(0=LEN(ReferenceData!$I$43),"",ReferenceData!$I$43),"")</x:f>
        <x:v>0</x:v>
      </x:c>
      <x:c r="J43">
        <x:f ca="1">IFERROR(IF(0=LEN(ReferenceData!$J$43),"",ReferenceData!$J$43),"")</x:f>
        <x:v>-0.95531900000000003</x:v>
      </x:c>
      <x:c r="K43">
        <x:f ca="1">IFERROR(IF(0=LEN(ReferenceData!$K$43),"",ReferenceData!$K$43),"")</x:f>
        <x:v>0.86497500000000005</x:v>
      </x:c>
      <x:c r="L43">
        <x:f ca="1">IFERROR(IF(0=LEN(ReferenceData!$L$43),"",ReferenceData!$L$43),"")</x:f>
        <x:v>0</x:v>
      </x:c>
      <x:c r="M43">
        <x:f ca="1">IFERROR(IF(0=LEN(ReferenceData!$M$43),"",ReferenceData!$M$43),"")</x:f>
        <x:v>-2.565979</x:v>
      </x:c>
      <x:c r="N43">
        <x:f ca="1">IFERROR(IF(0=LEN(ReferenceData!$N$43),"",ReferenceData!$N$43),"")</x:f>
        <x:v>2.7093310000000002</x:v>
      </x:c>
      <x:c r="O43">
        <x:f ca="1">IFERROR(IF(0=LEN(ReferenceData!$O$43),"",ReferenceData!$O$43),"")</x:f>
        <x:v>0.95310600000000001</x:v>
      </x:c>
      <x:c r="P43">
        <x:f ca="1">IFERROR(IF(0=LEN(ReferenceData!$P$43),"",ReferenceData!$P$43),"")</x:f>
        <x:v>-0.87331000000000003</x:v>
      </x:c>
      <x:c r="Q43">
        <x:f ca="1">IFERROR(IF(0=LEN(ReferenceData!$Q$43),"",ReferenceData!$Q$43),"")</x:f>
        <x:v>-0.77210299999999998</x:v>
      </x:c>
      <x:c r="R43">
        <x:f ca="1">IFERROR(IF(0=LEN(ReferenceData!$R$43),"",ReferenceData!$R$43),"")</x:f>
        <x:v>0</x:v>
      </x:c>
      <x:c r="S43">
        <x:f ca="1">IFERROR(IF(0=LEN(ReferenceData!$S$43),"",ReferenceData!$S$43),"")</x:f>
        <x:v>0</x:v>
      </x:c>
    </x:row>
    <x:row r="44" spans="1:19" x14ac:dyDescent="0.25">
      <x:c r="A44" t="str">
        <x:f>IFERROR(IF(0=LEN(ReferenceData!$A$44),"",ReferenceData!$A$44),"")</x:f>
        <x:v xml:space="preserve">        John Hancock Multi-Factor Cons</x:v>
      </x:c>
      <x:c r="B44" t="str">
        <x:f>IFERROR(IF(0=LEN(ReferenceData!$B$44),"",ReferenceData!$B$44),"")</x:f>
        <x:v>JHMC US Equity</x:v>
      </x:c>
      <x:c r="C44" t="str">
        <x:f>IFERROR(IF(0=LEN(ReferenceData!$C$44),"",ReferenceData!$C$44),"")</x:f>
        <x:v/>
      </x:c>
      <x:c r="D44" t="str">
        <x:f>IFERROR(IF(0=LEN(ReferenceData!$D$44),"",ReferenceData!$D$44),"")</x:f>
        <x:v/>
      </x:c>
      <x:c r="E44" t="str">
        <x:f>IFERROR(IF(0=LEN(ReferenceData!$E$44),"",ReferenceData!$E$44),"")</x:f>
        <x:v>Expression</x:v>
      </x:c>
      <x:c r="F44" t="str">
        <x:f ca="1">IFERROR(IF(0=LEN(ReferenceData!$F$44),"",ReferenceData!$F$44),"")</x:f>
        <x:v/>
      </x:c>
      <x:c r="G44" t="str">
        <x:f ca="1">IFERROR(IF(0=LEN(ReferenceData!$G$44),"",ReferenceData!$G$44),"")</x:f>
        <x:v/>
      </x:c>
      <x:c r="H44" t="str">
        <x:f ca="1">IFERROR(IF(0=LEN(ReferenceData!$H$44),"",ReferenceData!$H$44),"")</x:f>
        <x:v/>
      </x:c>
      <x:c r="I44" t="str">
        <x:f ca="1">IFERROR(IF(0=LEN(ReferenceData!$I$44),"",ReferenceData!$I$44),"")</x:f>
        <x:v/>
      </x:c>
      <x:c r="J44" t="str">
        <x:f ca="1">IFERROR(IF(0=LEN(ReferenceData!$J$44),"",ReferenceData!$J$44),"")</x:f>
        <x:v/>
      </x:c>
      <x:c r="K44" t="str">
        <x:f ca="1">IFERROR(IF(0=LEN(ReferenceData!$K$44),"",ReferenceData!$K$44),"")</x:f>
        <x:v/>
      </x:c>
      <x:c r="L44" t="str">
        <x:f ca="1">IFERROR(IF(0=LEN(ReferenceData!$L$44),"",ReferenceData!$L$44),"")</x:f>
        <x:v/>
      </x:c>
      <x:c r="M44" t="str">
        <x:f ca="1">IFERROR(IF(0=LEN(ReferenceData!$M$44),"",ReferenceData!$M$44),"")</x:f>
        <x:v/>
      </x:c>
      <x:c r="N44" t="str">
        <x:f ca="1">IFERROR(IF(0=LEN(ReferenceData!$N$44),"",ReferenceData!$N$44),"")</x:f>
        <x:v/>
      </x:c>
      <x:c r="O44" t="str">
        <x:f ca="1">IFERROR(IF(0=LEN(ReferenceData!$O$44),"",ReferenceData!$O$44),"")</x:f>
        <x:v/>
      </x:c>
      <x:c r="P44" t="str">
        <x:f ca="1">IFERROR(IF(0=LEN(ReferenceData!$P$44),"",ReferenceData!$P$44),"")</x:f>
        <x:v/>
      </x:c>
      <x:c r="Q44" t="str">
        <x:f ca="1">IFERROR(IF(0=LEN(ReferenceData!$Q$44),"",ReferenceData!$Q$44),"")</x:f>
        <x:v/>
      </x:c>
      <x:c r="R44" t="str">
        <x:f ca="1">IFERROR(IF(0=LEN(ReferenceData!$R$44),"",ReferenceData!$R$44),"")</x:f>
        <x:v/>
      </x:c>
      <x:c r="S44">
        <x:f ca="1">IFERROR(IF(0=LEN(ReferenceData!$S$44),"",ReferenceData!$S$44),"")</x:f>
        <x:v>-3.0931679999999999</x:v>
      </x:c>
    </x:row>
    <x:row r="45" spans="1:19" x14ac:dyDescent="0.25">
      <x:c r="A45" t="str">
        <x:f>IFERROR(IF(0=LEN(ReferenceData!$A$45),"",ReferenceData!$A$45),"")</x:f>
        <x:v xml:space="preserve">        Direxion Daily Retail Bull 3X</x:v>
      </x:c>
      <x:c r="B45" t="str">
        <x:f>IFERROR(IF(0=LEN(ReferenceData!$B$45),"",ReferenceData!$B$45),"")</x:f>
        <x:v>RETL US Equity</x:v>
      </x:c>
      <x:c r="C45" t="str">
        <x:f>IFERROR(IF(0=LEN(ReferenceData!$C$45),"",ReferenceData!$C$45),"")</x:f>
        <x:v/>
      </x:c>
      <x:c r="D45" t="str">
        <x:f>IFERROR(IF(0=LEN(ReferenceData!$D$45),"",ReferenceData!$D$45),"")</x:f>
        <x:v/>
      </x:c>
      <x:c r="E45" t="str">
        <x:f>IFERROR(IF(0=LEN(ReferenceData!$E$45),"",ReferenceData!$E$45),"")</x:f>
        <x:v>Expression</x:v>
      </x:c>
      <x:c r="F45">
        <x:f ca="1">IFERROR(IF(0=LEN(ReferenceData!$F$45),"",ReferenceData!$F$45),"")</x:f>
        <x:v>-0.31279400000000002</x:v>
      </x:c>
      <x:c r="G45">
        <x:f ca="1">IFERROR(IF(0=LEN(ReferenceData!$G$45),"",ReferenceData!$G$45),"")</x:f>
        <x:v>1.8751960000000001</x:v>
      </x:c>
      <x:c r="H45">
        <x:f ca="1">IFERROR(IF(0=LEN(ReferenceData!$H$45),"",ReferenceData!$H$45),"")</x:f>
        <x:v>0.57487699999999997</x:v>
      </x:c>
      <x:c r="I45">
        <x:f ca="1">IFERROR(IF(0=LEN(ReferenceData!$I$45),"",ReferenceData!$I$45),"")</x:f>
        <x:v>-4.0722889999999996</x:v>
      </x:c>
      <x:c r="J45">
        <x:f ca="1">IFERROR(IF(0=LEN(ReferenceData!$J$45),"",ReferenceData!$J$45),"")</x:f>
        <x:v>-4.2503890000000002</x:v>
      </x:c>
      <x:c r="K45">
        <x:f ca="1">IFERROR(IF(0=LEN(ReferenceData!$K$45),"",ReferenceData!$K$45),"")</x:f>
        <x:v>-0.37421900000000002</x:v>
      </x:c>
      <x:c r="L45">
        <x:f ca="1">IFERROR(IF(0=LEN(ReferenceData!$L$45),"",ReferenceData!$L$45),"")</x:f>
        <x:v>7.7794189999999999</x:v>
      </x:c>
      <x:c r="M45">
        <x:f ca="1">IFERROR(IF(0=LEN(ReferenceData!$M$45),"",ReferenceData!$M$45),"")</x:f>
        <x:v>2.4319480000000002</x:v>
      </x:c>
      <x:c r="N45">
        <x:f ca="1">IFERROR(IF(0=LEN(ReferenceData!$N$45),"",ReferenceData!$N$45),"")</x:f>
        <x:v>5.4308319999999997</x:v>
      </x:c>
      <x:c r="O45">
        <x:f ca="1">IFERROR(IF(0=LEN(ReferenceData!$O$45),"",ReferenceData!$O$45),"")</x:f>
        <x:v>-1.8599999999999998E-2</x:v>
      </x:c>
      <x:c r="P45">
        <x:f ca="1">IFERROR(IF(0=LEN(ReferenceData!$P$45),"",ReferenceData!$P$45),"")</x:f>
        <x:v>-4.3498099999999997</x:v>
      </x:c>
      <x:c r="Q45">
        <x:f ca="1">IFERROR(IF(0=LEN(ReferenceData!$Q$45),"",ReferenceData!$Q$45),"")</x:f>
        <x:v>-1.28152</x:v>
      </x:c>
      <x:c r="R45">
        <x:f ca="1">IFERROR(IF(0=LEN(ReferenceData!$R$45),"",ReferenceData!$R$45),"")</x:f>
        <x:v>0.61399400000000004</x:v>
      </x:c>
      <x:c r="S45">
        <x:f ca="1">IFERROR(IF(0=LEN(ReferenceData!$S$45),"",ReferenceData!$S$45),"")</x:f>
        <x:v>-1.772327</x:v>
      </x:c>
    </x:row>
    <x:row r="46" spans="1:19" x14ac:dyDescent="0.25">
      <x:c r="A46" t="str">
        <x:f>IFERROR(IF(0=LEN(ReferenceData!$A$46),"",ReferenceData!$A$46),"")</x:f>
        <x:v xml:space="preserve">        Invesco DWA Consumer Cyclicals</x:v>
      </x:c>
      <x:c r="B46" t="str">
        <x:f>IFERROR(IF(0=LEN(ReferenceData!$B$46),"",ReferenceData!$B$46),"")</x:f>
        <x:v>PEZ US Equity</x:v>
      </x:c>
      <x:c r="C46" t="str">
        <x:f>IFERROR(IF(0=LEN(ReferenceData!$C$46),"",ReferenceData!$C$46),"")</x:f>
        <x:v/>
      </x:c>
      <x:c r="D46" t="str">
        <x:f>IFERROR(IF(0=LEN(ReferenceData!$D$46),"",ReferenceData!$D$46),"")</x:f>
        <x:v/>
      </x:c>
      <x:c r="E46" t="str">
        <x:f>IFERROR(IF(0=LEN(ReferenceData!$E$46),"",ReferenceData!$E$46),"")</x:f>
        <x:v>Expression</x:v>
      </x:c>
      <x:c r="F46">
        <x:f ca="1">IFERROR(IF(0=LEN(ReferenceData!$F$46),"",ReferenceData!$F$46),"")</x:f>
        <x:v>0</x:v>
      </x:c>
      <x:c r="G46">
        <x:f ca="1">IFERROR(IF(0=LEN(ReferenceData!$G$46),"",ReferenceData!$G$46),"")</x:f>
        <x:v>-1.242702</x:v>
      </x:c>
      <x:c r="H46">
        <x:f ca="1">IFERROR(IF(0=LEN(ReferenceData!$H$46),"",ReferenceData!$H$46),"")</x:f>
        <x:v>0</x:v>
      </x:c>
      <x:c r="I46">
        <x:f ca="1">IFERROR(IF(0=LEN(ReferenceData!$I$46),"",ReferenceData!$I$46),"")</x:f>
        <x:v>-0.66975700000000005</x:v>
      </x:c>
      <x:c r="J46">
        <x:f ca="1">IFERROR(IF(0=LEN(ReferenceData!$J$46),"",ReferenceData!$J$46),"")</x:f>
        <x:v>-0.68183800000000006</x:v>
      </x:c>
      <x:c r="K46">
        <x:f ca="1">IFERROR(IF(0=LEN(ReferenceData!$K$46),"",ReferenceData!$K$46),"")</x:f>
        <x:v>0</x:v>
      </x:c>
      <x:c r="L46">
        <x:f ca="1">IFERROR(IF(0=LEN(ReferenceData!$L$46),"",ReferenceData!$L$46),"")</x:f>
        <x:v>-1.3054429999999999</x:v>
      </x:c>
      <x:c r="M46">
        <x:f ca="1">IFERROR(IF(0=LEN(ReferenceData!$M$46),"",ReferenceData!$M$46),"")</x:f>
        <x:v>0</x:v>
      </x:c>
      <x:c r="N46">
        <x:f ca="1">IFERROR(IF(0=LEN(ReferenceData!$N$46),"",ReferenceData!$N$46),"")</x:f>
        <x:v>-0.68723800000000002</x:v>
      </x:c>
      <x:c r="O46">
        <x:f ca="1">IFERROR(IF(0=LEN(ReferenceData!$O$46),"",ReferenceData!$O$46),"")</x:f>
        <x:v>-1.3934979999999999</x:v>
      </x:c>
      <x:c r="P46">
        <x:f ca="1">IFERROR(IF(0=LEN(ReferenceData!$P$46),"",ReferenceData!$P$46),"")</x:f>
        <x:v>-0.67196</x:v>
      </x:c>
      <x:c r="Q46">
        <x:f ca="1">IFERROR(IF(0=LEN(ReferenceData!$Q$46),"",ReferenceData!$Q$46),"")</x:f>
        <x:v>-0.66770700000000005</x:v>
      </x:c>
      <x:c r="R46">
        <x:f ca="1">IFERROR(IF(0=LEN(ReferenceData!$R$46),"",ReferenceData!$R$46),"")</x:f>
        <x:v>0</x:v>
      </x:c>
      <x:c r="S46">
        <x:f ca="1">IFERROR(IF(0=LEN(ReferenceData!$S$46),"",ReferenceData!$S$46),"")</x:f>
        <x:v>-1.2217849999999999</x:v>
      </x:c>
    </x:row>
    <x:row r="47" spans="1:19" x14ac:dyDescent="0.25">
      <x:c r="A47" t="str">
        <x:f>IFERROR(IF(0=LEN(ReferenceData!$A$47),"",ReferenceData!$A$47),"")</x:f>
        <x:v xml:space="preserve">        ProShares Ultra Consumer Discr</x:v>
      </x:c>
      <x:c r="B47" t="str">
        <x:f>IFERROR(IF(0=LEN(ReferenceData!$B$47),"",ReferenceData!$B$47),"")</x:f>
        <x:v>UCC US Equity</x:v>
      </x:c>
      <x:c r="C47" t="str">
        <x:f>IFERROR(IF(0=LEN(ReferenceData!$C$47),"",ReferenceData!$C$47),"")</x:f>
        <x:v/>
      </x:c>
      <x:c r="D47" t="str">
        <x:f>IFERROR(IF(0=LEN(ReferenceData!$D$47),"",ReferenceData!$D$47),"")</x:f>
        <x:v/>
      </x:c>
      <x:c r="E47" t="str">
        <x:f>IFERROR(IF(0=LEN(ReferenceData!$E$47),"",ReferenceData!$E$47),"")</x:f>
        <x:v>Expression</x:v>
      </x:c>
      <x:c r="F47">
        <x:f ca="1">IFERROR(IF(0=LEN(ReferenceData!$F$47),"",ReferenceData!$F$47),"")</x:f>
        <x:v>-1.2643759999999999</x:v>
      </x:c>
      <x:c r="G47">
        <x:f ca="1">IFERROR(IF(0=LEN(ReferenceData!$G$47),"",ReferenceData!$G$47),"")</x:f>
        <x:v>-1.6055060000000001</x:v>
      </x:c>
      <x:c r="H47">
        <x:f ca="1">IFERROR(IF(0=LEN(ReferenceData!$H$47),"",ReferenceData!$H$47),"")</x:f>
        <x:v>-1.6499509999999999</x:v>
      </x:c>
      <x:c r="I47">
        <x:f ca="1">IFERROR(IF(0=LEN(ReferenceData!$I$47),"",ReferenceData!$I$47),"")</x:f>
        <x:v>1.61653</x:v>
      </x:c>
      <x:c r="J47">
        <x:f ca="1">IFERROR(IF(0=LEN(ReferenceData!$J$47),"",ReferenceData!$J$47),"")</x:f>
        <x:v>0.70038199999999995</x:v>
      </x:c>
      <x:c r="K47">
        <x:f ca="1">IFERROR(IF(0=LEN(ReferenceData!$K$47),"",ReferenceData!$K$47),"")</x:f>
        <x:v>4.2009999999999999E-3</x:v>
      </x:c>
      <x:c r="L47">
        <x:f ca="1">IFERROR(IF(0=LEN(ReferenceData!$L$47),"",ReferenceData!$L$47),"")</x:f>
        <x:v>0</x:v>
      </x:c>
      <x:c r="M47">
        <x:f ca="1">IFERROR(IF(0=LEN(ReferenceData!$M$47),"",ReferenceData!$M$47),"")</x:f>
        <x:v>-0.26305699999999999</x:v>
      </x:c>
      <x:c r="N47">
        <x:f ca="1">IFERROR(IF(0=LEN(ReferenceData!$N$47),"",ReferenceData!$N$47),"")</x:f>
        <x:v>0.248525</x:v>
      </x:c>
      <x:c r="O47">
        <x:f ca="1">IFERROR(IF(0=LEN(ReferenceData!$O$47),"",ReferenceData!$O$47),"")</x:f>
        <x:v>1.9802439999999999</x:v>
      </x:c>
      <x:c r="P47">
        <x:f ca="1">IFERROR(IF(0=LEN(ReferenceData!$P$47),"",ReferenceData!$P$47),"")</x:f>
        <x:v>0</x:v>
      </x:c>
      <x:c r="Q47">
        <x:f ca="1">IFERROR(IF(0=LEN(ReferenceData!$Q$47),"",ReferenceData!$Q$47),"")</x:f>
        <x:v>-0.45169100000000001</x:v>
      </x:c>
      <x:c r="R47">
        <x:f ca="1">IFERROR(IF(0=LEN(ReferenceData!$R$47),"",ReferenceData!$R$47),"")</x:f>
        <x:v>0</x:v>
      </x:c>
      <x:c r="S47">
        <x:f ca="1">IFERROR(IF(0=LEN(ReferenceData!$S$47),"",ReferenceData!$S$47),"")</x:f>
        <x:v>0</x:v>
      </x:c>
    </x:row>
    <x:row r="48" spans="1:19" x14ac:dyDescent="0.25">
      <x:c r="A48" t="str">
        <x:f>IFERROR(IF(0=LEN(ReferenceData!$A$48),"",ReferenceData!$A$48),"")</x:f>
        <x:v xml:space="preserve">        First Trust S-Network Future V</x:v>
      </x:c>
      <x:c r="B48" t="str">
        <x:f>IFERROR(IF(0=LEN(ReferenceData!$B$48),"",ReferenceData!$B$48),"")</x:f>
        <x:v>CARZ US Equity</x:v>
      </x:c>
      <x:c r="C48" t="str">
        <x:f>IFERROR(IF(0=LEN(ReferenceData!$C$48),"",ReferenceData!$C$48),"")</x:f>
        <x:v/>
      </x:c>
      <x:c r="D48" t="str">
        <x:f>IFERROR(IF(0=LEN(ReferenceData!$D$48),"",ReferenceData!$D$48),"")</x:f>
        <x:v/>
      </x:c>
      <x:c r="E48" t="str">
        <x:f>IFERROR(IF(0=LEN(ReferenceData!$E$48),"",ReferenceData!$E$48),"")</x:f>
        <x:v>Expression</x:v>
      </x:c>
      <x:c r="F48">
        <x:f ca="1">IFERROR(IF(0=LEN(ReferenceData!$F$48),"",ReferenceData!$F$48),"")</x:f>
        <x:v>0</x:v>
      </x:c>
      <x:c r="G48">
        <x:f ca="1">IFERROR(IF(0=LEN(ReferenceData!$G$48),"",ReferenceData!$G$48),"")</x:f>
        <x:v>0</x:v>
      </x:c>
      <x:c r="H48">
        <x:f ca="1">IFERROR(IF(0=LEN(ReferenceData!$H$48),"",ReferenceData!$H$48),"")</x:f>
        <x:v>-5.4035320000000002</x:v>
      </x:c>
      <x:c r="I48">
        <x:f ca="1">IFERROR(IF(0=LEN(ReferenceData!$I$48),"",ReferenceData!$I$48),"")</x:f>
        <x:v>0</x:v>
      </x:c>
      <x:c r="J48">
        <x:f ca="1">IFERROR(IF(0=LEN(ReferenceData!$J$48),"",ReferenceData!$J$48),"")</x:f>
        <x:v>11.42</x:v>
      </x:c>
      <x:c r="K48">
        <x:f ca="1">IFERROR(IF(0=LEN(ReferenceData!$K$48),"",ReferenceData!$K$48),"")</x:f>
        <x:v>-5.5090000000000003</x:v>
      </x:c>
      <x:c r="L48">
        <x:f ca="1">IFERROR(IF(0=LEN(ReferenceData!$L$48),"",ReferenceData!$L$48),"")</x:f>
        <x:v>0</x:v>
      </x:c>
      <x:c r="M48">
        <x:f ca="1">IFERROR(IF(0=LEN(ReferenceData!$M$48),"",ReferenceData!$M$48),"")</x:f>
        <x:v>0</x:v>
      </x:c>
      <x:c r="N48">
        <x:f ca="1">IFERROR(IF(0=LEN(ReferenceData!$N$48),"",ReferenceData!$N$48),"")</x:f>
        <x:v>-7.2785000000000002</x:v>
      </x:c>
      <x:c r="O48">
        <x:f ca="1">IFERROR(IF(0=LEN(ReferenceData!$O$48),"",ReferenceData!$O$48),"")</x:f>
        <x:v>0</x:v>
      </x:c>
      <x:c r="P48">
        <x:f ca="1">IFERROR(IF(0=LEN(ReferenceData!$P$48),"",ReferenceData!$P$48),"")</x:f>
        <x:v>0</x:v>
      </x:c>
      <x:c r="Q48">
        <x:f ca="1">IFERROR(IF(0=LEN(ReferenceData!$Q$48),"",ReferenceData!$Q$48),"")</x:f>
        <x:v>0</x:v>
      </x:c>
      <x:c r="R48">
        <x:f ca="1">IFERROR(IF(0=LEN(ReferenceData!$R$48),"",ReferenceData!$R$48),"")</x:f>
        <x:v>-2.0673110000000001</x:v>
      </x:c>
      <x:c r="S48">
        <x:f ca="1">IFERROR(IF(0=LEN(ReferenceData!$S$48),"",ReferenceData!$S$48),"")</x:f>
        <x:v>0</x:v>
      </x:c>
    </x:row>
    <x:row r="49" spans="1:19" x14ac:dyDescent="0.25">
      <x:c r="A49" t="str">
        <x:f>IFERROR(IF(0=LEN(ReferenceData!$A$49),"",ReferenceData!$A$49),"")</x:f>
        <x:v xml:space="preserve">        SPDR S&amp;P International Consume</x:v>
      </x:c>
      <x:c r="B49" t="str">
        <x:f>IFERROR(IF(0=LEN(ReferenceData!$B$49),"",ReferenceData!$B$49),"")</x:f>
        <x:v>IPD US Equity</x:v>
      </x:c>
      <x:c r="C49" t="str">
        <x:f>IFERROR(IF(0=LEN(ReferenceData!$C$49),"",ReferenceData!$C$49),"")</x:f>
        <x:v/>
      </x:c>
      <x:c r="D49" t="str">
        <x:f>IFERROR(IF(0=LEN(ReferenceData!$D$49),"",ReferenceData!$D$49),"")</x:f>
        <x:v/>
      </x:c>
      <x:c r="E49" t="str">
        <x:f>IFERROR(IF(0=LEN(ReferenceData!$E$49),"",ReferenceData!$E$49),"")</x:f>
        <x:v>Expression</x:v>
      </x:c>
      <x:c r="F49" t="str">
        <x:f ca="1">IFERROR(IF(0=LEN(ReferenceData!$F$49),"",ReferenceData!$F$49),"")</x:f>
        <x:v/>
      </x:c>
      <x:c r="G49" t="str">
        <x:f ca="1">IFERROR(IF(0=LEN(ReferenceData!$G$49),"",ReferenceData!$G$49),"")</x:f>
        <x:v/>
      </x:c>
      <x:c r="H49" t="str">
        <x:f ca="1">IFERROR(IF(0=LEN(ReferenceData!$H$49),"",ReferenceData!$H$49),"")</x:f>
        <x:v/>
      </x:c>
      <x:c r="I49" t="str">
        <x:f ca="1">IFERROR(IF(0=LEN(ReferenceData!$I$49),"",ReferenceData!$I$49),"")</x:f>
        <x:v/>
      </x:c>
      <x:c r="J49" t="str">
        <x:f ca="1">IFERROR(IF(0=LEN(ReferenceData!$J$49),"",ReferenceData!$J$49),"")</x:f>
        <x:v/>
      </x:c>
      <x:c r="K49" t="str">
        <x:f ca="1">IFERROR(IF(0=LEN(ReferenceData!$K$49),"",ReferenceData!$K$49),"")</x:f>
        <x:v/>
      </x:c>
      <x:c r="L49" t="str">
        <x:f ca="1">IFERROR(IF(0=LEN(ReferenceData!$L$49),"",ReferenceData!$L$49),"")</x:f>
        <x:v/>
      </x:c>
      <x:c r="M49" t="str">
        <x:f ca="1">IFERROR(IF(0=LEN(ReferenceData!$M$49),"",ReferenceData!$M$49),"")</x:f>
        <x:v/>
      </x:c>
      <x:c r="N49" t="str">
        <x:f ca="1">IFERROR(IF(0=LEN(ReferenceData!$N$49),"",ReferenceData!$N$49),"")</x:f>
        <x:v/>
      </x:c>
      <x:c r="O49" t="str">
        <x:f ca="1">IFERROR(IF(0=LEN(ReferenceData!$O$49),"",ReferenceData!$O$49),"")</x:f>
        <x:v/>
      </x:c>
      <x:c r="P49" t="str">
        <x:f ca="1">IFERROR(IF(0=LEN(ReferenceData!$P$49),"",ReferenceData!$P$49),"")</x:f>
        <x:v/>
      </x:c>
      <x:c r="Q49" t="str">
        <x:f ca="1">IFERROR(IF(0=LEN(ReferenceData!$Q$49),"",ReferenceData!$Q$49),"")</x:f>
        <x:v/>
      </x:c>
      <x:c r="R49" t="str">
        <x:f ca="1">IFERROR(IF(0=LEN(ReferenceData!$R$49),"",ReferenceData!$R$49),"")</x:f>
        <x:v/>
      </x:c>
      <x:c r="S49" t="str">
        <x:f ca="1">IFERROR(IF(0=LEN(ReferenceData!$S$49),"",ReferenceData!$S$49),"")</x:f>
        <x:v/>
      </x:c>
    </x:row>
    <x:row r="50" spans="1:19" x14ac:dyDescent="0.25">
      <x:c r="A50" t="str">
        <x:f>IFERROR(IF(0=LEN(ReferenceData!$A$50),"",ReferenceData!$A$50),"")</x:f>
        <x:v xml:space="preserve">        Invesco Dynamic Retail ETF</x:v>
      </x:c>
      <x:c r="B50" t="str">
        <x:f>IFERROR(IF(0=LEN(ReferenceData!$B$50),"",ReferenceData!$B$50),"")</x:f>
        <x:v>PMR US Equity</x:v>
      </x:c>
      <x:c r="C50" t="str">
        <x:f>IFERROR(IF(0=LEN(ReferenceData!$C$50),"",ReferenceData!$C$50),"")</x:f>
        <x:v/>
      </x:c>
      <x:c r="D50" t="str">
        <x:f>IFERROR(IF(0=LEN(ReferenceData!$D$50),"",ReferenceData!$D$50),"")</x:f>
        <x:v/>
      </x:c>
      <x:c r="E50" t="str">
        <x:f>IFERROR(IF(0=LEN(ReferenceData!$E$50),"",ReferenceData!$E$50),"")</x:f>
        <x:v>Expression</x:v>
      </x:c>
      <x:c r="F50" t="str">
        <x:f ca="1">IFERROR(IF(0=LEN(ReferenceData!$F$50),"",ReferenceData!$F$50),"")</x:f>
        <x:v/>
      </x:c>
      <x:c r="G50" t="str">
        <x:f ca="1">IFERROR(IF(0=LEN(ReferenceData!$G$50),"",ReferenceData!$G$50),"")</x:f>
        <x:v/>
      </x:c>
      <x:c r="H50" t="str">
        <x:f ca="1">IFERROR(IF(0=LEN(ReferenceData!$H$50),"",ReferenceData!$H$50),"")</x:f>
        <x:v/>
      </x:c>
      <x:c r="I50" t="str">
        <x:f ca="1">IFERROR(IF(0=LEN(ReferenceData!$I$50),"",ReferenceData!$I$50),"")</x:f>
        <x:v/>
      </x:c>
      <x:c r="J50" t="str">
        <x:f ca="1">IFERROR(IF(0=LEN(ReferenceData!$J$50),"",ReferenceData!$J$50),"")</x:f>
        <x:v/>
      </x:c>
      <x:c r="K50" t="str">
        <x:f ca="1">IFERROR(IF(0=LEN(ReferenceData!$K$50),"",ReferenceData!$K$50),"")</x:f>
        <x:v/>
      </x:c>
      <x:c r="L50" t="str">
        <x:f ca="1">IFERROR(IF(0=LEN(ReferenceData!$L$50),"",ReferenceData!$L$50),"")</x:f>
        <x:v/>
      </x:c>
      <x:c r="M50" t="str">
        <x:f ca="1">IFERROR(IF(0=LEN(ReferenceData!$M$50),"",ReferenceData!$M$50),"")</x:f>
        <x:v/>
      </x:c>
      <x:c r="N50" t="str">
        <x:f ca="1">IFERROR(IF(0=LEN(ReferenceData!$N$50),"",ReferenceData!$N$50),"")</x:f>
        <x:v/>
      </x:c>
      <x:c r="O50" t="str">
        <x:f ca="1">IFERROR(IF(0=LEN(ReferenceData!$O$50),"",ReferenceData!$O$50),"")</x:f>
        <x:v/>
      </x:c>
      <x:c r="P50" t="str">
        <x:f ca="1">IFERROR(IF(0=LEN(ReferenceData!$P$50),"",ReferenceData!$P$50),"")</x:f>
        <x:v/>
      </x:c>
      <x:c r="Q50" t="str">
        <x:f ca="1">IFERROR(IF(0=LEN(ReferenceData!$Q$50),"",ReferenceData!$Q$50),"")</x:f>
        <x:v/>
      </x:c>
      <x:c r="R50" t="str">
        <x:f ca="1">IFERROR(IF(0=LEN(ReferenceData!$R$50),"",ReferenceData!$R$50),"")</x:f>
        <x:v/>
      </x:c>
      <x:c r="S50" t="str">
        <x:f ca="1">IFERROR(IF(0=LEN(ReferenceData!$S$50),"",ReferenceData!$S$50),"")</x:f>
        <x:v/>
      </x:c>
    </x:row>
    <x:row r="51" spans="1:19" x14ac:dyDescent="0.25">
      <x:c r="A51" t="str">
        <x:f>IFERROR(IF(0=LEN(ReferenceData!$A$51),"",ReferenceData!$A$51),"")</x:f>
        <x:v xml:space="preserve">        Direxion Daily Homebuilders &amp;</x:v>
      </x:c>
      <x:c r="B51" t="str">
        <x:f>IFERROR(IF(0=LEN(ReferenceData!$B$51),"",ReferenceData!$B$51),"")</x:f>
        <x:v>NAIL US Equity</x:v>
      </x:c>
      <x:c r="C51" t="str">
        <x:f>IFERROR(IF(0=LEN(ReferenceData!$C$51),"",ReferenceData!$C$51),"")</x:f>
        <x:v/>
      </x:c>
      <x:c r="D51" t="str">
        <x:f>IFERROR(IF(0=LEN(ReferenceData!$D$51),"",ReferenceData!$D$51),"")</x:f>
        <x:v/>
      </x:c>
      <x:c r="E51" t="str">
        <x:f>IFERROR(IF(0=LEN(ReferenceData!$E$51),"",ReferenceData!$E$51),"")</x:f>
        <x:v>Expression</x:v>
      </x:c>
      <x:c r="F51">
        <x:f ca="1">IFERROR(IF(0=LEN(ReferenceData!$F$51),"",ReferenceData!$F$51),"")</x:f>
        <x:v>-15.868744</x:v>
      </x:c>
      <x:c r="G51">
        <x:f ca="1">IFERROR(IF(0=LEN(ReferenceData!$G$51),"",ReferenceData!$G$51),"")</x:f>
        <x:v>4.4351539999999998</x:v>
      </x:c>
      <x:c r="H51">
        <x:f ca="1">IFERROR(IF(0=LEN(ReferenceData!$H$51),"",ReferenceData!$H$51),"")</x:f>
        <x:v>5.5996680000000003</x:v>
      </x:c>
      <x:c r="I51">
        <x:f ca="1">IFERROR(IF(0=LEN(ReferenceData!$I$51),"",ReferenceData!$I$51),"")</x:f>
        <x:v>-3.4515989999999999</x:v>
      </x:c>
      <x:c r="J51">
        <x:f ca="1">IFERROR(IF(0=LEN(ReferenceData!$J$51),"",ReferenceData!$J$51),"")</x:f>
        <x:v>-12.646295</x:v>
      </x:c>
      <x:c r="K51">
        <x:f ca="1">IFERROR(IF(0=LEN(ReferenceData!$K$51),"",ReferenceData!$K$51),"")</x:f>
        <x:v>-6.6700879999999998</x:v>
      </x:c>
      <x:c r="L51">
        <x:f ca="1">IFERROR(IF(0=LEN(ReferenceData!$L$51),"",ReferenceData!$L$51),"")</x:f>
        <x:v>-5.6292350000000004</x:v>
      </x:c>
      <x:c r="M51">
        <x:f ca="1">IFERROR(IF(0=LEN(ReferenceData!$M$51),"",ReferenceData!$M$51),"")</x:f>
        <x:v>-18.183737000000001</x:v>
      </x:c>
      <x:c r="N51">
        <x:f ca="1">IFERROR(IF(0=LEN(ReferenceData!$N$51),"",ReferenceData!$N$51),"")</x:f>
        <x:v>-1.7391890000000001</x:v>
      </x:c>
      <x:c r="O51">
        <x:f ca="1">IFERROR(IF(0=LEN(ReferenceData!$O$51),"",ReferenceData!$O$51),"")</x:f>
        <x:v>-2.2102949999999999</x:v>
      </x:c>
      <x:c r="P51">
        <x:f ca="1">IFERROR(IF(0=LEN(ReferenceData!$P$51),"",ReferenceData!$P$51),"")</x:f>
        <x:v>-7.4185569999999998</x:v>
      </x:c>
      <x:c r="Q51">
        <x:f ca="1">IFERROR(IF(0=LEN(ReferenceData!$Q$51),"",ReferenceData!$Q$51),"")</x:f>
        <x:v>-10.935264</x:v>
      </x:c>
      <x:c r="R51">
        <x:f ca="1">IFERROR(IF(0=LEN(ReferenceData!$R$51),"",ReferenceData!$R$51),"")</x:f>
        <x:v>-11.947794999999999</x:v>
      </x:c>
      <x:c r="S51">
        <x:f ca="1">IFERROR(IF(0=LEN(ReferenceData!$S$51),"",ReferenceData!$S$51),"")</x:f>
        <x:v>7.0744689999999997</x:v>
      </x:c>
    </x:row>
    <x:row r="52" spans="1:19" x14ac:dyDescent="0.25">
      <x:c r="A52" t="str">
        <x:f>IFERROR(IF(0=LEN(ReferenceData!$A$52),"",ReferenceData!$A$52),"")</x:f>
        <x:v xml:space="preserve">        First Trust Nasdaq Food &amp; Beve</x:v>
      </x:c>
      <x:c r="B52" t="str">
        <x:f>IFERROR(IF(0=LEN(ReferenceData!$B$52),"",ReferenceData!$B$52),"")</x:f>
        <x:v>FTXG US Equity</x:v>
      </x:c>
      <x:c r="C52" t="str">
        <x:f>IFERROR(IF(0=LEN(ReferenceData!$C$52),"",ReferenceData!$C$52),"")</x:f>
        <x:v/>
      </x:c>
      <x:c r="D52" t="str">
        <x:f>IFERROR(IF(0=LEN(ReferenceData!$D$52),"",ReferenceData!$D$52),"")</x:f>
        <x:v/>
      </x:c>
      <x:c r="E52" t="str">
        <x:f>IFERROR(IF(0=LEN(ReferenceData!$E$52),"",ReferenceData!$E$52),"")</x:f>
        <x:v>Expression</x:v>
      </x:c>
      <x:c r="F52">
        <x:f ca="1">IFERROR(IF(0=LEN(ReferenceData!$F$52),"",ReferenceData!$F$52),"")</x:f>
        <x:v>-15.032906000000001</x:v>
      </x:c>
      <x:c r="G52">
        <x:f ca="1">IFERROR(IF(0=LEN(ReferenceData!$G$52),"",ReferenceData!$G$52),"")</x:f>
        <x:v>-30.667210000000001</x:v>
      </x:c>
      <x:c r="H52">
        <x:f ca="1">IFERROR(IF(0=LEN(ReferenceData!$H$52),"",ReferenceData!$H$52),"")</x:f>
        <x:v>-860.71240699999998</x:v>
      </x:c>
      <x:c r="I52">
        <x:f ca="1">IFERROR(IF(0=LEN(ReferenceData!$I$52),"",ReferenceData!$I$52),"")</x:f>
        <x:v>32.842250999999997</x:v>
      </x:c>
      <x:c r="J52">
        <x:f ca="1">IFERROR(IF(0=LEN(ReferenceData!$J$52),"",ReferenceData!$J$52),"")</x:f>
        <x:v>21.34</x:v>
      </x:c>
      <x:c r="K52">
        <x:f ca="1">IFERROR(IF(0=LEN(ReferenceData!$K$52),"",ReferenceData!$K$52),"")</x:f>
        <x:v>42.356499999999997</x:v>
      </x:c>
      <x:c r="L52">
        <x:f ca="1">IFERROR(IF(0=LEN(ReferenceData!$L$52),"",ReferenceData!$L$52),"")</x:f>
        <x:v>-1.234308</x:v>
      </x:c>
      <x:c r="M52">
        <x:f ca="1">IFERROR(IF(0=LEN(ReferenceData!$M$52),"",ReferenceData!$M$52),"")</x:f>
        <x:v>-2.0718E-2</x:v>
      </x:c>
      <x:c r="N52">
        <x:f ca="1">IFERROR(IF(0=LEN(ReferenceData!$N$52),"",ReferenceData!$N$52),"")</x:f>
        <x:v>-67.597305000000006</x:v>
      </x:c>
      <x:c r="O52">
        <x:f ca="1">IFERROR(IF(0=LEN(ReferenceData!$O$52),"",ReferenceData!$O$52),"")</x:f>
        <x:v>85.964185000000001</x:v>
      </x:c>
      <x:c r="P52">
        <x:f ca="1">IFERROR(IF(0=LEN(ReferenceData!$P$52),"",ReferenceData!$P$52),"")</x:f>
        <x:v>14.829186999999999</x:v>
      </x:c>
      <x:c r="Q52">
        <x:f ca="1">IFERROR(IF(0=LEN(ReferenceData!$Q$52),"",ReferenceData!$Q$52),"")</x:f>
        <x:v>24.890004000000001</x:v>
      </x:c>
      <x:c r="R52">
        <x:f ca="1">IFERROR(IF(0=LEN(ReferenceData!$R$52),"",ReferenceData!$R$52),"")</x:f>
        <x:v>39.276054999999999</x:v>
      </x:c>
      <x:c r="S52">
        <x:f ca="1">IFERROR(IF(0=LEN(ReferenceData!$S$52),"",ReferenceData!$S$52),"")</x:f>
        <x:v>-16.568805000000001</x:v>
      </x:c>
    </x:row>
    <x:row r="53" spans="1:19" x14ac:dyDescent="0.25">
      <x:c r="A53" t="str">
        <x:f>IFERROR(IF(0=LEN(ReferenceData!$A$53),"",ReferenceData!$A$53),"")</x:f>
        <x:v xml:space="preserve">        Global X Brazil Consumer ETF</x:v>
      </x:c>
      <x:c r="B53" t="str">
        <x:f>IFERROR(IF(0=LEN(ReferenceData!$B$53),"",ReferenceData!$B$53),"")</x:f>
        <x:v>BRAQ US Equity</x:v>
      </x:c>
      <x:c r="C53" t="str">
        <x:f>IFERROR(IF(0=LEN(ReferenceData!$C$53),"",ReferenceData!$C$53),"")</x:f>
        <x:v/>
      </x:c>
      <x:c r="D53" t="str">
        <x:f>IFERROR(IF(0=LEN(ReferenceData!$D$53),"",ReferenceData!$D$53),"")</x:f>
        <x:v/>
      </x:c>
      <x:c r="E53" t="str">
        <x:f>IFERROR(IF(0=LEN(ReferenceData!$E$53),"",ReferenceData!$E$53),"")</x:f>
        <x:v>Expression</x:v>
      </x:c>
      <x:c r="F53" t="str">
        <x:f ca="1">IFERROR(IF(0=LEN(ReferenceData!$F$53),"",ReferenceData!$F$53),"")</x:f>
        <x:v/>
      </x:c>
      <x:c r="G53" t="str">
        <x:f ca="1">IFERROR(IF(0=LEN(ReferenceData!$G$53),"",ReferenceData!$G$53),"")</x:f>
        <x:v/>
      </x:c>
      <x:c r="H53" t="str">
        <x:f ca="1">IFERROR(IF(0=LEN(ReferenceData!$H$53),"",ReferenceData!$H$53),"")</x:f>
        <x:v/>
      </x:c>
      <x:c r="I53" t="str">
        <x:f ca="1">IFERROR(IF(0=LEN(ReferenceData!$I$53),"",ReferenceData!$I$53),"")</x:f>
        <x:v/>
      </x:c>
      <x:c r="J53" t="str">
        <x:f ca="1">IFERROR(IF(0=LEN(ReferenceData!$J$53),"",ReferenceData!$J$53),"")</x:f>
        <x:v/>
      </x:c>
      <x:c r="K53" t="str">
        <x:f ca="1">IFERROR(IF(0=LEN(ReferenceData!$K$53),"",ReferenceData!$K$53),"")</x:f>
        <x:v/>
      </x:c>
      <x:c r="L53" t="str">
        <x:f ca="1">IFERROR(IF(0=LEN(ReferenceData!$L$53),"",ReferenceData!$L$53),"")</x:f>
        <x:v/>
      </x:c>
      <x:c r="M53" t="str">
        <x:f ca="1">IFERROR(IF(0=LEN(ReferenceData!$M$53),"",ReferenceData!$M$53),"")</x:f>
        <x:v/>
      </x:c>
      <x:c r="N53" t="str">
        <x:f ca="1">IFERROR(IF(0=LEN(ReferenceData!$N$53),"",ReferenceData!$N$53),"")</x:f>
        <x:v/>
      </x:c>
      <x:c r="O53" t="str">
        <x:f ca="1">IFERROR(IF(0=LEN(ReferenceData!$O$53),"",ReferenceData!$O$53),"")</x:f>
        <x:v/>
      </x:c>
      <x:c r="P53" t="str">
        <x:f ca="1">IFERROR(IF(0=LEN(ReferenceData!$P$53),"",ReferenceData!$P$53),"")</x:f>
        <x:v/>
      </x:c>
      <x:c r="Q53" t="str">
        <x:f ca="1">IFERROR(IF(0=LEN(ReferenceData!$Q$53),"",ReferenceData!$Q$53),"")</x:f>
        <x:v/>
      </x:c>
      <x:c r="R53" t="str">
        <x:f ca="1">IFERROR(IF(0=LEN(ReferenceData!$R$53),"",ReferenceData!$R$53),"")</x:f>
        <x:v/>
      </x:c>
      <x:c r="S53" t="str">
        <x:f ca="1">IFERROR(IF(0=LEN(ReferenceData!$S$53),"",ReferenceData!$S$53),"")</x:f>
        <x:v/>
      </x:c>
    </x:row>
    <x:row r="54" spans="1:19" x14ac:dyDescent="0.25">
      <x:c r="A54" t="str">
        <x:f>IFERROR(IF(0=LEN(ReferenceData!$A$54),"",ReferenceData!$A$54),"")</x:f>
        <x:v xml:space="preserve">        Spirited Funds and ETFMG Whisk</x:v>
      </x:c>
      <x:c r="B54" t="str">
        <x:f>IFERROR(IF(0=LEN(ReferenceData!$B$54),"",ReferenceData!$B$54),"")</x:f>
        <x:v>WSKY US Equity</x:v>
      </x:c>
      <x:c r="C54" t="str">
        <x:f>IFERROR(IF(0=LEN(ReferenceData!$C$54),"",ReferenceData!$C$54),"")</x:f>
        <x:v/>
      </x:c>
      <x:c r="D54" t="str">
        <x:f>IFERROR(IF(0=LEN(ReferenceData!$D$54),"",ReferenceData!$D$54),"")</x:f>
        <x:v/>
      </x:c>
      <x:c r="E54" t="str">
        <x:f>IFERROR(IF(0=LEN(ReferenceData!$E$54),"",ReferenceData!$E$54),"")</x:f>
        <x:v>Expression</x:v>
      </x:c>
      <x:c r="F54" t="str">
        <x:f ca="1">IFERROR(IF(0=LEN(ReferenceData!$F$54),"",ReferenceData!$F$54),"")</x:f>
        <x:v/>
      </x:c>
      <x:c r="G54" t="str">
        <x:f ca="1">IFERROR(IF(0=LEN(ReferenceData!$G$54),"",ReferenceData!$G$54),"")</x:f>
        <x:v/>
      </x:c>
      <x:c r="H54" t="str">
        <x:f ca="1">IFERROR(IF(0=LEN(ReferenceData!$H$54),"",ReferenceData!$H$54),"")</x:f>
        <x:v/>
      </x:c>
      <x:c r="I54" t="str">
        <x:f ca="1">IFERROR(IF(0=LEN(ReferenceData!$I$54),"",ReferenceData!$I$54),"")</x:f>
        <x:v/>
      </x:c>
      <x:c r="J54" t="str">
        <x:f ca="1">IFERROR(IF(0=LEN(ReferenceData!$J$54),"",ReferenceData!$J$54),"")</x:f>
        <x:v/>
      </x:c>
      <x:c r="K54" t="str">
        <x:f ca="1">IFERROR(IF(0=LEN(ReferenceData!$K$54),"",ReferenceData!$K$54),"")</x:f>
        <x:v/>
      </x:c>
      <x:c r="L54" t="str">
        <x:f ca="1">IFERROR(IF(0=LEN(ReferenceData!$L$54),"",ReferenceData!$L$54),"")</x:f>
        <x:v/>
      </x:c>
      <x:c r="M54" t="str">
        <x:f ca="1">IFERROR(IF(0=LEN(ReferenceData!$M$54),"",ReferenceData!$M$54),"")</x:f>
        <x:v/>
      </x:c>
      <x:c r="N54" t="str">
        <x:f ca="1">IFERROR(IF(0=LEN(ReferenceData!$N$54),"",ReferenceData!$N$54),"")</x:f>
        <x:v/>
      </x:c>
      <x:c r="O54" t="str">
        <x:f ca="1">IFERROR(IF(0=LEN(ReferenceData!$O$54),"",ReferenceData!$O$54),"")</x:f>
        <x:v/>
      </x:c>
      <x:c r="P54" t="str">
        <x:f ca="1">IFERROR(IF(0=LEN(ReferenceData!$P$54),"",ReferenceData!$P$54),"")</x:f>
        <x:v/>
      </x:c>
      <x:c r="Q54" t="str">
        <x:f ca="1">IFERROR(IF(0=LEN(ReferenceData!$Q$54),"",ReferenceData!$Q$54),"")</x:f>
        <x:v/>
      </x:c>
      <x:c r="R54" t="str">
        <x:f ca="1">IFERROR(IF(0=LEN(ReferenceData!$R$54),"",ReferenceData!$R$54),"")</x:f>
        <x:v/>
      </x:c>
      <x:c r="S54" t="str">
        <x:f ca="1">IFERROR(IF(0=LEN(ReferenceData!$S$54),"",ReferenceData!$S$54),"")</x:f>
        <x:v/>
      </x:c>
    </x:row>
    <x:row r="55" spans="1:19" x14ac:dyDescent="0.25">
      <x:c r="A55" t="str">
        <x:f>IFERROR(IF(0=LEN(ReferenceData!$A$55),"",ReferenceData!$A$55),"")</x:f>
        <x:v xml:space="preserve">        iShares Edge MSCI Multifactor</x:v>
      </x:c>
      <x:c r="B55" t="str">
        <x:f>IFERROR(IF(0=LEN(ReferenceData!$B$55),"",ReferenceData!$B$55),"")</x:f>
        <x:v>CNDF US Equity</x:v>
      </x:c>
      <x:c r="C55" t="str">
        <x:f>IFERROR(IF(0=LEN(ReferenceData!$C$55),"",ReferenceData!$C$55),"")</x:f>
        <x:v/>
      </x:c>
      <x:c r="D55" t="str">
        <x:f>IFERROR(IF(0=LEN(ReferenceData!$D$55),"",ReferenceData!$D$55),"")</x:f>
        <x:v/>
      </x:c>
      <x:c r="E55" t="str">
        <x:f>IFERROR(IF(0=LEN(ReferenceData!$E$55),"",ReferenceData!$E$55),"")</x:f>
        <x:v>Expression</x:v>
      </x:c>
      <x:c r="F55" t="str">
        <x:f ca="1">IFERROR(IF(0=LEN(ReferenceData!$F$55),"",ReferenceData!$F$55),"")</x:f>
        <x:v/>
      </x:c>
      <x:c r="G55" t="str">
        <x:f ca="1">IFERROR(IF(0=LEN(ReferenceData!$G$55),"",ReferenceData!$G$55),"")</x:f>
        <x:v/>
      </x:c>
      <x:c r="H55" t="str">
        <x:f ca="1">IFERROR(IF(0=LEN(ReferenceData!$H$55),"",ReferenceData!$H$55),"")</x:f>
        <x:v/>
      </x:c>
      <x:c r="I55" t="str">
        <x:f ca="1">IFERROR(IF(0=LEN(ReferenceData!$I$55),"",ReferenceData!$I$55),"")</x:f>
        <x:v/>
      </x:c>
      <x:c r="J55" t="str">
        <x:f ca="1">IFERROR(IF(0=LEN(ReferenceData!$J$55),"",ReferenceData!$J$55),"")</x:f>
        <x:v/>
      </x:c>
      <x:c r="K55" t="str">
        <x:f ca="1">IFERROR(IF(0=LEN(ReferenceData!$K$55),"",ReferenceData!$K$55),"")</x:f>
        <x:v/>
      </x:c>
      <x:c r="L55" t="str">
        <x:f ca="1">IFERROR(IF(0=LEN(ReferenceData!$L$55),"",ReferenceData!$L$55),"")</x:f>
        <x:v/>
      </x:c>
      <x:c r="M55" t="str">
        <x:f ca="1">IFERROR(IF(0=LEN(ReferenceData!$M$55),"",ReferenceData!$M$55),"")</x:f>
        <x:v/>
      </x:c>
      <x:c r="N55" t="str">
        <x:f ca="1">IFERROR(IF(0=LEN(ReferenceData!$N$55),"",ReferenceData!$N$55),"")</x:f>
        <x:v/>
      </x:c>
      <x:c r="O55" t="str">
        <x:f ca="1">IFERROR(IF(0=LEN(ReferenceData!$O$55),"",ReferenceData!$O$55),"")</x:f>
        <x:v/>
      </x:c>
      <x:c r="P55" t="str">
        <x:f ca="1">IFERROR(IF(0=LEN(ReferenceData!$P$55),"",ReferenceData!$P$55),"")</x:f>
        <x:v/>
      </x:c>
      <x:c r="Q55" t="str">
        <x:f ca="1">IFERROR(IF(0=LEN(ReferenceData!$Q$55),"",ReferenceData!$Q$55),"")</x:f>
        <x:v/>
      </x:c>
      <x:c r="R55" t="str">
        <x:f ca="1">IFERROR(IF(0=LEN(ReferenceData!$R$55),"",ReferenceData!$R$55),"")</x:f>
        <x:v/>
      </x:c>
      <x:c r="S55" t="str">
        <x:f ca="1">IFERROR(IF(0=LEN(ReferenceData!$S$55),"",ReferenceData!$S$55),"")</x:f>
        <x:v/>
      </x:c>
    </x:row>
    <x:row r="56" spans="1:19" x14ac:dyDescent="0.25">
      <x:c r="A56" t="str">
        <x:f>IFERROR(IF(0=LEN(ReferenceData!$A$56),"",ReferenceData!$A$56),"")</x:f>
        <x:v xml:space="preserve">        Direxion Shares Etf Trust-Dire</x:v>
      </x:c>
      <x:c r="B56" t="str">
        <x:f>IFERROR(IF(0=LEN(ReferenceData!$B$56),"",ReferenceData!$B$56),"")</x:f>
        <x:v>CLAW US Equity</x:v>
      </x:c>
      <x:c r="C56" t="str">
        <x:f>IFERROR(IF(0=LEN(ReferenceData!$C$56),"",ReferenceData!$C$56),"")</x:f>
        <x:v/>
      </x:c>
      <x:c r="D56" t="str">
        <x:f>IFERROR(IF(0=LEN(ReferenceData!$D$56),"",ReferenceData!$D$56),"")</x:f>
        <x:v/>
      </x:c>
      <x:c r="E56" t="str">
        <x:f>IFERROR(IF(0=LEN(ReferenceData!$E$56),"",ReferenceData!$E$56),"")</x:f>
        <x:v>Expression</x:v>
      </x:c>
      <x:c r="F56" t="str">
        <x:f ca="1">IFERROR(IF(0=LEN(ReferenceData!$F$56),"",ReferenceData!$F$56),"")</x:f>
        <x:v/>
      </x:c>
      <x:c r="G56" t="str">
        <x:f ca="1">IFERROR(IF(0=LEN(ReferenceData!$G$56),"",ReferenceData!$G$56),"")</x:f>
        <x:v/>
      </x:c>
      <x:c r="H56" t="str">
        <x:f ca="1">IFERROR(IF(0=LEN(ReferenceData!$H$56),"",ReferenceData!$H$56),"")</x:f>
        <x:v/>
      </x:c>
      <x:c r="I56" t="str">
        <x:f ca="1">IFERROR(IF(0=LEN(ReferenceData!$I$56),"",ReferenceData!$I$56),"")</x:f>
        <x:v/>
      </x:c>
      <x:c r="J56" t="str">
        <x:f ca="1">IFERROR(IF(0=LEN(ReferenceData!$J$56),"",ReferenceData!$J$56),"")</x:f>
        <x:v/>
      </x:c>
      <x:c r="K56" t="str">
        <x:f ca="1">IFERROR(IF(0=LEN(ReferenceData!$K$56),"",ReferenceData!$K$56),"")</x:f>
        <x:v/>
      </x:c>
      <x:c r="L56" t="str">
        <x:f ca="1">IFERROR(IF(0=LEN(ReferenceData!$L$56),"",ReferenceData!$L$56),"")</x:f>
        <x:v/>
      </x:c>
      <x:c r="M56" t="str">
        <x:f ca="1">IFERROR(IF(0=LEN(ReferenceData!$M$56),"",ReferenceData!$M$56),"")</x:f>
        <x:v/>
      </x:c>
      <x:c r="N56" t="str">
        <x:f ca="1">IFERROR(IF(0=LEN(ReferenceData!$N$56),"",ReferenceData!$N$56),"")</x:f>
        <x:v/>
      </x:c>
      <x:c r="O56" t="str">
        <x:f ca="1">IFERROR(IF(0=LEN(ReferenceData!$O$56),"",ReferenceData!$O$56),"")</x:f>
        <x:v/>
      </x:c>
      <x:c r="P56" t="str">
        <x:f ca="1">IFERROR(IF(0=LEN(ReferenceData!$P$56),"",ReferenceData!$P$56),"")</x:f>
        <x:v/>
      </x:c>
      <x:c r="Q56" t="str">
        <x:f ca="1">IFERROR(IF(0=LEN(ReferenceData!$Q$56),"",ReferenceData!$Q$56),"")</x:f>
        <x:v/>
      </x:c>
      <x:c r="R56" t="str">
        <x:f ca="1">IFERROR(IF(0=LEN(ReferenceData!$R$56),"",ReferenceData!$R$56),"")</x:f>
        <x:v/>
      </x:c>
      <x:c r="S56" t="str">
        <x:f ca="1">IFERROR(IF(0=LEN(ReferenceData!$S$56),"",ReferenceData!$S$56),"")</x:f>
        <x:v/>
      </x:c>
    </x:row>
    <x:row r="57" spans="1:19" x14ac:dyDescent="0.25">
      <x:c r="A57" t="str">
        <x:f>IFERROR(IF(0=LEN(ReferenceData!$A$57),"",ReferenceData!$A$57),"")</x:f>
        <x:v xml:space="preserve">        First Trust S-Network E-Commer</x:v>
      </x:c>
      <x:c r="B57" t="str">
        <x:f>IFERROR(IF(0=LEN(ReferenceData!$B$57),"",ReferenceData!$B$57),"")</x:f>
        <x:v>FTXD US Equity</x:v>
      </x:c>
      <x:c r="C57" t="str">
        <x:f>IFERROR(IF(0=LEN(ReferenceData!$C$57),"",ReferenceData!$C$57),"")</x:f>
        <x:v/>
      </x:c>
      <x:c r="D57" t="str">
        <x:f>IFERROR(IF(0=LEN(ReferenceData!$D$57),"",ReferenceData!$D$57),"")</x:f>
        <x:v/>
      </x:c>
      <x:c r="E57" t="str">
        <x:f>IFERROR(IF(0=LEN(ReferenceData!$E$57),"",ReferenceData!$E$57),"")</x:f>
        <x:v>Expression</x:v>
      </x:c>
      <x:c r="F57">
        <x:f ca="1">IFERROR(IF(0=LEN(ReferenceData!$F$57),"",ReferenceData!$F$57),"")</x:f>
        <x:v>0</x:v>
      </x:c>
      <x:c r="G57">
        <x:f ca="1">IFERROR(IF(0=LEN(ReferenceData!$G$57),"",ReferenceData!$G$57),"")</x:f>
        <x:v>0</x:v>
      </x:c>
      <x:c r="H57">
        <x:f ca="1">IFERROR(IF(0=LEN(ReferenceData!$H$57),"",ReferenceData!$H$57),"")</x:f>
        <x:v>0</x:v>
      </x:c>
      <x:c r="I57">
        <x:f ca="1">IFERROR(IF(0=LEN(ReferenceData!$I$57),"",ReferenceData!$I$57),"")</x:f>
        <x:v>0</x:v>
      </x:c>
      <x:c r="J57">
        <x:f ca="1">IFERROR(IF(0=LEN(ReferenceData!$J$57),"",ReferenceData!$J$57),"")</x:f>
        <x:v>0</x:v>
      </x:c>
      <x:c r="K57">
        <x:f ca="1">IFERROR(IF(0=LEN(ReferenceData!$K$57),"",ReferenceData!$K$57),"")</x:f>
        <x:v>0</x:v>
      </x:c>
      <x:c r="L57">
        <x:f ca="1">IFERROR(IF(0=LEN(ReferenceData!$L$57),"",ReferenceData!$L$57),"")</x:f>
        <x:v>0</x:v>
      </x:c>
      <x:c r="M57">
        <x:f ca="1">IFERROR(IF(0=LEN(ReferenceData!$M$57),"",ReferenceData!$M$57),"")</x:f>
        <x:v>0</x:v>
      </x:c>
      <x:c r="N57">
        <x:f ca="1">IFERROR(IF(0=LEN(ReferenceData!$N$57),"",ReferenceData!$N$57),"")</x:f>
        <x:v>0</x:v>
      </x:c>
      <x:c r="O57">
        <x:f ca="1">IFERROR(IF(0=LEN(ReferenceData!$O$57),"",ReferenceData!$O$57),"")</x:f>
        <x:v>0</x:v>
      </x:c>
      <x:c r="P57">
        <x:f ca="1">IFERROR(IF(0=LEN(ReferenceData!$P$57),"",ReferenceData!$P$57),"")</x:f>
        <x:v>0</x:v>
      </x:c>
      <x:c r="Q57">
        <x:f ca="1">IFERROR(IF(0=LEN(ReferenceData!$Q$57),"",ReferenceData!$Q$57),"")</x:f>
        <x:v>0</x:v>
      </x:c>
      <x:c r="R57">
        <x:f ca="1">IFERROR(IF(0=LEN(ReferenceData!$R$57),"",ReferenceData!$R$57),"")</x:f>
        <x:v>0</x:v>
      </x:c>
      <x:c r="S57">
        <x:f ca="1">IFERROR(IF(0=LEN(ReferenceData!$S$57),"",ReferenceData!$S$57),"")</x:f>
        <x:v>0</x:v>
      </x:c>
    </x:row>
    <x:row r="58" spans="1:19" x14ac:dyDescent="0.25">
      <x:c r="A58" t="str">
        <x:f>IFERROR(IF(0=LEN(ReferenceData!$A$58),"",ReferenceData!$A$58),"")</x:f>
        <x:v xml:space="preserve">        ProShares UltraShort Consumer</x:v>
      </x:c>
      <x:c r="B58" t="str">
        <x:f>IFERROR(IF(0=LEN(ReferenceData!$B$58),"",ReferenceData!$B$58),"")</x:f>
        <x:v>SCC US Equity</x:v>
      </x:c>
      <x:c r="C58" t="str">
        <x:f>IFERROR(IF(0=LEN(ReferenceData!$C$58),"",ReferenceData!$C$58),"")</x:f>
        <x:v/>
      </x:c>
      <x:c r="D58" t="str">
        <x:f>IFERROR(IF(0=LEN(ReferenceData!$D$58),"",ReferenceData!$D$58),"")</x:f>
        <x:v/>
      </x:c>
      <x:c r="E58" t="str">
        <x:f>IFERROR(IF(0=LEN(ReferenceData!$E$58),"",ReferenceData!$E$58),"")</x:f>
        <x:v>Expression</x:v>
      </x:c>
      <x:c r="F58">
        <x:f ca="1">IFERROR(IF(0=LEN(ReferenceData!$F$58),"",ReferenceData!$F$58),"")</x:f>
        <x:v>-0.173428</x:v>
      </x:c>
      <x:c r="G58">
        <x:f ca="1">IFERROR(IF(0=LEN(ReferenceData!$G$58),"",ReferenceData!$G$58),"")</x:f>
        <x:v>0.83289000000000002</x:v>
      </x:c>
      <x:c r="H58">
        <x:f ca="1">IFERROR(IF(0=LEN(ReferenceData!$H$58),"",ReferenceData!$H$58),"")</x:f>
        <x:v>-0.16498299999999999</x:v>
      </x:c>
      <x:c r="I58">
        <x:f ca="1">IFERROR(IF(0=LEN(ReferenceData!$I$58),"",ReferenceData!$I$58),"")</x:f>
        <x:v>0</x:v>
      </x:c>
      <x:c r="J58">
        <x:f ca="1">IFERROR(IF(0=LEN(ReferenceData!$J$58),"",ReferenceData!$J$58),"")</x:f>
        <x:v>0.15457799999999999</x:v>
      </x:c>
      <x:c r="K58">
        <x:f ca="1">IFERROR(IF(0=LEN(ReferenceData!$K$58),"",ReferenceData!$K$58),"")</x:f>
        <x:v>-0.68879299999999999</x:v>
      </x:c>
      <x:c r="L58">
        <x:f ca="1">IFERROR(IF(0=LEN(ReferenceData!$L$58),"",ReferenceData!$L$58),"")</x:f>
        <x:v>0.57840000000000003</x:v>
      </x:c>
      <x:c r="M58">
        <x:f ca="1">IFERROR(IF(0=LEN(ReferenceData!$M$58),"",ReferenceData!$M$58),"")</x:f>
        <x:v>0</x:v>
      </x:c>
      <x:c r="N58">
        <x:f ca="1">IFERROR(IF(0=LEN(ReferenceData!$N$58),"",ReferenceData!$N$58),"")</x:f>
        <x:v>-0.60888500000000001</x:v>
      </x:c>
      <x:c r="O58">
        <x:f ca="1">IFERROR(IF(0=LEN(ReferenceData!$O$58),"",ReferenceData!$O$58),"")</x:f>
        <x:v>-0.51883000000000001</x:v>
      </x:c>
      <x:c r="P58">
        <x:f ca="1">IFERROR(IF(0=LEN(ReferenceData!$P$58),"",ReferenceData!$P$58),"")</x:f>
        <x:v>-0.59371700000000005</x:v>
      </x:c>
      <x:c r="Q58">
        <x:f ca="1">IFERROR(IF(0=LEN(ReferenceData!$Q$58),"",ReferenceData!$Q$58),"")</x:f>
        <x:v>0</x:v>
      </x:c>
      <x:c r="R58">
        <x:f ca="1">IFERROR(IF(0=LEN(ReferenceData!$R$58),"",ReferenceData!$R$58),"")</x:f>
        <x:v>-1.2561249999999999</x:v>
      </x:c>
      <x:c r="S58">
        <x:f ca="1">IFERROR(IF(0=LEN(ReferenceData!$S$58),"",ReferenceData!$S$58),"")</x:f>
        <x:v>-4.1578679999999997</x:v>
      </x:c>
    </x:row>
    <x:row r="59" spans="1:19" x14ac:dyDescent="0.25">
      <x:c r="A59" t="str">
        <x:f>IFERROR(IF(0=LEN(ReferenceData!$A$59),"",ReferenceData!$A$59),"")</x:f>
        <x:v xml:space="preserve">        USCF Restaurant Leaders Fund</x:v>
      </x:c>
      <x:c r="B59" t="str">
        <x:f>IFERROR(IF(0=LEN(ReferenceData!$B$59),"",ReferenceData!$B$59),"")</x:f>
        <x:v>MENU US Equity</x:v>
      </x:c>
      <x:c r="C59" t="str">
        <x:f>IFERROR(IF(0=LEN(ReferenceData!$C$59),"",ReferenceData!$C$59),"")</x:f>
        <x:v/>
      </x:c>
      <x:c r="D59" t="str">
        <x:f>IFERROR(IF(0=LEN(ReferenceData!$D$59),"",ReferenceData!$D$59),"")</x:f>
        <x:v/>
      </x:c>
      <x:c r="E59" t="str">
        <x:f>IFERROR(IF(0=LEN(ReferenceData!$E$59),"",ReferenceData!$E$59),"")</x:f>
        <x:v>Expression</x:v>
      </x:c>
      <x:c r="F59" t="str">
        <x:f ca="1">IFERROR(IF(0=LEN(ReferenceData!$F$59),"",ReferenceData!$F$59),"")</x:f>
        <x:v/>
      </x:c>
      <x:c r="G59" t="str">
        <x:f ca="1">IFERROR(IF(0=LEN(ReferenceData!$G$59),"",ReferenceData!$G$59),"")</x:f>
        <x:v/>
      </x:c>
      <x:c r="H59" t="str">
        <x:f ca="1">IFERROR(IF(0=LEN(ReferenceData!$H$59),"",ReferenceData!$H$59),"")</x:f>
        <x:v/>
      </x:c>
      <x:c r="I59" t="str">
        <x:f ca="1">IFERROR(IF(0=LEN(ReferenceData!$I$59),"",ReferenceData!$I$59),"")</x:f>
        <x:v/>
      </x:c>
      <x:c r="J59" t="str">
        <x:f ca="1">IFERROR(IF(0=LEN(ReferenceData!$J$59),"",ReferenceData!$J$59),"")</x:f>
        <x:v/>
      </x:c>
      <x:c r="K59" t="str">
        <x:f ca="1">IFERROR(IF(0=LEN(ReferenceData!$K$59),"",ReferenceData!$K$59),"")</x:f>
        <x:v/>
      </x:c>
      <x:c r="L59" t="str">
        <x:f ca="1">IFERROR(IF(0=LEN(ReferenceData!$L$59),"",ReferenceData!$L$59),"")</x:f>
        <x:v/>
      </x:c>
      <x:c r="M59" t="str">
        <x:f ca="1">IFERROR(IF(0=LEN(ReferenceData!$M$59),"",ReferenceData!$M$59),"")</x:f>
        <x:v/>
      </x:c>
      <x:c r="N59" t="str">
        <x:f ca="1">IFERROR(IF(0=LEN(ReferenceData!$N$59),"",ReferenceData!$N$59),"")</x:f>
        <x:v/>
      </x:c>
      <x:c r="O59" t="str">
        <x:f ca="1">IFERROR(IF(0=LEN(ReferenceData!$O$59),"",ReferenceData!$O$59),"")</x:f>
        <x:v/>
      </x:c>
      <x:c r="P59" t="str">
        <x:f ca="1">IFERROR(IF(0=LEN(ReferenceData!$P$59),"",ReferenceData!$P$59),"")</x:f>
        <x:v/>
      </x:c>
      <x:c r="Q59" t="str">
        <x:f ca="1">IFERROR(IF(0=LEN(ReferenceData!$Q$59),"",ReferenceData!$Q$59),"")</x:f>
        <x:v/>
      </x:c>
      <x:c r="R59" t="str">
        <x:f ca="1">IFERROR(IF(0=LEN(ReferenceData!$R$59),"",ReferenceData!$R$59),"")</x:f>
        <x:v/>
      </x:c>
      <x:c r="S59" t="str">
        <x:f ca="1">IFERROR(IF(0=LEN(ReferenceData!$S$59),"",ReferenceData!$S$59),"")</x:f>
        <x:v/>
      </x:c>
    </x:row>
    <x:row r="60" spans="1:19" x14ac:dyDescent="0.25">
      <x:c r="A60" t="str">
        <x:f>IFERROR(IF(0=LEN(ReferenceData!$A$60),"",ReferenceData!$A$60),"")</x:f>
        <x:v xml:space="preserve">        Elkhorn S&amp;P MidCap Consumer Di</x:v>
      </x:c>
      <x:c r="B60" t="str">
        <x:f>IFERROR(IF(0=LEN(ReferenceData!$B$60),"",ReferenceData!$B$60),"")</x:f>
        <x:v>XD US Equity</x:v>
      </x:c>
      <x:c r="C60" t="str">
        <x:f>IFERROR(IF(0=LEN(ReferenceData!$C$60),"",ReferenceData!$C$60),"")</x:f>
        <x:v/>
      </x:c>
      <x:c r="D60" t="str">
        <x:f>IFERROR(IF(0=LEN(ReferenceData!$D$60),"",ReferenceData!$D$60),"")</x:f>
        <x:v/>
      </x:c>
      <x:c r="E60" t="str">
        <x:f>IFERROR(IF(0=LEN(ReferenceData!$E$60),"",ReferenceData!$E$60),"")</x:f>
        <x:v>Expression</x:v>
      </x:c>
      <x:c r="F60" t="str">
        <x:f ca="1">IFERROR(IF(0=LEN(ReferenceData!$F$60),"",ReferenceData!$F$60),"")</x:f>
        <x:v/>
      </x:c>
      <x:c r="G60" t="str">
        <x:f ca="1">IFERROR(IF(0=LEN(ReferenceData!$G$60),"",ReferenceData!$G$60),"")</x:f>
        <x:v/>
      </x:c>
      <x:c r="H60" t="str">
        <x:f ca="1">IFERROR(IF(0=LEN(ReferenceData!$H$60),"",ReferenceData!$H$60),"")</x:f>
        <x:v/>
      </x:c>
      <x:c r="I60" t="str">
        <x:f ca="1">IFERROR(IF(0=LEN(ReferenceData!$I$60),"",ReferenceData!$I$60),"")</x:f>
        <x:v/>
      </x:c>
      <x:c r="J60" t="str">
        <x:f ca="1">IFERROR(IF(0=LEN(ReferenceData!$J$60),"",ReferenceData!$J$60),"")</x:f>
        <x:v/>
      </x:c>
      <x:c r="K60" t="str">
        <x:f ca="1">IFERROR(IF(0=LEN(ReferenceData!$K$60),"",ReferenceData!$K$60),"")</x:f>
        <x:v/>
      </x:c>
      <x:c r="L60" t="str">
        <x:f ca="1">IFERROR(IF(0=LEN(ReferenceData!$L$60),"",ReferenceData!$L$60),"")</x:f>
        <x:v/>
      </x:c>
      <x:c r="M60" t="str">
        <x:f ca="1">IFERROR(IF(0=LEN(ReferenceData!$M$60),"",ReferenceData!$M$60),"")</x:f>
        <x:v/>
      </x:c>
      <x:c r="N60" t="str">
        <x:f ca="1">IFERROR(IF(0=LEN(ReferenceData!$N$60),"",ReferenceData!$N$60),"")</x:f>
        <x:v/>
      </x:c>
      <x:c r="O60" t="str">
        <x:f ca="1">IFERROR(IF(0=LEN(ReferenceData!$O$60),"",ReferenceData!$O$60),"")</x:f>
        <x:v/>
      </x:c>
      <x:c r="P60" t="str">
        <x:f ca="1">IFERROR(IF(0=LEN(ReferenceData!$P$60),"",ReferenceData!$P$60),"")</x:f>
        <x:v/>
      </x:c>
      <x:c r="Q60" t="str">
        <x:f ca="1">IFERROR(IF(0=LEN(ReferenceData!$Q$60),"",ReferenceData!$Q$60),"")</x:f>
        <x:v/>
      </x:c>
      <x:c r="R60" t="str">
        <x:f ca="1">IFERROR(IF(0=LEN(ReferenceData!$R$60),"",ReferenceData!$R$60),"")</x:f>
        <x:v/>
      </x:c>
      <x:c r="S60" t="str">
        <x:f ca="1">IFERROR(IF(0=LEN(ReferenceData!$S$60),"",ReferenceData!$S$60),"")</x:f>
        <x:v/>
      </x:c>
    </x:row>
    <x:row r="61" spans="1:19" x14ac:dyDescent="0.25">
      <x:c r="A61" t="str">
        <x:f>IFERROR(IF(0=LEN(ReferenceData!$A$61),"",ReferenceData!$A$61),"")</x:f>
        <x:v xml:space="preserve">        iShares U.S. Consumer Focused</x:v>
      </x:c>
      <x:c r="B61" t="str">
        <x:f>IFERROR(IF(0=LEN(ReferenceData!$B$61),"",ReferenceData!$B$61),"")</x:f>
        <x:v>IEDI US Equity</x:v>
      </x:c>
      <x:c r="C61" t="str">
        <x:f>IFERROR(IF(0=LEN(ReferenceData!$C$61),"",ReferenceData!$C$61),"")</x:f>
        <x:v/>
      </x:c>
      <x:c r="D61" t="str">
        <x:f>IFERROR(IF(0=LEN(ReferenceData!$D$61),"",ReferenceData!$D$61),"")</x:f>
        <x:v/>
      </x:c>
      <x:c r="E61" t="str">
        <x:f>IFERROR(IF(0=LEN(ReferenceData!$E$61),"",ReferenceData!$E$61),"")</x:f>
        <x:v>Expression</x:v>
      </x:c>
      <x:c r="F61">
        <x:f ca="1">IFERROR(IF(0=LEN(ReferenceData!$F$61),"",ReferenceData!$F$61),"")</x:f>
        <x:v>0</x:v>
      </x:c>
      <x:c r="G61">
        <x:f ca="1">IFERROR(IF(0=LEN(ReferenceData!$G$61),"",ReferenceData!$G$61),"")</x:f>
        <x:v>0</x:v>
      </x:c>
      <x:c r="H61">
        <x:f ca="1">IFERROR(IF(0=LEN(ReferenceData!$H$61),"",ReferenceData!$H$61),"")</x:f>
        <x:v>0</x:v>
      </x:c>
      <x:c r="I61">
        <x:f ca="1">IFERROR(IF(0=LEN(ReferenceData!$I$61),"",ReferenceData!$I$61),"")</x:f>
        <x:v>0</x:v>
      </x:c>
      <x:c r="J61">
        <x:f ca="1">IFERROR(IF(0=LEN(ReferenceData!$J$61),"",ReferenceData!$J$61),"")</x:f>
        <x:v>0</x:v>
      </x:c>
      <x:c r="K61">
        <x:f ca="1">IFERROR(IF(0=LEN(ReferenceData!$K$61),"",ReferenceData!$K$61),"")</x:f>
        <x:v>0</x:v>
      </x:c>
      <x:c r="L61">
        <x:f ca="1">IFERROR(IF(0=LEN(ReferenceData!$L$61),"",ReferenceData!$L$61),"")</x:f>
        <x:v>0</x:v>
      </x:c>
      <x:c r="M61">
        <x:f ca="1">IFERROR(IF(0=LEN(ReferenceData!$M$61),"",ReferenceData!$M$61),"")</x:f>
        <x:v>0</x:v>
      </x:c>
      <x:c r="N61">
        <x:f ca="1">IFERROR(IF(0=LEN(ReferenceData!$N$61),"",ReferenceData!$N$61),"")</x:f>
        <x:v>0</x:v>
      </x:c>
      <x:c r="O61">
        <x:f ca="1">IFERROR(IF(0=LEN(ReferenceData!$O$61),"",ReferenceData!$O$61),"")</x:f>
        <x:v>0</x:v>
      </x:c>
      <x:c r="P61">
        <x:f ca="1">IFERROR(IF(0=LEN(ReferenceData!$P$61),"",ReferenceData!$P$61),"")</x:f>
        <x:v>0</x:v>
      </x:c>
      <x:c r="Q61">
        <x:f ca="1">IFERROR(IF(0=LEN(ReferenceData!$Q$61),"",ReferenceData!$Q$61),"")</x:f>
        <x:v>-1.96804</x:v>
      </x:c>
      <x:c r="R61">
        <x:f ca="1">IFERROR(IF(0=LEN(ReferenceData!$R$61),"",ReferenceData!$R$61),"")</x:f>
        <x:v>1.9323399999999999</x:v>
      </x:c>
      <x:c r="S61">
        <x:f ca="1">IFERROR(IF(0=LEN(ReferenceData!$S$61),"",ReferenceData!$S$61),"")</x:f>
        <x:v>-3.6387700000000001</x:v>
      </x:c>
    </x:row>
    <x:row r="62" spans="1:19" x14ac:dyDescent="0.25">
      <x:c r="A62" t="str">
        <x:f>IFERROR(IF(0=LEN(ReferenceData!$A$62),"",ReferenceData!$A$62),"")</x:f>
        <x:v xml:space="preserve">        ProShares Decline of the Retai</x:v>
      </x:c>
      <x:c r="B62" t="str">
        <x:f>IFERROR(IF(0=LEN(ReferenceData!$B$62),"",ReferenceData!$B$62),"")</x:f>
        <x:v>EMTY US Equity</x:v>
      </x:c>
      <x:c r="C62" t="str">
        <x:f>IFERROR(IF(0=LEN(ReferenceData!$C$62),"",ReferenceData!$C$62),"")</x:f>
        <x:v/>
      </x:c>
      <x:c r="D62" t="str">
        <x:f>IFERROR(IF(0=LEN(ReferenceData!$D$62),"",ReferenceData!$D$62),"")</x:f>
        <x:v/>
      </x:c>
      <x:c r="E62" t="str">
        <x:f>IFERROR(IF(0=LEN(ReferenceData!$E$62),"",ReferenceData!$E$62),"")</x:f>
        <x:v>Expression</x:v>
      </x:c>
      <x:c r="F62">
        <x:f ca="1">IFERROR(IF(0=LEN(ReferenceData!$F$62),"",ReferenceData!$F$62),"")</x:f>
        <x:v>0.33424999999999999</x:v>
      </x:c>
      <x:c r="G62">
        <x:f ca="1">IFERROR(IF(0=LEN(ReferenceData!$G$62),"",ReferenceData!$G$62),"")</x:f>
        <x:v>-0.34849999999999998</x:v>
      </x:c>
      <x:c r="H62">
        <x:f ca="1">IFERROR(IF(0=LEN(ReferenceData!$H$62),"",ReferenceData!$H$62),"")</x:f>
        <x:v>0</x:v>
      </x:c>
      <x:c r="I62">
        <x:f ca="1">IFERROR(IF(0=LEN(ReferenceData!$I$62),"",ReferenceData!$I$62),"")</x:f>
        <x:v>0.17602100000000001</x:v>
      </x:c>
      <x:c r="J62">
        <x:f ca="1">IFERROR(IF(0=LEN(ReferenceData!$J$62),"",ReferenceData!$J$62),"")</x:f>
        <x:v>-1.1906460000000001</x:v>
      </x:c>
      <x:c r="K62">
        <x:f ca="1">IFERROR(IF(0=LEN(ReferenceData!$K$62),"",ReferenceData!$K$62),"")</x:f>
        <x:v>0</x:v>
      </x:c>
      <x:c r="L62">
        <x:f ca="1">IFERROR(IF(0=LEN(ReferenceData!$L$62),"",ReferenceData!$L$62),"")</x:f>
        <x:v>-1.0836619999999999</x:v>
      </x:c>
      <x:c r="M62">
        <x:f ca="1">IFERROR(IF(0=LEN(ReferenceData!$M$62),"",ReferenceData!$M$62),"")</x:f>
        <x:v>-0.71665500000000004</x:v>
      </x:c>
      <x:c r="N62">
        <x:f ca="1">IFERROR(IF(0=LEN(ReferenceData!$N$62),"",ReferenceData!$N$62),"")</x:f>
        <x:v>-0.37281999999999998</x:v>
      </x:c>
      <x:c r="O62">
        <x:f ca="1">IFERROR(IF(0=LEN(ReferenceData!$O$62),"",ReferenceData!$O$62),"")</x:f>
        <x:v>-2.7540650000000002</x:v>
      </x:c>
      <x:c r="P62">
        <x:f ca="1">IFERROR(IF(0=LEN(ReferenceData!$P$62),"",ReferenceData!$P$62),"")</x:f>
        <x:v>-0.72284000000000004</x:v>
      </x:c>
      <x:c r="Q62">
        <x:f ca="1">IFERROR(IF(0=LEN(ReferenceData!$Q$62),"",ReferenceData!$Q$62),"")</x:f>
        <x:v>-0.74070000000000003</x:v>
      </x:c>
      <x:c r="R62">
        <x:f ca="1">IFERROR(IF(0=LEN(ReferenceData!$R$62),"",ReferenceData!$R$62),"")</x:f>
        <x:v>-3.848875</x:v>
      </x:c>
      <x:c r="S62">
        <x:f ca="1">IFERROR(IF(0=LEN(ReferenceData!$S$62),"",ReferenceData!$S$62),"")</x:f>
        <x:v>-4.7850099999999998</x:v>
      </x:c>
    </x:row>
    <x:row r="63" spans="1:19" x14ac:dyDescent="0.25">
      <x:c r="A63" t="str">
        <x:f>IFERROR(IF(0=LEN(ReferenceData!$A$63),"",ReferenceData!$A$63),"")</x:f>
        <x:v xml:space="preserve">        Global X E-Commerce ETF</x:v>
      </x:c>
      <x:c r="B63" t="str">
        <x:f>IFERROR(IF(0=LEN(ReferenceData!$B$63),"",ReferenceData!$B$63),"")</x:f>
        <x:v>EBIZ US Equity</x:v>
      </x:c>
      <x:c r="C63" t="str">
        <x:f>IFERROR(IF(0=LEN(ReferenceData!$C$63),"",ReferenceData!$C$63),"")</x:f>
        <x:v/>
      </x:c>
      <x:c r="D63" t="str">
        <x:f>IFERROR(IF(0=LEN(ReferenceData!$D$63),"",ReferenceData!$D$63),"")</x:f>
        <x:v/>
      </x:c>
      <x:c r="E63" t="str">
        <x:f>IFERROR(IF(0=LEN(ReferenceData!$E$63),"",ReferenceData!$E$63),"")</x:f>
        <x:v>Expression</x:v>
      </x:c>
      <x:c r="F63">
        <x:f ca="1">IFERROR(IF(0=LEN(ReferenceData!$F$63),"",ReferenceData!$F$63),"")</x:f>
        <x:v>0</x:v>
      </x:c>
      <x:c r="G63">
        <x:f ca="1">IFERROR(IF(0=LEN(ReferenceData!$G$63),"",ReferenceData!$G$63),"")</x:f>
        <x:v>5.2009999999999996</x:v>
      </x:c>
      <x:c r="H63">
        <x:f ca="1">IFERROR(IF(0=LEN(ReferenceData!$H$63),"",ReferenceData!$H$63),"")</x:f>
        <x:v>2.7254999999999998</x:v>
      </x:c>
      <x:c r="I63">
        <x:f ca="1">IFERROR(IF(0=LEN(ReferenceData!$I$63),"",ReferenceData!$I$63),"")</x:f>
        <x:v>6.7563000000000004</x:v>
      </x:c>
      <x:c r="J63">
        <x:f ca="1">IFERROR(IF(0=LEN(ReferenceData!$J$63),"",ReferenceData!$J$63),"")</x:f>
        <x:v>11.037000000000001</x:v>
      </x:c>
      <x:c r="K63">
        <x:f ca="1">IFERROR(IF(0=LEN(ReferenceData!$K$63),"",ReferenceData!$K$63),"")</x:f>
        <x:v>-2.3544</x:v>
      </x:c>
      <x:c r="L63">
        <x:f ca="1">IFERROR(IF(0=LEN(ReferenceData!$L$63),"",ReferenceData!$L$63),"")</x:f>
        <x:v>-2.4914999999999998</x:v>
      </x:c>
      <x:c r="M63">
        <x:f ca="1">IFERROR(IF(0=LEN(ReferenceData!$M$63),"",ReferenceData!$M$63),"")</x:f>
        <x:v>-2.5259999999999998</x:v>
      </x:c>
      <x:c r="N63">
        <x:f ca="1">IFERROR(IF(0=LEN(ReferenceData!$N$63),"",ReferenceData!$N$63),"")</x:f>
        <x:v>-1.575</x:v>
      </x:c>
      <x:c r="O63">
        <x:f ca="1">IFERROR(IF(0=LEN(ReferenceData!$O$63),"",ReferenceData!$O$63),"")</x:f>
        <x:v>3.548</x:v>
      </x:c>
      <x:c r="P63">
        <x:f ca="1">IFERROR(IF(0=LEN(ReferenceData!$P$63),"",ReferenceData!$P$63),"")</x:f>
        <x:v>-2.9205000000000001</x:v>
      </x:c>
      <x:c r="Q63">
        <x:f ca="1">IFERROR(IF(0=LEN(ReferenceData!$Q$63),"",ReferenceData!$Q$63),"")</x:f>
        <x:v>0</x:v>
      </x:c>
      <x:c r="R63">
        <x:f ca="1">IFERROR(IF(0=LEN(ReferenceData!$R$63),"",ReferenceData!$R$63),"")</x:f>
        <x:v>-0.63880000000000003</x:v>
      </x:c>
      <x:c r="S63">
        <x:f ca="1">IFERROR(IF(0=LEN(ReferenceData!$S$63),"",ReferenceData!$S$63),"")</x:f>
        <x:v>-1.3792</x:v>
      </x:c>
    </x:row>
    <x:row r="64" spans="1:19" x14ac:dyDescent="0.25">
      <x:c r="A64" t="str">
        <x:f>IFERROR(IF(0=LEN(ReferenceData!$A$64),"",ReferenceData!$A$64),"")</x:f>
        <x:v xml:space="preserve">        Direxion Daily Consumer Discre</x:v>
      </x:c>
      <x:c r="B64" t="str">
        <x:f>IFERROR(IF(0=LEN(ReferenceData!$B$64),"",ReferenceData!$B$64),"")</x:f>
        <x:v>PASS US Equity</x:v>
      </x:c>
      <x:c r="C64" t="str">
        <x:f>IFERROR(IF(0=LEN(ReferenceData!$C$64),"",ReferenceData!$C$64),"")</x:f>
        <x:v/>
      </x:c>
      <x:c r="D64" t="str">
        <x:f>IFERROR(IF(0=LEN(ReferenceData!$D$64),"",ReferenceData!$D$64),"")</x:f>
        <x:v/>
      </x:c>
      <x:c r="E64" t="str">
        <x:f>IFERROR(IF(0=LEN(ReferenceData!$E$64),"",ReferenceData!$E$64),"")</x:f>
        <x:v>Expression</x:v>
      </x:c>
      <x:c r="F64" t="str">
        <x:f ca="1">IFERROR(IF(0=LEN(ReferenceData!$F$64),"",ReferenceData!$F$64),"")</x:f>
        <x:v/>
      </x:c>
      <x:c r="G64" t="str">
        <x:f ca="1">IFERROR(IF(0=LEN(ReferenceData!$G$64),"",ReferenceData!$G$64),"")</x:f>
        <x:v/>
      </x:c>
      <x:c r="H64" t="str">
        <x:f ca="1">IFERROR(IF(0=LEN(ReferenceData!$H$64),"",ReferenceData!$H$64),"")</x:f>
        <x:v/>
      </x:c>
      <x:c r="I64" t="str">
        <x:f ca="1">IFERROR(IF(0=LEN(ReferenceData!$I$64),"",ReferenceData!$I$64),"")</x:f>
        <x:v/>
      </x:c>
      <x:c r="J64" t="str">
        <x:f ca="1">IFERROR(IF(0=LEN(ReferenceData!$J$64),"",ReferenceData!$J$64),"")</x:f>
        <x:v/>
      </x:c>
      <x:c r="K64" t="str">
        <x:f ca="1">IFERROR(IF(0=LEN(ReferenceData!$K$64),"",ReferenceData!$K$64),"")</x:f>
        <x:v/>
      </x:c>
      <x:c r="L64" t="str">
        <x:f ca="1">IFERROR(IF(0=LEN(ReferenceData!$L$64),"",ReferenceData!$L$64),"")</x:f>
        <x:v/>
      </x:c>
      <x:c r="M64" t="str">
        <x:f ca="1">IFERROR(IF(0=LEN(ReferenceData!$M$64),"",ReferenceData!$M$64),"")</x:f>
        <x:v/>
      </x:c>
      <x:c r="N64" t="str">
        <x:f ca="1">IFERROR(IF(0=LEN(ReferenceData!$N$64),"",ReferenceData!$N$64),"")</x:f>
        <x:v/>
      </x:c>
      <x:c r="O64" t="str">
        <x:f ca="1">IFERROR(IF(0=LEN(ReferenceData!$O$64),"",ReferenceData!$O$64),"")</x:f>
        <x:v/>
      </x:c>
      <x:c r="P64" t="str">
        <x:f ca="1">IFERROR(IF(0=LEN(ReferenceData!$P$64),"",ReferenceData!$P$64),"")</x:f>
        <x:v/>
      </x:c>
      <x:c r="Q64" t="str">
        <x:f ca="1">IFERROR(IF(0=LEN(ReferenceData!$Q$64),"",ReferenceData!$Q$64),"")</x:f>
        <x:v/>
      </x:c>
      <x:c r="R64" t="str">
        <x:f ca="1">IFERROR(IF(0=LEN(ReferenceData!$R$64),"",ReferenceData!$R$64),"")</x:f>
        <x:v/>
      </x:c>
      <x:c r="S64" t="str">
        <x:f ca="1">IFERROR(IF(0=LEN(ReferenceData!$S$64),"",ReferenceData!$S$64),"")</x:f>
        <x:v/>
      </x:c>
    </x:row>
    <x:row r="65" spans="1:19" x14ac:dyDescent="0.25">
      <x:c r="A65" t="str">
        <x:f>IFERROR(IF(0=LEN(ReferenceData!$A$65),"",ReferenceData!$A$65),"")</x:f>
        <x:v xml:space="preserve">        Direxion Daily Consumer Discre</x:v>
      </x:c>
      <x:c r="B65" t="str">
        <x:f>IFERROR(IF(0=LEN(ReferenceData!$B$65),"",ReferenceData!$B$65),"")</x:f>
        <x:v>WANT US Equity</x:v>
      </x:c>
      <x:c r="C65" t="str">
        <x:f>IFERROR(IF(0=LEN(ReferenceData!$C$65),"",ReferenceData!$C$65),"")</x:f>
        <x:v/>
      </x:c>
      <x:c r="D65" t="str">
        <x:f>IFERROR(IF(0=LEN(ReferenceData!$D$65),"",ReferenceData!$D$65),"")</x:f>
        <x:v/>
      </x:c>
      <x:c r="E65" t="str">
        <x:f>IFERROR(IF(0=LEN(ReferenceData!$E$65),"",ReferenceData!$E$65),"")</x:f>
        <x:v>Expression</x:v>
      </x:c>
      <x:c r="F65">
        <x:f ca="1">IFERROR(IF(0=LEN(ReferenceData!$F$65),"",ReferenceData!$F$65),"")</x:f>
        <x:v>-0.27044899999999999</x:v>
      </x:c>
      <x:c r="G65">
        <x:f ca="1">IFERROR(IF(0=LEN(ReferenceData!$G$65),"",ReferenceData!$G$65),"")</x:f>
        <x:v>1.0506819999999999</x:v>
      </x:c>
      <x:c r="H65">
        <x:f ca="1">IFERROR(IF(0=LEN(ReferenceData!$H$65),"",ReferenceData!$H$65),"")</x:f>
        <x:v>-1.696286</x:v>
      </x:c>
      <x:c r="I65">
        <x:f ca="1">IFERROR(IF(0=LEN(ReferenceData!$I$65),"",ReferenceData!$I$65),"")</x:f>
        <x:v>-3.0555409999999998</x:v>
      </x:c>
      <x:c r="J65">
        <x:f ca="1">IFERROR(IF(0=LEN(ReferenceData!$J$65),"",ReferenceData!$J$65),"")</x:f>
        <x:v>-1.757652</x:v>
      </x:c>
      <x:c r="K65">
        <x:f ca="1">IFERROR(IF(0=LEN(ReferenceData!$K$65),"",ReferenceData!$K$65),"")</x:f>
        <x:v>4.1561729999999999</x:v>
      </x:c>
      <x:c r="L65">
        <x:f ca="1">IFERROR(IF(0=LEN(ReferenceData!$L$65),"",ReferenceData!$L$65),"")</x:f>
        <x:v>-1.122468</x:v>
      </x:c>
      <x:c r="M65">
        <x:f ca="1">IFERROR(IF(0=LEN(ReferenceData!$M$65),"",ReferenceData!$M$65),"")</x:f>
        <x:v>0</x:v>
      </x:c>
      <x:c r="N65">
        <x:f ca="1">IFERROR(IF(0=LEN(ReferenceData!$N$65),"",ReferenceData!$N$65),"")</x:f>
        <x:v>-7.1019999999999998E-3</x:v>
      </x:c>
      <x:c r="O65">
        <x:f ca="1">IFERROR(IF(0=LEN(ReferenceData!$O$65),"",ReferenceData!$O$65),"")</x:f>
        <x:v>0</x:v>
      </x:c>
      <x:c r="P65">
        <x:f ca="1">IFERROR(IF(0=LEN(ReferenceData!$P$65),"",ReferenceData!$P$65),"")</x:f>
        <x:v>-0.24431900000000001</x:v>
      </x:c>
      <x:c r="Q65">
        <x:f ca="1">IFERROR(IF(0=LEN(ReferenceData!$Q$65),"",ReferenceData!$Q$65),"")</x:f>
        <x:v>0.77355700000000005</x:v>
      </x:c>
      <x:c r="R65">
        <x:f ca="1">IFERROR(IF(0=LEN(ReferenceData!$R$65),"",ReferenceData!$R$65),"")</x:f>
        <x:v>2.180917</x:v>
      </x:c>
      <x:c r="S65">
        <x:f ca="1">IFERROR(IF(0=LEN(ReferenceData!$S$65),"",ReferenceData!$S$65),"")</x:f>
        <x:v>1.2094590000000001</x:v>
      </x:c>
    </x:row>
    <x:row r="66" spans="1:19" x14ac:dyDescent="0.25">
      <x:c r="A66" t="str">
        <x:f>IFERROR(IF(0=LEN(ReferenceData!$A$66),"",ReferenceData!$A$66),"")</x:f>
        <x:v xml:space="preserve">        Infusive US Trust-Infusive R C</x:v>
      </x:c>
      <x:c r="B66" t="str">
        <x:f>IFERROR(IF(0=LEN(ReferenceData!$B$66),"",ReferenceData!$B$66),"")</x:f>
        <x:v>JOYY US Equity</x:v>
      </x:c>
      <x:c r="C66" t="str">
        <x:f>IFERROR(IF(0=LEN(ReferenceData!$C$66),"",ReferenceData!$C$66),"")</x:f>
        <x:v/>
      </x:c>
      <x:c r="D66" t="str">
        <x:f>IFERROR(IF(0=LEN(ReferenceData!$D$66),"",ReferenceData!$D$66),"")</x:f>
        <x:v/>
      </x:c>
      <x:c r="E66" t="str">
        <x:f>IFERROR(IF(0=LEN(ReferenceData!$E$66),"",ReferenceData!$E$66),"")</x:f>
        <x:v>Expression</x:v>
      </x:c>
      <x:c r="F66" t="str">
        <x:f ca="1">IFERROR(IF(0=LEN(ReferenceData!$F$66),"",ReferenceData!$F$66),"")</x:f>
        <x:v/>
      </x:c>
      <x:c r="G66" t="str">
        <x:f ca="1">IFERROR(IF(0=LEN(ReferenceData!$G$66),"",ReferenceData!$G$66),"")</x:f>
        <x:v/>
      </x:c>
      <x:c r="H66" t="str">
        <x:f ca="1">IFERROR(IF(0=LEN(ReferenceData!$H$66),"",ReferenceData!$H$66),"")</x:f>
        <x:v/>
      </x:c>
      <x:c r="I66" t="str">
        <x:f ca="1">IFERROR(IF(0=LEN(ReferenceData!$I$66),"",ReferenceData!$I$66),"")</x:f>
        <x:v/>
      </x:c>
      <x:c r="J66" t="str">
        <x:f ca="1">IFERROR(IF(0=LEN(ReferenceData!$J$66),"",ReferenceData!$J$66),"")</x:f>
        <x:v/>
      </x:c>
      <x:c r="K66" t="str">
        <x:f ca="1">IFERROR(IF(0=LEN(ReferenceData!$K$66),"",ReferenceData!$K$66),"")</x:f>
        <x:v/>
      </x:c>
      <x:c r="L66" t="str">
        <x:f ca="1">IFERROR(IF(0=LEN(ReferenceData!$L$66),"",ReferenceData!$L$66),"")</x:f>
        <x:v/>
      </x:c>
      <x:c r="M66" t="str">
        <x:f ca="1">IFERROR(IF(0=LEN(ReferenceData!$M$66),"",ReferenceData!$M$66),"")</x:f>
        <x:v/>
      </x:c>
      <x:c r="N66" t="str">
        <x:f ca="1">IFERROR(IF(0=LEN(ReferenceData!$N$66),"",ReferenceData!$N$66),"")</x:f>
        <x:v/>
      </x:c>
      <x:c r="O66" t="str">
        <x:f ca="1">IFERROR(IF(0=LEN(ReferenceData!$O$66),"",ReferenceData!$O$66),"")</x:f>
        <x:v/>
      </x:c>
      <x:c r="P66" t="str">
        <x:f ca="1">IFERROR(IF(0=LEN(ReferenceData!$P$66),"",ReferenceData!$P$66),"")</x:f>
        <x:v/>
      </x:c>
      <x:c r="Q66" t="str">
        <x:f ca="1">IFERROR(IF(0=LEN(ReferenceData!$Q$66),"",ReferenceData!$Q$66),"")</x:f>
        <x:v/>
      </x:c>
      <x:c r="R66" t="str">
        <x:f ca="1">IFERROR(IF(0=LEN(ReferenceData!$R$66),"",ReferenceData!$R$66),"")</x:f>
        <x:v/>
      </x:c>
      <x:c r="S66" t="str">
        <x:f ca="1">IFERROR(IF(0=LEN(ReferenceData!$S$66),"",ReferenceData!$S$66),"")</x:f>
        <x:v/>
      </x:c>
    </x:row>
    <x:row r="67" spans="1:19" x14ac:dyDescent="0.25">
      <x:c r="A67" t="str">
        <x:f>IFERROR(IF(0=LEN(ReferenceData!$A$67),"",ReferenceData!$A$67),"")</x:f>
        <x:v xml:space="preserve">        KraneShares CICC China Consume</x:v>
      </x:c>
      <x:c r="B67" t="str">
        <x:f>IFERROR(IF(0=LEN(ReferenceData!$B$67),"",ReferenceData!$B$67),"")</x:f>
        <x:v>KBUY US Equity</x:v>
      </x:c>
      <x:c r="C67" t="str">
        <x:f>IFERROR(IF(0=LEN(ReferenceData!$C$67),"",ReferenceData!$C$67),"")</x:f>
        <x:v/>
      </x:c>
      <x:c r="D67" t="str">
        <x:f>IFERROR(IF(0=LEN(ReferenceData!$D$67),"",ReferenceData!$D$67),"")</x:f>
        <x:v/>
      </x:c>
      <x:c r="E67" t="str">
        <x:f>IFERROR(IF(0=LEN(ReferenceData!$E$67),"",ReferenceData!$E$67),"")</x:f>
        <x:v>Expression</x:v>
      </x:c>
      <x:c r="F67">
        <x:f ca="1">IFERROR(IF(0=LEN(ReferenceData!$F$67),"",ReferenceData!$F$67),"")</x:f>
        <x:v>0</x:v>
      </x:c>
      <x:c r="G67">
        <x:f ca="1">IFERROR(IF(0=LEN(ReferenceData!$G$67),"",ReferenceData!$G$67),"")</x:f>
        <x:v>0</x:v>
      </x:c>
      <x:c r="H67">
        <x:f ca="1">IFERROR(IF(0=LEN(ReferenceData!$H$67),"",ReferenceData!$H$67),"")</x:f>
        <x:v>0</x:v>
      </x:c>
      <x:c r="I67">
        <x:f ca="1">IFERROR(IF(0=LEN(ReferenceData!$I$67),"",ReferenceData!$I$67),"")</x:f>
        <x:v>0</x:v>
      </x:c>
      <x:c r="J67">
        <x:f ca="1">IFERROR(IF(0=LEN(ReferenceData!$J$67),"",ReferenceData!$J$67),"")</x:f>
        <x:v>0</x:v>
      </x:c>
      <x:c r="K67">
        <x:f ca="1">IFERROR(IF(0=LEN(ReferenceData!$K$67),"",ReferenceData!$K$67),"")</x:f>
        <x:v>0</x:v>
      </x:c>
      <x:c r="L67">
        <x:f ca="1">IFERROR(IF(0=LEN(ReferenceData!$L$67),"",ReferenceData!$L$67),"")</x:f>
        <x:v>0</x:v>
      </x:c>
      <x:c r="M67">
        <x:f ca="1">IFERROR(IF(0=LEN(ReferenceData!$M$67),"",ReferenceData!$M$67),"")</x:f>
        <x:v>0</x:v>
      </x:c>
      <x:c r="N67">
        <x:f ca="1">IFERROR(IF(0=LEN(ReferenceData!$N$67),"",ReferenceData!$N$67),"")</x:f>
        <x:v>0</x:v>
      </x:c>
      <x:c r="O67">
        <x:f ca="1">IFERROR(IF(0=LEN(ReferenceData!$O$67),"",ReferenceData!$O$67),"")</x:f>
        <x:v>0</x:v>
      </x:c>
      <x:c r="P67">
        <x:f ca="1">IFERROR(IF(0=LEN(ReferenceData!$P$67),"",ReferenceData!$P$67),"")</x:f>
        <x:v>0</x:v>
      </x:c>
      <x:c r="Q67">
        <x:f ca="1">IFERROR(IF(0=LEN(ReferenceData!$Q$67),"",ReferenceData!$Q$67),"")</x:f>
        <x:v>0</x:v>
      </x:c>
      <x:c r="R67">
        <x:f ca="1">IFERROR(IF(0=LEN(ReferenceData!$R$67),"",ReferenceData!$R$67),"")</x:f>
        <x:v>-0.83599999999999997</x:v>
      </x:c>
      <x:c r="S67">
        <x:f ca="1">IFERROR(IF(0=LEN(ReferenceData!$S$67),"",ReferenceData!$S$67),"")</x:f>
        <x:v>0</x:v>
      </x:c>
    </x:row>
    <x:row r="68" spans="1:19" x14ac:dyDescent="0.25">
      <x:c r="A68" t="str">
        <x:f>IFERROR(IF(0=LEN(ReferenceData!$A$68),"",ReferenceData!$A$68),"")</x:f>
        <x:v xml:space="preserve">        AXS 2X NKE Bull Daily ETF</x:v>
      </x:c>
      <x:c r="B68" t="str">
        <x:f>IFERROR(IF(0=LEN(ReferenceData!$B$68),"",ReferenceData!$B$68),"")</x:f>
        <x:v>NKEL US Equity</x:v>
      </x:c>
      <x:c r="C68" t="str">
        <x:f>IFERROR(IF(0=LEN(ReferenceData!$C$68),"",ReferenceData!$C$68),"")</x:f>
        <x:v/>
      </x:c>
      <x:c r="D68" t="str">
        <x:f>IFERROR(IF(0=LEN(ReferenceData!$D$68),"",ReferenceData!$D$68),"")</x:f>
        <x:v/>
      </x:c>
      <x:c r="E68" t="str">
        <x:f>IFERROR(IF(0=LEN(ReferenceData!$E$68),"",ReferenceData!$E$68),"")</x:f>
        <x:v>Expression</x:v>
      </x:c>
      <x:c r="F68" t="str">
        <x:f ca="1">IFERROR(IF(0=LEN(ReferenceData!$F$68),"",ReferenceData!$F$68),"")</x:f>
        <x:v/>
      </x:c>
      <x:c r="G68" t="str">
        <x:f ca="1">IFERROR(IF(0=LEN(ReferenceData!$G$68),"",ReferenceData!$G$68),"")</x:f>
        <x:v/>
      </x:c>
      <x:c r="H68" t="str">
        <x:f ca="1">IFERROR(IF(0=LEN(ReferenceData!$H$68),"",ReferenceData!$H$68),"")</x:f>
        <x:v/>
      </x:c>
      <x:c r="I68" t="str">
        <x:f ca="1">IFERROR(IF(0=LEN(ReferenceData!$I$68),"",ReferenceData!$I$68),"")</x:f>
        <x:v/>
      </x:c>
      <x:c r="J68" t="str">
        <x:f ca="1">IFERROR(IF(0=LEN(ReferenceData!$J$68),"",ReferenceData!$J$68),"")</x:f>
        <x:v/>
      </x:c>
      <x:c r="K68">
        <x:f ca="1">IFERROR(IF(0=LEN(ReferenceData!$K$68),"",ReferenceData!$K$68),"")</x:f>
        <x:v>0.58412200000000003</x:v>
      </x:c>
      <x:c r="L68">
        <x:f ca="1">IFERROR(IF(0=LEN(ReferenceData!$L$68),"",ReferenceData!$L$68),"")</x:f>
        <x:v>-0.115777</x:v>
      </x:c>
      <x:c r="M68">
        <x:f ca="1">IFERROR(IF(0=LEN(ReferenceData!$M$68),"",ReferenceData!$M$68),"")</x:f>
        <x:v>0</x:v>
      </x:c>
      <x:c r="N68">
        <x:f ca="1">IFERROR(IF(0=LEN(ReferenceData!$N$68),"",ReferenceData!$N$68),"")</x:f>
        <x:v>1.054E-3</x:v>
      </x:c>
      <x:c r="O68">
        <x:f ca="1">IFERROR(IF(0=LEN(ReferenceData!$O$68),"",ReferenceData!$O$68),"")</x:f>
        <x:v>0</x:v>
      </x:c>
      <x:c r="P68">
        <x:f ca="1">IFERROR(IF(0=LEN(ReferenceData!$P$68),"",ReferenceData!$P$68),"")</x:f>
        <x:v>-0.371919</x:v>
      </x:c>
      <x:c r="Q68">
        <x:f ca="1">IFERROR(IF(0=LEN(ReferenceData!$Q$68),"",ReferenceData!$Q$68),"")</x:f>
        <x:v>0</x:v>
      </x:c>
      <x:c r="R68">
        <x:f ca="1">IFERROR(IF(0=LEN(ReferenceData!$R$68),"",ReferenceData!$R$68),"")</x:f>
        <x:v>0.28517100000000001</x:v>
      </x:c>
      <x:c r="S68">
        <x:f ca="1">IFERROR(IF(0=LEN(ReferenceData!$S$68),"",ReferenceData!$S$68),"")</x:f>
        <x:v>0</x:v>
      </x:c>
    </x:row>
    <x:row r="69" spans="1:19" x14ac:dyDescent="0.25">
      <x:c r="A69" t="str">
        <x:f>IFERROR(IF(0=LEN(ReferenceData!$A$69),"",ReferenceData!$A$69),"")</x:f>
        <x:v xml:space="preserve">        AXS 2X NKE Bear Daily ETF</x:v>
      </x:c>
      <x:c r="B69" t="str">
        <x:f>IFERROR(IF(0=LEN(ReferenceData!$B$69),"",ReferenceData!$B$69),"")</x:f>
        <x:v>NKEQ US Equity</x:v>
      </x:c>
      <x:c r="C69" t="str">
        <x:f>IFERROR(IF(0=LEN(ReferenceData!$C$69),"",ReferenceData!$C$69),"")</x:f>
        <x:v/>
      </x:c>
      <x:c r="D69" t="str">
        <x:f>IFERROR(IF(0=LEN(ReferenceData!$D$69),"",ReferenceData!$D$69),"")</x:f>
        <x:v/>
      </x:c>
      <x:c r="E69" t="str">
        <x:f>IFERROR(IF(0=LEN(ReferenceData!$E$69),"",ReferenceData!$E$69),"")</x:f>
        <x:v>Expression</x:v>
      </x:c>
      <x:c r="F69" t="str">
        <x:f ca="1">IFERROR(IF(0=LEN(ReferenceData!$F$69),"",ReferenceData!$F$69),"")</x:f>
        <x:v/>
      </x:c>
      <x:c r="G69" t="str">
        <x:f ca="1">IFERROR(IF(0=LEN(ReferenceData!$G$69),"",ReferenceData!$G$69),"")</x:f>
        <x:v/>
      </x:c>
      <x:c r="H69" t="str">
        <x:f ca="1">IFERROR(IF(0=LEN(ReferenceData!$H$69),"",ReferenceData!$H$69),"")</x:f>
        <x:v/>
      </x:c>
      <x:c r="I69" t="str">
        <x:f ca="1">IFERROR(IF(0=LEN(ReferenceData!$I$69),"",ReferenceData!$I$69),"")</x:f>
        <x:v/>
      </x:c>
      <x:c r="J69" t="str">
        <x:f ca="1">IFERROR(IF(0=LEN(ReferenceData!$J$69),"",ReferenceData!$J$69),"")</x:f>
        <x:v/>
      </x:c>
      <x:c r="K69">
        <x:f ca="1">IFERROR(IF(0=LEN(ReferenceData!$K$69),"",ReferenceData!$K$69),"")</x:f>
        <x:v>-0.33798800000000001</x:v>
      </x:c>
      <x:c r="L69">
        <x:f ca="1">IFERROR(IF(0=LEN(ReferenceData!$L$69),"",ReferenceData!$L$69),"")</x:f>
        <x:v>-0.51868499999999995</x:v>
      </x:c>
      <x:c r="M69">
        <x:f ca="1">IFERROR(IF(0=LEN(ReferenceData!$M$69),"",ReferenceData!$M$69),"")</x:f>
        <x:v>0</x:v>
      </x:c>
      <x:c r="N69">
        <x:f ca="1">IFERROR(IF(0=LEN(ReferenceData!$N$69),"",ReferenceData!$N$69),"")</x:f>
        <x:v>-0.13420099999999999</x:v>
      </x:c>
      <x:c r="O69">
        <x:f ca="1">IFERROR(IF(0=LEN(ReferenceData!$O$69),"",ReferenceData!$O$69),"")</x:f>
        <x:v>0</x:v>
      </x:c>
      <x:c r="P69">
        <x:f ca="1">IFERROR(IF(0=LEN(ReferenceData!$P$69),"",ReferenceData!$P$69),"")</x:f>
        <x:v>0.28737499999999999</x:v>
      </x:c>
      <x:c r="Q69">
        <x:f ca="1">IFERROR(IF(0=LEN(ReferenceData!$Q$69),"",ReferenceData!$Q$69),"")</x:f>
        <x:v>0</x:v>
      </x:c>
      <x:c r="R69">
        <x:f ca="1">IFERROR(IF(0=LEN(ReferenceData!$R$69),"",ReferenceData!$R$69),"")</x:f>
        <x:v>0.38100200000000001</x:v>
      </x:c>
      <x:c r="S69">
        <x:f ca="1">IFERROR(IF(0=LEN(ReferenceData!$S$69),"",ReferenceData!$S$69),"")</x:f>
        <x:v>0</x:v>
      </x:c>
    </x:row>
    <x:row r="70" spans="1:19" x14ac:dyDescent="0.25">
      <x:c r="A70" t="str">
        <x:f>IFERROR(IF(0=LEN(ReferenceData!$A$70),"",ReferenceData!$A$70),"")</x:f>
        <x:v xml:space="preserve">        GraniteShares 1x Short TSLA Da</x:v>
      </x:c>
      <x:c r="B70" t="str">
        <x:f>IFERROR(IF(0=LEN(ReferenceData!$B$70),"",ReferenceData!$B$70),"")</x:f>
        <x:v>TSLI US Equity</x:v>
      </x:c>
      <x:c r="C70" t="str">
        <x:f>IFERROR(IF(0=LEN(ReferenceData!$C$70),"",ReferenceData!$C$70),"")</x:f>
        <x:v/>
      </x:c>
      <x:c r="D70" t="str">
        <x:f>IFERROR(IF(0=LEN(ReferenceData!$D$70),"",ReferenceData!$D$70),"")</x:f>
        <x:v/>
      </x:c>
      <x:c r="E70" t="str">
        <x:f>IFERROR(IF(0=LEN(ReferenceData!$E$70),"",ReferenceData!$E$70),"")</x:f>
        <x:v>Expression</x:v>
      </x:c>
      <x:c r="F70" t="str">
        <x:f ca="1">IFERROR(IF(0=LEN(ReferenceData!$F$70),"",ReferenceData!$F$70),"")</x:f>
        <x:v/>
      </x:c>
      <x:c r="G70" t="str">
        <x:f ca="1">IFERROR(IF(0=LEN(ReferenceData!$G$70),"",ReferenceData!$G$70),"")</x:f>
        <x:v/>
      </x:c>
      <x:c r="H70" t="str">
        <x:f ca="1">IFERROR(IF(0=LEN(ReferenceData!$H$70),"",ReferenceData!$H$70),"")</x:f>
        <x:v/>
      </x:c>
      <x:c r="I70" t="str">
        <x:f ca="1">IFERROR(IF(0=LEN(ReferenceData!$I$70),"",ReferenceData!$I$70),"")</x:f>
        <x:v/>
      </x:c>
      <x:c r="J70" t="str">
        <x:f ca="1">IFERROR(IF(0=LEN(ReferenceData!$J$70),"",ReferenceData!$J$70),"")</x:f>
        <x:v/>
      </x:c>
      <x:c r="K70">
        <x:f ca="1">IFERROR(IF(0=LEN(ReferenceData!$K$70),"",ReferenceData!$K$70),"")</x:f>
        <x:v>0</x:v>
      </x:c>
      <x:c r="L70">
        <x:f ca="1">IFERROR(IF(0=LEN(ReferenceData!$L$70),"",ReferenceData!$L$70),"")</x:f>
        <x:v>1.2447630000000001</x:v>
      </x:c>
      <x:c r="M70">
        <x:f ca="1">IFERROR(IF(0=LEN(ReferenceData!$M$70),"",ReferenceData!$M$70),"")</x:f>
        <x:v>-1.397915</x:v>
      </x:c>
      <x:c r="N70">
        <x:f ca="1">IFERROR(IF(0=LEN(ReferenceData!$N$70),"",ReferenceData!$N$70),"")</x:f>
        <x:v>0.827461</x:v>
      </x:c>
      <x:c r="O70">
        <x:f ca="1">IFERROR(IF(0=LEN(ReferenceData!$O$70),"",ReferenceData!$O$70),"")</x:f>
        <x:v>0.52533399999999997</x:v>
      </x:c>
      <x:c r="P70">
        <x:f ca="1">IFERROR(IF(0=LEN(ReferenceData!$P$70),"",ReferenceData!$P$70),"")</x:f>
        <x:v>-1.920374</x:v>
      </x:c>
      <x:c r="Q70">
        <x:f ca="1">IFERROR(IF(0=LEN(ReferenceData!$Q$70),"",ReferenceData!$Q$70),"")</x:f>
        <x:v>2.8783859999999999</x:v>
      </x:c>
      <x:c r="R70">
        <x:f ca="1">IFERROR(IF(0=LEN(ReferenceData!$R$70),"",ReferenceData!$R$70),"")</x:f>
        <x:v>-0.41283500000000001</x:v>
      </x:c>
      <x:c r="S70">
        <x:f ca="1">IFERROR(IF(0=LEN(ReferenceData!$S$70),"",ReferenceData!$S$70),"")</x:f>
        <x:v>0.321575</x:v>
      </x:c>
    </x:row>
    <x:row r="71" spans="1:19" x14ac:dyDescent="0.25">
      <x:c r="A71" t="str">
        <x:f>IFERROR(IF(0=LEN(ReferenceData!$A$71),"",ReferenceData!$A$71),"")</x:f>
        <x:v xml:space="preserve">        Direxion Daily TSLA Bull 1.5X</x:v>
      </x:c>
      <x:c r="B71" t="str">
        <x:f>IFERROR(IF(0=LEN(ReferenceData!$B$71),"",ReferenceData!$B$71),"")</x:f>
        <x:v>TSLL US Equity</x:v>
      </x:c>
      <x:c r="C71" t="str">
        <x:f>IFERROR(IF(0=LEN(ReferenceData!$C$71),"",ReferenceData!$C$71),"")</x:f>
        <x:v/>
      </x:c>
      <x:c r="D71" t="str">
        <x:f>IFERROR(IF(0=LEN(ReferenceData!$D$71),"",ReferenceData!$D$71),"")</x:f>
        <x:v/>
      </x:c>
      <x:c r="E71" t="str">
        <x:f>IFERROR(IF(0=LEN(ReferenceData!$E$71),"",ReferenceData!$E$71),"")</x:f>
        <x:v>Expression</x:v>
      </x:c>
      <x:c r="F71">
        <x:f ca="1">IFERROR(IF(0=LEN(ReferenceData!$F$71),"",ReferenceData!$F$71),"")</x:f>
        <x:v>1.7773220000000001</x:v>
      </x:c>
      <x:c r="G71">
        <x:f ca="1">IFERROR(IF(0=LEN(ReferenceData!$G$71),"",ReferenceData!$G$71),"")</x:f>
        <x:v>46.767459000000002</x:v>
      </x:c>
      <x:c r="H71">
        <x:f ca="1">IFERROR(IF(0=LEN(ReferenceData!$H$71),"",ReferenceData!$H$71),"")</x:f>
        <x:v>26.558109000000002</x:v>
      </x:c>
      <x:c r="I71">
        <x:f ca="1">IFERROR(IF(0=LEN(ReferenceData!$I$71),"",ReferenceData!$I$71),"")</x:f>
        <x:v>34.481836999999999</x:v>
      </x:c>
      <x:c r="J71">
        <x:f ca="1">IFERROR(IF(0=LEN(ReferenceData!$J$71),"",ReferenceData!$J$71),"")</x:f>
        <x:v>246.958012</x:v>
      </x:c>
      <x:c r="K71">
        <x:f ca="1">IFERROR(IF(0=LEN(ReferenceData!$K$71),"",ReferenceData!$K$71),"")</x:f>
        <x:v>9.189864</x:v>
      </x:c>
      <x:c r="L71">
        <x:f ca="1">IFERROR(IF(0=LEN(ReferenceData!$L$71),"",ReferenceData!$L$71),"")</x:f>
        <x:v>-20.869378000000001</x:v>
      </x:c>
      <x:c r="M71">
        <x:f ca="1">IFERROR(IF(0=LEN(ReferenceData!$M$71),"",ReferenceData!$M$71),"")</x:f>
        <x:v>78.535696000000002</x:v>
      </x:c>
      <x:c r="N71">
        <x:f ca="1">IFERROR(IF(0=LEN(ReferenceData!$N$71),"",ReferenceData!$N$71),"")</x:f>
        <x:v>44.149813000000002</x:v>
      </x:c>
      <x:c r="O71">
        <x:f ca="1">IFERROR(IF(0=LEN(ReferenceData!$O$71),"",ReferenceData!$O$71),"")</x:f>
        <x:v>86.135461000000006</x:v>
      </x:c>
      <x:c r="P71">
        <x:f ca="1">IFERROR(IF(0=LEN(ReferenceData!$P$71),"",ReferenceData!$P$71),"")</x:f>
        <x:v>4.2911320000000002</x:v>
      </x:c>
      <x:c r="Q71">
        <x:f ca="1">IFERROR(IF(0=LEN(ReferenceData!$Q$71),"",ReferenceData!$Q$71),"")</x:f>
        <x:v>117.207409</x:v>
      </x:c>
      <x:c r="R71">
        <x:f ca="1">IFERROR(IF(0=LEN(ReferenceData!$R$71),"",ReferenceData!$R$71),"")</x:f>
        <x:v>53.196455</x:v>
      </x:c>
      <x:c r="S71">
        <x:f ca="1">IFERROR(IF(0=LEN(ReferenceData!$S$71),"",ReferenceData!$S$71),"")</x:f>
        <x:v>55.343653000000003</x:v>
      </x:c>
    </x:row>
    <x:row r="72" spans="1:19" x14ac:dyDescent="0.25">
      <x:c r="A72" t="str">
        <x:f>IFERROR(IF(0=LEN(ReferenceData!$A$72),"",ReferenceData!$A$72),"")</x:f>
        <x:v xml:space="preserve">        Direxion Daily TSLA Bear 1X Sh</x:v>
      </x:c>
      <x:c r="B72" t="str">
        <x:f>IFERROR(IF(0=LEN(ReferenceData!$B$72),"",ReferenceData!$B$72),"")</x:f>
        <x:v>TSLS US Equity</x:v>
      </x:c>
      <x:c r="C72" t="str">
        <x:f>IFERROR(IF(0=LEN(ReferenceData!$C$72),"",ReferenceData!$C$72),"")</x:f>
        <x:v/>
      </x:c>
      <x:c r="D72" t="str">
        <x:f>IFERROR(IF(0=LEN(ReferenceData!$D$72),"",ReferenceData!$D$72),"")</x:f>
        <x:v/>
      </x:c>
      <x:c r="E72" t="str">
        <x:f>IFERROR(IF(0=LEN(ReferenceData!$E$72),"",ReferenceData!$E$72),"")</x:f>
        <x:v>Expression</x:v>
      </x:c>
      <x:c r="F72">
        <x:f ca="1">IFERROR(IF(0=LEN(ReferenceData!$F$72),"",ReferenceData!$F$72),"")</x:f>
        <x:v>-1.62323</x:v>
      </x:c>
      <x:c r="G72">
        <x:f ca="1">IFERROR(IF(0=LEN(ReferenceData!$G$72),"",ReferenceData!$G$72),"")</x:f>
        <x:v>-13.106494</x:v>
      </x:c>
      <x:c r="H72">
        <x:f ca="1">IFERROR(IF(0=LEN(ReferenceData!$H$72),"",ReferenceData!$H$72),"")</x:f>
        <x:v>7.5329410000000001</x:v>
      </x:c>
      <x:c r="I72">
        <x:f ca="1">IFERROR(IF(0=LEN(ReferenceData!$I$72),"",ReferenceData!$I$72),"")</x:f>
        <x:v>-1.6379589999999999</x:v>
      </x:c>
      <x:c r="J72">
        <x:f ca="1">IFERROR(IF(0=LEN(ReferenceData!$J$72),"",ReferenceData!$J$72),"")</x:f>
        <x:v>-2.1151599999999999</x:v>
      </x:c>
      <x:c r="K72">
        <x:f ca="1">IFERROR(IF(0=LEN(ReferenceData!$K$72),"",ReferenceData!$K$72),"")</x:f>
        <x:v>23.505406000000001</x:v>
      </x:c>
      <x:c r="L72">
        <x:f ca="1">IFERROR(IF(0=LEN(ReferenceData!$L$72),"",ReferenceData!$L$72),"")</x:f>
        <x:v>-2.8281619999999998</x:v>
      </x:c>
      <x:c r="M72">
        <x:f ca="1">IFERROR(IF(0=LEN(ReferenceData!$M$72),"",ReferenceData!$M$72),"")</x:f>
        <x:v>-5.0391890000000004</x:v>
      </x:c>
      <x:c r="N72">
        <x:f ca="1">IFERROR(IF(0=LEN(ReferenceData!$N$72),"",ReferenceData!$N$72),"")</x:f>
        <x:v>-24.051772</x:v>
      </x:c>
      <x:c r="O72">
        <x:f ca="1">IFERROR(IF(0=LEN(ReferenceData!$O$72),"",ReferenceData!$O$72),"")</x:f>
        <x:v>4.5913360000000001</x:v>
      </x:c>
      <x:c r="P72">
        <x:f ca="1">IFERROR(IF(0=LEN(ReferenceData!$P$72),"",ReferenceData!$P$72),"")</x:f>
        <x:v>50.375230000000002</x:v>
      </x:c>
      <x:c r="Q72">
        <x:f ca="1">IFERROR(IF(0=LEN(ReferenceData!$Q$72),"",ReferenceData!$Q$72),"")</x:f>
        <x:v>8.6124500000000008</x:v>
      </x:c>
      <x:c r="R72">
        <x:f ca="1">IFERROR(IF(0=LEN(ReferenceData!$R$72),"",ReferenceData!$R$72),"")</x:f>
        <x:v>6.663926</x:v>
      </x:c>
      <x:c r="S72">
        <x:f ca="1">IFERROR(IF(0=LEN(ReferenceData!$S$72),"",ReferenceData!$S$72),"")</x:f>
        <x:v>2.021112</x:v>
      </x:c>
    </x:row>
    <x:row r="73" spans="1:19" x14ac:dyDescent="0.25">
      <x:c r="A73" t="str">
        <x:f>IFERROR(IF(0=LEN(ReferenceData!$A$73),"",ReferenceData!$A$73),"")</x:f>
        <x:v xml:space="preserve">        Yieldmax Tsla Option Income Et</x:v>
      </x:c>
      <x:c r="B73" t="str">
        <x:f>IFERROR(IF(0=LEN(ReferenceData!$B$73),"",ReferenceData!$B$73),"")</x:f>
        <x:v>TSLY US Equity</x:v>
      </x:c>
      <x:c r="C73" t="str">
        <x:f>IFERROR(IF(0=LEN(ReferenceData!$C$73),"",ReferenceData!$C$73),"")</x:f>
        <x:v/>
      </x:c>
      <x:c r="D73" t="str">
        <x:f>IFERROR(IF(0=LEN(ReferenceData!$D$73),"",ReferenceData!$D$73),"")</x:f>
        <x:v/>
      </x:c>
      <x:c r="E73" t="str">
        <x:f>IFERROR(IF(0=LEN(ReferenceData!$E$73),"",ReferenceData!$E$73),"")</x:f>
        <x:v>Expression</x:v>
      </x:c>
      <x:c r="F73">
        <x:f ca="1">IFERROR(IF(0=LEN(ReferenceData!$F$73),"",ReferenceData!$F$73),"")</x:f>
        <x:v>68.750083000000004</x:v>
      </x:c>
      <x:c r="G73">
        <x:f ca="1">IFERROR(IF(0=LEN(ReferenceData!$G$73),"",ReferenceData!$G$73),"")</x:f>
        <x:v>116.47972</x:v>
      </x:c>
      <x:c r="H73">
        <x:f ca="1">IFERROR(IF(0=LEN(ReferenceData!$H$73),"",ReferenceData!$H$73),"")</x:f>
        <x:v>162.71022500000001</x:v>
      </x:c>
      <x:c r="I73">
        <x:f ca="1">IFERROR(IF(0=LEN(ReferenceData!$I$73),"",ReferenceData!$I$73),"")</x:f>
        <x:v>297.821888</x:v>
      </x:c>
      <x:c r="J73">
        <x:f ca="1">IFERROR(IF(0=LEN(ReferenceData!$J$73),"",ReferenceData!$J$73),"")</x:f>
        <x:v>187.19546</x:v>
      </x:c>
      <x:c r="K73">
        <x:f ca="1">IFERROR(IF(0=LEN(ReferenceData!$K$73),"",ReferenceData!$K$73),"")</x:f>
        <x:v>70.722836999999998</x:v>
      </x:c>
      <x:c r="L73">
        <x:f ca="1">IFERROR(IF(0=LEN(ReferenceData!$L$73),"",ReferenceData!$L$73),"")</x:f>
        <x:v>17.785537000000001</x:v>
      </x:c>
      <x:c r="M73">
        <x:f ca="1">IFERROR(IF(0=LEN(ReferenceData!$M$73),"",ReferenceData!$M$73),"")</x:f>
        <x:v>38.626582999999997</x:v>
      </x:c>
      <x:c r="N73">
        <x:f ca="1">IFERROR(IF(0=LEN(ReferenceData!$N$73),"",ReferenceData!$N$73),"")</x:f>
        <x:v>16.399084999999999</x:v>
      </x:c>
      <x:c r="O73">
        <x:f ca="1">IFERROR(IF(0=LEN(ReferenceData!$O$73),"",ReferenceData!$O$73),"")</x:f>
        <x:v>3.3651879999999998</x:v>
      </x:c>
      <x:c r="P73">
        <x:f ca="1">IFERROR(IF(0=LEN(ReferenceData!$P$73),"",ReferenceData!$P$73),"")</x:f>
        <x:v>0</x:v>
      </x:c>
      <x:c r="Q73">
        <x:f ca="1">IFERROR(IF(0=LEN(ReferenceData!$Q$73),"",ReferenceData!$Q$73),"")</x:f>
        <x:v>0</x:v>
      </x:c>
      <x:c r="R73">
        <x:f ca="1">IFERROR(IF(0=LEN(ReferenceData!$R$73),"",ReferenceData!$R$73),"")</x:f>
        <x:v>0</x:v>
      </x:c>
      <x:c r="S73" t="str">
        <x:f ca="1">IFERROR(IF(0=LEN(ReferenceData!$S$73),"",ReferenceData!$S$73),"")</x:f>
        <x:v/>
      </x:c>
    </x:row>
    <x:row r="74" spans="1:19" x14ac:dyDescent="0.25">
      <x:c r="A74" t="str">
        <x:f>IFERROR(IF(0=LEN(ReferenceData!$A$74),"",ReferenceData!$A$74),"")</x:f>
        <x:v xml:space="preserve">    Consumer Staples</x:v>
      </x:c>
      <x:c r="B74" t="str">
        <x:f>IFERROR(IF(0=LEN(ReferenceData!$B$74),"",ReferenceData!$B$74),"")</x:f>
        <x:v/>
      </x:c>
      <x:c r="C74" t="str">
        <x:f>IFERROR(IF(0=LEN(ReferenceData!$C$74),"",ReferenceData!$C$74),"")</x:f>
        <x:v/>
      </x:c>
      <x:c r="D74" t="str">
        <x:f>IFERROR(IF(0=LEN(ReferenceData!$D$74),"",ReferenceData!$D$74),"")</x:f>
        <x:v/>
      </x:c>
      <x:c r="E74" t="str">
        <x:f>IFERROR(IF(0=LEN(ReferenceData!$E$74),"",ReferenceData!$E$74),"")</x:f>
        <x:v>Sum</x:v>
      </x:c>
      <x:c r="F74">
        <x:f ca="1">IFERROR(IF(0=LEN(ReferenceData!$F$74),"",ReferenceData!$F$74),"")</x:f>
        <x:v>-944.56873900000016</x:v>
      </x:c>
      <x:c r="G74">
        <x:f ca="1">IFERROR(IF(0=LEN(ReferenceData!$G$74),"",ReferenceData!$G$74),"")</x:f>
        <x:v>-639.02576599999986</x:v>
      </x:c>
      <x:c r="H74">
        <x:f ca="1">IFERROR(IF(0=LEN(ReferenceData!$H$74),"",ReferenceData!$H$74),"")</x:f>
        <x:v>-633.63069199999995</x:v>
      </x:c>
      <x:c r="I74">
        <x:f ca="1">IFERROR(IF(0=LEN(ReferenceData!$I$74),"",ReferenceData!$I$74),"")</x:f>
        <x:v>-863.27417500000001</x:v>
      </x:c>
      <x:c r="J74">
        <x:f ca="1">IFERROR(IF(0=LEN(ReferenceData!$J$74),"",ReferenceData!$J$74),"")</x:f>
        <x:v>594.76071999999999</x:v>
      </x:c>
      <x:c r="K74">
        <x:f ca="1">IFERROR(IF(0=LEN(ReferenceData!$K$74),"",ReferenceData!$K$74),"")</x:f>
        <x:v>-711.61822600000005</x:v>
      </x:c>
      <x:c r="L74">
        <x:f ca="1">IFERROR(IF(0=LEN(ReferenceData!$L$74),"",ReferenceData!$L$74),"")</x:f>
        <x:v>-38.124296999999984</x:v>
      </x:c>
      <x:c r="M74">
        <x:f ca="1">IFERROR(IF(0=LEN(ReferenceData!$M$74),"",ReferenceData!$M$74),"")</x:f>
        <x:v>1359.5211099999999</x:v>
      </x:c>
      <x:c r="N74">
        <x:f ca="1">IFERROR(IF(0=LEN(ReferenceData!$N$74),"",ReferenceData!$N$74),"")</x:f>
        <x:v>110.30325500000001</x:v>
      </x:c>
      <x:c r="O74">
        <x:f ca="1">IFERROR(IF(0=LEN(ReferenceData!$O$74),"",ReferenceData!$O$74),"")</x:f>
        <x:v>-476.5608390000001</x:v>
      </x:c>
      <x:c r="P74">
        <x:f ca="1">IFERROR(IF(0=LEN(ReferenceData!$P$74),"",ReferenceData!$P$74),"")</x:f>
        <x:v>-16.042919000000008</x:v>
      </x:c>
      <x:c r="Q74">
        <x:f ca="1">IFERROR(IF(0=LEN(ReferenceData!$Q$74),"",ReferenceData!$Q$74),"")</x:f>
        <x:v>428.63397299999997</x:v>
      </x:c>
      <x:c r="R74">
        <x:f ca="1">IFERROR(IF(0=LEN(ReferenceData!$R$74),"",ReferenceData!$R$74),"")</x:f>
        <x:v>1183.2080880000003</x:v>
      </x:c>
      <x:c r="S74">
        <x:f ca="1">IFERROR(IF(0=LEN(ReferenceData!$S$74),"",ReferenceData!$S$74),"")</x:f>
        <x:v>284.54547400000001</x:v>
      </x:c>
    </x:row>
    <x:row r="75" spans="1:19" x14ac:dyDescent="0.25">
      <x:c r="A75" t="str">
        <x:f>IFERROR(IF(0=LEN(ReferenceData!$A$75),"",ReferenceData!$A$75),"")</x:f>
        <x:v xml:space="preserve">        Consumer Staples Select Sector</x:v>
      </x:c>
      <x:c r="B75" t="str">
        <x:f>IFERROR(IF(0=LEN(ReferenceData!$B$75),"",ReferenceData!$B$75),"")</x:f>
        <x:v>XLP US Equity</x:v>
      </x:c>
      <x:c r="C75" t="str">
        <x:f>IFERROR(IF(0=LEN(ReferenceData!$C$75),"",ReferenceData!$C$75),"")</x:f>
        <x:v/>
      </x:c>
      <x:c r="D75" t="str">
        <x:f>IFERROR(IF(0=LEN(ReferenceData!$D$75),"",ReferenceData!$D$75),"")</x:f>
        <x:v/>
      </x:c>
      <x:c r="E75" t="str">
        <x:f>IFERROR(IF(0=LEN(ReferenceData!$E$75),"",ReferenceData!$E$75),"")</x:f>
        <x:v>Expression</x:v>
      </x:c>
      <x:c r="F75">
        <x:f ca="1">IFERROR(IF(0=LEN(ReferenceData!$F$75),"",ReferenceData!$F$75),"")</x:f>
        <x:v>-746.57422699999995</x:v>
      </x:c>
      <x:c r="G75">
        <x:f ca="1">IFERROR(IF(0=LEN(ReferenceData!$G$75),"",ReferenceData!$G$75),"")</x:f>
        <x:v>-161.08550500000001</x:v>
      </x:c>
      <x:c r="H75">
        <x:f ca="1">IFERROR(IF(0=LEN(ReferenceData!$H$75),"",ReferenceData!$H$75),"")</x:f>
        <x:v>187.87731199999999</x:v>
      </x:c>
      <x:c r="I75">
        <x:f ca="1">IFERROR(IF(0=LEN(ReferenceData!$I$75),"",ReferenceData!$I$75),"")</x:f>
        <x:v>-569.27476200000001</x:v>
      </x:c>
      <x:c r="J75">
        <x:f ca="1">IFERROR(IF(0=LEN(ReferenceData!$J$75),"",ReferenceData!$J$75),"")</x:f>
        <x:v>491.38149299999998</x:v>
      </x:c>
      <x:c r="K75">
        <x:f ca="1">IFERROR(IF(0=LEN(ReferenceData!$K$75),"",ReferenceData!$K$75),"")</x:f>
        <x:v>-326.24937999999997</x:v>
      </x:c>
      <x:c r="L75">
        <x:f ca="1">IFERROR(IF(0=LEN(ReferenceData!$L$75),"",ReferenceData!$L$75),"")</x:f>
        <x:v>-221.51902100000001</x:v>
      </x:c>
      <x:c r="M75">
        <x:f ca="1">IFERROR(IF(0=LEN(ReferenceData!$M$75),"",ReferenceData!$M$75),"")</x:f>
        <x:v>1102.182836</x:v>
      </x:c>
      <x:c r="N75">
        <x:f ca="1">IFERROR(IF(0=LEN(ReferenceData!$N$75),"",ReferenceData!$N$75),"")</x:f>
        <x:v>25.612020999999999</x:v>
      </x:c>
      <x:c r="O75">
        <x:f ca="1">IFERROR(IF(0=LEN(ReferenceData!$O$75),"",ReferenceData!$O$75),"")</x:f>
        <x:v>-277.41648500000002</x:v>
      </x:c>
      <x:c r="P75">
        <x:f ca="1">IFERROR(IF(0=LEN(ReferenceData!$P$75),"",ReferenceData!$P$75),"")</x:f>
        <x:v>-102.953614</x:v>
      </x:c>
      <x:c r="Q75">
        <x:f ca="1">IFERROR(IF(0=LEN(ReferenceData!$Q$75),"",ReferenceData!$Q$75),"")</x:f>
        <x:v>154.79119700000001</x:v>
      </x:c>
      <x:c r="R75">
        <x:f ca="1">IFERROR(IF(0=LEN(ReferenceData!$R$75),"",ReferenceData!$R$75),"")</x:f>
        <x:v>781.01433499999996</x:v>
      </x:c>
      <x:c r="S75">
        <x:f ca="1">IFERROR(IF(0=LEN(ReferenceData!$S$75),"",ReferenceData!$S$75),"")</x:f>
        <x:v>221.08660900000001</x:v>
      </x:c>
    </x:row>
    <x:row r="76" spans="1:19" x14ac:dyDescent="0.25">
      <x:c r="A76" t="str">
        <x:f>IFERROR(IF(0=LEN(ReferenceData!$A$76),"",ReferenceData!$A$76),"")</x:f>
        <x:v xml:space="preserve">        Vanguard Consumer Staples ETF</x:v>
      </x:c>
      <x:c r="B76" t="str">
        <x:f>IFERROR(IF(0=LEN(ReferenceData!$B$76),"",ReferenceData!$B$76),"")</x:f>
        <x:v>VDC US Equity</x:v>
      </x:c>
      <x:c r="C76" t="str">
        <x:f>IFERROR(IF(0=LEN(ReferenceData!$C$76),"",ReferenceData!$C$76),"")</x:f>
        <x:v/>
      </x:c>
      <x:c r="D76" t="str">
        <x:f>IFERROR(IF(0=LEN(ReferenceData!$D$76),"",ReferenceData!$D$76),"")</x:f>
        <x:v/>
      </x:c>
      <x:c r="E76" t="str">
        <x:f>IFERROR(IF(0=LEN(ReferenceData!$E$76),"",ReferenceData!$E$76),"")</x:f>
        <x:v>Expression</x:v>
      </x:c>
      <x:c r="F76">
        <x:f ca="1">IFERROR(IF(0=LEN(ReferenceData!$F$76),"",ReferenceData!$F$76),"")</x:f>
        <x:v>-68.674499999999995</x:v>
      </x:c>
      <x:c r="G76">
        <x:f ca="1">IFERROR(IF(0=LEN(ReferenceData!$G$76),"",ReferenceData!$G$76),"")</x:f>
        <x:v>-321.36699199999998</x:v>
      </x:c>
      <x:c r="H76">
        <x:f ca="1">IFERROR(IF(0=LEN(ReferenceData!$H$76),"",ReferenceData!$H$76),"")</x:f>
        <x:v>-4.9269999999999996</x:v>
      </x:c>
      <x:c r="I76">
        <x:f ca="1">IFERROR(IF(0=LEN(ReferenceData!$I$76),"",ReferenceData!$I$76),"")</x:f>
        <x:v>-111.954606</x:v>
      </x:c>
      <x:c r="J76">
        <x:f ca="1">IFERROR(IF(0=LEN(ReferenceData!$J$76),"",ReferenceData!$J$76),"")</x:f>
        <x:v>233.68742700000001</x:v>
      </x:c>
      <x:c r="K76">
        <x:f ca="1">IFERROR(IF(0=LEN(ReferenceData!$K$76),"",ReferenceData!$K$76),"")</x:f>
        <x:v>-35.562353999999999</x:v>
      </x:c>
      <x:c r="L76">
        <x:f ca="1">IFERROR(IF(0=LEN(ReferenceData!$L$76),"",ReferenceData!$L$76),"")</x:f>
        <x:v>88.630936000000005</x:v>
      </x:c>
      <x:c r="M76">
        <x:f ca="1">IFERROR(IF(0=LEN(ReferenceData!$M$76),"",ReferenceData!$M$76),"")</x:f>
        <x:v>19.314250000000001</x:v>
      </x:c>
      <x:c r="N76">
        <x:f ca="1">IFERROR(IF(0=LEN(ReferenceData!$N$76),"",ReferenceData!$N$76),"")</x:f>
        <x:v>-23.092683999999998</x:v>
      </x:c>
      <x:c r="O76">
        <x:f ca="1">IFERROR(IF(0=LEN(ReferenceData!$O$76),"",ReferenceData!$O$76),"")</x:f>
        <x:v>-9.0539850000000008</x:v>
      </x:c>
      <x:c r="P76">
        <x:f ca="1">IFERROR(IF(0=LEN(ReferenceData!$P$76),"",ReferenceData!$P$76),"")</x:f>
        <x:v>8.3177350000000008</x:v>
      </x:c>
      <x:c r="Q76">
        <x:f ca="1">IFERROR(IF(0=LEN(ReferenceData!$Q$76),"",ReferenceData!$Q$76),"")</x:f>
        <x:v>34.999248999999999</x:v>
      </x:c>
      <x:c r="R76">
        <x:f ca="1">IFERROR(IF(0=LEN(ReferenceData!$R$76),"",ReferenceData!$R$76),"")</x:f>
        <x:v>87.581220999999999</x:v>
      </x:c>
      <x:c r="S76">
        <x:f ca="1">IFERROR(IF(0=LEN(ReferenceData!$S$76),"",ReferenceData!$S$76),"")</x:f>
        <x:v>-60.262918999999997</x:v>
      </x:c>
    </x:row>
    <x:row r="77" spans="1:19" x14ac:dyDescent="0.25">
      <x:c r="A77" t="str">
        <x:f>IFERROR(IF(0=LEN(ReferenceData!$A$77),"",ReferenceData!$A$77),"")</x:f>
        <x:v xml:space="preserve">        iShares Global Consumer Staple</x:v>
      </x:c>
      <x:c r="B77" t="str">
        <x:f>IFERROR(IF(0=LEN(ReferenceData!$B$77),"",ReferenceData!$B$77),"")</x:f>
        <x:v>KXI US Equity</x:v>
      </x:c>
      <x:c r="C77" t="str">
        <x:f>IFERROR(IF(0=LEN(ReferenceData!$C$77),"",ReferenceData!$C$77),"")</x:f>
        <x:v/>
      </x:c>
      <x:c r="D77" t="str">
        <x:f>IFERROR(IF(0=LEN(ReferenceData!$D$77),"",ReferenceData!$D$77),"")</x:f>
        <x:v/>
      </x:c>
      <x:c r="E77" t="str">
        <x:f>IFERROR(IF(0=LEN(ReferenceData!$E$77),"",ReferenceData!$E$77),"")</x:f>
        <x:v>Expression</x:v>
      </x:c>
      <x:c r="F77">
        <x:f ca="1">IFERROR(IF(0=LEN(ReferenceData!$F$77),"",ReferenceData!$F$77),"")</x:f>
        <x:v>-14.365208000000001</x:v>
      </x:c>
      <x:c r="G77">
        <x:f ca="1">IFERROR(IF(0=LEN(ReferenceData!$G$77),"",ReferenceData!$G$77),"")</x:f>
        <x:v>-8.4338470000000001</x:v>
      </x:c>
      <x:c r="H77">
        <x:f ca="1">IFERROR(IF(0=LEN(ReferenceData!$H$77),"",ReferenceData!$H$77),"")</x:f>
        <x:v>-486.38033799999999</x:v>
      </x:c>
      <x:c r="I77">
        <x:f ca="1">IFERROR(IF(0=LEN(ReferenceData!$I$77),"",ReferenceData!$I$77),"")</x:f>
        <x:v>-21.374639999999999</x:v>
      </x:c>
      <x:c r="J77">
        <x:f ca="1">IFERROR(IF(0=LEN(ReferenceData!$J$77),"",ReferenceData!$J$77),"")</x:f>
        <x:v>-67.807464999999993</x:v>
      </x:c>
      <x:c r="K77">
        <x:f ca="1">IFERROR(IF(0=LEN(ReferenceData!$K$77),"",ReferenceData!$K$77),"")</x:f>
        <x:v>-3.112625</x:v>
      </x:c>
      <x:c r="L77">
        <x:f ca="1">IFERROR(IF(0=LEN(ReferenceData!$L$77),"",ReferenceData!$L$77),"")</x:f>
        <x:v>50.364314999999998</x:v>
      </x:c>
      <x:c r="M77">
        <x:f ca="1">IFERROR(IF(0=LEN(ReferenceData!$M$77),"",ReferenceData!$M$77),"")</x:f>
        <x:v>9.4482649999999992</x:v>
      </x:c>
      <x:c r="N77">
        <x:f ca="1">IFERROR(IF(0=LEN(ReferenceData!$N$77),"",ReferenceData!$N$77),"")</x:f>
        <x:v>21.312094999999999</x:v>
      </x:c>
      <x:c r="O77">
        <x:f ca="1">IFERROR(IF(0=LEN(ReferenceData!$O$77),"",ReferenceData!$O$77),"")</x:f>
        <x:v>-38.841670000000001</x:v>
      </x:c>
      <x:c r="P77">
        <x:f ca="1">IFERROR(IF(0=LEN(ReferenceData!$P$77),"",ReferenceData!$P$77),"")</x:f>
        <x:v>-18.080269999999999</x:v>
      </x:c>
      <x:c r="Q77">
        <x:f ca="1">IFERROR(IF(0=LEN(ReferenceData!$Q$77),"",ReferenceData!$Q$77),"")</x:f>
        <x:v>51.986564999999999</x:v>
      </x:c>
      <x:c r="R77">
        <x:f ca="1">IFERROR(IF(0=LEN(ReferenceData!$R$77),"",ReferenceData!$R$77),"")</x:f>
        <x:v>196.91039499999999</x:v>
      </x:c>
      <x:c r="S77">
        <x:f ca="1">IFERROR(IF(0=LEN(ReferenceData!$S$77),"",ReferenceData!$S$77),"")</x:f>
        <x:v>-8.5654950000000003</x:v>
      </x:c>
    </x:row>
    <x:row r="78" spans="1:19" x14ac:dyDescent="0.25">
      <x:c r="A78" t="str">
        <x:f>IFERROR(IF(0=LEN(ReferenceData!$A$78),"",ReferenceData!$A$78),"")</x:f>
        <x:v xml:space="preserve">        iShares US Consumer Staples ET</x:v>
      </x:c>
      <x:c r="B78" t="str">
        <x:f>IFERROR(IF(0=LEN(ReferenceData!$B$78),"",ReferenceData!$B$78),"")</x:f>
        <x:v>IYK US Equity</x:v>
      </x:c>
      <x:c r="C78" t="str">
        <x:f>IFERROR(IF(0=LEN(ReferenceData!$C$78),"",ReferenceData!$C$78),"")</x:f>
        <x:v/>
      </x:c>
      <x:c r="D78" t="str">
        <x:f>IFERROR(IF(0=LEN(ReferenceData!$D$78),"",ReferenceData!$D$78),"")</x:f>
        <x:v/>
      </x:c>
      <x:c r="E78" t="str">
        <x:f>IFERROR(IF(0=LEN(ReferenceData!$E$78),"",ReferenceData!$E$78),"")</x:f>
        <x:v>Expression</x:v>
      </x:c>
      <x:c r="F78">
        <x:f ca="1">IFERROR(IF(0=LEN(ReferenceData!$F$78),"",ReferenceData!$F$78),"")</x:f>
        <x:v>-56.151544999999999</x:v>
      </x:c>
      <x:c r="G78">
        <x:f ca="1">IFERROR(IF(0=LEN(ReferenceData!$G$78),"",ReferenceData!$G$78),"")</x:f>
        <x:v>-18.069880999999999</x:v>
      </x:c>
      <x:c r="H78">
        <x:f ca="1">IFERROR(IF(0=LEN(ReferenceData!$H$78),"",ReferenceData!$H$78),"")</x:f>
        <x:v>-174.370947</x:v>
      </x:c>
      <x:c r="I78">
        <x:f ca="1">IFERROR(IF(0=LEN(ReferenceData!$I$78),"",ReferenceData!$I$78),"")</x:f>
        <x:v>-50.044809999999998</x:v>
      </x:c>
      <x:c r="J78">
        <x:f ca="1">IFERROR(IF(0=LEN(ReferenceData!$J$78),"",ReferenceData!$J$78),"")</x:f>
        <x:v>40.350965000000002</x:v>
      </x:c>
      <x:c r="K78">
        <x:f ca="1">IFERROR(IF(0=LEN(ReferenceData!$K$78),"",ReferenceData!$K$78),"")</x:f>
        <x:v>-79.629440000000002</x:v>
      </x:c>
      <x:c r="L78">
        <x:f ca="1">IFERROR(IF(0=LEN(ReferenceData!$L$78),"",ReferenceData!$L$78),"")</x:f>
        <x:v>31.007365</x:v>
      </x:c>
      <x:c r="M78">
        <x:f ca="1">IFERROR(IF(0=LEN(ReferenceData!$M$78),"",ReferenceData!$M$78),"")</x:f>
        <x:v>0</x:v>
      </x:c>
      <x:c r="N78">
        <x:f ca="1">IFERROR(IF(0=LEN(ReferenceData!$N$78),"",ReferenceData!$N$78),"")</x:f>
        <x:v>-19.284410000000001</x:v>
      </x:c>
      <x:c r="O78">
        <x:f ca="1">IFERROR(IF(0=LEN(ReferenceData!$O$78),"",ReferenceData!$O$78),"")</x:f>
        <x:v>-78.892404999999997</x:v>
      </x:c>
      <x:c r="P78">
        <x:f ca="1">IFERROR(IF(0=LEN(ReferenceData!$P$78),"",ReferenceData!$P$78),"")</x:f>
        <x:v>31.672260000000001</x:v>
      </x:c>
      <x:c r="Q78">
        <x:f ca="1">IFERROR(IF(0=LEN(ReferenceData!$Q$78),"",ReferenceData!$Q$78),"")</x:f>
        <x:v>80.832854999999995</x:v>
      </x:c>
      <x:c r="R78">
        <x:f ca="1">IFERROR(IF(0=LEN(ReferenceData!$R$78),"",ReferenceData!$R$78),"")</x:f>
        <x:v>20.507774999999999</x:v>
      </x:c>
      <x:c r="S78">
        <x:f ca="1">IFERROR(IF(0=LEN(ReferenceData!$S$78),"",ReferenceData!$S$78),"")</x:f>
        <x:v>129.50269</x:v>
      </x:c>
    </x:row>
    <x:row r="79" spans="1:19" x14ac:dyDescent="0.25">
      <x:c r="A79" t="str">
        <x:f>IFERROR(IF(0=LEN(ReferenceData!$A$79),"",ReferenceData!$A$79),"")</x:f>
        <x:v xml:space="preserve">        First Trust Consumer Staples A</x:v>
      </x:c>
      <x:c r="B79" t="str">
        <x:f>IFERROR(IF(0=LEN(ReferenceData!$B$79),"",ReferenceData!$B$79),"")</x:f>
        <x:v>FXG US Equity</x:v>
      </x:c>
      <x:c r="C79" t="str">
        <x:f>IFERROR(IF(0=LEN(ReferenceData!$C$79),"",ReferenceData!$C$79),"")</x:f>
        <x:v/>
      </x:c>
      <x:c r="D79" t="str">
        <x:f>IFERROR(IF(0=LEN(ReferenceData!$D$79),"",ReferenceData!$D$79),"")</x:f>
        <x:v/>
      </x:c>
      <x:c r="E79" t="str">
        <x:f>IFERROR(IF(0=LEN(ReferenceData!$E$79),"",ReferenceData!$E$79),"")</x:f>
        <x:v>Expression</x:v>
      </x:c>
      <x:c r="F79">
        <x:f ca="1">IFERROR(IF(0=LEN(ReferenceData!$F$79),"",ReferenceData!$F$79),"")</x:f>
        <x:v>-20.777047</x:v>
      </x:c>
      <x:c r="G79">
        <x:f ca="1">IFERROR(IF(0=LEN(ReferenceData!$G$79),"",ReferenceData!$G$79),"")</x:f>
        <x:v>-70.158174000000002</x:v>
      </x:c>
      <x:c r="H79">
        <x:f ca="1">IFERROR(IF(0=LEN(ReferenceData!$H$79),"",ReferenceData!$H$79),"")</x:f>
        <x:v>-67.376396</x:v>
      </x:c>
      <x:c r="I79">
        <x:f ca="1">IFERROR(IF(0=LEN(ReferenceData!$I$79),"",ReferenceData!$I$79),"")</x:f>
        <x:v>50.695360999999998</x:v>
      </x:c>
      <x:c r="J79">
        <x:f ca="1">IFERROR(IF(0=LEN(ReferenceData!$J$79),"",ReferenceData!$J$79),"")</x:f>
        <x:v>-31.847999999999999</x:v>
      </x:c>
      <x:c r="K79">
        <x:f ca="1">IFERROR(IF(0=LEN(ReferenceData!$K$79),"",ReferenceData!$K$79),"")</x:f>
        <x:v>-24.763999999999999</x:v>
      </x:c>
      <x:c r="L79">
        <x:f ca="1">IFERROR(IF(0=LEN(ReferenceData!$L$79),"",ReferenceData!$L$79),"")</x:f>
        <x:v>12.741</x:v>
      </x:c>
      <x:c r="M79">
        <x:f ca="1">IFERROR(IF(0=LEN(ReferenceData!$M$79),"",ReferenceData!$M$79),"")</x:f>
        <x:v>-3.153</x:v>
      </x:c>
      <x:c r="N79">
        <x:f ca="1">IFERROR(IF(0=LEN(ReferenceData!$N$79),"",ReferenceData!$N$79),"")</x:f>
        <x:v>-21.115500000000001</x:v>
      </x:c>
      <x:c r="O79">
        <x:f ca="1">IFERROR(IF(0=LEN(ReferenceData!$O$79),"",ReferenceData!$O$79),"")</x:f>
        <x:v>-37.713999999999999</x:v>
      </x:c>
      <x:c r="P79">
        <x:f ca="1">IFERROR(IF(0=LEN(ReferenceData!$P$79),"",ReferenceData!$P$79),"")</x:f>
        <x:v>28.058993999999998</x:v>
      </x:c>
      <x:c r="Q79">
        <x:f ca="1">IFERROR(IF(0=LEN(ReferenceData!$Q$79),"",ReferenceData!$Q$79),"")</x:f>
        <x:v>47.605815999999997</x:v>
      </x:c>
      <x:c r="R79">
        <x:f ca="1">IFERROR(IF(0=LEN(ReferenceData!$R$79),"",ReferenceData!$R$79),"")</x:f>
        <x:v>35.138426000000003</x:v>
      </x:c>
      <x:c r="S79">
        <x:f ca="1">IFERROR(IF(0=LEN(ReferenceData!$S$79),"",ReferenceData!$S$79),"")</x:f>
        <x:v>-2.9113549999999999</x:v>
      </x:c>
    </x:row>
    <x:row r="80" spans="1:19" x14ac:dyDescent="0.25">
      <x:c r="A80" t="str">
        <x:f>IFERROR(IF(0=LEN(ReferenceData!$A$80),"",ReferenceData!$A$80),"")</x:f>
        <x:v xml:space="preserve">        Invesco S&amp;P 500 Equal Weight C</x:v>
      </x:c>
      <x:c r="B80" t="str">
        <x:f>IFERROR(IF(0=LEN(ReferenceData!$B$80),"",ReferenceData!$B$80),"")</x:f>
        <x:v>RHS US Equity</x:v>
      </x:c>
      <x:c r="C80" t="str">
        <x:f>IFERROR(IF(0=LEN(ReferenceData!$C$80),"",ReferenceData!$C$80),"")</x:f>
        <x:v/>
      </x:c>
      <x:c r="D80" t="str">
        <x:f>IFERROR(IF(0=LEN(ReferenceData!$D$80),"",ReferenceData!$D$80),"")</x:f>
        <x:v/>
      </x:c>
      <x:c r="E80" t="str">
        <x:f>IFERROR(IF(0=LEN(ReferenceData!$E$80),"",ReferenceData!$E$80),"")</x:f>
        <x:v>Expression</x:v>
      </x:c>
      <x:c r="F80">
        <x:f ca="1">IFERROR(IF(0=LEN(ReferenceData!$F$80),"",ReferenceData!$F$80),"")</x:f>
        <x:v>-14.911557999999999</x:v>
      </x:c>
      <x:c r="G80">
        <x:f ca="1">IFERROR(IF(0=LEN(ReferenceData!$G$80),"",ReferenceData!$G$80),"")</x:f>
        <x:v>-18.437694</x:v>
      </x:c>
      <x:c r="H80">
        <x:f ca="1">IFERROR(IF(0=LEN(ReferenceData!$H$80),"",ReferenceData!$H$80),"")</x:f>
        <x:v>-15.076976999999999</x:v>
      </x:c>
      <x:c r="I80">
        <x:f ca="1">IFERROR(IF(0=LEN(ReferenceData!$I$80),"",ReferenceData!$I$80),"")</x:f>
        <x:v>-68.310398000000006</x:v>
      </x:c>
      <x:c r="J80">
        <x:f ca="1">IFERROR(IF(0=LEN(ReferenceData!$J$80),"",ReferenceData!$J$80),"")</x:f>
        <x:v>-20.593015999999999</x:v>
      </x:c>
      <x:c r="K80">
        <x:f ca="1">IFERROR(IF(0=LEN(ReferenceData!$K$80),"",ReferenceData!$K$80),"")</x:f>
        <x:v>-282.01566700000001</x:v>
      </x:c>
      <x:c r="L80">
        <x:f ca="1">IFERROR(IF(0=LEN(ReferenceData!$L$80),"",ReferenceData!$L$80),"")</x:f>
        <x:v>-16.785896999999999</x:v>
      </x:c>
      <x:c r="M80">
        <x:f ca="1">IFERROR(IF(0=LEN(ReferenceData!$M$80),"",ReferenceData!$M$80),"")</x:f>
        <x:v>236.37224900000001</x:v>
      </x:c>
      <x:c r="N80">
        <x:f ca="1">IFERROR(IF(0=LEN(ReferenceData!$N$80),"",ReferenceData!$N$80),"")</x:f>
        <x:v>93.953536</x:v>
      </x:c>
      <x:c r="O80">
        <x:f ca="1">IFERROR(IF(0=LEN(ReferenceData!$O$80),"",ReferenceData!$O$80),"")</x:f>
        <x:v>-11.791755</x:v>
      </x:c>
      <x:c r="P80">
        <x:f ca="1">IFERROR(IF(0=LEN(ReferenceData!$P$80),"",ReferenceData!$P$80),"")</x:f>
        <x:v>52.702227000000001</x:v>
      </x:c>
      <x:c r="Q80">
        <x:f ca="1">IFERROR(IF(0=LEN(ReferenceData!$Q$80),"",ReferenceData!$Q$80),"")</x:f>
        <x:v>1.6839489999999999</x:v>
      </x:c>
      <x:c r="R80">
        <x:f ca="1">IFERROR(IF(0=LEN(ReferenceData!$R$80),"",ReferenceData!$R$80),"")</x:f>
        <x:v>23.696272</x:v>
      </x:c>
      <x:c r="S80">
        <x:f ca="1">IFERROR(IF(0=LEN(ReferenceData!$S$80),"",ReferenceData!$S$80),"")</x:f>
        <x:v>14.949252</x:v>
      </x:c>
    </x:row>
    <x:row r="81" spans="1:19" x14ac:dyDescent="0.25">
      <x:c r="A81" t="str">
        <x:f>IFERROR(IF(0=LEN(ReferenceData!$A$81),"",ReferenceData!$A$81),"")</x:f>
        <x:v xml:space="preserve">        Fidelity MSCI Consumer Staples</x:v>
      </x:c>
      <x:c r="B81" t="str">
        <x:f>IFERROR(IF(0=LEN(ReferenceData!$B$81),"",ReferenceData!$B$81),"")</x:f>
        <x:v>FSTA US Equity</x:v>
      </x:c>
      <x:c r="C81" t="str">
        <x:f>IFERROR(IF(0=LEN(ReferenceData!$C$81),"",ReferenceData!$C$81),"")</x:f>
        <x:v/>
      </x:c>
      <x:c r="D81" t="str">
        <x:f>IFERROR(IF(0=LEN(ReferenceData!$D$81),"",ReferenceData!$D$81),"")</x:f>
        <x:v/>
      </x:c>
      <x:c r="E81" t="str">
        <x:f>IFERROR(IF(0=LEN(ReferenceData!$E$81),"",ReferenceData!$E$81),"")</x:f>
        <x:v>Expression</x:v>
      </x:c>
      <x:c r="F81">
        <x:f ca="1">IFERROR(IF(0=LEN(ReferenceData!$F$81),"",ReferenceData!$F$81),"")</x:f>
        <x:v>-10.781779999999999</x:v>
      </x:c>
      <x:c r="G81">
        <x:f ca="1">IFERROR(IF(0=LEN(ReferenceData!$G$81),"",ReferenceData!$G$81),"")</x:f>
        <x:v>-14.48597</x:v>
      </x:c>
      <x:c r="H81">
        <x:f ca="1">IFERROR(IF(0=LEN(ReferenceData!$H$81),"",ReferenceData!$H$81),"")</x:f>
        <x:v>-19.707840000000001</x:v>
      </x:c>
      <x:c r="I81">
        <x:f ca="1">IFERROR(IF(0=LEN(ReferenceData!$I$81),"",ReferenceData!$I$81),"")</x:f>
        <x:v>-50.144325000000002</x:v>
      </x:c>
      <x:c r="J81">
        <x:f ca="1">IFERROR(IF(0=LEN(ReferenceData!$J$81),"",ReferenceData!$J$81),"")</x:f>
        <x:v>-29.713740000000001</x:v>
      </x:c>
      <x:c r="K81">
        <x:f ca="1">IFERROR(IF(0=LEN(ReferenceData!$K$81),"",ReferenceData!$K$81),"")</x:f>
        <x:v>51.701045000000001</x:v>
      </x:c>
      <x:c r="L81">
        <x:f ca="1">IFERROR(IF(0=LEN(ReferenceData!$L$81),"",ReferenceData!$L$81),"")</x:f>
        <x:v>25.022069999999999</x:v>
      </x:c>
      <x:c r="M81">
        <x:f ca="1">IFERROR(IF(0=LEN(ReferenceData!$M$81),"",ReferenceData!$M$81),"")</x:f>
        <x:v>-13.704005</x:v>
      </x:c>
      <x:c r="N81">
        <x:f ca="1">IFERROR(IF(0=LEN(ReferenceData!$N$81),"",ReferenceData!$N$81),"")</x:f>
        <x:v>34.985720000000001</x:v>
      </x:c>
      <x:c r="O81">
        <x:f ca="1">IFERROR(IF(0=LEN(ReferenceData!$O$81),"",ReferenceData!$O$81),"")</x:f>
        <x:v>4.416925</x:v>
      </x:c>
      <x:c r="P81">
        <x:f ca="1">IFERROR(IF(0=LEN(ReferenceData!$P$81),"",ReferenceData!$P$81),"")</x:f>
        <x:v>9.0403199999999995</x:v>
      </x:c>
      <x:c r="Q81">
        <x:f ca="1">IFERROR(IF(0=LEN(ReferenceData!$Q$81),"",ReferenceData!$Q$81),"")</x:f>
        <x:v>11.440004999999999</x:v>
      </x:c>
      <x:c r="R81">
        <x:f ca="1">IFERROR(IF(0=LEN(ReferenceData!$R$81),"",ReferenceData!$R$81),"")</x:f>
        <x:v>11.018554999999999</x:v>
      </x:c>
      <x:c r="S81">
        <x:f ca="1">IFERROR(IF(0=LEN(ReferenceData!$S$81),"",ReferenceData!$S$81),"")</x:f>
        <x:v>8.0963999999999992</x:v>
      </x:c>
    </x:row>
    <x:row r="82" spans="1:19" x14ac:dyDescent="0.25">
      <x:c r="A82" t="str">
        <x:f>IFERROR(IF(0=LEN(ReferenceData!$A$82),"",ReferenceData!$A$82),"")</x:f>
        <x:v xml:space="preserve">        Invesco Dynamic Food &amp; Beverag</x:v>
      </x:c>
      <x:c r="B82" t="str">
        <x:f>IFERROR(IF(0=LEN(ReferenceData!$B$82),"",ReferenceData!$B$82),"")</x:f>
        <x:v>PBJ US Equity</x:v>
      </x:c>
      <x:c r="C82" t="str">
        <x:f>IFERROR(IF(0=LEN(ReferenceData!$C$82),"",ReferenceData!$C$82),"")</x:f>
        <x:v/>
      </x:c>
      <x:c r="D82" t="str">
        <x:f>IFERROR(IF(0=LEN(ReferenceData!$D$82),"",ReferenceData!$D$82),"")</x:f>
        <x:v/>
      </x:c>
      <x:c r="E82" t="str">
        <x:f>IFERROR(IF(0=LEN(ReferenceData!$E$82),"",ReferenceData!$E$82),"")</x:f>
        <x:v>Expression</x:v>
      </x:c>
      <x:c r="F82">
        <x:f ca="1">IFERROR(IF(0=LEN(ReferenceData!$F$82),"",ReferenceData!$F$82),"")</x:f>
        <x:v>-9.8508089999999999</x:v>
      </x:c>
      <x:c r="G82">
        <x:f ca="1">IFERROR(IF(0=LEN(ReferenceData!$G$82),"",ReferenceData!$G$82),"")</x:f>
        <x:v>-19.676297999999999</x:v>
      </x:c>
      <x:c r="H82">
        <x:f ca="1">IFERROR(IF(0=LEN(ReferenceData!$H$82),"",ReferenceData!$H$82),"")</x:f>
        <x:v>-21.804022</x:v>
      </x:c>
      <x:c r="I82">
        <x:f ca="1">IFERROR(IF(0=LEN(ReferenceData!$I$82),"",ReferenceData!$I$82),"")</x:f>
        <x:v>-22.813559000000001</x:v>
      </x:c>
      <x:c r="J82">
        <x:f ca="1">IFERROR(IF(0=LEN(ReferenceData!$J$82),"",ReferenceData!$J$82),"")</x:f>
        <x:v>-24.98434</x:v>
      </x:c>
      <x:c r="K82">
        <x:f ca="1">IFERROR(IF(0=LEN(ReferenceData!$K$82),"",ReferenceData!$K$82),"")</x:f>
        <x:v>-13.237299</x:v>
      </x:c>
      <x:c r="L82">
        <x:f ca="1">IFERROR(IF(0=LEN(ReferenceData!$L$82),"",ReferenceData!$L$82),"")</x:f>
        <x:v>-14.798969</x:v>
      </x:c>
      <x:c r="M82">
        <x:f ca="1">IFERROR(IF(0=LEN(ReferenceData!$M$82),"",ReferenceData!$M$82),"")</x:f>
        <x:v>3.725946</x:v>
      </x:c>
      <x:c r="N82">
        <x:f ca="1">IFERROR(IF(0=LEN(ReferenceData!$N$82),"",ReferenceData!$N$82),"")</x:f>
        <x:v>-6.3019910000000001</x:v>
      </x:c>
      <x:c r="O82">
        <x:f ca="1">IFERROR(IF(0=LEN(ReferenceData!$O$82),"",ReferenceData!$O$82),"")</x:f>
        <x:v>-21.073619000000001</x:v>
      </x:c>
      <x:c r="P82">
        <x:f ca="1">IFERROR(IF(0=LEN(ReferenceData!$P$82),"",ReferenceData!$P$82),"")</x:f>
        <x:v>-19.582636000000001</x:v>
      </x:c>
      <x:c r="Q82">
        <x:f ca="1">IFERROR(IF(0=LEN(ReferenceData!$Q$82),"",ReferenceData!$Q$82),"")</x:f>
        <x:v>21.001553999999999</x:v>
      </x:c>
      <x:c r="R82">
        <x:f ca="1">IFERROR(IF(0=LEN(ReferenceData!$R$82),"",ReferenceData!$R$82),"")</x:f>
        <x:v>19.605640000000001</x:v>
      </x:c>
      <x:c r="S82">
        <x:f ca="1">IFERROR(IF(0=LEN(ReferenceData!$S$82),"",ReferenceData!$S$82),"")</x:f>
        <x:v>0.67073199999999999</x:v>
      </x:c>
    </x:row>
    <x:row r="83" spans="1:19" x14ac:dyDescent="0.25">
      <x:c r="A83" t="str">
        <x:f>IFERROR(IF(0=LEN(ReferenceData!$A$83),"",ReferenceData!$A$83),"")</x:f>
        <x:v xml:space="preserve">        Invesco DWA Consumer Staples M</x:v>
      </x:c>
      <x:c r="B83" t="str">
        <x:f>IFERROR(IF(0=LEN(ReferenceData!$B$83),"",ReferenceData!$B$83),"")</x:f>
        <x:v>PSL US Equity</x:v>
      </x:c>
      <x:c r="C83" t="str">
        <x:f>IFERROR(IF(0=LEN(ReferenceData!$C$83),"",ReferenceData!$C$83),"")</x:f>
        <x:v/>
      </x:c>
      <x:c r="D83" t="str">
        <x:f>IFERROR(IF(0=LEN(ReferenceData!$D$83),"",ReferenceData!$D$83),"")</x:f>
        <x:v/>
      </x:c>
      <x:c r="E83" t="str">
        <x:f>IFERROR(IF(0=LEN(ReferenceData!$E$83),"",ReferenceData!$E$83),"")</x:f>
        <x:v>Expression</x:v>
      </x:c>
      <x:c r="F83">
        <x:f ca="1">IFERROR(IF(0=LEN(ReferenceData!$F$83),"",ReferenceData!$F$83),"")</x:f>
        <x:v>0</x:v>
      </x:c>
      <x:c r="G83">
        <x:f ca="1">IFERROR(IF(0=LEN(ReferenceData!$G$83),"",ReferenceData!$G$83),"")</x:f>
        <x:v>-4.8634579999999996</x:v>
      </x:c>
      <x:c r="H83">
        <x:f ca="1">IFERROR(IF(0=LEN(ReferenceData!$H$83),"",ReferenceData!$H$83),"")</x:f>
        <x:v>-27.559059000000001</x:v>
      </x:c>
      <x:c r="I83">
        <x:f ca="1">IFERROR(IF(0=LEN(ReferenceData!$I$83),"",ReferenceData!$I$83),"")</x:f>
        <x:v>0</x:v>
      </x:c>
      <x:c r="J83">
        <x:f ca="1">IFERROR(IF(0=LEN(ReferenceData!$J$83),"",ReferenceData!$J$83),"")</x:f>
        <x:v>-0.872251</x:v>
      </x:c>
      <x:c r="K83">
        <x:f ca="1">IFERROR(IF(0=LEN(ReferenceData!$K$83),"",ReferenceData!$K$83),"")</x:f>
        <x:v>0.85538800000000004</x:v>
      </x:c>
      <x:c r="L83">
        <x:f ca="1">IFERROR(IF(0=LEN(ReferenceData!$L$83),"",ReferenceData!$L$83),"")</x:f>
        <x:v>-3.4991530000000002</x:v>
      </x:c>
      <x:c r="M83">
        <x:f ca="1">IFERROR(IF(0=LEN(ReferenceData!$M$83),"",ReferenceData!$M$83),"")</x:f>
        <x:v>-2.5890740000000001</x:v>
      </x:c>
      <x:c r="N83">
        <x:f ca="1">IFERROR(IF(0=LEN(ReferenceData!$N$83),"",ReferenceData!$N$83),"")</x:f>
        <x:v>-2.9680749999999998</x:v>
      </x:c>
      <x:c r="O83">
        <x:f ca="1">IFERROR(IF(0=LEN(ReferenceData!$O$83),"",ReferenceData!$O$83),"")</x:f>
        <x:v>-0.84097299999999997</x:v>
      </x:c>
      <x:c r="P83">
        <x:f ca="1">IFERROR(IF(0=LEN(ReferenceData!$P$83),"",ReferenceData!$P$83),"")</x:f>
        <x:v>-1.7362649999999999</x:v>
      </x:c>
      <x:c r="Q83">
        <x:f ca="1">IFERROR(IF(0=LEN(ReferenceData!$Q$83),"",ReferenceData!$Q$83),"")</x:f>
        <x:v>1.7684329999999999</x:v>
      </x:c>
      <x:c r="R83">
        <x:f ca="1">IFERROR(IF(0=LEN(ReferenceData!$R$83),"",ReferenceData!$R$83),"")</x:f>
        <x:v>-1.646914</x:v>
      </x:c>
      <x:c r="S83">
        <x:f ca="1">IFERROR(IF(0=LEN(ReferenceData!$S$83),"",ReferenceData!$S$83),"")</x:f>
        <x:v>-0.77059500000000003</x:v>
      </x:c>
    </x:row>
    <x:row r="84" spans="1:19" x14ac:dyDescent="0.25">
      <x:c r="A84" t="str">
        <x:f>IFERROR(IF(0=LEN(ReferenceData!$A$84),"",ReferenceData!$A$84),"")</x:f>
        <x:v xml:space="preserve">        Invesco S&amp;P SmallCap Consumer</x:v>
      </x:c>
      <x:c r="B84" t="str">
        <x:f>IFERROR(IF(0=LEN(ReferenceData!$B$84),"",ReferenceData!$B$84),"")</x:f>
        <x:v>PSCC US Equity</x:v>
      </x:c>
      <x:c r="C84" t="str">
        <x:f>IFERROR(IF(0=LEN(ReferenceData!$C$84),"",ReferenceData!$C$84),"")</x:f>
        <x:v/>
      </x:c>
      <x:c r="D84" t="str">
        <x:f>IFERROR(IF(0=LEN(ReferenceData!$D$84),"",ReferenceData!$D$84),"")</x:f>
        <x:v/>
      </x:c>
      <x:c r="E84" t="str">
        <x:f>IFERROR(IF(0=LEN(ReferenceData!$E$84),"",ReferenceData!$E$84),"")</x:f>
        <x:v>Expression</x:v>
      </x:c>
      <x:c r="F84">
        <x:f ca="1">IFERROR(IF(0=LEN(ReferenceData!$F$84),"",ReferenceData!$F$84),"")</x:f>
        <x:v>-2.3391099999999998</x:v>
      </x:c>
      <x:c r="G84">
        <x:f ca="1">IFERROR(IF(0=LEN(ReferenceData!$G$84),"",ReferenceData!$G$84),"")</x:f>
        <x:v>-1.9966390000000001</x:v>
      </x:c>
      <x:c r="H84">
        <x:f ca="1">IFERROR(IF(0=LEN(ReferenceData!$H$84),"",ReferenceData!$H$84),"")</x:f>
        <x:v>0</x:v>
      </x:c>
      <x:c r="I84">
        <x:f ca="1">IFERROR(IF(0=LEN(ReferenceData!$I$84),"",ReferenceData!$I$84),"")</x:f>
        <x:v>-0.67713599999999996</x:v>
      </x:c>
      <x:c r="J84">
        <x:f ca="1">IFERROR(IF(0=LEN(ReferenceData!$J$84),"",ReferenceData!$J$84),"")</x:f>
        <x:v>5.4676020000000003</x:v>
      </x:c>
      <x:c r="K84">
        <x:f ca="1">IFERROR(IF(0=LEN(ReferenceData!$K$84),"",ReferenceData!$K$84),"")</x:f>
        <x:v>1.0950899999999999</x:v>
      </x:c>
      <x:c r="L84">
        <x:f ca="1">IFERROR(IF(0=LEN(ReferenceData!$L$84),"",ReferenceData!$L$84),"")</x:f>
        <x:v>10.852434000000001</x:v>
      </x:c>
      <x:c r="M84">
        <x:f ca="1">IFERROR(IF(0=LEN(ReferenceData!$M$84),"",ReferenceData!$M$84),"")</x:f>
        <x:v>5.5243679999999999</x:v>
      </x:c>
      <x:c r="N84">
        <x:f ca="1">IFERROR(IF(0=LEN(ReferenceData!$N$84),"",ReferenceData!$N$84),"")</x:f>
        <x:v>9.4118999999999993</x:v>
      </x:c>
      <x:c r="O84">
        <x:f ca="1">IFERROR(IF(0=LEN(ReferenceData!$O$84),"",ReferenceData!$O$84),"")</x:f>
        <x:v>-6.5978130000000004</x:v>
      </x:c>
      <x:c r="P84">
        <x:f ca="1">IFERROR(IF(0=LEN(ReferenceData!$P$84),"",ReferenceData!$P$84),"")</x:f>
        <x:v>-3.085572</x:v>
      </x:c>
      <x:c r="Q84">
        <x:f ca="1">IFERROR(IF(0=LEN(ReferenceData!$Q$84),"",ReferenceData!$Q$84),"")</x:f>
        <x:v>4.3460210000000004</x:v>
      </x:c>
      <x:c r="R84">
        <x:f ca="1">IFERROR(IF(0=LEN(ReferenceData!$R$84),"",ReferenceData!$R$84),"")</x:f>
        <x:v>-2.1509269999999998</x:v>
      </x:c>
      <x:c r="S84">
        <x:f ca="1">IFERROR(IF(0=LEN(ReferenceData!$S$84),"",ReferenceData!$S$84),"")</x:f>
        <x:v>-1.927646</x:v>
      </x:c>
    </x:row>
    <x:row r="85" spans="1:19" x14ac:dyDescent="0.25">
      <x:c r="A85" t="str">
        <x:f>IFERROR(IF(0=LEN(ReferenceData!$A$85),"",ReferenceData!$A$85),"")</x:f>
        <x:v xml:space="preserve">        SPDR S&amp;P International Consume</x:v>
      </x:c>
      <x:c r="B85" t="str">
        <x:f>IFERROR(IF(0=LEN(ReferenceData!$B$85),"",ReferenceData!$B$85),"")</x:f>
        <x:v>IPS US Equity</x:v>
      </x:c>
      <x:c r="C85" t="str">
        <x:f>IFERROR(IF(0=LEN(ReferenceData!$C$85),"",ReferenceData!$C$85),"")</x:f>
        <x:v/>
      </x:c>
      <x:c r="D85" t="str">
        <x:f>IFERROR(IF(0=LEN(ReferenceData!$D$85),"",ReferenceData!$D$85),"")</x:f>
        <x:v/>
      </x:c>
      <x:c r="E85" t="str">
        <x:f>IFERROR(IF(0=LEN(ReferenceData!$E$85),"",ReferenceData!$E$85),"")</x:f>
        <x:v>Expression</x:v>
      </x:c>
      <x:c r="F85" t="str">
        <x:f ca="1">IFERROR(IF(0=LEN(ReferenceData!$F$85),"",ReferenceData!$F$85),"")</x:f>
        <x:v/>
      </x:c>
      <x:c r="G85" t="str">
        <x:f ca="1">IFERROR(IF(0=LEN(ReferenceData!$G$85),"",ReferenceData!$G$85),"")</x:f>
        <x:v/>
      </x:c>
      <x:c r="H85" t="str">
        <x:f ca="1">IFERROR(IF(0=LEN(ReferenceData!$H$85),"",ReferenceData!$H$85),"")</x:f>
        <x:v/>
      </x:c>
      <x:c r="I85" t="str">
        <x:f ca="1">IFERROR(IF(0=LEN(ReferenceData!$I$85),"",ReferenceData!$I$85),"")</x:f>
        <x:v/>
      </x:c>
      <x:c r="J85" t="str">
        <x:f ca="1">IFERROR(IF(0=LEN(ReferenceData!$J$85),"",ReferenceData!$J$85),"")</x:f>
        <x:v/>
      </x:c>
      <x:c r="K85" t="str">
        <x:f ca="1">IFERROR(IF(0=LEN(ReferenceData!$K$85),"",ReferenceData!$K$85),"")</x:f>
        <x:v/>
      </x:c>
      <x:c r="L85" t="str">
        <x:f ca="1">IFERROR(IF(0=LEN(ReferenceData!$L$85),"",ReferenceData!$L$85),"")</x:f>
        <x:v/>
      </x:c>
      <x:c r="M85" t="str">
        <x:f ca="1">IFERROR(IF(0=LEN(ReferenceData!$M$85),"",ReferenceData!$M$85),"")</x:f>
        <x:v/>
      </x:c>
      <x:c r="N85" t="str">
        <x:f ca="1">IFERROR(IF(0=LEN(ReferenceData!$N$85),"",ReferenceData!$N$85),"")</x:f>
        <x:v/>
      </x:c>
      <x:c r="O85" t="str">
        <x:f ca="1">IFERROR(IF(0=LEN(ReferenceData!$O$85),"",ReferenceData!$O$85),"")</x:f>
        <x:v/>
      </x:c>
      <x:c r="P85" t="str">
        <x:f ca="1">IFERROR(IF(0=LEN(ReferenceData!$P$85),"",ReferenceData!$P$85),"")</x:f>
        <x:v/>
      </x:c>
      <x:c r="Q85" t="str">
        <x:f ca="1">IFERROR(IF(0=LEN(ReferenceData!$Q$85),"",ReferenceData!$Q$85),"")</x:f>
        <x:v/>
      </x:c>
      <x:c r="R85" t="str">
        <x:f ca="1">IFERROR(IF(0=LEN(ReferenceData!$R$85),"",ReferenceData!$R$85),"")</x:f>
        <x:v/>
      </x:c>
      <x:c r="S85" t="str">
        <x:f ca="1">IFERROR(IF(0=LEN(ReferenceData!$S$85),"",ReferenceData!$S$85),"")</x:f>
        <x:v/>
      </x:c>
    </x:row>
    <x:row r="86" spans="1:19" x14ac:dyDescent="0.25">
      <x:c r="A86" t="str">
        <x:f>IFERROR(IF(0=LEN(ReferenceData!$A$86),"",ReferenceData!$A$86),"")</x:f>
        <x:v xml:space="preserve">        John Hancock Multifactor Consu</x:v>
      </x:c>
      <x:c r="B86" t="str">
        <x:f>IFERROR(IF(0=LEN(ReferenceData!$B$86),"",ReferenceData!$B$86),"")</x:f>
        <x:v>JHMS US Equity</x:v>
      </x:c>
      <x:c r="C86" t="str">
        <x:f>IFERROR(IF(0=LEN(ReferenceData!$C$86),"",ReferenceData!$C$86),"")</x:f>
        <x:v/>
      </x:c>
      <x:c r="D86" t="str">
        <x:f>IFERROR(IF(0=LEN(ReferenceData!$D$86),"",ReferenceData!$D$86),"")</x:f>
        <x:v/>
      </x:c>
      <x:c r="E86" t="str">
        <x:f>IFERROR(IF(0=LEN(ReferenceData!$E$86),"",ReferenceData!$E$86),"")</x:f>
        <x:v>Expression</x:v>
      </x:c>
      <x:c r="F86" t="str">
        <x:f ca="1">IFERROR(IF(0=LEN(ReferenceData!$F$86),"",ReferenceData!$F$86),"")</x:f>
        <x:v/>
      </x:c>
      <x:c r="G86" t="str">
        <x:f ca="1">IFERROR(IF(0=LEN(ReferenceData!$G$86),"",ReferenceData!$G$86),"")</x:f>
        <x:v/>
      </x:c>
      <x:c r="H86" t="str">
        <x:f ca="1">IFERROR(IF(0=LEN(ReferenceData!$H$86),"",ReferenceData!$H$86),"")</x:f>
        <x:v/>
      </x:c>
      <x:c r="I86" t="str">
        <x:f ca="1">IFERROR(IF(0=LEN(ReferenceData!$I$86),"",ReferenceData!$I$86),"")</x:f>
        <x:v/>
      </x:c>
      <x:c r="J86" t="str">
        <x:f ca="1">IFERROR(IF(0=LEN(ReferenceData!$J$86),"",ReferenceData!$J$86),"")</x:f>
        <x:v/>
      </x:c>
      <x:c r="K86" t="str">
        <x:f ca="1">IFERROR(IF(0=LEN(ReferenceData!$K$86),"",ReferenceData!$K$86),"")</x:f>
        <x:v/>
      </x:c>
      <x:c r="L86" t="str">
        <x:f ca="1">IFERROR(IF(0=LEN(ReferenceData!$L$86),"",ReferenceData!$L$86),"")</x:f>
        <x:v/>
      </x:c>
      <x:c r="M86" t="str">
        <x:f ca="1">IFERROR(IF(0=LEN(ReferenceData!$M$86),"",ReferenceData!$M$86),"")</x:f>
        <x:v/>
      </x:c>
      <x:c r="N86" t="str">
        <x:f ca="1">IFERROR(IF(0=LEN(ReferenceData!$N$86),"",ReferenceData!$N$86),"")</x:f>
        <x:v/>
      </x:c>
      <x:c r="O86" t="str">
        <x:f ca="1">IFERROR(IF(0=LEN(ReferenceData!$O$86),"",ReferenceData!$O$86),"")</x:f>
        <x:v/>
      </x:c>
      <x:c r="P86" t="str">
        <x:f ca="1">IFERROR(IF(0=LEN(ReferenceData!$P$86),"",ReferenceData!$P$86),"")</x:f>
        <x:v/>
      </x:c>
      <x:c r="Q86" t="str">
        <x:f ca="1">IFERROR(IF(0=LEN(ReferenceData!$Q$86),"",ReferenceData!$Q$86),"")</x:f>
        <x:v/>
      </x:c>
      <x:c r="R86" t="str">
        <x:f ca="1">IFERROR(IF(0=LEN(ReferenceData!$R$86),"",ReferenceData!$R$86),"")</x:f>
        <x:v/>
      </x:c>
      <x:c r="S86">
        <x:f ca="1">IFERROR(IF(0=LEN(ReferenceData!$S$86),"",ReferenceData!$S$86),"")</x:f>
        <x:v>-10.748907000000001</x:v>
      </x:c>
    </x:row>
    <x:row r="87" spans="1:19" x14ac:dyDescent="0.25">
      <x:c r="A87" t="str">
        <x:f>IFERROR(IF(0=LEN(ReferenceData!$A$87),"",ReferenceData!$A$87),"")</x:f>
        <x:v xml:space="preserve">        ProShares Ultra Consumer Stapl</x:v>
      </x:c>
      <x:c r="B87" t="str">
        <x:f>IFERROR(IF(0=LEN(ReferenceData!$B$87),"",ReferenceData!$B$87),"")</x:f>
        <x:v>UGE US Equity</x:v>
      </x:c>
      <x:c r="C87" t="str">
        <x:f>IFERROR(IF(0=LEN(ReferenceData!$C$87),"",ReferenceData!$C$87),"")</x:f>
        <x:v/>
      </x:c>
      <x:c r="D87" t="str">
        <x:f>IFERROR(IF(0=LEN(ReferenceData!$D$87),"",ReferenceData!$D$87),"")</x:f>
        <x:v/>
      </x:c>
      <x:c r="E87" t="str">
        <x:f>IFERROR(IF(0=LEN(ReferenceData!$E$87),"",ReferenceData!$E$87),"")</x:f>
        <x:v>Expression</x:v>
      </x:c>
      <x:c r="F87">
        <x:f ca="1">IFERROR(IF(0=LEN(ReferenceData!$F$87),"",ReferenceData!$F$87),"")</x:f>
        <x:v>-0.14582700000000001</x:v>
      </x:c>
      <x:c r="G87">
        <x:f ca="1">IFERROR(IF(0=LEN(ReferenceData!$G$87),"",ReferenceData!$G$87),"")</x:f>
        <x:v>-1.51946</x:v>
      </x:c>
      <x:c r="H87">
        <x:f ca="1">IFERROR(IF(0=LEN(ReferenceData!$H$87),"",ReferenceData!$H$87),"")</x:f>
        <x:v>-0.31471700000000002</x:v>
      </x:c>
      <x:c r="I87">
        <x:f ca="1">IFERROR(IF(0=LEN(ReferenceData!$I$87),"",ReferenceData!$I$87),"")</x:f>
        <x:v>0</x:v>
      </x:c>
      <x:c r="J87">
        <x:f ca="1">IFERROR(IF(0=LEN(ReferenceData!$J$87),"",ReferenceData!$J$87),"")</x:f>
        <x:v>-0.16961200000000001</x:v>
      </x:c>
      <x:c r="K87">
        <x:f ca="1">IFERROR(IF(0=LEN(ReferenceData!$K$87),"",ReferenceData!$K$87),"")</x:f>
        <x:v>-0.16772200000000001</x:v>
      </x:c>
      <x:c r="L87">
        <x:f ca="1">IFERROR(IF(0=LEN(ReferenceData!$L$87),"",ReferenceData!$L$87),"")</x:f>
        <x:v>0.40581499999999998</x:v>
      </x:c>
      <x:c r="M87">
        <x:f ca="1">IFERROR(IF(0=LEN(ReferenceData!$M$87),"",ReferenceData!$M$87),"")</x:f>
        <x:v>2.6681750000000002</x:v>
      </x:c>
      <x:c r="N87">
        <x:f ca="1">IFERROR(IF(0=LEN(ReferenceData!$N$87),"",ReferenceData!$N$87),"")</x:f>
        <x:v>-3.3533469999999999</x:v>
      </x:c>
      <x:c r="O87">
        <x:f ca="1">IFERROR(IF(0=LEN(ReferenceData!$O$87),"",ReferenceData!$O$87),"")</x:f>
        <x:v>0.89227800000000002</x:v>
      </x:c>
      <x:c r="P87">
        <x:f ca="1">IFERROR(IF(0=LEN(ReferenceData!$P$87),"",ReferenceData!$P$87),"")</x:f>
        <x:v>-0.39609800000000001</x:v>
      </x:c>
      <x:c r="Q87">
        <x:f ca="1">IFERROR(IF(0=LEN(ReferenceData!$Q$87),"",ReferenceData!$Q$87),"")</x:f>
        <x:v>1.303328</x:v>
      </x:c>
      <x:c r="R87">
        <x:f ca="1">IFERROR(IF(0=LEN(ReferenceData!$R$87),"",ReferenceData!$R$87),"")</x:f>
        <x:v>1.8381099999999999</x:v>
      </x:c>
      <x:c r="S87">
        <x:f ca="1">IFERROR(IF(0=LEN(ReferenceData!$S$87),"",ReferenceData!$S$87),"")</x:f>
        <x:v>-0.44043199999999999</x:v>
      </x:c>
    </x:row>
    <x:row r="88" spans="1:19" x14ac:dyDescent="0.25">
      <x:c r="A88" t="str">
        <x:f>IFERROR(IF(0=LEN(ReferenceData!$A$88),"",ReferenceData!$A$88),"")</x:f>
        <x:v xml:space="preserve">        iShares Edge MSCI Multifactor</x:v>
      </x:c>
      <x:c r="B88" t="str">
        <x:f>IFERROR(IF(0=LEN(ReferenceData!$B$88),"",ReferenceData!$B$88),"")</x:f>
        <x:v>CNSF US Equity</x:v>
      </x:c>
      <x:c r="C88" t="str">
        <x:f>IFERROR(IF(0=LEN(ReferenceData!$C$88),"",ReferenceData!$C$88),"")</x:f>
        <x:v/>
      </x:c>
      <x:c r="D88" t="str">
        <x:f>IFERROR(IF(0=LEN(ReferenceData!$D$88),"",ReferenceData!$D$88),"")</x:f>
        <x:v/>
      </x:c>
      <x:c r="E88" t="str">
        <x:f>IFERROR(IF(0=LEN(ReferenceData!$E$88),"",ReferenceData!$E$88),"")</x:f>
        <x:v>Expression</x:v>
      </x:c>
      <x:c r="F88" t="str">
        <x:f ca="1">IFERROR(IF(0=LEN(ReferenceData!$F$88),"",ReferenceData!$F$88),"")</x:f>
        <x:v/>
      </x:c>
      <x:c r="G88" t="str">
        <x:f ca="1">IFERROR(IF(0=LEN(ReferenceData!$G$88),"",ReferenceData!$G$88),"")</x:f>
        <x:v/>
      </x:c>
      <x:c r="H88" t="str">
        <x:f ca="1">IFERROR(IF(0=LEN(ReferenceData!$H$88),"",ReferenceData!$H$88),"")</x:f>
        <x:v/>
      </x:c>
      <x:c r="I88" t="str">
        <x:f ca="1">IFERROR(IF(0=LEN(ReferenceData!$I$88),"",ReferenceData!$I$88),"")</x:f>
        <x:v/>
      </x:c>
      <x:c r="J88" t="str">
        <x:f ca="1">IFERROR(IF(0=LEN(ReferenceData!$J$88),"",ReferenceData!$J$88),"")</x:f>
        <x:v/>
      </x:c>
      <x:c r="K88" t="str">
        <x:f ca="1">IFERROR(IF(0=LEN(ReferenceData!$K$88),"",ReferenceData!$K$88),"")</x:f>
        <x:v/>
      </x:c>
      <x:c r="L88" t="str">
        <x:f ca="1">IFERROR(IF(0=LEN(ReferenceData!$L$88),"",ReferenceData!$L$88),"")</x:f>
        <x:v/>
      </x:c>
      <x:c r="M88" t="str">
        <x:f ca="1">IFERROR(IF(0=LEN(ReferenceData!$M$88),"",ReferenceData!$M$88),"")</x:f>
        <x:v/>
      </x:c>
      <x:c r="N88" t="str">
        <x:f ca="1">IFERROR(IF(0=LEN(ReferenceData!$N$88),"",ReferenceData!$N$88),"")</x:f>
        <x:v/>
      </x:c>
      <x:c r="O88" t="str">
        <x:f ca="1">IFERROR(IF(0=LEN(ReferenceData!$O$88),"",ReferenceData!$O$88),"")</x:f>
        <x:v/>
      </x:c>
      <x:c r="P88" t="str">
        <x:f ca="1">IFERROR(IF(0=LEN(ReferenceData!$P$88),"",ReferenceData!$P$88),"")</x:f>
        <x:v/>
      </x:c>
      <x:c r="Q88" t="str">
        <x:f ca="1">IFERROR(IF(0=LEN(ReferenceData!$Q$88),"",ReferenceData!$Q$88),"")</x:f>
        <x:v/>
      </x:c>
      <x:c r="R88" t="str">
        <x:f ca="1">IFERROR(IF(0=LEN(ReferenceData!$R$88),"",ReferenceData!$R$88),"")</x:f>
        <x:v/>
      </x:c>
      <x:c r="S88" t="str">
        <x:f ca="1">IFERROR(IF(0=LEN(ReferenceData!$S$88),"",ReferenceData!$S$88),"")</x:f>
        <x:v/>
      </x:c>
    </x:row>
    <x:row r="89" spans="1:19" x14ac:dyDescent="0.25">
      <x:c r="A89" t="str">
        <x:f>IFERROR(IF(0=LEN(ReferenceData!$A$89),"",ReferenceData!$A$89),"")</x:f>
        <x:v xml:space="preserve">        Direxion Daily Consumer Staple</x:v>
      </x:c>
      <x:c r="B89" t="str">
        <x:f>IFERROR(IF(0=LEN(ReferenceData!$B$89),"",ReferenceData!$B$89),"")</x:f>
        <x:v>SPLZ US Equity</x:v>
      </x:c>
      <x:c r="C89" t="str">
        <x:f>IFERROR(IF(0=LEN(ReferenceData!$C$89),"",ReferenceData!$C$89),"")</x:f>
        <x:v/>
      </x:c>
      <x:c r="D89" t="str">
        <x:f>IFERROR(IF(0=LEN(ReferenceData!$D$89),"",ReferenceData!$D$89),"")</x:f>
        <x:v/>
      </x:c>
      <x:c r="E89" t="str">
        <x:f>IFERROR(IF(0=LEN(ReferenceData!$E$89),"",ReferenceData!$E$89),"")</x:f>
        <x:v>Expression</x:v>
      </x:c>
      <x:c r="F89" t="str">
        <x:f ca="1">IFERROR(IF(0=LEN(ReferenceData!$F$89),"",ReferenceData!$F$89),"")</x:f>
        <x:v/>
      </x:c>
      <x:c r="G89" t="str">
        <x:f ca="1">IFERROR(IF(0=LEN(ReferenceData!$G$89),"",ReferenceData!$G$89),"")</x:f>
        <x:v/>
      </x:c>
      <x:c r="H89" t="str">
        <x:f ca="1">IFERROR(IF(0=LEN(ReferenceData!$H$89),"",ReferenceData!$H$89),"")</x:f>
        <x:v/>
      </x:c>
      <x:c r="I89" t="str">
        <x:f ca="1">IFERROR(IF(0=LEN(ReferenceData!$I$89),"",ReferenceData!$I$89),"")</x:f>
        <x:v/>
      </x:c>
      <x:c r="J89" t="str">
        <x:f ca="1">IFERROR(IF(0=LEN(ReferenceData!$J$89),"",ReferenceData!$J$89),"")</x:f>
        <x:v/>
      </x:c>
      <x:c r="K89" t="str">
        <x:f ca="1">IFERROR(IF(0=LEN(ReferenceData!$K$89),"",ReferenceData!$K$89),"")</x:f>
        <x:v/>
      </x:c>
      <x:c r="L89" t="str">
        <x:f ca="1">IFERROR(IF(0=LEN(ReferenceData!$L$89),"",ReferenceData!$L$89),"")</x:f>
        <x:v/>
      </x:c>
      <x:c r="M89" t="str">
        <x:f ca="1">IFERROR(IF(0=LEN(ReferenceData!$M$89),"",ReferenceData!$M$89),"")</x:f>
        <x:v/>
      </x:c>
      <x:c r="N89" t="str">
        <x:f ca="1">IFERROR(IF(0=LEN(ReferenceData!$N$89),"",ReferenceData!$N$89),"")</x:f>
        <x:v/>
      </x:c>
      <x:c r="O89" t="str">
        <x:f ca="1">IFERROR(IF(0=LEN(ReferenceData!$O$89),"",ReferenceData!$O$89),"")</x:f>
        <x:v/>
      </x:c>
      <x:c r="P89" t="str">
        <x:f ca="1">IFERROR(IF(0=LEN(ReferenceData!$P$89),"",ReferenceData!$P$89),"")</x:f>
        <x:v/>
      </x:c>
      <x:c r="Q89" t="str">
        <x:f ca="1">IFERROR(IF(0=LEN(ReferenceData!$Q$89),"",ReferenceData!$Q$89),"")</x:f>
        <x:v/>
      </x:c>
      <x:c r="R89" t="str">
        <x:f ca="1">IFERROR(IF(0=LEN(ReferenceData!$R$89),"",ReferenceData!$R$89),"")</x:f>
        <x:v/>
      </x:c>
      <x:c r="S89" t="str">
        <x:f ca="1">IFERROR(IF(0=LEN(ReferenceData!$S$89),"",ReferenceData!$S$89),"")</x:f>
        <x:v/>
      </x:c>
    </x:row>
    <x:row r="90" spans="1:19" x14ac:dyDescent="0.25">
      <x:c r="A90" t="str">
        <x:f>IFERROR(IF(0=LEN(ReferenceData!$A$90),"",ReferenceData!$A$90),"")</x:f>
        <x:v xml:space="preserve">        ProShares UltraShort Consumer</x:v>
      </x:c>
      <x:c r="B90" t="str">
        <x:f>IFERROR(IF(0=LEN(ReferenceData!$B$90),"",ReferenceData!$B$90),"")</x:f>
        <x:v>SZK US Equity</x:v>
      </x:c>
      <x:c r="C90" t="str">
        <x:f>IFERROR(IF(0=LEN(ReferenceData!$C$90),"",ReferenceData!$C$90),"")</x:f>
        <x:v/>
      </x:c>
      <x:c r="D90" t="str">
        <x:f>IFERROR(IF(0=LEN(ReferenceData!$D$90),"",ReferenceData!$D$90),"")</x:f>
        <x:v/>
      </x:c>
      <x:c r="E90" t="str">
        <x:f>IFERROR(IF(0=LEN(ReferenceData!$E$90),"",ReferenceData!$E$90),"")</x:f>
        <x:v>Expression</x:v>
      </x:c>
      <x:c r="F90">
        <x:f ca="1">IFERROR(IF(0=LEN(ReferenceData!$F$90),"",ReferenceData!$F$90),"")</x:f>
        <x:v>2.872E-3</x:v>
      </x:c>
      <x:c r="G90">
        <x:f ca="1">IFERROR(IF(0=LEN(ReferenceData!$G$90),"",ReferenceData!$G$90),"")</x:f>
        <x:v>1.068152</x:v>
      </x:c>
      <x:c r="H90">
        <x:f ca="1">IFERROR(IF(0=LEN(ReferenceData!$H$90),"",ReferenceData!$H$90),"")</x:f>
        <x:v>-0.15670799999999999</x:v>
      </x:c>
      <x:c r="I90">
        <x:f ca="1">IFERROR(IF(0=LEN(ReferenceData!$I$90),"",ReferenceData!$I$90),"")</x:f>
        <x:v>0</x:v>
      </x:c>
      <x:c r="J90">
        <x:f ca="1">IFERROR(IF(0=LEN(ReferenceData!$J$90),"",ReferenceData!$J$90),"")</x:f>
        <x:v>-0.13834299999999999</x:v>
      </x:c>
      <x:c r="K90">
        <x:f ca="1">IFERROR(IF(0=LEN(ReferenceData!$K$90),"",ReferenceData!$K$90),"")</x:f>
        <x:v>-0.53126200000000001</x:v>
      </x:c>
      <x:c r="L90">
        <x:f ca="1">IFERROR(IF(0=LEN(ReferenceData!$L$90),"",ReferenceData!$L$90),"")</x:f>
        <x:v>-0.33919199999999999</x:v>
      </x:c>
      <x:c r="M90">
        <x:f ca="1">IFERROR(IF(0=LEN(ReferenceData!$M$90),"",ReferenceData!$M$90),"")</x:f>
        <x:v>-0.71030000000000004</x:v>
      </x:c>
      <x:c r="N90">
        <x:f ca="1">IFERROR(IF(0=LEN(ReferenceData!$N$90),"",ReferenceData!$N$90),"")</x:f>
        <x:v>1.1439900000000001</x:v>
      </x:c>
      <x:c r="O90">
        <x:f ca="1">IFERROR(IF(0=LEN(ReferenceData!$O$90),"",ReferenceData!$O$90),"")</x:f>
        <x:v>0.352663</x:v>
      </x:c>
      <x:c r="P90">
        <x:f ca="1">IFERROR(IF(0=LEN(ReferenceData!$P$90),"",ReferenceData!$P$90),"")</x:f>
        <x:v>0</x:v>
      </x:c>
      <x:c r="Q90">
        <x:f ca="1">IFERROR(IF(0=LEN(ReferenceData!$Q$90),"",ReferenceData!$Q$90),"")</x:f>
        <x:v>-1.2280869999999999</x:v>
      </x:c>
      <x:c r="R90">
        <x:f ca="1">IFERROR(IF(0=LEN(ReferenceData!$R$90),"",ReferenceData!$R$90),"")</x:f>
        <x:v>0</x:v>
      </x:c>
      <x:c r="S90">
        <x:f ca="1">IFERROR(IF(0=LEN(ReferenceData!$S$90),"",ReferenceData!$S$90),"")</x:f>
        <x:v>-0.86326000000000003</x:v>
      </x:c>
    </x:row>
    <x:row r="91" spans="1:19" x14ac:dyDescent="0.25">
      <x:c r="A91" t="str">
        <x:f>IFERROR(IF(0=LEN(ReferenceData!$A$91),"",ReferenceData!$A$91),"")</x:f>
        <x:v xml:space="preserve">        Elkhorn S&amp;P MidCap Consumer St</x:v>
      </x:c>
      <x:c r="B91" t="str">
        <x:f>IFERROR(IF(0=LEN(ReferenceData!$B$91),"",ReferenceData!$B$91),"")</x:f>
        <x:v>XS US Equity</x:v>
      </x:c>
      <x:c r="C91" t="str">
        <x:f>IFERROR(IF(0=LEN(ReferenceData!$C$91),"",ReferenceData!$C$91),"")</x:f>
        <x:v/>
      </x:c>
      <x:c r="D91" t="str">
        <x:f>IFERROR(IF(0=LEN(ReferenceData!$D$91),"",ReferenceData!$D$91),"")</x:f>
        <x:v/>
      </x:c>
      <x:c r="E91" t="str">
        <x:f>IFERROR(IF(0=LEN(ReferenceData!$E$91),"",ReferenceData!$E$91),"")</x:f>
        <x:v>Expression</x:v>
      </x:c>
      <x:c r="F91" t="str">
        <x:f ca="1">IFERROR(IF(0=LEN(ReferenceData!$F$91),"",ReferenceData!$F$91),"")</x:f>
        <x:v/>
      </x:c>
      <x:c r="G91" t="str">
        <x:f ca="1">IFERROR(IF(0=LEN(ReferenceData!$G$91),"",ReferenceData!$G$91),"")</x:f>
        <x:v/>
      </x:c>
      <x:c r="H91" t="str">
        <x:f ca="1">IFERROR(IF(0=LEN(ReferenceData!$H$91),"",ReferenceData!$H$91),"")</x:f>
        <x:v/>
      </x:c>
      <x:c r="I91" t="str">
        <x:f ca="1">IFERROR(IF(0=LEN(ReferenceData!$I$91),"",ReferenceData!$I$91),"")</x:f>
        <x:v/>
      </x:c>
      <x:c r="J91" t="str">
        <x:f ca="1">IFERROR(IF(0=LEN(ReferenceData!$J$91),"",ReferenceData!$J$91),"")</x:f>
        <x:v/>
      </x:c>
      <x:c r="K91" t="str">
        <x:f ca="1">IFERROR(IF(0=LEN(ReferenceData!$K$91),"",ReferenceData!$K$91),"")</x:f>
        <x:v/>
      </x:c>
      <x:c r="L91" t="str">
        <x:f ca="1">IFERROR(IF(0=LEN(ReferenceData!$L$91),"",ReferenceData!$L$91),"")</x:f>
        <x:v/>
      </x:c>
      <x:c r="M91" t="str">
        <x:f ca="1">IFERROR(IF(0=LEN(ReferenceData!$M$91),"",ReferenceData!$M$91),"")</x:f>
        <x:v/>
      </x:c>
      <x:c r="N91" t="str">
        <x:f ca="1">IFERROR(IF(0=LEN(ReferenceData!$N$91),"",ReferenceData!$N$91),"")</x:f>
        <x:v/>
      </x:c>
      <x:c r="O91" t="str">
        <x:f ca="1">IFERROR(IF(0=LEN(ReferenceData!$O$91),"",ReferenceData!$O$91),"")</x:f>
        <x:v/>
      </x:c>
      <x:c r="P91" t="str">
        <x:f ca="1">IFERROR(IF(0=LEN(ReferenceData!$P$91),"",ReferenceData!$P$91),"")</x:f>
        <x:v/>
      </x:c>
      <x:c r="Q91" t="str">
        <x:f ca="1">IFERROR(IF(0=LEN(ReferenceData!$Q$91),"",ReferenceData!$Q$91),"")</x:f>
        <x:v/>
      </x:c>
      <x:c r="R91" t="str">
        <x:f ca="1">IFERROR(IF(0=LEN(ReferenceData!$R$91),"",ReferenceData!$R$91),"")</x:f>
        <x:v/>
      </x:c>
      <x:c r="S91" t="str">
        <x:f ca="1">IFERROR(IF(0=LEN(ReferenceData!$S$91),"",ReferenceData!$S$91),"")</x:f>
        <x:v/>
      </x:c>
    </x:row>
    <x:row r="92" spans="1:19" x14ac:dyDescent="0.25">
      <x:c r="A92" t="str">
        <x:f>IFERROR(IF(0=LEN(ReferenceData!$A$92),"",ReferenceData!$A$92),"")</x:f>
        <x:v xml:space="preserve">        iShares Evolved US Consumer St</x:v>
      </x:c>
      <x:c r="B92" t="str">
        <x:f>IFERROR(IF(0=LEN(ReferenceData!$B$92),"",ReferenceData!$B$92),"")</x:f>
        <x:v>IECS US Equity</x:v>
      </x:c>
      <x:c r="C92" t="str">
        <x:f>IFERROR(IF(0=LEN(ReferenceData!$C$92),"",ReferenceData!$C$92),"")</x:f>
        <x:v/>
      </x:c>
      <x:c r="D92" t="str">
        <x:f>IFERROR(IF(0=LEN(ReferenceData!$D$92),"",ReferenceData!$D$92),"")</x:f>
        <x:v/>
      </x:c>
      <x:c r="E92" t="str">
        <x:f>IFERROR(IF(0=LEN(ReferenceData!$E$92),"",ReferenceData!$E$92),"")</x:f>
        <x:v>Expression</x:v>
      </x:c>
      <x:c r="F92" t="str">
        <x:f ca="1">IFERROR(IF(0=LEN(ReferenceData!$F$92),"",ReferenceData!$F$92),"")</x:f>
        <x:v/>
      </x:c>
      <x:c r="G92" t="str">
        <x:f ca="1">IFERROR(IF(0=LEN(ReferenceData!$G$92),"",ReferenceData!$G$92),"")</x:f>
        <x:v/>
      </x:c>
      <x:c r="H92" t="str">
        <x:f ca="1">IFERROR(IF(0=LEN(ReferenceData!$H$92),"",ReferenceData!$H$92),"")</x:f>
        <x:v/>
      </x:c>
      <x:c r="I92" t="str">
        <x:f ca="1">IFERROR(IF(0=LEN(ReferenceData!$I$92),"",ReferenceData!$I$92),"")</x:f>
        <x:v/>
      </x:c>
      <x:c r="J92" t="str">
        <x:f ca="1">IFERROR(IF(0=LEN(ReferenceData!$J$92),"",ReferenceData!$J$92),"")</x:f>
        <x:v/>
      </x:c>
      <x:c r="K92" t="str">
        <x:f ca="1">IFERROR(IF(0=LEN(ReferenceData!$K$92),"",ReferenceData!$K$92),"")</x:f>
        <x:v/>
      </x:c>
      <x:c r="L92" t="str">
        <x:f ca="1">IFERROR(IF(0=LEN(ReferenceData!$L$92),"",ReferenceData!$L$92),"")</x:f>
        <x:v/>
      </x:c>
      <x:c r="M92" t="str">
        <x:f ca="1">IFERROR(IF(0=LEN(ReferenceData!$M$92),"",ReferenceData!$M$92),"")</x:f>
        <x:v/>
      </x:c>
      <x:c r="N92" t="str">
        <x:f ca="1">IFERROR(IF(0=LEN(ReferenceData!$N$92),"",ReferenceData!$N$92),"")</x:f>
        <x:v/>
      </x:c>
      <x:c r="O92" t="str">
        <x:f ca="1">IFERROR(IF(0=LEN(ReferenceData!$O$92),"",ReferenceData!$O$92),"")</x:f>
        <x:v/>
      </x:c>
      <x:c r="P92" t="str">
        <x:f ca="1">IFERROR(IF(0=LEN(ReferenceData!$P$92),"",ReferenceData!$P$92),"")</x:f>
        <x:v/>
      </x:c>
      <x:c r="Q92" t="str">
        <x:f ca="1">IFERROR(IF(0=LEN(ReferenceData!$Q$92),"",ReferenceData!$Q$92),"")</x:f>
        <x:v/>
      </x:c>
      <x:c r="R92" t="str">
        <x:f ca="1">IFERROR(IF(0=LEN(ReferenceData!$R$92),"",ReferenceData!$R$92),"")</x:f>
        <x:v/>
      </x:c>
      <x:c r="S92" t="str">
        <x:f ca="1">IFERROR(IF(0=LEN(ReferenceData!$S$92),"",ReferenceData!$S$92),"")</x:f>
        <x:v/>
      </x:c>
    </x:row>
    <x:row r="93" spans="1:19" x14ac:dyDescent="0.25">
      <x:c r="A93" t="str">
        <x:f>IFERROR(IF(0=LEN(ReferenceData!$A$93),"",ReferenceData!$A$93),"")</x:f>
        <x:v xml:space="preserve">        Global X MSCI China Consumer S</x:v>
      </x:c>
      <x:c r="B93" t="str">
        <x:f>IFERROR(IF(0=LEN(ReferenceData!$B$93),"",ReferenceData!$B$93),"")</x:f>
        <x:v>CHIS US Equity</x:v>
      </x:c>
      <x:c r="C93" t="str">
        <x:f>IFERROR(IF(0=LEN(ReferenceData!$C$93),"",ReferenceData!$C$93),"")</x:f>
        <x:v/>
      </x:c>
      <x:c r="D93" t="str">
        <x:f>IFERROR(IF(0=LEN(ReferenceData!$D$93),"",ReferenceData!$D$93),"")</x:f>
        <x:v/>
      </x:c>
      <x:c r="E93" t="str">
        <x:f>IFERROR(IF(0=LEN(ReferenceData!$E$93),"",ReferenceData!$E$93),"")</x:f>
        <x:v>Expression</x:v>
      </x:c>
      <x:c r="F93">
        <x:f ca="1">IFERROR(IF(0=LEN(ReferenceData!$F$93),"",ReferenceData!$F$93),"")</x:f>
        <x:v>0</x:v>
      </x:c>
      <x:c r="G93">
        <x:f ca="1">IFERROR(IF(0=LEN(ReferenceData!$G$93),"",ReferenceData!$G$93),"")</x:f>
        <x:v>0</x:v>
      </x:c>
      <x:c r="H93">
        <x:f ca="1">IFERROR(IF(0=LEN(ReferenceData!$H$93),"",ReferenceData!$H$93),"")</x:f>
        <x:v>-3.8340000000000001</x:v>
      </x:c>
      <x:c r="I93">
        <x:f ca="1">IFERROR(IF(0=LEN(ReferenceData!$I$93),"",ReferenceData!$I$93),"")</x:f>
        <x:v>-19.375299999999999</x:v>
      </x:c>
      <x:c r="J93">
        <x:f ca="1">IFERROR(IF(0=LEN(ReferenceData!$J$93),"",ReferenceData!$J$93),"")</x:f>
        <x:v>0</x:v>
      </x:c>
      <x:c r="K93">
        <x:f ca="1">IFERROR(IF(0=LEN(ReferenceData!$K$93),"",ReferenceData!$K$93),"")</x:f>
        <x:v>0</x:v>
      </x:c>
      <x:c r="L93">
        <x:f ca="1">IFERROR(IF(0=LEN(ReferenceData!$L$93),"",ReferenceData!$L$93),"")</x:f>
        <x:v>-0.20599999999999999</x:v>
      </x:c>
      <x:c r="M93">
        <x:f ca="1">IFERROR(IF(0=LEN(ReferenceData!$M$93),"",ReferenceData!$M$93),"")</x:f>
        <x:v>0.44140000000000001</x:v>
      </x:c>
      <x:c r="N93">
        <x:f ca="1">IFERROR(IF(0=LEN(ReferenceData!$N$93),"",ReferenceData!$N$93),"")</x:f>
        <x:v>0</x:v>
      </x:c>
      <x:c r="O93">
        <x:f ca="1">IFERROR(IF(0=LEN(ReferenceData!$O$93),"",ReferenceData!$O$93),"")</x:f>
        <x:v>0</x:v>
      </x:c>
      <x:c r="P93">
        <x:f ca="1">IFERROR(IF(0=LEN(ReferenceData!$P$93),"",ReferenceData!$P$93),"")</x:f>
        <x:v>0</x:v>
      </x:c>
      <x:c r="Q93">
        <x:f ca="1">IFERROR(IF(0=LEN(ReferenceData!$Q$93),"",ReferenceData!$Q$93),"")</x:f>
        <x:v>17.486699999999999</x:v>
      </x:c>
      <x:c r="R93">
        <x:f ca="1">IFERROR(IF(0=LEN(ReferenceData!$R$93),"",ReferenceData!$R$93),"")</x:f>
        <x:v>9.6951999999999998</x:v>
      </x:c>
      <x:c r="S93">
        <x:f ca="1">IFERROR(IF(0=LEN(ReferenceData!$S$93),"",ReferenceData!$S$93),"")</x:f>
        <x:v>-3.2696000000000001</x:v>
      </x:c>
    </x:row>
    <x:row r="94" spans="1:19" x14ac:dyDescent="0.25">
      <x:c r="A94" t="str">
        <x:f>IFERROR(IF(0=LEN(ReferenceData!$A$94),"",ReferenceData!$A$94),"")</x:f>
        <x:v xml:space="preserve">        Direxion Daily Consumer Staple</x:v>
      </x:c>
      <x:c r="B94" t="str">
        <x:f>IFERROR(IF(0=LEN(ReferenceData!$B$94),"",ReferenceData!$B$94),"")</x:f>
        <x:v>LACK US Equity</x:v>
      </x:c>
      <x:c r="C94" t="str">
        <x:f>IFERROR(IF(0=LEN(ReferenceData!$C$94),"",ReferenceData!$C$94),"")</x:f>
        <x:v/>
      </x:c>
      <x:c r="D94" t="str">
        <x:f>IFERROR(IF(0=LEN(ReferenceData!$D$94),"",ReferenceData!$D$94),"")</x:f>
        <x:v/>
      </x:c>
      <x:c r="E94" t="str">
        <x:f>IFERROR(IF(0=LEN(ReferenceData!$E$94),"",ReferenceData!$E$94),"")</x:f>
        <x:v>Expression</x:v>
      </x:c>
      <x:c r="F94" t="str">
        <x:f ca="1">IFERROR(IF(0=LEN(ReferenceData!$F$94),"",ReferenceData!$F$94),"")</x:f>
        <x:v/>
      </x:c>
      <x:c r="G94" t="str">
        <x:f ca="1">IFERROR(IF(0=LEN(ReferenceData!$G$94),"",ReferenceData!$G$94),"")</x:f>
        <x:v/>
      </x:c>
      <x:c r="H94" t="str">
        <x:f ca="1">IFERROR(IF(0=LEN(ReferenceData!$H$94),"",ReferenceData!$H$94),"")</x:f>
        <x:v/>
      </x:c>
      <x:c r="I94" t="str">
        <x:f ca="1">IFERROR(IF(0=LEN(ReferenceData!$I$94),"",ReferenceData!$I$94),"")</x:f>
        <x:v/>
      </x:c>
      <x:c r="J94" t="str">
        <x:f ca="1">IFERROR(IF(0=LEN(ReferenceData!$J$94),"",ReferenceData!$J$94),"")</x:f>
        <x:v/>
      </x:c>
      <x:c r="K94" t="str">
        <x:f ca="1">IFERROR(IF(0=LEN(ReferenceData!$K$94),"",ReferenceData!$K$94),"")</x:f>
        <x:v/>
      </x:c>
      <x:c r="L94" t="str">
        <x:f ca="1">IFERROR(IF(0=LEN(ReferenceData!$L$94),"",ReferenceData!$L$94),"")</x:f>
        <x:v/>
      </x:c>
      <x:c r="M94" t="str">
        <x:f ca="1">IFERROR(IF(0=LEN(ReferenceData!$M$94),"",ReferenceData!$M$94),"")</x:f>
        <x:v/>
      </x:c>
      <x:c r="N94" t="str">
        <x:f ca="1">IFERROR(IF(0=LEN(ReferenceData!$N$94),"",ReferenceData!$N$94),"")</x:f>
        <x:v/>
      </x:c>
      <x:c r="O94" t="str">
        <x:f ca="1">IFERROR(IF(0=LEN(ReferenceData!$O$94),"",ReferenceData!$O$94),"")</x:f>
        <x:v/>
      </x:c>
      <x:c r="P94" t="str">
        <x:f ca="1">IFERROR(IF(0=LEN(ReferenceData!$P$94),"",ReferenceData!$P$94),"")</x:f>
        <x:v/>
      </x:c>
      <x:c r="Q94" t="str">
        <x:f ca="1">IFERROR(IF(0=LEN(ReferenceData!$Q$94),"",ReferenceData!$Q$94),"")</x:f>
        <x:v/>
      </x:c>
      <x:c r="R94" t="str">
        <x:f ca="1">IFERROR(IF(0=LEN(ReferenceData!$R$94),"",ReferenceData!$R$94),"")</x:f>
        <x:v/>
      </x:c>
      <x:c r="S94" t="str">
        <x:f ca="1">IFERROR(IF(0=LEN(ReferenceData!$S$94),"",ReferenceData!$S$94),"")</x:f>
        <x:v/>
      </x:c>
    </x:row>
    <x:row r="95" spans="1:19" x14ac:dyDescent="0.25">
      <x:c r="A95" t="str">
        <x:f>IFERROR(IF(0=LEN(ReferenceData!$A$95),"",ReferenceData!$A$95),"")</x:f>
        <x:v xml:space="preserve">        Direxion Daily Consumer Staple</x:v>
      </x:c>
      <x:c r="B95" t="str">
        <x:f>IFERROR(IF(0=LEN(ReferenceData!$B$95),"",ReferenceData!$B$95),"")</x:f>
        <x:v>NEED US Equity</x:v>
      </x:c>
      <x:c r="C95" t="str">
        <x:f>IFERROR(IF(0=LEN(ReferenceData!$C$95),"",ReferenceData!$C$95),"")</x:f>
        <x:v/>
      </x:c>
      <x:c r="D95" t="str">
        <x:f>IFERROR(IF(0=LEN(ReferenceData!$D$95),"",ReferenceData!$D$95),"")</x:f>
        <x:v/>
      </x:c>
      <x:c r="E95" t="str">
        <x:f>IFERROR(IF(0=LEN(ReferenceData!$E$95),"",ReferenceData!$E$95),"")</x:f>
        <x:v>Expression</x:v>
      </x:c>
      <x:c r="F95" t="str">
        <x:f ca="1">IFERROR(IF(0=LEN(ReferenceData!$F$95),"",ReferenceData!$F$95),"")</x:f>
        <x:v/>
      </x:c>
      <x:c r="G95" t="str">
        <x:f ca="1">IFERROR(IF(0=LEN(ReferenceData!$G$95),"",ReferenceData!$G$95),"")</x:f>
        <x:v/>
      </x:c>
      <x:c r="H95" t="str">
        <x:f ca="1">IFERROR(IF(0=LEN(ReferenceData!$H$95),"",ReferenceData!$H$95),"")</x:f>
        <x:v/>
      </x:c>
      <x:c r="I95" t="str">
        <x:f ca="1">IFERROR(IF(0=LEN(ReferenceData!$I$95),"",ReferenceData!$I$95),"")</x:f>
        <x:v/>
      </x:c>
      <x:c r="J95" t="str">
        <x:f ca="1">IFERROR(IF(0=LEN(ReferenceData!$J$95),"",ReferenceData!$J$95),"")</x:f>
        <x:v/>
      </x:c>
      <x:c r="K95" t="str">
        <x:f ca="1">IFERROR(IF(0=LEN(ReferenceData!$K$95),"",ReferenceData!$K$95),"")</x:f>
        <x:v/>
      </x:c>
      <x:c r="L95" t="str">
        <x:f ca="1">IFERROR(IF(0=LEN(ReferenceData!$L$95),"",ReferenceData!$L$95),"")</x:f>
        <x:v/>
      </x:c>
      <x:c r="M95" t="str">
        <x:f ca="1">IFERROR(IF(0=LEN(ReferenceData!$M$95),"",ReferenceData!$M$95),"")</x:f>
        <x:v/>
      </x:c>
      <x:c r="N95" t="str">
        <x:f ca="1">IFERROR(IF(0=LEN(ReferenceData!$N$95),"",ReferenceData!$N$95),"")</x:f>
        <x:v/>
      </x:c>
      <x:c r="O95" t="str">
        <x:f ca="1">IFERROR(IF(0=LEN(ReferenceData!$O$95),"",ReferenceData!$O$95),"")</x:f>
        <x:v/>
      </x:c>
      <x:c r="P95" t="str">
        <x:f ca="1">IFERROR(IF(0=LEN(ReferenceData!$P$95),"",ReferenceData!$P$95),"")</x:f>
        <x:v/>
      </x:c>
      <x:c r="Q95" t="str">
        <x:f ca="1">IFERROR(IF(0=LEN(ReferenceData!$Q$95),"",ReferenceData!$Q$95),"")</x:f>
        <x:v/>
      </x:c>
      <x:c r="R95" t="str">
        <x:f ca="1">IFERROR(IF(0=LEN(ReferenceData!$R$95),"",ReferenceData!$R$95),"")</x:f>
        <x:v/>
      </x:c>
      <x:c r="S95" t="str">
        <x:f ca="1">IFERROR(IF(0=LEN(ReferenceData!$S$95),"",ReferenceData!$S$95),"")</x:f>
        <x:v/>
      </x:c>
    </x:row>
    <x:row r="96" spans="1:19" x14ac:dyDescent="0.25">
      <x:c r="A96" t="str">
        <x:f>IFERROR(IF(0=LEN(ReferenceData!$A$96),"",ReferenceData!$A$96),"")</x:f>
        <x:v xml:space="preserve">        Subversive Food Security ETF</x:v>
      </x:c>
      <x:c r="B96" t="str">
        <x:f>IFERROR(IF(0=LEN(ReferenceData!$B$96),"",ReferenceData!$B$96),"")</x:f>
        <x:v>KCAL US Equity</x:v>
      </x:c>
      <x:c r="C96" t="str">
        <x:f>IFERROR(IF(0=LEN(ReferenceData!$C$96),"",ReferenceData!$C$96),"")</x:f>
        <x:v/>
      </x:c>
      <x:c r="D96" t="str">
        <x:f>IFERROR(IF(0=LEN(ReferenceData!$D$96),"",ReferenceData!$D$96),"")</x:f>
        <x:v/>
      </x:c>
      <x:c r="E96" t="str">
        <x:f>IFERROR(IF(0=LEN(ReferenceData!$E$96),"",ReferenceData!$E$96),"")</x:f>
        <x:v>Expression</x:v>
      </x:c>
      <x:c r="F96">
        <x:f ca="1">IFERROR(IF(0=LEN(ReferenceData!$F$96),"",ReferenceData!$F$96),"")</x:f>
        <x:v>0</x:v>
      </x:c>
      <x:c r="G96">
        <x:f ca="1">IFERROR(IF(0=LEN(ReferenceData!$G$96),"",ReferenceData!$G$96),"")</x:f>
        <x:v>0</x:v>
      </x:c>
      <x:c r="H96">
        <x:f ca="1">IFERROR(IF(0=LEN(ReferenceData!$H$96),"",ReferenceData!$H$96),"")</x:f>
        <x:v>0</x:v>
      </x:c>
      <x:c r="I96">
        <x:f ca="1">IFERROR(IF(0=LEN(ReferenceData!$I$96),"",ReferenceData!$I$96),"")</x:f>
        <x:v>0</x:v>
      </x:c>
      <x:c r="J96">
        <x:f ca="1">IFERROR(IF(0=LEN(ReferenceData!$J$96),"",ReferenceData!$J$96),"")</x:f>
        <x:v>0</x:v>
      </x:c>
      <x:c r="K96">
        <x:f ca="1">IFERROR(IF(0=LEN(ReferenceData!$K$96),"",ReferenceData!$K$96),"")</x:f>
        <x:v>0</x:v>
      </x:c>
      <x:c r="L96">
        <x:f ca="1">IFERROR(IF(0=LEN(ReferenceData!$L$96),"",ReferenceData!$L$96),"")</x:f>
        <x:v>0</x:v>
      </x:c>
      <x:c r="M96">
        <x:f ca="1">IFERROR(IF(0=LEN(ReferenceData!$M$96),"",ReferenceData!$M$96),"")</x:f>
        <x:v>0</x:v>
      </x:c>
      <x:c r="N96">
        <x:f ca="1">IFERROR(IF(0=LEN(ReferenceData!$N$96),"",ReferenceData!$N$96),"")</x:f>
        <x:v>0</x:v>
      </x:c>
      <x:c r="O96">
        <x:f ca="1">IFERROR(IF(0=LEN(ReferenceData!$O$96),"",ReferenceData!$O$96),"")</x:f>
        <x:v>0</x:v>
      </x:c>
      <x:c r="P96">
        <x:f ca="1">IFERROR(IF(0=LEN(ReferenceData!$P$96),"",ReferenceData!$P$96),"")</x:f>
        <x:v>0</x:v>
      </x:c>
      <x:c r="Q96">
        <x:f ca="1">IFERROR(IF(0=LEN(ReferenceData!$Q$96),"",ReferenceData!$Q$96),"")</x:f>
        <x:v>0.61638800000000005</x:v>
      </x:c>
      <x:c r="R96" t="str">
        <x:f ca="1">IFERROR(IF(0=LEN(ReferenceData!$R$96),"",ReferenceData!$R$96),"")</x:f>
        <x:v/>
      </x:c>
      <x:c r="S96" t="str">
        <x:f ca="1">IFERROR(IF(0=LEN(ReferenceData!$S$96),"",ReferenceData!$S$96),"")</x:f>
        <x:v/>
      </x:c>
    </x:row>
    <x:row r="97" spans="1:19" x14ac:dyDescent="0.25">
      <x:c r="A97" t="str">
        <x:f>IFERROR(IF(0=LEN(ReferenceData!$A$97),"",ReferenceData!$A$97),"")</x:f>
        <x:v xml:space="preserve">    Energy</x:v>
      </x:c>
      <x:c r="B97" t="str">
        <x:f>IFERROR(IF(0=LEN(ReferenceData!$B$97),"",ReferenceData!$B$97),"")</x:f>
        <x:v/>
      </x:c>
      <x:c r="C97" t="str">
        <x:f>IFERROR(IF(0=LEN(ReferenceData!$C$97),"",ReferenceData!$C$97),"")</x:f>
        <x:v/>
      </x:c>
      <x:c r="D97" t="str">
        <x:f>IFERROR(IF(0=LEN(ReferenceData!$D$97),"",ReferenceData!$D$97),"")</x:f>
        <x:v/>
      </x:c>
      <x:c r="E97" t="str">
        <x:f>IFERROR(IF(0=LEN(ReferenceData!$E$97),"",ReferenceData!$E$97),"")</x:f>
        <x:v>Sum</x:v>
      </x:c>
      <x:c r="F97">
        <x:f ca="1">IFERROR(IF(0=LEN(ReferenceData!$F$97),"",ReferenceData!$F$97),"")</x:f>
        <x:v>-133.59415199999995</x:v>
      </x:c>
      <x:c r="G97">
        <x:f ca="1">IFERROR(IF(0=LEN(ReferenceData!$G$97),"",ReferenceData!$G$97),"")</x:f>
        <x:v>2659.5908019999993</x:v>
      </x:c>
      <x:c r="H97">
        <x:f ca="1">IFERROR(IF(0=LEN(ReferenceData!$H$97),"",ReferenceData!$H$97),"")</x:f>
        <x:v>859.05921899999987</x:v>
      </x:c>
      <x:c r="I97">
        <x:f ca="1">IFERROR(IF(0=LEN(ReferenceData!$I$97),"",ReferenceData!$I$97),"")</x:f>
        <x:v>125.83602500000003</x:v>
      </x:c>
      <x:c r="J97">
        <x:f ca="1">IFERROR(IF(0=LEN(ReferenceData!$J$97),"",ReferenceData!$J$97),"")</x:f>
        <x:v>1487.6733730000008</x:v>
      </x:c>
      <x:c r="K97">
        <x:f ca="1">IFERROR(IF(0=LEN(ReferenceData!$K$97),"",ReferenceData!$K$97),"")</x:f>
        <x:v>-2348.1177009999988</x:v>
      </x:c>
      <x:c r="L97">
        <x:f ca="1">IFERROR(IF(0=LEN(ReferenceData!$L$97),"",ReferenceData!$L$97),"")</x:f>
        <x:v>-2468.0006989999997</x:v>
      </x:c>
      <x:c r="M97">
        <x:f ca="1">IFERROR(IF(0=LEN(ReferenceData!$M$97),"",ReferenceData!$M$97),"")</x:f>
        <x:v>-1268.8214630000004</x:v>
      </x:c>
      <x:c r="N97">
        <x:f ca="1">IFERROR(IF(0=LEN(ReferenceData!$N$97),"",ReferenceData!$N$97),"")</x:f>
        <x:v>-2748.0275190000002</x:v>
      </x:c>
      <x:c r="O97">
        <x:f ca="1">IFERROR(IF(0=LEN(ReferenceData!$O$97),"",ReferenceData!$O$97),"")</x:f>
        <x:v>-1906.6980150000004</x:v>
      </x:c>
      <x:c r="P97">
        <x:f ca="1">IFERROR(IF(0=LEN(ReferenceData!$P$97),"",ReferenceData!$P$97),"")</x:f>
        <x:v>-594.14347500000008</x:v>
      </x:c>
      <x:c r="Q97">
        <x:f ca="1">IFERROR(IF(0=LEN(ReferenceData!$Q$97),"",ReferenceData!$Q$97),"")</x:f>
        <x:v>-388.23231899999985</x:v>
      </x:c>
      <x:c r="R97">
        <x:f ca="1">IFERROR(IF(0=LEN(ReferenceData!$R$97),"",ReferenceData!$R$97),"")</x:f>
        <x:v>131.68542299999996</x:v>
      </x:c>
      <x:c r="S97">
        <x:f ca="1">IFERROR(IF(0=LEN(ReferenceData!$S$97),"",ReferenceData!$S$97),"")</x:f>
        <x:v>1548.279074</x:v>
      </x:c>
    </x:row>
    <x:row r="98" spans="1:19" x14ac:dyDescent="0.25">
      <x:c r="A98" t="str">
        <x:f>IFERROR(IF(0=LEN(ReferenceData!$A$98),"",ReferenceData!$A$98),"")</x:f>
        <x:v xml:space="preserve">        Energy Select Sector SPDR Fund</x:v>
      </x:c>
      <x:c r="B98" t="str">
        <x:f>IFERROR(IF(0=LEN(ReferenceData!$B$98),"",ReferenceData!$B$98),"")</x:f>
        <x:v>XLE US Equity</x:v>
      </x:c>
      <x:c r="C98" t="str">
        <x:f>IFERROR(IF(0=LEN(ReferenceData!$C$98),"",ReferenceData!$C$98),"")</x:f>
        <x:v/>
      </x:c>
      <x:c r="D98" t="str">
        <x:f>IFERROR(IF(0=LEN(ReferenceData!$D$98),"",ReferenceData!$D$98),"")</x:f>
        <x:v/>
      </x:c>
      <x:c r="E98" t="str">
        <x:f>IFERROR(IF(0=LEN(ReferenceData!$E$98),"",ReferenceData!$E$98),"")</x:f>
        <x:v>Expression</x:v>
      </x:c>
      <x:c r="F98">
        <x:f ca="1">IFERROR(IF(0=LEN(ReferenceData!$F$98),"",ReferenceData!$F$98),"")</x:f>
        <x:v>-140.52253300000001</x:v>
      </x:c>
      <x:c r="G98">
        <x:f ca="1">IFERROR(IF(0=LEN(ReferenceData!$G$98),"",ReferenceData!$G$98),"")</x:f>
        <x:v>1373.1304259999999</x:v>
      </x:c>
      <x:c r="H98">
        <x:f ca="1">IFERROR(IF(0=LEN(ReferenceData!$H$98),"",ReferenceData!$H$98),"")</x:f>
        <x:v>529.45491600000003</x:v>
      </x:c>
      <x:c r="I98">
        <x:f ca="1">IFERROR(IF(0=LEN(ReferenceData!$I$98),"",ReferenceData!$I$98),"")</x:f>
        <x:v>67.068460000000002</x:v>
      </x:c>
      <x:c r="J98">
        <x:f ca="1">IFERROR(IF(0=LEN(ReferenceData!$J$98),"",ReferenceData!$J$98),"")</x:f>
        <x:v>1111.3090480000001</x:v>
      </x:c>
      <x:c r="K98">
        <x:f ca="1">IFERROR(IF(0=LEN(ReferenceData!$K$98),"",ReferenceData!$K$98),"")</x:f>
        <x:v>-1517.6646949999999</x:v>
      </x:c>
      <x:c r="L98">
        <x:f ca="1">IFERROR(IF(0=LEN(ReferenceData!$L$98),"",ReferenceData!$L$98),"")</x:f>
        <x:v>-1597.506286</x:v>
      </x:c>
      <x:c r="M98">
        <x:f ca="1">IFERROR(IF(0=LEN(ReferenceData!$M$98),"",ReferenceData!$M$98),"")</x:f>
        <x:v>-653.37012100000004</x:v>
      </x:c>
      <x:c r="N98">
        <x:f ca="1">IFERROR(IF(0=LEN(ReferenceData!$N$98),"",ReferenceData!$N$98),"")</x:f>
        <x:v>-734.50197300000002</x:v>
      </x:c>
      <x:c r="O98">
        <x:f ca="1">IFERROR(IF(0=LEN(ReferenceData!$O$98),"",ReferenceData!$O$98),"")</x:f>
        <x:v>-109.602051</x:v>
      </x:c>
      <x:c r="P98">
        <x:f ca="1">IFERROR(IF(0=LEN(ReferenceData!$P$98),"",ReferenceData!$P$98),"")</x:f>
        <x:v>321.926331</x:v>
      </x:c>
      <x:c r="Q98">
        <x:f ca="1">IFERROR(IF(0=LEN(ReferenceData!$Q$98),"",ReferenceData!$Q$98),"")</x:f>
        <x:v>-240.78975299999999</x:v>
      </x:c>
      <x:c r="R98">
        <x:f ca="1">IFERROR(IF(0=LEN(ReferenceData!$R$98),"",ReferenceData!$R$98),"")</x:f>
        <x:v>-443.34214200000002</x:v>
      </x:c>
      <x:c r="S98">
        <x:f ca="1">IFERROR(IF(0=LEN(ReferenceData!$S$98),"",ReferenceData!$S$98),"")</x:f>
        <x:v>811.67460200000005</x:v>
      </x:c>
    </x:row>
    <x:row r="99" spans="1:19" x14ac:dyDescent="0.25">
      <x:c r="A99" t="str">
        <x:f>IFERROR(IF(0=LEN(ReferenceData!$A$99),"",ReferenceData!$A$99),"")</x:f>
        <x:v xml:space="preserve">        Alerian MLP ETF</x:v>
      </x:c>
      <x:c r="B99" t="str">
        <x:f>IFERROR(IF(0=LEN(ReferenceData!$B$99),"",ReferenceData!$B$99),"")</x:f>
        <x:v>AMLP US Equity</x:v>
      </x:c>
      <x:c r="C99" t="str">
        <x:f>IFERROR(IF(0=LEN(ReferenceData!$C$99),"",ReferenceData!$C$99),"")</x:f>
        <x:v/>
      </x:c>
      <x:c r="D99" t="str">
        <x:f>IFERROR(IF(0=LEN(ReferenceData!$D$99),"",ReferenceData!$D$99),"")</x:f>
        <x:v/>
      </x:c>
      <x:c r="E99" t="str">
        <x:f>IFERROR(IF(0=LEN(ReferenceData!$E$99),"",ReferenceData!$E$99),"")</x:f>
        <x:v>Expression</x:v>
      </x:c>
      <x:c r="F99">
        <x:f ca="1">IFERROR(IF(0=LEN(ReferenceData!$F$99),"",ReferenceData!$F$99),"")</x:f>
        <x:v>16.879749</x:v>
      </x:c>
      <x:c r="G99">
        <x:f ca="1">IFERROR(IF(0=LEN(ReferenceData!$G$99),"",ReferenceData!$G$99),"")</x:f>
        <x:v>68.050169999999994</x:v>
      </x:c>
      <x:c r="H99">
        <x:f ca="1">IFERROR(IF(0=LEN(ReferenceData!$H$99),"",ReferenceData!$H$99),"")</x:f>
        <x:v>70.991721999999996</x:v>
      </x:c>
      <x:c r="I99">
        <x:f ca="1">IFERROR(IF(0=LEN(ReferenceData!$I$99),"",ReferenceData!$I$99),"")</x:f>
        <x:v>92.550297999999998</x:v>
      </x:c>
      <x:c r="J99">
        <x:f ca="1">IFERROR(IF(0=LEN(ReferenceData!$J$99),"",ReferenceData!$J$99),"")</x:f>
        <x:v>25.263227000000001</x:v>
      </x:c>
      <x:c r="K99">
        <x:f ca="1">IFERROR(IF(0=LEN(ReferenceData!$K$99),"",ReferenceData!$K$99),"")</x:f>
        <x:v>-51.117553999999998</x:v>
      </x:c>
      <x:c r="L99">
        <x:f ca="1">IFERROR(IF(0=LEN(ReferenceData!$L$99),"",ReferenceData!$L$99),"")</x:f>
        <x:v>-109.35342799999999</x:v>
      </x:c>
      <x:c r="M99">
        <x:f ca="1">IFERROR(IF(0=LEN(ReferenceData!$M$99),"",ReferenceData!$M$99),"")</x:f>
        <x:v>10.953564</x:v>
      </x:c>
      <x:c r="N99">
        <x:f ca="1">IFERROR(IF(0=LEN(ReferenceData!$N$99),"",ReferenceData!$N$99),"")</x:f>
        <x:v>34.753104999999998</x:v>
      </x:c>
      <x:c r="O99">
        <x:f ca="1">IFERROR(IF(0=LEN(ReferenceData!$O$99),"",ReferenceData!$O$99),"")</x:f>
        <x:v>-30.506786000000002</x:v>
      </x:c>
      <x:c r="P99">
        <x:f ca="1">IFERROR(IF(0=LEN(ReferenceData!$P$99),"",ReferenceData!$P$99),"")</x:f>
        <x:v>34.451031999999998</x:v>
      </x:c>
      <x:c r="Q99">
        <x:f ca="1">IFERROR(IF(0=LEN(ReferenceData!$Q$99),"",ReferenceData!$Q$99),"")</x:f>
        <x:v>-31.466351</x:v>
      </x:c>
      <x:c r="R99">
        <x:f ca="1">IFERROR(IF(0=LEN(ReferenceData!$R$99),"",ReferenceData!$R$99),"")</x:f>
        <x:v>20.066925999999999</x:v>
      </x:c>
      <x:c r="S99">
        <x:f ca="1">IFERROR(IF(0=LEN(ReferenceData!$S$99),"",ReferenceData!$S$99),"")</x:f>
        <x:v>26.875157999999999</x:v>
      </x:c>
    </x:row>
    <x:row r="100" spans="1:19" x14ac:dyDescent="0.25">
      <x:c r="A100" t="str">
        <x:f>IFERROR(IF(0=LEN(ReferenceData!$A$100),"",ReferenceData!$A$100),"")</x:f>
        <x:v xml:space="preserve">        Vanguard Energy ETF</x:v>
      </x:c>
      <x:c r="B100" t="str">
        <x:f>IFERROR(IF(0=LEN(ReferenceData!$B$100),"",ReferenceData!$B$100),"")</x:f>
        <x:v>VDE US Equity</x:v>
      </x:c>
      <x:c r="C100" t="str">
        <x:f>IFERROR(IF(0=LEN(ReferenceData!$C$100),"",ReferenceData!$C$100),"")</x:f>
        <x:v/>
      </x:c>
      <x:c r="D100" t="str">
        <x:f>IFERROR(IF(0=LEN(ReferenceData!$D$100),"",ReferenceData!$D$100),"")</x:f>
        <x:v/>
      </x:c>
      <x:c r="E100" t="str">
        <x:f>IFERROR(IF(0=LEN(ReferenceData!$E$100),"",ReferenceData!$E$100),"")</x:f>
        <x:v>Expression</x:v>
      </x:c>
      <x:c r="F100">
        <x:f ca="1">IFERROR(IF(0=LEN(ReferenceData!$F$100),"",ReferenceData!$F$100),"")</x:f>
        <x:v>12.912901</x:v>
      </x:c>
      <x:c r="G100">
        <x:f ca="1">IFERROR(IF(0=LEN(ReferenceData!$G$100),"",ReferenceData!$G$100),"")</x:f>
        <x:v>-140.654315</x:v>
      </x:c>
      <x:c r="H100">
        <x:f ca="1">IFERROR(IF(0=LEN(ReferenceData!$H$100),"",ReferenceData!$H$100),"")</x:f>
        <x:v>-77.459500000000006</x:v>
      </x:c>
      <x:c r="I100">
        <x:f ca="1">IFERROR(IF(0=LEN(ReferenceData!$I$100),"",ReferenceData!$I$100),"")</x:f>
        <x:v>143.049724</x:v>
      </x:c>
      <x:c r="J100">
        <x:f ca="1">IFERROR(IF(0=LEN(ReferenceData!$J$100),"",ReferenceData!$J$100),"")</x:f>
        <x:v>323.75900000000001</x:v>
      </x:c>
      <x:c r="K100">
        <x:f ca="1">IFERROR(IF(0=LEN(ReferenceData!$K$100),"",ReferenceData!$K$100),"")</x:f>
        <x:v>-85.927728999999999</x:v>
      </x:c>
      <x:c r="L100">
        <x:f ca="1">IFERROR(IF(0=LEN(ReferenceData!$L$100),"",ReferenceData!$L$100),"")</x:f>
        <x:v>-161.82749999999999</x:v>
      </x:c>
      <x:c r="M100">
        <x:f ca="1">IFERROR(IF(0=LEN(ReferenceData!$M$100),"",ReferenceData!$M$100),"")</x:f>
        <x:v>24.642158999999999</x:v>
      </x:c>
      <x:c r="N100">
        <x:f ca="1">IFERROR(IF(0=LEN(ReferenceData!$N$100),"",ReferenceData!$N$100),"")</x:f>
        <x:v>-313.55874999999997</x:v>
      </x:c>
      <x:c r="O100">
        <x:f ca="1">IFERROR(IF(0=LEN(ReferenceData!$O$100),"",ReferenceData!$O$100),"")</x:f>
        <x:v>77.540808999999996</x:v>
      </x:c>
      <x:c r="P100">
        <x:f ca="1">IFERROR(IF(0=LEN(ReferenceData!$P$100),"",ReferenceData!$P$100),"")</x:f>
        <x:v>10.128852999999999</x:v>
      </x:c>
      <x:c r="Q100">
        <x:f ca="1">IFERROR(IF(0=LEN(ReferenceData!$Q$100),"",ReferenceData!$Q$100),"")</x:f>
        <x:v>-274.89707099999998</x:v>
      </x:c>
      <x:c r="R100">
        <x:f ca="1">IFERROR(IF(0=LEN(ReferenceData!$R$100),"",ReferenceData!$R$100),"")</x:f>
        <x:v>191.913005</x:v>
      </x:c>
      <x:c r="S100">
        <x:f ca="1">IFERROR(IF(0=LEN(ReferenceData!$S$100),"",ReferenceData!$S$100),"")</x:f>
        <x:v>66.927563000000006</x:v>
      </x:c>
    </x:row>
    <x:row r="101" spans="1:19" x14ac:dyDescent="0.25">
      <x:c r="A101" t="str">
        <x:f>IFERROR(IF(0=LEN(ReferenceData!$A$101),"",ReferenceData!$A$101),"")</x:f>
        <x:v xml:space="preserve">        JPMorgan Alerian MLP Index ETN</x:v>
      </x:c>
      <x:c r="B101" t="str">
        <x:f>IFERROR(IF(0=LEN(ReferenceData!$B$101),"",ReferenceData!$B$101),"")</x:f>
        <x:v>AMJ US Equity</x:v>
      </x:c>
      <x:c r="C101" t="str">
        <x:f>IFERROR(IF(0=LEN(ReferenceData!$C$101),"",ReferenceData!$C$101),"")</x:f>
        <x:v/>
      </x:c>
      <x:c r="D101" t="str">
        <x:f>IFERROR(IF(0=LEN(ReferenceData!$D$101),"",ReferenceData!$D$101),"")</x:f>
        <x:v/>
      </x:c>
      <x:c r="E101" t="str">
        <x:f>IFERROR(IF(0=LEN(ReferenceData!$E$101),"",ReferenceData!$E$101),"")</x:f>
        <x:v>Expression</x:v>
      </x:c>
      <x:c r="F101">
        <x:f ca="1">IFERROR(IF(0=LEN(ReferenceData!$F$101),"",ReferenceData!$F$101),"")</x:f>
        <x:v>0</x:v>
      </x:c>
      <x:c r="G101">
        <x:f ca="1">IFERROR(IF(0=LEN(ReferenceData!$G$101),"",ReferenceData!$G$101),"")</x:f>
        <x:v>0</x:v>
      </x:c>
      <x:c r="H101">
        <x:f ca="1">IFERROR(IF(0=LEN(ReferenceData!$H$101),"",ReferenceData!$H$101),"")</x:f>
        <x:v>0</x:v>
      </x:c>
      <x:c r="I101">
        <x:f ca="1">IFERROR(IF(0=LEN(ReferenceData!$I$101),"",ReferenceData!$I$101),"")</x:f>
        <x:v>0</x:v>
      </x:c>
      <x:c r="J101">
        <x:f ca="1">IFERROR(IF(0=LEN(ReferenceData!$J$101),"",ReferenceData!$J$101),"")</x:f>
        <x:v>0</x:v>
      </x:c>
      <x:c r="K101">
        <x:f ca="1">IFERROR(IF(0=LEN(ReferenceData!$K$101),"",ReferenceData!$K$101),"")</x:f>
        <x:v>0</x:v>
      </x:c>
      <x:c r="L101">
        <x:f ca="1">IFERROR(IF(0=LEN(ReferenceData!$L$101),"",ReferenceData!$L$101),"")</x:f>
        <x:v>0</x:v>
      </x:c>
      <x:c r="M101">
        <x:f ca="1">IFERROR(IF(0=LEN(ReferenceData!$M$101),"",ReferenceData!$M$101),"")</x:f>
        <x:v>0</x:v>
      </x:c>
      <x:c r="N101">
        <x:f ca="1">IFERROR(IF(0=LEN(ReferenceData!$N$101),"",ReferenceData!$N$101),"")</x:f>
        <x:v>0</x:v>
      </x:c>
      <x:c r="O101">
        <x:f ca="1">IFERROR(IF(0=LEN(ReferenceData!$O$101),"",ReferenceData!$O$101),"")</x:f>
        <x:v>0</x:v>
      </x:c>
      <x:c r="P101">
        <x:f ca="1">IFERROR(IF(0=LEN(ReferenceData!$P$101),"",ReferenceData!$P$101),"")</x:f>
        <x:v>0</x:v>
      </x:c>
      <x:c r="Q101">
        <x:f ca="1">IFERROR(IF(0=LEN(ReferenceData!$Q$101),"",ReferenceData!$Q$101),"")</x:f>
        <x:v>0</x:v>
      </x:c>
      <x:c r="R101">
        <x:f ca="1">IFERROR(IF(0=LEN(ReferenceData!$R$101),"",ReferenceData!$R$101),"")</x:f>
        <x:v>0</x:v>
      </x:c>
      <x:c r="S101">
        <x:f ca="1">IFERROR(IF(0=LEN(ReferenceData!$S$101),"",ReferenceData!$S$101),"")</x:f>
        <x:v>0</x:v>
      </x:c>
    </x:row>
    <x:row r="102" spans="1:19" x14ac:dyDescent="0.25">
      <x:c r="A102" t="str">
        <x:f>IFERROR(IF(0=LEN(ReferenceData!$A$102),"",ReferenceData!$A$102),"")</x:f>
        <x:v xml:space="preserve">        ETRACS Alerian MLP Infrastruct</x:v>
      </x:c>
      <x:c r="B102" t="str">
        <x:f>IFERROR(IF(0=LEN(ReferenceData!$B$102),"",ReferenceData!$B$102),"")</x:f>
        <x:v>MLPI US Equity</x:v>
      </x:c>
      <x:c r="C102" t="str">
        <x:f>IFERROR(IF(0=LEN(ReferenceData!$C$102),"",ReferenceData!$C$102),"")</x:f>
        <x:v/>
      </x:c>
      <x:c r="D102" t="str">
        <x:f>IFERROR(IF(0=LEN(ReferenceData!$D$102),"",ReferenceData!$D$102),"")</x:f>
        <x:v/>
      </x:c>
      <x:c r="E102" t="str">
        <x:f>IFERROR(IF(0=LEN(ReferenceData!$E$102),"",ReferenceData!$E$102),"")</x:f>
        <x:v>Expression</x:v>
      </x:c>
      <x:c r="F102" t="str">
        <x:f ca="1">IFERROR(IF(0=LEN(ReferenceData!$F$102),"",ReferenceData!$F$102),"")</x:f>
        <x:v/>
      </x:c>
      <x:c r="G102" t="str">
        <x:f ca="1">IFERROR(IF(0=LEN(ReferenceData!$G$102),"",ReferenceData!$G$102),"")</x:f>
        <x:v/>
      </x:c>
      <x:c r="H102" t="str">
        <x:f ca="1">IFERROR(IF(0=LEN(ReferenceData!$H$102),"",ReferenceData!$H$102),"")</x:f>
        <x:v/>
      </x:c>
      <x:c r="I102" t="str">
        <x:f ca="1">IFERROR(IF(0=LEN(ReferenceData!$I$102),"",ReferenceData!$I$102),"")</x:f>
        <x:v/>
      </x:c>
      <x:c r="J102" t="str">
        <x:f ca="1">IFERROR(IF(0=LEN(ReferenceData!$J$102),"",ReferenceData!$J$102),"")</x:f>
        <x:v/>
      </x:c>
      <x:c r="K102" t="str">
        <x:f ca="1">IFERROR(IF(0=LEN(ReferenceData!$K$102),"",ReferenceData!$K$102),"")</x:f>
        <x:v/>
      </x:c>
      <x:c r="L102" t="str">
        <x:f ca="1">IFERROR(IF(0=LEN(ReferenceData!$L$102),"",ReferenceData!$L$102),"")</x:f>
        <x:v/>
      </x:c>
      <x:c r="M102" t="str">
        <x:f ca="1">IFERROR(IF(0=LEN(ReferenceData!$M$102),"",ReferenceData!$M$102),"")</x:f>
        <x:v/>
      </x:c>
      <x:c r="N102" t="str">
        <x:f ca="1">IFERROR(IF(0=LEN(ReferenceData!$N$102),"",ReferenceData!$N$102),"")</x:f>
        <x:v/>
      </x:c>
      <x:c r="O102" t="str">
        <x:f ca="1">IFERROR(IF(0=LEN(ReferenceData!$O$102),"",ReferenceData!$O$102),"")</x:f>
        <x:v/>
      </x:c>
      <x:c r="P102" t="str">
        <x:f ca="1">IFERROR(IF(0=LEN(ReferenceData!$P$102),"",ReferenceData!$P$102),"")</x:f>
        <x:v/>
      </x:c>
      <x:c r="Q102" t="str">
        <x:f ca="1">IFERROR(IF(0=LEN(ReferenceData!$Q$102),"",ReferenceData!$Q$102),"")</x:f>
        <x:v/>
      </x:c>
      <x:c r="R102" t="str">
        <x:f ca="1">IFERROR(IF(0=LEN(ReferenceData!$R$102),"",ReferenceData!$R$102),"")</x:f>
        <x:v/>
      </x:c>
      <x:c r="S102" t="str">
        <x:f ca="1">IFERROR(IF(0=LEN(ReferenceData!$S$102),"",ReferenceData!$S$102),"")</x:f>
        <x:v/>
      </x:c>
    </x:row>
    <x:row r="103" spans="1:19" x14ac:dyDescent="0.25">
      <x:c r="A103" t="str">
        <x:f>IFERROR(IF(0=LEN(ReferenceData!$A$103),"",ReferenceData!$A$103),"")</x:f>
        <x:v xml:space="preserve">        SPDR S&amp;P Oil &amp; Gas Exploration</x:v>
      </x:c>
      <x:c r="B103" t="str">
        <x:f>IFERROR(IF(0=LEN(ReferenceData!$B$103),"",ReferenceData!$B$103),"")</x:f>
        <x:v>XOP US Equity</x:v>
      </x:c>
      <x:c r="C103" t="str">
        <x:f>IFERROR(IF(0=LEN(ReferenceData!$C$103),"",ReferenceData!$C$103),"")</x:f>
        <x:v/>
      </x:c>
      <x:c r="D103" t="str">
        <x:f>IFERROR(IF(0=LEN(ReferenceData!$D$103),"",ReferenceData!$D$103),"")</x:f>
        <x:v/>
      </x:c>
      <x:c r="E103" t="str">
        <x:f>IFERROR(IF(0=LEN(ReferenceData!$E$103),"",ReferenceData!$E$103),"")</x:f>
        <x:v>Expression</x:v>
      </x:c>
      <x:c r="F103">
        <x:f ca="1">IFERROR(IF(0=LEN(ReferenceData!$F$103),"",ReferenceData!$F$103),"")</x:f>
        <x:v>35.069108</x:v>
      </x:c>
      <x:c r="G103">
        <x:f ca="1">IFERROR(IF(0=LEN(ReferenceData!$G$103),"",ReferenceData!$G$103),"")</x:f>
        <x:v>-24.423902999999999</x:v>
      </x:c>
      <x:c r="H103">
        <x:f ca="1">IFERROR(IF(0=LEN(ReferenceData!$H$103),"",ReferenceData!$H$103),"")</x:f>
        <x:v>-225.08173199999999</x:v>
      </x:c>
      <x:c r="I103">
        <x:f ca="1">IFERROR(IF(0=LEN(ReferenceData!$I$103),"",ReferenceData!$I$103),"")</x:f>
        <x:v>-11.353054</x:v>
      </x:c>
      <x:c r="J103">
        <x:f ca="1">IFERROR(IF(0=LEN(ReferenceData!$J$103),"",ReferenceData!$J$103),"")</x:f>
        <x:v>216.962604</x:v>
      </x:c>
      <x:c r="K103">
        <x:f ca="1">IFERROR(IF(0=LEN(ReferenceData!$K$103),"",ReferenceData!$K$103),"")</x:f>
        <x:v>-136.35541799999999</x:v>
      </x:c>
      <x:c r="L103">
        <x:f ca="1">IFERROR(IF(0=LEN(ReferenceData!$L$103),"",ReferenceData!$L$103),"")</x:f>
        <x:v>-100.051489</x:v>
      </x:c>
      <x:c r="M103">
        <x:f ca="1">IFERROR(IF(0=LEN(ReferenceData!$M$103),"",ReferenceData!$M$103),"")</x:f>
        <x:v>-38.247433999999998</x:v>
      </x:c>
      <x:c r="N103">
        <x:f ca="1">IFERROR(IF(0=LEN(ReferenceData!$N$103),"",ReferenceData!$N$103),"")</x:f>
        <x:v>27.199811</x:v>
      </x:c>
      <x:c r="O103">
        <x:f ca="1">IFERROR(IF(0=LEN(ReferenceData!$O$103),"",ReferenceData!$O$103),"")</x:f>
        <x:v>-284.93082900000002</x:v>
      </x:c>
      <x:c r="P103">
        <x:f ca="1">IFERROR(IF(0=LEN(ReferenceData!$P$103),"",ReferenceData!$P$103),"")</x:f>
        <x:v>-703.28279499999996</x:v>
      </x:c>
      <x:c r="Q103">
        <x:f ca="1">IFERROR(IF(0=LEN(ReferenceData!$Q$103),"",ReferenceData!$Q$103),"")</x:f>
        <x:v>298.15387600000003</x:v>
      </x:c>
      <x:c r="R103">
        <x:f ca="1">IFERROR(IF(0=LEN(ReferenceData!$R$103),"",ReferenceData!$R$103),"")</x:f>
        <x:v>-246.774978</x:v>
      </x:c>
      <x:c r="S103">
        <x:f ca="1">IFERROR(IF(0=LEN(ReferenceData!$S$103),"",ReferenceData!$S$103),"")</x:f>
        <x:v>527.61006899999995</x:v>
      </x:c>
    </x:row>
    <x:row r="104" spans="1:19" x14ac:dyDescent="0.25">
      <x:c r="A104" t="str">
        <x:f>IFERROR(IF(0=LEN(ReferenceData!$A$104),"",ReferenceData!$A$104),"")</x:f>
        <x:v xml:space="preserve">        VanEck Oil Services ETF</x:v>
      </x:c>
      <x:c r="B104" t="str">
        <x:f>IFERROR(IF(0=LEN(ReferenceData!$B$104),"",ReferenceData!$B$104),"")</x:f>
        <x:v>OIH US Equity</x:v>
      </x:c>
      <x:c r="C104" t="str">
        <x:f>IFERROR(IF(0=LEN(ReferenceData!$C$104),"",ReferenceData!$C$104),"")</x:f>
        <x:v/>
      </x:c>
      <x:c r="D104" t="str">
        <x:f>IFERROR(IF(0=LEN(ReferenceData!$D$104),"",ReferenceData!$D$104),"")</x:f>
        <x:v/>
      </x:c>
      <x:c r="E104" t="str">
        <x:f>IFERROR(IF(0=LEN(ReferenceData!$E$104),"",ReferenceData!$E$104),"")</x:f>
        <x:v>Expression</x:v>
      </x:c>
      <x:c r="F104">
        <x:f ca="1">IFERROR(IF(0=LEN(ReferenceData!$F$104),"",ReferenceData!$F$104),"")</x:f>
        <x:v>-128.23198400000001</x:v>
      </x:c>
      <x:c r="G104">
        <x:f ca="1">IFERROR(IF(0=LEN(ReferenceData!$G$104),"",ReferenceData!$G$104),"")</x:f>
        <x:v>71.318458000000007</x:v>
      </x:c>
      <x:c r="H104">
        <x:f ca="1">IFERROR(IF(0=LEN(ReferenceData!$H$104),"",ReferenceData!$H$104),"")</x:f>
        <x:v>-0.96226800000000001</x:v>
      </x:c>
      <x:c r="I104">
        <x:f ca="1">IFERROR(IF(0=LEN(ReferenceData!$I$104),"",ReferenceData!$I$104),"")</x:f>
        <x:v>-68.276455999999996</x:v>
      </x:c>
      <x:c r="J104">
        <x:f ca="1">IFERROR(IF(0=LEN(ReferenceData!$J$104),"",ReferenceData!$J$104),"")</x:f>
        <x:v>15.925793000000001</x:v>
      </x:c>
      <x:c r="K104">
        <x:f ca="1">IFERROR(IF(0=LEN(ReferenceData!$K$104),"",ReferenceData!$K$104),"")</x:f>
        <x:v>-136.208845</x:v>
      </x:c>
      <x:c r="L104">
        <x:f ca="1">IFERROR(IF(0=LEN(ReferenceData!$L$104),"",ReferenceData!$L$104),"")</x:f>
        <x:v>2.2859859999999999</x:v>
      </x:c>
      <x:c r="M104">
        <x:f ca="1">IFERROR(IF(0=LEN(ReferenceData!$M$104),"",ReferenceData!$M$104),"")</x:f>
        <x:v>-130.590968</x:v>
      </x:c>
      <x:c r="N104">
        <x:f ca="1">IFERROR(IF(0=LEN(ReferenceData!$N$104),"",ReferenceData!$N$104),"")</x:f>
        <x:v>190.56250800000001</x:v>
      </x:c>
      <x:c r="O104">
        <x:f ca="1">IFERROR(IF(0=LEN(ReferenceData!$O$104),"",ReferenceData!$O$104),"")</x:f>
        <x:v>-249.89423500000001</x:v>
      </x:c>
      <x:c r="P104">
        <x:f ca="1">IFERROR(IF(0=LEN(ReferenceData!$P$104),"",ReferenceData!$P$104),"")</x:f>
        <x:v>67.453813999999994</x:v>
      </x:c>
      <x:c r="Q104">
        <x:f ca="1">IFERROR(IF(0=LEN(ReferenceData!$Q$104),"",ReferenceData!$Q$104),"")</x:f>
        <x:v>-105.65682200000001</x:v>
      </x:c>
      <x:c r="R104">
        <x:f ca="1">IFERROR(IF(0=LEN(ReferenceData!$R$104),"",ReferenceData!$R$104),"")</x:f>
        <x:v>-91.112089999999995</x:v>
      </x:c>
      <x:c r="S104">
        <x:f ca="1">IFERROR(IF(0=LEN(ReferenceData!$S$104),"",ReferenceData!$S$104),"")</x:f>
        <x:v>3.5712380000000001</x:v>
      </x:c>
    </x:row>
    <x:row r="105" spans="1:19" x14ac:dyDescent="0.25">
      <x:c r="A105" t="str">
        <x:f>IFERROR(IF(0=LEN(ReferenceData!$A$105),"",ReferenceData!$A$105),"")</x:f>
        <x:v xml:space="preserve">        iShares U.S. Energy ETF</x:v>
      </x:c>
      <x:c r="B105" t="str">
        <x:f>IFERROR(IF(0=LEN(ReferenceData!$B$105),"",ReferenceData!$B$105),"")</x:f>
        <x:v>IYE US Equity</x:v>
      </x:c>
      <x:c r="C105" t="str">
        <x:f>IFERROR(IF(0=LEN(ReferenceData!$C$105),"",ReferenceData!$C$105),"")</x:f>
        <x:v/>
      </x:c>
      <x:c r="D105" t="str">
        <x:f>IFERROR(IF(0=LEN(ReferenceData!$D$105),"",ReferenceData!$D$105),"")</x:f>
        <x:v/>
      </x:c>
      <x:c r="E105" t="str">
        <x:f>IFERROR(IF(0=LEN(ReferenceData!$E$105),"",ReferenceData!$E$105),"")</x:f>
        <x:v>Expression</x:v>
      </x:c>
      <x:c r="F105">
        <x:f ca="1">IFERROR(IF(0=LEN(ReferenceData!$F$105),"",ReferenceData!$F$105),"")</x:f>
        <x:v>2.2103320000000002</x:v>
      </x:c>
      <x:c r="G105">
        <x:f ca="1">IFERROR(IF(0=LEN(ReferenceData!$G$105),"",ReferenceData!$G$105),"")</x:f>
        <x:v>23.447545000000002</x:v>
      </x:c>
      <x:c r="H105">
        <x:f ca="1">IFERROR(IF(0=LEN(ReferenceData!$H$105),"",ReferenceData!$H$105),"")</x:f>
        <x:v>-12.001598</x:v>
      </x:c>
      <x:c r="I105">
        <x:f ca="1">IFERROR(IF(0=LEN(ReferenceData!$I$105),"",ReferenceData!$I$105),"")</x:f>
        <x:v>-23.409655000000001</x:v>
      </x:c>
      <x:c r="J105">
        <x:f ca="1">IFERROR(IF(0=LEN(ReferenceData!$J$105),"",ReferenceData!$J$105),"")</x:f>
        <x:v>-41.326050000000002</x:v>
      </x:c>
      <x:c r="K105">
        <x:f ca="1">IFERROR(IF(0=LEN(ReferenceData!$K$105),"",ReferenceData!$K$105),"")</x:f>
        <x:v>-124.646345</x:v>
      </x:c>
      <x:c r="L105">
        <x:f ca="1">IFERROR(IF(0=LEN(ReferenceData!$L$105),"",ReferenceData!$L$105),"")</x:f>
        <x:v>-68.035020000000003</x:v>
      </x:c>
      <x:c r="M105">
        <x:f ca="1">IFERROR(IF(0=LEN(ReferenceData!$M$105),"",ReferenceData!$M$105),"")</x:f>
        <x:v>-51.695374999999999</x:v>
      </x:c>
      <x:c r="N105">
        <x:f ca="1">IFERROR(IF(0=LEN(ReferenceData!$N$105),"",ReferenceData!$N$105),"")</x:f>
        <x:v>-127.216285</x:v>
      </x:c>
      <x:c r="O105">
        <x:f ca="1">IFERROR(IF(0=LEN(ReferenceData!$O$105),"",ReferenceData!$O$105),"")</x:f>
        <x:v>-76.245350000000002</x:v>
      </x:c>
      <x:c r="P105">
        <x:f ca="1">IFERROR(IF(0=LEN(ReferenceData!$P$105),"",ReferenceData!$P$105),"")</x:f>
        <x:v>-364.74325499999998</x:v>
      </x:c>
      <x:c r="Q105">
        <x:f ca="1">IFERROR(IF(0=LEN(ReferenceData!$Q$105),"",ReferenceData!$Q$105),"")</x:f>
        <x:v>-15.972854999999999</x:v>
      </x:c>
      <x:c r="R105">
        <x:f ca="1">IFERROR(IF(0=LEN(ReferenceData!$R$105),"",ReferenceData!$R$105),"")</x:f>
        <x:v>2.4048799999999999</x:v>
      </x:c>
      <x:c r="S105">
        <x:f ca="1">IFERROR(IF(0=LEN(ReferenceData!$S$105),"",ReferenceData!$S$105),"")</x:f>
        <x:v>-14.54927</x:v>
      </x:c>
    </x:row>
    <x:row r="106" spans="1:19" x14ac:dyDescent="0.25">
      <x:c r="A106" t="str">
        <x:f>IFERROR(IF(0=LEN(ReferenceData!$A$106),"",ReferenceData!$A$106),"")</x:f>
        <x:v xml:space="preserve">        SPDR S&amp;P North American Natura</x:v>
      </x:c>
      <x:c r="B106" t="str">
        <x:f>IFERROR(IF(0=LEN(ReferenceData!$B$106),"",ReferenceData!$B$106),"")</x:f>
        <x:v>NANR US Equity</x:v>
      </x:c>
      <x:c r="C106" t="str">
        <x:f>IFERROR(IF(0=LEN(ReferenceData!$C$106),"",ReferenceData!$C$106),"")</x:f>
        <x:v/>
      </x:c>
      <x:c r="D106" t="str">
        <x:f>IFERROR(IF(0=LEN(ReferenceData!$D$106),"",ReferenceData!$D$106),"")</x:f>
        <x:v/>
      </x:c>
      <x:c r="E106" t="str">
        <x:f>IFERROR(IF(0=LEN(ReferenceData!$E$106),"",ReferenceData!$E$106),"")</x:f>
        <x:v>Expression</x:v>
      </x:c>
      <x:c r="F106">
        <x:f ca="1">IFERROR(IF(0=LEN(ReferenceData!$F$106),"",ReferenceData!$F$106),"")</x:f>
        <x:v>-8.6893960000000003</x:v>
      </x:c>
      <x:c r="G106">
        <x:f ca="1">IFERROR(IF(0=LEN(ReferenceData!$G$106),"",ReferenceData!$G$106),"")</x:f>
        <x:v>-1.3078369999999999</x:v>
      </x:c>
      <x:c r="H106">
        <x:f ca="1">IFERROR(IF(0=LEN(ReferenceData!$H$106),"",ReferenceData!$H$106),"")</x:f>
        <x:v>-4.0701229999999997</x:v>
      </x:c>
      <x:c r="I106">
        <x:f ca="1">IFERROR(IF(0=LEN(ReferenceData!$I$106),"",ReferenceData!$I$106),"")</x:f>
        <x:v>0</x:v>
      </x:c>
      <x:c r="J106">
        <x:f ca="1">IFERROR(IF(0=LEN(ReferenceData!$J$106),"",ReferenceData!$J$106),"")</x:f>
        <x:v>-2.7703329999999999</x:v>
      </x:c>
      <x:c r="K106">
        <x:f ca="1">IFERROR(IF(0=LEN(ReferenceData!$K$106),"",ReferenceData!$K$106),"")</x:f>
        <x:v>-5.2735430000000001</x:v>
      </x:c>
      <x:c r="L106">
        <x:f ca="1">IFERROR(IF(0=LEN(ReferenceData!$L$106),"",ReferenceData!$L$106),"")</x:f>
        <x:v>7.5696000000000003</x:v>
      </x:c>
      <x:c r="M106">
        <x:f ca="1">IFERROR(IF(0=LEN(ReferenceData!$M$106),"",ReferenceData!$M$106),"")</x:f>
        <x:v>-8.1568020000000008</x:v>
      </x:c>
      <x:c r="N106">
        <x:f ca="1">IFERROR(IF(0=LEN(ReferenceData!$N$106),"",ReferenceData!$N$106),"")</x:f>
        <x:v>-189.52456599999999</x:v>
      </x:c>
      <x:c r="O106">
        <x:f ca="1">IFERROR(IF(0=LEN(ReferenceData!$O$106),"",ReferenceData!$O$106),"")</x:f>
        <x:v>9.7665620000000004</x:v>
      </x:c>
      <x:c r="P106">
        <x:f ca="1">IFERROR(IF(0=LEN(ReferenceData!$P$106),"",ReferenceData!$P$106),"")</x:f>
        <x:v>89.262805999999998</x:v>
      </x:c>
      <x:c r="Q106">
        <x:f ca="1">IFERROR(IF(0=LEN(ReferenceData!$Q$106),"",ReferenceData!$Q$106),"")</x:f>
        <x:v>129.441879</x:v>
      </x:c>
      <x:c r="R106">
        <x:f ca="1">IFERROR(IF(0=LEN(ReferenceData!$R$106),"",ReferenceData!$R$106),"")</x:f>
        <x:v>-25.416215999999999</x:v>
      </x:c>
      <x:c r="S106">
        <x:f ca="1">IFERROR(IF(0=LEN(ReferenceData!$S$106),"",ReferenceData!$S$106),"")</x:f>
        <x:v>-0.83558699999999997</x:v>
      </x:c>
    </x:row>
    <x:row r="107" spans="1:19" x14ac:dyDescent="0.25">
      <x:c r="A107" t="str">
        <x:f>IFERROR(IF(0=LEN(ReferenceData!$A$107),"",ReferenceData!$A$107),"")</x:f>
        <x:v xml:space="preserve">        iShares Global Energy ETF</x:v>
      </x:c>
      <x:c r="B107" t="str">
        <x:f>IFERROR(IF(0=LEN(ReferenceData!$B$107),"",ReferenceData!$B$107),"")</x:f>
        <x:v>IXC US Equity</x:v>
      </x:c>
      <x:c r="C107" t="str">
        <x:f>IFERROR(IF(0=LEN(ReferenceData!$C$107),"",ReferenceData!$C$107),"")</x:f>
        <x:v/>
      </x:c>
      <x:c r="D107" t="str">
        <x:f>IFERROR(IF(0=LEN(ReferenceData!$D$107),"",ReferenceData!$D$107),"")</x:f>
        <x:v/>
      </x:c>
      <x:c r="E107" t="str">
        <x:f>IFERROR(IF(0=LEN(ReferenceData!$E$107),"",ReferenceData!$E$107),"")</x:f>
        <x:v>Expression</x:v>
      </x:c>
      <x:c r="F107">
        <x:f ca="1">IFERROR(IF(0=LEN(ReferenceData!$F$107),"",ReferenceData!$F$107),"")</x:f>
        <x:v>76.752270999999993</x:v>
      </x:c>
      <x:c r="G107">
        <x:f ca="1">IFERROR(IF(0=LEN(ReferenceData!$G$107),"",ReferenceData!$G$107),"")</x:f>
        <x:v>1073.007832</x:v>
      </x:c>
      <x:c r="H107">
        <x:f ca="1">IFERROR(IF(0=LEN(ReferenceData!$H$107),"",ReferenceData!$H$107),"")</x:f>
        <x:v>36.979900999999998</x:v>
      </x:c>
      <x:c r="I107">
        <x:f ca="1">IFERROR(IF(0=LEN(ReferenceData!$I$107),"",ReferenceData!$I$107),"")</x:f>
        <x:v>17.955884999999999</x:v>
      </x:c>
      <x:c r="J107">
        <x:f ca="1">IFERROR(IF(0=LEN(ReferenceData!$J$107),"",ReferenceData!$J$107),"")</x:f>
        <x:v>-61.447155000000002</x:v>
      </x:c>
      <x:c r="K107">
        <x:f ca="1">IFERROR(IF(0=LEN(ReferenceData!$K$107),"",ReferenceData!$K$107),"")</x:f>
        <x:v>-5.49594</x:v>
      </x:c>
      <x:c r="L107">
        <x:f ca="1">IFERROR(IF(0=LEN(ReferenceData!$L$107),"",ReferenceData!$L$107),"")</x:f>
        <x:v>0</x:v>
      </x:c>
      <x:c r="M107">
        <x:f ca="1">IFERROR(IF(0=LEN(ReferenceData!$M$107),"",ReferenceData!$M$107),"")</x:f>
        <x:v>5.8453350000000004</x:v>
      </x:c>
      <x:c r="N107">
        <x:f ca="1">IFERROR(IF(0=LEN(ReferenceData!$N$107),"",ReferenceData!$N$107),"")</x:f>
        <x:v>-143.05143699999999</x:v>
      </x:c>
      <x:c r="O107">
        <x:f ca="1">IFERROR(IF(0=LEN(ReferenceData!$O$107),"",ReferenceData!$O$107),"")</x:f>
        <x:v>-41.071950000000001</x:v>
      </x:c>
      <x:c r="P107">
        <x:f ca="1">IFERROR(IF(0=LEN(ReferenceData!$P$107),"",ReferenceData!$P$107),"")</x:f>
        <x:v>-41.762039999999999</x:v>
      </x:c>
      <x:c r="Q107">
        <x:f ca="1">IFERROR(IF(0=LEN(ReferenceData!$Q$107),"",ReferenceData!$Q$107),"")</x:f>
        <x:v>-22.713315000000001</x:v>
      </x:c>
      <x:c r="R107">
        <x:f ca="1">IFERROR(IF(0=LEN(ReferenceData!$R$107),"",ReferenceData!$R$107),"")</x:f>
        <x:v>-36.442365000000002</x:v>
      </x:c>
      <x:c r="S107">
        <x:f ca="1">IFERROR(IF(0=LEN(ReferenceData!$S$107),"",ReferenceData!$S$107),"")</x:f>
        <x:v>-37.19088</x:v>
      </x:c>
    </x:row>
    <x:row r="108" spans="1:19" x14ac:dyDescent="0.25">
      <x:c r="A108" t="str">
        <x:f>IFERROR(IF(0=LEN(ReferenceData!$A$108),"",ReferenceData!$A$108),"")</x:f>
        <x:v xml:space="preserve">        Global X MLP ETF</x:v>
      </x:c>
      <x:c r="B108" t="str">
        <x:f>IFERROR(IF(0=LEN(ReferenceData!$B$108),"",ReferenceData!$B$108),"")</x:f>
        <x:v>MLPA US Equity</x:v>
      </x:c>
      <x:c r="C108" t="str">
        <x:f>IFERROR(IF(0=LEN(ReferenceData!$C$108),"",ReferenceData!$C$108),"")</x:f>
        <x:v/>
      </x:c>
      <x:c r="D108" t="str">
        <x:f>IFERROR(IF(0=LEN(ReferenceData!$D$108),"",ReferenceData!$D$108),"")</x:f>
        <x:v/>
      </x:c>
      <x:c r="E108" t="str">
        <x:f>IFERROR(IF(0=LEN(ReferenceData!$E$108),"",ReferenceData!$E$108),"")</x:f>
        <x:v>Expression</x:v>
      </x:c>
      <x:c r="F108">
        <x:f ca="1">IFERROR(IF(0=LEN(ReferenceData!$F$108),"",ReferenceData!$F$108),"")</x:f>
        <x:v>25.311699999999998</x:v>
      </x:c>
      <x:c r="G108">
        <x:f ca="1">IFERROR(IF(0=LEN(ReferenceData!$G$108),"",ReferenceData!$G$108),"")</x:f>
        <x:v>14.545</x:v>
      </x:c>
      <x:c r="H108">
        <x:f ca="1">IFERROR(IF(0=LEN(ReferenceData!$H$108),"",ReferenceData!$H$108),"")</x:f>
        <x:v>-0.92030000000000001</x:v>
      </x:c>
      <x:c r="I108">
        <x:f ca="1">IFERROR(IF(0=LEN(ReferenceData!$I$108),"",ReferenceData!$I$108),"")</x:f>
        <x:v>-3.4950000000000001</x:v>
      </x:c>
      <x:c r="J108">
        <x:f ca="1">IFERROR(IF(0=LEN(ReferenceData!$J$108),"",ReferenceData!$J$108),"")</x:f>
        <x:v>-7.2394999999999996</x:v>
      </x:c>
      <x:c r="K108">
        <x:f ca="1">IFERROR(IF(0=LEN(ReferenceData!$K$108),"",ReferenceData!$K$108),"")</x:f>
        <x:v>-29.337700000000002</x:v>
      </x:c>
      <x:c r="L108">
        <x:f ca="1">IFERROR(IF(0=LEN(ReferenceData!$L$108),"",ReferenceData!$L$108),"")</x:f>
        <x:v>-10.4308</x:v>
      </x:c>
      <x:c r="M108">
        <x:f ca="1">IFERROR(IF(0=LEN(ReferenceData!$M$108),"",ReferenceData!$M$108),"")</x:f>
        <x:v>-9.6649999999999991</x:v>
      </x:c>
      <x:c r="N108">
        <x:f ca="1">IFERROR(IF(0=LEN(ReferenceData!$N$108),"",ReferenceData!$N$108),"")</x:f>
        <x:v>24.401</x:v>
      </x:c>
      <x:c r="O108">
        <x:f ca="1">IFERROR(IF(0=LEN(ReferenceData!$O$108),"",ReferenceData!$O$108),"")</x:f>
        <x:v>11.1281</x:v>
      </x:c>
      <x:c r="P108">
        <x:f ca="1">IFERROR(IF(0=LEN(ReferenceData!$P$108),"",ReferenceData!$P$108),"")</x:f>
        <x:v>1.3527</x:v>
      </x:c>
      <x:c r="Q108">
        <x:f ca="1">IFERROR(IF(0=LEN(ReferenceData!$Q$108),"",ReferenceData!$Q$108),"")</x:f>
        <x:v>-4.0475000000000003</x:v>
      </x:c>
      <x:c r="R108">
        <x:f ca="1">IFERROR(IF(0=LEN(ReferenceData!$R$108),"",ReferenceData!$R$108),"")</x:f>
        <x:v>18.683499999999999</x:v>
      </x:c>
      <x:c r="S108">
        <x:f ca="1">IFERROR(IF(0=LEN(ReferenceData!$S$108),"",ReferenceData!$S$108),"")</x:f>
        <x:v>52.366</x:v>
      </x:c>
    </x:row>
    <x:row r="109" spans="1:19" x14ac:dyDescent="0.25">
      <x:c r="A109" t="str">
        <x:f>IFERROR(IF(0=LEN(ReferenceData!$A$109),"",ReferenceData!$A$109),"")</x:f>
        <x:v xml:space="preserve">        Direxion Daily Energy Bull 2X</x:v>
      </x:c>
      <x:c r="B109" t="str">
        <x:f>IFERROR(IF(0=LEN(ReferenceData!$B$109),"",ReferenceData!$B$109),"")</x:f>
        <x:v>ERX US Equity</x:v>
      </x:c>
      <x:c r="C109" t="str">
        <x:f>IFERROR(IF(0=LEN(ReferenceData!$C$109),"",ReferenceData!$C$109),"")</x:f>
        <x:v/>
      </x:c>
      <x:c r="D109" t="str">
        <x:f>IFERROR(IF(0=LEN(ReferenceData!$D$109),"",ReferenceData!$D$109),"")</x:f>
        <x:v/>
      </x:c>
      <x:c r="E109" t="str">
        <x:f>IFERROR(IF(0=LEN(ReferenceData!$E$109),"",ReferenceData!$E$109),"")</x:f>
        <x:v>Expression</x:v>
      </x:c>
      <x:c r="F109">
        <x:f ca="1">IFERROR(IF(0=LEN(ReferenceData!$F$109),"",ReferenceData!$F$109),"")</x:f>
        <x:v>16.913515</x:v>
      </x:c>
      <x:c r="G109">
        <x:f ca="1">IFERROR(IF(0=LEN(ReferenceData!$G$109),"",ReferenceData!$G$109),"")</x:f>
        <x:v>6.0947810000000002</x:v>
      </x:c>
      <x:c r="H109">
        <x:f ca="1">IFERROR(IF(0=LEN(ReferenceData!$H$109),"",ReferenceData!$H$109),"")</x:f>
        <x:v>-16.750745999999999</x:v>
      </x:c>
      <x:c r="I109">
        <x:f ca="1">IFERROR(IF(0=LEN(ReferenceData!$I$109),"",ReferenceData!$I$109),"")</x:f>
        <x:v>-22.079066000000001</x:v>
      </x:c>
      <x:c r="J109">
        <x:f ca="1">IFERROR(IF(0=LEN(ReferenceData!$J$109),"",ReferenceData!$J$109),"")</x:f>
        <x:v>-22.198820999999999</x:v>
      </x:c>
      <x:c r="K109">
        <x:f ca="1">IFERROR(IF(0=LEN(ReferenceData!$K$109),"",ReferenceData!$K$109),"")</x:f>
        <x:v>-2.6471420000000001</x:v>
      </x:c>
      <x:c r="L109">
        <x:f ca="1">IFERROR(IF(0=LEN(ReferenceData!$L$109),"",ReferenceData!$L$109),"")</x:f>
        <x:v>18.031327999999998</x:v>
      </x:c>
      <x:c r="M109">
        <x:f ca="1">IFERROR(IF(0=LEN(ReferenceData!$M$109),"",ReferenceData!$M$109),"")</x:f>
        <x:v>-24.898544999999999</x:v>
      </x:c>
      <x:c r="N109">
        <x:f ca="1">IFERROR(IF(0=LEN(ReferenceData!$N$109),"",ReferenceData!$N$109),"")</x:f>
        <x:v>13.292536999999999</x:v>
      </x:c>
      <x:c r="O109">
        <x:f ca="1">IFERROR(IF(0=LEN(ReferenceData!$O$109),"",ReferenceData!$O$109),"")</x:f>
        <x:v>3.214585</x:v>
      </x:c>
      <x:c r="P109">
        <x:f ca="1">IFERROR(IF(0=LEN(ReferenceData!$P$109),"",ReferenceData!$P$109),"")</x:f>
        <x:v>-34.904969999999999</x:v>
      </x:c>
      <x:c r="Q109">
        <x:f ca="1">IFERROR(IF(0=LEN(ReferenceData!$Q$109),"",ReferenceData!$Q$109),"")</x:f>
        <x:v>-22.285029999999999</x:v>
      </x:c>
      <x:c r="R109">
        <x:f ca="1">IFERROR(IF(0=LEN(ReferenceData!$R$109),"",ReferenceData!$R$109),"")</x:f>
        <x:v>-6.9549640000000004</x:v>
      </x:c>
      <x:c r="S109">
        <x:f ca="1">IFERROR(IF(0=LEN(ReferenceData!$S$109),"",ReferenceData!$S$109),"")</x:f>
        <x:v>-54.906588999999997</x:v>
      </x:c>
    </x:row>
    <x:row r="110" spans="1:19" x14ac:dyDescent="0.25">
      <x:c r="A110" t="str">
        <x:f>IFERROR(IF(0=LEN(ReferenceData!$A$110),"",ReferenceData!$A$110),"")</x:f>
        <x:v xml:space="preserve">        iPath Select MLP ETN</x:v>
      </x:c>
      <x:c r="B110" t="str">
        <x:f>IFERROR(IF(0=LEN(ReferenceData!$B$110),"",ReferenceData!$B$110),"")</x:f>
        <x:v>ATMP US Equity</x:v>
      </x:c>
      <x:c r="C110" t="str">
        <x:f>IFERROR(IF(0=LEN(ReferenceData!$C$110),"",ReferenceData!$C$110),"")</x:f>
        <x:v/>
      </x:c>
      <x:c r="D110" t="str">
        <x:f>IFERROR(IF(0=LEN(ReferenceData!$D$110),"",ReferenceData!$D$110),"")</x:f>
        <x:v/>
      </x:c>
      <x:c r="E110" t="str">
        <x:f>IFERROR(IF(0=LEN(ReferenceData!$E$110),"",ReferenceData!$E$110),"")</x:f>
        <x:v>Expression</x:v>
      </x:c>
      <x:c r="F110">
        <x:f ca="1">IFERROR(IF(0=LEN(ReferenceData!$F$110),"",ReferenceData!$F$110),"")</x:f>
        <x:v>1.81304</x:v>
      </x:c>
      <x:c r="G110">
        <x:f ca="1">IFERROR(IF(0=LEN(ReferenceData!$G$110),"",ReferenceData!$G$110),"")</x:f>
        <x:v>2.0942229999999999</x:v>
      </x:c>
      <x:c r="H110">
        <x:f ca="1">IFERROR(IF(0=LEN(ReferenceData!$H$110),"",ReferenceData!$H$110),"")</x:f>
        <x:v>-6.7357E-2</x:v>
      </x:c>
      <x:c r="I110">
        <x:f ca="1">IFERROR(IF(0=LEN(ReferenceData!$I$110),"",ReferenceData!$I$110),"")</x:f>
        <x:v>2.1472319999999998</x:v>
      </x:c>
      <x:c r="J110">
        <x:f ca="1">IFERROR(IF(0=LEN(ReferenceData!$J$110),"",ReferenceData!$J$110),"")</x:f>
        <x:v>0</x:v>
      </x:c>
      <x:c r="K110">
        <x:f ca="1">IFERROR(IF(0=LEN(ReferenceData!$K$110),"",ReferenceData!$K$110),"")</x:f>
        <x:v>0</x:v>
      </x:c>
      <x:c r="L110">
        <x:f ca="1">IFERROR(IF(0=LEN(ReferenceData!$L$110),"",ReferenceData!$L$110),"")</x:f>
        <x:v>-2.874174</x:v>
      </x:c>
      <x:c r="M110">
        <x:f ca="1">IFERROR(IF(0=LEN(ReferenceData!$M$110),"",ReferenceData!$M$110),"")</x:f>
        <x:v>1.4872749999999999</x:v>
      </x:c>
      <x:c r="N110">
        <x:f ca="1">IFERROR(IF(0=LEN(ReferenceData!$N$110),"",ReferenceData!$N$110),"")</x:f>
        <x:v>2.6339939999999999</x:v>
      </x:c>
      <x:c r="O110">
        <x:f ca="1">IFERROR(IF(0=LEN(ReferenceData!$O$110),"",ReferenceData!$O$110),"")</x:f>
        <x:v>5.291048</x:v>
      </x:c>
      <x:c r="P110">
        <x:f ca="1">IFERROR(IF(0=LEN(ReferenceData!$P$110),"",ReferenceData!$P$110),"")</x:f>
        <x:v>1.2514670000000001</x:v>
      </x:c>
      <x:c r="Q110">
        <x:f ca="1">IFERROR(IF(0=LEN(ReferenceData!$Q$110),"",ReferenceData!$Q$110),"")</x:f>
        <x:v>4.1748139999999996</x:v>
      </x:c>
      <x:c r="R110">
        <x:f ca="1">IFERROR(IF(0=LEN(ReferenceData!$R$110),"",ReferenceData!$R$110),"")</x:f>
        <x:v>9.1390080000000005</x:v>
      </x:c>
      <x:c r="S110">
        <x:f ca="1">IFERROR(IF(0=LEN(ReferenceData!$S$110),"",ReferenceData!$S$110),"")</x:f>
        <x:v>4.2177490000000004</x:v>
      </x:c>
    </x:row>
    <x:row r="111" spans="1:19" x14ac:dyDescent="0.25">
      <x:c r="A111" t="str">
        <x:f>IFERROR(IF(0=LEN(ReferenceData!$A$111),"",ReferenceData!$A$111),"")</x:f>
        <x:v xml:space="preserve">        ETRACS Alerian MLP Index ETN</x:v>
      </x:c>
      <x:c r="B111" t="str">
        <x:f>IFERROR(IF(0=LEN(ReferenceData!$B$111),"",ReferenceData!$B$111),"")</x:f>
        <x:v>AMU US Equity</x:v>
      </x:c>
      <x:c r="C111" t="str">
        <x:f>IFERROR(IF(0=LEN(ReferenceData!$C$111),"",ReferenceData!$C$111),"")</x:f>
        <x:v/>
      </x:c>
      <x:c r="D111" t="str">
        <x:f>IFERROR(IF(0=LEN(ReferenceData!$D$111),"",ReferenceData!$D$111),"")</x:f>
        <x:v/>
      </x:c>
      <x:c r="E111" t="str">
        <x:f>IFERROR(IF(0=LEN(ReferenceData!$E$111),"",ReferenceData!$E$111),"")</x:f>
        <x:v>Expression</x:v>
      </x:c>
      <x:c r="F111" t="str">
        <x:f ca="1">IFERROR(IF(0=LEN(ReferenceData!$F$111),"",ReferenceData!$F$111),"")</x:f>
        <x:v/>
      </x:c>
      <x:c r="G111" t="str">
        <x:f ca="1">IFERROR(IF(0=LEN(ReferenceData!$G$111),"",ReferenceData!$G$111),"")</x:f>
        <x:v/>
      </x:c>
      <x:c r="H111" t="str">
        <x:f ca="1">IFERROR(IF(0=LEN(ReferenceData!$H$111),"",ReferenceData!$H$111),"")</x:f>
        <x:v/>
      </x:c>
      <x:c r="I111" t="str">
        <x:f ca="1">IFERROR(IF(0=LEN(ReferenceData!$I$111),"",ReferenceData!$I$111),"")</x:f>
        <x:v/>
      </x:c>
      <x:c r="J111" t="str">
        <x:f ca="1">IFERROR(IF(0=LEN(ReferenceData!$J$111),"",ReferenceData!$J$111),"")</x:f>
        <x:v/>
      </x:c>
      <x:c r="K111" t="str">
        <x:f ca="1">IFERROR(IF(0=LEN(ReferenceData!$K$111),"",ReferenceData!$K$111),"")</x:f>
        <x:v/>
      </x:c>
      <x:c r="L111" t="str">
        <x:f ca="1">IFERROR(IF(0=LEN(ReferenceData!$L$111),"",ReferenceData!$L$111),"")</x:f>
        <x:v/>
      </x:c>
      <x:c r="M111" t="str">
        <x:f ca="1">IFERROR(IF(0=LEN(ReferenceData!$M$111),"",ReferenceData!$M$111),"")</x:f>
        <x:v/>
      </x:c>
      <x:c r="N111" t="str">
        <x:f ca="1">IFERROR(IF(0=LEN(ReferenceData!$N$111),"",ReferenceData!$N$111),"")</x:f>
        <x:v/>
      </x:c>
      <x:c r="O111" t="str">
        <x:f ca="1">IFERROR(IF(0=LEN(ReferenceData!$O$111),"",ReferenceData!$O$111),"")</x:f>
        <x:v/>
      </x:c>
      <x:c r="P111" t="str">
        <x:f ca="1">IFERROR(IF(0=LEN(ReferenceData!$P$111),"",ReferenceData!$P$111),"")</x:f>
        <x:v/>
      </x:c>
      <x:c r="Q111" t="str">
        <x:f ca="1">IFERROR(IF(0=LEN(ReferenceData!$Q$111),"",ReferenceData!$Q$111),"")</x:f>
        <x:v/>
      </x:c>
      <x:c r="R111" t="str">
        <x:f ca="1">IFERROR(IF(0=LEN(ReferenceData!$R$111),"",ReferenceData!$R$111),"")</x:f>
        <x:v/>
      </x:c>
      <x:c r="S111" t="str">
        <x:f ca="1">IFERROR(IF(0=LEN(ReferenceData!$S$111),"",ReferenceData!$S$111),"")</x:f>
        <x:v/>
      </x:c>
    </x:row>
    <x:row r="112" spans="1:19" x14ac:dyDescent="0.25">
      <x:c r="A112" t="str">
        <x:f>IFERROR(IF(0=LEN(ReferenceData!$A$112),"",ReferenceData!$A$112),"")</x:f>
        <x:v xml:space="preserve">        Fidelity MSCI Energy Index ETF</x:v>
      </x:c>
      <x:c r="B112" t="str">
        <x:f>IFERROR(IF(0=LEN(ReferenceData!$B$112),"",ReferenceData!$B$112),"")</x:f>
        <x:v>FENY US Equity</x:v>
      </x:c>
      <x:c r="C112" t="str">
        <x:f>IFERROR(IF(0=LEN(ReferenceData!$C$112),"",ReferenceData!$C$112),"")</x:f>
        <x:v/>
      </x:c>
      <x:c r="D112" t="str">
        <x:f>IFERROR(IF(0=LEN(ReferenceData!$D$112),"",ReferenceData!$D$112),"")</x:f>
        <x:v/>
      </x:c>
      <x:c r="E112" t="str">
        <x:f>IFERROR(IF(0=LEN(ReferenceData!$E$112),"",ReferenceData!$E$112),"")</x:f>
        <x:v>Expression</x:v>
      </x:c>
      <x:c r="F112">
        <x:f ca="1">IFERROR(IF(0=LEN(ReferenceData!$F$112),"",ReferenceData!$F$112),"")</x:f>
        <x:v>-3.4291649999999998</x:v>
      </x:c>
      <x:c r="G112">
        <x:f ca="1">IFERROR(IF(0=LEN(ReferenceData!$G$112),"",ReferenceData!$G$112),"")</x:f>
        <x:v>10.953239999999999</x:v>
      </x:c>
      <x:c r="H112">
        <x:f ca="1">IFERROR(IF(0=LEN(ReferenceData!$H$112),"",ReferenceData!$H$112),"")</x:f>
        <x:v>32.588169999999998</x:v>
      </x:c>
      <x:c r="I112">
        <x:f ca="1">IFERROR(IF(0=LEN(ReferenceData!$I$112),"",ReferenceData!$I$112),"")</x:f>
        <x:v>-14.385630000000001</x:v>
      </x:c>
      <x:c r="J112">
        <x:f ca="1">IFERROR(IF(0=LEN(ReferenceData!$J$112),"",ReferenceData!$J$112),"")</x:f>
        <x:v>-3.2372999999999998</x:v>
      </x:c>
      <x:c r="K112">
        <x:f ca="1">IFERROR(IF(0=LEN(ReferenceData!$K$112),"",ReferenceData!$K$112),"")</x:f>
        <x:v>48.18974</x:v>
      </x:c>
      <x:c r="L112">
        <x:f ca="1">IFERROR(IF(0=LEN(ReferenceData!$L$112),"",ReferenceData!$L$112),"")</x:f>
        <x:v>-41.762965000000001</x:v>
      </x:c>
      <x:c r="M112">
        <x:f ca="1">IFERROR(IF(0=LEN(ReferenceData!$M$112),"",ReferenceData!$M$112),"")</x:f>
        <x:v>-14.822039999999999</x:v>
      </x:c>
      <x:c r="N112">
        <x:f ca="1">IFERROR(IF(0=LEN(ReferenceData!$N$112),"",ReferenceData!$N$112),"")</x:f>
        <x:v>-45.090155000000003</x:v>
      </x:c>
      <x:c r="O112">
        <x:f ca="1">IFERROR(IF(0=LEN(ReferenceData!$O$112),"",ReferenceData!$O$112),"")</x:f>
        <x:v>7.4942849999999996</x:v>
      </x:c>
      <x:c r="P112">
        <x:f ca="1">IFERROR(IF(0=LEN(ReferenceData!$P$112),"",ReferenceData!$P$112),"")</x:f>
        <x:v>14.808355000000001</x:v>
      </x:c>
      <x:c r="Q112">
        <x:f ca="1">IFERROR(IF(0=LEN(ReferenceData!$Q$112),"",ReferenceData!$Q$112),"")</x:f>
        <x:v>-10.565965</x:v>
      </x:c>
      <x:c r="R112">
        <x:f ca="1">IFERROR(IF(0=LEN(ReferenceData!$R$112),"",ReferenceData!$R$112),"")</x:f>
        <x:v>23.826025000000001</x:v>
      </x:c>
      <x:c r="S112">
        <x:f ca="1">IFERROR(IF(0=LEN(ReferenceData!$S$112),"",ReferenceData!$S$112),"")</x:f>
        <x:v>11.465785</x:v>
      </x:c>
    </x:row>
    <x:row r="113" spans="1:19" x14ac:dyDescent="0.25">
      <x:c r="A113" t="str">
        <x:f>IFERROR(IF(0=LEN(ReferenceData!$A$113),"",ReferenceData!$A$113),"")</x:f>
        <x:v xml:space="preserve">        InfraCap MLP ETF</x:v>
      </x:c>
      <x:c r="B113" t="str">
        <x:f>IFERROR(IF(0=LEN(ReferenceData!$B$113),"",ReferenceData!$B$113),"")</x:f>
        <x:v>AMZA US Equity</x:v>
      </x:c>
      <x:c r="C113" t="str">
        <x:f>IFERROR(IF(0=LEN(ReferenceData!$C$113),"",ReferenceData!$C$113),"")</x:f>
        <x:v/>
      </x:c>
      <x:c r="D113" t="str">
        <x:f>IFERROR(IF(0=LEN(ReferenceData!$D$113),"",ReferenceData!$D$113),"")</x:f>
        <x:v/>
      </x:c>
      <x:c r="E113" t="str">
        <x:f>IFERROR(IF(0=LEN(ReferenceData!$E$113),"",ReferenceData!$E$113),"")</x:f>
        <x:v>Expression</x:v>
      </x:c>
      <x:c r="F113">
        <x:f ca="1">IFERROR(IF(0=LEN(ReferenceData!$F$113),"",ReferenceData!$F$113),"")</x:f>
        <x:v>2.5644610000000001</x:v>
      </x:c>
      <x:c r="G113">
        <x:f ca="1">IFERROR(IF(0=LEN(ReferenceData!$G$113),"",ReferenceData!$G$113),"")</x:f>
        <x:v>3.3267519999999999</x:v>
      </x:c>
      <x:c r="H113">
        <x:f ca="1">IFERROR(IF(0=LEN(ReferenceData!$H$113),"",ReferenceData!$H$113),"")</x:f>
        <x:v>1.7220150000000001</x:v>
      </x:c>
      <x:c r="I113">
        <x:f ca="1">IFERROR(IF(0=LEN(ReferenceData!$I$113),"",ReferenceData!$I$113),"")</x:f>
        <x:v>3.3649610000000001</x:v>
      </x:c>
      <x:c r="J113">
        <x:f ca="1">IFERROR(IF(0=LEN(ReferenceData!$J$113),"",ReferenceData!$J$113),"")</x:f>
        <x:v>-8.5065170000000006</x:v>
      </x:c>
      <x:c r="K113">
        <x:f ca="1">IFERROR(IF(0=LEN(ReferenceData!$K$113),"",ReferenceData!$K$113),"")</x:f>
        <x:v>0</x:v>
      </x:c>
      <x:c r="L113">
        <x:f ca="1">IFERROR(IF(0=LEN(ReferenceData!$L$113),"",ReferenceData!$L$113),"")</x:f>
        <x:v>-2.1056999999999999E-2</x:v>
      </x:c>
      <x:c r="M113">
        <x:f ca="1">IFERROR(IF(0=LEN(ReferenceData!$M$113),"",ReferenceData!$M$113),"")</x:f>
        <x:v>-1.1107000000000001E-2</x:v>
      </x:c>
      <x:c r="N113">
        <x:f ca="1">IFERROR(IF(0=LEN(ReferenceData!$N$113),"",ReferenceData!$N$113),"")</x:f>
        <x:v>0</x:v>
      </x:c>
      <x:c r="O113">
        <x:f ca="1">IFERROR(IF(0=LEN(ReferenceData!$O$113),"",ReferenceData!$O$113),"")</x:f>
        <x:v>8.3238479999999999</x:v>
      </x:c>
      <x:c r="P113">
        <x:f ca="1">IFERROR(IF(0=LEN(ReferenceData!$P$113),"",ReferenceData!$P$113),"")</x:f>
        <x:v>-8.2460950000000004</x:v>
      </x:c>
      <x:c r="Q113">
        <x:f ca="1">IFERROR(IF(0=LEN(ReferenceData!$Q$113),"",ReferenceData!$Q$113),"")</x:f>
        <x:v>-17.341607</x:v>
      </x:c>
      <x:c r="R113">
        <x:f ca="1">IFERROR(IF(0=LEN(ReferenceData!$R$113),"",ReferenceData!$R$113),"")</x:f>
        <x:v>-3.9341000000000001E-2</x:v>
      </x:c>
      <x:c r="S113">
        <x:f ca="1">IFERROR(IF(0=LEN(ReferenceData!$S$113),"",ReferenceData!$S$113),"")</x:f>
        <x:v>-4.371632</x:v>
      </x:c>
    </x:row>
    <x:row r="114" spans="1:19" x14ac:dyDescent="0.25">
      <x:c r="A114" t="str">
        <x:f>IFERROR(IF(0=LEN(ReferenceData!$A$114),"",ReferenceData!$A$114),"")</x:f>
        <x:v xml:space="preserve">        iShares U.S. Oil &amp; Gas Explora</x:v>
      </x:c>
      <x:c r="B114" t="str">
        <x:f>IFERROR(IF(0=LEN(ReferenceData!$B$114),"",ReferenceData!$B$114),"")</x:f>
        <x:v>IEO US Equity</x:v>
      </x:c>
      <x:c r="C114" t="str">
        <x:f>IFERROR(IF(0=LEN(ReferenceData!$C$114),"",ReferenceData!$C$114),"")</x:f>
        <x:v/>
      </x:c>
      <x:c r="D114" t="str">
        <x:f>IFERROR(IF(0=LEN(ReferenceData!$D$114),"",ReferenceData!$D$114),"")</x:f>
        <x:v/>
      </x:c>
      <x:c r="E114" t="str">
        <x:f>IFERROR(IF(0=LEN(ReferenceData!$E$114),"",ReferenceData!$E$114),"")</x:f>
        <x:v>Expression</x:v>
      </x:c>
      <x:c r="F114">
        <x:f ca="1">IFERROR(IF(0=LEN(ReferenceData!$F$114),"",ReferenceData!$F$114),"")</x:f>
        <x:v>-14.114858</x:v>
      </x:c>
      <x:c r="G114">
        <x:f ca="1">IFERROR(IF(0=LEN(ReferenceData!$G$114),"",ReferenceData!$G$114),"")</x:f>
        <x:v>22.508524999999999</x:v>
      </x:c>
      <x:c r="H114">
        <x:f ca="1">IFERROR(IF(0=LEN(ReferenceData!$H$114),"",ReferenceData!$H$114),"")</x:f>
        <x:v>190.62491299999999</x:v>
      </x:c>
      <x:c r="I114">
        <x:f ca="1">IFERROR(IF(0=LEN(ReferenceData!$I$114),"",ReferenceData!$I$114),"")</x:f>
        <x:v>14.583425</x:v>
      </x:c>
      <x:c r="J114">
        <x:f ca="1">IFERROR(IF(0=LEN(ReferenceData!$J$114),"",ReferenceData!$J$114),"")</x:f>
        <x:v>-9.2885650000000002</x:v>
      </x:c>
      <x:c r="K114">
        <x:f ca="1">IFERROR(IF(0=LEN(ReferenceData!$K$114),"",ReferenceData!$K$114),"")</x:f>
        <x:v>-28.922274999999999</x:v>
      </x:c>
      <x:c r="L114">
        <x:f ca="1">IFERROR(IF(0=LEN(ReferenceData!$L$114),"",ReferenceData!$L$114),"")</x:f>
        <x:v>-36.452804999999998</x:v>
      </x:c>
      <x:c r="M114">
        <x:f ca="1">IFERROR(IF(0=LEN(ReferenceData!$M$114),"",ReferenceData!$M$114),"")</x:f>
        <x:v>-34.778574999999996</x:v>
      </x:c>
      <x:c r="N114">
        <x:f ca="1">IFERROR(IF(0=LEN(ReferenceData!$N$114),"",ReferenceData!$N$114),"")</x:f>
        <x:v>-171.94240500000001</x:v>
      </x:c>
      <x:c r="O114">
        <x:f ca="1">IFERROR(IF(0=LEN(ReferenceData!$O$114),"",ReferenceData!$O$114),"")</x:f>
        <x:v>-44.716844999999999</x:v>
      </x:c>
      <x:c r="P114">
        <x:f ca="1">IFERROR(IF(0=LEN(ReferenceData!$P$114),"",ReferenceData!$P$114),"")</x:f>
        <x:v>-37.594320000000003</x:v>
      </x:c>
      <x:c r="Q114">
        <x:f ca="1">IFERROR(IF(0=LEN(ReferenceData!$Q$114),"",ReferenceData!$Q$114),"")</x:f>
        <x:v>-46.121519999999997</x:v>
      </x:c>
      <x:c r="R114">
        <x:f ca="1">IFERROR(IF(0=LEN(ReferenceData!$R$114),"",ReferenceData!$R$114),"")</x:f>
        <x:v>41.390124999999998</x:v>
      </x:c>
      <x:c r="S114">
        <x:f ca="1">IFERROR(IF(0=LEN(ReferenceData!$S$114),"",ReferenceData!$S$114),"")</x:f>
        <x:v>106.82722</x:v>
      </x:c>
    </x:row>
    <x:row r="115" spans="1:19" x14ac:dyDescent="0.25">
      <x:c r="A115" t="str">
        <x:f>IFERROR(IF(0=LEN(ReferenceData!$A$115),"",ReferenceData!$A$115),"")</x:f>
        <x:v xml:space="preserve">        First Trust Energy AlphaDEX Fu</x:v>
      </x:c>
      <x:c r="B115" t="str">
        <x:f>IFERROR(IF(0=LEN(ReferenceData!$B$115),"",ReferenceData!$B$115),"")</x:f>
        <x:v>FXN US Equity</x:v>
      </x:c>
      <x:c r="C115" t="str">
        <x:f>IFERROR(IF(0=LEN(ReferenceData!$C$115),"",ReferenceData!$C$115),"")</x:f>
        <x:v/>
      </x:c>
      <x:c r="D115" t="str">
        <x:f>IFERROR(IF(0=LEN(ReferenceData!$D$115),"",ReferenceData!$D$115),"")</x:f>
        <x:v/>
      </x:c>
      <x:c r="E115" t="str">
        <x:f>IFERROR(IF(0=LEN(ReferenceData!$E$115),"",ReferenceData!$E$115),"")</x:f>
        <x:v>Expression</x:v>
      </x:c>
      <x:c r="F115">
        <x:f ca="1">IFERROR(IF(0=LEN(ReferenceData!$F$115),"",ReferenceData!$F$115),"")</x:f>
        <x:v>-3.4145430000000001</x:v>
      </x:c>
      <x:c r="G115">
        <x:f ca="1">IFERROR(IF(0=LEN(ReferenceData!$G$115),"",ReferenceData!$G$115),"")</x:f>
        <x:v>26.363624999999999</x:v>
      </x:c>
      <x:c r="H115">
        <x:f ca="1">IFERROR(IF(0=LEN(ReferenceData!$H$115),"",ReferenceData!$H$115),"")</x:f>
        <x:v>40.051569999999998</x:v>
      </x:c>
      <x:c r="I115">
        <x:f ca="1">IFERROR(IF(0=LEN(ReferenceData!$I$115),"",ReferenceData!$I$115),"")</x:f>
        <x:v>31.346734000000001</x:v>
      </x:c>
      <x:c r="J115">
        <x:f ca="1">IFERROR(IF(0=LEN(ReferenceData!$J$115),"",ReferenceData!$J$115),"")</x:f>
        <x:v>-26.852499999999999</x:v>
      </x:c>
      <x:c r="K115">
        <x:f ca="1">IFERROR(IF(0=LEN(ReferenceData!$K$115),"",ReferenceData!$K$115),"")</x:f>
        <x:v>-38.448500000000003</x:v>
      </x:c>
      <x:c r="L115">
        <x:f ca="1">IFERROR(IF(0=LEN(ReferenceData!$L$115),"",ReferenceData!$L$115),"")</x:f>
        <x:v>-85.95</x:v>
      </x:c>
      <x:c r="M115">
        <x:f ca="1">IFERROR(IF(0=LEN(ReferenceData!$M$115),"",ReferenceData!$M$115),"")</x:f>
        <x:v>-59.838500000000003</x:v>
      </x:c>
      <x:c r="N115">
        <x:f ca="1">IFERROR(IF(0=LEN(ReferenceData!$N$115),"",ReferenceData!$N$115),"")</x:f>
        <x:v>-100.85899999999999</x:v>
      </x:c>
      <x:c r="O115">
        <x:f ca="1">IFERROR(IF(0=LEN(ReferenceData!$O$115),"",ReferenceData!$O$115),"")</x:f>
        <x:v>-1044.1199999999999</x:v>
      </x:c>
      <x:c r="P115">
        <x:f ca="1">IFERROR(IF(0=LEN(ReferenceData!$P$115),"",ReferenceData!$P$115),"")</x:f>
        <x:v>7.1341029999999996</x:v>
      </x:c>
      <x:c r="Q115">
        <x:f ca="1">IFERROR(IF(0=LEN(ReferenceData!$Q$115),"",ReferenceData!$Q$115),"")</x:f>
        <x:v>52.149973000000003</x:v>
      </x:c>
      <x:c r="R115">
        <x:f ca="1">IFERROR(IF(0=LEN(ReferenceData!$R$115),"",ReferenceData!$R$115),"")</x:f>
        <x:v>105.293786</x:v>
      </x:c>
      <x:c r="S115">
        <x:f ca="1">IFERROR(IF(0=LEN(ReferenceData!$S$115),"",ReferenceData!$S$115),"")</x:f>
        <x:v>23.427420999999999</x:v>
      </x:c>
    </x:row>
    <x:row r="116" spans="1:19" x14ac:dyDescent="0.25">
      <x:c r="A116" t="str">
        <x:f>IFERROR(IF(0=LEN(ReferenceData!$A$116),"",ReferenceData!$A$116),"")</x:f>
        <x:v xml:space="preserve">        SPDR S&amp;P Oil &amp; Gas Equipment &amp;</x:v>
      </x:c>
      <x:c r="B116" t="str">
        <x:f>IFERROR(IF(0=LEN(ReferenceData!$B$116),"",ReferenceData!$B$116),"")</x:f>
        <x:v>XES US Equity</x:v>
      </x:c>
      <x:c r="C116" t="str">
        <x:f>IFERROR(IF(0=LEN(ReferenceData!$C$116),"",ReferenceData!$C$116),"")</x:f>
        <x:v/>
      </x:c>
      <x:c r="D116" t="str">
        <x:f>IFERROR(IF(0=LEN(ReferenceData!$D$116),"",ReferenceData!$D$116),"")</x:f>
        <x:v/>
      </x:c>
      <x:c r="E116" t="str">
        <x:f>IFERROR(IF(0=LEN(ReferenceData!$E$116),"",ReferenceData!$E$116),"")</x:f>
        <x:v>Expression</x:v>
      </x:c>
      <x:c r="F116">
        <x:f ca="1">IFERROR(IF(0=LEN(ReferenceData!$F$116),"",ReferenceData!$F$116),"")</x:f>
        <x:v>-4.145804</x:v>
      </x:c>
      <x:c r="G116">
        <x:f ca="1">IFERROR(IF(0=LEN(ReferenceData!$G$116),"",ReferenceData!$G$116),"")</x:f>
        <x:v>27.514652999999999</x:v>
      </x:c>
      <x:c r="H116">
        <x:f ca="1">IFERROR(IF(0=LEN(ReferenceData!$H$116),"",ReferenceData!$H$116),"")</x:f>
        <x:v>63.577616999999996</x:v>
      </x:c>
      <x:c r="I116">
        <x:f ca="1">IFERROR(IF(0=LEN(ReferenceData!$I$116),"",ReferenceData!$I$116),"")</x:f>
        <x:v>23.402505000000001</x:v>
      </x:c>
      <x:c r="J116">
        <x:f ca="1">IFERROR(IF(0=LEN(ReferenceData!$J$116),"",ReferenceData!$J$116),"")</x:f>
        <x:v>13.845681000000001</x:v>
      </x:c>
      <x:c r="K116">
        <x:f ca="1">IFERROR(IF(0=LEN(ReferenceData!$K$116),"",ReferenceData!$K$116),"")</x:f>
        <x:v>-26.006893000000002</x:v>
      </x:c>
      <x:c r="L116">
        <x:f ca="1">IFERROR(IF(0=LEN(ReferenceData!$L$116),"",ReferenceData!$L$116),"")</x:f>
        <x:v>-34.549568999999998</x:v>
      </x:c>
      <x:c r="M116">
        <x:f ca="1">IFERROR(IF(0=LEN(ReferenceData!$M$116),"",ReferenceData!$M$116),"")</x:f>
        <x:v>-112.542213</x:v>
      </x:c>
      <x:c r="N116">
        <x:f ca="1">IFERROR(IF(0=LEN(ReferenceData!$N$116),"",ReferenceData!$N$116),"")</x:f>
        <x:v>-26.376576</x:v>
      </x:c>
      <x:c r="O116">
        <x:f ca="1">IFERROR(IF(0=LEN(ReferenceData!$O$116),"",ReferenceData!$O$116),"")</x:f>
        <x:v>177.03546299999999</x:v>
      </x:c>
      <x:c r="P116">
        <x:f ca="1">IFERROR(IF(0=LEN(ReferenceData!$P$116),"",ReferenceData!$P$116),"")</x:f>
        <x:v>25.272597999999999</x:v>
      </x:c>
      <x:c r="Q116">
        <x:f ca="1">IFERROR(IF(0=LEN(ReferenceData!$Q$116),"",ReferenceData!$Q$116),"")</x:f>
        <x:v>-7.7366109999999999</x:v>
      </x:c>
      <x:c r="R116">
        <x:f ca="1">IFERROR(IF(0=LEN(ReferenceData!$R$116),"",ReferenceData!$R$116),"")</x:f>
        <x:v>-47.495291999999999</x:v>
      </x:c>
      <x:c r="S116">
        <x:f ca="1">IFERROR(IF(0=LEN(ReferenceData!$S$116),"",ReferenceData!$S$116),"")</x:f>
        <x:v>69.680318</x:v>
      </x:c>
    </x:row>
    <x:row r="117" spans="1:19" x14ac:dyDescent="0.25">
      <x:c r="A117" t="str">
        <x:f>IFERROR(IF(0=LEN(ReferenceData!$A$117),"",ReferenceData!$A$117),"")</x:f>
        <x:v xml:space="preserve">        Global X MLP &amp; Energy Infrastr</x:v>
      </x:c>
      <x:c r="B117" t="str">
        <x:f>IFERROR(IF(0=LEN(ReferenceData!$B$117),"",ReferenceData!$B$117),"")</x:f>
        <x:v>MLPX US Equity</x:v>
      </x:c>
      <x:c r="C117" t="str">
        <x:f>IFERROR(IF(0=LEN(ReferenceData!$C$117),"",ReferenceData!$C$117),"")</x:f>
        <x:v/>
      </x:c>
      <x:c r="D117" t="str">
        <x:f>IFERROR(IF(0=LEN(ReferenceData!$D$117),"",ReferenceData!$D$117),"")</x:f>
        <x:v/>
      </x:c>
      <x:c r="E117" t="str">
        <x:f>IFERROR(IF(0=LEN(ReferenceData!$E$117),"",ReferenceData!$E$117),"")</x:f>
        <x:v>Expression</x:v>
      </x:c>
      <x:c r="F117">
        <x:f ca="1">IFERROR(IF(0=LEN(ReferenceData!$F$117),"",ReferenceData!$F$117),"")</x:f>
        <x:v>0.44019999999999998</x:v>
      </x:c>
      <x:c r="G117">
        <x:f ca="1">IFERROR(IF(0=LEN(ReferenceData!$G$117),"",ReferenceData!$G$117),"")</x:f>
        <x:v>-2.0207000000000002</x:v>
      </x:c>
      <x:c r="H117">
        <x:f ca="1">IFERROR(IF(0=LEN(ReferenceData!$H$117),"",ReferenceData!$H$117),"")</x:f>
        <x:v>-5.5590999999999999</x:v>
      </x:c>
      <x:c r="I117">
        <x:f ca="1">IFERROR(IF(0=LEN(ReferenceData!$I$117),"",ReferenceData!$I$117),"")</x:f>
        <x:v>-5.5423999999999998</x:v>
      </x:c>
      <x:c r="J117">
        <x:f ca="1">IFERROR(IF(0=LEN(ReferenceData!$J$117),"",ReferenceData!$J$117),"")</x:f>
        <x:v>-12.2119</x:v>
      </x:c>
      <x:c r="K117">
        <x:f ca="1">IFERROR(IF(0=LEN(ReferenceData!$K$117),"",ReferenceData!$K$117),"")</x:f>
        <x:v>-13.355399999999999</x:v>
      </x:c>
      <x:c r="L117">
        <x:f ca="1">IFERROR(IF(0=LEN(ReferenceData!$L$117),"",ReferenceData!$L$117),"")</x:f>
        <x:v>-14.151</x:v>
      </x:c>
      <x:c r="M117">
        <x:f ca="1">IFERROR(IF(0=LEN(ReferenceData!$M$117),"",ReferenceData!$M$117),"")</x:f>
        <x:v>3.6951999999999998</x:v>
      </x:c>
      <x:c r="N117">
        <x:f ca="1">IFERROR(IF(0=LEN(ReferenceData!$N$117),"",ReferenceData!$N$117),"")</x:f>
        <x:v>-40.778100000000002</x:v>
      </x:c>
      <x:c r="O117">
        <x:f ca="1">IFERROR(IF(0=LEN(ReferenceData!$O$117),"",ReferenceData!$O$117),"")</x:f>
        <x:v>-56.010599999999997</x:v>
      </x:c>
      <x:c r="P117">
        <x:f ca="1">IFERROR(IF(0=LEN(ReferenceData!$P$117),"",ReferenceData!$P$117),"")</x:f>
        <x:v>-7.0429000000000004</x:v>
      </x:c>
      <x:c r="Q117">
        <x:f ca="1">IFERROR(IF(0=LEN(ReferenceData!$Q$117),"",ReferenceData!$Q$117),"")</x:f>
        <x:v>37.726199999999999</x:v>
      </x:c>
      <x:c r="R117">
        <x:f ca="1">IFERROR(IF(0=LEN(ReferenceData!$R$117),"",ReferenceData!$R$117),"")</x:f>
        <x:v>9.8768999999999991</x:v>
      </x:c>
      <x:c r="S117">
        <x:f ca="1">IFERROR(IF(0=LEN(ReferenceData!$S$117),"",ReferenceData!$S$117),"")</x:f>
        <x:v>26.324000000000002</x:v>
      </x:c>
    </x:row>
    <x:row r="118" spans="1:19" x14ac:dyDescent="0.25">
      <x:c r="A118" t="str">
        <x:f>IFERROR(IF(0=LEN(ReferenceData!$A$118),"",ReferenceData!$A$118),"")</x:f>
        <x:v xml:space="preserve">        iShares U.S. Oil Equipment &amp; S</x:v>
      </x:c>
      <x:c r="B118" t="str">
        <x:f>IFERROR(IF(0=LEN(ReferenceData!$B$118),"",ReferenceData!$B$118),"")</x:f>
        <x:v>IEZ US Equity</x:v>
      </x:c>
      <x:c r="C118" t="str">
        <x:f>IFERROR(IF(0=LEN(ReferenceData!$C$118),"",ReferenceData!$C$118),"")</x:f>
        <x:v/>
      </x:c>
      <x:c r="D118" t="str">
        <x:f>IFERROR(IF(0=LEN(ReferenceData!$D$118),"",ReferenceData!$D$118),"")</x:f>
        <x:v/>
      </x:c>
      <x:c r="E118" t="str">
        <x:f>IFERROR(IF(0=LEN(ReferenceData!$E$118),"",ReferenceData!$E$118),"")</x:f>
        <x:v>Expression</x:v>
      </x:c>
      <x:c r="F118">
        <x:f ca="1">IFERROR(IF(0=LEN(ReferenceData!$F$118),"",ReferenceData!$F$118),"")</x:f>
        <x:v>25.345737</x:v>
      </x:c>
      <x:c r="G118">
        <x:f ca="1">IFERROR(IF(0=LEN(ReferenceData!$G$118),"",ReferenceData!$G$118),"")</x:f>
        <x:v>8.3841859999999997</x:v>
      </x:c>
      <x:c r="H118">
        <x:f ca="1">IFERROR(IF(0=LEN(ReferenceData!$H$118),"",ReferenceData!$H$118),"")</x:f>
        <x:v>141.32216399999999</x:v>
      </x:c>
      <x:c r="I118">
        <x:f ca="1">IFERROR(IF(0=LEN(ReferenceData!$I$118),"",ReferenceData!$I$118),"")</x:f>
        <x:v>-1.28624</x:v>
      </x:c>
      <x:c r="J118">
        <x:f ca="1">IFERROR(IF(0=LEN(ReferenceData!$J$118),"",ReferenceData!$J$118),"")</x:f>
        <x:v>-6.6161849999999998</x:v>
      </x:c>
      <x:c r="K118">
        <x:f ca="1">IFERROR(IF(0=LEN(ReferenceData!$K$118),"",ReferenceData!$K$118),"")</x:f>
        <x:v>-15.104305</x:v>
      </x:c>
      <x:c r="L118">
        <x:f ca="1">IFERROR(IF(0=LEN(ReferenceData!$L$118),"",ReferenceData!$L$118),"")</x:f>
        <x:v>-2.6716150000000001</x:v>
      </x:c>
      <x:c r="M118">
        <x:f ca="1">IFERROR(IF(0=LEN(ReferenceData!$M$118),"",ReferenceData!$M$118),"")</x:f>
        <x:v>-30.561235</x:v>
      </x:c>
      <x:c r="N118">
        <x:f ca="1">IFERROR(IF(0=LEN(ReferenceData!$N$118),"",ReferenceData!$N$118),"")</x:f>
        <x:v>-143.06069500000001</x:v>
      </x:c>
      <x:c r="O118">
        <x:f ca="1">IFERROR(IF(0=LEN(ReferenceData!$O$118),"",ReferenceData!$O$118),"")</x:f>
        <x:v>17.99614</x:v>
      </x:c>
      <x:c r="P118">
        <x:f ca="1">IFERROR(IF(0=LEN(ReferenceData!$P$118),"",ReferenceData!$P$118),"")</x:f>
        <x:v>40.759830000000001</x:v>
      </x:c>
      <x:c r="Q118">
        <x:f ca="1">IFERROR(IF(0=LEN(ReferenceData!$Q$118),"",ReferenceData!$Q$118),"")</x:f>
        <x:v>20.387630000000001</x:v>
      </x:c>
      <x:c r="R118">
        <x:f ca="1">IFERROR(IF(0=LEN(ReferenceData!$R$118),"",ReferenceData!$R$118),"")</x:f>
        <x:v>91.890005000000002</x:v>
      </x:c>
      <x:c r="S118">
        <x:f ca="1">IFERROR(IF(0=LEN(ReferenceData!$S$118),"",ReferenceData!$S$118),"")</x:f>
        <x:v>39.861395000000002</x:v>
      </x:c>
    </x:row>
    <x:row r="119" spans="1:19" x14ac:dyDescent="0.25">
      <x:c r="A119" t="str">
        <x:f>IFERROR(IF(0=LEN(ReferenceData!$A$119),"",ReferenceData!$A$119),"")</x:f>
        <x:v xml:space="preserve">        Invesco Solar ETF</x:v>
      </x:c>
      <x:c r="B119" t="str">
        <x:f>IFERROR(IF(0=LEN(ReferenceData!$B$119),"",ReferenceData!$B$119),"")</x:f>
        <x:v>TAN US Equity</x:v>
      </x:c>
      <x:c r="C119" t="str">
        <x:f>IFERROR(IF(0=LEN(ReferenceData!$C$119),"",ReferenceData!$C$119),"")</x:f>
        <x:v/>
      </x:c>
      <x:c r="D119" t="str">
        <x:f>IFERROR(IF(0=LEN(ReferenceData!$D$119),"",ReferenceData!$D$119),"")</x:f>
        <x:v/>
      </x:c>
      <x:c r="E119" t="str">
        <x:f>IFERROR(IF(0=LEN(ReferenceData!$E$119),"",ReferenceData!$E$119),"")</x:f>
        <x:v>Expression</x:v>
      </x:c>
      <x:c r="F119">
        <x:f ca="1">IFERROR(IF(0=LEN(ReferenceData!$F$119),"",ReferenceData!$F$119),"")</x:f>
        <x:v>14.546950000000001</x:v>
      </x:c>
      <x:c r="G119">
        <x:f ca="1">IFERROR(IF(0=LEN(ReferenceData!$G$119),"",ReferenceData!$G$119),"")</x:f>
        <x:v>4.0706319999999998</x:v>
      </x:c>
      <x:c r="H119">
        <x:f ca="1">IFERROR(IF(0=LEN(ReferenceData!$H$119),"",ReferenceData!$H$119),"")</x:f>
        <x:v>13.216526</x:v>
      </x:c>
      <x:c r="I119">
        <x:f ca="1">IFERROR(IF(0=LEN(ReferenceData!$I$119),"",ReferenceData!$I$119),"")</x:f>
        <x:v>-60.217519000000003</x:v>
      </x:c>
      <x:c r="J119">
        <x:f ca="1">IFERROR(IF(0=LEN(ReferenceData!$J$119),"",ReferenceData!$J$119),"")</x:f>
        <x:v>-16.232810000000001</x:v>
      </x:c>
      <x:c r="K119">
        <x:f ca="1">IFERROR(IF(0=LEN(ReferenceData!$K$119),"",ReferenceData!$K$119),"")</x:f>
        <x:v>17.295117000000001</x:v>
      </x:c>
      <x:c r="L119">
        <x:f ca="1">IFERROR(IF(0=LEN(ReferenceData!$L$119),"",ReferenceData!$L$119),"")</x:f>
        <x:v>-73.446470000000005</x:v>
      </x:c>
      <x:c r="M119">
        <x:f ca="1">IFERROR(IF(0=LEN(ReferenceData!$M$119),"",ReferenceData!$M$119),"")</x:f>
        <x:v>-65.425025000000005</x:v>
      </x:c>
      <x:c r="N119">
        <x:f ca="1">IFERROR(IF(0=LEN(ReferenceData!$N$119),"",ReferenceData!$N$119),"")</x:f>
        <x:v>-23.446290000000001</x:v>
      </x:c>
      <x:c r="O119">
        <x:f ca="1">IFERROR(IF(0=LEN(ReferenceData!$O$119),"",ReferenceData!$O$119),"")</x:f>
        <x:v>-68.449393000000001</x:v>
      </x:c>
      <x:c r="P119">
        <x:f ca="1">IFERROR(IF(0=LEN(ReferenceData!$P$119),"",ReferenceData!$P$119),"")</x:f>
        <x:v>-36.098858999999997</x:v>
      </x:c>
      <x:c r="Q119">
        <x:f ca="1">IFERROR(IF(0=LEN(ReferenceData!$Q$119),"",ReferenceData!$Q$119),"")</x:f>
        <x:v>-121.945233</x:v>
      </x:c>
      <x:c r="R119">
        <x:f ca="1">IFERROR(IF(0=LEN(ReferenceData!$R$119),"",ReferenceData!$R$119),"")</x:f>
        <x:v>213.53755100000001</x:v>
      </x:c>
      <x:c r="S119">
        <x:f ca="1">IFERROR(IF(0=LEN(ReferenceData!$S$119),"",ReferenceData!$S$119),"")</x:f>
        <x:v>-211.02170699999999</x:v>
      </x:c>
    </x:row>
    <x:row r="120" spans="1:19" x14ac:dyDescent="0.25">
      <x:c r="A120" t="str">
        <x:f>IFERROR(IF(0=LEN(ReferenceData!$A$120),"",ReferenceData!$A$120),"")</x:f>
        <x:v xml:space="preserve">        Invesco S&amp;P 500 Equal Weight E</x:v>
      </x:c>
      <x:c r="B120" t="str">
        <x:f>IFERROR(IF(0=LEN(ReferenceData!$B$120),"",ReferenceData!$B$120),"")</x:f>
        <x:v>RYE US Equity</x:v>
      </x:c>
      <x:c r="C120" t="str">
        <x:f>IFERROR(IF(0=LEN(ReferenceData!$C$120),"",ReferenceData!$C$120),"")</x:f>
        <x:v/>
      </x:c>
      <x:c r="D120" t="str">
        <x:f>IFERROR(IF(0=LEN(ReferenceData!$D$120),"",ReferenceData!$D$120),"")</x:f>
        <x:v/>
      </x:c>
      <x:c r="E120" t="str">
        <x:f>IFERROR(IF(0=LEN(ReferenceData!$E$120),"",ReferenceData!$E$120),"")</x:f>
        <x:v>Expression</x:v>
      </x:c>
      <x:c r="F120">
        <x:f ca="1">IFERROR(IF(0=LEN(ReferenceData!$F$120),"",ReferenceData!$F$120),"")</x:f>
        <x:v>-8.5874430000000004</x:v>
      </x:c>
      <x:c r="G120">
        <x:f ca="1">IFERROR(IF(0=LEN(ReferenceData!$G$120),"",ReferenceData!$G$120),"")</x:f>
        <x:v>33.387506999999999</x:v>
      </x:c>
      <x:c r="H120">
        <x:f ca="1">IFERROR(IF(0=LEN(ReferenceData!$H$120),"",ReferenceData!$H$120),"")</x:f>
        <x:v>41.753492000000001</x:v>
      </x:c>
      <x:c r="I120">
        <x:f ca="1">IFERROR(IF(0=LEN(ReferenceData!$I$120),"",ReferenceData!$I$120),"")</x:f>
        <x:v>0.44579800000000003</x:v>
      </x:c>
      <x:c r="J120">
        <x:f ca="1">IFERROR(IF(0=LEN(ReferenceData!$J$120),"",ReferenceData!$J$120),"")</x:f>
        <x:v>9.3382260000000006</x:v>
      </x:c>
      <x:c r="K120">
        <x:f ca="1">IFERROR(IF(0=LEN(ReferenceData!$K$120),"",ReferenceData!$K$120),"")</x:f>
        <x:v>-17.561097</x:v>
      </x:c>
      <x:c r="L120" t="str">
        <x:f ca="1">IFERROR(IF(0=LEN(ReferenceData!$L$120),"",ReferenceData!$L$120),"")</x:f>
        <x:v/>
      </x:c>
      <x:c r="M120" t="str">
        <x:f ca="1">IFERROR(IF(0=LEN(ReferenceData!$M$120),"",ReferenceData!$M$120),"")</x:f>
        <x:v/>
      </x:c>
      <x:c r="N120" t="str">
        <x:f ca="1">IFERROR(IF(0=LEN(ReferenceData!$N$120),"",ReferenceData!$N$120),"")</x:f>
        <x:v/>
      </x:c>
      <x:c r="O120" t="str">
        <x:f ca="1">IFERROR(IF(0=LEN(ReferenceData!$O$120),"",ReferenceData!$O$120),"")</x:f>
        <x:v/>
      </x:c>
      <x:c r="P120" t="str">
        <x:f ca="1">IFERROR(IF(0=LEN(ReferenceData!$P$120),"",ReferenceData!$P$120),"")</x:f>
        <x:v/>
      </x:c>
      <x:c r="Q120" t="str">
        <x:f ca="1">IFERROR(IF(0=LEN(ReferenceData!$Q$120),"",ReferenceData!$Q$120),"")</x:f>
        <x:v/>
      </x:c>
      <x:c r="R120" t="str">
        <x:f ca="1">IFERROR(IF(0=LEN(ReferenceData!$R$120),"",ReferenceData!$R$120),"")</x:f>
        <x:v/>
      </x:c>
      <x:c r="S120" t="str">
        <x:f ca="1">IFERROR(IF(0=LEN(ReferenceData!$S$120),"",ReferenceData!$S$120),"")</x:f>
        <x:v/>
      </x:c>
    </x:row>
    <x:row r="121" spans="1:19" x14ac:dyDescent="0.25">
      <x:c r="A121" t="str">
        <x:f>IFERROR(IF(0=LEN(ReferenceData!$A$121),"",ReferenceData!$A$121),"")</x:f>
        <x:v xml:space="preserve">        First Trust Natural Gas ETF</x:v>
      </x:c>
      <x:c r="B121" t="str">
        <x:f>IFERROR(IF(0=LEN(ReferenceData!$B$121),"",ReferenceData!$B$121),"")</x:f>
        <x:v>FCG US Equity</x:v>
      </x:c>
      <x:c r="C121" t="str">
        <x:f>IFERROR(IF(0=LEN(ReferenceData!$C$121),"",ReferenceData!$C$121),"")</x:f>
        <x:v/>
      </x:c>
      <x:c r="D121" t="str">
        <x:f>IFERROR(IF(0=LEN(ReferenceData!$D$121),"",ReferenceData!$D$121),"")</x:f>
        <x:v/>
      </x:c>
      <x:c r="E121" t="str">
        <x:f>IFERROR(IF(0=LEN(ReferenceData!$E$121),"",ReferenceData!$E$121),"")</x:f>
        <x:v>Expression</x:v>
      </x:c>
      <x:c r="F121">
        <x:f ca="1">IFERROR(IF(0=LEN(ReferenceData!$F$121),"",ReferenceData!$F$121),"")</x:f>
        <x:v>-5.1054919999999999</x:v>
      </x:c>
      <x:c r="G121">
        <x:f ca="1">IFERROR(IF(0=LEN(ReferenceData!$G$121),"",ReferenceData!$G$121),"")</x:f>
        <x:v>8.1277080000000002</x:v>
      </x:c>
      <x:c r="H121">
        <x:f ca="1">IFERROR(IF(0=LEN(ReferenceData!$H$121),"",ReferenceData!$H$121),"")</x:f>
        <x:v>-19.113720000000001</x:v>
      </x:c>
      <x:c r="I121">
        <x:f ca="1">IFERROR(IF(0=LEN(ReferenceData!$I$121),"",ReferenceData!$I$121),"")</x:f>
        <x:v>-4.0525169999999999</x:v>
      </x:c>
      <x:c r="J121">
        <x:f ca="1">IFERROR(IF(0=LEN(ReferenceData!$J$121),"",ReferenceData!$J$121),"")</x:f>
        <x:v>-4.7065000000000001</x:v>
      </x:c>
      <x:c r="K121">
        <x:f ca="1">IFERROR(IF(0=LEN(ReferenceData!$K$121),"",ReferenceData!$K$121),"")</x:f>
        <x:v>-19.425999999999998</x:v>
      </x:c>
      <x:c r="L121">
        <x:f ca="1">IFERROR(IF(0=LEN(ReferenceData!$L$121),"",ReferenceData!$L$121),"")</x:f>
        <x:v>-25.295999999999999</x:v>
      </x:c>
      <x:c r="M121">
        <x:f ca="1">IFERROR(IF(0=LEN(ReferenceData!$M$121),"",ReferenceData!$M$121),"")</x:f>
        <x:v>-12.814</x:v>
      </x:c>
      <x:c r="N121">
        <x:f ca="1">IFERROR(IF(0=LEN(ReferenceData!$N$121),"",ReferenceData!$N$121),"")</x:f>
        <x:v>-60.902999999999999</x:v>
      </x:c>
      <x:c r="O121">
        <x:f ca="1">IFERROR(IF(0=LEN(ReferenceData!$O$121),"",ReferenceData!$O$121),"")</x:f>
        <x:v>-144.04650000000001</x:v>
      </x:c>
      <x:c r="P121">
        <x:f ca="1">IFERROR(IF(0=LEN(ReferenceData!$P$121),"",ReferenceData!$P$121),"")</x:f>
        <x:v>-75.080938000000003</x:v>
      </x:c>
      <x:c r="Q121">
        <x:f ca="1">IFERROR(IF(0=LEN(ReferenceData!$Q$121),"",ReferenceData!$Q$121),"")</x:f>
        <x:v>-36.501539999999999</x:v>
      </x:c>
      <x:c r="R121">
        <x:f ca="1">IFERROR(IF(0=LEN(ReferenceData!$R$121),"",ReferenceData!$R$121),"")</x:f>
        <x:v>4.0887339999999996</x:v>
      </x:c>
      <x:c r="S121">
        <x:f ca="1">IFERROR(IF(0=LEN(ReferenceData!$S$121),"",ReferenceData!$S$121),"")</x:f>
        <x:v>58.117660999999998</x:v>
      </x:c>
    </x:row>
    <x:row r="122" spans="1:19" x14ac:dyDescent="0.25">
      <x:c r="A122" t="str">
        <x:f>IFERROR(IF(0=LEN(ReferenceData!$A$122),"",ReferenceData!$A$122),"")</x:f>
        <x:v xml:space="preserve">        Direxion Daily S&amp;P Oil &amp; Gas E</x:v>
      </x:c>
      <x:c r="B122" t="str">
        <x:f>IFERROR(IF(0=LEN(ReferenceData!$B$122),"",ReferenceData!$B$122),"")</x:f>
        <x:v>GUSH US Equity</x:v>
      </x:c>
      <x:c r="C122" t="str">
        <x:f>IFERROR(IF(0=LEN(ReferenceData!$C$122),"",ReferenceData!$C$122),"")</x:f>
        <x:v/>
      </x:c>
      <x:c r="D122" t="str">
        <x:f>IFERROR(IF(0=LEN(ReferenceData!$D$122),"",ReferenceData!$D$122),"")</x:f>
        <x:v/>
      </x:c>
      <x:c r="E122" t="str">
        <x:f>IFERROR(IF(0=LEN(ReferenceData!$E$122),"",ReferenceData!$E$122),"")</x:f>
        <x:v>Expression</x:v>
      </x:c>
      <x:c r="F122">
        <x:f ca="1">IFERROR(IF(0=LEN(ReferenceData!$F$122),"",ReferenceData!$F$122),"")</x:f>
        <x:v>21.494423999999999</x:v>
      </x:c>
      <x:c r="G122">
        <x:f ca="1">IFERROR(IF(0=LEN(ReferenceData!$G$122),"",ReferenceData!$G$122),"")</x:f>
        <x:v>-22.364812000000001</x:v>
      </x:c>
      <x:c r="H122">
        <x:f ca="1">IFERROR(IF(0=LEN(ReferenceData!$H$122),"",ReferenceData!$H$122),"")</x:f>
        <x:v>-38.110346999999997</x:v>
      </x:c>
      <x:c r="I122">
        <x:f ca="1">IFERROR(IF(0=LEN(ReferenceData!$I$122),"",ReferenceData!$I$122),"")</x:f>
        <x:v>-62.512942000000002</x:v>
      </x:c>
      <x:c r="J122">
        <x:f ca="1">IFERROR(IF(0=LEN(ReferenceData!$J$122),"",ReferenceData!$J$122),"")</x:f>
        <x:v>-35.309828000000003</x:v>
      </x:c>
      <x:c r="K122">
        <x:f ca="1">IFERROR(IF(0=LEN(ReferenceData!$K$122),"",ReferenceData!$K$122),"")</x:f>
        <x:v>-71.911817999999997</x:v>
      </x:c>
      <x:c r="L122">
        <x:f ca="1">IFERROR(IF(0=LEN(ReferenceData!$L$122),"",ReferenceData!$L$122),"")</x:f>
        <x:v>34.696022999999997</x:v>
      </x:c>
      <x:c r="M122">
        <x:f ca="1">IFERROR(IF(0=LEN(ReferenceData!$M$122),"",ReferenceData!$M$122),"")</x:f>
        <x:v>-34.952911999999998</x:v>
      </x:c>
      <x:c r="N122">
        <x:f ca="1">IFERROR(IF(0=LEN(ReferenceData!$N$122),"",ReferenceData!$N$122),"")</x:f>
        <x:v>49.112012999999997</x:v>
      </x:c>
      <x:c r="O122">
        <x:f ca="1">IFERROR(IF(0=LEN(ReferenceData!$O$122),"",ReferenceData!$O$122),"")</x:f>
        <x:v>51.822786000000001</x:v>
      </x:c>
      <x:c r="P122">
        <x:f ca="1">IFERROR(IF(0=LEN(ReferenceData!$P$122),"",ReferenceData!$P$122),"")</x:f>
        <x:v>-34.956910999999998</x:v>
      </x:c>
      <x:c r="Q122">
        <x:f ca="1">IFERROR(IF(0=LEN(ReferenceData!$Q$122),"",ReferenceData!$Q$122),"")</x:f>
        <x:v>50.566268000000001</x:v>
      </x:c>
      <x:c r="R122">
        <x:f ca="1">IFERROR(IF(0=LEN(ReferenceData!$R$122),"",ReferenceData!$R$122),"")</x:f>
        <x:v>-14.639507</x:v>
      </x:c>
      <x:c r="S122">
        <x:f ca="1">IFERROR(IF(0=LEN(ReferenceData!$S$122),"",ReferenceData!$S$122),"")</x:f>
        <x:v>-95.164015000000006</x:v>
      </x:c>
    </x:row>
    <x:row r="123" spans="1:19" x14ac:dyDescent="0.25">
      <x:c r="A123" t="str">
        <x:f>IFERROR(IF(0=LEN(ReferenceData!$A$123),"",ReferenceData!$A$123),"")</x:f>
        <x:v xml:space="preserve">        ProShares Ultra Energy</x:v>
      </x:c>
      <x:c r="B123" t="str">
        <x:f>IFERROR(IF(0=LEN(ReferenceData!$B$123),"",ReferenceData!$B$123),"")</x:f>
        <x:v>DIG US Equity</x:v>
      </x:c>
      <x:c r="C123" t="str">
        <x:f>IFERROR(IF(0=LEN(ReferenceData!$C$123),"",ReferenceData!$C$123),"")</x:f>
        <x:v/>
      </x:c>
      <x:c r="D123" t="str">
        <x:f>IFERROR(IF(0=LEN(ReferenceData!$D$123),"",ReferenceData!$D$123),"")</x:f>
        <x:v/>
      </x:c>
      <x:c r="E123" t="str">
        <x:f>IFERROR(IF(0=LEN(ReferenceData!$E$123),"",ReferenceData!$E$123),"")</x:f>
        <x:v>Expression</x:v>
      </x:c>
      <x:c r="F123">
        <x:f ca="1">IFERROR(IF(0=LEN(ReferenceData!$F$123),"",ReferenceData!$F$123),"")</x:f>
        <x:v>-3.6593399999999998</x:v>
      </x:c>
      <x:c r="G123">
        <x:f ca="1">IFERROR(IF(0=LEN(ReferenceData!$G$123),"",ReferenceData!$G$123),"")</x:f>
        <x:v>0</x:v>
      </x:c>
      <x:c r="H123">
        <x:f ca="1">IFERROR(IF(0=LEN(ReferenceData!$H$123),"",ReferenceData!$H$123),"")</x:f>
        <x:v>-4.6076699999999997</x:v>
      </x:c>
      <x:c r="I123">
        <x:f ca="1">IFERROR(IF(0=LEN(ReferenceData!$I$123),"",ReferenceData!$I$123),"")</x:f>
        <x:v>-2.050335</x:v>
      </x:c>
      <x:c r="J123">
        <x:f ca="1">IFERROR(IF(0=LEN(ReferenceData!$J$123),"",ReferenceData!$J$123),"")</x:f>
        <x:v>-1.85466</x:v>
      </x:c>
      <x:c r="K123">
        <x:f ca="1">IFERROR(IF(0=LEN(ReferenceData!$K$123),"",ReferenceData!$K$123),"")</x:f>
        <x:v>-7.1933199999999999</x:v>
      </x:c>
      <x:c r="L123">
        <x:f ca="1">IFERROR(IF(0=LEN(ReferenceData!$L$123),"",ReferenceData!$L$123),"")</x:f>
        <x:v>3.0892200000000001</x:v>
      </x:c>
      <x:c r="M123">
        <x:f ca="1">IFERROR(IF(0=LEN(ReferenceData!$M$123),"",ReferenceData!$M$123),"")</x:f>
        <x:v>-5.9987000000000004</x:v>
      </x:c>
      <x:c r="N123">
        <x:f ca="1">IFERROR(IF(0=LEN(ReferenceData!$N$123),"",ReferenceData!$N$123),"")</x:f>
        <x:v>1.0414099999999999</x:v>
      </x:c>
      <x:c r="O123">
        <x:f ca="1">IFERROR(IF(0=LEN(ReferenceData!$O$123),"",ReferenceData!$O$123),"")</x:f>
        <x:v>-8.2622</x:v>
      </x:c>
      <x:c r="P123">
        <x:f ca="1">IFERROR(IF(0=LEN(ReferenceData!$P$123),"",ReferenceData!$P$123),"")</x:f>
        <x:v>5.8494400000000004</x:v>
      </x:c>
      <x:c r="Q123">
        <x:f ca="1">IFERROR(IF(0=LEN(ReferenceData!$Q$123),"",ReferenceData!$Q$123),"")</x:f>
        <x:v>-8.1074350000000006</x:v>
      </x:c>
      <x:c r="R123">
        <x:f ca="1">IFERROR(IF(0=LEN(ReferenceData!$R$123),"",ReferenceData!$R$123),"")</x:f>
        <x:v>-6.8763050000000003</x:v>
      </x:c>
      <x:c r="S123">
        <x:f ca="1">IFERROR(IF(0=LEN(ReferenceData!$S$123),"",ReferenceData!$S$123),"")</x:f>
        <x:v>-9.941675</x:v>
      </x:c>
    </x:row>
    <x:row r="124" spans="1:19" x14ac:dyDescent="0.25">
      <x:c r="A124" t="str">
        <x:f>IFERROR(IF(0=LEN(ReferenceData!$A$124),"",ReferenceData!$A$124),"")</x:f>
        <x:v xml:space="preserve">        C-Tracks ETNs based on Perform</x:v>
      </x:c>
      <x:c r="B124" t="str">
        <x:f>IFERROR(IF(0=LEN(ReferenceData!$B$124),"",ReferenceData!$B$124),"")</x:f>
        <x:v>MLPC US Equity</x:v>
      </x:c>
      <x:c r="C124" t="str">
        <x:f>IFERROR(IF(0=LEN(ReferenceData!$C$124),"",ReferenceData!$C$124),"")</x:f>
        <x:v/>
      </x:c>
      <x:c r="D124" t="str">
        <x:f>IFERROR(IF(0=LEN(ReferenceData!$D$124),"",ReferenceData!$D$124),"")</x:f>
        <x:v/>
      </x:c>
      <x:c r="E124" t="str">
        <x:f>IFERROR(IF(0=LEN(ReferenceData!$E$124),"",ReferenceData!$E$124),"")</x:f>
        <x:v>Expression</x:v>
      </x:c>
      <x:c r="F124" t="str">
        <x:f ca="1">IFERROR(IF(0=LEN(ReferenceData!$F$124),"",ReferenceData!$F$124),"")</x:f>
        <x:v/>
      </x:c>
      <x:c r="G124" t="str">
        <x:f ca="1">IFERROR(IF(0=LEN(ReferenceData!$G$124),"",ReferenceData!$G$124),"")</x:f>
        <x:v/>
      </x:c>
      <x:c r="H124" t="str">
        <x:f ca="1">IFERROR(IF(0=LEN(ReferenceData!$H$124),"",ReferenceData!$H$124),"")</x:f>
        <x:v/>
      </x:c>
      <x:c r="I124" t="str">
        <x:f ca="1">IFERROR(IF(0=LEN(ReferenceData!$I$124),"",ReferenceData!$I$124),"")</x:f>
        <x:v/>
      </x:c>
      <x:c r="J124" t="str">
        <x:f ca="1">IFERROR(IF(0=LEN(ReferenceData!$J$124),"",ReferenceData!$J$124),"")</x:f>
        <x:v/>
      </x:c>
      <x:c r="K124" t="str">
        <x:f ca="1">IFERROR(IF(0=LEN(ReferenceData!$K$124),"",ReferenceData!$K$124),"")</x:f>
        <x:v/>
      </x:c>
      <x:c r="L124" t="str">
        <x:f ca="1">IFERROR(IF(0=LEN(ReferenceData!$L$124),"",ReferenceData!$L$124),"")</x:f>
        <x:v/>
      </x:c>
      <x:c r="M124" t="str">
        <x:f ca="1">IFERROR(IF(0=LEN(ReferenceData!$M$124),"",ReferenceData!$M$124),"")</x:f>
        <x:v/>
      </x:c>
      <x:c r="N124" t="str">
        <x:f ca="1">IFERROR(IF(0=LEN(ReferenceData!$N$124),"",ReferenceData!$N$124),"")</x:f>
        <x:v/>
      </x:c>
      <x:c r="O124" t="str">
        <x:f ca="1">IFERROR(IF(0=LEN(ReferenceData!$O$124),"",ReferenceData!$O$124),"")</x:f>
        <x:v/>
      </x:c>
      <x:c r="P124" t="str">
        <x:f ca="1">IFERROR(IF(0=LEN(ReferenceData!$P$124),"",ReferenceData!$P$124),"")</x:f>
        <x:v/>
      </x:c>
      <x:c r="Q124" t="str">
        <x:f ca="1">IFERROR(IF(0=LEN(ReferenceData!$Q$124),"",ReferenceData!$Q$124),"")</x:f>
        <x:v/>
      </x:c>
      <x:c r="R124" t="str">
        <x:f ca="1">IFERROR(IF(0=LEN(ReferenceData!$R$124),"",ReferenceData!$R$124),"")</x:f>
        <x:v/>
      </x:c>
      <x:c r="S124" t="str">
        <x:f ca="1">IFERROR(IF(0=LEN(ReferenceData!$S$124),"",ReferenceData!$S$124),"")</x:f>
        <x:v/>
      </x:c>
    </x:row>
    <x:row r="125" spans="1:19" x14ac:dyDescent="0.25">
      <x:c r="A125" t="str">
        <x:f>IFERROR(IF(0=LEN(ReferenceData!$A$125),"",ReferenceData!$A$125),"")</x:f>
        <x:v xml:space="preserve">        Invesco DWA Energy Momentum ET</x:v>
      </x:c>
      <x:c r="B125" t="str">
        <x:f>IFERROR(IF(0=LEN(ReferenceData!$B$125),"",ReferenceData!$B$125),"")</x:f>
        <x:v>PXI US Equity</x:v>
      </x:c>
      <x:c r="C125" t="str">
        <x:f>IFERROR(IF(0=LEN(ReferenceData!$C$125),"",ReferenceData!$C$125),"")</x:f>
        <x:v/>
      </x:c>
      <x:c r="D125" t="str">
        <x:f>IFERROR(IF(0=LEN(ReferenceData!$D$125),"",ReferenceData!$D$125),"")</x:f>
        <x:v/>
      </x:c>
      <x:c r="E125" t="str">
        <x:f>IFERROR(IF(0=LEN(ReferenceData!$E$125),"",ReferenceData!$E$125),"")</x:f>
        <x:v>Expression</x:v>
      </x:c>
      <x:c r="F125">
        <x:f ca="1">IFERROR(IF(0=LEN(ReferenceData!$F$125),"",ReferenceData!$F$125),"")</x:f>
        <x:v>-10.514735999999999</x:v>
      </x:c>
      <x:c r="G125">
        <x:f ca="1">IFERROR(IF(0=LEN(ReferenceData!$G$125),"",ReferenceData!$G$125),"")</x:f>
        <x:v>-3.4201860000000002</x:v>
      </x:c>
      <x:c r="H125">
        <x:f ca="1">IFERROR(IF(0=LEN(ReferenceData!$H$125),"",ReferenceData!$H$125),"")</x:f>
        <x:v>32.933768000000001</x:v>
      </x:c>
      <x:c r="I125">
        <x:f ca="1">IFERROR(IF(0=LEN(ReferenceData!$I$125),"",ReferenceData!$I$125),"")</x:f>
        <x:v>-1.310656</x:v>
      </x:c>
      <x:c r="J125">
        <x:f ca="1">IFERROR(IF(0=LEN(ReferenceData!$J$125),"",ReferenceData!$J$125),"")</x:f>
        <x:v>4.6033929999999996</x:v>
      </x:c>
      <x:c r="K125">
        <x:f ca="1">IFERROR(IF(0=LEN(ReferenceData!$K$125),"",ReferenceData!$K$125),"")</x:f>
        <x:v>-6.5885150000000001</x:v>
      </x:c>
      <x:c r="L125">
        <x:f ca="1">IFERROR(IF(0=LEN(ReferenceData!$L$125),"",ReferenceData!$L$125),"")</x:f>
        <x:v>-13.478782000000001</x:v>
      </x:c>
      <x:c r="M125">
        <x:f ca="1">IFERROR(IF(0=LEN(ReferenceData!$M$125),"",ReferenceData!$M$125),"")</x:f>
        <x:v>-34.814821000000002</x:v>
      </x:c>
      <x:c r="N125">
        <x:f ca="1">IFERROR(IF(0=LEN(ReferenceData!$N$125),"",ReferenceData!$N$125),"")</x:f>
        <x:v>-5.1721789999999999</x:v>
      </x:c>
      <x:c r="O125">
        <x:f ca="1">IFERROR(IF(0=LEN(ReferenceData!$O$125),"",ReferenceData!$O$125),"")</x:f>
        <x:v>-60.325966000000001</x:v>
      </x:c>
      <x:c r="P125">
        <x:f ca="1">IFERROR(IF(0=LEN(ReferenceData!$P$125),"",ReferenceData!$P$125),"")</x:f>
        <x:v>-5.6657299999999999</x:v>
      </x:c>
      <x:c r="Q125">
        <x:f ca="1">IFERROR(IF(0=LEN(ReferenceData!$Q$125),"",ReferenceData!$Q$125),"")</x:f>
        <x:v>-3.9167719999999999</x:v>
      </x:c>
      <x:c r="R125">
        <x:f ca="1">IFERROR(IF(0=LEN(ReferenceData!$R$125),"",ReferenceData!$R$125),"")</x:f>
        <x:v>4.2954540000000003</x:v>
      </x:c>
      <x:c r="S125">
        <x:f ca="1">IFERROR(IF(0=LEN(ReferenceData!$S$125),"",ReferenceData!$S$125),"")</x:f>
        <x:v>6.6391720000000003</x:v>
      </x:c>
    </x:row>
    <x:row r="126" spans="1:19" x14ac:dyDescent="0.25">
      <x:c r="A126" t="str">
        <x:f>IFERROR(IF(0=LEN(ReferenceData!$A$126),"",ReferenceData!$A$126),"")</x:f>
        <x:v xml:space="preserve">        VanEck Vectors Coal ETF</x:v>
      </x:c>
      <x:c r="B126" t="str">
        <x:f>IFERROR(IF(0=LEN(ReferenceData!$B$126),"",ReferenceData!$B$126),"")</x:f>
        <x:v>KOL US Equity</x:v>
      </x:c>
      <x:c r="C126" t="str">
        <x:f>IFERROR(IF(0=LEN(ReferenceData!$C$126),"",ReferenceData!$C$126),"")</x:f>
        <x:v/>
      </x:c>
      <x:c r="D126" t="str">
        <x:f>IFERROR(IF(0=LEN(ReferenceData!$D$126),"",ReferenceData!$D$126),"")</x:f>
        <x:v/>
      </x:c>
      <x:c r="E126" t="str">
        <x:f>IFERROR(IF(0=LEN(ReferenceData!$E$126),"",ReferenceData!$E$126),"")</x:f>
        <x:v>Expression</x:v>
      </x:c>
      <x:c r="F126" t="str">
        <x:f ca="1">IFERROR(IF(0=LEN(ReferenceData!$F$126),"",ReferenceData!$F$126),"")</x:f>
        <x:v/>
      </x:c>
      <x:c r="G126" t="str">
        <x:f ca="1">IFERROR(IF(0=LEN(ReferenceData!$G$126),"",ReferenceData!$G$126),"")</x:f>
        <x:v/>
      </x:c>
      <x:c r="H126" t="str">
        <x:f ca="1">IFERROR(IF(0=LEN(ReferenceData!$H$126),"",ReferenceData!$H$126),"")</x:f>
        <x:v/>
      </x:c>
      <x:c r="I126" t="str">
        <x:f ca="1">IFERROR(IF(0=LEN(ReferenceData!$I$126),"",ReferenceData!$I$126),"")</x:f>
        <x:v/>
      </x:c>
      <x:c r="J126" t="str">
        <x:f ca="1">IFERROR(IF(0=LEN(ReferenceData!$J$126),"",ReferenceData!$J$126),"")</x:f>
        <x:v/>
      </x:c>
      <x:c r="K126" t="str">
        <x:f ca="1">IFERROR(IF(0=LEN(ReferenceData!$K$126),"",ReferenceData!$K$126),"")</x:f>
        <x:v/>
      </x:c>
      <x:c r="L126" t="str">
        <x:f ca="1">IFERROR(IF(0=LEN(ReferenceData!$L$126),"",ReferenceData!$L$126),"")</x:f>
        <x:v/>
      </x:c>
      <x:c r="M126" t="str">
        <x:f ca="1">IFERROR(IF(0=LEN(ReferenceData!$M$126),"",ReferenceData!$M$126),"")</x:f>
        <x:v/>
      </x:c>
      <x:c r="N126" t="str">
        <x:f ca="1">IFERROR(IF(0=LEN(ReferenceData!$N$126),"",ReferenceData!$N$126),"")</x:f>
        <x:v/>
      </x:c>
      <x:c r="O126" t="str">
        <x:f ca="1">IFERROR(IF(0=LEN(ReferenceData!$O$126),"",ReferenceData!$O$126),"")</x:f>
        <x:v/>
      </x:c>
      <x:c r="P126" t="str">
        <x:f ca="1">IFERROR(IF(0=LEN(ReferenceData!$P$126),"",ReferenceData!$P$126),"")</x:f>
        <x:v/>
      </x:c>
      <x:c r="Q126" t="str">
        <x:f ca="1">IFERROR(IF(0=LEN(ReferenceData!$Q$126),"",ReferenceData!$Q$126),"")</x:f>
        <x:v/>
      </x:c>
      <x:c r="R126" t="str">
        <x:f ca="1">IFERROR(IF(0=LEN(ReferenceData!$R$126),"",ReferenceData!$R$126),"")</x:f>
        <x:v/>
      </x:c>
      <x:c r="S126" t="str">
        <x:f ca="1">IFERROR(IF(0=LEN(ReferenceData!$S$126),"",ReferenceData!$S$126),"")</x:f>
        <x:v/>
      </x:c>
    </x:row>
    <x:row r="127" spans="1:19" x14ac:dyDescent="0.25">
      <x:c r="A127" t="str">
        <x:f>IFERROR(IF(0=LEN(ReferenceData!$A$127),"",ReferenceData!$A$127),"")</x:f>
        <x:v xml:space="preserve">        Credit Suisse S&amp;P MLP Index ET</x:v>
      </x:c>
      <x:c r="B127" t="str">
        <x:f>IFERROR(IF(0=LEN(ReferenceData!$B$127),"",ReferenceData!$B$127),"")</x:f>
        <x:v>MLPO US Equity</x:v>
      </x:c>
      <x:c r="C127" t="str">
        <x:f>IFERROR(IF(0=LEN(ReferenceData!$C$127),"",ReferenceData!$C$127),"")</x:f>
        <x:v/>
      </x:c>
      <x:c r="D127" t="str">
        <x:f>IFERROR(IF(0=LEN(ReferenceData!$D$127),"",ReferenceData!$D$127),"")</x:f>
        <x:v/>
      </x:c>
      <x:c r="E127" t="str">
        <x:f>IFERROR(IF(0=LEN(ReferenceData!$E$127),"",ReferenceData!$E$127),"")</x:f>
        <x:v>Expression</x:v>
      </x:c>
      <x:c r="F127">
        <x:f ca="1">IFERROR(IF(0=LEN(ReferenceData!$F$127),"",ReferenceData!$F$127),"")</x:f>
        <x:v>0</x:v>
      </x:c>
      <x:c r="G127">
        <x:f ca="1">IFERROR(IF(0=LEN(ReferenceData!$G$127),"",ReferenceData!$G$127),"")</x:f>
        <x:v>0</x:v>
      </x:c>
      <x:c r="H127">
        <x:f ca="1">IFERROR(IF(0=LEN(ReferenceData!$H$127),"",ReferenceData!$H$127),"")</x:f>
        <x:v>0</x:v>
      </x:c>
      <x:c r="I127">
        <x:f ca="1">IFERROR(IF(0=LEN(ReferenceData!$I$127),"",ReferenceData!$I$127),"")</x:f>
        <x:v>0</x:v>
      </x:c>
      <x:c r="J127">
        <x:f ca="1">IFERROR(IF(0=LEN(ReferenceData!$J$127),"",ReferenceData!$J$127),"")</x:f>
        <x:v>0</x:v>
      </x:c>
      <x:c r="K127">
        <x:f ca="1">IFERROR(IF(0=LEN(ReferenceData!$K$127),"",ReferenceData!$K$127),"")</x:f>
        <x:v>-0.13820099999999999</x:v>
      </x:c>
      <x:c r="L127">
        <x:f ca="1">IFERROR(IF(0=LEN(ReferenceData!$L$127),"",ReferenceData!$L$127),"")</x:f>
        <x:v>0</x:v>
      </x:c>
      <x:c r="M127">
        <x:f ca="1">IFERROR(IF(0=LEN(ReferenceData!$M$127),"",ReferenceData!$M$127),"")</x:f>
        <x:v>0</x:v>
      </x:c>
      <x:c r="N127">
        <x:f ca="1">IFERROR(IF(0=LEN(ReferenceData!$N$127),"",ReferenceData!$N$127),"")</x:f>
        <x:v>0</x:v>
      </x:c>
      <x:c r="O127">
        <x:f ca="1">IFERROR(IF(0=LEN(ReferenceData!$O$127),"",ReferenceData!$O$127),"")</x:f>
        <x:v>0</x:v>
      </x:c>
      <x:c r="P127">
        <x:f ca="1">IFERROR(IF(0=LEN(ReferenceData!$P$127),"",ReferenceData!$P$127),"")</x:f>
        <x:v>0</x:v>
      </x:c>
      <x:c r="Q127">
        <x:f ca="1">IFERROR(IF(0=LEN(ReferenceData!$Q$127),"",ReferenceData!$Q$127),"")</x:f>
        <x:v>0</x:v>
      </x:c>
      <x:c r="R127">
        <x:f ca="1">IFERROR(IF(0=LEN(ReferenceData!$R$127),"",ReferenceData!$R$127),"")</x:f>
        <x:v>0</x:v>
      </x:c>
      <x:c r="S127">
        <x:f ca="1">IFERROR(IF(0=LEN(ReferenceData!$S$127),"",ReferenceData!$S$127),"")</x:f>
        <x:v>0</x:v>
      </x:c>
    </x:row>
    <x:row r="128" spans="1:19" x14ac:dyDescent="0.25">
      <x:c r="A128" t="str">
        <x:f>IFERROR(IF(0=LEN(ReferenceData!$A$128),"",ReferenceData!$A$128),"")</x:f>
        <x:v xml:space="preserve">        Direxion Zacks MLP High Income</x:v>
      </x:c>
      <x:c r="B128" t="str">
        <x:f>IFERROR(IF(0=LEN(ReferenceData!$B$128),"",ReferenceData!$B$128),"")</x:f>
        <x:v>ZMLP US Equity</x:v>
      </x:c>
      <x:c r="C128" t="str">
        <x:f>IFERROR(IF(0=LEN(ReferenceData!$C$128),"",ReferenceData!$C$128),"")</x:f>
        <x:v/>
      </x:c>
      <x:c r="D128" t="str">
        <x:f>IFERROR(IF(0=LEN(ReferenceData!$D$128),"",ReferenceData!$D$128),"")</x:f>
        <x:v/>
      </x:c>
      <x:c r="E128" t="str">
        <x:f>IFERROR(IF(0=LEN(ReferenceData!$E$128),"",ReferenceData!$E$128),"")</x:f>
        <x:v>Expression</x:v>
      </x:c>
      <x:c r="F128" t="str">
        <x:f ca="1">IFERROR(IF(0=LEN(ReferenceData!$F$128),"",ReferenceData!$F$128),"")</x:f>
        <x:v/>
      </x:c>
      <x:c r="G128" t="str">
        <x:f ca="1">IFERROR(IF(0=LEN(ReferenceData!$G$128),"",ReferenceData!$G$128),"")</x:f>
        <x:v/>
      </x:c>
      <x:c r="H128" t="str">
        <x:f ca="1">IFERROR(IF(0=LEN(ReferenceData!$H$128),"",ReferenceData!$H$128),"")</x:f>
        <x:v/>
      </x:c>
      <x:c r="I128" t="str">
        <x:f ca="1">IFERROR(IF(0=LEN(ReferenceData!$I$128),"",ReferenceData!$I$128),"")</x:f>
        <x:v/>
      </x:c>
      <x:c r="J128" t="str">
        <x:f ca="1">IFERROR(IF(0=LEN(ReferenceData!$J$128),"",ReferenceData!$J$128),"")</x:f>
        <x:v/>
      </x:c>
      <x:c r="K128" t="str">
        <x:f ca="1">IFERROR(IF(0=LEN(ReferenceData!$K$128),"",ReferenceData!$K$128),"")</x:f>
        <x:v/>
      </x:c>
      <x:c r="L128" t="str">
        <x:f ca="1">IFERROR(IF(0=LEN(ReferenceData!$L$128),"",ReferenceData!$L$128),"")</x:f>
        <x:v/>
      </x:c>
      <x:c r="M128" t="str">
        <x:f ca="1">IFERROR(IF(0=LEN(ReferenceData!$M$128),"",ReferenceData!$M$128),"")</x:f>
        <x:v/>
      </x:c>
      <x:c r="N128" t="str">
        <x:f ca="1">IFERROR(IF(0=LEN(ReferenceData!$N$128),"",ReferenceData!$N$128),"")</x:f>
        <x:v/>
      </x:c>
      <x:c r="O128" t="str">
        <x:f ca="1">IFERROR(IF(0=LEN(ReferenceData!$O$128),"",ReferenceData!$O$128),"")</x:f>
        <x:v/>
      </x:c>
      <x:c r="P128" t="str">
        <x:f ca="1">IFERROR(IF(0=LEN(ReferenceData!$P$128),"",ReferenceData!$P$128),"")</x:f>
        <x:v/>
      </x:c>
      <x:c r="Q128" t="str">
        <x:f ca="1">IFERROR(IF(0=LEN(ReferenceData!$Q$128),"",ReferenceData!$Q$128),"")</x:f>
        <x:v/>
      </x:c>
      <x:c r="R128" t="str">
        <x:f ca="1">IFERROR(IF(0=LEN(ReferenceData!$R$128),"",ReferenceData!$R$128),"")</x:f>
        <x:v/>
      </x:c>
      <x:c r="S128" t="str">
        <x:f ca="1">IFERROR(IF(0=LEN(ReferenceData!$S$128),"",ReferenceData!$S$128),"")</x:f>
        <x:v/>
      </x:c>
    </x:row>
    <x:row r="129" spans="1:19" x14ac:dyDescent="0.25">
      <x:c r="A129" t="str">
        <x:f>IFERROR(IF(0=LEN(ReferenceData!$A$129),"",ReferenceData!$A$129),"")</x:f>
        <x:v xml:space="preserve">        VanEck Energy Income ETF</x:v>
      </x:c>
      <x:c r="B129" t="str">
        <x:f>IFERROR(IF(0=LEN(ReferenceData!$B$129),"",ReferenceData!$B$129),"")</x:f>
        <x:v>EINC US Equity</x:v>
      </x:c>
      <x:c r="C129" t="str">
        <x:f>IFERROR(IF(0=LEN(ReferenceData!$C$129),"",ReferenceData!$C$129),"")</x:f>
        <x:v/>
      </x:c>
      <x:c r="D129" t="str">
        <x:f>IFERROR(IF(0=LEN(ReferenceData!$D$129),"",ReferenceData!$D$129),"")</x:f>
        <x:v/>
      </x:c>
      <x:c r="E129" t="str">
        <x:f>IFERROR(IF(0=LEN(ReferenceData!$E$129),"",ReferenceData!$E$129),"")</x:f>
        <x:v>Expression</x:v>
      </x:c>
      <x:c r="F129">
        <x:f ca="1">IFERROR(IF(0=LEN(ReferenceData!$F$129),"",ReferenceData!$F$129),"")</x:f>
        <x:v>-1.629516</x:v>
      </x:c>
      <x:c r="G129">
        <x:f ca="1">IFERROR(IF(0=LEN(ReferenceData!$G$129),"",ReferenceData!$G$129),"")</x:f>
        <x:v>1.5837490000000001</x:v>
      </x:c>
      <x:c r="H129">
        <x:f ca="1">IFERROR(IF(0=LEN(ReferenceData!$H$129),"",ReferenceData!$H$129),"")</x:f>
        <x:v>0</x:v>
      </x:c>
      <x:c r="I129">
        <x:f ca="1">IFERROR(IF(0=LEN(ReferenceData!$I$129),"",ReferenceData!$I$129),"")</x:f>
        <x:v>1.642439</x:v>
      </x:c>
      <x:c r="J129">
        <x:f ca="1">IFERROR(IF(0=LEN(ReferenceData!$J$129),"",ReferenceData!$J$129),"")</x:f>
        <x:v>0</x:v>
      </x:c>
      <x:c r="K129">
        <x:f ca="1">IFERROR(IF(0=LEN(ReferenceData!$K$129),"",ReferenceData!$K$129),"")</x:f>
        <x:v>6.3019689999999997</x:v>
      </x:c>
      <x:c r="L129">
        <x:f ca="1">IFERROR(IF(0=LEN(ReferenceData!$L$129),"",ReferenceData!$L$129),"")</x:f>
        <x:v>-1.527806</x:v>
      </x:c>
      <x:c r="M129">
        <x:f ca="1">IFERROR(IF(0=LEN(ReferenceData!$M$129),"",ReferenceData!$M$129),"")</x:f>
        <x:v>0</x:v>
      </x:c>
      <x:c r="N129">
        <x:f ca="1">IFERROR(IF(0=LEN(ReferenceData!$N$129),"",ReferenceData!$N$129),"")</x:f>
        <x:v>0</x:v>
      </x:c>
      <x:c r="O129">
        <x:f ca="1">IFERROR(IF(0=LEN(ReferenceData!$O$129),"",ReferenceData!$O$129),"")</x:f>
        <x:v>0</x:v>
      </x:c>
      <x:c r="P129">
        <x:f ca="1">IFERROR(IF(0=LEN(ReferenceData!$P$129),"",ReferenceData!$P$129),"")</x:f>
        <x:v>-1.612473</x:v>
      </x:c>
      <x:c r="Q129">
        <x:f ca="1">IFERROR(IF(0=LEN(ReferenceData!$Q$129),"",ReferenceData!$Q$129),"")</x:f>
        <x:v>-1.5795250000000001</x:v>
      </x:c>
      <x:c r="R129">
        <x:f ca="1">IFERROR(IF(0=LEN(ReferenceData!$R$129),"",ReferenceData!$R$129),"")</x:f>
        <x:v>0</x:v>
      </x:c>
      <x:c r="S129">
        <x:f ca="1">IFERROR(IF(0=LEN(ReferenceData!$S$129),"",ReferenceData!$S$129),"")</x:f>
        <x:v>-1.5118020000000001</x:v>
      </x:c>
    </x:row>
    <x:row r="130" spans="1:19" x14ac:dyDescent="0.25">
      <x:c r="A130" t="str">
        <x:f>IFERROR(IF(0=LEN(ReferenceData!$A$130),"",ReferenceData!$A$130),"")</x:f>
        <x:v xml:space="preserve">        Tortoise North American Pipeli</x:v>
      </x:c>
      <x:c r="B130" t="str">
        <x:f>IFERROR(IF(0=LEN(ReferenceData!$B$130),"",ReferenceData!$B$130),"")</x:f>
        <x:v>TPYP US Equity</x:v>
      </x:c>
      <x:c r="C130" t="str">
        <x:f>IFERROR(IF(0=LEN(ReferenceData!$C$130),"",ReferenceData!$C$130),"")</x:f>
        <x:v/>
      </x:c>
      <x:c r="D130" t="str">
        <x:f>IFERROR(IF(0=LEN(ReferenceData!$D$130),"",ReferenceData!$D$130),"")</x:f>
        <x:v/>
      </x:c>
      <x:c r="E130" t="str">
        <x:f>IFERROR(IF(0=LEN(ReferenceData!$E$130),"",ReferenceData!$E$130),"")</x:f>
        <x:v>Expression</x:v>
      </x:c>
      <x:c r="F130">
        <x:f ca="1">IFERROR(IF(0=LEN(ReferenceData!$F$130),"",ReferenceData!$F$130),"")</x:f>
        <x:v>-4.9956699999999996</x:v>
      </x:c>
      <x:c r="G130">
        <x:f ca="1">IFERROR(IF(0=LEN(ReferenceData!$G$130),"",ReferenceData!$G$130),"")</x:f>
        <x:v>-13.342575</x:v>
      </x:c>
      <x:c r="H130">
        <x:f ca="1">IFERROR(IF(0=LEN(ReferenceData!$H$130),"",ReferenceData!$H$130),"")</x:f>
        <x:v>-3.7018499999999999</x:v>
      </x:c>
      <x:c r="I130">
        <x:f ca="1">IFERROR(IF(0=LEN(ReferenceData!$I$130),"",ReferenceData!$I$130),"")</x:f>
        <x:v>2.51864</x:v>
      </x:c>
      <x:c r="J130">
        <x:f ca="1">IFERROR(IF(0=LEN(ReferenceData!$J$130),"",ReferenceData!$J$130),"")</x:f>
        <x:v>-1.246715</x:v>
      </x:c>
      <x:c r="K130">
        <x:f ca="1">IFERROR(IF(0=LEN(ReferenceData!$K$130),"",ReferenceData!$K$130),"")</x:f>
        <x:v>-8.5940899999999996</x:v>
      </x:c>
      <x:c r="L130">
        <x:f ca="1">IFERROR(IF(0=LEN(ReferenceData!$L$130),"",ReferenceData!$L$130),"")</x:f>
        <x:v>-32.677644999999998</x:v>
      </x:c>
      <x:c r="M130">
        <x:f ca="1">IFERROR(IF(0=LEN(ReferenceData!$M$130),"",ReferenceData!$M$130),"")</x:f>
        <x:v>0</x:v>
      </x:c>
      <x:c r="N130">
        <x:f ca="1">IFERROR(IF(0=LEN(ReferenceData!$N$130),"",ReferenceData!$N$130),"")</x:f>
        <x:v>-9.2435000000000003E-2</x:v>
      </x:c>
      <x:c r="O130">
        <x:f ca="1">IFERROR(IF(0=LEN(ReferenceData!$O$130),"",ReferenceData!$O$130),"")</x:f>
        <x:v>-2.5504449999999999</x:v>
      </x:c>
      <x:c r="P130">
        <x:f ca="1">IFERROR(IF(0=LEN(ReferenceData!$P$130),"",ReferenceData!$P$130),"")</x:f>
        <x:v>-45.591859999999997</x:v>
      </x:c>
      <x:c r="Q130">
        <x:f ca="1">IFERROR(IF(0=LEN(ReferenceData!$Q$130),"",ReferenceData!$Q$130),"")</x:f>
        <x:v>53.65616</x:v>
      </x:c>
      <x:c r="R130">
        <x:f ca="1">IFERROR(IF(0=LEN(ReferenceData!$R$130),"",ReferenceData!$R$130),"")</x:f>
        <x:v>0</x:v>
      </x:c>
      <x:c r="S130">
        <x:f ca="1">IFERROR(IF(0=LEN(ReferenceData!$S$130),"",ReferenceData!$S$130),"")</x:f>
        <x:v>-20.196935</x:v>
      </x:c>
    </x:row>
    <x:row r="131" spans="1:19" x14ac:dyDescent="0.25">
      <x:c r="A131" t="str">
        <x:f>IFERROR(IF(0=LEN(ReferenceData!$A$131),"",ReferenceData!$A$131),"")</x:f>
        <x:v xml:space="preserve">        Morgan Stanley Cushing MLP Hig</x:v>
      </x:c>
      <x:c r="B131" t="str">
        <x:f>IFERROR(IF(0=LEN(ReferenceData!$B$131),"",ReferenceData!$B$131),"")</x:f>
        <x:v>MLPY US Equity</x:v>
      </x:c>
      <x:c r="C131" t="str">
        <x:f>IFERROR(IF(0=LEN(ReferenceData!$C$131),"",ReferenceData!$C$131),"")</x:f>
        <x:v/>
      </x:c>
      <x:c r="D131" t="str">
        <x:f>IFERROR(IF(0=LEN(ReferenceData!$D$131),"",ReferenceData!$D$131),"")</x:f>
        <x:v/>
      </x:c>
      <x:c r="E131" t="str">
        <x:f>IFERROR(IF(0=LEN(ReferenceData!$E$131),"",ReferenceData!$E$131),"")</x:f>
        <x:v>Expression</x:v>
      </x:c>
      <x:c r="F131" t="str">
        <x:f ca="1">IFERROR(IF(0=LEN(ReferenceData!$F$131),"",ReferenceData!$F$131),"")</x:f>
        <x:v/>
      </x:c>
      <x:c r="G131" t="str">
        <x:f ca="1">IFERROR(IF(0=LEN(ReferenceData!$G$131),"",ReferenceData!$G$131),"")</x:f>
        <x:v/>
      </x:c>
      <x:c r="H131" t="str">
        <x:f ca="1">IFERROR(IF(0=LEN(ReferenceData!$H$131),"",ReferenceData!$H$131),"")</x:f>
        <x:v/>
      </x:c>
      <x:c r="I131" t="str">
        <x:f ca="1">IFERROR(IF(0=LEN(ReferenceData!$I$131),"",ReferenceData!$I$131),"")</x:f>
        <x:v/>
      </x:c>
      <x:c r="J131" t="str">
        <x:f ca="1">IFERROR(IF(0=LEN(ReferenceData!$J$131),"",ReferenceData!$J$131),"")</x:f>
        <x:v/>
      </x:c>
      <x:c r="K131" t="str">
        <x:f ca="1">IFERROR(IF(0=LEN(ReferenceData!$K$131),"",ReferenceData!$K$131),"")</x:f>
        <x:v/>
      </x:c>
      <x:c r="L131" t="str">
        <x:f ca="1">IFERROR(IF(0=LEN(ReferenceData!$L$131),"",ReferenceData!$L$131),"")</x:f>
        <x:v/>
      </x:c>
      <x:c r="M131" t="str">
        <x:f ca="1">IFERROR(IF(0=LEN(ReferenceData!$M$131),"",ReferenceData!$M$131),"")</x:f>
        <x:v/>
      </x:c>
      <x:c r="N131" t="str">
        <x:f ca="1">IFERROR(IF(0=LEN(ReferenceData!$N$131),"",ReferenceData!$N$131),"")</x:f>
        <x:v/>
      </x:c>
      <x:c r="O131" t="str">
        <x:f ca="1">IFERROR(IF(0=LEN(ReferenceData!$O$131),"",ReferenceData!$O$131),"")</x:f>
        <x:v/>
      </x:c>
      <x:c r="P131" t="str">
        <x:f ca="1">IFERROR(IF(0=LEN(ReferenceData!$P$131),"",ReferenceData!$P$131),"")</x:f>
        <x:v/>
      </x:c>
      <x:c r="Q131" t="str">
        <x:f ca="1">IFERROR(IF(0=LEN(ReferenceData!$Q$131),"",ReferenceData!$Q$131),"")</x:f>
        <x:v/>
      </x:c>
      <x:c r="R131" t="str">
        <x:f ca="1">IFERROR(IF(0=LEN(ReferenceData!$R$131),"",ReferenceData!$R$131),"")</x:f>
        <x:v/>
      </x:c>
      <x:c r="S131" t="str">
        <x:f ca="1">IFERROR(IF(0=LEN(ReferenceData!$S$131),"",ReferenceData!$S$131),"")</x:f>
        <x:v/>
      </x:c>
    </x:row>
    <x:row r="132" spans="1:19" x14ac:dyDescent="0.25">
      <x:c r="A132" t="str">
        <x:f>IFERROR(IF(0=LEN(ReferenceData!$A$132),"",ReferenceData!$A$132),"")</x:f>
        <x:v xml:space="preserve">        Invesco Dynamic Energy Explora</x:v>
      </x:c>
      <x:c r="B132" t="str">
        <x:f>IFERROR(IF(0=LEN(ReferenceData!$B$132),"",ReferenceData!$B$132),"")</x:f>
        <x:v>PXE US Equity</x:v>
      </x:c>
      <x:c r="C132" t="str">
        <x:f>IFERROR(IF(0=LEN(ReferenceData!$C$132),"",ReferenceData!$C$132),"")</x:f>
        <x:v/>
      </x:c>
      <x:c r="D132" t="str">
        <x:f>IFERROR(IF(0=LEN(ReferenceData!$D$132),"",ReferenceData!$D$132),"")</x:f>
        <x:v/>
      </x:c>
      <x:c r="E132" t="str">
        <x:f>IFERROR(IF(0=LEN(ReferenceData!$E$132),"",ReferenceData!$E$132),"")</x:f>
        <x:v>Expression</x:v>
      </x:c>
      <x:c r="F132">
        <x:f ca="1">IFERROR(IF(0=LEN(ReferenceData!$F$132),"",ReferenceData!$F$132),"")</x:f>
        <x:v>-5.0359189999999998</x:v>
      </x:c>
      <x:c r="G132">
        <x:f ca="1">IFERROR(IF(0=LEN(ReferenceData!$G$132),"",ReferenceData!$G$132),"")</x:f>
        <x:v>-6.8597999999999999</x:v>
      </x:c>
      <x:c r="H132">
        <x:f ca="1">IFERROR(IF(0=LEN(ReferenceData!$H$132),"",ReferenceData!$H$132),"")</x:f>
        <x:v>10.039793</x:v>
      </x:c>
      <x:c r="I132">
        <x:f ca="1">IFERROR(IF(0=LEN(ReferenceData!$I$132),"",ReferenceData!$I$132),"")</x:f>
        <x:v>-0.35432999999999998</x:v>
      </x:c>
      <x:c r="J132">
        <x:f ca="1">IFERROR(IF(0=LEN(ReferenceData!$J$132),"",ReferenceData!$J$132),"")</x:f>
        <x:v>-4.8258010000000002</x:v>
      </x:c>
      <x:c r="K132">
        <x:f ca="1">IFERROR(IF(0=LEN(ReferenceData!$K$132),"",ReferenceData!$K$132),"")</x:f>
        <x:v>-9.171564</x:v>
      </x:c>
      <x:c r="L132">
        <x:f ca="1">IFERROR(IF(0=LEN(ReferenceData!$L$132),"",ReferenceData!$L$132),"")</x:f>
        <x:v>-11.031124</x:v>
      </x:c>
      <x:c r="M132">
        <x:f ca="1">IFERROR(IF(0=LEN(ReferenceData!$M$132),"",ReferenceData!$M$132),"")</x:f>
        <x:v>-3.128517</x:v>
      </x:c>
      <x:c r="N132">
        <x:f ca="1">IFERROR(IF(0=LEN(ReferenceData!$N$132),"",ReferenceData!$N$132),"")</x:f>
        <x:v>-27.874448999999998</x:v>
      </x:c>
      <x:c r="O132">
        <x:f ca="1">IFERROR(IF(0=LEN(ReferenceData!$O$132),"",ReferenceData!$O$132),"")</x:f>
        <x:v>-81.548843000000005</x:v>
      </x:c>
      <x:c r="P132">
        <x:f ca="1">IFERROR(IF(0=LEN(ReferenceData!$P$132),"",ReferenceData!$P$132),"")</x:f>
        <x:v>-10.145948000000001</x:v>
      </x:c>
      <x:c r="Q132">
        <x:f ca="1">IFERROR(IF(0=LEN(ReferenceData!$Q$132),"",ReferenceData!$Q$132),"")</x:f>
        <x:v>-2.6140729999999999</x:v>
      </x:c>
      <x:c r="R132">
        <x:f ca="1">IFERROR(IF(0=LEN(ReferenceData!$R$132),"",ReferenceData!$R$132),"")</x:f>
        <x:v>19.453261999999999</x:v>
      </x:c>
      <x:c r="S132">
        <x:f ca="1">IFERROR(IF(0=LEN(ReferenceData!$S$132),"",ReferenceData!$S$132),"")</x:f>
        <x:v>27.473994999999999</x:v>
      </x:c>
    </x:row>
    <x:row r="133" spans="1:19" x14ac:dyDescent="0.25">
      <x:c r="A133" t="str">
        <x:f>IFERROR(IF(0=LEN(ReferenceData!$A$133),"",ReferenceData!$A$133),"")</x:f>
        <x:v xml:space="preserve">        ETRACS 2xMonthly Leveraged S&amp;P</x:v>
      </x:c>
      <x:c r="B133" t="str">
        <x:f>IFERROR(IF(0=LEN(ReferenceData!$B$133),"",ReferenceData!$B$133),"")</x:f>
        <x:v>MLPZ US Equity</x:v>
      </x:c>
      <x:c r="C133" t="str">
        <x:f>IFERROR(IF(0=LEN(ReferenceData!$C$133),"",ReferenceData!$C$133),"")</x:f>
        <x:v/>
      </x:c>
      <x:c r="D133" t="str">
        <x:f>IFERROR(IF(0=LEN(ReferenceData!$D$133),"",ReferenceData!$D$133),"")</x:f>
        <x:v/>
      </x:c>
      <x:c r="E133" t="str">
        <x:f>IFERROR(IF(0=LEN(ReferenceData!$E$133),"",ReferenceData!$E$133),"")</x:f>
        <x:v>Expression</x:v>
      </x:c>
      <x:c r="F133" t="str">
        <x:f ca="1">IFERROR(IF(0=LEN(ReferenceData!$F$133),"",ReferenceData!$F$133),"")</x:f>
        <x:v/>
      </x:c>
      <x:c r="G133" t="str">
        <x:f ca="1">IFERROR(IF(0=LEN(ReferenceData!$G$133),"",ReferenceData!$G$133),"")</x:f>
        <x:v/>
      </x:c>
      <x:c r="H133" t="str">
        <x:f ca="1">IFERROR(IF(0=LEN(ReferenceData!$H$133),"",ReferenceData!$H$133),"")</x:f>
        <x:v/>
      </x:c>
      <x:c r="I133" t="str">
        <x:f ca="1">IFERROR(IF(0=LEN(ReferenceData!$I$133),"",ReferenceData!$I$133),"")</x:f>
        <x:v/>
      </x:c>
      <x:c r="J133" t="str">
        <x:f ca="1">IFERROR(IF(0=LEN(ReferenceData!$J$133),"",ReferenceData!$J$133),"")</x:f>
        <x:v/>
      </x:c>
      <x:c r="K133" t="str">
        <x:f ca="1">IFERROR(IF(0=LEN(ReferenceData!$K$133),"",ReferenceData!$K$133),"")</x:f>
        <x:v/>
      </x:c>
      <x:c r="L133" t="str">
        <x:f ca="1">IFERROR(IF(0=LEN(ReferenceData!$L$133),"",ReferenceData!$L$133),"")</x:f>
        <x:v/>
      </x:c>
      <x:c r="M133" t="str">
        <x:f ca="1">IFERROR(IF(0=LEN(ReferenceData!$M$133),"",ReferenceData!$M$133),"")</x:f>
        <x:v/>
      </x:c>
      <x:c r="N133" t="str">
        <x:f ca="1">IFERROR(IF(0=LEN(ReferenceData!$N$133),"",ReferenceData!$N$133),"")</x:f>
        <x:v/>
      </x:c>
      <x:c r="O133" t="str">
        <x:f ca="1">IFERROR(IF(0=LEN(ReferenceData!$O$133),"",ReferenceData!$O$133),"")</x:f>
        <x:v/>
      </x:c>
      <x:c r="P133" t="str">
        <x:f ca="1">IFERROR(IF(0=LEN(ReferenceData!$P$133),"",ReferenceData!$P$133),"")</x:f>
        <x:v/>
      </x:c>
      <x:c r="Q133" t="str">
        <x:f ca="1">IFERROR(IF(0=LEN(ReferenceData!$Q$133),"",ReferenceData!$Q$133),"")</x:f>
        <x:v/>
      </x:c>
      <x:c r="R133" t="str">
        <x:f ca="1">IFERROR(IF(0=LEN(ReferenceData!$R$133),"",ReferenceData!$R$133),"")</x:f>
        <x:v/>
      </x:c>
      <x:c r="S133" t="str">
        <x:f ca="1">IFERROR(IF(0=LEN(ReferenceData!$S$133),"",ReferenceData!$S$133),"")</x:f>
        <x:v/>
      </x:c>
    </x:row>
    <x:row r="134" spans="1:19" x14ac:dyDescent="0.25">
      <x:c r="A134" t="str">
        <x:f>IFERROR(IF(0=LEN(ReferenceData!$A$134),"",ReferenceData!$A$134),"")</x:f>
        <x:v xml:space="preserve">        iPath Pure Beta Crude Oil ETN</x:v>
      </x:c>
      <x:c r="B134" t="str">
        <x:f>IFERROR(IF(0=LEN(ReferenceData!$B$134),"",ReferenceData!$B$134),"")</x:f>
        <x:v>OIL US Equity</x:v>
      </x:c>
      <x:c r="C134" t="str">
        <x:f>IFERROR(IF(0=LEN(ReferenceData!$C$134),"",ReferenceData!$C$134),"")</x:f>
        <x:v/>
      </x:c>
      <x:c r="D134" t="str">
        <x:f>IFERROR(IF(0=LEN(ReferenceData!$D$134),"",ReferenceData!$D$134),"")</x:f>
        <x:v/>
      </x:c>
      <x:c r="E134" t="str">
        <x:f>IFERROR(IF(0=LEN(ReferenceData!$E$134),"",ReferenceData!$E$134),"")</x:f>
        <x:v>Expression</x:v>
      </x:c>
      <x:c r="F134" t="str">
        <x:f ca="1">IFERROR(IF(0=LEN(ReferenceData!$F$134),"",ReferenceData!$F$134),"")</x:f>
        <x:v/>
      </x:c>
      <x:c r="G134" t="str">
        <x:f ca="1">IFERROR(IF(0=LEN(ReferenceData!$G$134),"",ReferenceData!$G$134),"")</x:f>
        <x:v/>
      </x:c>
      <x:c r="H134" t="str">
        <x:f ca="1">IFERROR(IF(0=LEN(ReferenceData!$H$134),"",ReferenceData!$H$134),"")</x:f>
        <x:v/>
      </x:c>
      <x:c r="I134" t="str">
        <x:f ca="1">IFERROR(IF(0=LEN(ReferenceData!$I$134),"",ReferenceData!$I$134),"")</x:f>
        <x:v/>
      </x:c>
      <x:c r="J134" t="str">
        <x:f ca="1">IFERROR(IF(0=LEN(ReferenceData!$J$134),"",ReferenceData!$J$134),"")</x:f>
        <x:v/>
      </x:c>
      <x:c r="K134">
        <x:f ca="1">IFERROR(IF(0=LEN(ReferenceData!$K$134),"",ReferenceData!$K$134),"")</x:f>
        <x:v>-55.847428000000001</x:v>
      </x:c>
      <x:c r="L134">
        <x:f ca="1">IFERROR(IF(0=LEN(ReferenceData!$L$134),"",ReferenceData!$L$134),"")</x:f>
        <x:v>3.2416839999999998</x:v>
      </x:c>
      <x:c r="M134">
        <x:f ca="1">IFERROR(IF(0=LEN(ReferenceData!$M$134),"",ReferenceData!$M$134),"")</x:f>
        <x:v>-6.0230870000000003</x:v>
      </x:c>
      <x:c r="N134">
        <x:f ca="1">IFERROR(IF(0=LEN(ReferenceData!$N$134),"",ReferenceData!$N$134),"")</x:f>
        <x:v>5.8493940000000002</x:v>
      </x:c>
      <x:c r="O134">
        <x:f ca="1">IFERROR(IF(0=LEN(ReferenceData!$O$134),"",ReferenceData!$O$134),"")</x:f>
        <x:v>-2.8097129999999999</x:v>
      </x:c>
      <x:c r="P134">
        <x:f ca="1">IFERROR(IF(0=LEN(ReferenceData!$P$134),"",ReferenceData!$P$134),"")</x:f>
        <x:v>-3.2323840000000001</x:v>
      </x:c>
      <x:c r="Q134">
        <x:f ca="1">IFERROR(IF(0=LEN(ReferenceData!$Q$134),"",ReferenceData!$Q$134),"")</x:f>
        <x:v>-0.23943500000000001</x:v>
      </x:c>
      <x:c r="R134">
        <x:f ca="1">IFERROR(IF(0=LEN(ReferenceData!$R$134),"",ReferenceData!$R$134),"")</x:f>
        <x:v>-3.9112049999999998</x:v>
      </x:c>
      <x:c r="S134">
        <x:f ca="1">IFERROR(IF(0=LEN(ReferenceData!$S$134),"",ReferenceData!$S$134),"")</x:f>
        <x:v>-16.629397000000001</x:v>
      </x:c>
    </x:row>
    <x:row r="135" spans="1:19" x14ac:dyDescent="0.25">
      <x:c r="A135" t="str">
        <x:f>IFERROR(IF(0=LEN(ReferenceData!$A$135),"",ReferenceData!$A$135),"")</x:f>
        <x:v xml:space="preserve">        ETRACS 2xMonthly Leveraged Ale</x:v>
      </x:c>
      <x:c r="B135" t="str">
        <x:f>IFERROR(IF(0=LEN(ReferenceData!$B$135),"",ReferenceData!$B$135),"")</x:f>
        <x:v>MLPQ US Equity</x:v>
      </x:c>
      <x:c r="C135" t="str">
        <x:f>IFERROR(IF(0=LEN(ReferenceData!$C$135),"",ReferenceData!$C$135),"")</x:f>
        <x:v/>
      </x:c>
      <x:c r="D135" t="str">
        <x:f>IFERROR(IF(0=LEN(ReferenceData!$D$135),"",ReferenceData!$D$135),"")</x:f>
        <x:v/>
      </x:c>
      <x:c r="E135" t="str">
        <x:f>IFERROR(IF(0=LEN(ReferenceData!$E$135),"",ReferenceData!$E$135),"")</x:f>
        <x:v>Expression</x:v>
      </x:c>
      <x:c r="F135" t="str">
        <x:f ca="1">IFERROR(IF(0=LEN(ReferenceData!$F$135),"",ReferenceData!$F$135),"")</x:f>
        <x:v/>
      </x:c>
      <x:c r="G135" t="str">
        <x:f ca="1">IFERROR(IF(0=LEN(ReferenceData!$G$135),"",ReferenceData!$G$135),"")</x:f>
        <x:v/>
      </x:c>
      <x:c r="H135" t="str">
        <x:f ca="1">IFERROR(IF(0=LEN(ReferenceData!$H$135),"",ReferenceData!$H$135),"")</x:f>
        <x:v/>
      </x:c>
      <x:c r="I135" t="str">
        <x:f ca="1">IFERROR(IF(0=LEN(ReferenceData!$I$135),"",ReferenceData!$I$135),"")</x:f>
        <x:v/>
      </x:c>
      <x:c r="J135" t="str">
        <x:f ca="1">IFERROR(IF(0=LEN(ReferenceData!$J$135),"",ReferenceData!$J$135),"")</x:f>
        <x:v/>
      </x:c>
      <x:c r="K135" t="str">
        <x:f ca="1">IFERROR(IF(0=LEN(ReferenceData!$K$135),"",ReferenceData!$K$135),"")</x:f>
        <x:v/>
      </x:c>
      <x:c r="L135" t="str">
        <x:f ca="1">IFERROR(IF(0=LEN(ReferenceData!$L$135),"",ReferenceData!$L$135),"")</x:f>
        <x:v/>
      </x:c>
      <x:c r="M135" t="str">
        <x:f ca="1">IFERROR(IF(0=LEN(ReferenceData!$M$135),"",ReferenceData!$M$135),"")</x:f>
        <x:v/>
      </x:c>
      <x:c r="N135" t="str">
        <x:f ca="1">IFERROR(IF(0=LEN(ReferenceData!$N$135),"",ReferenceData!$N$135),"")</x:f>
        <x:v/>
      </x:c>
      <x:c r="O135" t="str">
        <x:f ca="1">IFERROR(IF(0=LEN(ReferenceData!$O$135),"",ReferenceData!$O$135),"")</x:f>
        <x:v/>
      </x:c>
      <x:c r="P135" t="str">
        <x:f ca="1">IFERROR(IF(0=LEN(ReferenceData!$P$135),"",ReferenceData!$P$135),"")</x:f>
        <x:v/>
      </x:c>
      <x:c r="Q135" t="str">
        <x:f ca="1">IFERROR(IF(0=LEN(ReferenceData!$Q$135),"",ReferenceData!$Q$135),"")</x:f>
        <x:v/>
      </x:c>
      <x:c r="R135" t="str">
        <x:f ca="1">IFERROR(IF(0=LEN(ReferenceData!$R$135),"",ReferenceData!$R$135),"")</x:f>
        <x:v/>
      </x:c>
      <x:c r="S135" t="str">
        <x:f ca="1">IFERROR(IF(0=LEN(ReferenceData!$S$135),"",ReferenceData!$S$135),"")</x:f>
        <x:v/>
      </x:c>
    </x:row>
    <x:row r="136" spans="1:19" x14ac:dyDescent="0.25">
      <x:c r="A136" t="str">
        <x:f>IFERROR(IF(0=LEN(ReferenceData!$A$136),"",ReferenceData!$A$136),"")</x:f>
        <x:v xml:space="preserve">        Dorsey Wright MLP Index ETNs</x:v>
      </x:c>
      <x:c r="B136" t="str">
        <x:f>IFERROR(IF(0=LEN(ReferenceData!$B$136),"",ReferenceData!$B$136),"")</x:f>
        <x:v>BMLP US Equity</x:v>
      </x:c>
      <x:c r="C136" t="str">
        <x:f>IFERROR(IF(0=LEN(ReferenceData!$C$136),"",ReferenceData!$C$136),"")</x:f>
        <x:v/>
      </x:c>
      <x:c r="D136" t="str">
        <x:f>IFERROR(IF(0=LEN(ReferenceData!$D$136),"",ReferenceData!$D$136),"")</x:f>
        <x:v/>
      </x:c>
      <x:c r="E136" t="str">
        <x:f>IFERROR(IF(0=LEN(ReferenceData!$E$136),"",ReferenceData!$E$136),"")</x:f>
        <x:v>Expression</x:v>
      </x:c>
      <x:c r="F136" t="str">
        <x:f ca="1">IFERROR(IF(0=LEN(ReferenceData!$F$136),"",ReferenceData!$F$136),"")</x:f>
        <x:v/>
      </x:c>
      <x:c r="G136" t="str">
        <x:f ca="1">IFERROR(IF(0=LEN(ReferenceData!$G$136),"",ReferenceData!$G$136),"")</x:f>
        <x:v/>
      </x:c>
      <x:c r="H136" t="str">
        <x:f ca="1">IFERROR(IF(0=LEN(ReferenceData!$H$136),"",ReferenceData!$H$136),"")</x:f>
        <x:v/>
      </x:c>
      <x:c r="I136" t="str">
        <x:f ca="1">IFERROR(IF(0=LEN(ReferenceData!$I$136),"",ReferenceData!$I$136),"")</x:f>
        <x:v/>
      </x:c>
      <x:c r="J136" t="str">
        <x:f ca="1">IFERROR(IF(0=LEN(ReferenceData!$J$136),"",ReferenceData!$J$136),"")</x:f>
        <x:v/>
      </x:c>
      <x:c r="K136" t="str">
        <x:f ca="1">IFERROR(IF(0=LEN(ReferenceData!$K$136),"",ReferenceData!$K$136),"")</x:f>
        <x:v/>
      </x:c>
      <x:c r="L136" t="str">
        <x:f ca="1">IFERROR(IF(0=LEN(ReferenceData!$L$136),"",ReferenceData!$L$136),"")</x:f>
        <x:v/>
      </x:c>
      <x:c r="M136" t="str">
        <x:f ca="1">IFERROR(IF(0=LEN(ReferenceData!$M$136),"",ReferenceData!$M$136),"")</x:f>
        <x:v/>
      </x:c>
      <x:c r="N136" t="str">
        <x:f ca="1">IFERROR(IF(0=LEN(ReferenceData!$N$136),"",ReferenceData!$N$136),"")</x:f>
        <x:v/>
      </x:c>
      <x:c r="O136" t="str">
        <x:f ca="1">IFERROR(IF(0=LEN(ReferenceData!$O$136),"",ReferenceData!$O$136),"")</x:f>
        <x:v/>
      </x:c>
      <x:c r="P136" t="str">
        <x:f ca="1">IFERROR(IF(0=LEN(ReferenceData!$P$136),"",ReferenceData!$P$136),"")</x:f>
        <x:v/>
      </x:c>
      <x:c r="Q136" t="str">
        <x:f ca="1">IFERROR(IF(0=LEN(ReferenceData!$Q$136),"",ReferenceData!$Q$136),"")</x:f>
        <x:v/>
      </x:c>
      <x:c r="R136" t="str">
        <x:f ca="1">IFERROR(IF(0=LEN(ReferenceData!$R$136),"",ReferenceData!$R$136),"")</x:f>
        <x:v/>
      </x:c>
      <x:c r="S136" t="str">
        <x:f ca="1">IFERROR(IF(0=LEN(ReferenceData!$S$136),"",ReferenceData!$S$136),"")</x:f>
        <x:v/>
      </x:c>
    </x:row>
    <x:row r="137" spans="1:19" x14ac:dyDescent="0.25">
      <x:c r="A137" t="str">
        <x:f>IFERROR(IF(0=LEN(ReferenceData!$A$137),"",ReferenceData!$A$137),"")</x:f>
        <x:v xml:space="preserve">        SPDR S&amp;P International Energy</x:v>
      </x:c>
      <x:c r="B137" t="str">
        <x:f>IFERROR(IF(0=LEN(ReferenceData!$B$137),"",ReferenceData!$B$137),"")</x:f>
        <x:v>1863801D US Equity</x:v>
      </x:c>
      <x:c r="C137" t="str">
        <x:f>IFERROR(IF(0=LEN(ReferenceData!$C$137),"",ReferenceData!$C$137),"")</x:f>
        <x:v/>
      </x:c>
      <x:c r="D137" t="str">
        <x:f>IFERROR(IF(0=LEN(ReferenceData!$D$137),"",ReferenceData!$D$137),"")</x:f>
        <x:v/>
      </x:c>
      <x:c r="E137" t="str">
        <x:f>IFERROR(IF(0=LEN(ReferenceData!$E$137),"",ReferenceData!$E$137),"")</x:f>
        <x:v>Expression</x:v>
      </x:c>
      <x:c r="F137" t="str">
        <x:f ca="1">IFERROR(IF(0=LEN(ReferenceData!$F$137),"",ReferenceData!$F$137),"")</x:f>
        <x:v/>
      </x:c>
      <x:c r="G137" t="str">
        <x:f ca="1">IFERROR(IF(0=LEN(ReferenceData!$G$137),"",ReferenceData!$G$137),"")</x:f>
        <x:v/>
      </x:c>
      <x:c r="H137" t="str">
        <x:f ca="1">IFERROR(IF(0=LEN(ReferenceData!$H$137),"",ReferenceData!$H$137),"")</x:f>
        <x:v/>
      </x:c>
      <x:c r="I137" t="str">
        <x:f ca="1">IFERROR(IF(0=LEN(ReferenceData!$I$137),"",ReferenceData!$I$137),"")</x:f>
        <x:v/>
      </x:c>
      <x:c r="J137" t="str">
        <x:f ca="1">IFERROR(IF(0=LEN(ReferenceData!$J$137),"",ReferenceData!$J$137),"")</x:f>
        <x:v/>
      </x:c>
      <x:c r="K137" t="str">
        <x:f ca="1">IFERROR(IF(0=LEN(ReferenceData!$K$137),"",ReferenceData!$K$137),"")</x:f>
        <x:v/>
      </x:c>
      <x:c r="L137" t="str">
        <x:f ca="1">IFERROR(IF(0=LEN(ReferenceData!$L$137),"",ReferenceData!$L$137),"")</x:f>
        <x:v/>
      </x:c>
      <x:c r="M137" t="str">
        <x:f ca="1">IFERROR(IF(0=LEN(ReferenceData!$M$137),"",ReferenceData!$M$137),"")</x:f>
        <x:v/>
      </x:c>
      <x:c r="N137" t="str">
        <x:f ca="1">IFERROR(IF(0=LEN(ReferenceData!$N$137),"",ReferenceData!$N$137),"")</x:f>
        <x:v/>
      </x:c>
      <x:c r="O137" t="str">
        <x:f ca="1">IFERROR(IF(0=LEN(ReferenceData!$O$137),"",ReferenceData!$O$137),"")</x:f>
        <x:v/>
      </x:c>
      <x:c r="P137" t="str">
        <x:f ca="1">IFERROR(IF(0=LEN(ReferenceData!$P$137),"",ReferenceData!$P$137),"")</x:f>
        <x:v/>
      </x:c>
      <x:c r="Q137" t="str">
        <x:f ca="1">IFERROR(IF(0=LEN(ReferenceData!$Q$137),"",ReferenceData!$Q$137),"")</x:f>
        <x:v/>
      </x:c>
      <x:c r="R137" t="str">
        <x:f ca="1">IFERROR(IF(0=LEN(ReferenceData!$R$137),"",ReferenceData!$R$137),"")</x:f>
        <x:v/>
      </x:c>
      <x:c r="S137" t="str">
        <x:f ca="1">IFERROR(IF(0=LEN(ReferenceData!$S$137),"",ReferenceData!$S$137),"")</x:f>
        <x:v/>
      </x:c>
    </x:row>
    <x:row r="138" spans="1:19" x14ac:dyDescent="0.25">
      <x:c r="A138" t="str">
        <x:f>IFERROR(IF(0=LEN(ReferenceData!$A$138),"",ReferenceData!$A$138),"")</x:f>
        <x:v xml:space="preserve">        VanEck Vectors Unconventional</x:v>
      </x:c>
      <x:c r="B138" t="str">
        <x:f>IFERROR(IF(0=LEN(ReferenceData!$B$138),"",ReferenceData!$B$138),"")</x:f>
        <x:v>FRAK US Equity</x:v>
      </x:c>
      <x:c r="C138" t="str">
        <x:f>IFERROR(IF(0=LEN(ReferenceData!$C$138),"",ReferenceData!$C$138),"")</x:f>
        <x:v/>
      </x:c>
      <x:c r="D138" t="str">
        <x:f>IFERROR(IF(0=LEN(ReferenceData!$D$138),"",ReferenceData!$D$138),"")</x:f>
        <x:v/>
      </x:c>
      <x:c r="E138" t="str">
        <x:f>IFERROR(IF(0=LEN(ReferenceData!$E$138),"",ReferenceData!$E$138),"")</x:f>
        <x:v>Expression</x:v>
      </x:c>
      <x:c r="F138" t="str">
        <x:f ca="1">IFERROR(IF(0=LEN(ReferenceData!$F$138),"",ReferenceData!$F$138),"")</x:f>
        <x:v/>
      </x:c>
      <x:c r="G138" t="str">
        <x:f ca="1">IFERROR(IF(0=LEN(ReferenceData!$G$138),"",ReferenceData!$G$138),"")</x:f>
        <x:v/>
      </x:c>
      <x:c r="H138" t="str">
        <x:f ca="1">IFERROR(IF(0=LEN(ReferenceData!$H$138),"",ReferenceData!$H$138),"")</x:f>
        <x:v/>
      </x:c>
      <x:c r="I138" t="str">
        <x:f ca="1">IFERROR(IF(0=LEN(ReferenceData!$I$138),"",ReferenceData!$I$138),"")</x:f>
        <x:v/>
      </x:c>
      <x:c r="J138" t="str">
        <x:f ca="1">IFERROR(IF(0=LEN(ReferenceData!$J$138),"",ReferenceData!$J$138),"")</x:f>
        <x:v/>
      </x:c>
      <x:c r="K138" t="str">
        <x:f ca="1">IFERROR(IF(0=LEN(ReferenceData!$K$138),"",ReferenceData!$K$138),"")</x:f>
        <x:v/>
      </x:c>
      <x:c r="L138" t="str">
        <x:f ca="1">IFERROR(IF(0=LEN(ReferenceData!$L$138),"",ReferenceData!$L$138),"")</x:f>
        <x:v/>
      </x:c>
      <x:c r="M138" t="str">
        <x:f ca="1">IFERROR(IF(0=LEN(ReferenceData!$M$138),"",ReferenceData!$M$138),"")</x:f>
        <x:v/>
      </x:c>
      <x:c r="N138" t="str">
        <x:f ca="1">IFERROR(IF(0=LEN(ReferenceData!$N$138),"",ReferenceData!$N$138),"")</x:f>
        <x:v/>
      </x:c>
      <x:c r="O138" t="str">
        <x:f ca="1">IFERROR(IF(0=LEN(ReferenceData!$O$138),"",ReferenceData!$O$138),"")</x:f>
        <x:v/>
      </x:c>
      <x:c r="P138" t="str">
        <x:f ca="1">IFERROR(IF(0=LEN(ReferenceData!$P$138),"",ReferenceData!$P$138),"")</x:f>
        <x:v/>
      </x:c>
      <x:c r="Q138" t="str">
        <x:f ca="1">IFERROR(IF(0=LEN(ReferenceData!$Q$138),"",ReferenceData!$Q$138),"")</x:f>
        <x:v/>
      </x:c>
      <x:c r="R138" t="str">
        <x:f ca="1">IFERROR(IF(0=LEN(ReferenceData!$R$138),"",ReferenceData!$R$138),"")</x:f>
        <x:v/>
      </x:c>
      <x:c r="S138" t="str">
        <x:f ca="1">IFERROR(IF(0=LEN(ReferenceData!$S$138),"",ReferenceData!$S$138),"")</x:f>
        <x:v/>
      </x:c>
    </x:row>
    <x:row r="139" spans="1:19" x14ac:dyDescent="0.25">
      <x:c r="A139" t="str">
        <x:f>IFERROR(IF(0=LEN(ReferenceData!$A$139),"",ReferenceData!$A$139),"")</x:f>
        <x:v xml:space="preserve">        Direxion Daily Natural Gas Rel</x:v>
      </x:c>
      <x:c r="B139" t="str">
        <x:f>IFERROR(IF(0=LEN(ReferenceData!$B$139),"",ReferenceData!$B$139),"")</x:f>
        <x:v>GASL US Equity</x:v>
      </x:c>
      <x:c r="C139" t="str">
        <x:f>IFERROR(IF(0=LEN(ReferenceData!$C$139),"",ReferenceData!$C$139),"")</x:f>
        <x:v/>
      </x:c>
      <x:c r="D139" t="str">
        <x:f>IFERROR(IF(0=LEN(ReferenceData!$D$139),"",ReferenceData!$D$139),"")</x:f>
        <x:v/>
      </x:c>
      <x:c r="E139" t="str">
        <x:f>IFERROR(IF(0=LEN(ReferenceData!$E$139),"",ReferenceData!$E$139),"")</x:f>
        <x:v>Expression</x:v>
      </x:c>
      <x:c r="F139" t="str">
        <x:f ca="1">IFERROR(IF(0=LEN(ReferenceData!$F$139),"",ReferenceData!$F$139),"")</x:f>
        <x:v/>
      </x:c>
      <x:c r="G139" t="str">
        <x:f ca="1">IFERROR(IF(0=LEN(ReferenceData!$G$139),"",ReferenceData!$G$139),"")</x:f>
        <x:v/>
      </x:c>
      <x:c r="H139" t="str">
        <x:f ca="1">IFERROR(IF(0=LEN(ReferenceData!$H$139),"",ReferenceData!$H$139),"")</x:f>
        <x:v/>
      </x:c>
      <x:c r="I139" t="str">
        <x:f ca="1">IFERROR(IF(0=LEN(ReferenceData!$I$139),"",ReferenceData!$I$139),"")</x:f>
        <x:v/>
      </x:c>
      <x:c r="J139" t="str">
        <x:f ca="1">IFERROR(IF(0=LEN(ReferenceData!$J$139),"",ReferenceData!$J$139),"")</x:f>
        <x:v/>
      </x:c>
      <x:c r="K139" t="str">
        <x:f ca="1">IFERROR(IF(0=LEN(ReferenceData!$K$139),"",ReferenceData!$K$139),"")</x:f>
        <x:v/>
      </x:c>
      <x:c r="L139" t="str">
        <x:f ca="1">IFERROR(IF(0=LEN(ReferenceData!$L$139),"",ReferenceData!$L$139),"")</x:f>
        <x:v/>
      </x:c>
      <x:c r="M139" t="str">
        <x:f ca="1">IFERROR(IF(0=LEN(ReferenceData!$M$139),"",ReferenceData!$M$139),"")</x:f>
        <x:v/>
      </x:c>
      <x:c r="N139" t="str">
        <x:f ca="1">IFERROR(IF(0=LEN(ReferenceData!$N$139),"",ReferenceData!$N$139),"")</x:f>
        <x:v/>
      </x:c>
      <x:c r="O139" t="str">
        <x:f ca="1">IFERROR(IF(0=LEN(ReferenceData!$O$139),"",ReferenceData!$O$139),"")</x:f>
        <x:v/>
      </x:c>
      <x:c r="P139" t="str">
        <x:f ca="1">IFERROR(IF(0=LEN(ReferenceData!$P$139),"",ReferenceData!$P$139),"")</x:f>
        <x:v/>
      </x:c>
      <x:c r="Q139" t="str">
        <x:f ca="1">IFERROR(IF(0=LEN(ReferenceData!$Q$139),"",ReferenceData!$Q$139),"")</x:f>
        <x:v/>
      </x:c>
      <x:c r="R139" t="str">
        <x:f ca="1">IFERROR(IF(0=LEN(ReferenceData!$R$139),"",ReferenceData!$R$139),"")</x:f>
        <x:v/>
      </x:c>
      <x:c r="S139" t="str">
        <x:f ca="1">IFERROR(IF(0=LEN(ReferenceData!$S$139),"",ReferenceData!$S$139),"")</x:f>
        <x:v/>
      </x:c>
    </x:row>
    <x:row r="140" spans="1:19" x14ac:dyDescent="0.25">
      <x:c r="A140" t="str">
        <x:f>IFERROR(IF(0=LEN(ReferenceData!$A$140),"",ReferenceData!$A$140),"")</x:f>
        <x:v xml:space="preserve">        Invesco S&amp;P SmallCap Energy ET</x:v>
      </x:c>
      <x:c r="B140" t="str">
        <x:f>IFERROR(IF(0=LEN(ReferenceData!$B$140),"",ReferenceData!$B$140),"")</x:f>
        <x:v>PSCE US Equity</x:v>
      </x:c>
      <x:c r="C140" t="str">
        <x:f>IFERROR(IF(0=LEN(ReferenceData!$C$140),"",ReferenceData!$C$140),"")</x:f>
        <x:v/>
      </x:c>
      <x:c r="D140" t="str">
        <x:f>IFERROR(IF(0=LEN(ReferenceData!$D$140),"",ReferenceData!$D$140),"")</x:f>
        <x:v/>
      </x:c>
      <x:c r="E140" t="str">
        <x:f>IFERROR(IF(0=LEN(ReferenceData!$E$140),"",ReferenceData!$E$140),"")</x:f>
        <x:v>Expression</x:v>
      </x:c>
      <x:c r="F140">
        <x:f ca="1">IFERROR(IF(0=LEN(ReferenceData!$F$140),"",ReferenceData!$F$140),"")</x:f>
        <x:v>-19.986689999999999</x:v>
      </x:c>
      <x:c r="G140">
        <x:f ca="1">IFERROR(IF(0=LEN(ReferenceData!$G$140),"",ReferenceData!$G$140),"")</x:f>
        <x:v>9.322673</x:v>
      </x:c>
      <x:c r="H140">
        <x:f ca="1">IFERROR(IF(0=LEN(ReferenceData!$H$140),"",ReferenceData!$H$140),"")</x:f>
        <x:v>6.3909710000000004</x:v>
      </x:c>
      <x:c r="I140">
        <x:f ca="1">IFERROR(IF(0=LEN(ReferenceData!$I$140),"",ReferenceData!$I$140),"")</x:f>
        <x:v>7.2656419999999997</x:v>
      </x:c>
      <x:c r="J140">
        <x:f ca="1">IFERROR(IF(0=LEN(ReferenceData!$J$140),"",ReferenceData!$J$140),"")</x:f>
        <x:v>4.5889150000000001</x:v>
      </x:c>
      <x:c r="K140">
        <x:f ca="1">IFERROR(IF(0=LEN(ReferenceData!$K$140),"",ReferenceData!$K$140),"")</x:f>
        <x:v>-4.3793769999999999</x:v>
      </x:c>
      <x:c r="L140">
        <x:f ca="1">IFERROR(IF(0=LEN(ReferenceData!$L$140),"",ReferenceData!$L$140),"")</x:f>
        <x:v>13.319614</x:v>
      </x:c>
      <x:c r="M140">
        <x:f ca="1">IFERROR(IF(0=LEN(ReferenceData!$M$140),"",ReferenceData!$M$140),"")</x:f>
        <x:v>74.058565000000002</x:v>
      </x:c>
      <x:c r="N140">
        <x:f ca="1">IFERROR(IF(0=LEN(ReferenceData!$N$140),"",ReferenceData!$N$140),"")</x:f>
        <x:v>-6.1036590000000004</x:v>
      </x:c>
      <x:c r="O140">
        <x:f ca="1">IFERROR(IF(0=LEN(ReferenceData!$O$140),"",ReferenceData!$O$140),"")</x:f>
        <x:v>-4.4102839999999999</x:v>
      </x:c>
      <x:c r="P140">
        <x:f ca="1">IFERROR(IF(0=LEN(ReferenceData!$P$140),"",ReferenceData!$P$140),"")</x:f>
        <x:v>5.2454130000000001</x:v>
      </x:c>
      <x:c r="Q140">
        <x:f ca="1">IFERROR(IF(0=LEN(ReferenceData!$Q$140),"",ReferenceData!$Q$140),"")</x:f>
        <x:v>-11.943269000000001</x:v>
      </x:c>
      <x:c r="R140">
        <x:f ca="1">IFERROR(IF(0=LEN(ReferenceData!$R$140),"",ReferenceData!$R$140),"")</x:f>
        <x:v>4.2604680000000004</x:v>
      </x:c>
      <x:c r="S140">
        <x:f ca="1">IFERROR(IF(0=LEN(ReferenceData!$S$140),"",ReferenceData!$S$140),"")</x:f>
        <x:v>4.769539</x:v>
      </x:c>
    </x:row>
    <x:row r="141" spans="1:19" x14ac:dyDescent="0.25">
      <x:c r="A141" t="str">
        <x:f>IFERROR(IF(0=LEN(ReferenceData!$A$141),"",ReferenceData!$A$141),"")</x:f>
        <x:v xml:space="preserve">        ETRACS Alerian MLP Infrastruct</x:v>
      </x:c>
      <x:c r="B141" t="str">
        <x:f>IFERROR(IF(0=LEN(ReferenceData!$B$141),"",ReferenceData!$B$141),"")</x:f>
        <x:v>MLPB US Equity</x:v>
      </x:c>
      <x:c r="C141" t="str">
        <x:f>IFERROR(IF(0=LEN(ReferenceData!$C$141),"",ReferenceData!$C$141),"")</x:f>
        <x:v/>
      </x:c>
      <x:c r="D141" t="str">
        <x:f>IFERROR(IF(0=LEN(ReferenceData!$D$141),"",ReferenceData!$D$141),"")</x:f>
        <x:v/>
      </x:c>
      <x:c r="E141" t="str">
        <x:f>IFERROR(IF(0=LEN(ReferenceData!$E$141),"",ReferenceData!$E$141),"")</x:f>
        <x:v>Expression</x:v>
      </x:c>
      <x:c r="F141">
        <x:f ca="1">IFERROR(IF(0=LEN(ReferenceData!$F$141),"",ReferenceData!$F$141),"")</x:f>
        <x:v>0</x:v>
      </x:c>
      <x:c r="G141">
        <x:f ca="1">IFERROR(IF(0=LEN(ReferenceData!$G$141),"",ReferenceData!$G$141),"")</x:f>
        <x:v>0</x:v>
      </x:c>
      <x:c r="H141">
        <x:f ca="1">IFERROR(IF(0=LEN(ReferenceData!$H$141),"",ReferenceData!$H$141),"")</x:f>
        <x:v>0</x:v>
      </x:c>
      <x:c r="I141">
        <x:f ca="1">IFERROR(IF(0=LEN(ReferenceData!$I$141),"",ReferenceData!$I$141),"")</x:f>
        <x:v>0</x:v>
      </x:c>
      <x:c r="J141">
        <x:f ca="1">IFERROR(IF(0=LEN(ReferenceData!$J$141),"",ReferenceData!$J$141),"")</x:f>
        <x:v>0</x:v>
      </x:c>
      <x:c r="K141">
        <x:f ca="1">IFERROR(IF(0=LEN(ReferenceData!$K$141),"",ReferenceData!$K$141),"")</x:f>
        <x:v>-15.631360000000001</x:v>
      </x:c>
      <x:c r="L141">
        <x:f ca="1">IFERROR(IF(0=LEN(ReferenceData!$L$141),"",ReferenceData!$L$141),"")</x:f>
        <x:v>-16.7607</x:v>
      </x:c>
      <x:c r="M141">
        <x:f ca="1">IFERROR(IF(0=LEN(ReferenceData!$M$141),"",ReferenceData!$M$141),"")</x:f>
        <x:v>-9.3912999999999993</x:v>
      </x:c>
      <x:c r="N141">
        <x:f ca="1">IFERROR(IF(0=LEN(ReferenceData!$N$141),"",ReferenceData!$N$141),"")</x:f>
        <x:v>0</x:v>
      </x:c>
      <x:c r="O141">
        <x:f ca="1">IFERROR(IF(0=LEN(ReferenceData!$O$141),"",ReferenceData!$O$141),"")</x:f>
        <x:v>0</x:v>
      </x:c>
      <x:c r="P141">
        <x:f ca="1">IFERROR(IF(0=LEN(ReferenceData!$P$141),"",ReferenceData!$P$141),"")</x:f>
        <x:v>0</x:v>
      </x:c>
      <x:c r="Q141">
        <x:f ca="1">IFERROR(IF(0=LEN(ReferenceData!$Q$141),"",ReferenceData!$Q$141),"")</x:f>
        <x:v>0</x:v>
      </x:c>
      <x:c r="R141">
        <x:f ca="1">IFERROR(IF(0=LEN(ReferenceData!$R$141),"",ReferenceData!$R$141),"")</x:f>
        <x:v>0</x:v>
      </x:c>
      <x:c r="S141">
        <x:f ca="1">IFERROR(IF(0=LEN(ReferenceData!$S$141),"",ReferenceData!$S$141),"")</x:f>
        <x:v>0</x:v>
      </x:c>
    </x:row>
    <x:row r="142" spans="1:19" x14ac:dyDescent="0.25">
      <x:c r="A142" t="str">
        <x:f>IFERROR(IF(0=LEN(ReferenceData!$A$142),"",ReferenceData!$A$142),"")</x:f>
        <x:v xml:space="preserve">        Direxion Daily Energy Bear 2X</x:v>
      </x:c>
      <x:c r="B142" t="str">
        <x:f>IFERROR(IF(0=LEN(ReferenceData!$B$142),"",ReferenceData!$B$142),"")</x:f>
        <x:v>ERY US Equity</x:v>
      </x:c>
      <x:c r="C142" t="str">
        <x:f>IFERROR(IF(0=LEN(ReferenceData!$C$142),"",ReferenceData!$C$142),"")</x:f>
        <x:v/>
      </x:c>
      <x:c r="D142" t="str">
        <x:f>IFERROR(IF(0=LEN(ReferenceData!$D$142),"",ReferenceData!$D$142),"")</x:f>
        <x:v/>
      </x:c>
      <x:c r="E142" t="str">
        <x:f>IFERROR(IF(0=LEN(ReferenceData!$E$142),"",ReferenceData!$E$142),"")</x:f>
        <x:v>Expression</x:v>
      </x:c>
      <x:c r="F142">
        <x:f ca="1">IFERROR(IF(0=LEN(ReferenceData!$F$142),"",ReferenceData!$F$142),"")</x:f>
        <x:v>-2.678912</x:v>
      </x:c>
      <x:c r="G142">
        <x:f ca="1">IFERROR(IF(0=LEN(ReferenceData!$G$142),"",ReferenceData!$G$142),"")</x:f>
        <x:v>-7.6144569999999998</x:v>
      </x:c>
      <x:c r="H142">
        <x:f ca="1">IFERROR(IF(0=LEN(ReferenceData!$H$142),"",ReferenceData!$H$142),"")</x:f>
        <x:v>4.9811959999999997</x:v>
      </x:c>
      <x:c r="I142">
        <x:f ca="1">IFERROR(IF(0=LEN(ReferenceData!$I$142),"",ReferenceData!$I$142),"")</x:f>
        <x:v>5.749822</x:v>
      </x:c>
      <x:c r="J142">
        <x:f ca="1">IFERROR(IF(0=LEN(ReferenceData!$J$142),"",ReferenceData!$J$142),"")</x:f>
        <x:v>-0.202347</x:v>
      </x:c>
      <x:c r="K142">
        <x:f ca="1">IFERROR(IF(0=LEN(ReferenceData!$K$142),"",ReferenceData!$K$142),"")</x:f>
        <x:v>0.107139</x:v>
      </x:c>
      <x:c r="L142">
        <x:f ca="1">IFERROR(IF(0=LEN(ReferenceData!$L$142),"",ReferenceData!$L$142),"")</x:f>
        <x:v>-8.1552869999999995</x:v>
      </x:c>
      <x:c r="M142">
        <x:f ca="1">IFERROR(IF(0=LEN(ReferenceData!$M$142),"",ReferenceData!$M$142),"")</x:f>
        <x:v>1.530016</x:v>
      </x:c>
      <x:c r="N142">
        <x:f ca="1">IFERROR(IF(0=LEN(ReferenceData!$N$142),"",ReferenceData!$N$142),"")</x:f>
        <x:v>-4.450323</x:v>
      </x:c>
      <x:c r="O142">
        <x:f ca="1">IFERROR(IF(0=LEN(ReferenceData!$O$142),"",ReferenceData!$O$142),"")</x:f>
        <x:v>-4.3862519999999998</x:v>
      </x:c>
      <x:c r="P142">
        <x:f ca="1">IFERROR(IF(0=LEN(ReferenceData!$P$142),"",ReferenceData!$P$142),"")</x:f>
        <x:v>-2.9838E-2</x:v>
      </x:c>
      <x:c r="Q142">
        <x:f ca="1">IFERROR(IF(0=LEN(ReferenceData!$Q$142),"",ReferenceData!$Q$142),"")</x:f>
        <x:v>-16.934676</x:v>
      </x:c>
      <x:c r="R142">
        <x:f ca="1">IFERROR(IF(0=LEN(ReferenceData!$R$142),"",ReferenceData!$R$142),"")</x:f>
        <x:v>15.958142</x:v>
      </x:c>
      <x:c r="S142">
        <x:f ca="1">IFERROR(IF(0=LEN(ReferenceData!$S$142),"",ReferenceData!$S$142),"")</x:f>
        <x:v>6.5967039999999999</x:v>
      </x:c>
    </x:row>
    <x:row r="143" spans="1:19" x14ac:dyDescent="0.25">
      <x:c r="A143" t="str">
        <x:f>IFERROR(IF(0=LEN(ReferenceData!$A$143),"",ReferenceData!$A$143),"")</x:f>
        <x:v xml:space="preserve">        VanEck Vectors High Income Inf</x:v>
      </x:c>
      <x:c r="B143" t="str">
        <x:f>IFERROR(IF(0=LEN(ReferenceData!$B$143),"",ReferenceData!$B$143),"")</x:f>
        <x:v>YMLI US Equity</x:v>
      </x:c>
      <x:c r="C143" t="str">
        <x:f>IFERROR(IF(0=LEN(ReferenceData!$C$143),"",ReferenceData!$C$143),"")</x:f>
        <x:v/>
      </x:c>
      <x:c r="D143" t="str">
        <x:f>IFERROR(IF(0=LEN(ReferenceData!$D$143),"",ReferenceData!$D$143),"")</x:f>
        <x:v/>
      </x:c>
      <x:c r="E143" t="str">
        <x:f>IFERROR(IF(0=LEN(ReferenceData!$E$143),"",ReferenceData!$E$143),"")</x:f>
        <x:v>Expression</x:v>
      </x:c>
      <x:c r="F143" t="str">
        <x:f ca="1">IFERROR(IF(0=LEN(ReferenceData!$F$143),"",ReferenceData!$F$143),"")</x:f>
        <x:v/>
      </x:c>
      <x:c r="G143" t="str">
        <x:f ca="1">IFERROR(IF(0=LEN(ReferenceData!$G$143),"",ReferenceData!$G$143),"")</x:f>
        <x:v/>
      </x:c>
      <x:c r="H143" t="str">
        <x:f ca="1">IFERROR(IF(0=LEN(ReferenceData!$H$143),"",ReferenceData!$H$143),"")</x:f>
        <x:v/>
      </x:c>
      <x:c r="I143" t="str">
        <x:f ca="1">IFERROR(IF(0=LEN(ReferenceData!$I$143),"",ReferenceData!$I$143),"")</x:f>
        <x:v/>
      </x:c>
      <x:c r="J143" t="str">
        <x:f ca="1">IFERROR(IF(0=LEN(ReferenceData!$J$143),"",ReferenceData!$J$143),"")</x:f>
        <x:v/>
      </x:c>
      <x:c r="K143" t="str">
        <x:f ca="1">IFERROR(IF(0=LEN(ReferenceData!$K$143),"",ReferenceData!$K$143),"")</x:f>
        <x:v/>
      </x:c>
      <x:c r="L143" t="str">
        <x:f ca="1">IFERROR(IF(0=LEN(ReferenceData!$L$143),"",ReferenceData!$L$143),"")</x:f>
        <x:v/>
      </x:c>
      <x:c r="M143" t="str">
        <x:f ca="1">IFERROR(IF(0=LEN(ReferenceData!$M$143),"",ReferenceData!$M$143),"")</x:f>
        <x:v/>
      </x:c>
      <x:c r="N143" t="str">
        <x:f ca="1">IFERROR(IF(0=LEN(ReferenceData!$N$143),"",ReferenceData!$N$143),"")</x:f>
        <x:v/>
      </x:c>
      <x:c r="O143" t="str">
        <x:f ca="1">IFERROR(IF(0=LEN(ReferenceData!$O$143),"",ReferenceData!$O$143),"")</x:f>
        <x:v/>
      </x:c>
      <x:c r="P143" t="str">
        <x:f ca="1">IFERROR(IF(0=LEN(ReferenceData!$P$143),"",ReferenceData!$P$143),"")</x:f>
        <x:v/>
      </x:c>
      <x:c r="Q143" t="str">
        <x:f ca="1">IFERROR(IF(0=LEN(ReferenceData!$Q$143),"",ReferenceData!$Q$143),"")</x:f>
        <x:v/>
      </x:c>
      <x:c r="R143" t="str">
        <x:f ca="1">IFERROR(IF(0=LEN(ReferenceData!$R$143),"",ReferenceData!$R$143),"")</x:f>
        <x:v/>
      </x:c>
      <x:c r="S143" t="str">
        <x:f ca="1">IFERROR(IF(0=LEN(ReferenceData!$S$143),"",ReferenceData!$S$143),"")</x:f>
        <x:v/>
      </x:c>
    </x:row>
    <x:row r="144" spans="1:19" x14ac:dyDescent="0.25">
      <x:c r="A144" t="str">
        <x:f>IFERROR(IF(0=LEN(ReferenceData!$A$144),"",ReferenceData!$A$144),"")</x:f>
        <x:v xml:space="preserve">        iShares MSCI Global Energy Pro</x:v>
      </x:c>
      <x:c r="B144" t="str">
        <x:f>IFERROR(IF(0=LEN(ReferenceData!$B$144),"",ReferenceData!$B$144),"")</x:f>
        <x:v>FILL US Equity</x:v>
      </x:c>
      <x:c r="C144" t="str">
        <x:f>IFERROR(IF(0=LEN(ReferenceData!$C$144),"",ReferenceData!$C$144),"")</x:f>
        <x:v/>
      </x:c>
      <x:c r="D144" t="str">
        <x:f>IFERROR(IF(0=LEN(ReferenceData!$D$144),"",ReferenceData!$D$144),"")</x:f>
        <x:v/>
      </x:c>
      <x:c r="E144" t="str">
        <x:f>IFERROR(IF(0=LEN(ReferenceData!$E$144),"",ReferenceData!$E$144),"")</x:f>
        <x:v>Expression</x:v>
      </x:c>
      <x:c r="F144">
        <x:f ca="1">IFERROR(IF(0=LEN(ReferenceData!$F$144),"",ReferenceData!$F$144),"")</x:f>
        <x:v>0</x:v>
      </x:c>
      <x:c r="G144">
        <x:f ca="1">IFERROR(IF(0=LEN(ReferenceData!$G$144),"",ReferenceData!$G$144),"")</x:f>
        <x:v>0</x:v>
      </x:c>
      <x:c r="H144">
        <x:f ca="1">IFERROR(IF(0=LEN(ReferenceData!$H$144),"",ReferenceData!$H$144),"")</x:f>
        <x:v>0</x:v>
      </x:c>
      <x:c r="I144">
        <x:f ca="1">IFERROR(IF(0=LEN(ReferenceData!$I$144),"",ReferenceData!$I$144),"")</x:f>
        <x:v>0</x:v>
      </x:c>
      <x:c r="J144">
        <x:f ca="1">IFERROR(IF(0=LEN(ReferenceData!$J$144),"",ReferenceData!$J$144),"")</x:f>
        <x:v>0</x:v>
      </x:c>
      <x:c r="K144">
        <x:f ca="1">IFERROR(IF(0=LEN(ReferenceData!$K$144),"",ReferenceData!$K$144),"")</x:f>
        <x:v>0</x:v>
      </x:c>
      <x:c r="L144">
        <x:f ca="1">IFERROR(IF(0=LEN(ReferenceData!$L$144),"",ReferenceData!$L$144),"")</x:f>
        <x:v>-4.5947399999999998</x:v>
      </x:c>
      <x:c r="M144">
        <x:f ca="1">IFERROR(IF(0=LEN(ReferenceData!$M$144),"",ReferenceData!$M$144),"")</x:f>
        <x:v>0</x:v>
      </x:c>
      <x:c r="N144">
        <x:f ca="1">IFERROR(IF(0=LEN(ReferenceData!$N$144),"",ReferenceData!$N$144),"")</x:f>
        <x:v>0</x:v>
      </x:c>
      <x:c r="O144">
        <x:f ca="1">IFERROR(IF(0=LEN(ReferenceData!$O$144),"",ReferenceData!$O$144),"")</x:f>
        <x:v>-7.230105</x:v>
      </x:c>
      <x:c r="P144">
        <x:f ca="1">IFERROR(IF(0=LEN(ReferenceData!$P$144),"",ReferenceData!$P$144),"")</x:f>
        <x:v>0</x:v>
      </x:c>
      <x:c r="Q144">
        <x:f ca="1">IFERROR(IF(0=LEN(ReferenceData!$Q$144),"",ReferenceData!$Q$144),"")</x:f>
        <x:v>0</x:v>
      </x:c>
      <x:c r="R144">
        <x:f ca="1">IFERROR(IF(0=LEN(ReferenceData!$R$144),"",ReferenceData!$R$144),"")</x:f>
        <x:v>0</x:v>
      </x:c>
      <x:c r="S144">
        <x:f ca="1">IFERROR(IF(0=LEN(ReferenceData!$S$144),"",ReferenceData!$S$144),"")</x:f>
        <x:v>0</x:v>
      </x:c>
    </x:row>
    <x:row r="145" spans="1:19" x14ac:dyDescent="0.25">
      <x:c r="A145" t="str">
        <x:f>IFERROR(IF(0=LEN(ReferenceData!$A$145),"",ReferenceData!$A$145),"")</x:f>
        <x:v xml:space="preserve">        ProShares UltraShort Energy</x:v>
      </x:c>
      <x:c r="B145" t="str">
        <x:f>IFERROR(IF(0=LEN(ReferenceData!$B$145),"",ReferenceData!$B$145),"")</x:f>
        <x:v>DUG US Equity</x:v>
      </x:c>
      <x:c r="C145" t="str">
        <x:f>IFERROR(IF(0=LEN(ReferenceData!$C$145),"",ReferenceData!$C$145),"")</x:f>
        <x:v/>
      </x:c>
      <x:c r="D145" t="str">
        <x:f>IFERROR(IF(0=LEN(ReferenceData!$D$145),"",ReferenceData!$D$145),"")</x:f>
        <x:v/>
      </x:c>
      <x:c r="E145" t="str">
        <x:f>IFERROR(IF(0=LEN(ReferenceData!$E$145),"",ReferenceData!$E$145),"")</x:f>
        <x:v>Expression</x:v>
      </x:c>
      <x:c r="F145">
        <x:f ca="1">IFERROR(IF(0=LEN(ReferenceData!$F$145),"",ReferenceData!$F$145),"")</x:f>
        <x:v>-9.0221699999999991</x:v>
      </x:c>
      <x:c r="G145">
        <x:f ca="1">IFERROR(IF(0=LEN(ReferenceData!$G$145),"",ReferenceData!$G$145),"")</x:f>
        <x:v>-3.9051900000000002</x:v>
      </x:c>
      <x:c r="H145">
        <x:f ca="1">IFERROR(IF(0=LEN(ReferenceData!$H$145),"",ReferenceData!$H$145),"")</x:f>
        <x:v>0.50404499999999997</x:v>
      </x:c>
      <x:c r="I145">
        <x:f ca="1">IFERROR(IF(0=LEN(ReferenceData!$I$145),"",ReferenceData!$I$145),"")</x:f>
        <x:v>2.2418149999999999</x:v>
      </x:c>
      <x:c r="J145">
        <x:f ca="1">IFERROR(IF(0=LEN(ReferenceData!$J$145),"",ReferenceData!$J$145),"")</x:f>
        <x:v>10.071915000000001</x:v>
      </x:c>
      <x:c r="K145">
        <x:f ca="1">IFERROR(IF(0=LEN(ReferenceData!$K$145),"",ReferenceData!$K$145),"")</x:f>
        <x:v>-4.5835000000000001E-2</x:v>
      </x:c>
      <x:c r="L145">
        <x:f ca="1">IFERROR(IF(0=LEN(ReferenceData!$L$145),"",ReferenceData!$L$145),"")</x:f>
        <x:v>-4.919645</x:v>
      </x:c>
      <x:c r="M145">
        <x:f ca="1">IFERROR(IF(0=LEN(ReferenceData!$M$145),"",ReferenceData!$M$145),"")</x:f>
        <x:v>2.3886599999999998</x:v>
      </x:c>
      <x:c r="N145">
        <x:f ca="1">IFERROR(IF(0=LEN(ReferenceData!$N$145),"",ReferenceData!$N$145),"")</x:f>
        <x:v>-12.944625</x:v>
      </x:c>
      <x:c r="O145">
        <x:f ca="1">IFERROR(IF(0=LEN(ReferenceData!$O$145),"",ReferenceData!$O$145),"")</x:f>
        <x:v>-10.663935</x:v>
      </x:c>
      <x:c r="P145">
        <x:f ca="1">IFERROR(IF(0=LEN(ReferenceData!$P$145),"",ReferenceData!$P$145),"")</x:f>
        <x:v>-0.87354500000000002</x:v>
      </x:c>
      <x:c r="Q145">
        <x:f ca="1">IFERROR(IF(0=LEN(ReferenceData!$Q$145),"",ReferenceData!$Q$145),"")</x:f>
        <x:v>-14.382595</x:v>
      </x:c>
      <x:c r="R145">
        <x:f ca="1">IFERROR(IF(0=LEN(ReferenceData!$R$145),"",ReferenceData!$R$145),"")</x:f>
        <x:v>21.29871</x:v>
      </x:c>
      <x:c r="S145">
        <x:f ca="1">IFERROR(IF(0=LEN(ReferenceData!$S$145),"",ReferenceData!$S$145),"")</x:f>
        <x:v>9.5855999999999995</x:v>
      </x:c>
    </x:row>
    <x:row r="146" spans="1:19" x14ac:dyDescent="0.25">
      <x:c r="A146" t="str">
        <x:f>IFERROR(IF(0=LEN(ReferenceData!$A$146),"",ReferenceData!$A$146),"")</x:f>
        <x:v xml:space="preserve">        Credit Suisse X-Links WTI Crud</x:v>
      </x:c>
      <x:c r="B146" t="str">
        <x:f>IFERROR(IF(0=LEN(ReferenceData!$B$146),"",ReferenceData!$B$146),"")</x:f>
        <x:v>OIIL US Equity</x:v>
      </x:c>
      <x:c r="C146" t="str">
        <x:f>IFERROR(IF(0=LEN(ReferenceData!$C$146),"",ReferenceData!$C$146),"")</x:f>
        <x:v/>
      </x:c>
      <x:c r="D146" t="str">
        <x:f>IFERROR(IF(0=LEN(ReferenceData!$D$146),"",ReferenceData!$D$146),"")</x:f>
        <x:v/>
      </x:c>
      <x:c r="E146" t="str">
        <x:f>IFERROR(IF(0=LEN(ReferenceData!$E$146),"",ReferenceData!$E$146),"")</x:f>
        <x:v>Expression</x:v>
      </x:c>
      <x:c r="F146" t="str">
        <x:f ca="1">IFERROR(IF(0=LEN(ReferenceData!$F$146),"",ReferenceData!$F$146),"")</x:f>
        <x:v/>
      </x:c>
      <x:c r="G146" t="str">
        <x:f ca="1">IFERROR(IF(0=LEN(ReferenceData!$G$146),"",ReferenceData!$G$146),"")</x:f>
        <x:v/>
      </x:c>
      <x:c r="H146" t="str">
        <x:f ca="1">IFERROR(IF(0=LEN(ReferenceData!$H$146),"",ReferenceData!$H$146),"")</x:f>
        <x:v/>
      </x:c>
      <x:c r="I146" t="str">
        <x:f ca="1">IFERROR(IF(0=LEN(ReferenceData!$I$146),"",ReferenceData!$I$146),"")</x:f>
        <x:v/>
      </x:c>
      <x:c r="J146" t="str">
        <x:f ca="1">IFERROR(IF(0=LEN(ReferenceData!$J$146),"",ReferenceData!$J$146),"")</x:f>
        <x:v/>
      </x:c>
      <x:c r="K146" t="str">
        <x:f ca="1">IFERROR(IF(0=LEN(ReferenceData!$K$146),"",ReferenceData!$K$146),"")</x:f>
        <x:v/>
      </x:c>
      <x:c r="L146" t="str">
        <x:f ca="1">IFERROR(IF(0=LEN(ReferenceData!$L$146),"",ReferenceData!$L$146),"")</x:f>
        <x:v/>
      </x:c>
      <x:c r="M146" t="str">
        <x:f ca="1">IFERROR(IF(0=LEN(ReferenceData!$M$146),"",ReferenceData!$M$146),"")</x:f>
        <x:v/>
      </x:c>
      <x:c r="N146" t="str">
        <x:f ca="1">IFERROR(IF(0=LEN(ReferenceData!$N$146),"",ReferenceData!$N$146),"")</x:f>
        <x:v/>
      </x:c>
      <x:c r="O146" t="str">
        <x:f ca="1">IFERROR(IF(0=LEN(ReferenceData!$O$146),"",ReferenceData!$O$146),"")</x:f>
        <x:v/>
      </x:c>
      <x:c r="P146" t="str">
        <x:f ca="1">IFERROR(IF(0=LEN(ReferenceData!$P$146),"",ReferenceData!$P$146),"")</x:f>
        <x:v/>
      </x:c>
      <x:c r="Q146" t="str">
        <x:f ca="1">IFERROR(IF(0=LEN(ReferenceData!$Q$146),"",ReferenceData!$Q$146),"")</x:f>
        <x:v/>
      </x:c>
      <x:c r="R146" t="str">
        <x:f ca="1">IFERROR(IF(0=LEN(ReferenceData!$R$146),"",ReferenceData!$R$146),"")</x:f>
        <x:v/>
      </x:c>
      <x:c r="S146" t="str">
        <x:f ca="1">IFERROR(IF(0=LEN(ReferenceData!$S$146),"",ReferenceData!$S$146),"")</x:f>
        <x:v/>
      </x:c>
    </x:row>
    <x:row r="147" spans="1:19" x14ac:dyDescent="0.25">
      <x:c r="A147" t="str">
        <x:f>IFERROR(IF(0=LEN(ReferenceData!$A$147),"",ReferenceData!$A$147),"")</x:f>
        <x:v xml:space="preserve">        Alerian Energy Infrastructure</x:v>
      </x:c>
      <x:c r="B147" t="str">
        <x:f>IFERROR(IF(0=LEN(ReferenceData!$B$147),"",ReferenceData!$B$147),"")</x:f>
        <x:v>ENFR US Equity</x:v>
      </x:c>
      <x:c r="C147" t="str">
        <x:f>IFERROR(IF(0=LEN(ReferenceData!$C$147),"",ReferenceData!$C$147),"")</x:f>
        <x:v/>
      </x:c>
      <x:c r="D147" t="str">
        <x:f>IFERROR(IF(0=LEN(ReferenceData!$D$147),"",ReferenceData!$D$147),"")</x:f>
        <x:v/>
      </x:c>
      <x:c r="E147" t="str">
        <x:f>IFERROR(IF(0=LEN(ReferenceData!$E$147),"",ReferenceData!$E$147),"")</x:f>
        <x:v>Expression</x:v>
      </x:c>
      <x:c r="F147">
        <x:f ca="1">IFERROR(IF(0=LEN(ReferenceData!$F$147),"",ReferenceData!$F$147),"")</x:f>
        <x:v>1.1233109999999999</x:v>
      </x:c>
      <x:c r="G147">
        <x:f ca="1">IFERROR(IF(0=LEN(ReferenceData!$G$147),"",ReferenceData!$G$147),"")</x:f>
        <x:v>2.2737590000000001</x:v>
      </x:c>
      <x:c r="H147">
        <x:f ca="1">IFERROR(IF(0=LEN(ReferenceData!$H$147),"",ReferenceData!$H$147),"")</x:f>
        <x:v>0</x:v>
      </x:c>
      <x:c r="I147">
        <x:f ca="1">IFERROR(IF(0=LEN(ReferenceData!$I$147),"",ReferenceData!$I$147),"")</x:f>
        <x:v>0</x:v>
      </x:c>
      <x:c r="J147">
        <x:f ca="1">IFERROR(IF(0=LEN(ReferenceData!$J$147),"",ReferenceData!$J$147),"")</x:f>
        <x:v>-1.1207450000000001</x:v>
      </x:c>
      <x:c r="K147">
        <x:f ca="1">IFERROR(IF(0=LEN(ReferenceData!$K$147),"",ReferenceData!$K$147),"")</x:f>
        <x:v>-2.674677</x:v>
      </x:c>
      <x:c r="L147">
        <x:f ca="1">IFERROR(IF(0=LEN(ReferenceData!$L$147),"",ReferenceData!$L$147),"")</x:f>
        <x:v>-2.5566659999999999</x:v>
      </x:c>
      <x:c r="M147">
        <x:f ca="1">IFERROR(IF(0=LEN(ReferenceData!$M$147),"",ReferenceData!$M$147),"")</x:f>
        <x:v>-1.072338</x:v>
      </x:c>
      <x:c r="N147">
        <x:f ca="1">IFERROR(IF(0=LEN(ReferenceData!$N$147),"",ReferenceData!$N$147),"")</x:f>
        <x:v>-1.0010209999999999</x:v>
      </x:c>
      <x:c r="O147">
        <x:f ca="1">IFERROR(IF(0=LEN(ReferenceData!$O$147),"",ReferenceData!$O$147),"")</x:f>
        <x:v>-1.6605589999999999</x:v>
      </x:c>
      <x:c r="P147">
        <x:f ca="1">IFERROR(IF(0=LEN(ReferenceData!$P$147),"",ReferenceData!$P$147),"")</x:f>
        <x:v>-4.9843479999999998</x:v>
      </x:c>
      <x:c r="Q147">
        <x:f ca="1">IFERROR(IF(0=LEN(ReferenceData!$Q$147),"",ReferenceData!$Q$147),"")</x:f>
        <x:v>-1.552014</x:v>
      </x:c>
      <x:c r="R147">
        <x:f ca="1">IFERROR(IF(0=LEN(ReferenceData!$R$147),"",ReferenceData!$R$147),"")</x:f>
        <x:v>8.7915229999999998</x:v>
      </x:c>
      <x:c r="S147">
        <x:f ca="1">IFERROR(IF(0=LEN(ReferenceData!$S$147),"",ReferenceData!$S$147),"")</x:f>
        <x:v>-4.8332280000000001</x:v>
      </x:c>
    </x:row>
    <x:row r="148" spans="1:19" x14ac:dyDescent="0.25">
      <x:c r="A148" t="str">
        <x:f>IFERROR(IF(0=LEN(ReferenceData!$A$148),"",ReferenceData!$A$148),"")</x:f>
        <x:v xml:space="preserve">        Invesco Dynamic Oil &amp; Gas Serv</x:v>
      </x:c>
      <x:c r="B148" t="str">
        <x:f>IFERROR(IF(0=LEN(ReferenceData!$B$148),"",ReferenceData!$B$148),"")</x:f>
        <x:v>PXJ US Equity</x:v>
      </x:c>
      <x:c r="C148" t="str">
        <x:f>IFERROR(IF(0=LEN(ReferenceData!$C$148),"",ReferenceData!$C$148),"")</x:f>
        <x:v/>
      </x:c>
      <x:c r="D148" t="str">
        <x:f>IFERROR(IF(0=LEN(ReferenceData!$D$148),"",ReferenceData!$D$148),"")</x:f>
        <x:v/>
      </x:c>
      <x:c r="E148" t="str">
        <x:f>IFERROR(IF(0=LEN(ReferenceData!$E$148),"",ReferenceData!$E$148),"")</x:f>
        <x:v>Expression</x:v>
      </x:c>
      <x:c r="F148">
        <x:f ca="1">IFERROR(IF(0=LEN(ReferenceData!$F$148),"",ReferenceData!$F$148),"")</x:f>
        <x:v>5.8841169999999998</x:v>
      </x:c>
      <x:c r="G148">
        <x:f ca="1">IFERROR(IF(0=LEN(ReferenceData!$G$148),"",ReferenceData!$G$148),"")</x:f>
        <x:v>38.160263999999998</x:v>
      </x:c>
      <x:c r="H148">
        <x:f ca="1">IFERROR(IF(0=LEN(ReferenceData!$H$148),"",ReferenceData!$H$148),"")</x:f>
        <x:v>8.658512</x:v>
      </x:c>
      <x:c r="I148">
        <x:f ca="1">IFERROR(IF(0=LEN(ReferenceData!$I$148),"",ReferenceData!$I$148),"")</x:f>
        <x:v>-0.58120400000000005</x:v>
      </x:c>
      <x:c r="J148">
        <x:f ca="1">IFERROR(IF(0=LEN(ReferenceData!$J$148),"",ReferenceData!$J$148),"")</x:f>
        <x:v>-3.9389910000000001</x:v>
      </x:c>
      <x:c r="K148">
        <x:f ca="1">IFERROR(IF(0=LEN(ReferenceData!$K$148),"",ReferenceData!$K$148),"")</x:f>
        <x:v>-5.2836340000000002</x:v>
      </x:c>
      <x:c r="L148">
        <x:f ca="1">IFERROR(IF(0=LEN(ReferenceData!$L$148),"",ReferenceData!$L$148),"")</x:f>
        <x:v>-41.827621000000001</x:v>
      </x:c>
      <x:c r="M148">
        <x:f ca="1">IFERROR(IF(0=LEN(ReferenceData!$M$148),"",ReferenceData!$M$148),"")</x:f>
        <x:v>-6.3527659999999999</x:v>
      </x:c>
      <x:c r="N148">
        <x:f ca="1">IFERROR(IF(0=LEN(ReferenceData!$N$148),"",ReferenceData!$N$148),"")</x:f>
        <x:v>5.1873610000000001</x:v>
      </x:c>
      <x:c r="O148">
        <x:f ca="1">IFERROR(IF(0=LEN(ReferenceData!$O$148),"",ReferenceData!$O$148),"")</x:f>
        <x:v>11.195463</x:v>
      </x:c>
      <x:c r="P148">
        <x:f ca="1">IFERROR(IF(0=LEN(ReferenceData!$P$148),"",ReferenceData!$P$148),"")</x:f>
        <x:v>9.3405439999999995</x:v>
      </x:c>
      <x:c r="Q148">
        <x:f ca="1">IFERROR(IF(0=LEN(ReferenceData!$Q$148),"",ReferenceData!$Q$148),"")</x:f>
        <x:v>9.3550529999999998</x:v>
      </x:c>
      <x:c r="R148">
        <x:f ca="1">IFERROR(IF(0=LEN(ReferenceData!$R$148),"",ReferenceData!$R$148),"")</x:f>
        <x:v>7.2734100000000002</x:v>
      </x:c>
      <x:c r="S148">
        <x:f ca="1">IFERROR(IF(0=LEN(ReferenceData!$S$148),"",ReferenceData!$S$148),"")</x:f>
        <x:v>21.515637999999999</x:v>
      </x:c>
    </x:row>
    <x:row r="149" spans="1:19" x14ac:dyDescent="0.25">
      <x:c r="A149" t="str">
        <x:f>IFERROR(IF(0=LEN(ReferenceData!$A$149),"",ReferenceData!$A$149),"")</x:f>
        <x:v xml:space="preserve">        ETRACS S&amp;P GSCI Crude Oil Tota</x:v>
      </x:c>
      <x:c r="B149" t="str">
        <x:f>IFERROR(IF(0=LEN(ReferenceData!$B$149),"",ReferenceData!$B$149),"")</x:f>
        <x:v>OILX US Equity</x:v>
      </x:c>
      <x:c r="C149" t="str">
        <x:f>IFERROR(IF(0=LEN(ReferenceData!$C$149),"",ReferenceData!$C$149),"")</x:f>
        <x:v/>
      </x:c>
      <x:c r="D149" t="str">
        <x:f>IFERROR(IF(0=LEN(ReferenceData!$D$149),"",ReferenceData!$D$149),"")</x:f>
        <x:v/>
      </x:c>
      <x:c r="E149" t="str">
        <x:f>IFERROR(IF(0=LEN(ReferenceData!$E$149),"",ReferenceData!$E$149),"")</x:f>
        <x:v>Expression</x:v>
      </x:c>
      <x:c r="F149" t="str">
        <x:f ca="1">IFERROR(IF(0=LEN(ReferenceData!$F$149),"",ReferenceData!$F$149),"")</x:f>
        <x:v/>
      </x:c>
      <x:c r="G149" t="str">
        <x:f ca="1">IFERROR(IF(0=LEN(ReferenceData!$G$149),"",ReferenceData!$G$149),"")</x:f>
        <x:v/>
      </x:c>
      <x:c r="H149" t="str">
        <x:f ca="1">IFERROR(IF(0=LEN(ReferenceData!$H$149),"",ReferenceData!$H$149),"")</x:f>
        <x:v/>
      </x:c>
      <x:c r="I149" t="str">
        <x:f ca="1">IFERROR(IF(0=LEN(ReferenceData!$I$149),"",ReferenceData!$I$149),"")</x:f>
        <x:v/>
      </x:c>
      <x:c r="J149" t="str">
        <x:f ca="1">IFERROR(IF(0=LEN(ReferenceData!$J$149),"",ReferenceData!$J$149),"")</x:f>
        <x:v/>
      </x:c>
      <x:c r="K149" t="str">
        <x:f ca="1">IFERROR(IF(0=LEN(ReferenceData!$K$149),"",ReferenceData!$K$149),"")</x:f>
        <x:v/>
      </x:c>
      <x:c r="L149" t="str">
        <x:f ca="1">IFERROR(IF(0=LEN(ReferenceData!$L$149),"",ReferenceData!$L$149),"")</x:f>
        <x:v/>
      </x:c>
      <x:c r="M149" t="str">
        <x:f ca="1">IFERROR(IF(0=LEN(ReferenceData!$M$149),"",ReferenceData!$M$149),"")</x:f>
        <x:v/>
      </x:c>
      <x:c r="N149" t="str">
        <x:f ca="1">IFERROR(IF(0=LEN(ReferenceData!$N$149),"",ReferenceData!$N$149),"")</x:f>
        <x:v/>
      </x:c>
      <x:c r="O149" t="str">
        <x:f ca="1">IFERROR(IF(0=LEN(ReferenceData!$O$149),"",ReferenceData!$O$149),"")</x:f>
        <x:v/>
      </x:c>
      <x:c r="P149" t="str">
        <x:f ca="1">IFERROR(IF(0=LEN(ReferenceData!$P$149),"",ReferenceData!$P$149),"")</x:f>
        <x:v/>
      </x:c>
      <x:c r="Q149" t="str">
        <x:f ca="1">IFERROR(IF(0=LEN(ReferenceData!$Q$149),"",ReferenceData!$Q$149),"")</x:f>
        <x:v/>
      </x:c>
      <x:c r="R149" t="str">
        <x:f ca="1">IFERROR(IF(0=LEN(ReferenceData!$R$149),"",ReferenceData!$R$149),"")</x:f>
        <x:v/>
      </x:c>
      <x:c r="S149" t="str">
        <x:f ca="1">IFERROR(IF(0=LEN(ReferenceData!$S$149),"",ReferenceData!$S$149),"")</x:f>
        <x:v/>
      </x:c>
    </x:row>
    <x:row r="150" spans="1:19" x14ac:dyDescent="0.25">
      <x:c r="A150" t="str">
        <x:f>IFERROR(IF(0=LEN(ReferenceData!$A$150),"",ReferenceData!$A$150),"")</x:f>
        <x:v xml:space="preserve">        VanEck Uranium + Nuclear Energ</x:v>
      </x:c>
      <x:c r="B150" t="str">
        <x:f>IFERROR(IF(0=LEN(ReferenceData!$B$150),"",ReferenceData!$B$150),"")</x:f>
        <x:v>NLR US Equity</x:v>
      </x:c>
      <x:c r="C150" t="str">
        <x:f>IFERROR(IF(0=LEN(ReferenceData!$C$150),"",ReferenceData!$C$150),"")</x:f>
        <x:v/>
      </x:c>
      <x:c r="D150" t="str">
        <x:f>IFERROR(IF(0=LEN(ReferenceData!$D$150),"",ReferenceData!$D$150),"")</x:f>
        <x:v/>
      </x:c>
      <x:c r="E150" t="str">
        <x:f>IFERROR(IF(0=LEN(ReferenceData!$E$150),"",ReferenceData!$E$150),"")</x:f>
        <x:v>Expression</x:v>
      </x:c>
      <x:c r="F150">
        <x:f ca="1">IFERROR(IF(0=LEN(ReferenceData!$F$150),"",ReferenceData!$F$150),"")</x:f>
        <x:v>5.4910019999999999</x:v>
      </x:c>
      <x:c r="G150">
        <x:f ca="1">IFERROR(IF(0=LEN(ReferenceData!$G$150),"",ReferenceData!$G$150),"")</x:f>
        <x:v>1.442752</x:v>
      </x:c>
      <x:c r="H150">
        <x:f ca="1">IFERROR(IF(0=LEN(ReferenceData!$H$150),"",ReferenceData!$H$150),"")</x:f>
        <x:v>18.690391000000002</x:v>
      </x:c>
      <x:c r="I150">
        <x:f ca="1">IFERROR(IF(0=LEN(ReferenceData!$I$150),"",ReferenceData!$I$150),"")</x:f>
        <x:v>10.832729</x:v>
      </x:c>
      <x:c r="J150">
        <x:f ca="1">IFERROR(IF(0=LEN(ReferenceData!$J$150),"",ReferenceData!$J$150),"")</x:f>
        <x:v>8.9815290000000001</x:v>
      </x:c>
      <x:c r="K150">
        <x:f ca="1">IFERROR(IF(0=LEN(ReferenceData!$K$150),"",ReferenceData!$K$150),"")</x:f>
        <x:v>-2.90184</x:v>
      </x:c>
      <x:c r="L150">
        <x:f ca="1">IFERROR(IF(0=LEN(ReferenceData!$L$150),"",ReferenceData!$L$150),"")</x:f>
        <x:v>0</x:v>
      </x:c>
      <x:c r="M150">
        <x:f ca="1">IFERROR(IF(0=LEN(ReferenceData!$M$150),"",ReferenceData!$M$150),"")</x:f>
        <x:v>1.3760540000000001</x:v>
      </x:c>
      <x:c r="N150">
        <x:f ca="1">IFERROR(IF(0=LEN(ReferenceData!$N$150),"",ReferenceData!$N$150),"")</x:f>
        <x:v>1.3173360000000001</x:v>
      </x:c>
      <x:c r="O150">
        <x:f ca="1">IFERROR(IF(0=LEN(ReferenceData!$O$150),"",ReferenceData!$O$150),"")</x:f>
        <x:v>1.4504280000000001</x:v>
      </x:c>
      <x:c r="P150">
        <x:f ca="1">IFERROR(IF(0=LEN(ReferenceData!$P$150),"",ReferenceData!$P$150),"")</x:f>
        <x:v>0</x:v>
      </x:c>
      <x:c r="Q150">
        <x:f ca="1">IFERROR(IF(0=LEN(ReferenceData!$Q$150),"",ReferenceData!$Q$150),"")</x:f>
        <x:v>-2.7865310000000001</x:v>
      </x:c>
      <x:c r="R150">
        <x:f ca="1">IFERROR(IF(0=LEN(ReferenceData!$R$150),"",ReferenceData!$R$150),"")</x:f>
        <x:v>1.381883</x:v>
      </x:c>
      <x:c r="S150">
        <x:f ca="1">IFERROR(IF(0=LEN(ReferenceData!$S$150),"",ReferenceData!$S$150),"")</x:f>
        <x:v>3.9643470000000001</x:v>
      </x:c>
    </x:row>
    <x:row r="151" spans="1:19" x14ac:dyDescent="0.25">
      <x:c r="A151" t="str">
        <x:f>IFERROR(IF(0=LEN(ReferenceData!$A$151),"",ReferenceData!$A$151),"")</x:f>
        <x:v xml:space="preserve">        ETRACS Alerian MLP Index ETN S</x:v>
      </x:c>
      <x:c r="B151" t="str">
        <x:f>IFERROR(IF(0=LEN(ReferenceData!$B$151),"",ReferenceData!$B$151),"")</x:f>
        <x:v>AMUB US Equity</x:v>
      </x:c>
      <x:c r="C151" t="str">
        <x:f>IFERROR(IF(0=LEN(ReferenceData!$C$151),"",ReferenceData!$C$151),"")</x:f>
        <x:v/>
      </x:c>
      <x:c r="D151" t="str">
        <x:f>IFERROR(IF(0=LEN(ReferenceData!$D$151),"",ReferenceData!$D$151),"")</x:f>
        <x:v/>
      </x:c>
      <x:c r="E151" t="str">
        <x:f>IFERROR(IF(0=LEN(ReferenceData!$E$151),"",ReferenceData!$E$151),"")</x:f>
        <x:v>Expression</x:v>
      </x:c>
      <x:c r="F151">
        <x:f ca="1">IFERROR(IF(0=LEN(ReferenceData!$F$151),"",ReferenceData!$F$151),"")</x:f>
        <x:v>0</x:v>
      </x:c>
      <x:c r="G151">
        <x:f ca="1">IFERROR(IF(0=LEN(ReferenceData!$G$151),"",ReferenceData!$G$151),"")</x:f>
        <x:v>0</x:v>
      </x:c>
      <x:c r="H151">
        <x:f ca="1">IFERROR(IF(0=LEN(ReferenceData!$H$151),"",ReferenceData!$H$151),"")</x:f>
        <x:v>0</x:v>
      </x:c>
      <x:c r="I151">
        <x:f ca="1">IFERROR(IF(0=LEN(ReferenceData!$I$151),"",ReferenceData!$I$151),"")</x:f>
        <x:v>0</x:v>
      </x:c>
      <x:c r="J151">
        <x:f ca="1">IFERROR(IF(0=LEN(ReferenceData!$J$151),"",ReferenceData!$J$151),"")</x:f>
        <x:v>0</x:v>
      </x:c>
      <x:c r="K151">
        <x:f ca="1">IFERROR(IF(0=LEN(ReferenceData!$K$151),"",ReferenceData!$K$151),"")</x:f>
        <x:v>-11.36528</x:v>
      </x:c>
      <x:c r="L151">
        <x:f ca="1">IFERROR(IF(0=LEN(ReferenceData!$L$151),"",ReferenceData!$L$151),"")</x:f>
        <x:v>-11.11416</x:v>
      </x:c>
      <x:c r="M151">
        <x:f ca="1">IFERROR(IF(0=LEN(ReferenceData!$M$151),"",ReferenceData!$M$151),"")</x:f>
        <x:v>-7.0041000000000002</x:v>
      </x:c>
      <x:c r="N151">
        <x:f ca="1">IFERROR(IF(0=LEN(ReferenceData!$N$151),"",ReferenceData!$N$151),"")</x:f>
        <x:v>0</x:v>
      </x:c>
      <x:c r="O151">
        <x:f ca="1">IFERROR(IF(0=LEN(ReferenceData!$O$151),"",ReferenceData!$O$151),"")</x:f>
        <x:v>0</x:v>
      </x:c>
      <x:c r="P151">
        <x:f ca="1">IFERROR(IF(0=LEN(ReferenceData!$P$151),"",ReferenceData!$P$151),"")</x:f>
        <x:v>0</x:v>
      </x:c>
      <x:c r="Q151">
        <x:f ca="1">IFERROR(IF(0=LEN(ReferenceData!$Q$151),"",ReferenceData!$Q$151),"")</x:f>
        <x:v>0</x:v>
      </x:c>
      <x:c r="R151">
        <x:f ca="1">IFERROR(IF(0=LEN(ReferenceData!$R$151),"",ReferenceData!$R$151),"")</x:f>
        <x:v>0</x:v>
      </x:c>
      <x:c r="S151">
        <x:f ca="1">IFERROR(IF(0=LEN(ReferenceData!$S$151),"",ReferenceData!$S$151),"")</x:f>
        <x:v>0</x:v>
      </x:c>
    </x:row>
    <x:row r="152" spans="1:19" x14ac:dyDescent="0.25">
      <x:c r="A152" t="str">
        <x:f>IFERROR(IF(0=LEN(ReferenceData!$A$152),"",ReferenceData!$A$152),"")</x:f>
        <x:v xml:space="preserve">        ETRACS Monthly Pay 2xLeveraged</x:v>
      </x:c>
      <x:c r="B152" t="str">
        <x:f>IFERROR(IF(0=LEN(ReferenceData!$B$152),"",ReferenceData!$B$152),"")</x:f>
        <x:v>LRET US Equity</x:v>
      </x:c>
      <x:c r="C152" t="str">
        <x:f>IFERROR(IF(0=LEN(ReferenceData!$C$152),"",ReferenceData!$C$152),"")</x:f>
        <x:v/>
      </x:c>
      <x:c r="D152" t="str">
        <x:f>IFERROR(IF(0=LEN(ReferenceData!$D$152),"",ReferenceData!$D$152),"")</x:f>
        <x:v/>
      </x:c>
      <x:c r="E152" t="str">
        <x:f>IFERROR(IF(0=LEN(ReferenceData!$E$152),"",ReferenceData!$E$152),"")</x:f>
        <x:v>Expression</x:v>
      </x:c>
      <x:c r="F152" t="str">
        <x:f ca="1">IFERROR(IF(0=LEN(ReferenceData!$F$152),"",ReferenceData!$F$152),"")</x:f>
        <x:v/>
      </x:c>
      <x:c r="G152" t="str">
        <x:f ca="1">IFERROR(IF(0=LEN(ReferenceData!$G$152),"",ReferenceData!$G$152),"")</x:f>
        <x:v/>
      </x:c>
      <x:c r="H152" t="str">
        <x:f ca="1">IFERROR(IF(0=LEN(ReferenceData!$H$152),"",ReferenceData!$H$152),"")</x:f>
        <x:v/>
      </x:c>
      <x:c r="I152" t="str">
        <x:f ca="1">IFERROR(IF(0=LEN(ReferenceData!$I$152),"",ReferenceData!$I$152),"")</x:f>
        <x:v/>
      </x:c>
      <x:c r="J152" t="str">
        <x:f ca="1">IFERROR(IF(0=LEN(ReferenceData!$J$152),"",ReferenceData!$J$152),"")</x:f>
        <x:v/>
      </x:c>
      <x:c r="K152" t="str">
        <x:f ca="1">IFERROR(IF(0=LEN(ReferenceData!$K$152),"",ReferenceData!$K$152),"")</x:f>
        <x:v/>
      </x:c>
      <x:c r="L152" t="str">
        <x:f ca="1">IFERROR(IF(0=LEN(ReferenceData!$L$152),"",ReferenceData!$L$152),"")</x:f>
        <x:v/>
      </x:c>
      <x:c r="M152" t="str">
        <x:f ca="1">IFERROR(IF(0=LEN(ReferenceData!$M$152),"",ReferenceData!$M$152),"")</x:f>
        <x:v/>
      </x:c>
      <x:c r="N152" t="str">
        <x:f ca="1">IFERROR(IF(0=LEN(ReferenceData!$N$152),"",ReferenceData!$N$152),"")</x:f>
        <x:v/>
      </x:c>
      <x:c r="O152" t="str">
        <x:f ca="1">IFERROR(IF(0=LEN(ReferenceData!$O$152),"",ReferenceData!$O$152),"")</x:f>
        <x:v/>
      </x:c>
      <x:c r="P152" t="str">
        <x:f ca="1">IFERROR(IF(0=LEN(ReferenceData!$P$152),"",ReferenceData!$P$152),"")</x:f>
        <x:v/>
      </x:c>
      <x:c r="Q152" t="str">
        <x:f ca="1">IFERROR(IF(0=LEN(ReferenceData!$Q$152),"",ReferenceData!$Q$152),"")</x:f>
        <x:v/>
      </x:c>
      <x:c r="R152" t="str">
        <x:f ca="1">IFERROR(IF(0=LEN(ReferenceData!$R$152),"",ReferenceData!$R$152),"")</x:f>
        <x:v/>
      </x:c>
      <x:c r="S152" t="str">
        <x:f ca="1">IFERROR(IF(0=LEN(ReferenceData!$S$152),"",ReferenceData!$S$152),"")</x:f>
        <x:v/>
      </x:c>
    </x:row>
    <x:row r="153" spans="1:19" x14ac:dyDescent="0.25">
      <x:c r="A153" t="str">
        <x:f>IFERROR(IF(0=LEN(ReferenceData!$A$153),"",ReferenceData!$A$153),"")</x:f>
        <x:v xml:space="preserve">        X-Links Monthly Pay 2xLeverage</x:v>
      </x:c>
      <x:c r="B153" t="str">
        <x:f>IFERROR(IF(0=LEN(ReferenceData!$B$153),"",ReferenceData!$B$153),"")</x:f>
        <x:v>AMJL US Equity</x:v>
      </x:c>
      <x:c r="C153" t="str">
        <x:f>IFERROR(IF(0=LEN(ReferenceData!$C$153),"",ReferenceData!$C$153),"")</x:f>
        <x:v/>
      </x:c>
      <x:c r="D153" t="str">
        <x:f>IFERROR(IF(0=LEN(ReferenceData!$D$153),"",ReferenceData!$D$153),"")</x:f>
        <x:v/>
      </x:c>
      <x:c r="E153" t="str">
        <x:f>IFERROR(IF(0=LEN(ReferenceData!$E$153),"",ReferenceData!$E$153),"")</x:f>
        <x:v>Expression</x:v>
      </x:c>
      <x:c r="F153" t="str">
        <x:f ca="1">IFERROR(IF(0=LEN(ReferenceData!$F$153),"",ReferenceData!$F$153),"")</x:f>
        <x:v/>
      </x:c>
      <x:c r="G153" t="str">
        <x:f ca="1">IFERROR(IF(0=LEN(ReferenceData!$G$153),"",ReferenceData!$G$153),"")</x:f>
        <x:v/>
      </x:c>
      <x:c r="H153" t="str">
        <x:f ca="1">IFERROR(IF(0=LEN(ReferenceData!$H$153),"",ReferenceData!$H$153),"")</x:f>
        <x:v/>
      </x:c>
      <x:c r="I153" t="str">
        <x:f ca="1">IFERROR(IF(0=LEN(ReferenceData!$I$153),"",ReferenceData!$I$153),"")</x:f>
        <x:v/>
      </x:c>
      <x:c r="J153" t="str">
        <x:f ca="1">IFERROR(IF(0=LEN(ReferenceData!$J$153),"",ReferenceData!$J$153),"")</x:f>
        <x:v/>
      </x:c>
      <x:c r="K153" t="str">
        <x:f ca="1">IFERROR(IF(0=LEN(ReferenceData!$K$153),"",ReferenceData!$K$153),"")</x:f>
        <x:v/>
      </x:c>
      <x:c r="L153" t="str">
        <x:f ca="1">IFERROR(IF(0=LEN(ReferenceData!$L$153),"",ReferenceData!$L$153),"")</x:f>
        <x:v/>
      </x:c>
      <x:c r="M153" t="str">
        <x:f ca="1">IFERROR(IF(0=LEN(ReferenceData!$M$153),"",ReferenceData!$M$153),"")</x:f>
        <x:v/>
      </x:c>
      <x:c r="N153" t="str">
        <x:f ca="1">IFERROR(IF(0=LEN(ReferenceData!$N$153),"",ReferenceData!$N$153),"")</x:f>
        <x:v/>
      </x:c>
      <x:c r="O153" t="str">
        <x:f ca="1">IFERROR(IF(0=LEN(ReferenceData!$O$153),"",ReferenceData!$O$153),"")</x:f>
        <x:v/>
      </x:c>
      <x:c r="P153" t="str">
        <x:f ca="1">IFERROR(IF(0=LEN(ReferenceData!$P$153),"",ReferenceData!$P$153),"")</x:f>
        <x:v/>
      </x:c>
      <x:c r="Q153" t="str">
        <x:f ca="1">IFERROR(IF(0=LEN(ReferenceData!$Q$153),"",ReferenceData!$Q$153),"")</x:f>
        <x:v/>
      </x:c>
      <x:c r="R153" t="str">
        <x:f ca="1">IFERROR(IF(0=LEN(ReferenceData!$R$153),"",ReferenceData!$R$153),"")</x:f>
        <x:v/>
      </x:c>
      <x:c r="S153" t="str">
        <x:f ca="1">IFERROR(IF(0=LEN(ReferenceData!$S$153),"",ReferenceData!$S$153),"")</x:f>
        <x:v/>
      </x:c>
    </x:row>
    <x:row r="154" spans="1:19" x14ac:dyDescent="0.25">
      <x:c r="A154" t="str">
        <x:f>IFERROR(IF(0=LEN(ReferenceData!$A$154),"",ReferenceData!$A$154),"")</x:f>
        <x:v xml:space="preserve">        Invesco Canadian Energy Income</x:v>
      </x:c>
      <x:c r="B154" t="str">
        <x:f>IFERROR(IF(0=LEN(ReferenceData!$B$154),"",ReferenceData!$B$154),"")</x:f>
        <x:v>ENY US Equity</x:v>
      </x:c>
      <x:c r="C154" t="str">
        <x:f>IFERROR(IF(0=LEN(ReferenceData!$C$154),"",ReferenceData!$C$154),"")</x:f>
        <x:v/>
      </x:c>
      <x:c r="D154" t="str">
        <x:f>IFERROR(IF(0=LEN(ReferenceData!$D$154),"",ReferenceData!$D$154),"")</x:f>
        <x:v/>
      </x:c>
      <x:c r="E154" t="str">
        <x:f>IFERROR(IF(0=LEN(ReferenceData!$E$154),"",ReferenceData!$E$154),"")</x:f>
        <x:v>Expression</x:v>
      </x:c>
      <x:c r="F154" t="str">
        <x:f ca="1">IFERROR(IF(0=LEN(ReferenceData!$F$154),"",ReferenceData!$F$154),"")</x:f>
        <x:v/>
      </x:c>
      <x:c r="G154" t="str">
        <x:f ca="1">IFERROR(IF(0=LEN(ReferenceData!$G$154),"",ReferenceData!$G$154),"")</x:f>
        <x:v/>
      </x:c>
      <x:c r="H154" t="str">
        <x:f ca="1">IFERROR(IF(0=LEN(ReferenceData!$H$154),"",ReferenceData!$H$154),"")</x:f>
        <x:v/>
      </x:c>
      <x:c r="I154" t="str">
        <x:f ca="1">IFERROR(IF(0=LEN(ReferenceData!$I$154),"",ReferenceData!$I$154),"")</x:f>
        <x:v/>
      </x:c>
      <x:c r="J154" t="str">
        <x:f ca="1">IFERROR(IF(0=LEN(ReferenceData!$J$154),"",ReferenceData!$J$154),"")</x:f>
        <x:v/>
      </x:c>
      <x:c r="K154" t="str">
        <x:f ca="1">IFERROR(IF(0=LEN(ReferenceData!$K$154),"",ReferenceData!$K$154),"")</x:f>
        <x:v/>
      </x:c>
      <x:c r="L154" t="str">
        <x:f ca="1">IFERROR(IF(0=LEN(ReferenceData!$L$154),"",ReferenceData!$L$154),"")</x:f>
        <x:v/>
      </x:c>
      <x:c r="M154" t="str">
        <x:f ca="1">IFERROR(IF(0=LEN(ReferenceData!$M$154),"",ReferenceData!$M$154),"")</x:f>
        <x:v/>
      </x:c>
      <x:c r="N154" t="str">
        <x:f ca="1">IFERROR(IF(0=LEN(ReferenceData!$N$154),"",ReferenceData!$N$154),"")</x:f>
        <x:v/>
      </x:c>
      <x:c r="O154" t="str">
        <x:f ca="1">IFERROR(IF(0=LEN(ReferenceData!$O$154),"",ReferenceData!$O$154),"")</x:f>
        <x:v/>
      </x:c>
      <x:c r="P154" t="str">
        <x:f ca="1">IFERROR(IF(0=LEN(ReferenceData!$P$154),"",ReferenceData!$P$154),"")</x:f>
        <x:v/>
      </x:c>
      <x:c r="Q154" t="str">
        <x:f ca="1">IFERROR(IF(0=LEN(ReferenceData!$Q$154),"",ReferenceData!$Q$154),"")</x:f>
        <x:v/>
      </x:c>
      <x:c r="R154" t="str">
        <x:f ca="1">IFERROR(IF(0=LEN(ReferenceData!$R$154),"",ReferenceData!$R$154),"")</x:f>
        <x:v/>
      </x:c>
      <x:c r="S154" t="str">
        <x:f ca="1">IFERROR(IF(0=LEN(ReferenceData!$S$154),"",ReferenceData!$S$154),"")</x:f>
        <x:v/>
      </x:c>
    </x:row>
    <x:row r="155" spans="1:19" x14ac:dyDescent="0.25">
      <x:c r="A155" t="str">
        <x:f>IFERROR(IF(0=LEN(ReferenceData!$A$155),"",ReferenceData!$A$155),"")</x:f>
        <x:v xml:space="preserve">        Invesco WilderHill Progressive</x:v>
      </x:c>
      <x:c r="B155" t="str">
        <x:f>IFERROR(IF(0=LEN(ReferenceData!$B$155),"",ReferenceData!$B$155),"")</x:f>
        <x:v>PUW US Equity</x:v>
      </x:c>
      <x:c r="C155" t="str">
        <x:f>IFERROR(IF(0=LEN(ReferenceData!$C$155),"",ReferenceData!$C$155),"")</x:f>
        <x:v/>
      </x:c>
      <x:c r="D155" t="str">
        <x:f>IFERROR(IF(0=LEN(ReferenceData!$D$155),"",ReferenceData!$D$155),"")</x:f>
        <x:v/>
      </x:c>
      <x:c r="E155" t="str">
        <x:f>IFERROR(IF(0=LEN(ReferenceData!$E$155),"",ReferenceData!$E$155),"")</x:f>
        <x:v>Expression</x:v>
      </x:c>
      <x:c r="F155" t="str">
        <x:f ca="1">IFERROR(IF(0=LEN(ReferenceData!$F$155),"",ReferenceData!$F$155),"")</x:f>
        <x:v/>
      </x:c>
      <x:c r="G155" t="str">
        <x:f ca="1">IFERROR(IF(0=LEN(ReferenceData!$G$155),"",ReferenceData!$G$155),"")</x:f>
        <x:v/>
      </x:c>
      <x:c r="H155" t="str">
        <x:f ca="1">IFERROR(IF(0=LEN(ReferenceData!$H$155),"",ReferenceData!$H$155),"")</x:f>
        <x:v/>
      </x:c>
      <x:c r="I155" t="str">
        <x:f ca="1">IFERROR(IF(0=LEN(ReferenceData!$I$155),"",ReferenceData!$I$155),"")</x:f>
        <x:v/>
      </x:c>
      <x:c r="J155" t="str">
        <x:f ca="1">IFERROR(IF(0=LEN(ReferenceData!$J$155),"",ReferenceData!$J$155),"")</x:f>
        <x:v/>
      </x:c>
      <x:c r="K155" t="str">
        <x:f ca="1">IFERROR(IF(0=LEN(ReferenceData!$K$155),"",ReferenceData!$K$155),"")</x:f>
        <x:v/>
      </x:c>
      <x:c r="L155" t="str">
        <x:f ca="1">IFERROR(IF(0=LEN(ReferenceData!$L$155),"",ReferenceData!$L$155),"")</x:f>
        <x:v/>
      </x:c>
      <x:c r="M155" t="str">
        <x:f ca="1">IFERROR(IF(0=LEN(ReferenceData!$M$155),"",ReferenceData!$M$155),"")</x:f>
        <x:v/>
      </x:c>
      <x:c r="N155" t="str">
        <x:f ca="1">IFERROR(IF(0=LEN(ReferenceData!$N$155),"",ReferenceData!$N$155),"")</x:f>
        <x:v/>
      </x:c>
      <x:c r="O155" t="str">
        <x:f ca="1">IFERROR(IF(0=LEN(ReferenceData!$O$155),"",ReferenceData!$O$155),"")</x:f>
        <x:v/>
      </x:c>
      <x:c r="P155" t="str">
        <x:f ca="1">IFERROR(IF(0=LEN(ReferenceData!$P$155),"",ReferenceData!$P$155),"")</x:f>
        <x:v/>
      </x:c>
      <x:c r="Q155" t="str">
        <x:f ca="1">IFERROR(IF(0=LEN(ReferenceData!$Q$155),"",ReferenceData!$Q$155),"")</x:f>
        <x:v/>
      </x:c>
      <x:c r="R155" t="str">
        <x:f ca="1">IFERROR(IF(0=LEN(ReferenceData!$R$155),"",ReferenceData!$R$155),"")</x:f>
        <x:v/>
      </x:c>
      <x:c r="S155" t="str">
        <x:f ca="1">IFERROR(IF(0=LEN(ReferenceData!$S$155),"",ReferenceData!$S$155),"")</x:f>
        <x:v/>
      </x:c>
    </x:row>
    <x:row r="156" spans="1:19" x14ac:dyDescent="0.25">
      <x:c r="A156" t="str">
        <x:f>IFERROR(IF(0=LEN(ReferenceData!$A$156),"",ReferenceData!$A$156),"")</x:f>
        <x:v xml:space="preserve">        ETRACS Alerian Natural Gas MLP</x:v>
      </x:c>
      <x:c r="B156" t="str">
        <x:f>IFERROR(IF(0=LEN(ReferenceData!$B$156),"",ReferenceData!$B$156),"")</x:f>
        <x:v>MLPG US Equity</x:v>
      </x:c>
      <x:c r="C156" t="str">
        <x:f>IFERROR(IF(0=LEN(ReferenceData!$C$156),"",ReferenceData!$C$156),"")</x:f>
        <x:v/>
      </x:c>
      <x:c r="D156" t="str">
        <x:f>IFERROR(IF(0=LEN(ReferenceData!$D$156),"",ReferenceData!$D$156),"")</x:f>
        <x:v/>
      </x:c>
      <x:c r="E156" t="str">
        <x:f>IFERROR(IF(0=LEN(ReferenceData!$E$156),"",ReferenceData!$E$156),"")</x:f>
        <x:v>Expression</x:v>
      </x:c>
      <x:c r="F156" t="str">
        <x:f ca="1">IFERROR(IF(0=LEN(ReferenceData!$F$156),"",ReferenceData!$F$156),"")</x:f>
        <x:v/>
      </x:c>
      <x:c r="G156" t="str">
        <x:f ca="1">IFERROR(IF(0=LEN(ReferenceData!$G$156),"",ReferenceData!$G$156),"")</x:f>
        <x:v/>
      </x:c>
      <x:c r="H156" t="str">
        <x:f ca="1">IFERROR(IF(0=LEN(ReferenceData!$H$156),"",ReferenceData!$H$156),"")</x:f>
        <x:v/>
      </x:c>
      <x:c r="I156" t="str">
        <x:f ca="1">IFERROR(IF(0=LEN(ReferenceData!$I$156),"",ReferenceData!$I$156),"")</x:f>
        <x:v/>
      </x:c>
      <x:c r="J156" t="str">
        <x:f ca="1">IFERROR(IF(0=LEN(ReferenceData!$J$156),"",ReferenceData!$J$156),"")</x:f>
        <x:v/>
      </x:c>
      <x:c r="K156" t="str">
        <x:f ca="1">IFERROR(IF(0=LEN(ReferenceData!$K$156),"",ReferenceData!$K$156),"")</x:f>
        <x:v/>
      </x:c>
      <x:c r="L156" t="str">
        <x:f ca="1">IFERROR(IF(0=LEN(ReferenceData!$L$156),"",ReferenceData!$L$156),"")</x:f>
        <x:v/>
      </x:c>
      <x:c r="M156" t="str">
        <x:f ca="1">IFERROR(IF(0=LEN(ReferenceData!$M$156),"",ReferenceData!$M$156),"")</x:f>
        <x:v/>
      </x:c>
      <x:c r="N156" t="str">
        <x:f ca="1">IFERROR(IF(0=LEN(ReferenceData!$N$156),"",ReferenceData!$N$156),"")</x:f>
        <x:v/>
      </x:c>
      <x:c r="O156" t="str">
        <x:f ca="1">IFERROR(IF(0=LEN(ReferenceData!$O$156),"",ReferenceData!$O$156),"")</x:f>
        <x:v/>
      </x:c>
      <x:c r="P156" t="str">
        <x:f ca="1">IFERROR(IF(0=LEN(ReferenceData!$P$156),"",ReferenceData!$P$156),"")</x:f>
        <x:v/>
      </x:c>
      <x:c r="Q156" t="str">
        <x:f ca="1">IFERROR(IF(0=LEN(ReferenceData!$Q$156),"",ReferenceData!$Q$156),"")</x:f>
        <x:v/>
      </x:c>
      <x:c r="R156" t="str">
        <x:f ca="1">IFERROR(IF(0=LEN(ReferenceData!$R$156),"",ReferenceData!$R$156),"")</x:f>
        <x:v/>
      </x:c>
      <x:c r="S156" t="str">
        <x:f ca="1">IFERROR(IF(0=LEN(ReferenceData!$S$156),"",ReferenceData!$S$156),"")</x:f>
        <x:v/>
      </x:c>
    </x:row>
    <x:row r="157" spans="1:19" x14ac:dyDescent="0.25">
      <x:c r="A157" t="str">
        <x:f>IFERROR(IF(0=LEN(ReferenceData!$A$157),"",ReferenceData!$A$157),"")</x:f>
        <x:v xml:space="preserve">        Direxion Daily S&amp;P Oil &amp; Gas E</x:v>
      </x:c>
      <x:c r="B157" t="str">
        <x:f>IFERROR(IF(0=LEN(ReferenceData!$B$157),"",ReferenceData!$B$157),"")</x:f>
        <x:v>DRIP US Equity</x:v>
      </x:c>
      <x:c r="C157" t="str">
        <x:f>IFERROR(IF(0=LEN(ReferenceData!$C$157),"",ReferenceData!$C$157),"")</x:f>
        <x:v/>
      </x:c>
      <x:c r="D157" t="str">
        <x:f>IFERROR(IF(0=LEN(ReferenceData!$D$157),"",ReferenceData!$D$157),"")</x:f>
        <x:v/>
      </x:c>
      <x:c r="E157" t="str">
        <x:f>IFERROR(IF(0=LEN(ReferenceData!$E$157),"",ReferenceData!$E$157),"")</x:f>
        <x:v>Expression</x:v>
      </x:c>
      <x:c r="F157">
        <x:f ca="1">IFERROR(IF(0=LEN(ReferenceData!$F$157),"",ReferenceData!$F$157),"")</x:f>
        <x:v>-8.3687489999999993</x:v>
      </x:c>
      <x:c r="G157">
        <x:f ca="1">IFERROR(IF(0=LEN(ReferenceData!$G$157),"",ReferenceData!$G$157),"")</x:f>
        <x:v>-17.755513000000001</x:v>
      </x:c>
      <x:c r="H157">
        <x:f ca="1">IFERROR(IF(0=LEN(ReferenceData!$H$157),"",ReferenceData!$H$157),"")</x:f>
        <x:v>2.1171280000000001</x:v>
      </x:c>
      <x:c r="I157">
        <x:f ca="1">IFERROR(IF(0=LEN(ReferenceData!$I$157),"",ReferenceData!$I$157),"")</x:f>
        <x:v>14.258836000000001</x:v>
      </x:c>
      <x:c r="J157">
        <x:f ca="1">IFERROR(IF(0=LEN(ReferenceData!$J$157),"",ReferenceData!$J$157),"")</x:f>
        <x:v>29.575524000000001</x:v>
      </x:c>
      <x:c r="K157">
        <x:f ca="1">IFERROR(IF(0=LEN(ReferenceData!$K$157),"",ReferenceData!$K$157),"")</x:f>
        <x:v>7.6748589999999997</x:v>
      </x:c>
      <x:c r="L157">
        <x:f ca="1">IFERROR(IF(0=LEN(ReferenceData!$L$157),"",ReferenceData!$L$157),"")</x:f>
        <x:v>-11.845091</x:v>
      </x:c>
      <x:c r="M157">
        <x:f ca="1">IFERROR(IF(0=LEN(ReferenceData!$M$157),"",ReferenceData!$M$157),"")</x:f>
        <x:v>0.43055500000000002</x:v>
      </x:c>
      <x:c r="N157">
        <x:f ca="1">IFERROR(IF(0=LEN(ReferenceData!$N$157),"",ReferenceData!$N$157),"")</x:f>
        <x:v>-16.694313999999999</x:v>
      </x:c>
      <x:c r="O157">
        <x:f ca="1">IFERROR(IF(0=LEN(ReferenceData!$O$157),"",ReferenceData!$O$157),"")</x:f>
        <x:v>-21.818833000000001</x:v>
      </x:c>
      <x:c r="P157">
        <x:f ca="1">IFERROR(IF(0=LEN(ReferenceData!$P$157),"",ReferenceData!$P$157),"")</x:f>
        <x:v>4.5142870000000004</x:v>
      </x:c>
      <x:c r="Q157">
        <x:f ca="1">IFERROR(IF(0=LEN(ReferenceData!$Q$157),"",ReferenceData!$Q$157),"")</x:f>
        <x:v>-37.788091000000001</x:v>
      </x:c>
      <x:c r="R157">
        <x:f ca="1">IFERROR(IF(0=LEN(ReferenceData!$R$157),"",ReferenceData!$R$157),"")</x:f>
        <x:v>13.328905000000001</x:v>
      </x:c>
      <x:c r="S157">
        <x:f ca="1">IFERROR(IF(0=LEN(ReferenceData!$S$157),"",ReferenceData!$S$157),"")</x:f>
        <x:v>39.446210000000001</x:v>
      </x:c>
    </x:row>
    <x:row r="158" spans="1:19" x14ac:dyDescent="0.25">
      <x:c r="A158" t="str">
        <x:f>IFERROR(IF(0=LEN(ReferenceData!$A$158),"",ReferenceData!$A$158),"")</x:f>
        <x:v xml:space="preserve">        John Hancock Multifactor Energ</x:v>
      </x:c>
      <x:c r="B158" t="str">
        <x:f>IFERROR(IF(0=LEN(ReferenceData!$B$158),"",ReferenceData!$B$158),"")</x:f>
        <x:v>JHME US Equity</x:v>
      </x:c>
      <x:c r="C158" t="str">
        <x:f>IFERROR(IF(0=LEN(ReferenceData!$C$158),"",ReferenceData!$C$158),"")</x:f>
        <x:v/>
      </x:c>
      <x:c r="D158" t="str">
        <x:f>IFERROR(IF(0=LEN(ReferenceData!$D$158),"",ReferenceData!$D$158),"")</x:f>
        <x:v/>
      </x:c>
      <x:c r="E158" t="str">
        <x:f>IFERROR(IF(0=LEN(ReferenceData!$E$158),"",ReferenceData!$E$158),"")</x:f>
        <x:v>Expression</x:v>
      </x:c>
      <x:c r="F158" t="str">
        <x:f ca="1">IFERROR(IF(0=LEN(ReferenceData!$F$158),"",ReferenceData!$F$158),"")</x:f>
        <x:v/>
      </x:c>
      <x:c r="G158" t="str">
        <x:f ca="1">IFERROR(IF(0=LEN(ReferenceData!$G$158),"",ReferenceData!$G$158),"")</x:f>
        <x:v/>
      </x:c>
      <x:c r="H158" t="str">
        <x:f ca="1">IFERROR(IF(0=LEN(ReferenceData!$H$158),"",ReferenceData!$H$158),"")</x:f>
        <x:v/>
      </x:c>
      <x:c r="I158" t="str">
        <x:f ca="1">IFERROR(IF(0=LEN(ReferenceData!$I$158),"",ReferenceData!$I$158),"")</x:f>
        <x:v/>
      </x:c>
      <x:c r="J158" t="str">
        <x:f ca="1">IFERROR(IF(0=LEN(ReferenceData!$J$158),"",ReferenceData!$J$158),"")</x:f>
        <x:v/>
      </x:c>
      <x:c r="K158" t="str">
        <x:f ca="1">IFERROR(IF(0=LEN(ReferenceData!$K$158),"",ReferenceData!$K$158),"")</x:f>
        <x:v/>
      </x:c>
      <x:c r="L158" t="str">
        <x:f ca="1">IFERROR(IF(0=LEN(ReferenceData!$L$158),"",ReferenceData!$L$158),"")</x:f>
        <x:v/>
      </x:c>
      <x:c r="M158" t="str">
        <x:f ca="1">IFERROR(IF(0=LEN(ReferenceData!$M$158),"",ReferenceData!$M$158),"")</x:f>
        <x:v/>
      </x:c>
      <x:c r="N158" t="str">
        <x:f ca="1">IFERROR(IF(0=LEN(ReferenceData!$N$158),"",ReferenceData!$N$158),"")</x:f>
        <x:v/>
      </x:c>
      <x:c r="O158" t="str">
        <x:f ca="1">IFERROR(IF(0=LEN(ReferenceData!$O$158),"",ReferenceData!$O$158),"")</x:f>
        <x:v/>
      </x:c>
      <x:c r="P158" t="str">
        <x:f ca="1">IFERROR(IF(0=LEN(ReferenceData!$P$158),"",ReferenceData!$P$158),"")</x:f>
        <x:v/>
      </x:c>
      <x:c r="Q158" t="str">
        <x:f ca="1">IFERROR(IF(0=LEN(ReferenceData!$Q$158),"",ReferenceData!$Q$158),"")</x:f>
        <x:v/>
      </x:c>
      <x:c r="R158" t="str">
        <x:f ca="1">IFERROR(IF(0=LEN(ReferenceData!$R$158),"",ReferenceData!$R$158),"")</x:f>
        <x:v/>
      </x:c>
      <x:c r="S158">
        <x:f ca="1">IFERROR(IF(0=LEN(ReferenceData!$S$158),"",ReferenceData!$S$158),"")</x:f>
        <x:v>-5.626074</x:v>
      </x:c>
    </x:row>
    <x:row r="159" spans="1:19" x14ac:dyDescent="0.25">
      <x:c r="A159" t="str">
        <x:f>IFERROR(IF(0=LEN(ReferenceData!$A$159),"",ReferenceData!$A$159),"")</x:f>
        <x:v xml:space="preserve">        iShares MSCI Kuwait ETF</x:v>
      </x:c>
      <x:c r="B159" t="str">
        <x:f>IFERROR(IF(0=LEN(ReferenceData!$B$159),"",ReferenceData!$B$159),"")</x:f>
        <x:v>KWT US Equity</x:v>
      </x:c>
      <x:c r="C159" t="str">
        <x:f>IFERROR(IF(0=LEN(ReferenceData!$C$159),"",ReferenceData!$C$159),"")</x:f>
        <x:v/>
      </x:c>
      <x:c r="D159" t="str">
        <x:f>IFERROR(IF(0=LEN(ReferenceData!$D$159),"",ReferenceData!$D$159),"")</x:f>
        <x:v/>
      </x:c>
      <x:c r="E159" t="str">
        <x:f>IFERROR(IF(0=LEN(ReferenceData!$E$159),"",ReferenceData!$E$159),"")</x:f>
        <x:v>Expression</x:v>
      </x:c>
      <x:c r="F159">
        <x:f ca="1">IFERROR(IF(0=LEN(ReferenceData!$F$159),"",ReferenceData!$F$159),"")</x:f>
        <x:v>0</x:v>
      </x:c>
      <x:c r="G159">
        <x:f ca="1">IFERROR(IF(0=LEN(ReferenceData!$G$159),"",ReferenceData!$G$159),"")</x:f>
        <x:v>0</x:v>
      </x:c>
      <x:c r="H159">
        <x:f ca="1">IFERROR(IF(0=LEN(ReferenceData!$H$159),"",ReferenceData!$H$159),"")</x:f>
        <x:v>0</x:v>
      </x:c>
      <x:c r="I159">
        <x:f ca="1">IFERROR(IF(0=LEN(ReferenceData!$I$159),"",ReferenceData!$I$159),"")</x:f>
        <x:v>0</x:v>
      </x:c>
      <x:c r="J159">
        <x:f ca="1">IFERROR(IF(0=LEN(ReferenceData!$J$159),"",ReferenceData!$J$159),"")</x:f>
        <x:v>0</x:v>
      </x:c>
      <x:c r="K159">
        <x:f ca="1">IFERROR(IF(0=LEN(ReferenceData!$K$159),"",ReferenceData!$K$159),"")</x:f>
        <x:v>1.54721</x:v>
      </x:c>
      <x:c r="L159">
        <x:f ca="1">IFERROR(IF(0=LEN(ReferenceData!$L$159),"",ReferenceData!$L$159),"")</x:f>
        <x:v>4.7673399999999999</x:v>
      </x:c>
      <x:c r="M159">
        <x:f ca="1">IFERROR(IF(0=LEN(ReferenceData!$M$159),"",ReferenceData!$M$159),"")</x:f>
        <x:v>0</x:v>
      </x:c>
      <x:c r="N159">
        <x:f ca="1">IFERROR(IF(0=LEN(ReferenceData!$N$159),"",ReferenceData!$N$159),"")</x:f>
        <x:v>3.1777600000000001</x:v>
      </x:c>
      <x:c r="O159">
        <x:f ca="1">IFERROR(IF(0=LEN(ReferenceData!$O$159),"",ReferenceData!$O$159),"")</x:f>
        <x:v>21.557265000000001</x:v>
      </x:c>
      <x:c r="P159">
        <x:f ca="1">IFERROR(IF(0=LEN(ReferenceData!$P$159),"",ReferenceData!$P$159),"")</x:f>
        <x:v>0</x:v>
      </x:c>
      <x:c r="Q159">
        <x:f ca="1">IFERROR(IF(0=LEN(ReferenceData!$Q$159),"",ReferenceData!$Q$159),"")</x:f>
        <x:v>0</x:v>
      </x:c>
      <x:c r="R159">
        <x:f ca="1">IFERROR(IF(0=LEN(ReferenceData!$R$159),"",ReferenceData!$R$159),"")</x:f>
        <x:v>0</x:v>
      </x:c>
      <x:c r="S159">
        <x:f ca="1">IFERROR(IF(0=LEN(ReferenceData!$S$159),"",ReferenceData!$S$159),"")</x:f>
        <x:v>0</x:v>
      </x:c>
    </x:row>
    <x:row r="160" spans="1:19" x14ac:dyDescent="0.25">
      <x:c r="A160" t="str">
        <x:f>IFERROR(IF(0=LEN(ReferenceData!$A$160),"",ReferenceData!$A$160),"")</x:f>
        <x:v xml:space="preserve">        United States Short Oil Fund L</x:v>
      </x:c>
      <x:c r="B160" t="str">
        <x:f>IFERROR(IF(0=LEN(ReferenceData!$B$160),"",ReferenceData!$B$160),"")</x:f>
        <x:v>DNO US Equity</x:v>
      </x:c>
      <x:c r="C160" t="str">
        <x:f>IFERROR(IF(0=LEN(ReferenceData!$C$160),"",ReferenceData!$C$160),"")</x:f>
        <x:v/>
      </x:c>
      <x:c r="D160" t="str">
        <x:f>IFERROR(IF(0=LEN(ReferenceData!$D$160),"",ReferenceData!$D$160),"")</x:f>
        <x:v/>
      </x:c>
      <x:c r="E160" t="str">
        <x:f>IFERROR(IF(0=LEN(ReferenceData!$E$160),"",ReferenceData!$E$160),"")</x:f>
        <x:v>Expression</x:v>
      </x:c>
      <x:c r="F160" t="str">
        <x:f ca="1">IFERROR(IF(0=LEN(ReferenceData!$F$160),"",ReferenceData!$F$160),"")</x:f>
        <x:v/>
      </x:c>
      <x:c r="G160" t="str">
        <x:f ca="1">IFERROR(IF(0=LEN(ReferenceData!$G$160),"",ReferenceData!$G$160),"")</x:f>
        <x:v/>
      </x:c>
      <x:c r="H160" t="str">
        <x:f ca="1">IFERROR(IF(0=LEN(ReferenceData!$H$160),"",ReferenceData!$H$160),"")</x:f>
        <x:v/>
      </x:c>
      <x:c r="I160" t="str">
        <x:f ca="1">IFERROR(IF(0=LEN(ReferenceData!$I$160),"",ReferenceData!$I$160),"")</x:f>
        <x:v/>
      </x:c>
      <x:c r="J160" t="str">
        <x:f ca="1">IFERROR(IF(0=LEN(ReferenceData!$J$160),"",ReferenceData!$J$160),"")</x:f>
        <x:v/>
      </x:c>
      <x:c r="K160" t="str">
        <x:f ca="1">IFERROR(IF(0=LEN(ReferenceData!$K$160),"",ReferenceData!$K$160),"")</x:f>
        <x:v/>
      </x:c>
      <x:c r="L160" t="str">
        <x:f ca="1">IFERROR(IF(0=LEN(ReferenceData!$L$160),"",ReferenceData!$L$160),"")</x:f>
        <x:v/>
      </x:c>
      <x:c r="M160" t="str">
        <x:f ca="1">IFERROR(IF(0=LEN(ReferenceData!$M$160),"",ReferenceData!$M$160),"")</x:f>
        <x:v/>
      </x:c>
      <x:c r="N160" t="str">
        <x:f ca="1">IFERROR(IF(0=LEN(ReferenceData!$N$160),"",ReferenceData!$N$160),"")</x:f>
        <x:v/>
      </x:c>
      <x:c r="O160" t="str">
        <x:f ca="1">IFERROR(IF(0=LEN(ReferenceData!$O$160),"",ReferenceData!$O$160),"")</x:f>
        <x:v/>
      </x:c>
      <x:c r="P160" t="str">
        <x:f ca="1">IFERROR(IF(0=LEN(ReferenceData!$P$160),"",ReferenceData!$P$160),"")</x:f>
        <x:v/>
      </x:c>
      <x:c r="Q160" t="str">
        <x:f ca="1">IFERROR(IF(0=LEN(ReferenceData!$Q$160),"",ReferenceData!$Q$160),"")</x:f>
        <x:v/>
      </x:c>
      <x:c r="R160" t="str">
        <x:f ca="1">IFERROR(IF(0=LEN(ReferenceData!$R$160),"",ReferenceData!$R$160),"")</x:f>
        <x:v/>
      </x:c>
      <x:c r="S160" t="str">
        <x:f ca="1">IFERROR(IF(0=LEN(ReferenceData!$S$160),"",ReferenceData!$S$160),"")</x:f>
        <x:v/>
      </x:c>
    </x:row>
    <x:row r="161" spans="1:19" x14ac:dyDescent="0.25">
      <x:c r="A161" t="str">
        <x:f>IFERROR(IF(0=LEN(ReferenceData!$A$161),"",ReferenceData!$A$161),"")</x:f>
        <x:v xml:space="preserve">        Global X Junior MLP ETF</x:v>
      </x:c>
      <x:c r="B161" t="str">
        <x:f>IFERROR(IF(0=LEN(ReferenceData!$B$161),"",ReferenceData!$B$161),"")</x:f>
        <x:v>MLPJ US Equity</x:v>
      </x:c>
      <x:c r="C161" t="str">
        <x:f>IFERROR(IF(0=LEN(ReferenceData!$C$161),"",ReferenceData!$C$161),"")</x:f>
        <x:v/>
      </x:c>
      <x:c r="D161" t="str">
        <x:f>IFERROR(IF(0=LEN(ReferenceData!$D$161),"",ReferenceData!$D$161),"")</x:f>
        <x:v/>
      </x:c>
      <x:c r="E161" t="str">
        <x:f>IFERROR(IF(0=LEN(ReferenceData!$E$161),"",ReferenceData!$E$161),"")</x:f>
        <x:v>Expression</x:v>
      </x:c>
      <x:c r="F161" t="str">
        <x:f ca="1">IFERROR(IF(0=LEN(ReferenceData!$F$161),"",ReferenceData!$F$161),"")</x:f>
        <x:v/>
      </x:c>
      <x:c r="G161" t="str">
        <x:f ca="1">IFERROR(IF(0=LEN(ReferenceData!$G$161),"",ReferenceData!$G$161),"")</x:f>
        <x:v/>
      </x:c>
      <x:c r="H161" t="str">
        <x:f ca="1">IFERROR(IF(0=LEN(ReferenceData!$H$161),"",ReferenceData!$H$161),"")</x:f>
        <x:v/>
      </x:c>
      <x:c r="I161" t="str">
        <x:f ca="1">IFERROR(IF(0=LEN(ReferenceData!$I$161),"",ReferenceData!$I$161),"")</x:f>
        <x:v/>
      </x:c>
      <x:c r="J161" t="str">
        <x:f ca="1">IFERROR(IF(0=LEN(ReferenceData!$J$161),"",ReferenceData!$J$161),"")</x:f>
        <x:v/>
      </x:c>
      <x:c r="K161" t="str">
        <x:f ca="1">IFERROR(IF(0=LEN(ReferenceData!$K$161),"",ReferenceData!$K$161),"")</x:f>
        <x:v/>
      </x:c>
      <x:c r="L161" t="str">
        <x:f ca="1">IFERROR(IF(0=LEN(ReferenceData!$L$161),"",ReferenceData!$L$161),"")</x:f>
        <x:v/>
      </x:c>
      <x:c r="M161" t="str">
        <x:f ca="1">IFERROR(IF(0=LEN(ReferenceData!$M$161),"",ReferenceData!$M$161),"")</x:f>
        <x:v/>
      </x:c>
      <x:c r="N161" t="str">
        <x:f ca="1">IFERROR(IF(0=LEN(ReferenceData!$N$161),"",ReferenceData!$N$161),"")</x:f>
        <x:v/>
      </x:c>
      <x:c r="O161" t="str">
        <x:f ca="1">IFERROR(IF(0=LEN(ReferenceData!$O$161),"",ReferenceData!$O$161),"")</x:f>
        <x:v/>
      </x:c>
      <x:c r="P161" t="str">
        <x:f ca="1">IFERROR(IF(0=LEN(ReferenceData!$P$161),"",ReferenceData!$P$161),"")</x:f>
        <x:v/>
      </x:c>
      <x:c r="Q161" t="str">
        <x:f ca="1">IFERROR(IF(0=LEN(ReferenceData!$Q$161),"",ReferenceData!$Q$161),"")</x:f>
        <x:v/>
      </x:c>
      <x:c r="R161" t="str">
        <x:f ca="1">IFERROR(IF(0=LEN(ReferenceData!$R$161),"",ReferenceData!$R$161),"")</x:f>
        <x:v/>
      </x:c>
      <x:c r="S161" t="str">
        <x:f ca="1">IFERROR(IF(0=LEN(ReferenceData!$S$161),"",ReferenceData!$S$161),"")</x:f>
        <x:v/>
      </x:c>
    </x:row>
    <x:row r="162" spans="1:19" x14ac:dyDescent="0.25">
      <x:c r="A162" t="str">
        <x:f>IFERROR(IF(0=LEN(ReferenceData!$A$162),"",ReferenceData!$A$162),"")</x:f>
        <x:v xml:space="preserve">        ETRACS 1xMonthly Short Alerian</x:v>
      </x:c>
      <x:c r="B162" t="str">
        <x:f>IFERROR(IF(0=LEN(ReferenceData!$B$162),"",ReferenceData!$B$162),"")</x:f>
        <x:v>MLPS US Equity</x:v>
      </x:c>
      <x:c r="C162" t="str">
        <x:f>IFERROR(IF(0=LEN(ReferenceData!$C$162),"",ReferenceData!$C$162),"")</x:f>
        <x:v/>
      </x:c>
      <x:c r="D162" t="str">
        <x:f>IFERROR(IF(0=LEN(ReferenceData!$D$162),"",ReferenceData!$D$162),"")</x:f>
        <x:v/>
      </x:c>
      <x:c r="E162" t="str">
        <x:f>IFERROR(IF(0=LEN(ReferenceData!$E$162),"",ReferenceData!$E$162),"")</x:f>
        <x:v>Expression</x:v>
      </x:c>
      <x:c r="F162" t="str">
        <x:f ca="1">IFERROR(IF(0=LEN(ReferenceData!$F$162),"",ReferenceData!$F$162),"")</x:f>
        <x:v/>
      </x:c>
      <x:c r="G162" t="str">
        <x:f ca="1">IFERROR(IF(0=LEN(ReferenceData!$G$162),"",ReferenceData!$G$162),"")</x:f>
        <x:v/>
      </x:c>
      <x:c r="H162" t="str">
        <x:f ca="1">IFERROR(IF(0=LEN(ReferenceData!$H$162),"",ReferenceData!$H$162),"")</x:f>
        <x:v/>
      </x:c>
      <x:c r="I162" t="str">
        <x:f ca="1">IFERROR(IF(0=LEN(ReferenceData!$I$162),"",ReferenceData!$I$162),"")</x:f>
        <x:v/>
      </x:c>
      <x:c r="J162" t="str">
        <x:f ca="1">IFERROR(IF(0=LEN(ReferenceData!$J$162),"",ReferenceData!$J$162),"")</x:f>
        <x:v/>
      </x:c>
      <x:c r="K162" t="str">
        <x:f ca="1">IFERROR(IF(0=LEN(ReferenceData!$K$162),"",ReferenceData!$K$162),"")</x:f>
        <x:v/>
      </x:c>
      <x:c r="L162" t="str">
        <x:f ca="1">IFERROR(IF(0=LEN(ReferenceData!$L$162),"",ReferenceData!$L$162),"")</x:f>
        <x:v/>
      </x:c>
      <x:c r="M162" t="str">
        <x:f ca="1">IFERROR(IF(0=LEN(ReferenceData!$M$162),"",ReferenceData!$M$162),"")</x:f>
        <x:v/>
      </x:c>
      <x:c r="N162" t="str">
        <x:f ca="1">IFERROR(IF(0=LEN(ReferenceData!$N$162),"",ReferenceData!$N$162),"")</x:f>
        <x:v/>
      </x:c>
      <x:c r="O162" t="str">
        <x:f ca="1">IFERROR(IF(0=LEN(ReferenceData!$O$162),"",ReferenceData!$O$162),"")</x:f>
        <x:v/>
      </x:c>
      <x:c r="P162" t="str">
        <x:f ca="1">IFERROR(IF(0=LEN(ReferenceData!$P$162),"",ReferenceData!$P$162),"")</x:f>
        <x:v/>
      </x:c>
      <x:c r="Q162" t="str">
        <x:f ca="1">IFERROR(IF(0=LEN(ReferenceData!$Q$162),"",ReferenceData!$Q$162),"")</x:f>
        <x:v/>
      </x:c>
      <x:c r="R162" t="str">
        <x:f ca="1">IFERROR(IF(0=LEN(ReferenceData!$R$162),"",ReferenceData!$R$162),"")</x:f>
        <x:v/>
      </x:c>
      <x:c r="S162" t="str">
        <x:f ca="1">IFERROR(IF(0=LEN(ReferenceData!$S$162),"",ReferenceData!$S$162),"")</x:f>
        <x:v/>
      </x:c>
    </x:row>
    <x:row r="163" spans="1:19" x14ac:dyDescent="0.25">
      <x:c r="A163" t="str">
        <x:f>IFERROR(IF(0=LEN(ReferenceData!$A$163),"",ReferenceData!$A$163),"")</x:f>
        <x:v xml:space="preserve">        Direxion Daily Natural Gas Rel</x:v>
      </x:c>
      <x:c r="B163" t="str">
        <x:f>IFERROR(IF(0=LEN(ReferenceData!$B$163),"",ReferenceData!$B$163),"")</x:f>
        <x:v>GASX US Equity</x:v>
      </x:c>
      <x:c r="C163" t="str">
        <x:f>IFERROR(IF(0=LEN(ReferenceData!$C$163),"",ReferenceData!$C$163),"")</x:f>
        <x:v/>
      </x:c>
      <x:c r="D163" t="str">
        <x:f>IFERROR(IF(0=LEN(ReferenceData!$D$163),"",ReferenceData!$D$163),"")</x:f>
        <x:v/>
      </x:c>
      <x:c r="E163" t="str">
        <x:f>IFERROR(IF(0=LEN(ReferenceData!$E$163),"",ReferenceData!$E$163),"")</x:f>
        <x:v>Expression</x:v>
      </x:c>
      <x:c r="F163" t="str">
        <x:f ca="1">IFERROR(IF(0=LEN(ReferenceData!$F$163),"",ReferenceData!$F$163),"")</x:f>
        <x:v/>
      </x:c>
      <x:c r="G163" t="str">
        <x:f ca="1">IFERROR(IF(0=LEN(ReferenceData!$G$163),"",ReferenceData!$G$163),"")</x:f>
        <x:v/>
      </x:c>
      <x:c r="H163" t="str">
        <x:f ca="1">IFERROR(IF(0=LEN(ReferenceData!$H$163),"",ReferenceData!$H$163),"")</x:f>
        <x:v/>
      </x:c>
      <x:c r="I163" t="str">
        <x:f ca="1">IFERROR(IF(0=LEN(ReferenceData!$I$163),"",ReferenceData!$I$163),"")</x:f>
        <x:v/>
      </x:c>
      <x:c r="J163" t="str">
        <x:f ca="1">IFERROR(IF(0=LEN(ReferenceData!$J$163),"",ReferenceData!$J$163),"")</x:f>
        <x:v/>
      </x:c>
      <x:c r="K163" t="str">
        <x:f ca="1">IFERROR(IF(0=LEN(ReferenceData!$K$163),"",ReferenceData!$K$163),"")</x:f>
        <x:v/>
      </x:c>
      <x:c r="L163" t="str">
        <x:f ca="1">IFERROR(IF(0=LEN(ReferenceData!$L$163),"",ReferenceData!$L$163),"")</x:f>
        <x:v/>
      </x:c>
      <x:c r="M163" t="str">
        <x:f ca="1">IFERROR(IF(0=LEN(ReferenceData!$M$163),"",ReferenceData!$M$163),"")</x:f>
        <x:v/>
      </x:c>
      <x:c r="N163" t="str">
        <x:f ca="1">IFERROR(IF(0=LEN(ReferenceData!$N$163),"",ReferenceData!$N$163),"")</x:f>
        <x:v/>
      </x:c>
      <x:c r="O163" t="str">
        <x:f ca="1">IFERROR(IF(0=LEN(ReferenceData!$O$163),"",ReferenceData!$O$163),"")</x:f>
        <x:v/>
      </x:c>
      <x:c r="P163" t="str">
        <x:f ca="1">IFERROR(IF(0=LEN(ReferenceData!$P$163),"",ReferenceData!$P$163),"")</x:f>
        <x:v/>
      </x:c>
      <x:c r="Q163" t="str">
        <x:f ca="1">IFERROR(IF(0=LEN(ReferenceData!$Q$163),"",ReferenceData!$Q$163),"")</x:f>
        <x:v/>
      </x:c>
      <x:c r="R163" t="str">
        <x:f ca="1">IFERROR(IF(0=LEN(ReferenceData!$R$163),"",ReferenceData!$R$163),"")</x:f>
        <x:v/>
      </x:c>
      <x:c r="S163" t="str">
        <x:f ca="1">IFERROR(IF(0=LEN(ReferenceData!$S$163),"",ReferenceData!$S$163),"")</x:f>
        <x:v/>
      </x:c>
    </x:row>
    <x:row r="164" spans="1:19" x14ac:dyDescent="0.25">
      <x:c r="A164" t="str">
        <x:f>IFERROR(IF(0=LEN(ReferenceData!$A$164),"",ReferenceData!$A$164),"")</x:f>
        <x:v xml:space="preserve">        VanEck Oil Refiners ETF</x:v>
      </x:c>
      <x:c r="B164" t="str">
        <x:f>IFERROR(IF(0=LEN(ReferenceData!$B$164),"",ReferenceData!$B$164),"")</x:f>
        <x:v>CRAK US Equity</x:v>
      </x:c>
      <x:c r="C164" t="str">
        <x:f>IFERROR(IF(0=LEN(ReferenceData!$C$164),"",ReferenceData!$C$164),"")</x:f>
        <x:v/>
      </x:c>
      <x:c r="D164" t="str">
        <x:f>IFERROR(IF(0=LEN(ReferenceData!$D$164),"",ReferenceData!$D$164),"")</x:f>
        <x:v/>
      </x:c>
      <x:c r="E164" t="str">
        <x:f>IFERROR(IF(0=LEN(ReferenceData!$E$164),"",ReferenceData!$E$164),"")</x:f>
        <x:v>Expression</x:v>
      </x:c>
      <x:c r="F164">
        <x:f ca="1">IFERROR(IF(0=LEN(ReferenceData!$F$164),"",ReferenceData!$F$164),"")</x:f>
        <x:v>0</x:v>
      </x:c>
      <x:c r="G164">
        <x:f ca="1">IFERROR(IF(0=LEN(ReferenceData!$G$164),"",ReferenceData!$G$164),"")</x:f>
        <x:v>-2.6721999999999999E-2</x:v>
      </x:c>
      <x:c r="H164">
        <x:f ca="1">IFERROR(IF(0=LEN(ReferenceData!$H$164),"",ReferenceData!$H$164),"")</x:f>
        <x:v>0</x:v>
      </x:c>
      <x:c r="I164">
        <x:f ca="1">IFERROR(IF(0=LEN(ReferenceData!$I$164),"",ReferenceData!$I$164),"")</x:f>
        <x:v>0</x:v>
      </x:c>
      <x:c r="J164">
        <x:f ca="1">IFERROR(IF(0=LEN(ReferenceData!$J$164),"",ReferenceData!$J$164),"")</x:f>
        <x:v>-3.3293210000000002</x:v>
      </x:c>
      <x:c r="K164">
        <x:f ca="1">IFERROR(IF(0=LEN(ReferenceData!$K$164),"",ReferenceData!$K$164),"")</x:f>
        <x:v>-2.262839</x:v>
      </x:c>
      <x:c r="L164">
        <x:f ca="1">IFERROR(IF(0=LEN(ReferenceData!$L$164),"",ReferenceData!$L$164),"")</x:f>
        <x:v>-0.75418399999999997</x:v>
      </x:c>
      <x:c r="M164">
        <x:f ca="1">IFERROR(IF(0=LEN(ReferenceData!$M$164),"",ReferenceData!$M$164),"")</x:f>
        <x:v>-1.548721</x:v>
      </x:c>
      <x:c r="N164">
        <x:f ca="1">IFERROR(IF(0=LEN(ReferenceData!$N$164),"",ReferenceData!$N$164),"")</x:f>
        <x:v>0</x:v>
      </x:c>
      <x:c r="O164">
        <x:f ca="1">IFERROR(IF(0=LEN(ReferenceData!$O$164),"",ReferenceData!$O$164),"")</x:f>
        <x:v>0</x:v>
      </x:c>
      <x:c r="P164">
        <x:f ca="1">IFERROR(IF(0=LEN(ReferenceData!$P$164),"",ReferenceData!$P$164),"")</x:f>
        <x:v>-1.5493589999999999</x:v>
      </x:c>
      <x:c r="Q164">
        <x:f ca="1">IFERROR(IF(0=LEN(ReferenceData!$Q$164),"",ReferenceData!$Q$164),"")</x:f>
        <x:v>0</x:v>
      </x:c>
      <x:c r="R164">
        <x:f ca="1">IFERROR(IF(0=LEN(ReferenceData!$R$164),"",ReferenceData!$R$164),"")</x:f>
        <x:v>0</x:v>
      </x:c>
      <x:c r="S164">
        <x:f ca="1">IFERROR(IF(0=LEN(ReferenceData!$S$164),"",ReferenceData!$S$164),"")</x:f>
        <x:v>0</x:v>
      </x:c>
    </x:row>
    <x:row r="165" spans="1:19" x14ac:dyDescent="0.25">
      <x:c r="A165" t="str">
        <x:f>IFERROR(IF(0=LEN(ReferenceData!$A$165),"",ReferenceData!$A$165),"")</x:f>
        <x:v xml:space="preserve">        ProShares Short Oil &amp; Gas</x:v>
      </x:c>
      <x:c r="B165" t="str">
        <x:f>IFERROR(IF(0=LEN(ReferenceData!$B$165),"",ReferenceData!$B$165),"")</x:f>
        <x:v>DDG US Equity</x:v>
      </x:c>
      <x:c r="C165" t="str">
        <x:f>IFERROR(IF(0=LEN(ReferenceData!$C$165),"",ReferenceData!$C$165),"")</x:f>
        <x:v/>
      </x:c>
      <x:c r="D165" t="str">
        <x:f>IFERROR(IF(0=LEN(ReferenceData!$D$165),"",ReferenceData!$D$165),"")</x:f>
        <x:v/>
      </x:c>
      <x:c r="E165" t="str">
        <x:f>IFERROR(IF(0=LEN(ReferenceData!$E$165),"",ReferenceData!$E$165),"")</x:f>
        <x:v>Expression</x:v>
      </x:c>
      <x:c r="F165" t="str">
        <x:f ca="1">IFERROR(IF(0=LEN(ReferenceData!$F$165),"",ReferenceData!$F$165),"")</x:f>
        <x:v/>
      </x:c>
      <x:c r="G165" t="str">
        <x:f ca="1">IFERROR(IF(0=LEN(ReferenceData!$G$165),"",ReferenceData!$G$165),"")</x:f>
        <x:v/>
      </x:c>
      <x:c r="H165" t="str">
        <x:f ca="1">IFERROR(IF(0=LEN(ReferenceData!$H$165),"",ReferenceData!$H$165),"")</x:f>
        <x:v/>
      </x:c>
      <x:c r="I165" t="str">
        <x:f ca="1">IFERROR(IF(0=LEN(ReferenceData!$I$165),"",ReferenceData!$I$165),"")</x:f>
        <x:v/>
      </x:c>
      <x:c r="J165" t="str">
        <x:f ca="1">IFERROR(IF(0=LEN(ReferenceData!$J$165),"",ReferenceData!$J$165),"")</x:f>
        <x:v/>
      </x:c>
      <x:c r="K165" t="str">
        <x:f ca="1">IFERROR(IF(0=LEN(ReferenceData!$K$165),"",ReferenceData!$K$165),"")</x:f>
        <x:v/>
      </x:c>
      <x:c r="L165" t="str">
        <x:f ca="1">IFERROR(IF(0=LEN(ReferenceData!$L$165),"",ReferenceData!$L$165),"")</x:f>
        <x:v/>
      </x:c>
      <x:c r="M165" t="str">
        <x:f ca="1">IFERROR(IF(0=LEN(ReferenceData!$M$165),"",ReferenceData!$M$165),"")</x:f>
        <x:v/>
      </x:c>
      <x:c r="N165" t="str">
        <x:f ca="1">IFERROR(IF(0=LEN(ReferenceData!$N$165),"",ReferenceData!$N$165),"")</x:f>
        <x:v/>
      </x:c>
      <x:c r="O165" t="str">
        <x:f ca="1">IFERROR(IF(0=LEN(ReferenceData!$O$165),"",ReferenceData!$O$165),"")</x:f>
        <x:v/>
      </x:c>
      <x:c r="P165" t="str">
        <x:f ca="1">IFERROR(IF(0=LEN(ReferenceData!$P$165),"",ReferenceData!$P$165),"")</x:f>
        <x:v/>
      </x:c>
      <x:c r="Q165" t="str">
        <x:f ca="1">IFERROR(IF(0=LEN(ReferenceData!$Q$165),"",ReferenceData!$Q$165),"")</x:f>
        <x:v/>
      </x:c>
      <x:c r="R165" t="str">
        <x:f ca="1">IFERROR(IF(0=LEN(ReferenceData!$R$165),"",ReferenceData!$R$165),"")</x:f>
        <x:v/>
      </x:c>
      <x:c r="S165" t="str">
        <x:f ca="1">IFERROR(IF(0=LEN(ReferenceData!$S$165),"",ReferenceData!$S$165),"")</x:f>
        <x:v/>
      </x:c>
    </x:row>
    <x:row r="166" spans="1:19" x14ac:dyDescent="0.25">
      <x:c r="A166" t="str">
        <x:f>IFERROR(IF(0=LEN(ReferenceData!$A$166),"",ReferenceData!$A$166),"")</x:f>
        <x:v xml:space="preserve">        First Trust Nasdaq Oil &amp; Gas E</x:v>
      </x:c>
      <x:c r="B166" t="str">
        <x:f>IFERROR(IF(0=LEN(ReferenceData!$B$166),"",ReferenceData!$B$166),"")</x:f>
        <x:v>FTXN US Equity</x:v>
      </x:c>
      <x:c r="C166" t="str">
        <x:f>IFERROR(IF(0=LEN(ReferenceData!$C$166),"",ReferenceData!$C$166),"")</x:f>
        <x:v/>
      </x:c>
      <x:c r="D166" t="str">
        <x:f>IFERROR(IF(0=LEN(ReferenceData!$D$166),"",ReferenceData!$D$166),"")</x:f>
        <x:v/>
      </x:c>
      <x:c r="E166" t="str">
        <x:f>IFERROR(IF(0=LEN(ReferenceData!$E$166),"",ReferenceData!$E$166),"")</x:f>
        <x:v>Expression</x:v>
      </x:c>
      <x:c r="F166">
        <x:f ca="1">IFERROR(IF(0=LEN(ReferenceData!$F$166),"",ReferenceData!$F$166),"")</x:f>
        <x:v>2.9900190000000002</x:v>
      </x:c>
      <x:c r="G166">
        <x:f ca="1">IFERROR(IF(0=LEN(ReferenceData!$G$166),"",ReferenceData!$G$166),"")</x:f>
        <x:v>9.0506430000000009</x:v>
      </x:c>
      <x:c r="H166">
        <x:f ca="1">IFERROR(IF(0=LEN(ReferenceData!$H$166),"",ReferenceData!$H$166),"")</x:f>
        <x:v>7.9399309999999996</x:v>
      </x:c>
      <x:c r="I166">
        <x:f ca="1">IFERROR(IF(0=LEN(ReferenceData!$I$166),"",ReferenceData!$I$166),"")</x:f>
        <x:v>3.4987999999999998E-2</x:v>
      </x:c>
      <x:c r="J166">
        <x:f ca="1">IFERROR(IF(0=LEN(ReferenceData!$J$166),"",ReferenceData!$J$166),"")</x:f>
        <x:v>-19.320499999999999</x:v>
      </x:c>
      <x:c r="K166">
        <x:f ca="1">IFERROR(IF(0=LEN(ReferenceData!$K$166),"",ReferenceData!$K$166),"")</x:f>
        <x:v>-21.130500000000001</x:v>
      </x:c>
      <x:c r="L166">
        <x:f ca="1">IFERROR(IF(0=LEN(ReferenceData!$L$166),"",ReferenceData!$L$166),"")</x:f>
        <x:v>-24.1233</x:v>
      </x:c>
      <x:c r="M166">
        <x:f ca="1">IFERROR(IF(0=LEN(ReferenceData!$M$166),"",ReferenceData!$M$166),"")</x:f>
        <x:v>-22.226206000000001</x:v>
      </x:c>
      <x:c r="N166">
        <x:f ca="1">IFERROR(IF(0=LEN(ReferenceData!$N$166),"",ReferenceData!$N$166),"")</x:f>
        <x:v>-853.88167299999998</x:v>
      </x:c>
      <x:c r="O166">
        <x:f ca="1">IFERROR(IF(0=LEN(ReferenceData!$O$166),"",ReferenceData!$O$166),"")</x:f>
        <x:v>14.494581</x:v>
      </x:c>
      <x:c r="P166">
        <x:f ca="1">IFERROR(IF(0=LEN(ReferenceData!$P$166),"",ReferenceData!$P$166),"")</x:f>
        <x:v>22.907093</x:v>
      </x:c>
      <x:c r="Q166">
        <x:f ca="1">IFERROR(IF(0=LEN(ReferenceData!$Q$166),"",ReferenceData!$Q$166),"")</x:f>
        <x:v>7.3919410000000001</x:v>
      </x:c>
      <x:c r="R166">
        <x:f ca="1">IFERROR(IF(0=LEN(ReferenceData!$R$166),"",ReferenceData!$R$166),"")</x:f>
        <x:v>50.125019999999999</x:v>
      </x:c>
      <x:c r="S166">
        <x:f ca="1">IFERROR(IF(0=LEN(ReferenceData!$S$166),"",ReferenceData!$S$166),"")</x:f>
        <x:v>-6.3836120000000003</x:v>
      </x:c>
    </x:row>
    <x:row r="167" spans="1:19" x14ac:dyDescent="0.25">
      <x:c r="A167" t="str">
        <x:f>IFERROR(IF(0=LEN(ReferenceData!$A$167),"",ReferenceData!$A$167),"")</x:f>
        <x:v xml:space="preserve">        IQ Global Oil Small Cap ETF</x:v>
      </x:c>
      <x:c r="B167" t="str">
        <x:f>IFERROR(IF(0=LEN(ReferenceData!$B$167),"",ReferenceData!$B$167),"")</x:f>
        <x:v>IOIL US Equity</x:v>
      </x:c>
      <x:c r="C167" t="str">
        <x:f>IFERROR(IF(0=LEN(ReferenceData!$C$167),"",ReferenceData!$C$167),"")</x:f>
        <x:v/>
      </x:c>
      <x:c r="D167" t="str">
        <x:f>IFERROR(IF(0=LEN(ReferenceData!$D$167),"",ReferenceData!$D$167),"")</x:f>
        <x:v/>
      </x:c>
      <x:c r="E167" t="str">
        <x:f>IFERROR(IF(0=LEN(ReferenceData!$E$167),"",ReferenceData!$E$167),"")</x:f>
        <x:v>Expression</x:v>
      </x:c>
      <x:c r="F167" t="str">
        <x:f ca="1">IFERROR(IF(0=LEN(ReferenceData!$F$167),"",ReferenceData!$F$167),"")</x:f>
        <x:v/>
      </x:c>
      <x:c r="G167" t="str">
        <x:f ca="1">IFERROR(IF(0=LEN(ReferenceData!$G$167),"",ReferenceData!$G$167),"")</x:f>
        <x:v/>
      </x:c>
      <x:c r="H167" t="str">
        <x:f ca="1">IFERROR(IF(0=LEN(ReferenceData!$H$167),"",ReferenceData!$H$167),"")</x:f>
        <x:v/>
      </x:c>
      <x:c r="I167" t="str">
        <x:f ca="1">IFERROR(IF(0=LEN(ReferenceData!$I$167),"",ReferenceData!$I$167),"")</x:f>
        <x:v/>
      </x:c>
      <x:c r="J167" t="str">
        <x:f ca="1">IFERROR(IF(0=LEN(ReferenceData!$J$167),"",ReferenceData!$J$167),"")</x:f>
        <x:v/>
      </x:c>
      <x:c r="K167" t="str">
        <x:f ca="1">IFERROR(IF(0=LEN(ReferenceData!$K$167),"",ReferenceData!$K$167),"")</x:f>
        <x:v/>
      </x:c>
      <x:c r="L167" t="str">
        <x:f ca="1">IFERROR(IF(0=LEN(ReferenceData!$L$167),"",ReferenceData!$L$167),"")</x:f>
        <x:v/>
      </x:c>
      <x:c r="M167" t="str">
        <x:f ca="1">IFERROR(IF(0=LEN(ReferenceData!$M$167),"",ReferenceData!$M$167),"")</x:f>
        <x:v/>
      </x:c>
      <x:c r="N167" t="str">
        <x:f ca="1">IFERROR(IF(0=LEN(ReferenceData!$N$167),"",ReferenceData!$N$167),"")</x:f>
        <x:v/>
      </x:c>
      <x:c r="O167" t="str">
        <x:f ca="1">IFERROR(IF(0=LEN(ReferenceData!$O$167),"",ReferenceData!$O$167),"")</x:f>
        <x:v/>
      </x:c>
      <x:c r="P167" t="str">
        <x:f ca="1">IFERROR(IF(0=LEN(ReferenceData!$P$167),"",ReferenceData!$P$167),"")</x:f>
        <x:v/>
      </x:c>
      <x:c r="Q167" t="str">
        <x:f ca="1">IFERROR(IF(0=LEN(ReferenceData!$Q$167),"",ReferenceData!$Q$167),"")</x:f>
        <x:v/>
      </x:c>
      <x:c r="R167" t="str">
        <x:f ca="1">IFERROR(IF(0=LEN(ReferenceData!$R$167),"",ReferenceData!$R$167),"")</x:f>
        <x:v/>
      </x:c>
      <x:c r="S167" t="str">
        <x:f ca="1">IFERROR(IF(0=LEN(ReferenceData!$S$167),"",ReferenceData!$S$167),"")</x:f>
        <x:v/>
      </x:c>
    </x:row>
    <x:row r="168" spans="1:19" x14ac:dyDescent="0.25">
      <x:c r="A168" t="str">
        <x:f>IFERROR(IF(0=LEN(ReferenceData!$A$168),"",ReferenceData!$A$168),"")</x:f>
        <x:v xml:space="preserve">        iShares Edge MSCI Multifactor</x:v>
      </x:c>
      <x:c r="B168" t="str">
        <x:f>IFERROR(IF(0=LEN(ReferenceData!$B$168),"",ReferenceData!$B$168),"")</x:f>
        <x:v>ERGF US Equity</x:v>
      </x:c>
      <x:c r="C168" t="str">
        <x:f>IFERROR(IF(0=LEN(ReferenceData!$C$168),"",ReferenceData!$C$168),"")</x:f>
        <x:v/>
      </x:c>
      <x:c r="D168" t="str">
        <x:f>IFERROR(IF(0=LEN(ReferenceData!$D$168),"",ReferenceData!$D$168),"")</x:f>
        <x:v/>
      </x:c>
      <x:c r="E168" t="str">
        <x:f>IFERROR(IF(0=LEN(ReferenceData!$E$168),"",ReferenceData!$E$168),"")</x:f>
        <x:v>Expression</x:v>
      </x:c>
      <x:c r="F168" t="str">
        <x:f ca="1">IFERROR(IF(0=LEN(ReferenceData!$F$168),"",ReferenceData!$F$168),"")</x:f>
        <x:v/>
      </x:c>
      <x:c r="G168" t="str">
        <x:f ca="1">IFERROR(IF(0=LEN(ReferenceData!$G$168),"",ReferenceData!$G$168),"")</x:f>
        <x:v/>
      </x:c>
      <x:c r="H168" t="str">
        <x:f ca="1">IFERROR(IF(0=LEN(ReferenceData!$H$168),"",ReferenceData!$H$168),"")</x:f>
        <x:v/>
      </x:c>
      <x:c r="I168" t="str">
        <x:f ca="1">IFERROR(IF(0=LEN(ReferenceData!$I$168),"",ReferenceData!$I$168),"")</x:f>
        <x:v/>
      </x:c>
      <x:c r="J168" t="str">
        <x:f ca="1">IFERROR(IF(0=LEN(ReferenceData!$J$168),"",ReferenceData!$J$168),"")</x:f>
        <x:v/>
      </x:c>
      <x:c r="K168" t="str">
        <x:f ca="1">IFERROR(IF(0=LEN(ReferenceData!$K$168),"",ReferenceData!$K$168),"")</x:f>
        <x:v/>
      </x:c>
      <x:c r="L168" t="str">
        <x:f ca="1">IFERROR(IF(0=LEN(ReferenceData!$L$168),"",ReferenceData!$L$168),"")</x:f>
        <x:v/>
      </x:c>
      <x:c r="M168" t="str">
        <x:f ca="1">IFERROR(IF(0=LEN(ReferenceData!$M$168),"",ReferenceData!$M$168),"")</x:f>
        <x:v/>
      </x:c>
      <x:c r="N168" t="str">
        <x:f ca="1">IFERROR(IF(0=LEN(ReferenceData!$N$168),"",ReferenceData!$N$168),"")</x:f>
        <x:v/>
      </x:c>
      <x:c r="O168" t="str">
        <x:f ca="1">IFERROR(IF(0=LEN(ReferenceData!$O$168),"",ReferenceData!$O$168),"")</x:f>
        <x:v/>
      </x:c>
      <x:c r="P168" t="str">
        <x:f ca="1">IFERROR(IF(0=LEN(ReferenceData!$P$168),"",ReferenceData!$P$168),"")</x:f>
        <x:v/>
      </x:c>
      <x:c r="Q168" t="str">
        <x:f ca="1">IFERROR(IF(0=LEN(ReferenceData!$Q$168),"",ReferenceData!$Q$168),"")</x:f>
        <x:v/>
      </x:c>
      <x:c r="R168" t="str">
        <x:f ca="1">IFERROR(IF(0=LEN(ReferenceData!$R$168),"",ReferenceData!$R$168),"")</x:f>
        <x:v/>
      </x:c>
      <x:c r="S168" t="str">
        <x:f ca="1">IFERROR(IF(0=LEN(ReferenceData!$S$168),"",ReferenceData!$S$168),"")</x:f>
        <x:v/>
      </x:c>
    </x:row>
    <x:row r="169" spans="1:19" x14ac:dyDescent="0.25">
      <x:c r="A169" t="str">
        <x:f>IFERROR(IF(0=LEN(ReferenceData!$A$169),"",ReferenceData!$A$169),"")</x:f>
        <x:v xml:space="preserve">        Global X MSCI China Energy ETF</x:v>
      </x:c>
      <x:c r="B169" t="str">
        <x:f>IFERROR(IF(0=LEN(ReferenceData!$B$169),"",ReferenceData!$B$169),"")</x:f>
        <x:v>CHIE US Equity</x:v>
      </x:c>
      <x:c r="C169" t="str">
        <x:f>IFERROR(IF(0=LEN(ReferenceData!$C$169),"",ReferenceData!$C$169),"")</x:f>
        <x:v/>
      </x:c>
      <x:c r="D169" t="str">
        <x:f>IFERROR(IF(0=LEN(ReferenceData!$D$169),"",ReferenceData!$D$169),"")</x:f>
        <x:v/>
      </x:c>
      <x:c r="E169" t="str">
        <x:f>IFERROR(IF(0=LEN(ReferenceData!$E$169),"",ReferenceData!$E$169),"")</x:f>
        <x:v>Expression</x:v>
      </x:c>
      <x:c r="F169">
        <x:f ca="1">IFERROR(IF(0=LEN(ReferenceData!$F$169),"",ReferenceData!$F$169),"")</x:f>
        <x:v>0</x:v>
      </x:c>
      <x:c r="G169">
        <x:f ca="1">IFERROR(IF(0=LEN(ReferenceData!$G$169),"",ReferenceData!$G$169),"")</x:f>
        <x:v>0</x:v>
      </x:c>
      <x:c r="H169">
        <x:f ca="1">IFERROR(IF(0=LEN(ReferenceData!$H$169),"",ReferenceData!$H$169),"")</x:f>
        <x:v>0</x:v>
      </x:c>
      <x:c r="I169">
        <x:f ca="1">IFERROR(IF(0=LEN(ReferenceData!$I$169),"",ReferenceData!$I$169),"")</x:f>
        <x:v>-1.2996000000000001</x:v>
      </x:c>
      <x:c r="J169">
        <x:f ca="1">IFERROR(IF(0=LEN(ReferenceData!$J$169),"",ReferenceData!$J$169),"")</x:f>
        <x:v>-0.29799999999999999</x:v>
      </x:c>
      <x:c r="K169">
        <x:f ca="1">IFERROR(IF(0=LEN(ReferenceData!$K$169),"",ReferenceData!$K$169),"")</x:f>
        <x:v>-3.3740999999999999</x:v>
      </x:c>
      <x:c r="L169">
        <x:f ca="1">IFERROR(IF(0=LEN(ReferenceData!$L$169),"",ReferenceData!$L$169),"")</x:f>
        <x:v>0.48780000000000001</x:v>
      </x:c>
      <x:c r="M169">
        <x:f ca="1">IFERROR(IF(0=LEN(ReferenceData!$M$169),"",ReferenceData!$M$169),"")</x:f>
        <x:v>-0.76649999999999996</x:v>
      </x:c>
      <x:c r="N169">
        <x:f ca="1">IFERROR(IF(0=LEN(ReferenceData!$N$169),"",ReferenceData!$N$169),"")</x:f>
        <x:v>0</x:v>
      </x:c>
      <x:c r="O169">
        <x:f ca="1">IFERROR(IF(0=LEN(ReferenceData!$O$169),"",ReferenceData!$O$169),"")</x:f>
        <x:v>0</x:v>
      </x:c>
      <x:c r="P169">
        <x:f ca="1">IFERROR(IF(0=LEN(ReferenceData!$P$169),"",ReferenceData!$P$169),"")</x:f>
        <x:v>1.2512000000000001</x:v>
      </x:c>
      <x:c r="Q169">
        <x:f ca="1">IFERROR(IF(0=LEN(ReferenceData!$Q$169),"",ReferenceData!$Q$169),"")</x:f>
        <x:v>0</x:v>
      </x:c>
      <x:c r="R169">
        <x:f ca="1">IFERROR(IF(0=LEN(ReferenceData!$R$169),"",ReferenceData!$R$169),"")</x:f>
        <x:v>-0.74050000000000005</x:v>
      </x:c>
      <x:c r="S169">
        <x:f ca="1">IFERROR(IF(0=LEN(ReferenceData!$S$169),"",ReferenceData!$S$169),"")</x:f>
        <x:v>1.5629999999999999</x:v>
      </x:c>
    </x:row>
    <x:row r="170" spans="1:19" x14ac:dyDescent="0.25">
      <x:c r="A170" t="str">
        <x:f>IFERROR(IF(0=LEN(ReferenceData!$A$170),"",ReferenceData!$A$170),"")</x:f>
        <x:v xml:space="preserve">        Proshares Ultra Oil &amp; Gas Expl</x:v>
      </x:c>
      <x:c r="B170" t="str">
        <x:f>IFERROR(IF(0=LEN(ReferenceData!$B$170),"",ReferenceData!$B$170),"")</x:f>
        <x:v>UOP US Equity</x:v>
      </x:c>
      <x:c r="C170" t="str">
        <x:f>IFERROR(IF(0=LEN(ReferenceData!$C$170),"",ReferenceData!$C$170),"")</x:f>
        <x:v/>
      </x:c>
      <x:c r="D170" t="str">
        <x:f>IFERROR(IF(0=LEN(ReferenceData!$D$170),"",ReferenceData!$D$170),"")</x:f>
        <x:v/>
      </x:c>
      <x:c r="E170" t="str">
        <x:f>IFERROR(IF(0=LEN(ReferenceData!$E$170),"",ReferenceData!$E$170),"")</x:f>
        <x:v>Expression</x:v>
      </x:c>
      <x:c r="F170" t="str">
        <x:f ca="1">IFERROR(IF(0=LEN(ReferenceData!$F$170),"",ReferenceData!$F$170),"")</x:f>
        <x:v/>
      </x:c>
      <x:c r="G170" t="str">
        <x:f ca="1">IFERROR(IF(0=LEN(ReferenceData!$G$170),"",ReferenceData!$G$170),"")</x:f>
        <x:v/>
      </x:c>
      <x:c r="H170" t="str">
        <x:f ca="1">IFERROR(IF(0=LEN(ReferenceData!$H$170),"",ReferenceData!$H$170),"")</x:f>
        <x:v/>
      </x:c>
      <x:c r="I170" t="str">
        <x:f ca="1">IFERROR(IF(0=LEN(ReferenceData!$I$170),"",ReferenceData!$I$170),"")</x:f>
        <x:v/>
      </x:c>
      <x:c r="J170" t="str">
        <x:f ca="1">IFERROR(IF(0=LEN(ReferenceData!$J$170),"",ReferenceData!$J$170),"")</x:f>
        <x:v/>
      </x:c>
      <x:c r="K170" t="str">
        <x:f ca="1">IFERROR(IF(0=LEN(ReferenceData!$K$170),"",ReferenceData!$K$170),"")</x:f>
        <x:v/>
      </x:c>
      <x:c r="L170" t="str">
        <x:f ca="1">IFERROR(IF(0=LEN(ReferenceData!$L$170),"",ReferenceData!$L$170),"")</x:f>
        <x:v/>
      </x:c>
      <x:c r="M170" t="str">
        <x:f ca="1">IFERROR(IF(0=LEN(ReferenceData!$M$170),"",ReferenceData!$M$170),"")</x:f>
        <x:v/>
      </x:c>
      <x:c r="N170" t="str">
        <x:f ca="1">IFERROR(IF(0=LEN(ReferenceData!$N$170),"",ReferenceData!$N$170),"")</x:f>
        <x:v/>
      </x:c>
      <x:c r="O170" t="str">
        <x:f ca="1">IFERROR(IF(0=LEN(ReferenceData!$O$170),"",ReferenceData!$O$170),"")</x:f>
        <x:v/>
      </x:c>
      <x:c r="P170" t="str">
        <x:f ca="1">IFERROR(IF(0=LEN(ReferenceData!$P$170),"",ReferenceData!$P$170),"")</x:f>
        <x:v/>
      </x:c>
      <x:c r="Q170" t="str">
        <x:f ca="1">IFERROR(IF(0=LEN(ReferenceData!$Q$170),"",ReferenceData!$Q$170),"")</x:f>
        <x:v/>
      </x:c>
      <x:c r="R170" t="str">
        <x:f ca="1">IFERROR(IF(0=LEN(ReferenceData!$R$170),"",ReferenceData!$R$170),"")</x:f>
        <x:v/>
      </x:c>
      <x:c r="S170" t="str">
        <x:f ca="1">IFERROR(IF(0=LEN(ReferenceData!$S$170),"",ReferenceData!$S$170),"")</x:f>
        <x:v/>
      </x:c>
    </x:row>
    <x:row r="171" spans="1:19" x14ac:dyDescent="0.25">
      <x:c r="A171" t="str">
        <x:f>IFERROR(IF(0=LEN(ReferenceData!$A$171),"",ReferenceData!$A$171),"")</x:f>
        <x:v xml:space="preserve">        Elkhorn S&amp;P MidCap Energy Port</x:v>
      </x:c>
      <x:c r="B171" t="str">
        <x:f>IFERROR(IF(0=LEN(ReferenceData!$B$171),"",ReferenceData!$B$171),"")</x:f>
        <x:v>XE US Equity</x:v>
      </x:c>
      <x:c r="C171" t="str">
        <x:f>IFERROR(IF(0=LEN(ReferenceData!$C$171),"",ReferenceData!$C$171),"")</x:f>
        <x:v/>
      </x:c>
      <x:c r="D171" t="str">
        <x:f>IFERROR(IF(0=LEN(ReferenceData!$D$171),"",ReferenceData!$D$171),"")</x:f>
        <x:v/>
      </x:c>
      <x:c r="E171" t="str">
        <x:f>IFERROR(IF(0=LEN(ReferenceData!$E$171),"",ReferenceData!$E$171),"")</x:f>
        <x:v>Expression</x:v>
      </x:c>
      <x:c r="F171" t="str">
        <x:f ca="1">IFERROR(IF(0=LEN(ReferenceData!$F$171),"",ReferenceData!$F$171),"")</x:f>
        <x:v/>
      </x:c>
      <x:c r="G171" t="str">
        <x:f ca="1">IFERROR(IF(0=LEN(ReferenceData!$G$171),"",ReferenceData!$G$171),"")</x:f>
        <x:v/>
      </x:c>
      <x:c r="H171" t="str">
        <x:f ca="1">IFERROR(IF(0=LEN(ReferenceData!$H$171),"",ReferenceData!$H$171),"")</x:f>
        <x:v/>
      </x:c>
      <x:c r="I171" t="str">
        <x:f ca="1">IFERROR(IF(0=LEN(ReferenceData!$I$171),"",ReferenceData!$I$171),"")</x:f>
        <x:v/>
      </x:c>
      <x:c r="J171" t="str">
        <x:f ca="1">IFERROR(IF(0=LEN(ReferenceData!$J$171),"",ReferenceData!$J$171),"")</x:f>
        <x:v/>
      </x:c>
      <x:c r="K171" t="str">
        <x:f ca="1">IFERROR(IF(0=LEN(ReferenceData!$K$171),"",ReferenceData!$K$171),"")</x:f>
        <x:v/>
      </x:c>
      <x:c r="L171" t="str">
        <x:f ca="1">IFERROR(IF(0=LEN(ReferenceData!$L$171),"",ReferenceData!$L$171),"")</x:f>
        <x:v/>
      </x:c>
      <x:c r="M171" t="str">
        <x:f ca="1">IFERROR(IF(0=LEN(ReferenceData!$M$171),"",ReferenceData!$M$171),"")</x:f>
        <x:v/>
      </x:c>
      <x:c r="N171" t="str">
        <x:f ca="1">IFERROR(IF(0=LEN(ReferenceData!$N$171),"",ReferenceData!$N$171),"")</x:f>
        <x:v/>
      </x:c>
      <x:c r="O171" t="str">
        <x:f ca="1">IFERROR(IF(0=LEN(ReferenceData!$O$171),"",ReferenceData!$O$171),"")</x:f>
        <x:v/>
      </x:c>
      <x:c r="P171" t="str">
        <x:f ca="1">IFERROR(IF(0=LEN(ReferenceData!$P$171),"",ReferenceData!$P$171),"")</x:f>
        <x:v/>
      </x:c>
      <x:c r="Q171" t="str">
        <x:f ca="1">IFERROR(IF(0=LEN(ReferenceData!$Q$171),"",ReferenceData!$Q$171),"")</x:f>
        <x:v/>
      </x:c>
      <x:c r="R171" t="str">
        <x:f ca="1">IFERROR(IF(0=LEN(ReferenceData!$R$171),"",ReferenceData!$R$171),"")</x:f>
        <x:v/>
      </x:c>
      <x:c r="S171" t="str">
        <x:f ca="1">IFERROR(IF(0=LEN(ReferenceData!$S$171),"",ReferenceData!$S$171),"")</x:f>
        <x:v/>
      </x:c>
    </x:row>
    <x:row r="172" spans="1:19" x14ac:dyDescent="0.25">
      <x:c r="A172" t="str">
        <x:f>IFERROR(IF(0=LEN(ReferenceData!$A$172),"",ReferenceData!$A$172),"")</x:f>
        <x:v xml:space="preserve">        Direxion Shares Etf Trust-Dire</x:v>
      </x:c>
      <x:c r="B172" t="str">
        <x:f>IFERROR(IF(0=LEN(ReferenceData!$B$172),"",ReferenceData!$B$172),"")</x:f>
        <x:v>ERYY US Equity</x:v>
      </x:c>
      <x:c r="C172" t="str">
        <x:f>IFERROR(IF(0=LEN(ReferenceData!$C$172),"",ReferenceData!$C$172),"")</x:f>
        <x:v/>
      </x:c>
      <x:c r="D172" t="str">
        <x:f>IFERROR(IF(0=LEN(ReferenceData!$D$172),"",ReferenceData!$D$172),"")</x:f>
        <x:v/>
      </x:c>
      <x:c r="E172" t="str">
        <x:f>IFERROR(IF(0=LEN(ReferenceData!$E$172),"",ReferenceData!$E$172),"")</x:f>
        <x:v>Expression</x:v>
      </x:c>
      <x:c r="F172" t="str">
        <x:f ca="1">IFERROR(IF(0=LEN(ReferenceData!$F$172),"",ReferenceData!$F$172),"")</x:f>
        <x:v/>
      </x:c>
      <x:c r="G172" t="str">
        <x:f ca="1">IFERROR(IF(0=LEN(ReferenceData!$G$172),"",ReferenceData!$G$172),"")</x:f>
        <x:v/>
      </x:c>
      <x:c r="H172" t="str">
        <x:f ca="1">IFERROR(IF(0=LEN(ReferenceData!$H$172),"",ReferenceData!$H$172),"")</x:f>
        <x:v/>
      </x:c>
      <x:c r="I172" t="str">
        <x:f ca="1">IFERROR(IF(0=LEN(ReferenceData!$I$172),"",ReferenceData!$I$172),"")</x:f>
        <x:v/>
      </x:c>
      <x:c r="J172" t="str">
        <x:f ca="1">IFERROR(IF(0=LEN(ReferenceData!$J$172),"",ReferenceData!$J$172),"")</x:f>
        <x:v/>
      </x:c>
      <x:c r="K172" t="str">
        <x:f ca="1">IFERROR(IF(0=LEN(ReferenceData!$K$172),"",ReferenceData!$K$172),"")</x:f>
        <x:v/>
      </x:c>
      <x:c r="L172" t="str">
        <x:f ca="1">IFERROR(IF(0=LEN(ReferenceData!$L$172),"",ReferenceData!$L$172),"")</x:f>
        <x:v/>
      </x:c>
      <x:c r="M172" t="str">
        <x:f ca="1">IFERROR(IF(0=LEN(ReferenceData!$M$172),"",ReferenceData!$M$172),"")</x:f>
        <x:v/>
      </x:c>
      <x:c r="N172" t="str">
        <x:f ca="1">IFERROR(IF(0=LEN(ReferenceData!$N$172),"",ReferenceData!$N$172),"")</x:f>
        <x:v/>
      </x:c>
      <x:c r="O172" t="str">
        <x:f ca="1">IFERROR(IF(0=LEN(ReferenceData!$O$172),"",ReferenceData!$O$172),"")</x:f>
        <x:v/>
      </x:c>
      <x:c r="P172" t="str">
        <x:f ca="1">IFERROR(IF(0=LEN(ReferenceData!$P$172),"",ReferenceData!$P$172),"")</x:f>
        <x:v/>
      </x:c>
      <x:c r="Q172" t="str">
        <x:f ca="1">IFERROR(IF(0=LEN(ReferenceData!$Q$172),"",ReferenceData!$Q$172),"")</x:f>
        <x:v/>
      </x:c>
      <x:c r="R172" t="str">
        <x:f ca="1">IFERROR(IF(0=LEN(ReferenceData!$R$172),"",ReferenceData!$R$172),"")</x:f>
        <x:v/>
      </x:c>
      <x:c r="S172" t="str">
        <x:f ca="1">IFERROR(IF(0=LEN(ReferenceData!$S$172),"",ReferenceData!$S$172),"")</x:f>
        <x:v/>
      </x:c>
    </x:row>
    <x:row r="173" spans="1:19" x14ac:dyDescent="0.25">
      <x:c r="A173" t="str">
        <x:f>IFERROR(IF(0=LEN(ReferenceData!$A$173),"",ReferenceData!$A$173),"")</x:f>
        <x:v xml:space="preserve">        iPath Global Carbon ETN</x:v>
      </x:c>
      <x:c r="B173" t="str">
        <x:f>IFERROR(IF(0=LEN(ReferenceData!$B$173),"",ReferenceData!$B$173),"")</x:f>
        <x:v>GRNTF US Equity</x:v>
      </x:c>
      <x:c r="C173" t="str">
        <x:f>IFERROR(IF(0=LEN(ReferenceData!$C$173),"",ReferenceData!$C$173),"")</x:f>
        <x:v/>
      </x:c>
      <x:c r="D173" t="str">
        <x:f>IFERROR(IF(0=LEN(ReferenceData!$D$173),"",ReferenceData!$D$173),"")</x:f>
        <x:v/>
      </x:c>
      <x:c r="E173" t="str">
        <x:f>IFERROR(IF(0=LEN(ReferenceData!$E$173),"",ReferenceData!$E$173),"")</x:f>
        <x:v>Expression</x:v>
      </x:c>
      <x:c r="F173">
        <x:f ca="1">IFERROR(IF(0=LEN(ReferenceData!$F$173),"",ReferenceData!$F$173),"")</x:f>
        <x:v>-1.0522860000000001</x:v>
      </x:c>
      <x:c r="G173">
        <x:f ca="1">IFERROR(IF(0=LEN(ReferenceData!$G$173),"",ReferenceData!$G$173),"")</x:f>
        <x:v>0</x:v>
      </x:c>
      <x:c r="H173">
        <x:f ca="1">IFERROR(IF(0=LEN(ReferenceData!$H$173),"",ReferenceData!$H$173),"")</x:f>
        <x:v>0</x:v>
      </x:c>
      <x:c r="I173">
        <x:f ca="1">IFERROR(IF(0=LEN(ReferenceData!$I$173),"",ReferenceData!$I$173),"")</x:f>
        <x:v>0</x:v>
      </x:c>
      <x:c r="J173">
        <x:f ca="1">IFERROR(IF(0=LEN(ReferenceData!$J$173),"",ReferenceData!$J$173),"")</x:f>
        <x:v>-0.124083</x:v>
      </x:c>
      <x:c r="K173">
        <x:f ca="1">IFERROR(IF(0=LEN(ReferenceData!$K$173),"",ReferenceData!$K$173),"")</x:f>
        <x:v>0</x:v>
      </x:c>
      <x:c r="L173">
        <x:f ca="1">IFERROR(IF(0=LEN(ReferenceData!$L$173),"",ReferenceData!$L$173),"")</x:f>
        <x:v>0</x:v>
      </x:c>
      <x:c r="M173">
        <x:f ca="1">IFERROR(IF(0=LEN(ReferenceData!$M$173),"",ReferenceData!$M$173),"")</x:f>
        <x:v>-0.66505400000000003</x:v>
      </x:c>
      <x:c r="N173">
        <x:f ca="1">IFERROR(IF(0=LEN(ReferenceData!$N$173),"",ReferenceData!$N$173),"")</x:f>
        <x:v>0</x:v>
      </x:c>
      <x:c r="O173">
        <x:f ca="1">IFERROR(IF(0=LEN(ReferenceData!$O$173),"",ReferenceData!$O$173),"")</x:f>
        <x:v>0</x:v>
      </x:c>
      <x:c r="P173">
        <x:f ca="1">IFERROR(IF(0=LEN(ReferenceData!$P$173),"",ReferenceData!$P$173),"")</x:f>
        <x:v>0</x:v>
      </x:c>
      <x:c r="Q173">
        <x:f ca="1">IFERROR(IF(0=LEN(ReferenceData!$Q$173),"",ReferenceData!$Q$173),"")</x:f>
        <x:v>0</x:v>
      </x:c>
      <x:c r="R173">
        <x:f ca="1">IFERROR(IF(0=LEN(ReferenceData!$R$173),"",ReferenceData!$R$173),"")</x:f>
        <x:v>0</x:v>
      </x:c>
      <x:c r="S173">
        <x:f ca="1">IFERROR(IF(0=LEN(ReferenceData!$S$173),"",ReferenceData!$S$173),"")</x:f>
        <x:v>0</x:v>
      </x:c>
    </x:row>
    <x:row r="174" spans="1:19" x14ac:dyDescent="0.25">
      <x:c r="A174" t="str">
        <x:f>IFERROR(IF(0=LEN(ReferenceData!$A$174),"",ReferenceData!$A$174),"")</x:f>
        <x:v xml:space="preserve">        Proshares Ultrashort Oil &amp; Gas</x:v>
      </x:c>
      <x:c r="B174" t="str">
        <x:f>IFERROR(IF(0=LEN(ReferenceData!$B$174),"",ReferenceData!$B$174),"")</x:f>
        <x:v>SOP US Equity</x:v>
      </x:c>
      <x:c r="C174" t="str">
        <x:f>IFERROR(IF(0=LEN(ReferenceData!$C$174),"",ReferenceData!$C$174),"")</x:f>
        <x:v/>
      </x:c>
      <x:c r="D174" t="str">
        <x:f>IFERROR(IF(0=LEN(ReferenceData!$D$174),"",ReferenceData!$D$174),"")</x:f>
        <x:v/>
      </x:c>
      <x:c r="E174" t="str">
        <x:f>IFERROR(IF(0=LEN(ReferenceData!$E$174),"",ReferenceData!$E$174),"")</x:f>
        <x:v>Expression</x:v>
      </x:c>
      <x:c r="F174" t="str">
        <x:f ca="1">IFERROR(IF(0=LEN(ReferenceData!$F$174),"",ReferenceData!$F$174),"")</x:f>
        <x:v/>
      </x:c>
      <x:c r="G174" t="str">
        <x:f ca="1">IFERROR(IF(0=LEN(ReferenceData!$G$174),"",ReferenceData!$G$174),"")</x:f>
        <x:v/>
      </x:c>
      <x:c r="H174" t="str">
        <x:f ca="1">IFERROR(IF(0=LEN(ReferenceData!$H$174),"",ReferenceData!$H$174),"")</x:f>
        <x:v/>
      </x:c>
      <x:c r="I174" t="str">
        <x:f ca="1">IFERROR(IF(0=LEN(ReferenceData!$I$174),"",ReferenceData!$I$174),"")</x:f>
        <x:v/>
      </x:c>
      <x:c r="J174" t="str">
        <x:f ca="1">IFERROR(IF(0=LEN(ReferenceData!$J$174),"",ReferenceData!$J$174),"")</x:f>
        <x:v/>
      </x:c>
      <x:c r="K174" t="str">
        <x:f ca="1">IFERROR(IF(0=LEN(ReferenceData!$K$174),"",ReferenceData!$K$174),"")</x:f>
        <x:v/>
      </x:c>
      <x:c r="L174" t="str">
        <x:f ca="1">IFERROR(IF(0=LEN(ReferenceData!$L$174),"",ReferenceData!$L$174),"")</x:f>
        <x:v/>
      </x:c>
      <x:c r="M174" t="str">
        <x:f ca="1">IFERROR(IF(0=LEN(ReferenceData!$M$174),"",ReferenceData!$M$174),"")</x:f>
        <x:v/>
      </x:c>
      <x:c r="N174" t="str">
        <x:f ca="1">IFERROR(IF(0=LEN(ReferenceData!$N$174),"",ReferenceData!$N$174),"")</x:f>
        <x:v/>
      </x:c>
      <x:c r="O174" t="str">
        <x:f ca="1">IFERROR(IF(0=LEN(ReferenceData!$O$174),"",ReferenceData!$O$174),"")</x:f>
        <x:v/>
      </x:c>
      <x:c r="P174" t="str">
        <x:f ca="1">IFERROR(IF(0=LEN(ReferenceData!$P$174),"",ReferenceData!$P$174),"")</x:f>
        <x:v/>
      </x:c>
      <x:c r="Q174" t="str">
        <x:f ca="1">IFERROR(IF(0=LEN(ReferenceData!$Q$174),"",ReferenceData!$Q$174),"")</x:f>
        <x:v/>
      </x:c>
      <x:c r="R174" t="str">
        <x:f ca="1">IFERROR(IF(0=LEN(ReferenceData!$R$174),"",ReferenceData!$R$174),"")</x:f>
        <x:v/>
      </x:c>
      <x:c r="S174" t="str">
        <x:f ca="1">IFERROR(IF(0=LEN(ReferenceData!$S$174),"",ReferenceData!$S$174),"")</x:f>
        <x:v/>
      </x:c>
    </x:row>
    <x:row r="175" spans="1:19" x14ac:dyDescent="0.25">
      <x:c r="A175" t="str">
        <x:f>IFERROR(IF(0=LEN(ReferenceData!$A$175),"",ReferenceData!$A$175),"")</x:f>
        <x:v xml:space="preserve">        C-Tracks ETNs on the Miller/Ho</x:v>
      </x:c>
      <x:c r="B175" t="str">
        <x:f>IFERROR(IF(0=LEN(ReferenceData!$B$175),"",ReferenceData!$B$175),"")</x:f>
        <x:v>MLPE US Equity</x:v>
      </x:c>
      <x:c r="C175" t="str">
        <x:f>IFERROR(IF(0=LEN(ReferenceData!$C$175),"",ReferenceData!$C$175),"")</x:f>
        <x:v/>
      </x:c>
      <x:c r="D175" t="str">
        <x:f>IFERROR(IF(0=LEN(ReferenceData!$D$175),"",ReferenceData!$D$175),"")</x:f>
        <x:v/>
      </x:c>
      <x:c r="E175" t="str">
        <x:f>IFERROR(IF(0=LEN(ReferenceData!$E$175),"",ReferenceData!$E$175),"")</x:f>
        <x:v>Expression</x:v>
      </x:c>
      <x:c r="F175" t="str">
        <x:f ca="1">IFERROR(IF(0=LEN(ReferenceData!$F$175),"",ReferenceData!$F$175),"")</x:f>
        <x:v/>
      </x:c>
      <x:c r="G175" t="str">
        <x:f ca="1">IFERROR(IF(0=LEN(ReferenceData!$G$175),"",ReferenceData!$G$175),"")</x:f>
        <x:v/>
      </x:c>
      <x:c r="H175" t="str">
        <x:f ca="1">IFERROR(IF(0=LEN(ReferenceData!$H$175),"",ReferenceData!$H$175),"")</x:f>
        <x:v/>
      </x:c>
      <x:c r="I175" t="str">
        <x:f ca="1">IFERROR(IF(0=LEN(ReferenceData!$I$175),"",ReferenceData!$I$175),"")</x:f>
        <x:v/>
      </x:c>
      <x:c r="J175" t="str">
        <x:f ca="1">IFERROR(IF(0=LEN(ReferenceData!$J$175),"",ReferenceData!$J$175),"")</x:f>
        <x:v/>
      </x:c>
      <x:c r="K175" t="str">
        <x:f ca="1">IFERROR(IF(0=LEN(ReferenceData!$K$175),"",ReferenceData!$K$175),"")</x:f>
        <x:v/>
      </x:c>
      <x:c r="L175" t="str">
        <x:f ca="1">IFERROR(IF(0=LEN(ReferenceData!$L$175),"",ReferenceData!$L$175),"")</x:f>
        <x:v/>
      </x:c>
      <x:c r="M175" t="str">
        <x:f ca="1">IFERROR(IF(0=LEN(ReferenceData!$M$175),"",ReferenceData!$M$175),"")</x:f>
        <x:v/>
      </x:c>
      <x:c r="N175" t="str">
        <x:f ca="1">IFERROR(IF(0=LEN(ReferenceData!$N$175),"",ReferenceData!$N$175),"")</x:f>
        <x:v/>
      </x:c>
      <x:c r="O175" t="str">
        <x:f ca="1">IFERROR(IF(0=LEN(ReferenceData!$O$175),"",ReferenceData!$O$175),"")</x:f>
        <x:v/>
      </x:c>
      <x:c r="P175" t="str">
        <x:f ca="1">IFERROR(IF(0=LEN(ReferenceData!$P$175),"",ReferenceData!$P$175),"")</x:f>
        <x:v/>
      </x:c>
      <x:c r="Q175" t="str">
        <x:f ca="1">IFERROR(IF(0=LEN(ReferenceData!$Q$175),"",ReferenceData!$Q$175),"")</x:f>
        <x:v/>
      </x:c>
      <x:c r="R175" t="str">
        <x:f ca="1">IFERROR(IF(0=LEN(ReferenceData!$R$175),"",ReferenceData!$R$175),"")</x:f>
        <x:v/>
      </x:c>
      <x:c r="S175" t="str">
        <x:f ca="1">IFERROR(IF(0=LEN(ReferenceData!$S$175),"",ReferenceData!$S$175),"")</x:f>
        <x:v/>
      </x:c>
    </x:row>
    <x:row r="176" spans="1:19" x14ac:dyDescent="0.25">
      <x:c r="A176" t="str">
        <x:f>IFERROR(IF(0=LEN(ReferenceData!$A$176),"",ReferenceData!$A$176),"")</x:f>
        <x:v xml:space="preserve">        Amylyx Pharmaceuticals Inc</x:v>
      </x:c>
      <x:c r="B176" t="str">
        <x:f>IFERROR(IF(0=LEN(ReferenceData!$B$176),"",ReferenceData!$B$176),"")</x:f>
        <x:v>AMLX US Equity</x:v>
      </x:c>
      <x:c r="C176" t="str">
        <x:f>IFERROR(IF(0=LEN(ReferenceData!$C$176),"",ReferenceData!$C$176),"")</x:f>
        <x:v/>
      </x:c>
      <x:c r="D176" t="str">
        <x:f>IFERROR(IF(0=LEN(ReferenceData!$D$176),"",ReferenceData!$D$176),"")</x:f>
        <x:v/>
      </x:c>
      <x:c r="E176" t="str">
        <x:f>IFERROR(IF(0=LEN(ReferenceData!$E$176),"",ReferenceData!$E$176),"")</x:f>
        <x:v>Expression</x:v>
      </x:c>
      <x:c r="F176" t="str">
        <x:f ca="1">IFERROR(IF(0=LEN(ReferenceData!$F$176),"",ReferenceData!$F$176),"")</x:f>
        <x:v/>
      </x:c>
      <x:c r="G176" t="str">
        <x:f ca="1">IFERROR(IF(0=LEN(ReferenceData!$G$176),"",ReferenceData!$G$176),"")</x:f>
        <x:v/>
      </x:c>
      <x:c r="H176" t="str">
        <x:f ca="1">IFERROR(IF(0=LEN(ReferenceData!$H$176),"",ReferenceData!$H$176),"")</x:f>
        <x:v/>
      </x:c>
      <x:c r="I176" t="str">
        <x:f ca="1">IFERROR(IF(0=LEN(ReferenceData!$I$176),"",ReferenceData!$I$176),"")</x:f>
        <x:v/>
      </x:c>
      <x:c r="J176" t="str">
        <x:f ca="1">IFERROR(IF(0=LEN(ReferenceData!$J$176),"",ReferenceData!$J$176),"")</x:f>
        <x:v/>
      </x:c>
      <x:c r="K176" t="str">
        <x:f ca="1">IFERROR(IF(0=LEN(ReferenceData!$K$176),"",ReferenceData!$K$176),"")</x:f>
        <x:v/>
      </x:c>
      <x:c r="L176" t="str">
        <x:f ca="1">IFERROR(IF(0=LEN(ReferenceData!$L$176),"",ReferenceData!$L$176),"")</x:f>
        <x:v/>
      </x:c>
      <x:c r="M176" t="str">
        <x:f ca="1">IFERROR(IF(0=LEN(ReferenceData!$M$176),"",ReferenceData!$M$176),"")</x:f>
        <x:v/>
      </x:c>
      <x:c r="N176" t="str">
        <x:f ca="1">IFERROR(IF(0=LEN(ReferenceData!$N$176),"",ReferenceData!$N$176),"")</x:f>
        <x:v/>
      </x:c>
      <x:c r="O176" t="str">
        <x:f ca="1">IFERROR(IF(0=LEN(ReferenceData!$O$176),"",ReferenceData!$O$176),"")</x:f>
        <x:v/>
      </x:c>
      <x:c r="P176" t="str">
        <x:f ca="1">IFERROR(IF(0=LEN(ReferenceData!$P$176),"",ReferenceData!$P$176),"")</x:f>
        <x:v/>
      </x:c>
      <x:c r="Q176" t="str">
        <x:f ca="1">IFERROR(IF(0=LEN(ReferenceData!$Q$176),"",ReferenceData!$Q$176),"")</x:f>
        <x:v/>
      </x:c>
      <x:c r="R176" t="str">
        <x:f ca="1">IFERROR(IF(0=LEN(ReferenceData!$R$176),"",ReferenceData!$R$176),"")</x:f>
        <x:v/>
      </x:c>
      <x:c r="S176" t="str">
        <x:f ca="1">IFERROR(IF(0=LEN(ReferenceData!$S$176),"",ReferenceData!$S$176),"")</x:f>
        <x:v/>
      </x:c>
    </x:row>
    <x:row r="177" spans="1:19" x14ac:dyDescent="0.25">
      <x:c r="A177" t="str">
        <x:f>IFERROR(IF(0=LEN(ReferenceData!$A$177),"",ReferenceData!$A$177),"")</x:f>
        <x:v xml:space="preserve">        Cushing 30 MLP Index ETNs due</x:v>
      </x:c>
      <x:c r="B177" t="str">
        <x:f>IFERROR(IF(0=LEN(ReferenceData!$B$177),"",ReferenceData!$B$177),"")</x:f>
        <x:v>PPLN US Equity</x:v>
      </x:c>
      <x:c r="C177" t="str">
        <x:f>IFERROR(IF(0=LEN(ReferenceData!$C$177),"",ReferenceData!$C$177),"")</x:f>
        <x:v/>
      </x:c>
      <x:c r="D177" t="str">
        <x:f>IFERROR(IF(0=LEN(ReferenceData!$D$177),"",ReferenceData!$D$177),"")</x:f>
        <x:v/>
      </x:c>
      <x:c r="E177" t="str">
        <x:f>IFERROR(IF(0=LEN(ReferenceData!$E$177),"",ReferenceData!$E$177),"")</x:f>
        <x:v>Expression</x:v>
      </x:c>
      <x:c r="F177" t="str">
        <x:f ca="1">IFERROR(IF(0=LEN(ReferenceData!$F$177),"",ReferenceData!$F$177),"")</x:f>
        <x:v/>
      </x:c>
      <x:c r="G177" t="str">
        <x:f ca="1">IFERROR(IF(0=LEN(ReferenceData!$G$177),"",ReferenceData!$G$177),"")</x:f>
        <x:v/>
      </x:c>
      <x:c r="H177" t="str">
        <x:f ca="1">IFERROR(IF(0=LEN(ReferenceData!$H$177),"",ReferenceData!$H$177),"")</x:f>
        <x:v/>
      </x:c>
      <x:c r="I177" t="str">
        <x:f ca="1">IFERROR(IF(0=LEN(ReferenceData!$I$177),"",ReferenceData!$I$177),"")</x:f>
        <x:v/>
      </x:c>
      <x:c r="J177" t="str">
        <x:f ca="1">IFERROR(IF(0=LEN(ReferenceData!$J$177),"",ReferenceData!$J$177),"")</x:f>
        <x:v/>
      </x:c>
      <x:c r="K177" t="str">
        <x:f ca="1">IFERROR(IF(0=LEN(ReferenceData!$K$177),"",ReferenceData!$K$177),"")</x:f>
        <x:v/>
      </x:c>
      <x:c r="L177" t="str">
        <x:f ca="1">IFERROR(IF(0=LEN(ReferenceData!$L$177),"",ReferenceData!$L$177),"")</x:f>
        <x:v/>
      </x:c>
      <x:c r="M177" t="str">
        <x:f ca="1">IFERROR(IF(0=LEN(ReferenceData!$M$177),"",ReferenceData!$M$177),"")</x:f>
        <x:v/>
      </x:c>
      <x:c r="N177" t="str">
        <x:f ca="1">IFERROR(IF(0=LEN(ReferenceData!$N$177),"",ReferenceData!$N$177),"")</x:f>
        <x:v/>
      </x:c>
      <x:c r="O177" t="str">
        <x:f ca="1">IFERROR(IF(0=LEN(ReferenceData!$O$177),"",ReferenceData!$O$177),"")</x:f>
        <x:v/>
      </x:c>
      <x:c r="P177" t="str">
        <x:f ca="1">IFERROR(IF(0=LEN(ReferenceData!$P$177),"",ReferenceData!$P$177),"")</x:f>
        <x:v/>
      </x:c>
      <x:c r="Q177" t="str">
        <x:f ca="1">IFERROR(IF(0=LEN(ReferenceData!$Q$177),"",ReferenceData!$Q$177),"")</x:f>
        <x:v/>
      </x:c>
      <x:c r="R177" t="str">
        <x:f ca="1">IFERROR(IF(0=LEN(ReferenceData!$R$177),"",ReferenceData!$R$177),"")</x:f>
        <x:v/>
      </x:c>
      <x:c r="S177" t="str">
        <x:f ca="1">IFERROR(IF(0=LEN(ReferenceData!$S$177),"",ReferenceData!$S$177),"")</x:f>
        <x:v/>
      </x:c>
    </x:row>
    <x:row r="178" spans="1:19" x14ac:dyDescent="0.25">
      <x:c r="A178" t="str">
        <x:f>IFERROR(IF(0=LEN(ReferenceData!$A$178),"",ReferenceData!$A$178),"")</x:f>
        <x:v xml:space="preserve">        Harbor Energy Transition Strat</x:v>
      </x:c>
      <x:c r="B178" t="str">
        <x:f>IFERROR(IF(0=LEN(ReferenceData!$B$178),"",ReferenceData!$B$178),"")</x:f>
        <x:v>RENW US Equity</x:v>
      </x:c>
      <x:c r="C178" t="str">
        <x:f>IFERROR(IF(0=LEN(ReferenceData!$C$178),"",ReferenceData!$C$178),"")</x:f>
        <x:v/>
      </x:c>
      <x:c r="D178" t="str">
        <x:f>IFERROR(IF(0=LEN(ReferenceData!$D$178),"",ReferenceData!$D$178),"")</x:f>
        <x:v/>
      </x:c>
      <x:c r="E178" t="str">
        <x:f>IFERROR(IF(0=LEN(ReferenceData!$E$178),"",ReferenceData!$E$178),"")</x:f>
        <x:v>Expression</x:v>
      </x:c>
      <x:c r="F178">
        <x:f ca="1">IFERROR(IF(0=LEN(ReferenceData!$F$178),"",ReferenceData!$F$178),"")</x:f>
        <x:v>0</x:v>
      </x:c>
      <x:c r="G178">
        <x:f ca="1">IFERROR(IF(0=LEN(ReferenceData!$G$178),"",ReferenceData!$G$178),"")</x:f>
        <x:v>0</x:v>
      </x:c>
      <x:c r="H178">
        <x:f ca="1">IFERROR(IF(0=LEN(ReferenceData!$H$178),"",ReferenceData!$H$178),"")</x:f>
        <x:v>0</x:v>
      </x:c>
      <x:c r="I178">
        <x:f ca="1">IFERROR(IF(0=LEN(ReferenceData!$I$178),"",ReferenceData!$I$178),"")</x:f>
        <x:v>0</x:v>
      </x:c>
      <x:c r="J178">
        <x:f ca="1">IFERROR(IF(0=LEN(ReferenceData!$J$178),"",ReferenceData!$J$178),"")</x:f>
        <x:v>0</x:v>
      </x:c>
      <x:c r="K178">
        <x:f ca="1">IFERROR(IF(0=LEN(ReferenceData!$K$178),"",ReferenceData!$K$178),"")</x:f>
        <x:v>0.35742499999999999</x:v>
      </x:c>
      <x:c r="L178">
        <x:f ca="1">IFERROR(IF(0=LEN(ReferenceData!$L$178),"",ReferenceData!$L$178),"")</x:f>
        <x:v>4.6180019999999997</x:v>
      </x:c>
      <x:c r="M178">
        <x:f ca="1">IFERROR(IF(0=LEN(ReferenceData!$M$178),"",ReferenceData!$M$178),"")</x:f>
        <x:v>0</x:v>
      </x:c>
      <x:c r="N178">
        <x:f ca="1">IFERROR(IF(0=LEN(ReferenceData!$N$178),"",ReferenceData!$N$178),"")</x:f>
        <x:v>0</x:v>
      </x:c>
      <x:c r="O178">
        <x:f ca="1">IFERROR(IF(0=LEN(ReferenceData!$O$178),"",ReferenceData!$O$178),"")</x:f>
        <x:v>0</x:v>
      </x:c>
      <x:c r="P178">
        <x:f ca="1">IFERROR(IF(0=LEN(ReferenceData!$P$178),"",ReferenceData!$P$178),"")</x:f>
        <x:v>4.1075499999999998</x:v>
      </x:c>
      <x:c r="Q178">
        <x:f ca="1">IFERROR(IF(0=LEN(ReferenceData!$Q$178),"",ReferenceData!$Q$178),"")</x:f>
        <x:v>0</x:v>
      </x:c>
      <x:c r="R178">
        <x:f ca="1">IFERROR(IF(0=LEN(ReferenceData!$R$178),"",ReferenceData!$R$178),"")</x:f>
        <x:v>0</x:v>
      </x:c>
      <x:c r="S178">
        <x:f ca="1">IFERROR(IF(0=LEN(ReferenceData!$S$178),"",ReferenceData!$S$178),"")</x:f>
        <x:v>0</x:v>
      </x:c>
    </x:row>
    <x:row r="179" spans="1:19" x14ac:dyDescent="0.25">
      <x:c r="A179" t="str">
        <x:f>IFERROR(IF(0=LEN(ReferenceData!$A$179),"",ReferenceData!$A$179),"")</x:f>
        <x:v xml:space="preserve">        Pacer American Energy Independ</x:v>
      </x:c>
      <x:c r="B179" t="str">
        <x:f>IFERROR(IF(0=LEN(ReferenceData!$B$179),"",ReferenceData!$B$179),"")</x:f>
        <x:v>USAI US Equity</x:v>
      </x:c>
      <x:c r="C179" t="str">
        <x:f>IFERROR(IF(0=LEN(ReferenceData!$C$179),"",ReferenceData!$C$179),"")</x:f>
        <x:v/>
      </x:c>
      <x:c r="D179" t="str">
        <x:f>IFERROR(IF(0=LEN(ReferenceData!$D$179),"",ReferenceData!$D$179),"")</x:f>
        <x:v/>
      </x:c>
      <x:c r="E179" t="str">
        <x:f>IFERROR(IF(0=LEN(ReferenceData!$E$179),"",ReferenceData!$E$179),"")</x:f>
        <x:v>Expression</x:v>
      </x:c>
      <x:c r="F179">
        <x:f ca="1">IFERROR(IF(0=LEN(ReferenceData!$F$179),"",ReferenceData!$F$179),"")</x:f>
        <x:v>0</x:v>
      </x:c>
      <x:c r="G179">
        <x:f ca="1">IFERROR(IF(0=LEN(ReferenceData!$G$179),"",ReferenceData!$G$179),"")</x:f>
        <x:v>0</x:v>
      </x:c>
      <x:c r="H179">
        <x:f ca="1">IFERROR(IF(0=LEN(ReferenceData!$H$179),"",ReferenceData!$H$179),"")</x:f>
        <x:v>0</x:v>
      </x:c>
      <x:c r="I179">
        <x:f ca="1">IFERROR(IF(0=LEN(ReferenceData!$I$179),"",ReferenceData!$I$179),"")</x:f>
        <x:v>-1.3958250000000001</x:v>
      </x:c>
      <x:c r="J179">
        <x:f ca="1">IFERROR(IF(0=LEN(ReferenceData!$J$179),"",ReferenceData!$J$179),"")</x:f>
        <x:v>-2.733425</x:v>
      </x:c>
      <x:c r="K179">
        <x:f ca="1">IFERROR(IF(0=LEN(ReferenceData!$K$179),"",ReferenceData!$K$179),"")</x:f>
        <x:v>0</x:v>
      </x:c>
      <x:c r="L179">
        <x:f ca="1">IFERROR(IF(0=LEN(ReferenceData!$L$179),"",ReferenceData!$L$179),"")</x:f>
        <x:v>-2.5767950000000002</x:v>
      </x:c>
      <x:c r="M179">
        <x:f ca="1">IFERROR(IF(0=LEN(ReferenceData!$M$179),"",ReferenceData!$M$179),"")</x:f>
        <x:v>0</x:v>
      </x:c>
      <x:c r="N179">
        <x:f ca="1">IFERROR(IF(0=LEN(ReferenceData!$N$179),"",ReferenceData!$N$179),"")</x:f>
        <x:v>0</x:v>
      </x:c>
      <x:c r="O179">
        <x:f ca="1">IFERROR(IF(0=LEN(ReferenceData!$O$179),"",ReferenceData!$O$179),"")</x:f>
        <x:v>2.7762600000000002</x:v>
      </x:c>
      <x:c r="P179">
        <x:f ca="1">IFERROR(IF(0=LEN(ReferenceData!$P$179),"",ReferenceData!$P$179),"")</x:f>
        <x:v>0</x:v>
      </x:c>
      <x:c r="Q179">
        <x:f ca="1">IFERROR(IF(0=LEN(ReferenceData!$Q$179),"",ReferenceData!$Q$179),"")</x:f>
        <x:v>0</x:v>
      </x:c>
      <x:c r="R179">
        <x:f ca="1">IFERROR(IF(0=LEN(ReferenceData!$R$179),"",ReferenceData!$R$179),"")</x:f>
        <x:v>1.41689</x:v>
      </x:c>
      <x:c r="S179">
        <x:f ca="1">IFERROR(IF(0=LEN(ReferenceData!$S$179),"",ReferenceData!$S$179),"")</x:f>
        <x:v>1.33531</x:v>
      </x:c>
    </x:row>
    <x:row r="180" spans="1:19" x14ac:dyDescent="0.25">
      <x:c r="A180" t="str">
        <x:f>IFERROR(IF(0=LEN(ReferenceData!$A$180),"",ReferenceData!$A$180),"")</x:f>
        <x:v xml:space="preserve">        ETRACS NYSE Pickens Core Midst</x:v>
      </x:c>
      <x:c r="B180" t="str">
        <x:f>IFERROR(IF(0=LEN(ReferenceData!$B$180),"",ReferenceData!$B$180),"")</x:f>
        <x:v>PYPE US Equity</x:v>
      </x:c>
      <x:c r="C180" t="str">
        <x:f>IFERROR(IF(0=LEN(ReferenceData!$C$180),"",ReferenceData!$C$180),"")</x:f>
        <x:v/>
      </x:c>
      <x:c r="D180" t="str">
        <x:f>IFERROR(IF(0=LEN(ReferenceData!$D$180),"",ReferenceData!$D$180),"")</x:f>
        <x:v/>
      </x:c>
      <x:c r="E180" t="str">
        <x:f>IFERROR(IF(0=LEN(ReferenceData!$E$180),"",ReferenceData!$E$180),"")</x:f>
        <x:v>Expression</x:v>
      </x:c>
      <x:c r="F180" t="str">
        <x:f ca="1">IFERROR(IF(0=LEN(ReferenceData!$F$180),"",ReferenceData!$F$180),"")</x:f>
        <x:v/>
      </x:c>
      <x:c r="G180" t="str">
        <x:f ca="1">IFERROR(IF(0=LEN(ReferenceData!$G$180),"",ReferenceData!$G$180),"")</x:f>
        <x:v/>
      </x:c>
      <x:c r="H180" t="str">
        <x:f ca="1">IFERROR(IF(0=LEN(ReferenceData!$H$180),"",ReferenceData!$H$180),"")</x:f>
        <x:v/>
      </x:c>
      <x:c r="I180" t="str">
        <x:f ca="1">IFERROR(IF(0=LEN(ReferenceData!$I$180),"",ReferenceData!$I$180),"")</x:f>
        <x:v/>
      </x:c>
      <x:c r="J180" t="str">
        <x:f ca="1">IFERROR(IF(0=LEN(ReferenceData!$J$180),"",ReferenceData!$J$180),"")</x:f>
        <x:v/>
      </x:c>
      <x:c r="K180">
        <x:f ca="1">IFERROR(IF(0=LEN(ReferenceData!$K$180),"",ReferenceData!$K$180),"")</x:f>
        <x:v>0</x:v>
      </x:c>
      <x:c r="L180">
        <x:f ca="1">IFERROR(IF(0=LEN(ReferenceData!$L$180),"",ReferenceData!$L$180),"")</x:f>
        <x:v>-6.1256700000000004</x:v>
      </x:c>
      <x:c r="M180">
        <x:f ca="1">IFERROR(IF(0=LEN(ReferenceData!$M$180),"",ReferenceData!$M$180),"")</x:f>
        <x:v>-10.448549999999999</x:v>
      </x:c>
      <x:c r="N180">
        <x:f ca="1">IFERROR(IF(0=LEN(ReferenceData!$N$180),"",ReferenceData!$N$180),"")</x:f>
        <x:v>0</x:v>
      </x:c>
      <x:c r="O180">
        <x:f ca="1">IFERROR(IF(0=LEN(ReferenceData!$O$180),"",ReferenceData!$O$180),"")</x:f>
        <x:v>0</x:v>
      </x:c>
      <x:c r="P180">
        <x:f ca="1">IFERROR(IF(0=LEN(ReferenceData!$P$180),"",ReferenceData!$P$180),"")</x:f>
        <x:v>0</x:v>
      </x:c>
      <x:c r="Q180">
        <x:f ca="1">IFERROR(IF(0=LEN(ReferenceData!$Q$180),"",ReferenceData!$Q$180),"")</x:f>
        <x:v>0</x:v>
      </x:c>
      <x:c r="R180">
        <x:f ca="1">IFERROR(IF(0=LEN(ReferenceData!$R$180),"",ReferenceData!$R$180),"")</x:f>
        <x:v>0</x:v>
      </x:c>
      <x:c r="S180">
        <x:f ca="1">IFERROR(IF(0=LEN(ReferenceData!$S$180),"",ReferenceData!$S$180),"")</x:f>
        <x:v>0</x:v>
      </x:c>
    </x:row>
    <x:row r="181" spans="1:19" x14ac:dyDescent="0.25">
      <x:c r="A181" t="str">
        <x:f>IFERROR(IF(0=LEN(ReferenceData!$A$181),"",ReferenceData!$A$181),"")</x:f>
        <x:v xml:space="preserve">        MicroSectors U.S. Big Oil Inde</x:v>
      </x:c>
      <x:c r="B181" t="str">
        <x:f>IFERROR(IF(0=LEN(ReferenceData!$B$181),"",ReferenceData!$B$181),"")</x:f>
        <x:v>NRGD US Equity</x:v>
      </x:c>
      <x:c r="C181" t="str">
        <x:f>IFERROR(IF(0=LEN(ReferenceData!$C$181),"",ReferenceData!$C$181),"")</x:f>
        <x:v/>
      </x:c>
      <x:c r="D181" t="str">
        <x:f>IFERROR(IF(0=LEN(ReferenceData!$D$181),"",ReferenceData!$D$181),"")</x:f>
        <x:v/>
      </x:c>
      <x:c r="E181" t="str">
        <x:f>IFERROR(IF(0=LEN(ReferenceData!$E$181),"",ReferenceData!$E$181),"")</x:f>
        <x:v>Expression</x:v>
      </x:c>
      <x:c r="F181">
        <x:f ca="1">IFERROR(IF(0=LEN(ReferenceData!$F$181),"",ReferenceData!$F$181),"")</x:f>
        <x:v>0</x:v>
      </x:c>
      <x:c r="G181">
        <x:f ca="1">IFERROR(IF(0=LEN(ReferenceData!$G$181),"",ReferenceData!$G$181),"")</x:f>
        <x:v>0</x:v>
      </x:c>
      <x:c r="H181">
        <x:f ca="1">IFERROR(IF(0=LEN(ReferenceData!$H$181),"",ReferenceData!$H$181),"")</x:f>
        <x:v>0</x:v>
      </x:c>
      <x:c r="I181">
        <x:f ca="1">IFERROR(IF(0=LEN(ReferenceData!$I$181),"",ReferenceData!$I$181),"")</x:f>
        <x:v>0</x:v>
      </x:c>
      <x:c r="J181">
        <x:f ca="1">IFERROR(IF(0=LEN(ReferenceData!$J$181),"",ReferenceData!$J$181),"")</x:f>
        <x:v>0</x:v>
      </x:c>
      <x:c r="K181">
        <x:f ca="1">IFERROR(IF(0=LEN(ReferenceData!$K$181),"",ReferenceData!$K$181),"")</x:f>
        <x:v>0</x:v>
      </x:c>
      <x:c r="L181">
        <x:f ca="1">IFERROR(IF(0=LEN(ReferenceData!$L$181),"",ReferenceData!$L$181),"")</x:f>
        <x:v>0</x:v>
      </x:c>
      <x:c r="M181">
        <x:f ca="1">IFERROR(IF(0=LEN(ReferenceData!$M$181),"",ReferenceData!$M$181),"")</x:f>
        <x:v>0</x:v>
      </x:c>
      <x:c r="N181">
        <x:f ca="1">IFERROR(IF(0=LEN(ReferenceData!$N$181),"",ReferenceData!$N$181),"")</x:f>
        <x:v>0</x:v>
      </x:c>
      <x:c r="O181">
        <x:f ca="1">IFERROR(IF(0=LEN(ReferenceData!$O$181),"",ReferenceData!$O$181),"")</x:f>
        <x:v>0</x:v>
      </x:c>
      <x:c r="P181">
        <x:f ca="1">IFERROR(IF(0=LEN(ReferenceData!$P$181),"",ReferenceData!$P$181),"")</x:f>
        <x:v>0</x:v>
      </x:c>
      <x:c r="Q181">
        <x:f ca="1">IFERROR(IF(0=LEN(ReferenceData!$Q$181),"",ReferenceData!$Q$181),"")</x:f>
        <x:v>0</x:v>
      </x:c>
      <x:c r="R181">
        <x:f ca="1">IFERROR(IF(0=LEN(ReferenceData!$R$181),"",ReferenceData!$R$181),"")</x:f>
        <x:v>57.789985000000001</x:v>
      </x:c>
      <x:c r="S181">
        <x:f ca="1">IFERROR(IF(0=LEN(ReferenceData!$S$181),"",ReferenceData!$S$181),"")</x:f>
        <x:v>52.866630999999998</x:v>
      </x:c>
    </x:row>
    <x:row r="182" spans="1:19" x14ac:dyDescent="0.25">
      <x:c r="A182" t="str">
        <x:f>IFERROR(IF(0=LEN(ReferenceData!$A$182),"",ReferenceData!$A$182),"")</x:f>
        <x:v xml:space="preserve">        MicroSectors US Big Oil Index</x:v>
      </x:c>
      <x:c r="B182" t="str">
        <x:f>IFERROR(IF(0=LEN(ReferenceData!$B$182),"",ReferenceData!$B$182),"")</x:f>
        <x:v>NRGO US Equity</x:v>
      </x:c>
      <x:c r="C182" t="str">
        <x:f>IFERROR(IF(0=LEN(ReferenceData!$C$182),"",ReferenceData!$C$182),"")</x:f>
        <x:v/>
      </x:c>
      <x:c r="D182" t="str">
        <x:f>IFERROR(IF(0=LEN(ReferenceData!$D$182),"",ReferenceData!$D$182),"")</x:f>
        <x:v/>
      </x:c>
      <x:c r="E182" t="str">
        <x:f>IFERROR(IF(0=LEN(ReferenceData!$E$182),"",ReferenceData!$E$182),"")</x:f>
        <x:v>Expression</x:v>
      </x:c>
      <x:c r="F182" t="str">
        <x:f ca="1">IFERROR(IF(0=LEN(ReferenceData!$F$182),"",ReferenceData!$F$182),"")</x:f>
        <x:v/>
      </x:c>
      <x:c r="G182" t="str">
        <x:f ca="1">IFERROR(IF(0=LEN(ReferenceData!$G$182),"",ReferenceData!$G$182),"")</x:f>
        <x:v/>
      </x:c>
      <x:c r="H182" t="str">
        <x:f ca="1">IFERROR(IF(0=LEN(ReferenceData!$H$182),"",ReferenceData!$H$182),"")</x:f>
        <x:v/>
      </x:c>
      <x:c r="I182" t="str">
        <x:f ca="1">IFERROR(IF(0=LEN(ReferenceData!$I$182),"",ReferenceData!$I$182),"")</x:f>
        <x:v/>
      </x:c>
      <x:c r="J182" t="str">
        <x:f ca="1">IFERROR(IF(0=LEN(ReferenceData!$J$182),"",ReferenceData!$J$182),"")</x:f>
        <x:v/>
      </x:c>
      <x:c r="K182" t="str">
        <x:f ca="1">IFERROR(IF(0=LEN(ReferenceData!$K$182),"",ReferenceData!$K$182),"")</x:f>
        <x:v/>
      </x:c>
      <x:c r="L182" t="str">
        <x:f ca="1">IFERROR(IF(0=LEN(ReferenceData!$L$182),"",ReferenceData!$L$182),"")</x:f>
        <x:v/>
      </x:c>
      <x:c r="M182" t="str">
        <x:f ca="1">IFERROR(IF(0=LEN(ReferenceData!$M$182),"",ReferenceData!$M$182),"")</x:f>
        <x:v/>
      </x:c>
      <x:c r="N182" t="str">
        <x:f ca="1">IFERROR(IF(0=LEN(ReferenceData!$N$182),"",ReferenceData!$N$182),"")</x:f>
        <x:v/>
      </x:c>
      <x:c r="O182" t="str">
        <x:f ca="1">IFERROR(IF(0=LEN(ReferenceData!$O$182),"",ReferenceData!$O$182),"")</x:f>
        <x:v/>
      </x:c>
      <x:c r="P182" t="str">
        <x:f ca="1">IFERROR(IF(0=LEN(ReferenceData!$P$182),"",ReferenceData!$P$182),"")</x:f>
        <x:v/>
      </x:c>
      <x:c r="Q182" t="str">
        <x:f ca="1">IFERROR(IF(0=LEN(ReferenceData!$Q$182),"",ReferenceData!$Q$182),"")</x:f>
        <x:v/>
      </x:c>
      <x:c r="R182" t="str">
        <x:f ca="1">IFERROR(IF(0=LEN(ReferenceData!$R$182),"",ReferenceData!$R$182),"")</x:f>
        <x:v/>
      </x:c>
      <x:c r="S182" t="str">
        <x:f ca="1">IFERROR(IF(0=LEN(ReferenceData!$S$182),"",ReferenceData!$S$182),"")</x:f>
        <x:v/>
      </x:c>
    </x:row>
    <x:row r="183" spans="1:19" x14ac:dyDescent="0.25">
      <x:c r="A183" t="str">
        <x:f>IFERROR(IF(0=LEN(ReferenceData!$A$183),"",ReferenceData!$A$183),"")</x:f>
        <x:v xml:space="preserve">        MicroSectors US Big Oil Index</x:v>
      </x:c>
      <x:c r="B183" t="str">
        <x:f>IFERROR(IF(0=LEN(ReferenceData!$B$183),"",ReferenceData!$B$183),"")</x:f>
        <x:v>NRGU US Equity</x:v>
      </x:c>
      <x:c r="C183" t="str">
        <x:f>IFERROR(IF(0=LEN(ReferenceData!$C$183),"",ReferenceData!$C$183),"")</x:f>
        <x:v/>
      </x:c>
      <x:c r="D183" t="str">
        <x:f>IFERROR(IF(0=LEN(ReferenceData!$D$183),"",ReferenceData!$D$183),"")</x:f>
        <x:v/>
      </x:c>
      <x:c r="E183" t="str">
        <x:f>IFERROR(IF(0=LEN(ReferenceData!$E$183),"",ReferenceData!$E$183),"")</x:f>
        <x:v>Expression</x:v>
      </x:c>
      <x:c r="F183">
        <x:f ca="1">IFERROR(IF(0=LEN(ReferenceData!$F$183),"",ReferenceData!$F$183),"")</x:f>
        <x:v>0</x:v>
      </x:c>
      <x:c r="G183">
        <x:f ca="1">IFERROR(IF(0=LEN(ReferenceData!$G$183),"",ReferenceData!$G$183),"")</x:f>
        <x:v>0</x:v>
      </x:c>
      <x:c r="H183">
        <x:f ca="1">IFERROR(IF(0=LEN(ReferenceData!$H$183),"",ReferenceData!$H$183),"")</x:f>
        <x:v>0</x:v>
      </x:c>
      <x:c r="I183">
        <x:f ca="1">IFERROR(IF(0=LEN(ReferenceData!$I$183),"",ReferenceData!$I$183),"")</x:f>
        <x:v>0</x:v>
      </x:c>
      <x:c r="J183">
        <x:f ca="1">IFERROR(IF(0=LEN(ReferenceData!$J$183),"",ReferenceData!$J$183),"")</x:f>
        <x:v>0</x:v>
      </x:c>
      <x:c r="K183">
        <x:f ca="1">IFERROR(IF(0=LEN(ReferenceData!$K$183),"",ReferenceData!$K$183),"")</x:f>
        <x:v>0</x:v>
      </x:c>
      <x:c r="L183">
        <x:f ca="1">IFERROR(IF(0=LEN(ReferenceData!$L$183),"",ReferenceData!$L$183),"")</x:f>
        <x:v>0</x:v>
      </x:c>
      <x:c r="M183">
        <x:f ca="1">IFERROR(IF(0=LEN(ReferenceData!$M$183),"",ReferenceData!$M$183),"")</x:f>
        <x:v>0</x:v>
      </x:c>
      <x:c r="N183">
        <x:f ca="1">IFERROR(IF(0=LEN(ReferenceData!$N$183),"",ReferenceData!$N$183),"")</x:f>
        <x:v>0</x:v>
      </x:c>
      <x:c r="O183">
        <x:f ca="1">IFERROR(IF(0=LEN(ReferenceData!$O$183),"",ReferenceData!$O$183),"")</x:f>
        <x:v>0</x:v>
      </x:c>
      <x:c r="P183">
        <x:f ca="1">IFERROR(IF(0=LEN(ReferenceData!$P$183),"",ReferenceData!$P$183),"")</x:f>
        <x:v>0</x:v>
      </x:c>
      <x:c r="Q183">
        <x:f ca="1">IFERROR(IF(0=LEN(ReferenceData!$Q$183),"",ReferenceData!$Q$183),"")</x:f>
        <x:v>0</x:v>
      </x:c>
      <x:c r="R183">
        <x:f ca="1">IFERROR(IF(0=LEN(ReferenceData!$R$183),"",ReferenceData!$R$183),"")</x:f>
        <x:v>0</x:v>
      </x:c>
      <x:c r="S183">
        <x:f ca="1">IFERROR(IF(0=LEN(ReferenceData!$S$183),"",ReferenceData!$S$183),"")</x:f>
        <x:v>0</x:v>
      </x:c>
    </x:row>
    <x:row r="184" spans="1:19" x14ac:dyDescent="0.25">
      <x:c r="A184" t="str">
        <x:f>IFERROR(IF(0=LEN(ReferenceData!$A$184),"",ReferenceData!$A$184),"")</x:f>
        <x:v xml:space="preserve">        MicroSectors US Big Oil Index</x:v>
      </x:c>
      <x:c r="B184" t="str">
        <x:f>IFERROR(IF(0=LEN(ReferenceData!$B$184),"",ReferenceData!$B$184),"")</x:f>
        <x:v>NRGZ US Equity</x:v>
      </x:c>
      <x:c r="C184" t="str">
        <x:f>IFERROR(IF(0=LEN(ReferenceData!$C$184),"",ReferenceData!$C$184),"")</x:f>
        <x:v/>
      </x:c>
      <x:c r="D184" t="str">
        <x:f>IFERROR(IF(0=LEN(ReferenceData!$D$184),"",ReferenceData!$D$184),"")</x:f>
        <x:v/>
      </x:c>
      <x:c r="E184" t="str">
        <x:f>IFERROR(IF(0=LEN(ReferenceData!$E$184),"",ReferenceData!$E$184),"")</x:f>
        <x:v>Expression</x:v>
      </x:c>
      <x:c r="F184" t="str">
        <x:f ca="1">IFERROR(IF(0=LEN(ReferenceData!$F$184),"",ReferenceData!$F$184),"")</x:f>
        <x:v/>
      </x:c>
      <x:c r="G184" t="str">
        <x:f ca="1">IFERROR(IF(0=LEN(ReferenceData!$G$184),"",ReferenceData!$G$184),"")</x:f>
        <x:v/>
      </x:c>
      <x:c r="H184" t="str">
        <x:f ca="1">IFERROR(IF(0=LEN(ReferenceData!$H$184),"",ReferenceData!$H$184),"")</x:f>
        <x:v/>
      </x:c>
      <x:c r="I184" t="str">
        <x:f ca="1">IFERROR(IF(0=LEN(ReferenceData!$I$184),"",ReferenceData!$I$184),"")</x:f>
        <x:v/>
      </x:c>
      <x:c r="J184" t="str">
        <x:f ca="1">IFERROR(IF(0=LEN(ReferenceData!$J$184),"",ReferenceData!$J$184),"")</x:f>
        <x:v/>
      </x:c>
      <x:c r="K184" t="str">
        <x:f ca="1">IFERROR(IF(0=LEN(ReferenceData!$K$184),"",ReferenceData!$K$184),"")</x:f>
        <x:v/>
      </x:c>
      <x:c r="L184" t="str">
        <x:f ca="1">IFERROR(IF(0=LEN(ReferenceData!$L$184),"",ReferenceData!$L$184),"")</x:f>
        <x:v/>
      </x:c>
      <x:c r="M184" t="str">
        <x:f ca="1">IFERROR(IF(0=LEN(ReferenceData!$M$184),"",ReferenceData!$M$184),"")</x:f>
        <x:v/>
      </x:c>
      <x:c r="N184" t="str">
        <x:f ca="1">IFERROR(IF(0=LEN(ReferenceData!$N$184),"",ReferenceData!$N$184),"")</x:f>
        <x:v/>
      </x:c>
      <x:c r="O184" t="str">
        <x:f ca="1">IFERROR(IF(0=LEN(ReferenceData!$O$184),"",ReferenceData!$O$184),"")</x:f>
        <x:v/>
      </x:c>
      <x:c r="P184" t="str">
        <x:f ca="1">IFERROR(IF(0=LEN(ReferenceData!$P$184),"",ReferenceData!$P$184),"")</x:f>
        <x:v/>
      </x:c>
      <x:c r="Q184" t="str">
        <x:f ca="1">IFERROR(IF(0=LEN(ReferenceData!$Q$184),"",ReferenceData!$Q$184),"")</x:f>
        <x:v/>
      </x:c>
      <x:c r="R184" t="str">
        <x:f ca="1">IFERROR(IF(0=LEN(ReferenceData!$R$184),"",ReferenceData!$R$184),"")</x:f>
        <x:v/>
      </x:c>
      <x:c r="S184" t="str">
        <x:f ca="1">IFERROR(IF(0=LEN(ReferenceData!$S$184),"",ReferenceData!$S$184),"")</x:f>
        <x:v/>
      </x:c>
    </x:row>
    <x:row r="185" spans="1:19" x14ac:dyDescent="0.25">
      <x:c r="A185" t="str">
        <x:f>IFERROR(IF(0=LEN(ReferenceData!$A$185),"",ReferenceData!$A$185),"")</x:f>
        <x:v xml:space="preserve">        Cushing Energy &amp; MLP ETF</x:v>
      </x:c>
      <x:c r="B185" t="str">
        <x:f>IFERROR(IF(0=LEN(ReferenceData!$B$185),"",ReferenceData!$B$185),"")</x:f>
        <x:v>XLEY US Equity</x:v>
      </x:c>
      <x:c r="C185" t="str">
        <x:f>IFERROR(IF(0=LEN(ReferenceData!$C$185),"",ReferenceData!$C$185),"")</x:f>
        <x:v/>
      </x:c>
      <x:c r="D185" t="str">
        <x:f>IFERROR(IF(0=LEN(ReferenceData!$D$185),"",ReferenceData!$D$185),"")</x:f>
        <x:v/>
      </x:c>
      <x:c r="E185" t="str">
        <x:f>IFERROR(IF(0=LEN(ReferenceData!$E$185),"",ReferenceData!$E$185),"")</x:f>
        <x:v>Expression</x:v>
      </x:c>
      <x:c r="F185" t="str">
        <x:f ca="1">IFERROR(IF(0=LEN(ReferenceData!$F$185),"",ReferenceData!$F$185),"")</x:f>
        <x:v/>
      </x:c>
      <x:c r="G185" t="str">
        <x:f ca="1">IFERROR(IF(0=LEN(ReferenceData!$G$185),"",ReferenceData!$G$185),"")</x:f>
        <x:v/>
      </x:c>
      <x:c r="H185" t="str">
        <x:f ca="1">IFERROR(IF(0=LEN(ReferenceData!$H$185),"",ReferenceData!$H$185),"")</x:f>
        <x:v/>
      </x:c>
      <x:c r="I185" t="str">
        <x:f ca="1">IFERROR(IF(0=LEN(ReferenceData!$I$185),"",ReferenceData!$I$185),"")</x:f>
        <x:v/>
      </x:c>
      <x:c r="J185" t="str">
        <x:f ca="1">IFERROR(IF(0=LEN(ReferenceData!$J$185),"",ReferenceData!$J$185),"")</x:f>
        <x:v/>
      </x:c>
      <x:c r="K185" t="str">
        <x:f ca="1">IFERROR(IF(0=LEN(ReferenceData!$K$185),"",ReferenceData!$K$185),"")</x:f>
        <x:v/>
      </x:c>
      <x:c r="L185" t="str">
        <x:f ca="1">IFERROR(IF(0=LEN(ReferenceData!$L$185),"",ReferenceData!$L$185),"")</x:f>
        <x:v/>
      </x:c>
      <x:c r="M185" t="str">
        <x:f ca="1">IFERROR(IF(0=LEN(ReferenceData!$M$185),"",ReferenceData!$M$185),"")</x:f>
        <x:v/>
      </x:c>
      <x:c r="N185" t="str">
        <x:f ca="1">IFERROR(IF(0=LEN(ReferenceData!$N$185),"",ReferenceData!$N$185),"")</x:f>
        <x:v/>
      </x:c>
      <x:c r="O185" t="str">
        <x:f ca="1">IFERROR(IF(0=LEN(ReferenceData!$O$185),"",ReferenceData!$O$185),"")</x:f>
        <x:v/>
      </x:c>
      <x:c r="P185" t="str">
        <x:f ca="1">IFERROR(IF(0=LEN(ReferenceData!$P$185),"",ReferenceData!$P$185),"")</x:f>
        <x:v/>
      </x:c>
      <x:c r="Q185" t="str">
        <x:f ca="1">IFERROR(IF(0=LEN(ReferenceData!$Q$185),"",ReferenceData!$Q$185),"")</x:f>
        <x:v/>
      </x:c>
      <x:c r="R185" t="str">
        <x:f ca="1">IFERROR(IF(0=LEN(ReferenceData!$R$185),"",ReferenceData!$R$185),"")</x:f>
        <x:v/>
      </x:c>
      <x:c r="S185" t="str">
        <x:f ca="1">IFERROR(IF(0=LEN(ReferenceData!$S$185),"",ReferenceData!$S$185),"")</x:f>
        <x:v/>
      </x:c>
    </x:row>
    <x:row r="186" spans="1:19" x14ac:dyDescent="0.25">
      <x:c r="A186" t="str">
        <x:f>IFERROR(IF(0=LEN(ReferenceData!$A$186),"",ReferenceData!$A$186),"")</x:f>
        <x:v xml:space="preserve">        Cushing Energy Supply Chain &amp;</x:v>
      </x:c>
      <x:c r="B186" t="str">
        <x:f>IFERROR(IF(0=LEN(ReferenceData!$B$186),"",ReferenceData!$B$186),"")</x:f>
        <x:v>XLSY US Equity</x:v>
      </x:c>
      <x:c r="C186" t="str">
        <x:f>IFERROR(IF(0=LEN(ReferenceData!$C$186),"",ReferenceData!$C$186),"")</x:f>
        <x:v/>
      </x:c>
      <x:c r="D186" t="str">
        <x:f>IFERROR(IF(0=LEN(ReferenceData!$D$186),"",ReferenceData!$D$186),"")</x:f>
        <x:v/>
      </x:c>
      <x:c r="E186" t="str">
        <x:f>IFERROR(IF(0=LEN(ReferenceData!$E$186),"",ReferenceData!$E$186),"")</x:f>
        <x:v>Expression</x:v>
      </x:c>
      <x:c r="F186" t="str">
        <x:f ca="1">IFERROR(IF(0=LEN(ReferenceData!$F$186),"",ReferenceData!$F$186),"")</x:f>
        <x:v/>
      </x:c>
      <x:c r="G186" t="str">
        <x:f ca="1">IFERROR(IF(0=LEN(ReferenceData!$G$186),"",ReferenceData!$G$186),"")</x:f>
        <x:v/>
      </x:c>
      <x:c r="H186" t="str">
        <x:f ca="1">IFERROR(IF(0=LEN(ReferenceData!$H$186),"",ReferenceData!$H$186),"")</x:f>
        <x:v/>
      </x:c>
      <x:c r="I186" t="str">
        <x:f ca="1">IFERROR(IF(0=LEN(ReferenceData!$I$186),"",ReferenceData!$I$186),"")</x:f>
        <x:v/>
      </x:c>
      <x:c r="J186" t="str">
        <x:f ca="1">IFERROR(IF(0=LEN(ReferenceData!$J$186),"",ReferenceData!$J$186),"")</x:f>
        <x:v/>
      </x:c>
      <x:c r="K186" t="str">
        <x:f ca="1">IFERROR(IF(0=LEN(ReferenceData!$K$186),"",ReferenceData!$K$186),"")</x:f>
        <x:v/>
      </x:c>
      <x:c r="L186" t="str">
        <x:f ca="1">IFERROR(IF(0=LEN(ReferenceData!$L$186),"",ReferenceData!$L$186),"")</x:f>
        <x:v/>
      </x:c>
      <x:c r="M186" t="str">
        <x:f ca="1">IFERROR(IF(0=LEN(ReferenceData!$M$186),"",ReferenceData!$M$186),"")</x:f>
        <x:v/>
      </x:c>
      <x:c r="N186" t="str">
        <x:f ca="1">IFERROR(IF(0=LEN(ReferenceData!$N$186),"",ReferenceData!$N$186),"")</x:f>
        <x:v/>
      </x:c>
      <x:c r="O186" t="str">
        <x:f ca="1">IFERROR(IF(0=LEN(ReferenceData!$O$186),"",ReferenceData!$O$186),"")</x:f>
        <x:v/>
      </x:c>
      <x:c r="P186" t="str">
        <x:f ca="1">IFERROR(IF(0=LEN(ReferenceData!$P$186),"",ReferenceData!$P$186),"")</x:f>
        <x:v/>
      </x:c>
      <x:c r="Q186" t="str">
        <x:f ca="1">IFERROR(IF(0=LEN(ReferenceData!$Q$186),"",ReferenceData!$Q$186),"")</x:f>
        <x:v/>
      </x:c>
      <x:c r="R186" t="str">
        <x:f ca="1">IFERROR(IF(0=LEN(ReferenceData!$R$186),"",ReferenceData!$R$186),"")</x:f>
        <x:v/>
      </x:c>
      <x:c r="S186" t="str">
        <x:f ca="1">IFERROR(IF(0=LEN(ReferenceData!$S$186),"",ReferenceData!$S$186),"")</x:f>
        <x:v/>
      </x:c>
    </x:row>
    <x:row r="187" spans="1:19" x14ac:dyDescent="0.25">
      <x:c r="A187" t="str">
        <x:f>IFERROR(IF(0=LEN(ReferenceData!$A$187),"",ReferenceData!$A$187),"")</x:f>
        <x:v xml:space="preserve">        MicroSectors US Big Oil Index</x:v>
      </x:c>
      <x:c r="B187" t="str">
        <x:f>IFERROR(IF(0=LEN(ReferenceData!$B$187),"",ReferenceData!$B$187),"")</x:f>
        <x:v>YGRN US Equity</x:v>
      </x:c>
      <x:c r="C187" t="str">
        <x:f>IFERROR(IF(0=LEN(ReferenceData!$C$187),"",ReferenceData!$C$187),"")</x:f>
        <x:v/>
      </x:c>
      <x:c r="D187" t="str">
        <x:f>IFERROR(IF(0=LEN(ReferenceData!$D$187),"",ReferenceData!$D$187),"")</x:f>
        <x:v/>
      </x:c>
      <x:c r="E187" t="str">
        <x:f>IFERROR(IF(0=LEN(ReferenceData!$E$187),"",ReferenceData!$E$187),"")</x:f>
        <x:v>Expression</x:v>
      </x:c>
      <x:c r="F187" t="str">
        <x:f ca="1">IFERROR(IF(0=LEN(ReferenceData!$F$187),"",ReferenceData!$F$187),"")</x:f>
        <x:v/>
      </x:c>
      <x:c r="G187" t="str">
        <x:f ca="1">IFERROR(IF(0=LEN(ReferenceData!$G$187),"",ReferenceData!$G$187),"")</x:f>
        <x:v/>
      </x:c>
      <x:c r="H187" t="str">
        <x:f ca="1">IFERROR(IF(0=LEN(ReferenceData!$H$187),"",ReferenceData!$H$187),"")</x:f>
        <x:v/>
      </x:c>
      <x:c r="I187" t="str">
        <x:f ca="1">IFERROR(IF(0=LEN(ReferenceData!$I$187),"",ReferenceData!$I$187),"")</x:f>
        <x:v/>
      </x:c>
      <x:c r="J187" t="str">
        <x:f ca="1">IFERROR(IF(0=LEN(ReferenceData!$J$187),"",ReferenceData!$J$187),"")</x:f>
        <x:v/>
      </x:c>
      <x:c r="K187" t="str">
        <x:f ca="1">IFERROR(IF(0=LEN(ReferenceData!$K$187),"",ReferenceData!$K$187),"")</x:f>
        <x:v/>
      </x:c>
      <x:c r="L187" t="str">
        <x:f ca="1">IFERROR(IF(0=LEN(ReferenceData!$L$187),"",ReferenceData!$L$187),"")</x:f>
        <x:v/>
      </x:c>
      <x:c r="M187" t="str">
        <x:f ca="1">IFERROR(IF(0=LEN(ReferenceData!$M$187),"",ReferenceData!$M$187),"")</x:f>
        <x:v/>
      </x:c>
      <x:c r="N187" t="str">
        <x:f ca="1">IFERROR(IF(0=LEN(ReferenceData!$N$187),"",ReferenceData!$N$187),"")</x:f>
        <x:v/>
      </x:c>
      <x:c r="O187" t="str">
        <x:f ca="1">IFERROR(IF(0=LEN(ReferenceData!$O$187),"",ReferenceData!$O$187),"")</x:f>
        <x:v/>
      </x:c>
      <x:c r="P187" t="str">
        <x:f ca="1">IFERROR(IF(0=LEN(ReferenceData!$P$187),"",ReferenceData!$P$187),"")</x:f>
        <x:v/>
      </x:c>
      <x:c r="Q187" t="str">
        <x:f ca="1">IFERROR(IF(0=LEN(ReferenceData!$Q$187),"",ReferenceData!$Q$187),"")</x:f>
        <x:v/>
      </x:c>
      <x:c r="R187" t="str">
        <x:f ca="1">IFERROR(IF(0=LEN(ReferenceData!$R$187),"",ReferenceData!$R$187),"")</x:f>
        <x:v/>
      </x:c>
      <x:c r="S187" t="str">
        <x:f ca="1">IFERROR(IF(0=LEN(ReferenceData!$S$187),"",ReferenceData!$S$187),"")</x:f>
        <x:v/>
      </x:c>
    </x:row>
    <x:row r="188" spans="1:19" x14ac:dyDescent="0.25">
      <x:c r="A188" t="str">
        <x:f>IFERROR(IF(0=LEN(ReferenceData!$A$188),"",ReferenceData!$A$188),"")</x:f>
        <x:v xml:space="preserve">        ETRACS Alerian Midstream Energ</x:v>
      </x:c>
      <x:c r="B188" t="str">
        <x:f>IFERROR(IF(0=LEN(ReferenceData!$B$188),"",ReferenceData!$B$188),"")</x:f>
        <x:v>AMNA US Equity</x:v>
      </x:c>
      <x:c r="C188" t="str">
        <x:f>IFERROR(IF(0=LEN(ReferenceData!$C$188),"",ReferenceData!$C$188),"")</x:f>
        <x:v/>
      </x:c>
      <x:c r="D188" t="str">
        <x:f>IFERROR(IF(0=LEN(ReferenceData!$D$188),"",ReferenceData!$D$188),"")</x:f>
        <x:v/>
      </x:c>
      <x:c r="E188" t="str">
        <x:f>IFERROR(IF(0=LEN(ReferenceData!$E$188),"",ReferenceData!$E$188),"")</x:f>
        <x:v>Expression</x:v>
      </x:c>
      <x:c r="F188">
        <x:f ca="1">IFERROR(IF(0=LEN(ReferenceData!$F$188),"",ReferenceData!$F$188),"")</x:f>
        <x:v>0</x:v>
      </x:c>
      <x:c r="G188">
        <x:f ca="1">IFERROR(IF(0=LEN(ReferenceData!$G$188),"",ReferenceData!$G$188),"")</x:f>
        <x:v>0</x:v>
      </x:c>
      <x:c r="H188">
        <x:f ca="1">IFERROR(IF(0=LEN(ReferenceData!$H$188),"",ReferenceData!$H$188),"")</x:f>
        <x:v>0</x:v>
      </x:c>
      <x:c r="I188">
        <x:f ca="1">IFERROR(IF(0=LEN(ReferenceData!$I$188),"",ReferenceData!$I$188),"")</x:f>
        <x:v>0</x:v>
      </x:c>
      <x:c r="J188">
        <x:f ca="1">IFERROR(IF(0=LEN(ReferenceData!$J$188),"",ReferenceData!$J$188),"")</x:f>
        <x:v>0</x:v>
      </x:c>
      <x:c r="K188">
        <x:f ca="1">IFERROR(IF(0=LEN(ReferenceData!$K$188),"",ReferenceData!$K$188),"")</x:f>
        <x:v>0</x:v>
      </x:c>
      <x:c r="L188">
        <x:f ca="1">IFERROR(IF(0=LEN(ReferenceData!$L$188),"",ReferenceData!$L$188),"")</x:f>
        <x:v>0</x:v>
      </x:c>
      <x:c r="M188">
        <x:f ca="1">IFERROR(IF(0=LEN(ReferenceData!$M$188),"",ReferenceData!$M$188),"")</x:f>
        <x:v>0</x:v>
      </x:c>
      <x:c r="N188">
        <x:f ca="1">IFERROR(IF(0=LEN(ReferenceData!$N$188),"",ReferenceData!$N$188),"")</x:f>
        <x:v>0</x:v>
      </x:c>
      <x:c r="O188">
        <x:f ca="1">IFERROR(IF(0=LEN(ReferenceData!$O$188),"",ReferenceData!$O$188),"")</x:f>
        <x:v>0</x:v>
      </x:c>
      <x:c r="P188">
        <x:f ca="1">IFERROR(IF(0=LEN(ReferenceData!$P$188),"",ReferenceData!$P$188),"")</x:f>
        <x:v>0</x:v>
      </x:c>
      <x:c r="Q188">
        <x:f ca="1">IFERROR(IF(0=LEN(ReferenceData!$Q$188),"",ReferenceData!$Q$188),"")</x:f>
        <x:v>0</x:v>
      </x:c>
      <x:c r="R188">
        <x:f ca="1">IFERROR(IF(0=LEN(ReferenceData!$R$188),"",ReferenceData!$R$188),"")</x:f>
        <x:v>0</x:v>
      </x:c>
      <x:c r="S188">
        <x:f ca="1">IFERROR(IF(0=LEN(ReferenceData!$S$188),"",ReferenceData!$S$188),"")</x:f>
        <x:v>0</x:v>
      </x:c>
    </x:row>
    <x:row r="189" spans="1:19" x14ac:dyDescent="0.25">
      <x:c r="A189" t="str">
        <x:f>IFERROR(IF(0=LEN(ReferenceData!$A$189),"",ReferenceData!$A$189),"")</x:f>
        <x:v xml:space="preserve">        ETRACS Alerian Midstream Energ</x:v>
      </x:c>
      <x:c r="B189" t="str">
        <x:f>IFERROR(IF(0=LEN(ReferenceData!$B$189),"",ReferenceData!$B$189),"")</x:f>
        <x:v>AMND US Equity</x:v>
      </x:c>
      <x:c r="C189" t="str">
        <x:f>IFERROR(IF(0=LEN(ReferenceData!$C$189),"",ReferenceData!$C$189),"")</x:f>
        <x:v/>
      </x:c>
      <x:c r="D189" t="str">
        <x:f>IFERROR(IF(0=LEN(ReferenceData!$D$189),"",ReferenceData!$D$189),"")</x:f>
        <x:v/>
      </x:c>
      <x:c r="E189" t="str">
        <x:f>IFERROR(IF(0=LEN(ReferenceData!$E$189),"",ReferenceData!$E$189),"")</x:f>
        <x:v>Expression</x:v>
      </x:c>
      <x:c r="F189">
        <x:f ca="1">IFERROR(IF(0=LEN(ReferenceData!$F$189),"",ReferenceData!$F$189),"")</x:f>
        <x:v>0</x:v>
      </x:c>
      <x:c r="G189">
        <x:f ca="1">IFERROR(IF(0=LEN(ReferenceData!$G$189),"",ReferenceData!$G$189),"")</x:f>
        <x:v>0</x:v>
      </x:c>
      <x:c r="H189">
        <x:f ca="1">IFERROR(IF(0=LEN(ReferenceData!$H$189),"",ReferenceData!$H$189),"")</x:f>
        <x:v>0</x:v>
      </x:c>
      <x:c r="I189">
        <x:f ca="1">IFERROR(IF(0=LEN(ReferenceData!$I$189),"",ReferenceData!$I$189),"")</x:f>
        <x:v>0</x:v>
      </x:c>
      <x:c r="J189">
        <x:f ca="1">IFERROR(IF(0=LEN(ReferenceData!$J$189),"",ReferenceData!$J$189),"")</x:f>
        <x:v>0</x:v>
      </x:c>
      <x:c r="K189">
        <x:f ca="1">IFERROR(IF(0=LEN(ReferenceData!$K$189),"",ReferenceData!$K$189),"")</x:f>
        <x:v>0</x:v>
      </x:c>
      <x:c r="L189">
        <x:f ca="1">IFERROR(IF(0=LEN(ReferenceData!$L$189),"",ReferenceData!$L$189),"")</x:f>
        <x:v>0</x:v>
      </x:c>
      <x:c r="M189">
        <x:f ca="1">IFERROR(IF(0=LEN(ReferenceData!$M$189),"",ReferenceData!$M$189),"")</x:f>
        <x:v>0</x:v>
      </x:c>
      <x:c r="N189">
        <x:f ca="1">IFERROR(IF(0=LEN(ReferenceData!$N$189),"",ReferenceData!$N$189),"")</x:f>
        <x:v>0</x:v>
      </x:c>
      <x:c r="O189">
        <x:f ca="1">IFERROR(IF(0=LEN(ReferenceData!$O$189),"",ReferenceData!$O$189),"")</x:f>
        <x:v>0</x:v>
      </x:c>
      <x:c r="P189">
        <x:f ca="1">IFERROR(IF(0=LEN(ReferenceData!$P$189),"",ReferenceData!$P$189),"")</x:f>
        <x:v>0</x:v>
      </x:c>
      <x:c r="Q189">
        <x:f ca="1">IFERROR(IF(0=LEN(ReferenceData!$Q$189),"",ReferenceData!$Q$189),"")</x:f>
        <x:v>0</x:v>
      </x:c>
      <x:c r="R189">
        <x:f ca="1">IFERROR(IF(0=LEN(ReferenceData!$R$189),"",ReferenceData!$R$189),"")</x:f>
        <x:v>0</x:v>
      </x:c>
      <x:c r="S189">
        <x:f ca="1">IFERROR(IF(0=LEN(ReferenceData!$S$189),"",ReferenceData!$S$189),"")</x:f>
        <x:v>0</x:v>
      </x:c>
    </x:row>
    <x:row r="190" spans="1:19" x14ac:dyDescent="0.25">
      <x:c r="A190" t="str">
        <x:f>IFERROR(IF(0=LEN(ReferenceData!$A$190),"",ReferenceData!$A$190),"")</x:f>
        <x:v xml:space="preserve">        ETRACS Alerian Midstream Energ</x:v>
      </x:c>
      <x:c r="B190" t="str">
        <x:f>IFERROR(IF(0=LEN(ReferenceData!$B$190),"",ReferenceData!$B$190),"")</x:f>
        <x:v>AMTR US Equity</x:v>
      </x:c>
      <x:c r="C190" t="str">
        <x:f>IFERROR(IF(0=LEN(ReferenceData!$C$190),"",ReferenceData!$C$190),"")</x:f>
        <x:v/>
      </x:c>
      <x:c r="D190" t="str">
        <x:f>IFERROR(IF(0=LEN(ReferenceData!$D$190),"",ReferenceData!$D$190),"")</x:f>
        <x:v/>
      </x:c>
      <x:c r="E190" t="str">
        <x:f>IFERROR(IF(0=LEN(ReferenceData!$E$190),"",ReferenceData!$E$190),"")</x:f>
        <x:v>Expression</x:v>
      </x:c>
      <x:c r="F190">
        <x:f ca="1">IFERROR(IF(0=LEN(ReferenceData!$F$190),"",ReferenceData!$F$190),"")</x:f>
        <x:v>0</x:v>
      </x:c>
      <x:c r="G190">
        <x:f ca="1">IFERROR(IF(0=LEN(ReferenceData!$G$190),"",ReferenceData!$G$190),"")</x:f>
        <x:v>0</x:v>
      </x:c>
      <x:c r="H190">
        <x:f ca="1">IFERROR(IF(0=LEN(ReferenceData!$H$190),"",ReferenceData!$H$190),"")</x:f>
        <x:v>0</x:v>
      </x:c>
      <x:c r="I190">
        <x:f ca="1">IFERROR(IF(0=LEN(ReferenceData!$I$190),"",ReferenceData!$I$190),"")</x:f>
        <x:v>0</x:v>
      </x:c>
      <x:c r="J190">
        <x:f ca="1">IFERROR(IF(0=LEN(ReferenceData!$J$190),"",ReferenceData!$J$190),"")</x:f>
        <x:v>0</x:v>
      </x:c>
      <x:c r="K190">
        <x:f ca="1">IFERROR(IF(0=LEN(ReferenceData!$K$190),"",ReferenceData!$K$190),"")</x:f>
        <x:v>0</x:v>
      </x:c>
      <x:c r="L190">
        <x:f ca="1">IFERROR(IF(0=LEN(ReferenceData!$L$190),"",ReferenceData!$L$190),"")</x:f>
        <x:v>0</x:v>
      </x:c>
      <x:c r="M190">
        <x:f ca="1">IFERROR(IF(0=LEN(ReferenceData!$M$190),"",ReferenceData!$M$190),"")</x:f>
        <x:v>0</x:v>
      </x:c>
      <x:c r="N190">
        <x:f ca="1">IFERROR(IF(0=LEN(ReferenceData!$N$190),"",ReferenceData!$N$190),"")</x:f>
        <x:v>0</x:v>
      </x:c>
      <x:c r="O190">
        <x:f ca="1">IFERROR(IF(0=LEN(ReferenceData!$O$190),"",ReferenceData!$O$190),"")</x:f>
        <x:v>0</x:v>
      </x:c>
      <x:c r="P190">
        <x:f ca="1">IFERROR(IF(0=LEN(ReferenceData!$P$190),"",ReferenceData!$P$190),"")</x:f>
        <x:v>0</x:v>
      </x:c>
      <x:c r="Q190">
        <x:f ca="1">IFERROR(IF(0=LEN(ReferenceData!$Q$190),"",ReferenceData!$Q$190),"")</x:f>
        <x:v>0</x:v>
      </x:c>
      <x:c r="R190">
        <x:f ca="1">IFERROR(IF(0=LEN(ReferenceData!$R$190),"",ReferenceData!$R$190),"")</x:f>
        <x:v>0</x:v>
      </x:c>
      <x:c r="S190">
        <x:f ca="1">IFERROR(IF(0=LEN(ReferenceData!$S$190),"",ReferenceData!$S$190),"")</x:f>
        <x:v>0</x:v>
      </x:c>
    </x:row>
    <x:row r="191" spans="1:19" x14ac:dyDescent="0.25">
      <x:c r="A191" t="str">
        <x:f>IFERROR(IF(0=LEN(ReferenceData!$A$191),"",ReferenceData!$A$191),"")</x:f>
        <x:v xml:space="preserve">        ETRACS Quarterly Pay 1.5X Leve</x:v>
      </x:c>
      <x:c r="B191" t="str">
        <x:f>IFERROR(IF(0=LEN(ReferenceData!$B$191),"",ReferenceData!$B$191),"")</x:f>
        <x:v>MLPR US Equity</x:v>
      </x:c>
      <x:c r="C191" t="str">
        <x:f>IFERROR(IF(0=LEN(ReferenceData!$C$191),"",ReferenceData!$C$191),"")</x:f>
        <x:v/>
      </x:c>
      <x:c r="D191" t="str">
        <x:f>IFERROR(IF(0=LEN(ReferenceData!$D$191),"",ReferenceData!$D$191),"")</x:f>
        <x:v/>
      </x:c>
      <x:c r="E191" t="str">
        <x:f>IFERROR(IF(0=LEN(ReferenceData!$E$191),"",ReferenceData!$E$191),"")</x:f>
        <x:v>Expression</x:v>
      </x:c>
      <x:c r="F191">
        <x:f ca="1">IFERROR(IF(0=LEN(ReferenceData!$F$191),"",ReferenceData!$F$191),"")</x:f>
        <x:v>0</x:v>
      </x:c>
      <x:c r="G191">
        <x:f ca="1">IFERROR(IF(0=LEN(ReferenceData!$G$191),"",ReferenceData!$G$191),"")</x:f>
        <x:v>0</x:v>
      </x:c>
      <x:c r="H191">
        <x:f ca="1">IFERROR(IF(0=LEN(ReferenceData!$H$191),"",ReferenceData!$H$191),"")</x:f>
        <x:v>0</x:v>
      </x:c>
      <x:c r="I191">
        <x:f ca="1">IFERROR(IF(0=LEN(ReferenceData!$I$191),"",ReferenceData!$I$191),"")</x:f>
        <x:v>0</x:v>
      </x:c>
      <x:c r="J191">
        <x:f ca="1">IFERROR(IF(0=LEN(ReferenceData!$J$191),"",ReferenceData!$J$191),"")</x:f>
        <x:v>0</x:v>
      </x:c>
      <x:c r="K191">
        <x:f ca="1">IFERROR(IF(0=LEN(ReferenceData!$K$191),"",ReferenceData!$K$191),"")</x:f>
        <x:v>0</x:v>
      </x:c>
      <x:c r="L191">
        <x:f ca="1">IFERROR(IF(0=LEN(ReferenceData!$L$191),"",ReferenceData!$L$191),"")</x:f>
        <x:v>0</x:v>
      </x:c>
      <x:c r="M191">
        <x:f ca="1">IFERROR(IF(0=LEN(ReferenceData!$M$191),"",ReferenceData!$M$191),"")</x:f>
        <x:v>0</x:v>
      </x:c>
      <x:c r="N191">
        <x:f ca="1">IFERROR(IF(0=LEN(ReferenceData!$N$191),"",ReferenceData!$N$191),"")</x:f>
        <x:v>0</x:v>
      </x:c>
      <x:c r="O191">
        <x:f ca="1">IFERROR(IF(0=LEN(ReferenceData!$O$191),"",ReferenceData!$O$191),"")</x:f>
        <x:v>0</x:v>
      </x:c>
      <x:c r="P191">
        <x:f ca="1">IFERROR(IF(0=LEN(ReferenceData!$P$191),"",ReferenceData!$P$191),"")</x:f>
        <x:v>0</x:v>
      </x:c>
      <x:c r="Q191">
        <x:f ca="1">IFERROR(IF(0=LEN(ReferenceData!$Q$191),"",ReferenceData!$Q$191),"")</x:f>
        <x:v>0</x:v>
      </x:c>
      <x:c r="R191">
        <x:f ca="1">IFERROR(IF(0=LEN(ReferenceData!$R$191),"",ReferenceData!$R$191),"")</x:f>
        <x:v>0</x:v>
      </x:c>
      <x:c r="S191">
        <x:f ca="1">IFERROR(IF(0=LEN(ReferenceData!$S$191),"",ReferenceData!$S$191),"")</x:f>
        <x:v>0</x:v>
      </x:c>
    </x:row>
    <x:row r="192" spans="1:19" x14ac:dyDescent="0.25">
      <x:c r="A192" t="str">
        <x:f>IFERROR(IF(0=LEN(ReferenceData!$A$192),"",ReferenceData!$A$192),"")</x:f>
        <x:v xml:space="preserve">        MicroSectors Oil &amp; Gas Explora</x:v>
      </x:c>
      <x:c r="B192" t="str">
        <x:f>IFERROR(IF(0=LEN(ReferenceData!$B$192),"",ReferenceData!$B$192),"")</x:f>
        <x:v>OILU US Equity</x:v>
      </x:c>
      <x:c r="C192" t="str">
        <x:f>IFERROR(IF(0=LEN(ReferenceData!$C$192),"",ReferenceData!$C$192),"")</x:f>
        <x:v/>
      </x:c>
      <x:c r="D192" t="str">
        <x:f>IFERROR(IF(0=LEN(ReferenceData!$D$192),"",ReferenceData!$D$192),"")</x:f>
        <x:v/>
      </x:c>
      <x:c r="E192" t="str">
        <x:f>IFERROR(IF(0=LEN(ReferenceData!$E$192),"",ReferenceData!$E$192),"")</x:f>
        <x:v>Expression</x:v>
      </x:c>
      <x:c r="F192">
        <x:f ca="1">IFERROR(IF(0=LEN(ReferenceData!$F$192),"",ReferenceData!$F$192),"")</x:f>
        <x:v>0</x:v>
      </x:c>
      <x:c r="G192">
        <x:f ca="1">IFERROR(IF(0=LEN(ReferenceData!$G$192),"",ReferenceData!$G$192),"")</x:f>
        <x:v>0</x:v>
      </x:c>
      <x:c r="H192">
        <x:f ca="1">IFERROR(IF(0=LEN(ReferenceData!$H$192),"",ReferenceData!$H$192),"")</x:f>
        <x:v>0</x:v>
      </x:c>
      <x:c r="I192">
        <x:f ca="1">IFERROR(IF(0=LEN(ReferenceData!$I$192),"",ReferenceData!$I$192),"")</x:f>
        <x:v>0</x:v>
      </x:c>
      <x:c r="J192">
        <x:f ca="1">IFERROR(IF(0=LEN(ReferenceData!$J$192),"",ReferenceData!$J$192),"")</x:f>
        <x:v>0</x:v>
      </x:c>
      <x:c r="K192">
        <x:f ca="1">IFERROR(IF(0=LEN(ReferenceData!$K$192),"",ReferenceData!$K$192),"")</x:f>
        <x:v>0</x:v>
      </x:c>
      <x:c r="L192">
        <x:f ca="1">IFERROR(IF(0=LEN(ReferenceData!$L$192),"",ReferenceData!$L$192),"")</x:f>
        <x:v>0</x:v>
      </x:c>
      <x:c r="M192">
        <x:f ca="1">IFERROR(IF(0=LEN(ReferenceData!$M$192),"",ReferenceData!$M$192),"")</x:f>
        <x:v>0</x:v>
      </x:c>
      <x:c r="N192">
        <x:f ca="1">IFERROR(IF(0=LEN(ReferenceData!$N$192),"",ReferenceData!$N$192),"")</x:f>
        <x:v>16.737400999999998</x:v>
      </x:c>
      <x:c r="O192">
        <x:f ca="1">IFERROR(IF(0=LEN(ReferenceData!$O$192),"",ReferenceData!$O$192),"")</x:f>
        <x:v>0</x:v>
      </x:c>
      <x:c r="P192">
        <x:f ca="1">IFERROR(IF(0=LEN(ReferenceData!$P$192),"",ReferenceData!$P$192),"")</x:f>
        <x:v>0</x:v>
      </x:c>
      <x:c r="Q192">
        <x:f ca="1">IFERROR(IF(0=LEN(ReferenceData!$Q$192),"",ReferenceData!$Q$192),"")</x:f>
        <x:v>0</x:v>
      </x:c>
      <x:c r="R192">
        <x:f ca="1">IFERROR(IF(0=LEN(ReferenceData!$R$192),"",ReferenceData!$R$192),"")</x:f>
        <x:v>0</x:v>
      </x:c>
      <x:c r="S192">
        <x:f ca="1">IFERROR(IF(0=LEN(ReferenceData!$S$192),"",ReferenceData!$S$192),"")</x:f>
        <x:v>0</x:v>
      </x:c>
    </x:row>
    <x:row r="193" spans="1:19" x14ac:dyDescent="0.25">
      <x:c r="A193" t="str">
        <x:f>IFERROR(IF(0=LEN(ReferenceData!$A$193),"",ReferenceData!$A$193),"")</x:f>
        <x:v xml:space="preserve">        MicroSectors Oil &amp; Gas Explora</x:v>
      </x:c>
      <x:c r="B193" t="str">
        <x:f>IFERROR(IF(0=LEN(ReferenceData!$B$193),"",ReferenceData!$B$193),"")</x:f>
        <x:v>OILD US Equity</x:v>
      </x:c>
      <x:c r="C193" t="str">
        <x:f>IFERROR(IF(0=LEN(ReferenceData!$C$193),"",ReferenceData!$C$193),"")</x:f>
        <x:v/>
      </x:c>
      <x:c r="D193" t="str">
        <x:f>IFERROR(IF(0=LEN(ReferenceData!$D$193),"",ReferenceData!$D$193),"")</x:f>
        <x:v/>
      </x:c>
      <x:c r="E193" t="str">
        <x:f>IFERROR(IF(0=LEN(ReferenceData!$E$193),"",ReferenceData!$E$193),"")</x:f>
        <x:v>Expression</x:v>
      </x:c>
      <x:c r="F193">
        <x:f ca="1">IFERROR(IF(0=LEN(ReferenceData!$F$193),"",ReferenceData!$F$193),"")</x:f>
        <x:v>0</x:v>
      </x:c>
      <x:c r="G193">
        <x:f ca="1">IFERROR(IF(0=LEN(ReferenceData!$G$193),"",ReferenceData!$G$193),"")</x:f>
        <x:v>0</x:v>
      </x:c>
      <x:c r="H193">
        <x:f ca="1">IFERROR(IF(0=LEN(ReferenceData!$H$193),"",ReferenceData!$H$193),"")</x:f>
        <x:v>0</x:v>
      </x:c>
      <x:c r="I193">
        <x:f ca="1">IFERROR(IF(0=LEN(ReferenceData!$I$193),"",ReferenceData!$I$193),"")</x:f>
        <x:v>0</x:v>
      </x:c>
      <x:c r="J193">
        <x:f ca="1">IFERROR(IF(0=LEN(ReferenceData!$J$193),"",ReferenceData!$J$193),"")</x:f>
        <x:v>0</x:v>
      </x:c>
      <x:c r="K193">
        <x:f ca="1">IFERROR(IF(0=LEN(ReferenceData!$K$193),"",ReferenceData!$K$193),"")</x:f>
        <x:v>0</x:v>
      </x:c>
      <x:c r="L193">
        <x:f ca="1">IFERROR(IF(0=LEN(ReferenceData!$L$193),"",ReferenceData!$L$193),"")</x:f>
        <x:v>0</x:v>
      </x:c>
      <x:c r="M193">
        <x:f ca="1">IFERROR(IF(0=LEN(ReferenceData!$M$193),"",ReferenceData!$M$193),"")</x:f>
        <x:v>0</x:v>
      </x:c>
      <x:c r="N193">
        <x:f ca="1">IFERROR(IF(0=LEN(ReferenceData!$N$193),"",ReferenceData!$N$193),"")</x:f>
        <x:v>0</x:v>
      </x:c>
      <x:c r="O193">
        <x:f ca="1">IFERROR(IF(0=LEN(ReferenceData!$O$193),"",ReferenceData!$O$193),"")</x:f>
        <x:v>0</x:v>
      </x:c>
      <x:c r="P193">
        <x:f ca="1">IFERROR(IF(0=LEN(ReferenceData!$P$193),"",ReferenceData!$P$193),"")</x:f>
        <x:v>0</x:v>
      </x:c>
      <x:c r="Q193">
        <x:f ca="1">IFERROR(IF(0=LEN(ReferenceData!$Q$193),"",ReferenceData!$Q$193),"")</x:f>
        <x:v>0</x:v>
      </x:c>
      <x:c r="R193">
        <x:f ca="1">IFERROR(IF(0=LEN(ReferenceData!$R$193),"",ReferenceData!$R$193),"")</x:f>
        <x:v>5.8232609999999996</x:v>
      </x:c>
      <x:c r="S193">
        <x:f ca="1">IFERROR(IF(0=LEN(ReferenceData!$S$193),"",ReferenceData!$S$193),"")</x:f>
        <x:v>9.8072649999999992</x:v>
      </x:c>
    </x:row>
    <x:row r="194" spans="1:19" x14ac:dyDescent="0.25">
      <x:c r="A194" t="str">
        <x:f>IFERROR(IF(0=LEN(ReferenceData!$A$194),"",ReferenceData!$A$194),"")</x:f>
        <x:v xml:space="preserve">        USCF Midstream Energy Income F</x:v>
      </x:c>
      <x:c r="B194" t="str">
        <x:f>IFERROR(IF(0=LEN(ReferenceData!$B$194),"",ReferenceData!$B$194),"")</x:f>
        <x:v>UMI US Equity</x:v>
      </x:c>
      <x:c r="C194" t="str">
        <x:f>IFERROR(IF(0=LEN(ReferenceData!$C$194),"",ReferenceData!$C$194),"")</x:f>
        <x:v/>
      </x:c>
      <x:c r="D194" t="str">
        <x:f>IFERROR(IF(0=LEN(ReferenceData!$D$194),"",ReferenceData!$D$194),"")</x:f>
        <x:v/>
      </x:c>
      <x:c r="E194" t="str">
        <x:f>IFERROR(IF(0=LEN(ReferenceData!$E$194),"",ReferenceData!$E$194),"")</x:f>
        <x:v>Expression</x:v>
      </x:c>
      <x:c r="F194">
        <x:f ca="1">IFERROR(IF(0=LEN(ReferenceData!$F$194),"",ReferenceData!$F$194),"")</x:f>
        <x:v>0</x:v>
      </x:c>
      <x:c r="G194">
        <x:f ca="1">IFERROR(IF(0=LEN(ReferenceData!$G$194),"",ReferenceData!$G$194),"")</x:f>
        <x:v>0</x:v>
      </x:c>
      <x:c r="H194">
        <x:f ca="1">IFERROR(IF(0=LEN(ReferenceData!$H$194),"",ReferenceData!$H$194),"")</x:f>
        <x:v>3.5590799999999998</x:v>
      </x:c>
      <x:c r="I194">
        <x:f ca="1">IFERROR(IF(0=LEN(ReferenceData!$I$194),"",ReferenceData!$I$194),"")</x:f>
        <x:v>0</x:v>
      </x:c>
      <x:c r="J194">
        <x:f ca="1">IFERROR(IF(0=LEN(ReferenceData!$J$194),"",ReferenceData!$J$194),"")</x:f>
        <x:v>1.7715129999999999</x:v>
      </x:c>
      <x:c r="K194">
        <x:f ca="1">IFERROR(IF(0=LEN(ReferenceData!$K$194),"",ReferenceData!$K$194),"")</x:f>
        <x:v>1.6978660000000001</x:v>
      </x:c>
      <x:c r="L194">
        <x:f ca="1">IFERROR(IF(0=LEN(ReferenceData!$L$194),"",ReferenceData!$L$194),"")</x:f>
        <x:v>1.6244909999999999</x:v>
      </x:c>
      <x:c r="M194">
        <x:f ca="1">IFERROR(IF(0=LEN(ReferenceData!$M$194),"",ReferenceData!$M$194),"")</x:f>
        <x:v>0</x:v>
      </x:c>
      <x:c r="N194">
        <x:f ca="1">IFERROR(IF(0=LEN(ReferenceData!$N$194),"",ReferenceData!$N$194),"")</x:f>
        <x:v>4.9385940000000002</x:v>
      </x:c>
      <x:c r="O194">
        <x:f ca="1">IFERROR(IF(0=LEN(ReferenceData!$O$194),"",ReferenceData!$O$194),"")</x:f>
        <x:v>8.5311070000000004</x:v>
      </x:c>
      <x:c r="P194">
        <x:f ca="1">IFERROR(IF(0=LEN(ReferenceData!$P$194),"",ReferenceData!$P$194),"")</x:f>
        <x:v>3.5003540000000002</x:v>
      </x:c>
      <x:c r="Q194">
        <x:f ca="1">IFERROR(IF(0=LEN(ReferenceData!$Q$194),"",ReferenceData!$Q$194),"")</x:f>
        <x:v>1.65028</x:v>
      </x:c>
      <x:c r="R194">
        <x:f ca="1">IFERROR(IF(0=LEN(ReferenceData!$R$194),"",ReferenceData!$R$194),"")</x:f>
        <x:v>5.3186159999999996</x:v>
      </x:c>
      <x:c r="S194">
        <x:f ca="1">IFERROR(IF(0=LEN(ReferenceData!$S$194),"",ReferenceData!$S$194),"")</x:f>
        <x:v>3.266635</x:v>
      </x:c>
    </x:row>
    <x:row r="195" spans="1:19" x14ac:dyDescent="0.25">
      <x:c r="A195" t="str">
        <x:f>IFERROR(IF(0=LEN(ReferenceData!$A$195),"",ReferenceData!$A$195),"")</x:f>
        <x:v xml:space="preserve">        Direxion Daily Oil Services Bu</x:v>
      </x:c>
      <x:c r="B195" t="str">
        <x:f>IFERROR(IF(0=LEN(ReferenceData!$B$195),"",ReferenceData!$B$195),"")</x:f>
        <x:v>ONG US Equity</x:v>
      </x:c>
      <x:c r="C195" t="str">
        <x:f>IFERROR(IF(0=LEN(ReferenceData!$C$195),"",ReferenceData!$C$195),"")</x:f>
        <x:v/>
      </x:c>
      <x:c r="D195" t="str">
        <x:f>IFERROR(IF(0=LEN(ReferenceData!$D$195),"",ReferenceData!$D$195),"")</x:f>
        <x:v/>
      </x:c>
      <x:c r="E195" t="str">
        <x:f>IFERROR(IF(0=LEN(ReferenceData!$E$195),"",ReferenceData!$E$195),"")</x:f>
        <x:v>Expression</x:v>
      </x:c>
      <x:c r="F195" t="str">
        <x:f ca="1">IFERROR(IF(0=LEN(ReferenceData!$F$195),"",ReferenceData!$F$195),"")</x:f>
        <x:v/>
      </x:c>
      <x:c r="G195" t="str">
        <x:f ca="1">IFERROR(IF(0=LEN(ReferenceData!$G$195),"",ReferenceData!$G$195),"")</x:f>
        <x:v/>
      </x:c>
      <x:c r="H195" t="str">
        <x:f ca="1">IFERROR(IF(0=LEN(ReferenceData!$H$195),"",ReferenceData!$H$195),"")</x:f>
        <x:v/>
      </x:c>
      <x:c r="I195" t="str">
        <x:f ca="1">IFERROR(IF(0=LEN(ReferenceData!$I$195),"",ReferenceData!$I$195),"")</x:f>
        <x:v/>
      </x:c>
      <x:c r="J195" t="str">
        <x:f ca="1">IFERROR(IF(0=LEN(ReferenceData!$J$195),"",ReferenceData!$J$195),"")</x:f>
        <x:v/>
      </x:c>
      <x:c r="K195" t="str">
        <x:f ca="1">IFERROR(IF(0=LEN(ReferenceData!$K$195),"",ReferenceData!$K$195),"")</x:f>
        <x:v/>
      </x:c>
      <x:c r="L195" t="str">
        <x:f ca="1">IFERROR(IF(0=LEN(ReferenceData!$L$195),"",ReferenceData!$L$195),"")</x:f>
        <x:v/>
      </x:c>
      <x:c r="M195">
        <x:f ca="1">IFERROR(IF(0=LEN(ReferenceData!$M$195),"",ReferenceData!$M$195),"")</x:f>
        <x:v>-1.5657589999999999</x:v>
      </x:c>
      <x:c r="N195">
        <x:f ca="1">IFERROR(IF(0=LEN(ReferenceData!$N$195),"",ReferenceData!$N$195),"")</x:f>
        <x:v>0</x:v>
      </x:c>
      <x:c r="O195">
        <x:f ca="1">IFERROR(IF(0=LEN(ReferenceData!$O$195),"",ReferenceData!$O$195),"")</x:f>
        <x:v>0</x:v>
      </x:c>
      <x:c r="P195">
        <x:f ca="1">IFERROR(IF(0=LEN(ReferenceData!$P$195),"",ReferenceData!$P$195),"")</x:f>
        <x:v>0</x:v>
      </x:c>
      <x:c r="Q195">
        <x:f ca="1">IFERROR(IF(0=LEN(ReferenceData!$Q$195),"",ReferenceData!$Q$195),"")</x:f>
        <x:v>-1.6810579999999999</x:v>
      </x:c>
      <x:c r="R195">
        <x:f ca="1">IFERROR(IF(0=LEN(ReferenceData!$R$195),"",ReferenceData!$R$195),"")</x:f>
        <x:v>-3.7538179999999999</x:v>
      </x:c>
      <x:c r="S195">
        <x:f ca="1">IFERROR(IF(0=LEN(ReferenceData!$S$195),"",ReferenceData!$S$195),"")</x:f>
        <x:v>1.7681359999999999</x:v>
      </x:c>
    </x:row>
    <x:row r="196" spans="1:19" x14ac:dyDescent="0.25">
      <x:c r="A196" t="str">
        <x:f>IFERROR(IF(0=LEN(ReferenceData!$A$196),"",ReferenceData!$A$196),"")</x:f>
        <x:v xml:space="preserve">        Subversive Decarbonization ETF</x:v>
      </x:c>
      <x:c r="B196" t="str">
        <x:f>IFERROR(IF(0=LEN(ReferenceData!$B$196),"",ReferenceData!$B$196),"")</x:f>
        <x:v>DKRB US Equity</x:v>
      </x:c>
      <x:c r="C196" t="str">
        <x:f>IFERROR(IF(0=LEN(ReferenceData!$C$196),"",ReferenceData!$C$196),"")</x:f>
        <x:v/>
      </x:c>
      <x:c r="D196" t="str">
        <x:f>IFERROR(IF(0=LEN(ReferenceData!$D$196),"",ReferenceData!$D$196),"")</x:f>
        <x:v/>
      </x:c>
      <x:c r="E196" t="str">
        <x:f>IFERROR(IF(0=LEN(ReferenceData!$E$196),"",ReferenceData!$E$196),"")</x:f>
        <x:v>Expression</x:v>
      </x:c>
      <x:c r="F196">
        <x:f ca="1">IFERROR(IF(0=LEN(ReferenceData!$F$196),"",ReferenceData!$F$196),"")</x:f>
        <x:v>0</x:v>
      </x:c>
      <x:c r="G196">
        <x:f ca="1">IFERROR(IF(0=LEN(ReferenceData!$G$196),"",ReferenceData!$G$196),"")</x:f>
        <x:v>0</x:v>
      </x:c>
      <x:c r="H196">
        <x:f ca="1">IFERROR(IF(0=LEN(ReferenceData!$H$196),"",ReferenceData!$H$196),"")</x:f>
        <x:v>0</x:v>
      </x:c>
      <x:c r="I196">
        <x:f ca="1">IFERROR(IF(0=LEN(ReferenceData!$I$196),"",ReferenceData!$I$196),"")</x:f>
        <x:v>0</x:v>
      </x:c>
      <x:c r="J196">
        <x:f ca="1">IFERROR(IF(0=LEN(ReferenceData!$J$196),"",ReferenceData!$J$196),"")</x:f>
        <x:v>0</x:v>
      </x:c>
      <x:c r="K196">
        <x:f ca="1">IFERROR(IF(0=LEN(ReferenceData!$K$196),"",ReferenceData!$K$196),"")</x:f>
        <x:v>0</x:v>
      </x:c>
      <x:c r="L196">
        <x:f ca="1">IFERROR(IF(0=LEN(ReferenceData!$L$196),"",ReferenceData!$L$196),"")</x:f>
        <x:v>0</x:v>
      </x:c>
      <x:c r="M196">
        <x:f ca="1">IFERROR(IF(0=LEN(ReferenceData!$M$196),"",ReferenceData!$M$196),"")</x:f>
        <x:v>0</x:v>
      </x:c>
      <x:c r="N196">
        <x:f ca="1">IFERROR(IF(0=LEN(ReferenceData!$N$196),"",ReferenceData!$N$196),"")</x:f>
        <x:v>0</x:v>
      </x:c>
      <x:c r="O196">
        <x:f ca="1">IFERROR(IF(0=LEN(ReferenceData!$O$196),"",ReferenceData!$O$196),"")</x:f>
        <x:v>0</x:v>
      </x:c>
      <x:c r="P196">
        <x:f ca="1">IFERROR(IF(0=LEN(ReferenceData!$P$196),"",ReferenceData!$P$196),"")</x:f>
        <x:v>0</x:v>
      </x:c>
      <x:c r="Q196">
        <x:f ca="1">IFERROR(IF(0=LEN(ReferenceData!$Q$196),"",ReferenceData!$Q$196),"")</x:f>
        <x:v>0.61539299999999997</x:v>
      </x:c>
      <x:c r="R196" t="str">
        <x:f ca="1">IFERROR(IF(0=LEN(ReferenceData!$R$196),"",ReferenceData!$R$196),"")</x:f>
        <x:v/>
      </x:c>
      <x:c r="S196" t="str">
        <x:f ca="1">IFERROR(IF(0=LEN(ReferenceData!$S$196),"",ReferenceData!$S$196),"")</x:f>
        <x:v/>
      </x:c>
    </x:row>
    <x:row r="197" spans="1:19" x14ac:dyDescent="0.25">
      <x:c r="A197" t="str">
        <x:f>IFERROR(IF(0=LEN(ReferenceData!$A$197),"",ReferenceData!$A$197),"")</x:f>
        <x:v xml:space="preserve">        Strive US Energy ETF</x:v>
      </x:c>
      <x:c r="B197" t="str">
        <x:f>IFERROR(IF(0=LEN(ReferenceData!$B$197),"",ReferenceData!$B$197),"")</x:f>
        <x:v>DRLL US Equity</x:v>
      </x:c>
      <x:c r="C197" t="str">
        <x:f>IFERROR(IF(0=LEN(ReferenceData!$C$197),"",ReferenceData!$C$197),"")</x:f>
        <x:v/>
      </x:c>
      <x:c r="D197" t="str">
        <x:f>IFERROR(IF(0=LEN(ReferenceData!$D$197),"",ReferenceData!$D$197),"")</x:f>
        <x:v/>
      </x:c>
      <x:c r="E197" t="str">
        <x:f>IFERROR(IF(0=LEN(ReferenceData!$E$197),"",ReferenceData!$E$197),"")</x:f>
        <x:v>Expression</x:v>
      </x:c>
      <x:c r="F197">
        <x:f ca="1">IFERROR(IF(0=LEN(ReferenceData!$F$197),"",ReferenceData!$F$197),"")</x:f>
        <x:v>-2.8416109999999999</x:v>
      </x:c>
      <x:c r="G197">
        <x:f ca="1">IFERROR(IF(0=LEN(ReferenceData!$G$197),"",ReferenceData!$G$197),"")</x:f>
        <x:v>-2.5282360000000001</x:v>
      </x:c>
      <x:c r="H197">
        <x:f ca="1">IFERROR(IF(0=LEN(ReferenceData!$H$197),"",ReferenceData!$H$197),"")</x:f>
        <x:v>-1.817682</x:v>
      </x:c>
      <x:c r="I197">
        <x:f ca="1">IFERROR(IF(0=LEN(ReferenceData!$I$197),"",ReferenceData!$I$197),"")</x:f>
        <x:v>-1.7493030000000001</x:v>
      </x:c>
      <x:c r="J197">
        <x:f ca="1">IFERROR(IF(0=LEN(ReferenceData!$J$197),"",ReferenceData!$J$197),"")</x:f>
        <x:v>-2.780888</x:v>
      </x:c>
      <x:c r="K197">
        <x:f ca="1">IFERROR(IF(0=LEN(ReferenceData!$K$197),"",ReferenceData!$K$197),"")</x:f>
        <x:v>-1.0912520000000001</x:v>
      </x:c>
      <x:c r="L197">
        <x:f ca="1">IFERROR(IF(0=LEN(ReferenceData!$L$197),"",ReferenceData!$L$197),"")</x:f>
        <x:v>0.53731200000000001</x:v>
      </x:c>
      <x:c r="M197">
        <x:f ca="1">IFERROR(IF(0=LEN(ReferenceData!$M$197),"",ReferenceData!$M$197),"")</x:f>
        <x:v>0.284329</x:v>
      </x:c>
      <x:c r="N197">
        <x:f ca="1">IFERROR(IF(0=LEN(ReferenceData!$N$197),"",ReferenceData!$N$197),"")</x:f>
        <x:v>1.411287</x:v>
      </x:c>
      <x:c r="O197">
        <x:f ca="1">IFERROR(IF(0=LEN(ReferenceData!$O$197),"",ReferenceData!$O$197),"")</x:f>
        <x:v>-30.816946999999999</x:v>
      </x:c>
      <x:c r="P197">
        <x:f ca="1">IFERROR(IF(0=LEN(ReferenceData!$P$197),"",ReferenceData!$P$197),"")</x:f>
        <x:v>4.5309169999999996</x:v>
      </x:c>
      <x:c r="Q197">
        <x:f ca="1">IFERROR(IF(0=LEN(ReferenceData!$Q$197),"",ReferenceData!$Q$197),"")</x:f>
        <x:v>-3.4870570000000001</x:v>
      </x:c>
      <x:c r="R197">
        <x:f ca="1">IFERROR(IF(0=LEN(ReferenceData!$R$197),"",ReferenceData!$R$197),"")</x:f>
        <x:v>24.571638</x:v>
      </x:c>
      <x:c r="S197">
        <x:f ca="1">IFERROR(IF(0=LEN(ReferenceData!$S$197),"",ReferenceData!$S$197),"")</x:f>
        <x:v>31.128788</x:v>
      </x:c>
    </x:row>
    <x:row r="198" spans="1:19" x14ac:dyDescent="0.25">
      <x:c r="A198" t="str">
        <x:f>IFERROR(IF(0=LEN(ReferenceData!$A$198),"",ReferenceData!$A$198),"")</x:f>
        <x:v xml:space="preserve">        FT Energy Income Partners Stra</x:v>
      </x:c>
      <x:c r="B198" t="str">
        <x:f>IFERROR(IF(0=LEN(ReferenceData!$B$198),"",ReferenceData!$B$198),"")</x:f>
        <x:v>EIPX US Equity</x:v>
      </x:c>
      <x:c r="C198" t="str">
        <x:f>IFERROR(IF(0=LEN(ReferenceData!$C$198),"",ReferenceData!$C$198),"")</x:f>
        <x:v/>
      </x:c>
      <x:c r="D198" t="str">
        <x:f>IFERROR(IF(0=LEN(ReferenceData!$D$198),"",ReferenceData!$D$198),"")</x:f>
        <x:v/>
      </x:c>
      <x:c r="E198" t="str">
        <x:f>IFERROR(IF(0=LEN(ReferenceData!$E$198),"",ReferenceData!$E$198),"")</x:f>
        <x:v>Expression</x:v>
      </x:c>
      <x:c r="F198">
        <x:f ca="1">IFERROR(IF(0=LEN(ReferenceData!$F$198),"",ReferenceData!$F$198),"")</x:f>
        <x:v>8.4177979999999994</x:v>
      </x:c>
      <x:c r="G198">
        <x:f ca="1">IFERROR(IF(0=LEN(ReferenceData!$G$198),"",ReferenceData!$G$198),"")</x:f>
        <x:v>60.394528000000001</x:v>
      </x:c>
      <x:c r="H198">
        <x:f ca="1">IFERROR(IF(0=LEN(ReferenceData!$H$198),"",ReferenceData!$H$198),"")</x:f>
        <x:v>6.427956</x:v>
      </x:c>
      <x:c r="I198">
        <x:f ca="1">IFERROR(IF(0=LEN(ReferenceData!$I$198),"",ReferenceData!$I$198),"")</x:f>
        <x:v>4.1911399999999999</x:v>
      </x:c>
      <x:c r="J198">
        <x:f ca="1">IFERROR(IF(0=LEN(ReferenceData!$J$198),"",ReferenceData!$J$198),"")</x:f>
        <x:v>-1.7000000000000001E-2</x:v>
      </x:c>
      <x:c r="K198">
        <x:f ca="1">IFERROR(IF(0=LEN(ReferenceData!$K$198),"",ReferenceData!$K$198),"")</x:f>
        <x:v>4.9749999999999996</x:v>
      </x:c>
      <x:c r="L198">
        <x:f ca="1">IFERROR(IF(0=LEN(ReferenceData!$L$198),"",ReferenceData!$L$198),"")</x:f>
        <x:v>11.864000000000001</x:v>
      </x:c>
      <x:c r="M198">
        <x:f ca="1">IFERROR(IF(0=LEN(ReferenceData!$M$198),"",ReferenceData!$M$198),"")</x:f>
        <x:v>2.0619999999999998</x:v>
      </x:c>
      <x:c r="N198">
        <x:f ca="1">IFERROR(IF(0=LEN(ReferenceData!$N$198),"",ReferenceData!$N$198),"")</x:f>
        <x:v>3.8664999999999998</x:v>
      </x:c>
      <x:c r="O198">
        <x:f ca="1">IFERROR(IF(0=LEN(ReferenceData!$O$198),"",ReferenceData!$O$198),"")</x:f>
        <x:v>9.23</x:v>
      </x:c>
      <x:c r="P198">
        <x:f ca="1">IFERROR(IF(0=LEN(ReferenceData!$P$198),"",ReferenceData!$P$198),"")</x:f>
        <x:v>15.904828</x:v>
      </x:c>
      <x:c r="Q198">
        <x:f ca="1">IFERROR(IF(0=LEN(ReferenceData!$Q$198),"",ReferenceData!$Q$198),"")</x:f>
        <x:v>1.964764</x:v>
      </x:c>
      <x:c r="R198">
        <x:f ca="1">IFERROR(IF(0=LEN(ReferenceData!$R$198),"",ReferenceData!$R$198),"")</x:f>
        <x:v>85.285608999999994</x:v>
      </x:c>
      <x:c r="S198" t="str">
        <x:f ca="1">IFERROR(IF(0=LEN(ReferenceData!$S$198),"",ReferenceData!$S$198),"")</x:f>
        <x:v/>
      </x:c>
    </x:row>
    <x:row r="199" spans="1:19" x14ac:dyDescent="0.25">
      <x:c r="A199" t="str">
        <x:f>IFERROR(IF(0=LEN(ReferenceData!$A$199),"",ReferenceData!$A$199),"")</x:f>
        <x:v xml:space="preserve">        Horizon Kinetics Energy Remedi</x:v>
      </x:c>
      <x:c r="B199" t="str">
        <x:f>IFERROR(IF(0=LEN(ReferenceData!$B$199),"",ReferenceData!$B$199),"")</x:f>
        <x:v>NVIR US Equity</x:v>
      </x:c>
      <x:c r="C199" t="str">
        <x:f>IFERROR(IF(0=LEN(ReferenceData!$C$199),"",ReferenceData!$C$199),"")</x:f>
        <x:v/>
      </x:c>
      <x:c r="D199" t="str">
        <x:f>IFERROR(IF(0=LEN(ReferenceData!$D$199),"",ReferenceData!$D$199),"")</x:f>
        <x:v/>
      </x:c>
      <x:c r="E199" t="str">
        <x:f>IFERROR(IF(0=LEN(ReferenceData!$E$199),"",ReferenceData!$E$199),"")</x:f>
        <x:v>Expression</x:v>
      </x:c>
      <x:c r="F199">
        <x:f ca="1">IFERROR(IF(0=LEN(ReferenceData!$F$199),"",ReferenceData!$F$199),"")</x:f>
        <x:v>0</x:v>
      </x:c>
      <x:c r="G199">
        <x:f ca="1">IFERROR(IF(0=LEN(ReferenceData!$G$199),"",ReferenceData!$G$199),"")</x:f>
        <x:v>-1.3019400000000001</x:v>
      </x:c>
      <x:c r="H199">
        <x:f ca="1">IFERROR(IF(0=LEN(ReferenceData!$H$199),"",ReferenceData!$H$199),"")</x:f>
        <x:v>2.0240320000000001</x:v>
      </x:c>
      <x:c r="I199">
        <x:f ca="1">IFERROR(IF(0=LEN(ReferenceData!$I$199),"",ReferenceData!$I$199),"")</x:f>
        <x:v>0</x:v>
      </x:c>
      <x:c r="J199">
        <x:f ca="1">IFERROR(IF(0=LEN(ReferenceData!$J$199),"",ReferenceData!$J$199),"")</x:f>
        <x:v>0</x:v>
      </x:c>
      <x:c r="K199">
        <x:f ca="1">IFERROR(IF(0=LEN(ReferenceData!$K$199),"",ReferenceData!$K$199),"")</x:f>
        <x:v>0</x:v>
      </x:c>
      <x:c r="L199">
        <x:f ca="1">IFERROR(IF(0=LEN(ReferenceData!$L$199),"",ReferenceData!$L$199),"")</x:f>
        <x:v>0</x:v>
      </x:c>
      <x:c r="M199">
        <x:f ca="1">IFERROR(IF(0=LEN(ReferenceData!$M$199),"",ReferenceData!$M$199),"")</x:f>
        <x:v>0</x:v>
      </x:c>
      <x:c r="N199">
        <x:f ca="1">IFERROR(IF(0=LEN(ReferenceData!$N$199),"",ReferenceData!$N$199),"")</x:f>
        <x:v>1.2094100000000001</x:v>
      </x:c>
      <x:c r="O199">
        <x:f ca="1">IFERROR(IF(0=LEN(ReferenceData!$O$199),"",ReferenceData!$O$199),"")</x:f>
        <x:v>0</x:v>
      </x:c>
      <x:c r="P199" t="str">
        <x:f ca="1">IFERROR(IF(0=LEN(ReferenceData!$P$199),"",ReferenceData!$P$199),"")</x:f>
        <x:v/>
      </x:c>
      <x:c r="Q199" t="str">
        <x:f ca="1">IFERROR(IF(0=LEN(ReferenceData!$Q$199),"",ReferenceData!$Q$199),"")</x:f>
        <x:v/>
      </x:c>
      <x:c r="R199" t="str">
        <x:f ca="1">IFERROR(IF(0=LEN(ReferenceData!$R$199),"",ReferenceData!$R$199),"")</x:f>
        <x:v/>
      </x:c>
      <x:c r="S199" t="str">
        <x:f ca="1">IFERROR(IF(0=LEN(ReferenceData!$S$199),"",ReferenceData!$S$199),"")</x:f>
        <x:v/>
      </x:c>
    </x:row>
    <x:row r="200" spans="1:19" x14ac:dyDescent="0.25">
      <x:c r="A200" t="str">
        <x:f>IFERROR(IF(0=LEN(ReferenceData!$A$200),"",ReferenceData!$A$200),"")</x:f>
        <x:v xml:space="preserve">        Trueshares Eagle Global Renewa</x:v>
      </x:c>
      <x:c r="B200" t="str">
        <x:f>IFERROR(IF(0=LEN(ReferenceData!$B$200),"",ReferenceData!$B$200),"")</x:f>
        <x:v>RNWZ US Equity</x:v>
      </x:c>
      <x:c r="C200" t="str">
        <x:f>IFERROR(IF(0=LEN(ReferenceData!$C$200),"",ReferenceData!$C$200),"")</x:f>
        <x:v/>
      </x:c>
      <x:c r="D200" t="str">
        <x:f>IFERROR(IF(0=LEN(ReferenceData!$D$200),"",ReferenceData!$D$200),"")</x:f>
        <x:v/>
      </x:c>
      <x:c r="E200" t="str">
        <x:f>IFERROR(IF(0=LEN(ReferenceData!$E$200),"",ReferenceData!$E$200),"")</x:f>
        <x:v>Expression</x:v>
      </x:c>
      <x:c r="F200">
        <x:f ca="1">IFERROR(IF(0=LEN(ReferenceData!$F$200),"",ReferenceData!$F$200),"")</x:f>
        <x:v>0</x:v>
      </x:c>
      <x:c r="G200">
        <x:f ca="1">IFERROR(IF(0=LEN(ReferenceData!$G$200),"",ReferenceData!$G$200),"")</x:f>
        <x:v>0</x:v>
      </x:c>
      <x:c r="H200">
        <x:f ca="1">IFERROR(IF(0=LEN(ReferenceData!$H$200),"",ReferenceData!$H$200),"")</x:f>
        <x:v>0</x:v>
      </x:c>
      <x:c r="I200">
        <x:f ca="1">IFERROR(IF(0=LEN(ReferenceData!$I$200),"",ReferenceData!$I$200),"")</x:f>
        <x:v>-0.23359099999999999</x:v>
      </x:c>
      <x:c r="J200">
        <x:f ca="1">IFERROR(IF(0=LEN(ReferenceData!$J$200),"",ReferenceData!$J$200),"")</x:f>
        <x:v>0</x:v>
      </x:c>
      <x:c r="K200">
        <x:f ca="1">IFERROR(IF(0=LEN(ReferenceData!$K$200),"",ReferenceData!$K$200),"")</x:f>
        <x:v>0.48567300000000002</x:v>
      </x:c>
      <x:c r="L200">
        <x:f ca="1">IFERROR(IF(0=LEN(ReferenceData!$L$200),"",ReferenceData!$L$200),"")</x:f>
        <x:v>0</x:v>
      </x:c>
      <x:c r="M200">
        <x:f ca="1">IFERROR(IF(0=LEN(ReferenceData!$M$200),"",ReferenceData!$M$200),"")</x:f>
        <x:v>0</x:v>
      </x:c>
      <x:c r="N200">
        <x:f ca="1">IFERROR(IF(0=LEN(ReferenceData!$N$200),"",ReferenceData!$N$200),"")</x:f>
        <x:v>0</x:v>
      </x:c>
      <x:c r="O200">
        <x:f ca="1">IFERROR(IF(0=LEN(ReferenceData!$O$200),"",ReferenceData!$O$200),"")</x:f>
        <x:v>0</x:v>
      </x:c>
      <x:c r="P200">
        <x:f ca="1">IFERROR(IF(0=LEN(ReferenceData!$P$200),"",ReferenceData!$P$200),"")</x:f>
        <x:v>0</x:v>
      </x:c>
      <x:c r="Q200">
        <x:f ca="1">IFERROR(IF(0=LEN(ReferenceData!$Q$200),"",ReferenceData!$Q$200),"")</x:f>
        <x:v>2.4950800000000002</x:v>
      </x:c>
      <x:c r="R200" t="str">
        <x:f ca="1">IFERROR(IF(0=LEN(ReferenceData!$R$200),"",ReferenceData!$R$200),"")</x:f>
        <x:v/>
      </x:c>
      <x:c r="S200" t="str">
        <x:f ca="1">IFERROR(IF(0=LEN(ReferenceData!$S$200),"",ReferenceData!$S$200),"")</x:f>
        <x:v/>
      </x:c>
    </x:row>
    <x:row r="201" spans="1:19" x14ac:dyDescent="0.25">
      <x:c r="A201" t="str">
        <x:f>IFERROR(IF(0=LEN(ReferenceData!$A$201),"",ReferenceData!$A$201),"")</x:f>
        <x:v xml:space="preserve">        Innovator Hedged TSLA ETF</x:v>
      </x:c>
      <x:c r="B201" t="str">
        <x:f>IFERROR(IF(0=LEN(ReferenceData!$B$201),"",ReferenceData!$B$201),"")</x:f>
        <x:v>TSLH US Equity</x:v>
      </x:c>
      <x:c r="C201" t="str">
        <x:f>IFERROR(IF(0=LEN(ReferenceData!$C$201),"",ReferenceData!$C$201),"")</x:f>
        <x:v/>
      </x:c>
      <x:c r="D201" t="str">
        <x:f>IFERROR(IF(0=LEN(ReferenceData!$D$201),"",ReferenceData!$D$201),"")</x:f>
        <x:v/>
      </x:c>
      <x:c r="E201" t="str">
        <x:f>IFERROR(IF(0=LEN(ReferenceData!$E$201),"",ReferenceData!$E$201),"")</x:f>
        <x:v>Expression</x:v>
      </x:c>
      <x:c r="F201">
        <x:f ca="1">IFERROR(IF(0=LEN(ReferenceData!$F$201),"",ReferenceData!$F$201),"")</x:f>
        <x:v>0</x:v>
      </x:c>
      <x:c r="G201">
        <x:f ca="1">IFERROR(IF(0=LEN(ReferenceData!$G$201),"",ReferenceData!$G$201),"")</x:f>
        <x:v>0</x:v>
      </x:c>
      <x:c r="H201">
        <x:f ca="1">IFERROR(IF(0=LEN(ReferenceData!$H$201),"",ReferenceData!$H$201),"")</x:f>
        <x:v>0</x:v>
      </x:c>
      <x:c r="I201">
        <x:f ca="1">IFERROR(IF(0=LEN(ReferenceData!$I$201),"",ReferenceData!$I$201),"")</x:f>
        <x:v>0</x:v>
      </x:c>
      <x:c r="J201">
        <x:f ca="1">IFERROR(IF(0=LEN(ReferenceData!$J$201),"",ReferenceData!$J$201),"")</x:f>
        <x:v>0</x:v>
      </x:c>
      <x:c r="K201">
        <x:f ca="1">IFERROR(IF(0=LEN(ReferenceData!$K$201),"",ReferenceData!$K$201),"")</x:f>
        <x:v>0</x:v>
      </x:c>
      <x:c r="L201">
        <x:f ca="1">IFERROR(IF(0=LEN(ReferenceData!$L$201),"",ReferenceData!$L$201),"")</x:f>
        <x:v>0</x:v>
      </x:c>
      <x:c r="M201">
        <x:f ca="1">IFERROR(IF(0=LEN(ReferenceData!$M$201),"",ReferenceData!$M$201),"")</x:f>
        <x:v>0</x:v>
      </x:c>
      <x:c r="N201">
        <x:f ca="1">IFERROR(IF(0=LEN(ReferenceData!$N$201),"",ReferenceData!$N$201),"")</x:f>
        <x:v>-0.47692000000000001</x:v>
      </x:c>
      <x:c r="O201">
        <x:f ca="1">IFERROR(IF(0=LEN(ReferenceData!$O$201),"",ReferenceData!$O$201),"")</x:f>
        <x:v>0</x:v>
      </x:c>
      <x:c r="P201">
        <x:f ca="1">IFERROR(IF(0=LEN(ReferenceData!$P$201),"",ReferenceData!$P$201),"")</x:f>
        <x:v>0</x:v>
      </x:c>
      <x:c r="Q201">
        <x:f ca="1">IFERROR(IF(0=LEN(ReferenceData!$Q$201),"",ReferenceData!$Q$201),"")</x:f>
        <x:v>0</x:v>
      </x:c>
      <x:c r="R201">
        <x:f ca="1">IFERROR(IF(0=LEN(ReferenceData!$R$201),"",ReferenceData!$R$201),"")</x:f>
        <x:v>0</x:v>
      </x:c>
      <x:c r="S201">
        <x:f ca="1">IFERROR(IF(0=LEN(ReferenceData!$S$201),"",ReferenceData!$S$201),"")</x:f>
        <x:v>0</x:v>
      </x:c>
    </x:row>
    <x:row r="202" spans="1:19" x14ac:dyDescent="0.25">
      <x:c r="A202" t="str">
        <x:f>IFERROR(IF(0=LEN(ReferenceData!$A$202),"",ReferenceData!$A$202),"")</x:f>
        <x:v xml:space="preserve">        AXS TSLA Bear Daily ETF</x:v>
      </x:c>
      <x:c r="B202" t="str">
        <x:f>IFERROR(IF(0=LEN(ReferenceData!$B$202),"",ReferenceData!$B$202),"")</x:f>
        <x:v>TSLQ US Equity</x:v>
      </x:c>
      <x:c r="C202" t="str">
        <x:f>IFERROR(IF(0=LEN(ReferenceData!$C$202),"",ReferenceData!$C$202),"")</x:f>
        <x:v/>
      </x:c>
      <x:c r="D202" t="str">
        <x:f>IFERROR(IF(0=LEN(ReferenceData!$D$202),"",ReferenceData!$D$202),"")</x:f>
        <x:v/>
      </x:c>
      <x:c r="E202" t="str">
        <x:f>IFERROR(IF(0=LEN(ReferenceData!$E$202),"",ReferenceData!$E$202),"")</x:f>
        <x:v>Expression</x:v>
      </x:c>
      <x:c r="F202">
        <x:f ca="1">IFERROR(IF(0=LEN(ReferenceData!$F$202),"",ReferenceData!$F$202),"")</x:f>
        <x:v>-23.727969999999999</x:v>
      </x:c>
      <x:c r="G202">
        <x:f ca="1">IFERROR(IF(0=LEN(ReferenceData!$G$202),"",ReferenceData!$G$202),"")</x:f>
        <x:v>8.5633569999999999</x:v>
      </x:c>
      <x:c r="H202">
        <x:f ca="1">IFERROR(IF(0=LEN(ReferenceData!$H$202),"",ReferenceData!$H$202),"")</x:f>
        <x:v>2.733403</x:v>
      </x:c>
      <x:c r="I202">
        <x:f ca="1">IFERROR(IF(0=LEN(ReferenceData!$I$202),"",ReferenceData!$I$202),"")</x:f>
        <x:v>-33.229725000000002</x:v>
      </x:c>
      <x:c r="J202">
        <x:f ca="1">IFERROR(IF(0=LEN(ReferenceData!$J$202),"",ReferenceData!$J$202),"")</x:f>
        <x:v>11.413444999999999</x:v>
      </x:c>
      <x:c r="K202">
        <x:f ca="1">IFERROR(IF(0=LEN(ReferenceData!$K$202),"",ReferenceData!$K$202),"")</x:f>
        <x:v>46.335312000000002</x:v>
      </x:c>
      <x:c r="L202">
        <x:f ca="1">IFERROR(IF(0=LEN(ReferenceData!$L$202),"",ReferenceData!$L$202),"")</x:f>
        <x:v>-15.683705</x:v>
      </x:c>
      <x:c r="M202">
        <x:f ca="1">IFERROR(IF(0=LEN(ReferenceData!$M$202),"",ReferenceData!$M$202),"")</x:f>
        <x:v>-4.1989039999999997</x:v>
      </x:c>
      <x:c r="N202">
        <x:f ca="1">IFERROR(IF(0=LEN(ReferenceData!$N$202),"",ReferenceData!$N$202),"")</x:f>
        <x:v>-85.718109999999996</x:v>
      </x:c>
      <x:c r="O202">
        <x:f ca="1">IFERROR(IF(0=LEN(ReferenceData!$O$202),"",ReferenceData!$O$202),"")</x:f>
        <x:v>40.531875999999997</x:v>
      </x:c>
      <x:c r="P202">
        <x:f ca="1">IFERROR(IF(0=LEN(ReferenceData!$P$202),"",ReferenceData!$P$202),"")</x:f>
        <x:v>132.30157800000001</x:v>
      </x:c>
      <x:c r="Q202">
        <x:f ca="1">IFERROR(IF(0=LEN(ReferenceData!$Q$202),"",ReferenceData!$Q$202),"")</x:f>
        <x:v>7.0920740000000002</x:v>
      </x:c>
      <x:c r="R202">
        <x:f ca="1">IFERROR(IF(0=LEN(ReferenceData!$R$202),"",ReferenceData!$R$202),"")</x:f>
        <x:v>0.70092500000000002</x:v>
      </x:c>
      <x:c r="S202">
        <x:f ca="1">IFERROR(IF(0=LEN(ReferenceData!$S$202),"",ReferenceData!$S$202),"")</x:f>
        <x:v>-19.231672</x:v>
      </x:c>
    </x:row>
    <x:row r="203" spans="1:19" x14ac:dyDescent="0.25">
      <x:c r="A203" t="str">
        <x:f>IFERROR(IF(0=LEN(ReferenceData!$A$203),"",ReferenceData!$A$203),"")</x:f>
        <x:v xml:space="preserve">        MicroSectors Energy -3X Invers</x:v>
      </x:c>
      <x:c r="B203" t="str">
        <x:f>IFERROR(IF(0=LEN(ReferenceData!$B$203),"",ReferenceData!$B$203),"")</x:f>
        <x:v>WTID US Equity</x:v>
      </x:c>
      <x:c r="C203" t="str">
        <x:f>IFERROR(IF(0=LEN(ReferenceData!$C$203),"",ReferenceData!$C$203),"")</x:f>
        <x:v/>
      </x:c>
      <x:c r="D203" t="str">
        <x:f>IFERROR(IF(0=LEN(ReferenceData!$D$203),"",ReferenceData!$D$203),"")</x:f>
        <x:v/>
      </x:c>
      <x:c r="E203" t="str">
        <x:f>IFERROR(IF(0=LEN(ReferenceData!$E$203),"",ReferenceData!$E$203),"")</x:f>
        <x:v>Expression</x:v>
      </x:c>
      <x:c r="F203">
        <x:f ca="1">IFERROR(IF(0=LEN(ReferenceData!$F$203),"",ReferenceData!$F$203),"")</x:f>
        <x:v>0</x:v>
      </x:c>
      <x:c r="G203">
        <x:f ca="1">IFERROR(IF(0=LEN(ReferenceData!$G$203),"",ReferenceData!$G$203),"")</x:f>
        <x:v>0</x:v>
      </x:c>
      <x:c r="H203">
        <x:f ca="1">IFERROR(IF(0=LEN(ReferenceData!$H$203),"",ReferenceData!$H$203),"")</x:f>
        <x:v>0</x:v>
      </x:c>
      <x:c r="I203">
        <x:f ca="1">IFERROR(IF(0=LEN(ReferenceData!$I$203),"",ReferenceData!$I$203),"")</x:f>
        <x:v>0</x:v>
      </x:c>
      <x:c r="J203">
        <x:f ca="1">IFERROR(IF(0=LEN(ReferenceData!$J$203),"",ReferenceData!$J$203),"")</x:f>
        <x:v>0</x:v>
      </x:c>
      <x:c r="K203">
        <x:f ca="1">IFERROR(IF(0=LEN(ReferenceData!$K$203),"",ReferenceData!$K$203),"")</x:f>
        <x:v>0</x:v>
      </x:c>
      <x:c r="L203">
        <x:f ca="1">IFERROR(IF(0=LEN(ReferenceData!$L$203),"",ReferenceData!$L$203),"")</x:f>
        <x:v>0</x:v>
      </x:c>
      <x:c r="M203">
        <x:f ca="1">IFERROR(IF(0=LEN(ReferenceData!$M$203),"",ReferenceData!$M$203),"")</x:f>
        <x:v>0</x:v>
      </x:c>
      <x:c r="N203">
        <x:f ca="1">IFERROR(IF(0=LEN(ReferenceData!$N$203),"",ReferenceData!$N$203),"")</x:f>
        <x:v>0</x:v>
      </x:c>
      <x:c r="O203">
        <x:f ca="1">IFERROR(IF(0=LEN(ReferenceData!$O$203),"",ReferenceData!$O$203),"")</x:f>
        <x:v>0</x:v>
      </x:c>
      <x:c r="P203" t="str">
        <x:f ca="1">IFERROR(IF(0=LEN(ReferenceData!$P$203),"",ReferenceData!$P$203),"")</x:f>
        <x:v/>
      </x:c>
      <x:c r="Q203" t="str">
        <x:f ca="1">IFERROR(IF(0=LEN(ReferenceData!$Q$203),"",ReferenceData!$Q$203),"")</x:f>
        <x:v/>
      </x:c>
      <x:c r="R203" t="str">
        <x:f ca="1">IFERROR(IF(0=LEN(ReferenceData!$R$203),"",ReferenceData!$R$203),"")</x:f>
        <x:v/>
      </x:c>
      <x:c r="S203" t="str">
        <x:f ca="1">IFERROR(IF(0=LEN(ReferenceData!$S$203),"",ReferenceData!$S$203),"")</x:f>
        <x:v/>
      </x:c>
    </x:row>
    <x:row r="204" spans="1:19" x14ac:dyDescent="0.25">
      <x:c r="A204" t="str">
        <x:f>IFERROR(IF(0=LEN(ReferenceData!$A$204),"",ReferenceData!$A$204),"")</x:f>
        <x:v xml:space="preserve">        MicroSectors Energy 3X Leverag</x:v>
      </x:c>
      <x:c r="B204" t="str">
        <x:f>IFERROR(IF(0=LEN(ReferenceData!$B$204),"",ReferenceData!$B$204),"")</x:f>
        <x:v>WTIU US Equity</x:v>
      </x:c>
      <x:c r="C204" t="str">
        <x:f>IFERROR(IF(0=LEN(ReferenceData!$C$204),"",ReferenceData!$C$204),"")</x:f>
        <x:v/>
      </x:c>
      <x:c r="D204" t="str">
        <x:f>IFERROR(IF(0=LEN(ReferenceData!$D$204),"",ReferenceData!$D$204),"")</x:f>
        <x:v/>
      </x:c>
      <x:c r="E204" t="str">
        <x:f>IFERROR(IF(0=LEN(ReferenceData!$E$204),"",ReferenceData!$E$204),"")</x:f>
        <x:v>Expression</x:v>
      </x:c>
      <x:c r="F204">
        <x:f ca="1">IFERROR(IF(0=LEN(ReferenceData!$F$204),"",ReferenceData!$F$204),"")</x:f>
        <x:v>0</x:v>
      </x:c>
      <x:c r="G204">
        <x:f ca="1">IFERROR(IF(0=LEN(ReferenceData!$G$204),"",ReferenceData!$G$204),"")</x:f>
        <x:v>0</x:v>
      </x:c>
      <x:c r="H204">
        <x:f ca="1">IFERROR(IF(0=LEN(ReferenceData!$H$204),"",ReferenceData!$H$204),"")</x:f>
        <x:v>0</x:v>
      </x:c>
      <x:c r="I204">
        <x:f ca="1">IFERROR(IF(0=LEN(ReferenceData!$I$204),"",ReferenceData!$I$204),"")</x:f>
        <x:v>0</x:v>
      </x:c>
      <x:c r="J204">
        <x:f ca="1">IFERROR(IF(0=LEN(ReferenceData!$J$204),"",ReferenceData!$J$204),"")</x:f>
        <x:v>0</x:v>
      </x:c>
      <x:c r="K204">
        <x:f ca="1">IFERROR(IF(0=LEN(ReferenceData!$K$204),"",ReferenceData!$K$204),"")</x:f>
        <x:v>0</x:v>
      </x:c>
      <x:c r="L204">
        <x:f ca="1">IFERROR(IF(0=LEN(ReferenceData!$L$204),"",ReferenceData!$L$204),"")</x:f>
        <x:v>0</x:v>
      </x:c>
      <x:c r="M204">
        <x:f ca="1">IFERROR(IF(0=LEN(ReferenceData!$M$204),"",ReferenceData!$M$204),"")</x:f>
        <x:v>0</x:v>
      </x:c>
      <x:c r="N204">
        <x:f ca="1">IFERROR(IF(0=LEN(ReferenceData!$N$204),"",ReferenceData!$N$204),"")</x:f>
        <x:v>0</x:v>
      </x:c>
      <x:c r="O204">
        <x:f ca="1">IFERROR(IF(0=LEN(ReferenceData!$O$204),"",ReferenceData!$O$204),"")</x:f>
        <x:v>0</x:v>
      </x:c>
      <x:c r="P204" t="str">
        <x:f ca="1">IFERROR(IF(0=LEN(ReferenceData!$P$204),"",ReferenceData!$P$204),"")</x:f>
        <x:v/>
      </x:c>
      <x:c r="Q204" t="str">
        <x:f ca="1">IFERROR(IF(0=LEN(ReferenceData!$Q$204),"",ReferenceData!$Q$204),"")</x:f>
        <x:v/>
      </x:c>
      <x:c r="R204" t="str">
        <x:f ca="1">IFERROR(IF(0=LEN(ReferenceData!$R$204),"",ReferenceData!$R$204),"")</x:f>
        <x:v/>
      </x:c>
      <x:c r="S204" t="str">
        <x:f ca="1">IFERROR(IF(0=LEN(ReferenceData!$S$204),"",ReferenceData!$S$204),"")</x:f>
        <x:v/>
      </x:c>
    </x:row>
    <x:row r="205" spans="1:19" x14ac:dyDescent="0.25">
      <x:c r="A205" t="str">
        <x:f>IFERROR(IF(0=LEN(ReferenceData!$A$205),"",ReferenceData!$A$205),"")</x:f>
        <x:v xml:space="preserve">    Financial</x:v>
      </x:c>
      <x:c r="B205" t="str">
        <x:f>IFERROR(IF(0=LEN(ReferenceData!$B$205),"",ReferenceData!$B$205),"")</x:f>
        <x:v/>
      </x:c>
      <x:c r="C205" t="str">
        <x:f>IFERROR(IF(0=LEN(ReferenceData!$C$205),"",ReferenceData!$C$205),"")</x:f>
        <x:v/>
      </x:c>
      <x:c r="D205" t="str">
        <x:f>IFERROR(IF(0=LEN(ReferenceData!$D$205),"",ReferenceData!$D$205),"")</x:f>
        <x:v/>
      </x:c>
      <x:c r="E205" t="str">
        <x:f>IFERROR(IF(0=LEN(ReferenceData!$E$205),"",ReferenceData!$E$205),"")</x:f>
        <x:v>Sum</x:v>
      </x:c>
      <x:c r="F205">
        <x:f ca="1">IFERROR(IF(0=LEN(ReferenceData!$F$205),"",ReferenceData!$F$205),"")</x:f>
        <x:v>837.89880799999992</x:v>
      </x:c>
      <x:c r="G205">
        <x:f ca="1">IFERROR(IF(0=LEN(ReferenceData!$G$205),"",ReferenceData!$G$205),"")</x:f>
        <x:v>-3602.0959679999992</x:v>
      </x:c>
      <x:c r="H205">
        <x:f ca="1">IFERROR(IF(0=LEN(ReferenceData!$H$205),"",ReferenceData!$H$205),"")</x:f>
        <x:v>-1879.3502660000004</x:v>
      </x:c>
      <x:c r="I205">
        <x:f ca="1">IFERROR(IF(0=LEN(ReferenceData!$I$205),"",ReferenceData!$I$205),"")</x:f>
        <x:v>-2493.7900939999995</x:v>
      </x:c>
      <x:c r="J205">
        <x:f ca="1">IFERROR(IF(0=LEN(ReferenceData!$J$205),"",ReferenceData!$J$205),"")</x:f>
        <x:v>2367.8581100000001</x:v>
      </x:c>
      <x:c r="K205">
        <x:f ca="1">IFERROR(IF(0=LEN(ReferenceData!$K$205),"",ReferenceData!$K$205),"")</x:f>
        <x:v>1710.4432540000003</x:v>
      </x:c>
      <x:c r="L205">
        <x:f ca="1">IFERROR(IF(0=LEN(ReferenceData!$L$205),"",ReferenceData!$L$205),"")</x:f>
        <x:v>-2486.7793949999991</x:v>
      </x:c>
      <x:c r="M205">
        <x:f ca="1">IFERROR(IF(0=LEN(ReferenceData!$M$205),"",ReferenceData!$M$205),"")</x:f>
        <x:v>1756.4726970000004</x:v>
      </x:c>
      <x:c r="N205">
        <x:f ca="1">IFERROR(IF(0=LEN(ReferenceData!$N$205),"",ReferenceData!$N$205),"")</x:f>
        <x:v>18.868501000000176</x:v>
      </x:c>
      <x:c r="O205">
        <x:f ca="1">IFERROR(IF(0=LEN(ReferenceData!$O$205),"",ReferenceData!$O$205),"")</x:f>
        <x:v>1646.5106760000001</x:v>
      </x:c>
      <x:c r="P205">
        <x:f ca="1">IFERROR(IF(0=LEN(ReferenceData!$P$205),"",ReferenceData!$P$205),"")</x:f>
        <x:v>-135.07372799999993</x:v>
      </x:c>
      <x:c r="Q205">
        <x:f ca="1">IFERROR(IF(0=LEN(ReferenceData!$Q$205),"",ReferenceData!$Q$205),"")</x:f>
        <x:v>-1658.9968210000004</x:v>
      </x:c>
      <x:c r="R205">
        <x:f ca="1">IFERROR(IF(0=LEN(ReferenceData!$R$205),"",ReferenceData!$R$205),"")</x:f>
        <x:v>162.07098699999995</x:v>
      </x:c>
      <x:c r="S205">
        <x:f ca="1">IFERROR(IF(0=LEN(ReferenceData!$S$205),"",ReferenceData!$S$205),"")</x:f>
        <x:v>1364.5086769999996</x:v>
      </x:c>
    </x:row>
    <x:row r="206" spans="1:19" x14ac:dyDescent="0.25">
      <x:c r="A206" t="str">
        <x:f>IFERROR(IF(0=LEN(ReferenceData!$A$206),"",ReferenceData!$A$206),"")</x:f>
        <x:v xml:space="preserve">        Financial Select Sector SPDR F</x:v>
      </x:c>
      <x:c r="B206" t="str">
        <x:f>IFERROR(IF(0=LEN(ReferenceData!$B$206),"",ReferenceData!$B$206),"")</x:f>
        <x:v>XLF US Equity</x:v>
      </x:c>
      <x:c r="C206" t="str">
        <x:f>IFERROR(IF(0=LEN(ReferenceData!$C$206),"",ReferenceData!$C$206),"")</x:f>
        <x:v/>
      </x:c>
      <x:c r="D206" t="str">
        <x:f>IFERROR(IF(0=LEN(ReferenceData!$D$206),"",ReferenceData!$D$206),"")</x:f>
        <x:v/>
      </x:c>
      <x:c r="E206" t="str">
        <x:f>IFERROR(IF(0=LEN(ReferenceData!$E$206),"",ReferenceData!$E$206),"")</x:f>
        <x:v>Expression</x:v>
      </x:c>
      <x:c r="F206">
        <x:f ca="1">IFERROR(IF(0=LEN(ReferenceData!$F$206),"",ReferenceData!$F$206),"")</x:f>
        <x:v>536.72005300000001</x:v>
      </x:c>
      <x:c r="G206">
        <x:f ca="1">IFERROR(IF(0=LEN(ReferenceData!$G$206),"",ReferenceData!$G$206),"")</x:f>
        <x:v>-2082.9097769999998</x:v>
      </x:c>
      <x:c r="H206">
        <x:f ca="1">IFERROR(IF(0=LEN(ReferenceData!$H$206),"",ReferenceData!$H$206),"")</x:f>
        <x:v>-1495.6664430000001</x:v>
      </x:c>
      <x:c r="I206">
        <x:f ca="1">IFERROR(IF(0=LEN(ReferenceData!$I$206),"",ReferenceData!$I$206),"")</x:f>
        <x:v>-1834.9660100000001</x:v>
      </x:c>
      <x:c r="J206">
        <x:f ca="1">IFERROR(IF(0=LEN(ReferenceData!$J$206),"",ReferenceData!$J$206),"")</x:f>
        <x:v>1855.5535279999999</x:v>
      </x:c>
      <x:c r="K206">
        <x:f ca="1">IFERROR(IF(0=LEN(ReferenceData!$K$206),"",ReferenceData!$K$206),"")</x:f>
        <x:v>2161.6714889999998</x:v>
      </x:c>
      <x:c r="L206">
        <x:f ca="1">IFERROR(IF(0=LEN(ReferenceData!$L$206),"",ReferenceData!$L$206),"")</x:f>
        <x:v>-2437.9843519999999</x:v>
      </x:c>
      <x:c r="M206">
        <x:f ca="1">IFERROR(IF(0=LEN(ReferenceData!$M$206),"",ReferenceData!$M$206),"")</x:f>
        <x:v>1897.458329</x:v>
      </x:c>
      <x:c r="N206">
        <x:f ca="1">IFERROR(IF(0=LEN(ReferenceData!$N$206),"",ReferenceData!$N$206),"")</x:f>
        <x:v>-590.36823300000003</x:v>
      </x:c>
      <x:c r="O206">
        <x:f ca="1">IFERROR(IF(0=LEN(ReferenceData!$O$206),"",ReferenceData!$O$206),"")</x:f>
        <x:v>560.574883</x:v>
      </x:c>
      <x:c r="P206">
        <x:f ca="1">IFERROR(IF(0=LEN(ReferenceData!$P$206),"",ReferenceData!$P$206),"")</x:f>
        <x:v>228.42452</x:v>
      </x:c>
      <x:c r="Q206">
        <x:f ca="1">IFERROR(IF(0=LEN(ReferenceData!$Q$206),"",ReferenceData!$Q$206),"")</x:f>
        <x:v>-454.58709700000003</x:v>
      </x:c>
      <x:c r="R206">
        <x:f ca="1">IFERROR(IF(0=LEN(ReferenceData!$R$206),"",ReferenceData!$R$206),"")</x:f>
        <x:v>318.11667399999999</x:v>
      </x:c>
      <x:c r="S206">
        <x:f ca="1">IFERROR(IF(0=LEN(ReferenceData!$S$206),"",ReferenceData!$S$206),"")</x:f>
        <x:v>1021.459733</x:v>
      </x:c>
    </x:row>
    <x:row r="207" spans="1:19" x14ac:dyDescent="0.25">
      <x:c r="A207" t="str">
        <x:f>IFERROR(IF(0=LEN(ReferenceData!$A$207),"",ReferenceData!$A$207),"")</x:f>
        <x:v xml:space="preserve">        Vanguard Financials ETF</x:v>
      </x:c>
      <x:c r="B207" t="str">
        <x:f>IFERROR(IF(0=LEN(ReferenceData!$B$207),"",ReferenceData!$B$207),"")</x:f>
        <x:v>VFH US Equity</x:v>
      </x:c>
      <x:c r="C207" t="str">
        <x:f>IFERROR(IF(0=LEN(ReferenceData!$C$207),"",ReferenceData!$C$207),"")</x:f>
        <x:v/>
      </x:c>
      <x:c r="D207" t="str">
        <x:f>IFERROR(IF(0=LEN(ReferenceData!$D$207),"",ReferenceData!$D$207),"")</x:f>
        <x:v/>
      </x:c>
      <x:c r="E207" t="str">
        <x:f>IFERROR(IF(0=LEN(ReferenceData!$E$207),"",ReferenceData!$E$207),"")</x:f>
        <x:v>Expression</x:v>
      </x:c>
      <x:c r="F207">
        <x:f ca="1">IFERROR(IF(0=LEN(ReferenceData!$F$207),"",ReferenceData!$F$207),"")</x:f>
        <x:v>493.70336099999997</x:v>
      </x:c>
      <x:c r="G207">
        <x:f ca="1">IFERROR(IF(0=LEN(ReferenceData!$G$207),"",ReferenceData!$G$207),"")</x:f>
        <x:v>-813.37978999999996</x:v>
      </x:c>
      <x:c r="H207">
        <x:f ca="1">IFERROR(IF(0=LEN(ReferenceData!$H$207),"",ReferenceData!$H$207),"")</x:f>
        <x:v>-78.3</x:v>
      </x:c>
      <x:c r="I207">
        <x:f ca="1">IFERROR(IF(0=LEN(ReferenceData!$I$207),"",ReferenceData!$I$207),"")</x:f>
        <x:v>-26.032795</x:v>
      </x:c>
      <x:c r="J207">
        <x:f ca="1">IFERROR(IF(0=LEN(ReferenceData!$J$207),"",ReferenceData!$J$207),"")</x:f>
        <x:v>615.80840899999998</x:v>
      </x:c>
      <x:c r="K207">
        <x:f ca="1">IFERROR(IF(0=LEN(ReferenceData!$K$207),"",ReferenceData!$K$207),"")</x:f>
        <x:v>-233.57770300000001</x:v>
      </x:c>
      <x:c r="L207">
        <x:f ca="1">IFERROR(IF(0=LEN(ReferenceData!$L$207),"",ReferenceData!$L$207),"")</x:f>
        <x:v>181.015987</x:v>
      </x:c>
      <x:c r="M207">
        <x:f ca="1">IFERROR(IF(0=LEN(ReferenceData!$M$207),"",ReferenceData!$M$207),"")</x:f>
        <x:v>-16.407592999999999</x:v>
      </x:c>
      <x:c r="N207">
        <x:f ca="1">IFERROR(IF(0=LEN(ReferenceData!$N$207),"",ReferenceData!$N$207),"")</x:f>
        <x:v>-321.78125</x:v>
      </x:c>
      <x:c r="O207">
        <x:f ca="1">IFERROR(IF(0=LEN(ReferenceData!$O$207),"",ReferenceData!$O$207),"")</x:f>
        <x:v>-135.38433000000001</x:v>
      </x:c>
      <x:c r="P207">
        <x:f ca="1">IFERROR(IF(0=LEN(ReferenceData!$P$207),"",ReferenceData!$P$207),"")</x:f>
        <x:v>54.988999999999997</x:v>
      </x:c>
      <x:c r="Q207">
        <x:f ca="1">IFERROR(IF(0=LEN(ReferenceData!$Q$207),"",ReferenceData!$Q$207),"")</x:f>
        <x:v>-189.97125</x:v>
      </x:c>
      <x:c r="R207">
        <x:f ca="1">IFERROR(IF(0=LEN(ReferenceData!$R$207),"",ReferenceData!$R$207),"")</x:f>
        <x:v>-4.3817500000000003</x:v>
      </x:c>
      <x:c r="S207">
        <x:f ca="1">IFERROR(IF(0=LEN(ReferenceData!$S$207),"",ReferenceData!$S$207),"")</x:f>
        <x:v>-82.282917999999995</x:v>
      </x:c>
    </x:row>
    <x:row r="208" spans="1:19" x14ac:dyDescent="0.25">
      <x:c r="A208" t="str">
        <x:f>IFERROR(IF(0=LEN(ReferenceData!$A$208),"",ReferenceData!$A$208),"")</x:f>
        <x:v xml:space="preserve">        SPDR S&amp;P Regional Banking ETF</x:v>
      </x:c>
      <x:c r="B208" t="str">
        <x:f>IFERROR(IF(0=LEN(ReferenceData!$B$208),"",ReferenceData!$B$208),"")</x:f>
        <x:v>KRE US Equity</x:v>
      </x:c>
      <x:c r="C208" t="str">
        <x:f>IFERROR(IF(0=LEN(ReferenceData!$C$208),"",ReferenceData!$C$208),"")</x:f>
        <x:v/>
      </x:c>
      <x:c r="D208" t="str">
        <x:f>IFERROR(IF(0=LEN(ReferenceData!$D$208),"",ReferenceData!$D$208),"")</x:f>
        <x:v/>
      </x:c>
      <x:c r="E208" t="str">
        <x:f>IFERROR(IF(0=LEN(ReferenceData!$E$208),"",ReferenceData!$E$208),"")</x:f>
        <x:v>Expression</x:v>
      </x:c>
      <x:c r="F208">
        <x:f ca="1">IFERROR(IF(0=LEN(ReferenceData!$F$208),"",ReferenceData!$F$208),"")</x:f>
        <x:v>192.63999000000001</x:v>
      </x:c>
      <x:c r="G208">
        <x:f ca="1">IFERROR(IF(0=LEN(ReferenceData!$G$208),"",ReferenceData!$G$208),"")</x:f>
        <x:v>-117.832993</x:v>
      </x:c>
      <x:c r="H208">
        <x:f ca="1">IFERROR(IF(0=LEN(ReferenceData!$H$208),"",ReferenceData!$H$208),"")</x:f>
        <x:v>-133.058751</x:v>
      </x:c>
      <x:c r="I208">
        <x:f ca="1">IFERROR(IF(0=LEN(ReferenceData!$I$208),"",ReferenceData!$I$208),"")</x:f>
        <x:v>-408.56326999999999</x:v>
      </x:c>
      <x:c r="J208">
        <x:f ca="1">IFERROR(IF(0=LEN(ReferenceData!$J$208),"",ReferenceData!$J$208),"")</x:f>
        <x:v>96.032158999999993</x:v>
      </x:c>
      <x:c r="K208">
        <x:f ca="1">IFERROR(IF(0=LEN(ReferenceData!$K$208),"",ReferenceData!$K$208),"")</x:f>
        <x:v>63.811650999999998</x:v>
      </x:c>
      <x:c r="L208">
        <x:f ca="1">IFERROR(IF(0=LEN(ReferenceData!$L$208),"",ReferenceData!$L$208),"")</x:f>
        <x:v>9.0982999999999994E-2</x:v>
      </x:c>
      <x:c r="M208">
        <x:f ca="1">IFERROR(IF(0=LEN(ReferenceData!$M$208),"",ReferenceData!$M$208),"")</x:f>
        <x:v>208.84224499999999</x:v>
      </x:c>
      <x:c r="N208">
        <x:f ca="1">IFERROR(IF(0=LEN(ReferenceData!$N$208),"",ReferenceData!$N$208),"")</x:f>
        <x:v>1363.877984</x:v>
      </x:c>
      <x:c r="O208">
        <x:f ca="1">IFERROR(IF(0=LEN(ReferenceData!$O$208),"",ReferenceData!$O$208),"")</x:f>
        <x:v>-203.99972399999999</x:v>
      </x:c>
      <x:c r="P208">
        <x:f ca="1">IFERROR(IF(0=LEN(ReferenceData!$P$208),"",ReferenceData!$P$208),"")</x:f>
        <x:v>-241.37616399999999</x:v>
      </x:c>
      <x:c r="Q208">
        <x:f ca="1">IFERROR(IF(0=LEN(ReferenceData!$Q$208),"",ReferenceData!$Q$208),"")</x:f>
        <x:v>-277.785077</x:v>
      </x:c>
      <x:c r="R208">
        <x:f ca="1">IFERROR(IF(0=LEN(ReferenceData!$R$208),"",ReferenceData!$R$208),"")</x:f>
        <x:v>-343.93678799999998</x:v>
      </x:c>
      <x:c r="S208">
        <x:f ca="1">IFERROR(IF(0=LEN(ReferenceData!$S$208),"",ReferenceData!$S$208),"")</x:f>
        <x:v>244.69521900000001</x:v>
      </x:c>
    </x:row>
    <x:row r="209" spans="1:19" x14ac:dyDescent="0.25">
      <x:c r="A209" t="str">
        <x:f>IFERROR(IF(0=LEN(ReferenceData!$A$209),"",ReferenceData!$A$209),"")</x:f>
        <x:v xml:space="preserve">        SPDR S&amp;P Bank ETF</x:v>
      </x:c>
      <x:c r="B209" t="str">
        <x:f>IFERROR(IF(0=LEN(ReferenceData!$B$209),"",ReferenceData!$B$209),"")</x:f>
        <x:v>KBE US Equity</x:v>
      </x:c>
      <x:c r="C209" t="str">
        <x:f>IFERROR(IF(0=LEN(ReferenceData!$C$209),"",ReferenceData!$C$209),"")</x:f>
        <x:v/>
      </x:c>
      <x:c r="D209" t="str">
        <x:f>IFERROR(IF(0=LEN(ReferenceData!$D$209),"",ReferenceData!$D$209),"")</x:f>
        <x:v/>
      </x:c>
      <x:c r="E209" t="str">
        <x:f>IFERROR(IF(0=LEN(ReferenceData!$E$209),"",ReferenceData!$E$209),"")</x:f>
        <x:v>Expression</x:v>
      </x:c>
      <x:c r="F209">
        <x:f ca="1">IFERROR(IF(0=LEN(ReferenceData!$F$209),"",ReferenceData!$F$209),"")</x:f>
        <x:v>-13.793454000000001</x:v>
      </x:c>
      <x:c r="G209">
        <x:f ca="1">IFERROR(IF(0=LEN(ReferenceData!$G$209),"",ReferenceData!$G$209),"")</x:f>
        <x:v>-39.768866000000003</x:v>
      </x:c>
      <x:c r="H209">
        <x:f ca="1">IFERROR(IF(0=LEN(ReferenceData!$H$209),"",ReferenceData!$H$209),"")</x:f>
        <x:v>-213.699309</x:v>
      </x:c>
      <x:c r="I209">
        <x:f ca="1">IFERROR(IF(0=LEN(ReferenceData!$I$209),"",ReferenceData!$I$209),"")</x:f>
        <x:v>75.328166999999993</x:v>
      </x:c>
      <x:c r="J209">
        <x:f ca="1">IFERROR(IF(0=LEN(ReferenceData!$J$209),"",ReferenceData!$J$209),"")</x:f>
        <x:v>-150.09853699999999</x:v>
      </x:c>
      <x:c r="K209">
        <x:f ca="1">IFERROR(IF(0=LEN(ReferenceData!$K$209),"",ReferenceData!$K$209),"")</x:f>
        <x:v>97.073419999999999</x:v>
      </x:c>
      <x:c r="L209">
        <x:f ca="1">IFERROR(IF(0=LEN(ReferenceData!$L$209),"",ReferenceData!$L$209),"")</x:f>
        <x:v>-103.25866000000001</x:v>
      </x:c>
      <x:c r="M209">
        <x:f ca="1">IFERROR(IF(0=LEN(ReferenceData!$M$209),"",ReferenceData!$M$209),"")</x:f>
        <x:v>5.684717</x:v>
      </x:c>
      <x:c r="N209">
        <x:f ca="1">IFERROR(IF(0=LEN(ReferenceData!$N$209),"",ReferenceData!$N$209),"")</x:f>
        <x:v>118.105272</x:v>
      </x:c>
      <x:c r="O209">
        <x:f ca="1">IFERROR(IF(0=LEN(ReferenceData!$O$209),"",ReferenceData!$O$209),"")</x:f>
        <x:v>-90.900735999999995</x:v>
      </x:c>
      <x:c r="P209">
        <x:f ca="1">IFERROR(IF(0=LEN(ReferenceData!$P$209),"",ReferenceData!$P$209),"")</x:f>
        <x:v>-59.007643999999999</x:v>
      </x:c>
      <x:c r="Q209">
        <x:f ca="1">IFERROR(IF(0=LEN(ReferenceData!$Q$209),"",ReferenceData!$Q$209),"")</x:f>
        <x:v>-289.22641499999997</x:v>
      </x:c>
      <x:c r="R209">
        <x:f ca="1">IFERROR(IF(0=LEN(ReferenceData!$R$209),"",ReferenceData!$R$209),"")</x:f>
        <x:v>-93.245087999999996</x:v>
      </x:c>
      <x:c r="S209">
        <x:f ca="1">IFERROR(IF(0=LEN(ReferenceData!$S$209),"",ReferenceData!$S$209),"")</x:f>
        <x:v>103.98148</x:v>
      </x:c>
    </x:row>
    <x:row r="210" spans="1:19" x14ac:dyDescent="0.25">
      <x:c r="A210" t="str">
        <x:f>IFERROR(IF(0=LEN(ReferenceData!$A$210),"",ReferenceData!$A$210),"")</x:f>
        <x:v xml:space="preserve">        iShares US Financials ETF</x:v>
      </x:c>
      <x:c r="B210" t="str">
        <x:f>IFERROR(IF(0=LEN(ReferenceData!$B$210),"",ReferenceData!$B$210),"")</x:f>
        <x:v>IYF US Equity</x:v>
      </x:c>
      <x:c r="C210" t="str">
        <x:f>IFERROR(IF(0=LEN(ReferenceData!$C$210),"",ReferenceData!$C$210),"")</x:f>
        <x:v/>
      </x:c>
      <x:c r="D210" t="str">
        <x:f>IFERROR(IF(0=LEN(ReferenceData!$D$210),"",ReferenceData!$D$210),"")</x:f>
        <x:v/>
      </x:c>
      <x:c r="E210" t="str">
        <x:f>IFERROR(IF(0=LEN(ReferenceData!$E$210),"",ReferenceData!$E$210),"")</x:f>
        <x:v>Expression</x:v>
      </x:c>
      <x:c r="F210">
        <x:f ca="1">IFERROR(IF(0=LEN(ReferenceData!$F$210),"",ReferenceData!$F$210),"")</x:f>
        <x:v>-92.118567999999996</x:v>
      </x:c>
      <x:c r="G210">
        <x:f ca="1">IFERROR(IF(0=LEN(ReferenceData!$G$210),"",ReferenceData!$G$210),"")</x:f>
        <x:v>7.2681849999999999</x:v>
      </x:c>
      <x:c r="H210">
        <x:f ca="1">IFERROR(IF(0=LEN(ReferenceData!$H$210),"",ReferenceData!$H$210),"")</x:f>
        <x:v>33.365008000000003</x:v>
      </x:c>
      <x:c r="I210">
        <x:f ca="1">IFERROR(IF(0=LEN(ReferenceData!$I$210),"",ReferenceData!$I$210),"")</x:f>
        <x:v>0.17649500000000001</x:v>
      </x:c>
      <x:c r="J210">
        <x:f ca="1">IFERROR(IF(0=LEN(ReferenceData!$J$210),"",ReferenceData!$J$210),"")</x:f>
        <x:v>3.2392400000000001</x:v>
      </x:c>
      <x:c r="K210">
        <x:f ca="1">IFERROR(IF(0=LEN(ReferenceData!$K$210),"",ReferenceData!$K$210),"")</x:f>
        <x:v>-10.94065</x:v>
      </x:c>
      <x:c r="L210">
        <x:f ca="1">IFERROR(IF(0=LEN(ReferenceData!$L$210),"",ReferenceData!$L$210),"")</x:f>
        <x:v>-56.595889999999997</x:v>
      </x:c>
      <x:c r="M210">
        <x:f ca="1">IFERROR(IF(0=LEN(ReferenceData!$M$210),"",ReferenceData!$M$210),"")</x:f>
        <x:v>-21.674610000000001</x:v>
      </x:c>
      <x:c r="N210">
        <x:f ca="1">IFERROR(IF(0=LEN(ReferenceData!$N$210),"",ReferenceData!$N$210),"")</x:f>
        <x:v>-62.941425000000002</x:v>
      </x:c>
      <x:c r="O210">
        <x:f ca="1">IFERROR(IF(0=LEN(ReferenceData!$O$210),"",ReferenceData!$O$210),"")</x:f>
        <x:v>1.278E-2</x:v>
      </x:c>
      <x:c r="P210">
        <x:f ca="1">IFERROR(IF(0=LEN(ReferenceData!$P$210),"",ReferenceData!$P$210),"")</x:f>
        <x:v>-27.599305000000001</x:v>
      </x:c>
      <x:c r="Q210">
        <x:f ca="1">IFERROR(IF(0=LEN(ReferenceData!$Q$210),"",ReferenceData!$Q$210),"")</x:f>
        <x:v>-41.503689999999999</x:v>
      </x:c>
      <x:c r="R210">
        <x:f ca="1">IFERROR(IF(0=LEN(ReferenceData!$R$210),"",ReferenceData!$R$210),"")</x:f>
        <x:v>-4.7584400000000002</x:v>
      </x:c>
      <x:c r="S210">
        <x:f ca="1">IFERROR(IF(0=LEN(ReferenceData!$S$210),"",ReferenceData!$S$210),"")</x:f>
        <x:v>24.87444</x:v>
      </x:c>
    </x:row>
    <x:row r="211" spans="1:19" x14ac:dyDescent="0.25">
      <x:c r="A211" t="str">
        <x:f>IFERROR(IF(0=LEN(ReferenceData!$A$211),"",ReferenceData!$A$211),"")</x:f>
        <x:v xml:space="preserve">        Direxion Daily Financial Bull</x:v>
      </x:c>
      <x:c r="B211" t="str">
        <x:f>IFERROR(IF(0=LEN(ReferenceData!$B$211),"",ReferenceData!$B$211),"")</x:f>
        <x:v>FAS US Equity</x:v>
      </x:c>
      <x:c r="C211" t="str">
        <x:f>IFERROR(IF(0=LEN(ReferenceData!$C$211),"",ReferenceData!$C$211),"")</x:f>
        <x:v/>
      </x:c>
      <x:c r="D211" t="str">
        <x:f>IFERROR(IF(0=LEN(ReferenceData!$D$211),"",ReferenceData!$D$211),"")</x:f>
        <x:v/>
      </x:c>
      <x:c r="E211" t="str">
        <x:f>IFERROR(IF(0=LEN(ReferenceData!$E$211),"",ReferenceData!$E$211),"")</x:f>
        <x:v>Expression</x:v>
      </x:c>
      <x:c r="F211">
        <x:f ca="1">IFERROR(IF(0=LEN(ReferenceData!$F$211),"",ReferenceData!$F$211),"")</x:f>
        <x:v>-37.141742999999998</x:v>
      </x:c>
      <x:c r="G211">
        <x:f ca="1">IFERROR(IF(0=LEN(ReferenceData!$G$211),"",ReferenceData!$G$211),"")</x:f>
        <x:v>35.127063</x:v>
      </x:c>
      <x:c r="H211">
        <x:f ca="1">IFERROR(IF(0=LEN(ReferenceData!$H$211),"",ReferenceData!$H$211),"")</x:f>
        <x:v>-23.128928999999999</x:v>
      </x:c>
      <x:c r="I211">
        <x:f ca="1">IFERROR(IF(0=LEN(ReferenceData!$I$211),"",ReferenceData!$I$211),"")</x:f>
        <x:v>-34.781464999999997</x:v>
      </x:c>
      <x:c r="J211">
        <x:f ca="1">IFERROR(IF(0=LEN(ReferenceData!$J$211),"",ReferenceData!$J$211),"")</x:f>
        <x:v>-62.729796999999998</x:v>
      </x:c>
      <x:c r="K211">
        <x:f ca="1">IFERROR(IF(0=LEN(ReferenceData!$K$211),"",ReferenceData!$K$211),"")</x:f>
        <x:v>-58.644002999999998</x:v>
      </x:c>
      <x:c r="L211">
        <x:f ca="1">IFERROR(IF(0=LEN(ReferenceData!$L$211),"",ReferenceData!$L$211),"")</x:f>
        <x:v>46.256328000000003</x:v>
      </x:c>
      <x:c r="M211">
        <x:f ca="1">IFERROR(IF(0=LEN(ReferenceData!$M$211),"",ReferenceData!$M$211),"")</x:f>
        <x:v>-117.60946800000001</x:v>
      </x:c>
      <x:c r="N211">
        <x:f ca="1">IFERROR(IF(0=LEN(ReferenceData!$N$211),"",ReferenceData!$N$211),"")</x:f>
        <x:v>383.87034199999999</x:v>
      </x:c>
      <x:c r="O211">
        <x:f ca="1">IFERROR(IF(0=LEN(ReferenceData!$O$211),"",ReferenceData!$O$211),"")</x:f>
        <x:v>-31.446186999999998</x:v>
      </x:c>
      <x:c r="P211">
        <x:f ca="1">IFERROR(IF(0=LEN(ReferenceData!$P$211),"",ReferenceData!$P$211),"")</x:f>
        <x:v>-99.069873999999999</x:v>
      </x:c>
      <x:c r="Q211">
        <x:f ca="1">IFERROR(IF(0=LEN(ReferenceData!$Q$211),"",ReferenceData!$Q$211),"")</x:f>
        <x:v>-39.592064000000001</x:v>
      </x:c>
      <x:c r="R211">
        <x:f ca="1">IFERROR(IF(0=LEN(ReferenceData!$R$211),"",ReferenceData!$R$211),"")</x:f>
        <x:v>-46.569319</x:v>
      </x:c>
      <x:c r="S211">
        <x:f ca="1">IFERROR(IF(0=LEN(ReferenceData!$S$211),"",ReferenceData!$S$211),"")</x:f>
        <x:v>-75.329476999999997</x:v>
      </x:c>
    </x:row>
    <x:row r="212" spans="1:19" x14ac:dyDescent="0.25">
      <x:c r="A212" t="str">
        <x:f>IFERROR(IF(0=LEN(ReferenceData!$A$212),"",ReferenceData!$A$212),"")</x:f>
        <x:v xml:space="preserve">        iShares U.S. Financial Service</x:v>
      </x:c>
      <x:c r="B212" t="str">
        <x:f>IFERROR(IF(0=LEN(ReferenceData!$B$212),"",ReferenceData!$B$212),"")</x:f>
        <x:v>IYG US Equity</x:v>
      </x:c>
      <x:c r="C212" t="str">
        <x:f>IFERROR(IF(0=LEN(ReferenceData!$C$212),"",ReferenceData!$C$212),"")</x:f>
        <x:v/>
      </x:c>
      <x:c r="D212" t="str">
        <x:f>IFERROR(IF(0=LEN(ReferenceData!$D$212),"",ReferenceData!$D$212),"")</x:f>
        <x:v/>
      </x:c>
      <x:c r="E212" t="str">
        <x:f>IFERROR(IF(0=LEN(ReferenceData!$E$212),"",ReferenceData!$E$212),"")</x:f>
        <x:v>Expression</x:v>
      </x:c>
      <x:c r="F212">
        <x:f ca="1">IFERROR(IF(0=LEN(ReferenceData!$F$212),"",ReferenceData!$F$212),"")</x:f>
        <x:v>-23.478192</x:v>
      </x:c>
      <x:c r="G212">
        <x:f ca="1">IFERROR(IF(0=LEN(ReferenceData!$G$212),"",ReferenceData!$G$212),"")</x:f>
        <x:v>-31.052066</x:v>
      </x:c>
      <x:c r="H212">
        <x:f ca="1">IFERROR(IF(0=LEN(ReferenceData!$H$212),"",ReferenceData!$H$212),"")</x:f>
        <x:v>15.603851000000001</x:v>
      </x:c>
      <x:c r="I212">
        <x:f ca="1">IFERROR(IF(0=LEN(ReferenceData!$I$212),"",ReferenceData!$I$212),"")</x:f>
        <x:v>-16.344059999999999</x:v>
      </x:c>
      <x:c r="J212">
        <x:f ca="1">IFERROR(IF(0=LEN(ReferenceData!$J$212),"",ReferenceData!$J$212),"")</x:f>
        <x:v>-7.3423449999999999</x:v>
      </x:c>
      <x:c r="K212">
        <x:f ca="1">IFERROR(IF(0=LEN(ReferenceData!$K$212),"",ReferenceData!$K$212),"")</x:f>
        <x:v>-7.691865</x:v>
      </x:c>
      <x:c r="L212">
        <x:f ca="1">IFERROR(IF(0=LEN(ReferenceData!$L$212),"",ReferenceData!$L$212),"")</x:f>
        <x:v>-37.195050000000002</x:v>
      </x:c>
      <x:c r="M212">
        <x:f ca="1">IFERROR(IF(0=LEN(ReferenceData!$M$212),"",ReferenceData!$M$212),"")</x:f>
        <x:v>-7.5526650000000002</x:v>
      </x:c>
      <x:c r="N212">
        <x:f ca="1">IFERROR(IF(0=LEN(ReferenceData!$N$212),"",ReferenceData!$N$212),"")</x:f>
        <x:v>-113.90915</x:v>
      </x:c>
      <x:c r="O212">
        <x:f ca="1">IFERROR(IF(0=LEN(ReferenceData!$O$212),"",ReferenceData!$O$212),"")</x:f>
        <x:v>-17.143595000000001</x:v>
      </x:c>
      <x:c r="P212">
        <x:f ca="1">IFERROR(IF(0=LEN(ReferenceData!$P$212),"",ReferenceData!$P$212),"")</x:f>
        <x:v>-17.068750000000001</x:v>
      </x:c>
      <x:c r="Q212">
        <x:f ca="1">IFERROR(IF(0=LEN(ReferenceData!$Q$212),"",ReferenceData!$Q$212),"")</x:f>
        <x:v>-23.588545</x:v>
      </x:c>
      <x:c r="R212">
        <x:f ca="1">IFERROR(IF(0=LEN(ReferenceData!$R$212),"",ReferenceData!$R$212),"")</x:f>
        <x:v>-8.1089400000000005</x:v>
      </x:c>
      <x:c r="S212">
        <x:f ca="1">IFERROR(IF(0=LEN(ReferenceData!$S$212),"",ReferenceData!$S$212),"")</x:f>
        <x:v>-7.0402750000000003</x:v>
      </x:c>
    </x:row>
    <x:row r="213" spans="1:19" x14ac:dyDescent="0.25">
      <x:c r="A213" t="str">
        <x:f>IFERROR(IF(0=LEN(ReferenceData!$A$213),"",ReferenceData!$A$213),"")</x:f>
        <x:v xml:space="preserve">        iShares MSCI Europe Financials</x:v>
      </x:c>
      <x:c r="B213" t="str">
        <x:f>IFERROR(IF(0=LEN(ReferenceData!$B$213),"",ReferenceData!$B$213),"")</x:f>
        <x:v>EUFN US Equity</x:v>
      </x:c>
      <x:c r="C213" t="str">
        <x:f>IFERROR(IF(0=LEN(ReferenceData!$C$213),"",ReferenceData!$C$213),"")</x:f>
        <x:v/>
      </x:c>
      <x:c r="D213" t="str">
        <x:f>IFERROR(IF(0=LEN(ReferenceData!$D$213),"",ReferenceData!$D$213),"")</x:f>
        <x:v/>
      </x:c>
      <x:c r="E213" t="str">
        <x:f>IFERROR(IF(0=LEN(ReferenceData!$E$213),"",ReferenceData!$E$213),"")</x:f>
        <x:v>Expression</x:v>
      </x:c>
      <x:c r="F213">
        <x:f ca="1">IFERROR(IF(0=LEN(ReferenceData!$F$213),"",ReferenceData!$F$213),"")</x:f>
        <x:v>-30.28162</x:v>
      </x:c>
      <x:c r="G213">
        <x:f ca="1">IFERROR(IF(0=LEN(ReferenceData!$G$213),"",ReferenceData!$G$213),"")</x:f>
        <x:v>-190.08712700000001</x:v>
      </x:c>
      <x:c r="H213">
        <x:f ca="1">IFERROR(IF(0=LEN(ReferenceData!$H$213),"",ReferenceData!$H$213),"")</x:f>
        <x:v>-100.76291500000001</x:v>
      </x:c>
      <x:c r="I213">
        <x:f ca="1">IFERROR(IF(0=LEN(ReferenceData!$I$213),"",ReferenceData!$I$213),"")</x:f>
        <x:v>-6.8317899999999998</x:v>
      </x:c>
      <x:c r="J213">
        <x:f ca="1">IFERROR(IF(0=LEN(ReferenceData!$J$213),"",ReferenceData!$J$213),"")</x:f>
        <x:v>-2.46217</x:v>
      </x:c>
      <x:c r="K213">
        <x:f ca="1">IFERROR(IF(0=LEN(ReferenceData!$K$213),"",ReferenceData!$K$213),"")</x:f>
        <x:v>-40.909610000000001</x:v>
      </x:c>
      <x:c r="L213">
        <x:f ca="1">IFERROR(IF(0=LEN(ReferenceData!$L$213),"",ReferenceData!$L$213),"")</x:f>
        <x:v>-39.970790000000001</x:v>
      </x:c>
      <x:c r="M213">
        <x:f ca="1">IFERROR(IF(0=LEN(ReferenceData!$M$213),"",ReferenceData!$M$213),"")</x:f>
        <x:v>0</x:v>
      </x:c>
      <x:c r="N213">
        <x:f ca="1">IFERROR(IF(0=LEN(ReferenceData!$N$213),"",ReferenceData!$N$213),"")</x:f>
        <x:v>-6.3176100000000002</x:v>
      </x:c>
      <x:c r="O213">
        <x:f ca="1">IFERROR(IF(0=LEN(ReferenceData!$O$213),"",ReferenceData!$O$213),"")</x:f>
        <x:v>141.871465</x:v>
      </x:c>
      <x:c r="P213">
        <x:f ca="1">IFERROR(IF(0=LEN(ReferenceData!$P$213),"",ReferenceData!$P$213),"")</x:f>
        <x:v>15.222910000000001</x:v>
      </x:c>
      <x:c r="Q213">
        <x:f ca="1">IFERROR(IF(0=LEN(ReferenceData!$Q$213),"",ReferenceData!$Q$213),"")</x:f>
        <x:v>-25.288615</x:v>
      </x:c>
      <x:c r="R213">
        <x:f ca="1">IFERROR(IF(0=LEN(ReferenceData!$R$213),"",ReferenceData!$R$213),"")</x:f>
        <x:v>-4.21915</x:v>
      </x:c>
      <x:c r="S213">
        <x:f ca="1">IFERROR(IF(0=LEN(ReferenceData!$S$213),"",ReferenceData!$S$213),"")</x:f>
        <x:v>-41.617714999999997</x:v>
      </x:c>
    </x:row>
    <x:row r="214" spans="1:19" x14ac:dyDescent="0.25">
      <x:c r="A214" t="str">
        <x:f>IFERROR(IF(0=LEN(ReferenceData!$A$214),"",ReferenceData!$A$214),"")</x:f>
        <x:v xml:space="preserve">        First Trust Nasdaq Bank ETF</x:v>
      </x:c>
      <x:c r="B214" t="str">
        <x:f>IFERROR(IF(0=LEN(ReferenceData!$B$214),"",ReferenceData!$B$214),"")</x:f>
        <x:v>FTXO US Equity</x:v>
      </x:c>
      <x:c r="C214" t="str">
        <x:f>IFERROR(IF(0=LEN(ReferenceData!$C$214),"",ReferenceData!$C$214),"")</x:f>
        <x:v/>
      </x:c>
      <x:c r="D214" t="str">
        <x:f>IFERROR(IF(0=LEN(ReferenceData!$D$214),"",ReferenceData!$D$214),"")</x:f>
        <x:v/>
      </x:c>
      <x:c r="E214" t="str">
        <x:f>IFERROR(IF(0=LEN(ReferenceData!$E$214),"",ReferenceData!$E$214),"")</x:f>
        <x:v>Expression</x:v>
      </x:c>
      <x:c r="F214">
        <x:f ca="1">IFERROR(IF(0=LEN(ReferenceData!$F$214),"",ReferenceData!$F$214),"")</x:f>
        <x:v>-7.1487020000000001</x:v>
      </x:c>
      <x:c r="G214">
        <x:f ca="1">IFERROR(IF(0=LEN(ReferenceData!$G$214),"",ReferenceData!$G$214),"")</x:f>
        <x:v>-1.0238290000000001</x:v>
      </x:c>
      <x:c r="H214">
        <x:f ca="1">IFERROR(IF(0=LEN(ReferenceData!$H$214),"",ReferenceData!$H$214),"")</x:f>
        <x:v>-1.0963179999999999</x:v>
      </x:c>
      <x:c r="I214">
        <x:f ca="1">IFERROR(IF(0=LEN(ReferenceData!$I$214),"",ReferenceData!$I$214),"")</x:f>
        <x:v>2.4555500000000001</x:v>
      </x:c>
      <x:c r="J214">
        <x:f ca="1">IFERROR(IF(0=LEN(ReferenceData!$J$214),"",ReferenceData!$J$214),"")</x:f>
        <x:v>-4.5049999999999999</x:v>
      </x:c>
      <x:c r="K214">
        <x:f ca="1">IFERROR(IF(0=LEN(ReferenceData!$K$214),"",ReferenceData!$K$214),"")</x:f>
        <x:v>-2.0979999999999999</x:v>
      </x:c>
      <x:c r="L214">
        <x:f ca="1">IFERROR(IF(0=LEN(ReferenceData!$L$214),"",ReferenceData!$L$214),"")</x:f>
        <x:v>-12.950968</x:v>
      </x:c>
      <x:c r="M214">
        <x:f ca="1">IFERROR(IF(0=LEN(ReferenceData!$M$214),"",ReferenceData!$M$214),"")</x:f>
        <x:v>-16.110386999999999</x:v>
      </x:c>
      <x:c r="N214">
        <x:f ca="1">IFERROR(IF(0=LEN(ReferenceData!$N$214),"",ReferenceData!$N$214),"")</x:f>
        <x:v>-4.2847429999999997</x:v>
      </x:c>
      <x:c r="O214">
        <x:f ca="1">IFERROR(IF(0=LEN(ReferenceData!$O$214),"",ReferenceData!$O$214),"")</x:f>
        <x:v>-2.7781340000000001</x:v>
      </x:c>
      <x:c r="P214">
        <x:f ca="1">IFERROR(IF(0=LEN(ReferenceData!$P$214),"",ReferenceData!$P$214),"")</x:f>
        <x:v>12.211319</x:v>
      </x:c>
      <x:c r="Q214">
        <x:f ca="1">IFERROR(IF(0=LEN(ReferenceData!$Q$214),"",ReferenceData!$Q$214),"")</x:f>
        <x:v>-2.666169</x:v>
      </x:c>
      <x:c r="R214">
        <x:f ca="1">IFERROR(IF(0=LEN(ReferenceData!$R$214),"",ReferenceData!$R$214),"")</x:f>
        <x:v>-2.8655200000000001</x:v>
      </x:c>
      <x:c r="S214">
        <x:f ca="1">IFERROR(IF(0=LEN(ReferenceData!$S$214),"",ReferenceData!$S$214),"")</x:f>
        <x:v>0</x:v>
      </x:c>
    </x:row>
    <x:row r="215" spans="1:19" x14ac:dyDescent="0.25">
      <x:c r="A215" t="str">
        <x:f>IFERROR(IF(0=LEN(ReferenceData!$A$215),"",ReferenceData!$A$215),"")</x:f>
        <x:v xml:space="preserve">        First Trust Financial AlphaDEX</x:v>
      </x:c>
      <x:c r="B215" t="str">
        <x:f>IFERROR(IF(0=LEN(ReferenceData!$B$215),"",ReferenceData!$B$215),"")</x:f>
        <x:v>FXO US Equity</x:v>
      </x:c>
      <x:c r="C215" t="str">
        <x:f>IFERROR(IF(0=LEN(ReferenceData!$C$215),"",ReferenceData!$C$215),"")</x:f>
        <x:v/>
      </x:c>
      <x:c r="D215" t="str">
        <x:f>IFERROR(IF(0=LEN(ReferenceData!$D$215),"",ReferenceData!$D$215),"")</x:f>
        <x:v/>
      </x:c>
      <x:c r="E215" t="str">
        <x:f>IFERROR(IF(0=LEN(ReferenceData!$E$215),"",ReferenceData!$E$215),"")</x:f>
        <x:v>Expression</x:v>
      </x:c>
      <x:c r="F215">
        <x:f ca="1">IFERROR(IF(0=LEN(ReferenceData!$F$215),"",ReferenceData!$F$215),"")</x:f>
        <x:v>-13.381542</x:v>
      </x:c>
      <x:c r="G215">
        <x:f ca="1">IFERROR(IF(0=LEN(ReferenceData!$G$215),"",ReferenceData!$G$215),"")</x:f>
        <x:v>-27.218247000000002</x:v>
      </x:c>
      <x:c r="H215">
        <x:f ca="1">IFERROR(IF(0=LEN(ReferenceData!$H$215),"",ReferenceData!$H$215),"")</x:f>
        <x:v>-19.754076999999999</x:v>
      </x:c>
      <x:c r="I215">
        <x:f ca="1">IFERROR(IF(0=LEN(ReferenceData!$I$215),"",ReferenceData!$I$215),"")</x:f>
        <x:v>-35.395823999999998</x:v>
      </x:c>
      <x:c r="J215">
        <x:f ca="1">IFERROR(IF(0=LEN(ReferenceData!$J$215),"",ReferenceData!$J$215),"")</x:f>
        <x:v>-44.295999999999999</x:v>
      </x:c>
      <x:c r="K215">
        <x:f ca="1">IFERROR(IF(0=LEN(ReferenceData!$K$215),"",ReferenceData!$K$215),"")</x:f>
        <x:v>-53.335500000000003</x:v>
      </x:c>
      <x:c r="L215">
        <x:f ca="1">IFERROR(IF(0=LEN(ReferenceData!$L$215),"",ReferenceData!$L$215),"")</x:f>
        <x:v>-95.141999999999996</x:v>
      </x:c>
      <x:c r="M215">
        <x:f ca="1">IFERROR(IF(0=LEN(ReferenceData!$M$215),"",ReferenceData!$M$215),"")</x:f>
        <x:v>-72.740499999999997</x:v>
      </x:c>
      <x:c r="N215">
        <x:f ca="1">IFERROR(IF(0=LEN(ReferenceData!$N$215),"",ReferenceData!$N$215),"")</x:f>
        <x:v>-769.22349999999994</x:v>
      </x:c>
      <x:c r="O215">
        <x:f ca="1">IFERROR(IF(0=LEN(ReferenceData!$O$215),"",ReferenceData!$O$215),"")</x:f>
        <x:v>1064.8209999999999</x:v>
      </x:c>
      <x:c r="P215">
        <x:f ca="1">IFERROR(IF(0=LEN(ReferenceData!$P$215),"",ReferenceData!$P$215),"")</x:f>
        <x:v>-14.735395</x:v>
      </x:c>
      <x:c r="Q215">
        <x:f ca="1">IFERROR(IF(0=LEN(ReferenceData!$Q$215),"",ReferenceData!$Q$215),"")</x:f>
        <x:v>-11.936543</x:v>
      </x:c>
      <x:c r="R215">
        <x:f ca="1">IFERROR(IF(0=LEN(ReferenceData!$R$215),"",ReferenceData!$R$215),"")</x:f>
        <x:v>-0.36513600000000002</x:v>
      </x:c>
      <x:c r="S215">
        <x:f ca="1">IFERROR(IF(0=LEN(ReferenceData!$S$215),"",ReferenceData!$S$215),"")</x:f>
        <x:v>-31.42567</x:v>
      </x:c>
    </x:row>
    <x:row r="216" spans="1:19" x14ac:dyDescent="0.25">
      <x:c r="A216" t="str">
        <x:f>IFERROR(IF(0=LEN(ReferenceData!$A$216),"",ReferenceData!$A$216),"")</x:f>
        <x:v xml:space="preserve">        SPDR S&amp;P Insurance ETF</x:v>
      </x:c>
      <x:c r="B216" t="str">
        <x:f>IFERROR(IF(0=LEN(ReferenceData!$B$216),"",ReferenceData!$B$216),"")</x:f>
        <x:v>KIE US Equity</x:v>
      </x:c>
      <x:c r="C216" t="str">
        <x:f>IFERROR(IF(0=LEN(ReferenceData!$C$216),"",ReferenceData!$C$216),"")</x:f>
        <x:v/>
      </x:c>
      <x:c r="D216" t="str">
        <x:f>IFERROR(IF(0=LEN(ReferenceData!$D$216),"",ReferenceData!$D$216),"")</x:f>
        <x:v/>
      </x:c>
      <x:c r="E216" t="str">
        <x:f>IFERROR(IF(0=LEN(ReferenceData!$E$216),"",ReferenceData!$E$216),"")</x:f>
        <x:v>Expression</x:v>
      </x:c>
      <x:c r="F216">
        <x:f ca="1">IFERROR(IF(0=LEN(ReferenceData!$F$216),"",ReferenceData!$F$216),"")</x:f>
        <x:v>-30.622588</x:v>
      </x:c>
      <x:c r="G216">
        <x:f ca="1">IFERROR(IF(0=LEN(ReferenceData!$G$216),"",ReferenceData!$G$216),"")</x:f>
        <x:v>19.769134000000001</x:v>
      </x:c>
      <x:c r="H216">
        <x:f ca="1">IFERROR(IF(0=LEN(ReferenceData!$H$216),"",ReferenceData!$H$216),"")</x:f>
        <x:v>80.243421999999995</x:v>
      </x:c>
      <x:c r="I216">
        <x:f ca="1">IFERROR(IF(0=LEN(ReferenceData!$I$216),"",ReferenceData!$I$216),"")</x:f>
        <x:v>-15.508929999999999</x:v>
      </x:c>
      <x:c r="J216">
        <x:f ca="1">IFERROR(IF(0=LEN(ReferenceData!$J$216),"",ReferenceData!$J$216),"")</x:f>
        <x:v>30.238285000000001</x:v>
      </x:c>
      <x:c r="K216">
        <x:f ca="1">IFERROR(IF(0=LEN(ReferenceData!$K$216),"",ReferenceData!$K$216),"")</x:f>
        <x:v>-6.2522739999999999</x:v>
      </x:c>
      <x:c r="L216">
        <x:f ca="1">IFERROR(IF(0=LEN(ReferenceData!$L$216),"",ReferenceData!$L$216),"")</x:f>
        <x:v>-35.847847999999999</x:v>
      </x:c>
      <x:c r="M216">
        <x:f ca="1">IFERROR(IF(0=LEN(ReferenceData!$M$216),"",ReferenceData!$M$216),"")</x:f>
        <x:v>59.422612999999998</x:v>
      </x:c>
      <x:c r="N216">
        <x:f ca="1">IFERROR(IF(0=LEN(ReferenceData!$N$216),"",ReferenceData!$N$216),"")</x:f>
        <x:v>-72.892056999999994</x:v>
      </x:c>
      <x:c r="O216">
        <x:f ca="1">IFERROR(IF(0=LEN(ReferenceData!$O$216),"",ReferenceData!$O$216),"")</x:f>
        <x:v>62.829084999999999</x:v>
      </x:c>
      <x:c r="P216">
        <x:f ca="1">IFERROR(IF(0=LEN(ReferenceData!$P$216),"",ReferenceData!$P$216),"")</x:f>
        <x:v>-30.542104999999999</x:v>
      </x:c>
      <x:c r="Q216">
        <x:f ca="1">IFERROR(IF(0=LEN(ReferenceData!$Q$216),"",ReferenceData!$Q$216),"")</x:f>
        <x:v>-86.959895000000003</x:v>
      </x:c>
      <x:c r="R216">
        <x:f ca="1">IFERROR(IF(0=LEN(ReferenceData!$R$216),"",ReferenceData!$R$216),"")</x:f>
        <x:v>79.819872000000004</x:v>
      </x:c>
      <x:c r="S216">
        <x:f ca="1">IFERROR(IF(0=LEN(ReferenceData!$S$216),"",ReferenceData!$S$216),"")</x:f>
        <x:v>52.149234999999997</x:v>
      </x:c>
    </x:row>
    <x:row r="217" spans="1:19" x14ac:dyDescent="0.25">
      <x:c r="A217" t="str">
        <x:f>IFERROR(IF(0=LEN(ReferenceData!$A$217),"",ReferenceData!$A$217),"")</x:f>
        <x:v xml:space="preserve">        Fidelity MSCI Financials Index</x:v>
      </x:c>
      <x:c r="B217" t="str">
        <x:f>IFERROR(IF(0=LEN(ReferenceData!$B$217),"",ReferenceData!$B$217),"")</x:f>
        <x:v>FNCL US Equity</x:v>
      </x:c>
      <x:c r="C217" t="str">
        <x:f>IFERROR(IF(0=LEN(ReferenceData!$C$217),"",ReferenceData!$C$217),"")</x:f>
        <x:v/>
      </x:c>
      <x:c r="D217" t="str">
        <x:f>IFERROR(IF(0=LEN(ReferenceData!$D$217),"",ReferenceData!$D$217),"")</x:f>
        <x:v/>
      </x:c>
      <x:c r="E217" t="str">
        <x:f>IFERROR(IF(0=LEN(ReferenceData!$E$217),"",ReferenceData!$E$217),"")</x:f>
        <x:v>Expression</x:v>
      </x:c>
      <x:c r="F217">
        <x:f ca="1">IFERROR(IF(0=LEN(ReferenceData!$F$217),"",ReferenceData!$F$217),"")</x:f>
        <x:v>-25.601735000000001</x:v>
      </x:c>
      <x:c r="G217">
        <x:f ca="1">IFERROR(IF(0=LEN(ReferenceData!$G$217),"",ReferenceData!$G$217),"")</x:f>
        <x:v>-11.258430000000001</x:v>
      </x:c>
      <x:c r="H217">
        <x:f ca="1">IFERROR(IF(0=LEN(ReferenceData!$H$217),"",ReferenceData!$H$217),"")</x:f>
        <x:v>-4.6524000000000001</x:v>
      </x:c>
      <x:c r="I217">
        <x:f ca="1">IFERROR(IF(0=LEN(ReferenceData!$I$217),"",ReferenceData!$I$217),"")</x:f>
        <x:v>-4.8401399999999999</x:v>
      </x:c>
      <x:c r="J217">
        <x:f ca="1">IFERROR(IF(0=LEN(ReferenceData!$J$217),"",ReferenceData!$J$217),"")</x:f>
        <x:v>-12.39536</x:v>
      </x:c>
      <x:c r="K217">
        <x:f ca="1">IFERROR(IF(0=LEN(ReferenceData!$K$217),"",ReferenceData!$K$217),"")</x:f>
        <x:v>-9.1211800000000007</x:v>
      </x:c>
      <x:c r="L217">
        <x:f ca="1">IFERROR(IF(0=LEN(ReferenceData!$L$217),"",ReferenceData!$L$217),"")</x:f>
        <x:v>-24.382325000000002</x:v>
      </x:c>
      <x:c r="M217">
        <x:f ca="1">IFERROR(IF(0=LEN(ReferenceData!$M$217),"",ReferenceData!$M$217),"")</x:f>
        <x:v>-24.76136</x:v>
      </x:c>
      <x:c r="N217">
        <x:f ca="1">IFERROR(IF(0=LEN(ReferenceData!$N$217),"",ReferenceData!$N$217),"")</x:f>
        <x:v>-8.9122800000000009</x:v>
      </x:c>
      <x:c r="O217">
        <x:f ca="1">IFERROR(IF(0=LEN(ReferenceData!$O$217),"",ReferenceData!$O$217),"")</x:f>
        <x:v>-7.8265700000000002</x:v>
      </x:c>
      <x:c r="P217">
        <x:f ca="1">IFERROR(IF(0=LEN(ReferenceData!$P$217),"",ReferenceData!$P$217),"")</x:f>
        <x:v>-47.062114999999999</x:v>
      </x:c>
      <x:c r="Q217">
        <x:f ca="1">IFERROR(IF(0=LEN(ReferenceData!$Q$217),"",ReferenceData!$Q$217),"")</x:f>
        <x:v>-19.348635000000002</x:v>
      </x:c>
      <x:c r="R217">
        <x:f ca="1">IFERROR(IF(0=LEN(ReferenceData!$R$217),"",ReferenceData!$R$217),"")</x:f>
        <x:v>-9.7896750000000008</x:v>
      </x:c>
      <x:c r="S217">
        <x:f ca="1">IFERROR(IF(0=LEN(ReferenceData!$S$217),"",ReferenceData!$S$217),"")</x:f>
        <x:v>-9.4582350000000002</x:v>
      </x:c>
    </x:row>
    <x:row r="218" spans="1:19" x14ac:dyDescent="0.25">
      <x:c r="A218" t="str">
        <x:f>IFERROR(IF(0=LEN(ReferenceData!$A$218),"",ReferenceData!$A$218),"")</x:f>
        <x:v xml:space="preserve">        ProShares Ultra Financials</x:v>
      </x:c>
      <x:c r="B218" t="str">
        <x:f>IFERROR(IF(0=LEN(ReferenceData!$B$218),"",ReferenceData!$B$218),"")</x:f>
        <x:v>UYG US Equity</x:v>
      </x:c>
      <x:c r="C218" t="str">
        <x:f>IFERROR(IF(0=LEN(ReferenceData!$C$218),"",ReferenceData!$C$218),"")</x:f>
        <x:v/>
      </x:c>
      <x:c r="D218" t="str">
        <x:f>IFERROR(IF(0=LEN(ReferenceData!$D$218),"",ReferenceData!$D$218),"")</x:f>
        <x:v/>
      </x:c>
      <x:c r="E218" t="str">
        <x:f>IFERROR(IF(0=LEN(ReferenceData!$E$218),"",ReferenceData!$E$218),"")</x:f>
        <x:v>Expression</x:v>
      </x:c>
      <x:c r="F218">
        <x:f ca="1">IFERROR(IF(0=LEN(ReferenceData!$F$218),"",ReferenceData!$F$218),"")</x:f>
        <x:v>75.116519999999994</x:v>
      </x:c>
      <x:c r="G218">
        <x:f ca="1">IFERROR(IF(0=LEN(ReferenceData!$G$218),"",ReferenceData!$G$218),"")</x:f>
        <x:v>-8.4086700000000008</x:v>
      </x:c>
      <x:c r="H218">
        <x:f ca="1">IFERROR(IF(0=LEN(ReferenceData!$H$218),"",ReferenceData!$H$218),"")</x:f>
        <x:v>-2.31582</x:v>
      </x:c>
      <x:c r="I218">
        <x:f ca="1">IFERROR(IF(0=LEN(ReferenceData!$I$218),"",ReferenceData!$I$218),"")</x:f>
        <x:v>-4.6780799999999996</x:v>
      </x:c>
      <x:c r="J218">
        <x:f ca="1">IFERROR(IF(0=LEN(ReferenceData!$J$218),"",ReferenceData!$J$218),"")</x:f>
        <x:v>-2.4241450000000002</x:v>
      </x:c>
      <x:c r="K218">
        <x:f ca="1">IFERROR(IF(0=LEN(ReferenceData!$K$218),"",ReferenceData!$K$218),"")</x:f>
        <x:v>-4.4199849999999996</x:v>
      </x:c>
      <x:c r="L218">
        <x:f ca="1">IFERROR(IF(0=LEN(ReferenceData!$L$218),"",ReferenceData!$L$218),"")</x:f>
        <x:v>-6.3606550000000004</x:v>
      </x:c>
      <x:c r="M218">
        <x:f ca="1">IFERROR(IF(0=LEN(ReferenceData!$M$218),"",ReferenceData!$M$218),"")</x:f>
        <x:v>-2.1127799999999999</x:v>
      </x:c>
      <x:c r="N218">
        <x:f ca="1">IFERROR(IF(0=LEN(ReferenceData!$N$218),"",ReferenceData!$N$218),"")</x:f>
        <x:v>2.1315550000000001</x:v>
      </x:c>
      <x:c r="O218">
        <x:f ca="1">IFERROR(IF(0=LEN(ReferenceData!$O$218),"",ReferenceData!$O$218),"")</x:f>
        <x:v>-5.1204400000000003</x:v>
      </x:c>
      <x:c r="P218">
        <x:f ca="1">IFERROR(IF(0=LEN(ReferenceData!$P$218),"",ReferenceData!$P$218),"")</x:f>
        <x:v>-2.6544400000000001</x:v>
      </x:c>
      <x:c r="Q218">
        <x:f ca="1">IFERROR(IF(0=LEN(ReferenceData!$Q$218),"",ReferenceData!$Q$218),"")</x:f>
        <x:v>-4.6961250000000003</x:v>
      </x:c>
      <x:c r="R218">
        <x:f ca="1">IFERROR(IF(0=LEN(ReferenceData!$R$218),"",ReferenceData!$R$218),"")</x:f>
        <x:v>-0.39698</x:v>
      </x:c>
      <x:c r="S218">
        <x:f ca="1">IFERROR(IF(0=LEN(ReferenceData!$S$218),"",ReferenceData!$S$218),"")</x:f>
        <x:v>-2.094805</x:v>
      </x:c>
    </x:row>
    <x:row r="219" spans="1:19" x14ac:dyDescent="0.25">
      <x:c r="A219" t="str">
        <x:f>IFERROR(IF(0=LEN(ReferenceData!$A$219),"",ReferenceData!$A$219),"")</x:f>
        <x:v xml:space="preserve">        Invesco KBW Bank ETF</x:v>
      </x:c>
      <x:c r="B219" t="str">
        <x:f>IFERROR(IF(0=LEN(ReferenceData!$B$219),"",ReferenceData!$B$219),"")</x:f>
        <x:v>KBWB US Equity</x:v>
      </x:c>
      <x:c r="C219" t="str">
        <x:f>IFERROR(IF(0=LEN(ReferenceData!$C$219),"",ReferenceData!$C$219),"")</x:f>
        <x:v/>
      </x:c>
      <x:c r="D219" t="str">
        <x:f>IFERROR(IF(0=LEN(ReferenceData!$D$219),"",ReferenceData!$D$219),"")</x:f>
        <x:v/>
      </x:c>
      <x:c r="E219" t="str">
        <x:f>IFERROR(IF(0=LEN(ReferenceData!$E$219),"",ReferenceData!$E$219),"")</x:f>
        <x:v>Expression</x:v>
      </x:c>
      <x:c r="F219">
        <x:f ca="1">IFERROR(IF(0=LEN(ReferenceData!$F$219),"",ReferenceData!$F$219),"")</x:f>
        <x:v>-21.701844000000001</x:v>
      </x:c>
      <x:c r="G219">
        <x:f ca="1">IFERROR(IF(0=LEN(ReferenceData!$G$219),"",ReferenceData!$G$219),"")</x:f>
        <x:v>-415.62396699999999</x:v>
      </x:c>
      <x:c r="H219">
        <x:f ca="1">IFERROR(IF(0=LEN(ReferenceData!$H$219),"",ReferenceData!$H$219),"")</x:f>
        <x:v>-53.975264000000003</x:v>
      </x:c>
      <x:c r="I219">
        <x:f ca="1">IFERROR(IF(0=LEN(ReferenceData!$I$219),"",ReferenceData!$I$219),"")</x:f>
        <x:v>-85.345545999999999</x:v>
      </x:c>
      <x:c r="J219">
        <x:f ca="1">IFERROR(IF(0=LEN(ReferenceData!$J$219),"",ReferenceData!$J$219),"")</x:f>
        <x:v>514.52924499999995</x:v>
      </x:c>
      <x:c r="K219">
        <x:f ca="1">IFERROR(IF(0=LEN(ReferenceData!$K$219),"",ReferenceData!$K$219),"")</x:f>
        <x:v>34.178116000000003</x:v>
      </x:c>
      <x:c r="L219">
        <x:f ca="1">IFERROR(IF(0=LEN(ReferenceData!$L$219),"",ReferenceData!$L$219),"")</x:f>
        <x:v>-26.972384999999999</x:v>
      </x:c>
      <x:c r="M219">
        <x:f ca="1">IFERROR(IF(0=LEN(ReferenceData!$M$219),"",ReferenceData!$M$219),"")</x:f>
        <x:v>1.6465019999999999</x:v>
      </x:c>
      <x:c r="N219">
        <x:f ca="1">IFERROR(IF(0=LEN(ReferenceData!$N$219),"",ReferenceData!$N$219),"")</x:f>
        <x:v>-436.454114</x:v>
      </x:c>
      <x:c r="O219">
        <x:f ca="1">IFERROR(IF(0=LEN(ReferenceData!$O$219),"",ReferenceData!$O$219),"")</x:f>
        <x:v>426.89148399999999</x:v>
      </x:c>
      <x:c r="P219">
        <x:f ca="1">IFERROR(IF(0=LEN(ReferenceData!$P$219),"",ReferenceData!$P$219),"")</x:f>
        <x:v>49.673316</x:v>
      </x:c>
      <x:c r="Q219">
        <x:f ca="1">IFERROR(IF(0=LEN(ReferenceData!$Q$219),"",ReferenceData!$Q$219),"")</x:f>
        <x:v>-256.43596600000001</x:v>
      </x:c>
      <x:c r="R219">
        <x:f ca="1">IFERROR(IF(0=LEN(ReferenceData!$R$219),"",ReferenceData!$R$219),"")</x:f>
        <x:v>37.909835000000001</x:v>
      </x:c>
      <x:c r="S219">
        <x:f ca="1">IFERROR(IF(0=LEN(ReferenceData!$S$219),"",ReferenceData!$S$219),"")</x:f>
        <x:v>60.186877000000003</x:v>
      </x:c>
    </x:row>
    <x:row r="220" spans="1:19" x14ac:dyDescent="0.25">
      <x:c r="A220" t="str">
        <x:f>IFERROR(IF(0=LEN(ReferenceData!$A$220),"",ReferenceData!$A$220),"")</x:f>
        <x:v xml:space="preserve">        iShares US Regional Banks ETF</x:v>
      </x:c>
      <x:c r="B220" t="str">
        <x:f>IFERROR(IF(0=LEN(ReferenceData!$B$220),"",ReferenceData!$B$220),"")</x:f>
        <x:v>IAT US Equity</x:v>
      </x:c>
      <x:c r="C220" t="str">
        <x:f>IFERROR(IF(0=LEN(ReferenceData!$C$220),"",ReferenceData!$C$220),"")</x:f>
        <x:v/>
      </x:c>
      <x:c r="D220" t="str">
        <x:f>IFERROR(IF(0=LEN(ReferenceData!$D$220),"",ReferenceData!$D$220),"")</x:f>
        <x:v/>
      </x:c>
      <x:c r="E220" t="str">
        <x:f>IFERROR(IF(0=LEN(ReferenceData!$E$220),"",ReferenceData!$E$220),"")</x:f>
        <x:v>Expression</x:v>
      </x:c>
      <x:c r="F220">
        <x:f ca="1">IFERROR(IF(0=LEN(ReferenceData!$F$220),"",ReferenceData!$F$220),"")</x:f>
        <x:v>-23.145091000000001</x:v>
      </x:c>
      <x:c r="G220">
        <x:f ca="1">IFERROR(IF(0=LEN(ReferenceData!$G$220),"",ReferenceData!$G$220),"")</x:f>
        <x:v>-22.510052000000002</x:v>
      </x:c>
      <x:c r="H220">
        <x:f ca="1">IFERROR(IF(0=LEN(ReferenceData!$H$220),"",ReferenceData!$H$220),"")</x:f>
        <x:v>-5.0195489999999996</x:v>
      </x:c>
      <x:c r="I220">
        <x:f ca="1">IFERROR(IF(0=LEN(ReferenceData!$I$220),"",ReferenceData!$I$220),"")</x:f>
        <x:v>-58.8476</x:v>
      </x:c>
      <x:c r="J220">
        <x:f ca="1">IFERROR(IF(0=LEN(ReferenceData!$J$220),"",ReferenceData!$J$220),"")</x:f>
        <x:v>-131.37549999999999</x:v>
      </x:c>
      <x:c r="K220">
        <x:f ca="1">IFERROR(IF(0=LEN(ReferenceData!$K$220),"",ReferenceData!$K$220),"")</x:f>
        <x:v>30.34188</x:v>
      </x:c>
      <x:c r="L220">
        <x:f ca="1">IFERROR(IF(0=LEN(ReferenceData!$L$220),"",ReferenceData!$L$220),"")</x:f>
        <x:v>86.773695000000004</x:v>
      </x:c>
      <x:c r="M220">
        <x:f ca="1">IFERROR(IF(0=LEN(ReferenceData!$M$220),"",ReferenceData!$M$220),"")</x:f>
        <x:v>-79.086754999999997</x:v>
      </x:c>
      <x:c r="N220">
        <x:f ca="1">IFERROR(IF(0=LEN(ReferenceData!$N$220),"",ReferenceData!$N$220),"")</x:f>
        <x:v>292.71557000000001</x:v>
      </x:c>
      <x:c r="O220">
        <x:f ca="1">IFERROR(IF(0=LEN(ReferenceData!$O$220),"",ReferenceData!$O$220),"")</x:f>
        <x:v>-5.2750500000000002</x:v>
      </x:c>
      <x:c r="P220">
        <x:f ca="1">IFERROR(IF(0=LEN(ReferenceData!$P$220),"",ReferenceData!$P$220),"")</x:f>
        <x:v>-20.058920000000001</x:v>
      </x:c>
      <x:c r="Q220">
        <x:f ca="1">IFERROR(IF(0=LEN(ReferenceData!$Q$220),"",ReferenceData!$Q$220),"")</x:f>
        <x:v>-28.514199999999999</x:v>
      </x:c>
      <x:c r="R220">
        <x:f ca="1">IFERROR(IF(0=LEN(ReferenceData!$R$220),"",ReferenceData!$R$220),"")</x:f>
        <x:v>-7.7513750000000003</x:v>
      </x:c>
      <x:c r="S220">
        <x:f ca="1">IFERROR(IF(0=LEN(ReferenceData!$S$220),"",ReferenceData!$S$220),"")</x:f>
        <x:v>-11.98151</x:v>
      </x:c>
    </x:row>
    <x:row r="221" spans="1:19" x14ac:dyDescent="0.25">
      <x:c r="A221" t="str">
        <x:f>IFERROR(IF(0=LEN(ReferenceData!$A$221),"",ReferenceData!$A$221),"")</x:f>
        <x:v xml:space="preserve">        iShares Global Financials ETF</x:v>
      </x:c>
      <x:c r="B221" t="str">
        <x:f>IFERROR(IF(0=LEN(ReferenceData!$B$221),"",ReferenceData!$B$221),"")</x:f>
        <x:v>IXG US Equity</x:v>
      </x:c>
      <x:c r="C221" t="str">
        <x:f>IFERROR(IF(0=LEN(ReferenceData!$C$221),"",ReferenceData!$C$221),"")</x:f>
        <x:v/>
      </x:c>
      <x:c r="D221" t="str">
        <x:f>IFERROR(IF(0=LEN(ReferenceData!$D$221),"",ReferenceData!$D$221),"")</x:f>
        <x:v/>
      </x:c>
      <x:c r="E221" t="str">
        <x:f>IFERROR(IF(0=LEN(ReferenceData!$E$221),"",ReferenceData!$E$221),"")</x:f>
        <x:v>Expression</x:v>
      </x:c>
      <x:c r="F221">
        <x:f ca="1">IFERROR(IF(0=LEN(ReferenceData!$F$221),"",ReferenceData!$F$221),"")</x:f>
        <x:v>0</x:v>
      </x:c>
      <x:c r="G221">
        <x:f ca="1">IFERROR(IF(0=LEN(ReferenceData!$G$221),"",ReferenceData!$G$221),"")</x:f>
        <x:v>-6.7089179999999997</x:v>
      </x:c>
      <x:c r="H221">
        <x:f ca="1">IFERROR(IF(0=LEN(ReferenceData!$H$221),"",ReferenceData!$H$221),"")</x:f>
        <x:v>-7.2960979999999998</x:v>
      </x:c>
      <x:c r="I221">
        <x:f ca="1">IFERROR(IF(0=LEN(ReferenceData!$I$221),"",ReferenceData!$I$221),"")</x:f>
        <x:v>0</x:v>
      </x:c>
      <x:c r="J221">
        <x:f ca="1">IFERROR(IF(0=LEN(ReferenceData!$J$221),"",ReferenceData!$J$221),"")</x:f>
        <x:v>-10.667865000000001</x:v>
      </x:c>
      <x:c r="K221">
        <x:f ca="1">IFERROR(IF(0=LEN(ReferenceData!$K$221),"",ReferenceData!$K$221),"")</x:f>
        <x:v>0</x:v>
      </x:c>
      <x:c r="L221">
        <x:f ca="1">IFERROR(IF(0=LEN(ReferenceData!$L$221),"",ReferenceData!$L$221),"")</x:f>
        <x:v>6.9072800000000001</x:v>
      </x:c>
      <x:c r="M221">
        <x:f ca="1">IFERROR(IF(0=LEN(ReferenceData!$M$221),"",ReferenceData!$M$221),"")</x:f>
        <x:v>-21.481275</x:v>
      </x:c>
      <x:c r="N221">
        <x:f ca="1">IFERROR(IF(0=LEN(ReferenceData!$N$221),"",ReferenceData!$N$221),"")</x:f>
        <x:v>-81.548159999999996</x:v>
      </x:c>
      <x:c r="O221">
        <x:f ca="1">IFERROR(IF(0=LEN(ReferenceData!$O$221),"",ReferenceData!$O$221),"")</x:f>
        <x:v>-70.100115000000002</x:v>
      </x:c>
      <x:c r="P221">
        <x:f ca="1">IFERROR(IF(0=LEN(ReferenceData!$P$221),"",ReferenceData!$P$221),"")</x:f>
        <x:v>52.038980000000002</x:v>
      </x:c>
      <x:c r="Q221">
        <x:f ca="1">IFERROR(IF(0=LEN(ReferenceData!$Q$221),"",ReferenceData!$Q$221),"")</x:f>
        <x:v>17.8536</x:v>
      </x:c>
      <x:c r="R221">
        <x:f ca="1">IFERROR(IF(0=LEN(ReferenceData!$R$221),"",ReferenceData!$R$221),"")</x:f>
        <x:v>-255.64402000000001</x:v>
      </x:c>
      <x:c r="S221">
        <x:f ca="1">IFERROR(IF(0=LEN(ReferenceData!$S$221),"",ReferenceData!$S$221),"")</x:f>
        <x:v>0.34417999999999999</x:v>
      </x:c>
    </x:row>
    <x:row r="222" spans="1:19" x14ac:dyDescent="0.25">
      <x:c r="A222" t="str">
        <x:f>IFERROR(IF(0=LEN(ReferenceData!$A$222),"",ReferenceData!$A$222),"")</x:f>
        <x:v xml:space="preserve">        First Trust NASDAQ ABA Communi</x:v>
      </x:c>
      <x:c r="B222" t="str">
        <x:f>IFERROR(IF(0=LEN(ReferenceData!$B$222),"",ReferenceData!$B$222),"")</x:f>
        <x:v>QABA US Equity</x:v>
      </x:c>
      <x:c r="C222" t="str">
        <x:f>IFERROR(IF(0=LEN(ReferenceData!$C$222),"",ReferenceData!$C$222),"")</x:f>
        <x:v/>
      </x:c>
      <x:c r="D222" t="str">
        <x:f>IFERROR(IF(0=LEN(ReferenceData!$D$222),"",ReferenceData!$D$222),"")</x:f>
        <x:v/>
      </x:c>
      <x:c r="E222" t="str">
        <x:f>IFERROR(IF(0=LEN(ReferenceData!$E$222),"",ReferenceData!$E$222),"")</x:f>
        <x:v>Expression</x:v>
      </x:c>
      <x:c r="F222">
        <x:f ca="1">IFERROR(IF(0=LEN(ReferenceData!$F$222),"",ReferenceData!$F$222),"")</x:f>
        <x:v>-4.0232749999999999</x:v>
      </x:c>
      <x:c r="G222">
        <x:f ca="1">IFERROR(IF(0=LEN(ReferenceData!$G$222),"",ReferenceData!$G$222),"")</x:f>
        <x:v>-1.8910690000000001</x:v>
      </x:c>
      <x:c r="H222">
        <x:f ca="1">IFERROR(IF(0=LEN(ReferenceData!$H$222),"",ReferenceData!$H$222),"")</x:f>
        <x:v>-1.9851529999999999</x:v>
      </x:c>
      <x:c r="I222">
        <x:f ca="1">IFERROR(IF(0=LEN(ReferenceData!$I$222),"",ReferenceData!$I$222),"")</x:f>
        <x:v>-6.5257889999999996</x:v>
      </x:c>
      <x:c r="J222">
        <x:f ca="1">IFERROR(IF(0=LEN(ReferenceData!$J$222),"",ReferenceData!$J$222),"")</x:f>
        <x:v>-2.0579999999999998</x:v>
      </x:c>
      <x:c r="K222">
        <x:f ca="1">IFERROR(IF(0=LEN(ReferenceData!$K$222),"",ReferenceData!$K$222),"")</x:f>
        <x:v>-8.1769999999999996</x:v>
      </x:c>
      <x:c r="L222">
        <x:f ca="1">IFERROR(IF(0=LEN(ReferenceData!$L$222),"",ReferenceData!$L$222),"")</x:f>
        <x:v>-7.38</x:v>
      </x:c>
      <x:c r="M222">
        <x:f ca="1">IFERROR(IF(0=LEN(ReferenceData!$M$222),"",ReferenceData!$M$222),"")</x:f>
        <x:v>-4.1905000000000001</x:v>
      </x:c>
      <x:c r="N222">
        <x:f ca="1">IFERROR(IF(0=LEN(ReferenceData!$N$222),"",ReferenceData!$N$222),"")</x:f>
        <x:v>-26.861999999999998</x:v>
      </x:c>
      <x:c r="O222">
        <x:f ca="1">IFERROR(IF(0=LEN(ReferenceData!$O$222),"",ReferenceData!$O$222),"")</x:f>
        <x:v>-35.708500000000001</x:v>
      </x:c>
      <x:c r="P222">
        <x:f ca="1">IFERROR(IF(0=LEN(ReferenceData!$P$222),"",ReferenceData!$P$222),"")</x:f>
        <x:v>-5.2009999999999996</x:v>
      </x:c>
      <x:c r="Q222">
        <x:f ca="1">IFERROR(IF(0=LEN(ReferenceData!$Q$222),"",ReferenceData!$Q$222),"")</x:f>
        <x:v>26.812338</x:v>
      </x:c>
      <x:c r="R222">
        <x:f ca="1">IFERROR(IF(0=LEN(ReferenceData!$R$222),"",ReferenceData!$R$222),"")</x:f>
        <x:v>44.516565</x:v>
      </x:c>
      <x:c r="S222">
        <x:f ca="1">IFERROR(IF(0=LEN(ReferenceData!$S$222),"",ReferenceData!$S$222),"")</x:f>
        <x:v>29.956209999999999</x:v>
      </x:c>
    </x:row>
    <x:row r="223" spans="1:19" x14ac:dyDescent="0.25">
      <x:c r="A223" t="str">
        <x:f>IFERROR(IF(0=LEN(ReferenceData!$A$223),"",ReferenceData!$A$223),"")</x:f>
        <x:v xml:space="preserve">        Invesco KBW High Dividend Yiel</x:v>
      </x:c>
      <x:c r="B223" t="str">
        <x:f>IFERROR(IF(0=LEN(ReferenceData!$B$223),"",ReferenceData!$B$223),"")</x:f>
        <x:v>KBWD US Equity</x:v>
      </x:c>
      <x:c r="C223" t="str">
        <x:f>IFERROR(IF(0=LEN(ReferenceData!$C$223),"",ReferenceData!$C$223),"")</x:f>
        <x:v/>
      </x:c>
      <x:c r="D223" t="str">
        <x:f>IFERROR(IF(0=LEN(ReferenceData!$D$223),"",ReferenceData!$D$223),"")</x:f>
        <x:v/>
      </x:c>
      <x:c r="E223" t="str">
        <x:f>IFERROR(IF(0=LEN(ReferenceData!$E$223),"",ReferenceData!$E$223),"")</x:f>
        <x:v>Expression</x:v>
      </x:c>
      <x:c r="F223">
        <x:f ca="1">IFERROR(IF(0=LEN(ReferenceData!$F$223),"",ReferenceData!$F$223),"")</x:f>
        <x:v>-0.328623</x:v>
      </x:c>
      <x:c r="G223">
        <x:f ca="1">IFERROR(IF(0=LEN(ReferenceData!$G$223),"",ReferenceData!$G$223),"")</x:f>
        <x:v>-2.4492099999999999</x:v>
      </x:c>
      <x:c r="H223">
        <x:f ca="1">IFERROR(IF(0=LEN(ReferenceData!$H$223),"",ReferenceData!$H$223),"")</x:f>
        <x:v>0</x:v>
      </x:c>
      <x:c r="I223">
        <x:f ca="1">IFERROR(IF(0=LEN(ReferenceData!$I$223),"",ReferenceData!$I$223),"")</x:f>
        <x:v>1.301213</x:v>
      </x:c>
      <x:c r="J223">
        <x:f ca="1">IFERROR(IF(0=LEN(ReferenceData!$J$223),"",ReferenceData!$J$223),"")</x:f>
        <x:v>2.555936</x:v>
      </x:c>
      <x:c r="K223">
        <x:f ca="1">IFERROR(IF(0=LEN(ReferenceData!$K$223),"",ReferenceData!$K$223),"")</x:f>
        <x:v>1.3866210000000001</x:v>
      </x:c>
      <x:c r="L223">
        <x:f ca="1">IFERROR(IF(0=LEN(ReferenceData!$L$223),"",ReferenceData!$L$223),"")</x:f>
        <x:v>-2.1573630000000001</x:v>
      </x:c>
      <x:c r="M223">
        <x:f ca="1">IFERROR(IF(0=LEN(ReferenceData!$M$223),"",ReferenceData!$M$223),"")</x:f>
        <x:v>4.5961489999999996</x:v>
      </x:c>
      <x:c r="N223">
        <x:f ca="1">IFERROR(IF(0=LEN(ReferenceData!$N$223),"",ReferenceData!$N$223),"")</x:f>
        <x:v>2.079393</x:v>
      </x:c>
      <x:c r="O223">
        <x:f ca="1">IFERROR(IF(0=LEN(ReferenceData!$O$223),"",ReferenceData!$O$223),"")</x:f>
        <x:v>2.7059389999999999</x:v>
      </x:c>
      <x:c r="P223">
        <x:f ca="1">IFERROR(IF(0=LEN(ReferenceData!$P$223),"",ReferenceData!$P$223),"")</x:f>
        <x:v>1.473684</x:v>
      </x:c>
      <x:c r="Q223">
        <x:f ca="1">IFERROR(IF(0=LEN(ReferenceData!$Q$223),"",ReferenceData!$Q$223),"")</x:f>
        <x:v>-1.9420949999999999</x:v>
      </x:c>
      <x:c r="R223">
        <x:f ca="1">IFERROR(IF(0=LEN(ReferenceData!$R$223),"",ReferenceData!$R$223),"")</x:f>
        <x:v>7.8652249999999997</x:v>
      </x:c>
      <x:c r="S223">
        <x:f ca="1">IFERROR(IF(0=LEN(ReferenceData!$S$223),"",ReferenceData!$S$223),"")</x:f>
        <x:v>-28.292061</x:v>
      </x:c>
    </x:row>
    <x:row r="224" spans="1:19" x14ac:dyDescent="0.25">
      <x:c r="A224" t="str">
        <x:f>IFERROR(IF(0=LEN(ReferenceData!$A$224),"",ReferenceData!$A$224),"")</x:f>
        <x:v xml:space="preserve">        Invesco S&amp;P 500 Equal Weight F</x:v>
      </x:c>
      <x:c r="B224" t="str">
        <x:f>IFERROR(IF(0=LEN(ReferenceData!$B$224),"",ReferenceData!$B$224),"")</x:f>
        <x:v>RYF US Equity</x:v>
      </x:c>
      <x:c r="C224" t="str">
        <x:f>IFERROR(IF(0=LEN(ReferenceData!$C$224),"",ReferenceData!$C$224),"")</x:f>
        <x:v/>
      </x:c>
      <x:c r="D224" t="str">
        <x:f>IFERROR(IF(0=LEN(ReferenceData!$D$224),"",ReferenceData!$D$224),"")</x:f>
        <x:v/>
      </x:c>
      <x:c r="E224" t="str">
        <x:f>IFERROR(IF(0=LEN(ReferenceData!$E$224),"",ReferenceData!$E$224),"")</x:f>
        <x:v>Expression</x:v>
      </x:c>
      <x:c r="F224">
        <x:f ca="1">IFERROR(IF(0=LEN(ReferenceData!$F$224),"",ReferenceData!$F$224),"")</x:f>
        <x:v>-5.1969609999999999</x:v>
      </x:c>
      <x:c r="G224">
        <x:f ca="1">IFERROR(IF(0=LEN(ReferenceData!$G$224),"",ReferenceData!$G$224),"")</x:f>
        <x:v>-13.048291000000001</x:v>
      </x:c>
      <x:c r="H224">
        <x:f ca="1">IFERROR(IF(0=LEN(ReferenceData!$H$224),"",ReferenceData!$H$224),"")</x:f>
        <x:v>-3.1679849999999998</x:v>
      </x:c>
      <x:c r="I224">
        <x:f ca="1">IFERROR(IF(0=LEN(ReferenceData!$I$224),"",ReferenceData!$I$224),"")</x:f>
        <x:v>-9.9262099999999993</x:v>
      </x:c>
      <x:c r="J224">
        <x:f ca="1">IFERROR(IF(0=LEN(ReferenceData!$J$224),"",ReferenceData!$J$224),"")</x:f>
        <x:v>-15.223258</x:v>
      </x:c>
      <x:c r="K224">
        <x:f ca="1">IFERROR(IF(0=LEN(ReferenceData!$K$224),"",ReferenceData!$K$224),"")</x:f>
        <x:v>-15.250162</x:v>
      </x:c>
      <x:c r="L224" t="str">
        <x:f ca="1">IFERROR(IF(0=LEN(ReferenceData!$L$224),"",ReferenceData!$L$224),"")</x:f>
        <x:v/>
      </x:c>
      <x:c r="M224" t="str">
        <x:f ca="1">IFERROR(IF(0=LEN(ReferenceData!$M$224),"",ReferenceData!$M$224),"")</x:f>
        <x:v/>
      </x:c>
      <x:c r="N224" t="str">
        <x:f ca="1">IFERROR(IF(0=LEN(ReferenceData!$N$224),"",ReferenceData!$N$224),"")</x:f>
        <x:v/>
      </x:c>
      <x:c r="O224" t="str">
        <x:f ca="1">IFERROR(IF(0=LEN(ReferenceData!$O$224),"",ReferenceData!$O$224),"")</x:f>
        <x:v/>
      </x:c>
      <x:c r="P224" t="str">
        <x:f ca="1">IFERROR(IF(0=LEN(ReferenceData!$P$224),"",ReferenceData!$P$224),"")</x:f>
        <x:v/>
      </x:c>
      <x:c r="Q224" t="str">
        <x:f ca="1">IFERROR(IF(0=LEN(ReferenceData!$Q$224),"",ReferenceData!$Q$224),"")</x:f>
        <x:v/>
      </x:c>
      <x:c r="R224" t="str">
        <x:f ca="1">IFERROR(IF(0=LEN(ReferenceData!$R$224),"",ReferenceData!$R$224),"")</x:f>
        <x:v/>
      </x:c>
      <x:c r="S224" t="str">
        <x:f ca="1">IFERROR(IF(0=LEN(ReferenceData!$S$224),"",ReferenceData!$S$224),"")</x:f>
        <x:v/>
      </x:c>
    </x:row>
    <x:row r="225" spans="1:19" x14ac:dyDescent="0.25">
      <x:c r="A225" t="str">
        <x:f>IFERROR(IF(0=LEN(ReferenceData!$A$225),"",ReferenceData!$A$225),"")</x:f>
        <x:v xml:space="preserve">        Invesco S&amp;P SmallCap Financial</x:v>
      </x:c>
      <x:c r="B225" t="str">
        <x:f>IFERROR(IF(0=LEN(ReferenceData!$B$225),"",ReferenceData!$B$225),"")</x:f>
        <x:v>PSCF US Equity</x:v>
      </x:c>
      <x:c r="C225" t="str">
        <x:f>IFERROR(IF(0=LEN(ReferenceData!$C$225),"",ReferenceData!$C$225),"")</x:f>
        <x:v/>
      </x:c>
      <x:c r="D225" t="str">
        <x:f>IFERROR(IF(0=LEN(ReferenceData!$D$225),"",ReferenceData!$D$225),"")</x:f>
        <x:v/>
      </x:c>
      <x:c r="E225" t="str">
        <x:f>IFERROR(IF(0=LEN(ReferenceData!$E$225),"",ReferenceData!$E$225),"")</x:f>
        <x:v>Expression</x:v>
      </x:c>
      <x:c r="F225">
        <x:f ca="1">IFERROR(IF(0=LEN(ReferenceData!$F$225),"",ReferenceData!$F$225),"")</x:f>
        <x:v>-0.39688299999999999</x:v>
      </x:c>
      <x:c r="G225">
        <x:f ca="1">IFERROR(IF(0=LEN(ReferenceData!$G$225),"",ReferenceData!$G$225),"")</x:f>
        <x:v>-0.81796000000000002</x:v>
      </x:c>
      <x:c r="H225">
        <x:f ca="1">IFERROR(IF(0=LEN(ReferenceData!$H$225),"",ReferenceData!$H$225),"")</x:f>
        <x:v>-1.2841450000000001</x:v>
      </x:c>
      <x:c r="I225">
        <x:f ca="1">IFERROR(IF(0=LEN(ReferenceData!$I$225),"",ReferenceData!$I$225),"")</x:f>
        <x:v>0</x:v>
      </x:c>
      <x:c r="J225">
        <x:f ca="1">IFERROR(IF(0=LEN(ReferenceData!$J$225),"",ReferenceData!$J$225),"")</x:f>
        <x:v>-0.47236299999999998</x:v>
      </x:c>
      <x:c r="K225">
        <x:f ca="1">IFERROR(IF(0=LEN(ReferenceData!$K$225),"",ReferenceData!$K$225),"")</x:f>
        <x:v>-0.43011500000000003</x:v>
      </x:c>
      <x:c r="L225">
        <x:f ca="1">IFERROR(IF(0=LEN(ReferenceData!$L$225),"",ReferenceData!$L$225),"")</x:f>
        <x:v>-0.80845500000000003</x:v>
      </x:c>
      <x:c r="M225">
        <x:f ca="1">IFERROR(IF(0=LEN(ReferenceData!$M$225),"",ReferenceData!$M$225),"")</x:f>
        <x:v>-0.84914000000000001</x:v>
      </x:c>
      <x:c r="N225">
        <x:f ca="1">IFERROR(IF(0=LEN(ReferenceData!$N$225),"",ReferenceData!$N$225),"")</x:f>
        <x:v>0</x:v>
      </x:c>
      <x:c r="O225">
        <x:f ca="1">IFERROR(IF(0=LEN(ReferenceData!$O$225),"",ReferenceData!$O$225),"")</x:f>
        <x:v>-0.52008699999999997</x:v>
      </x:c>
      <x:c r="P225">
        <x:f ca="1">IFERROR(IF(0=LEN(ReferenceData!$P$225),"",ReferenceData!$P$225),"")</x:f>
        <x:v>-1.4947919999999999</x:v>
      </x:c>
      <x:c r="Q225">
        <x:f ca="1">IFERROR(IF(0=LEN(ReferenceData!$Q$225),"",ReferenceData!$Q$225),"")</x:f>
        <x:v>-3.400312</x:v>
      </x:c>
      <x:c r="R225">
        <x:f ca="1">IFERROR(IF(0=LEN(ReferenceData!$R$225),"",ReferenceData!$R$225),"")</x:f>
        <x:v>-1.531407</x:v>
      </x:c>
      <x:c r="S225">
        <x:f ca="1">IFERROR(IF(0=LEN(ReferenceData!$S$225),"",ReferenceData!$S$225),"")</x:f>
        <x:v>-0.50183599999999995</x:v>
      </x:c>
    </x:row>
    <x:row r="226" spans="1:19" x14ac:dyDescent="0.25">
      <x:c r="A226" t="str">
        <x:f>IFERROR(IF(0=LEN(ReferenceData!$A$226),"",ReferenceData!$A$226),"")</x:f>
        <x:v xml:space="preserve">        Direxion Daily Financial Bear</x:v>
      </x:c>
      <x:c r="B226" t="str">
        <x:f>IFERROR(IF(0=LEN(ReferenceData!$B$226),"",ReferenceData!$B$226),"")</x:f>
        <x:v>FAZ US Equity</x:v>
      </x:c>
      <x:c r="C226" t="str">
        <x:f>IFERROR(IF(0=LEN(ReferenceData!$C$226),"",ReferenceData!$C$226),"")</x:f>
        <x:v/>
      </x:c>
      <x:c r="D226" t="str">
        <x:f>IFERROR(IF(0=LEN(ReferenceData!$D$226),"",ReferenceData!$D$226),"")</x:f>
        <x:v/>
      </x:c>
      <x:c r="E226" t="str">
        <x:f>IFERROR(IF(0=LEN(ReferenceData!$E$226),"",ReferenceData!$E$226),"")</x:f>
        <x:v>Expression</x:v>
      </x:c>
      <x:c r="F226">
        <x:f ca="1">IFERROR(IF(0=LEN(ReferenceData!$F$226),"",ReferenceData!$F$226),"")</x:f>
        <x:v>20.723890999999998</x:v>
      </x:c>
      <x:c r="G226">
        <x:f ca="1">IFERROR(IF(0=LEN(ReferenceData!$G$226),"",ReferenceData!$G$226),"")</x:f>
        <x:v>-10.377947000000001</x:v>
      </x:c>
      <x:c r="H226">
        <x:f ca="1">IFERROR(IF(0=LEN(ReferenceData!$H$226),"",ReferenceData!$H$226),"")</x:f>
        <x:v>-55.574223000000003</x:v>
      </x:c>
      <x:c r="I226">
        <x:f ca="1">IFERROR(IF(0=LEN(ReferenceData!$I$226),"",ReferenceData!$I$226),"")</x:f>
        <x:v>35.374369999999999</x:v>
      </x:c>
      <x:c r="J226">
        <x:f ca="1">IFERROR(IF(0=LEN(ReferenceData!$J$226),"",ReferenceData!$J$226),"")</x:f>
        <x:v>19.938167</x:v>
      </x:c>
      <x:c r="K226">
        <x:f ca="1">IFERROR(IF(0=LEN(ReferenceData!$K$226),"",ReferenceData!$K$226),"")</x:f>
        <x:v>8.0123049999999996</x:v>
      </x:c>
      <x:c r="L226">
        <x:f ca="1">IFERROR(IF(0=LEN(ReferenceData!$L$226),"",ReferenceData!$L$226),"")</x:f>
        <x:v>-16.727688000000001</x:v>
      </x:c>
      <x:c r="M226">
        <x:f ca="1">IFERROR(IF(0=LEN(ReferenceData!$M$226),"",ReferenceData!$M$226),"")</x:f>
        <x:v>5.2227309999999996</x:v>
      </x:c>
      <x:c r="N226">
        <x:f ca="1">IFERROR(IF(0=LEN(ReferenceData!$N$226),"",ReferenceData!$N$226),"")</x:f>
        <x:v>-50.668731000000001</x:v>
      </x:c>
      <x:c r="O226">
        <x:f ca="1">IFERROR(IF(0=LEN(ReferenceData!$O$226),"",ReferenceData!$O$226),"")</x:f>
        <x:v>-12.991875</x:v>
      </x:c>
      <x:c r="P226">
        <x:f ca="1">IFERROR(IF(0=LEN(ReferenceData!$P$226),"",ReferenceData!$P$226),"")</x:f>
        <x:v>32.834069</x:v>
      </x:c>
      <x:c r="Q226">
        <x:f ca="1">IFERROR(IF(0=LEN(ReferenceData!$Q$226),"",ReferenceData!$Q$226),"")</x:f>
        <x:v>-30.007961000000002</x:v>
      </x:c>
      <x:c r="R226">
        <x:f ca="1">IFERROR(IF(0=LEN(ReferenceData!$R$226),"",ReferenceData!$R$226),"")</x:f>
        <x:v>23.459858000000001</x:v>
      </x:c>
      <x:c r="S226">
        <x:f ca="1">IFERROR(IF(0=LEN(ReferenceData!$S$226),"",ReferenceData!$S$226),"")</x:f>
        <x:v>48.769477000000002</x:v>
      </x:c>
    </x:row>
    <x:row r="227" spans="1:19" x14ac:dyDescent="0.25">
      <x:c r="A227" t="str">
        <x:f>IFERROR(IF(0=LEN(ReferenceData!$A$227),"",ReferenceData!$A$227),"")</x:f>
        <x:v xml:space="preserve">        VanEck BDC Income ETF</x:v>
      </x:c>
      <x:c r="B227" t="str">
        <x:f>IFERROR(IF(0=LEN(ReferenceData!$B$227),"",ReferenceData!$B$227),"")</x:f>
        <x:v>BIZD US Equity</x:v>
      </x:c>
      <x:c r="C227" t="str">
        <x:f>IFERROR(IF(0=LEN(ReferenceData!$C$227),"",ReferenceData!$C$227),"")</x:f>
        <x:v/>
      </x:c>
      <x:c r="D227" t="str">
        <x:f>IFERROR(IF(0=LEN(ReferenceData!$D$227),"",ReferenceData!$D$227),"")</x:f>
        <x:v/>
      </x:c>
      <x:c r="E227" t="str">
        <x:f>IFERROR(IF(0=LEN(ReferenceData!$E$227),"",ReferenceData!$E$227),"")</x:f>
        <x:v>Expression</x:v>
      </x:c>
      <x:c r="F227">
        <x:f ca="1">IFERROR(IF(0=LEN(ReferenceData!$F$227),"",ReferenceData!$F$227),"")</x:f>
        <x:v>10.952680000000001</x:v>
      </x:c>
      <x:c r="G227">
        <x:f ca="1">IFERROR(IF(0=LEN(ReferenceData!$G$227),"",ReferenceData!$G$227),"")</x:f>
        <x:v>17.617141</x:v>
      </x:c>
      <x:c r="H227">
        <x:f ca="1">IFERROR(IF(0=LEN(ReferenceData!$H$227),"",ReferenceData!$H$227),"")</x:f>
        <x:v>56.018616000000002</x:v>
      </x:c>
      <x:c r="I227">
        <x:f ca="1">IFERROR(IF(0=LEN(ReferenceData!$I$227),"",ReferenceData!$I$227),"")</x:f>
        <x:v>10.380319999999999</x:v>
      </x:c>
      <x:c r="J227">
        <x:f ca="1">IFERROR(IF(0=LEN(ReferenceData!$J$227),"",ReferenceData!$J$227),"")</x:f>
        <x:v>-4.424404</x:v>
      </x:c>
      <x:c r="K227">
        <x:f ca="1">IFERROR(IF(0=LEN(ReferenceData!$K$227),"",ReferenceData!$K$227),"")</x:f>
        <x:v>32.899883000000003</x:v>
      </x:c>
      <x:c r="L227">
        <x:f ca="1">IFERROR(IF(0=LEN(ReferenceData!$L$227),"",ReferenceData!$L$227),"")</x:f>
        <x:v>7.5056710000000004</x:v>
      </x:c>
      <x:c r="M227">
        <x:f ca="1">IFERROR(IF(0=LEN(ReferenceData!$M$227),"",ReferenceData!$M$227),"")</x:f>
        <x:v>3.6939030000000002</x:v>
      </x:c>
      <x:c r="N227">
        <x:f ca="1">IFERROR(IF(0=LEN(ReferenceData!$N$227),"",ReferenceData!$N$227),"")</x:f>
        <x:v>18.030750000000001</x:v>
      </x:c>
      <x:c r="O227">
        <x:f ca="1">IFERROR(IF(0=LEN(ReferenceData!$O$227),"",ReferenceData!$O$227),"")</x:f>
        <x:v>16.698191999999999</x:v>
      </x:c>
      <x:c r="P227">
        <x:f ca="1">IFERROR(IF(0=LEN(ReferenceData!$P$227),"",ReferenceData!$P$227),"")</x:f>
        <x:v>8.9655140000000006</x:v>
      </x:c>
      <x:c r="Q227">
        <x:f ca="1">IFERROR(IF(0=LEN(ReferenceData!$Q$227),"",ReferenceData!$Q$227),"")</x:f>
        <x:v>19.715032999999998</x:v>
      </x:c>
      <x:c r="R227">
        <x:f ca="1">IFERROR(IF(0=LEN(ReferenceData!$R$227),"",ReferenceData!$R$227),"")</x:f>
        <x:v>7.6623080000000003</x:v>
      </x:c>
      <x:c r="S227">
        <x:f ca="1">IFERROR(IF(0=LEN(ReferenceData!$S$227),"",ReferenceData!$S$227),"")</x:f>
        <x:v>12.710775999999999</x:v>
      </x:c>
    </x:row>
    <x:row r="228" spans="1:19" x14ac:dyDescent="0.25">
      <x:c r="A228" t="str">
        <x:f>IFERROR(IF(0=LEN(ReferenceData!$A$228),"",ReferenceData!$A$228),"")</x:f>
        <x:v xml:space="preserve">        iShares U.S. Insurance ETF</x:v>
      </x:c>
      <x:c r="B228" t="str">
        <x:f>IFERROR(IF(0=LEN(ReferenceData!$B$228),"",ReferenceData!$B$228),"")</x:f>
        <x:v>IAK US Equity</x:v>
      </x:c>
      <x:c r="C228" t="str">
        <x:f>IFERROR(IF(0=LEN(ReferenceData!$C$228),"",ReferenceData!$C$228),"")</x:f>
        <x:v/>
      </x:c>
      <x:c r="D228" t="str">
        <x:f>IFERROR(IF(0=LEN(ReferenceData!$D$228),"",ReferenceData!$D$228),"")</x:f>
        <x:v/>
      </x:c>
      <x:c r="E228" t="str">
        <x:f>IFERROR(IF(0=LEN(ReferenceData!$E$228),"",ReferenceData!$E$228),"")</x:f>
        <x:v>Expression</x:v>
      </x:c>
      <x:c r="F228">
        <x:f ca="1">IFERROR(IF(0=LEN(ReferenceData!$F$228),"",ReferenceData!$F$228),"")</x:f>
        <x:v>-4.7960240000000001</x:v>
      </x:c>
      <x:c r="G228">
        <x:f ca="1">IFERROR(IF(0=LEN(ReferenceData!$G$228),"",ReferenceData!$G$228),"")</x:f>
        <x:v>27.861105999999999</x:v>
      </x:c>
      <x:c r="H228">
        <x:f ca="1">IFERROR(IF(0=LEN(ReferenceData!$H$228),"",ReferenceData!$H$228),"")</x:f>
        <x:v>0</x:v>
      </x:c>
      <x:c r="I228">
        <x:f ca="1">IFERROR(IF(0=LEN(ReferenceData!$I$228),"",ReferenceData!$I$228),"")</x:f>
        <x:v>-31.754245000000001</x:v>
      </x:c>
      <x:c r="J228">
        <x:f ca="1">IFERROR(IF(0=LEN(ReferenceData!$J$228),"",ReferenceData!$J$228),"")</x:f>
        <x:v>-13.008355</x:v>
      </x:c>
      <x:c r="K228">
        <x:f ca="1">IFERROR(IF(0=LEN(ReferenceData!$K$228),"",ReferenceData!$K$228),"")</x:f>
        <x:v>-42.951700000000002</x:v>
      </x:c>
      <x:c r="L228">
        <x:f ca="1">IFERROR(IF(0=LEN(ReferenceData!$L$228),"",ReferenceData!$L$228),"")</x:f>
        <x:v>-30.103525000000001</x:v>
      </x:c>
      <x:c r="M228">
        <x:f ca="1">IFERROR(IF(0=LEN(ReferenceData!$M$228),"",ReferenceData!$M$228),"")</x:f>
        <x:v>-17.338405000000002</x:v>
      </x:c>
      <x:c r="N228">
        <x:f ca="1">IFERROR(IF(0=LEN(ReferenceData!$N$228),"",ReferenceData!$N$228),"")</x:f>
        <x:v>-71.188119999999998</x:v>
      </x:c>
      <x:c r="O228">
        <x:f ca="1">IFERROR(IF(0=LEN(ReferenceData!$O$228),"",ReferenceData!$O$228),"")</x:f>
        <x:v>-9.3543249999999993</x:v>
      </x:c>
      <x:c r="P228">
        <x:f ca="1">IFERROR(IF(0=LEN(ReferenceData!$P$228),"",ReferenceData!$P$228),"")</x:f>
        <x:v>0.16549</x:v>
      </x:c>
      <x:c r="Q228">
        <x:f ca="1">IFERROR(IF(0=LEN(ReferenceData!$Q$228),"",ReferenceData!$Q$228),"")</x:f>
        <x:v>18.34592</x:v>
      </x:c>
      <x:c r="R228">
        <x:f ca="1">IFERROR(IF(0=LEN(ReferenceData!$R$228),"",ReferenceData!$R$228),"")</x:f>
        <x:v>127.440675</x:v>
      </x:c>
      <x:c r="S228">
        <x:f ca="1">IFERROR(IF(0=LEN(ReferenceData!$S$228),"",ReferenceData!$S$228),"")</x:f>
        <x:v>59.338155</x:v>
      </x:c>
    </x:row>
    <x:row r="229" spans="1:19" x14ac:dyDescent="0.25">
      <x:c r="A229" t="str">
        <x:f>IFERROR(IF(0=LEN(ReferenceData!$A$229),"",ReferenceData!$A$229),"")</x:f>
        <x:v xml:space="preserve">        Invesco KBW Regional Banking E</x:v>
      </x:c>
      <x:c r="B229" t="str">
        <x:f>IFERROR(IF(0=LEN(ReferenceData!$B$229),"",ReferenceData!$B$229),"")</x:f>
        <x:v>KBWR US Equity</x:v>
      </x:c>
      <x:c r="C229" t="str">
        <x:f>IFERROR(IF(0=LEN(ReferenceData!$C$229),"",ReferenceData!$C$229),"")</x:f>
        <x:v/>
      </x:c>
      <x:c r="D229" t="str">
        <x:f>IFERROR(IF(0=LEN(ReferenceData!$D$229),"",ReferenceData!$D$229),"")</x:f>
        <x:v/>
      </x:c>
      <x:c r="E229" t="str">
        <x:f>IFERROR(IF(0=LEN(ReferenceData!$E$229),"",ReferenceData!$E$229),"")</x:f>
        <x:v>Expression</x:v>
      </x:c>
      <x:c r="F229">
        <x:f ca="1">IFERROR(IF(0=LEN(ReferenceData!$F$229),"",ReferenceData!$F$229),"")</x:f>
        <x:v>0</x:v>
      </x:c>
      <x:c r="G229">
        <x:f ca="1">IFERROR(IF(0=LEN(ReferenceData!$G$229),"",ReferenceData!$G$229),"")</x:f>
        <x:v>-2.1445750000000001</x:v>
      </x:c>
      <x:c r="H229">
        <x:f ca="1">IFERROR(IF(0=LEN(ReferenceData!$H$229),"",ReferenceData!$H$229),"")</x:f>
        <x:v>-2.6217779999999999</x:v>
      </x:c>
      <x:c r="I229">
        <x:f ca="1">IFERROR(IF(0=LEN(ReferenceData!$I$229),"",ReferenceData!$I$229),"")</x:f>
        <x:v>-0.51330100000000001</x:v>
      </x:c>
      <x:c r="J229">
        <x:f ca="1">IFERROR(IF(0=LEN(ReferenceData!$J$229),"",ReferenceData!$J$229),"")</x:f>
        <x:v>-4.6838810000000004</x:v>
      </x:c>
      <x:c r="K229">
        <x:f ca="1">IFERROR(IF(0=LEN(ReferenceData!$K$229),"",ReferenceData!$K$229),"")</x:f>
        <x:v>0.45363199999999998</x:v>
      </x:c>
      <x:c r="L229">
        <x:f ca="1">IFERROR(IF(0=LEN(ReferenceData!$L$229),"",ReferenceData!$L$229),"")</x:f>
        <x:v>2.9745900000000001</x:v>
      </x:c>
      <x:c r="M229">
        <x:f ca="1">IFERROR(IF(0=LEN(ReferenceData!$M$229),"",ReferenceData!$M$229),"")</x:f>
        <x:v>0.92413900000000004</x:v>
      </x:c>
      <x:c r="N229">
        <x:f ca="1">IFERROR(IF(0=LEN(ReferenceData!$N$229),"",ReferenceData!$N$229),"")</x:f>
        <x:v>9.0641510000000007</x:v>
      </x:c>
      <x:c r="O229">
        <x:f ca="1">IFERROR(IF(0=LEN(ReferenceData!$O$229),"",ReferenceData!$O$229),"")</x:f>
        <x:v>-4.7756819999999998</x:v>
      </x:c>
      <x:c r="P229">
        <x:f ca="1">IFERROR(IF(0=LEN(ReferenceData!$P$229),"",ReferenceData!$P$229),"")</x:f>
        <x:v>-1.7241649999999999</x:v>
      </x:c>
      <x:c r="Q229">
        <x:f ca="1">IFERROR(IF(0=LEN(ReferenceData!$Q$229),"",ReferenceData!$Q$229),"")</x:f>
        <x:v>-11.244070000000001</x:v>
      </x:c>
      <x:c r="R229">
        <x:f ca="1">IFERROR(IF(0=LEN(ReferenceData!$R$229),"",ReferenceData!$R$229),"")</x:f>
        <x:v>4.9462700000000002</x:v>
      </x:c>
      <x:c r="S229">
        <x:f ca="1">IFERROR(IF(0=LEN(ReferenceData!$S$229),"",ReferenceData!$S$229),"")</x:f>
        <x:v>-3.175E-2</x:v>
      </x:c>
    </x:row>
    <x:row r="230" spans="1:19" x14ac:dyDescent="0.25">
      <x:c r="A230" t="str">
        <x:f>IFERROR(IF(0=LEN(ReferenceData!$A$230),"",ReferenceData!$A$230),"")</x:f>
        <x:v xml:space="preserve">        iShares U.S. Broker-Dealers &amp;</x:v>
      </x:c>
      <x:c r="B230" t="str">
        <x:f>IFERROR(IF(0=LEN(ReferenceData!$B$230),"",ReferenceData!$B$230),"")</x:f>
        <x:v>IAI US Equity</x:v>
      </x:c>
      <x:c r="C230" t="str">
        <x:f>IFERROR(IF(0=LEN(ReferenceData!$C$230),"",ReferenceData!$C$230),"")</x:f>
        <x:v/>
      </x:c>
      <x:c r="D230" t="str">
        <x:f>IFERROR(IF(0=LEN(ReferenceData!$D$230),"",ReferenceData!$D$230),"")</x:f>
        <x:v/>
      </x:c>
      <x:c r="E230" t="str">
        <x:f>IFERROR(IF(0=LEN(ReferenceData!$E$230),"",ReferenceData!$E$230),"")</x:f>
        <x:v>Expression</x:v>
      </x:c>
      <x:c r="F230">
        <x:f ca="1">IFERROR(IF(0=LEN(ReferenceData!$F$230),"",ReferenceData!$F$230),"")</x:f>
        <x:v>-4.5216789999999998</x:v>
      </x:c>
      <x:c r="G230">
        <x:f ca="1">IFERROR(IF(0=LEN(ReferenceData!$G$230),"",ReferenceData!$G$230),"")</x:f>
        <x:v>4.1777499999999996</x:v>
      </x:c>
      <x:c r="H230">
        <x:f ca="1">IFERROR(IF(0=LEN(ReferenceData!$H$230),"",ReferenceData!$H$230),"")</x:f>
        <x:v>-4.6283799999999999</x:v>
      </x:c>
      <x:c r="I230">
        <x:f ca="1">IFERROR(IF(0=LEN(ReferenceData!$I$230),"",ReferenceData!$I$230),"")</x:f>
        <x:v>-14.089130000000001</x:v>
      </x:c>
      <x:c r="J230">
        <x:f ca="1">IFERROR(IF(0=LEN(ReferenceData!$J$230),"",ReferenceData!$J$230),"")</x:f>
        <x:v>-31.59975</x:v>
      </x:c>
      <x:c r="K230">
        <x:f ca="1">IFERROR(IF(0=LEN(ReferenceData!$K$230),"",ReferenceData!$K$230),"")</x:f>
        <x:v>-213.05748</x:v>
      </x:c>
      <x:c r="L230">
        <x:f ca="1">IFERROR(IF(0=LEN(ReferenceData!$L$230),"",ReferenceData!$L$230),"")</x:f>
        <x:v>-17.602720000000001</x:v>
      </x:c>
      <x:c r="M230">
        <x:f ca="1">IFERROR(IF(0=LEN(ReferenceData!$M$230),"",ReferenceData!$M$230),"")</x:f>
        <x:v>-97.356899999999996</x:v>
      </x:c>
      <x:c r="N230">
        <x:f ca="1">IFERROR(IF(0=LEN(ReferenceData!$N$230),"",ReferenceData!$N$230),"")</x:f>
        <x:v>-25.413160000000001</x:v>
      </x:c>
      <x:c r="O230">
        <x:f ca="1">IFERROR(IF(0=LEN(ReferenceData!$O$230),"",ReferenceData!$O$230),"")</x:f>
        <x:v>-9.915025</x:v>
      </x:c>
      <x:c r="P230">
        <x:f ca="1">IFERROR(IF(0=LEN(ReferenceData!$P$230),"",ReferenceData!$P$230),"")</x:f>
        <x:v>15.184125</x:v>
      </x:c>
      <x:c r="Q230">
        <x:f ca="1">IFERROR(IF(0=LEN(ReferenceData!$Q$230),"",ReferenceData!$Q$230),"")</x:f>
        <x:v>9.5728100000000005</x:v>
      </x:c>
      <x:c r="R230">
        <x:f ca="1">IFERROR(IF(0=LEN(ReferenceData!$R$230),"",ReferenceData!$R$230),"")</x:f>
        <x:v>297.13851499999998</x:v>
      </x:c>
      <x:c r="S230">
        <x:f ca="1">IFERROR(IF(0=LEN(ReferenceData!$S$230),"",ReferenceData!$S$230),"")</x:f>
        <x:v>5.0556349999999997</x:v>
      </x:c>
    </x:row>
    <x:row r="231" spans="1:19" x14ac:dyDescent="0.25">
      <x:c r="A231" t="str">
        <x:f>IFERROR(IF(0=LEN(ReferenceData!$A$231),"",ReferenceData!$A$231),"")</x:f>
        <x:v xml:space="preserve">        Invesco KBW Property &amp; Casualt</x:v>
      </x:c>
      <x:c r="B231" t="str">
        <x:f>IFERROR(IF(0=LEN(ReferenceData!$B$231),"",ReferenceData!$B$231),"")</x:f>
        <x:v>KBWP US Equity</x:v>
      </x:c>
      <x:c r="C231" t="str">
        <x:f>IFERROR(IF(0=LEN(ReferenceData!$C$231),"",ReferenceData!$C$231),"")</x:f>
        <x:v/>
      </x:c>
      <x:c r="D231" t="str">
        <x:f>IFERROR(IF(0=LEN(ReferenceData!$D$231),"",ReferenceData!$D$231),"")</x:f>
        <x:v/>
      </x:c>
      <x:c r="E231" t="str">
        <x:f>IFERROR(IF(0=LEN(ReferenceData!$E$231),"",ReferenceData!$E$231),"")</x:f>
        <x:v>Expression</x:v>
      </x:c>
      <x:c r="F231">
        <x:f ca="1">IFERROR(IF(0=LEN(ReferenceData!$F$231),"",ReferenceData!$F$231),"")</x:f>
        <x:v>16.889413000000001</x:v>
      </x:c>
      <x:c r="G231">
        <x:f ca="1">IFERROR(IF(0=LEN(ReferenceData!$G$231),"",ReferenceData!$G$231),"")</x:f>
        <x:v>9.4195609999999999</x:v>
      </x:c>
      <x:c r="H231">
        <x:f ca="1">IFERROR(IF(0=LEN(ReferenceData!$H$231),"",ReferenceData!$H$231),"")</x:f>
        <x:v>-3.3903989999999999</x:v>
      </x:c>
      <x:c r="I231">
        <x:f ca="1">IFERROR(IF(0=LEN(ReferenceData!$I$231),"",ReferenceData!$I$231),"")</x:f>
        <x:v>-57.438426</x:v>
      </x:c>
      <x:c r="J231">
        <x:f ca="1">IFERROR(IF(0=LEN(ReferenceData!$J$231),"",ReferenceData!$J$231),"")</x:f>
        <x:v>-81.302959999999999</x:v>
      </x:c>
      <x:c r="K231">
        <x:f ca="1">IFERROR(IF(0=LEN(ReferenceData!$K$231),"",ReferenceData!$K$231),"")</x:f>
        <x:v>-47.341996000000002</x:v>
      </x:c>
      <x:c r="L231">
        <x:f ca="1">IFERROR(IF(0=LEN(ReferenceData!$L$231),"",ReferenceData!$L$231),"")</x:f>
        <x:v>-25.876083999999999</x:v>
      </x:c>
      <x:c r="M231">
        <x:f ca="1">IFERROR(IF(0=LEN(ReferenceData!$M$231),"",ReferenceData!$M$231),"")</x:f>
        <x:v>-6.7672100000000004</x:v>
      </x:c>
      <x:c r="N231">
        <x:f ca="1">IFERROR(IF(0=LEN(ReferenceData!$N$231),"",ReferenceData!$N$231),"")</x:f>
        <x:v>-7.754264</x:v>
      </x:c>
      <x:c r="O231">
        <x:f ca="1">IFERROR(IF(0=LEN(ReferenceData!$O$231),"",ReferenceData!$O$231),"")</x:f>
        <x:v>29.831900000000001</x:v>
      </x:c>
      <x:c r="P231">
        <x:f ca="1">IFERROR(IF(0=LEN(ReferenceData!$P$231),"",ReferenceData!$P$231),"")</x:f>
        <x:v>3.028486</x:v>
      </x:c>
      <x:c r="Q231">
        <x:f ca="1">IFERROR(IF(0=LEN(ReferenceData!$Q$231),"",ReferenceData!$Q$231),"")</x:f>
        <x:v>29.558973999999999</x:v>
      </x:c>
      <x:c r="R231">
        <x:f ca="1">IFERROR(IF(0=LEN(ReferenceData!$R$231),"",ReferenceData!$R$231),"")</x:f>
        <x:v>11.134637</x:v>
      </x:c>
      <x:c r="S231">
        <x:f ca="1">IFERROR(IF(0=LEN(ReferenceData!$S$231),"",ReferenceData!$S$231),"")</x:f>
        <x:v>-9.0441990000000008</x:v>
      </x:c>
    </x:row>
    <x:row r="232" spans="1:19" x14ac:dyDescent="0.25">
      <x:c r="A232" t="str">
        <x:f>IFERROR(IF(0=LEN(ReferenceData!$A$232),"",ReferenceData!$A$232),"")</x:f>
        <x:v xml:space="preserve">        SPDR S&amp;P Capital Markets ETF</x:v>
      </x:c>
      <x:c r="B232" t="str">
        <x:f>IFERROR(IF(0=LEN(ReferenceData!$B$232),"",ReferenceData!$B$232),"")</x:f>
        <x:v>KCE US Equity</x:v>
      </x:c>
      <x:c r="C232" t="str">
        <x:f>IFERROR(IF(0=LEN(ReferenceData!$C$232),"",ReferenceData!$C$232),"")</x:f>
        <x:v/>
      </x:c>
      <x:c r="D232" t="str">
        <x:f>IFERROR(IF(0=LEN(ReferenceData!$D$232),"",ReferenceData!$D$232),"")</x:f>
        <x:v/>
      </x:c>
      <x:c r="E232" t="str">
        <x:f>IFERROR(IF(0=LEN(ReferenceData!$E$232),"",ReferenceData!$E$232),"")</x:f>
        <x:v>Expression</x:v>
      </x:c>
      <x:c r="F232">
        <x:f ca="1">IFERROR(IF(0=LEN(ReferenceData!$F$232),"",ReferenceData!$F$232),"")</x:f>
        <x:v>-92.302048999999997</x:v>
      </x:c>
      <x:c r="G232">
        <x:f ca="1">IFERROR(IF(0=LEN(ReferenceData!$G$232),"",ReferenceData!$G$232),"")</x:f>
        <x:v>10.637033000000001</x:v>
      </x:c>
      <x:c r="H232">
        <x:f ca="1">IFERROR(IF(0=LEN(ReferenceData!$H$232),"",ReferenceData!$H$232),"")</x:f>
        <x:v>102.936903</x:v>
      </x:c>
      <x:c r="I232">
        <x:f ca="1">IFERROR(IF(0=LEN(ReferenceData!$I$232),"",ReferenceData!$I$232),"")</x:f>
        <x:v>71.440500999999998</x:v>
      </x:c>
      <x:c r="J232">
        <x:f ca="1">IFERROR(IF(0=LEN(ReferenceData!$J$232),"",ReferenceData!$J$232),"")</x:f>
        <x:v>4.5688279999999999</x:v>
      </x:c>
      <x:c r="K232">
        <x:f ca="1">IFERROR(IF(0=LEN(ReferenceData!$K$232),"",ReferenceData!$K$232),"")</x:f>
        <x:v>29.087081000000001</x:v>
      </x:c>
      <x:c r="L232">
        <x:f ca="1">IFERROR(IF(0=LEN(ReferenceData!$L$232),"",ReferenceData!$L$232),"")</x:f>
        <x:v>-3.9426100000000002</x:v>
      </x:c>
      <x:c r="M232">
        <x:f ca="1">IFERROR(IF(0=LEN(ReferenceData!$M$232),"",ReferenceData!$M$232),"")</x:f>
        <x:v>-2.0171100000000002</x:v>
      </x:c>
      <x:c r="N232">
        <x:f ca="1">IFERROR(IF(0=LEN(ReferenceData!$N$232),"",ReferenceData!$N$232),"")</x:f>
        <x:v>-1.1903E-2</x:v>
      </x:c>
      <x:c r="O232">
        <x:f ca="1">IFERROR(IF(0=LEN(ReferenceData!$O$232),"",ReferenceData!$O$232),"")</x:f>
        <x:v>0</x:v>
      </x:c>
      <x:c r="P232">
        <x:f ca="1">IFERROR(IF(0=LEN(ReferenceData!$P$232),"",ReferenceData!$P$232),"")</x:f>
        <x:v>6.4173039999999997</x:v>
      </x:c>
      <x:c r="Q232">
        <x:f ca="1">IFERROR(IF(0=LEN(ReferenceData!$Q$232),"",ReferenceData!$Q$232),"")</x:f>
        <x:v>1.9970030000000001</x:v>
      </x:c>
      <x:c r="R232">
        <x:f ca="1">IFERROR(IF(0=LEN(ReferenceData!$R$232),"",ReferenceData!$R$232),"")</x:f>
        <x:v>-2.1551659999999999</x:v>
      </x:c>
      <x:c r="S232">
        <x:f ca="1">IFERROR(IF(0=LEN(ReferenceData!$S$232),"",ReferenceData!$S$232),"")</x:f>
        <x:v>-1.8009280000000001</x:v>
      </x:c>
    </x:row>
    <x:row r="233" spans="1:19" x14ac:dyDescent="0.25">
      <x:c r="A233" t="str">
        <x:f>IFERROR(IF(0=LEN(ReferenceData!$A$233),"",ReferenceData!$A$233),"")</x:f>
        <x:v xml:space="preserve">        Invesco DWA Financial Momentum</x:v>
      </x:c>
      <x:c r="B233" t="str">
        <x:f>IFERROR(IF(0=LEN(ReferenceData!$B$233),"",ReferenceData!$B$233),"")</x:f>
        <x:v>PFI US Equity</x:v>
      </x:c>
      <x:c r="C233" t="str">
        <x:f>IFERROR(IF(0=LEN(ReferenceData!$C$233),"",ReferenceData!$C$233),"")</x:f>
        <x:v/>
      </x:c>
      <x:c r="D233" t="str">
        <x:f>IFERROR(IF(0=LEN(ReferenceData!$D$233),"",ReferenceData!$D$233),"")</x:f>
        <x:v/>
      </x:c>
      <x:c r="E233" t="str">
        <x:f>IFERROR(IF(0=LEN(ReferenceData!$E$233),"",ReferenceData!$E$233),"")</x:f>
        <x:v>Expression</x:v>
      </x:c>
      <x:c r="F233">
        <x:f ca="1">IFERROR(IF(0=LEN(ReferenceData!$F$233),"",ReferenceData!$F$233),"")</x:f>
        <x:v>-0.82346799999999998</x:v>
      </x:c>
      <x:c r="G233">
        <x:f ca="1">IFERROR(IF(0=LEN(ReferenceData!$G$233),"",ReferenceData!$G$233),"")</x:f>
        <x:v>0</x:v>
      </x:c>
      <x:c r="H233">
        <x:f ca="1">IFERROR(IF(0=LEN(ReferenceData!$H$233),"",ReferenceData!$H$233),"")</x:f>
        <x:v>-0.41443799999999997</x:v>
      </x:c>
      <x:c r="I233">
        <x:f ca="1">IFERROR(IF(0=LEN(ReferenceData!$I$233),"",ReferenceData!$I$233),"")</x:f>
        <x:v>-0.84326500000000004</x:v>
      </x:c>
      <x:c r="J233">
        <x:f ca="1">IFERROR(IF(0=LEN(ReferenceData!$J$233),"",ReferenceData!$J$233),"")</x:f>
        <x:v>0</x:v>
      </x:c>
      <x:c r="K233">
        <x:f ca="1">IFERROR(IF(0=LEN(ReferenceData!$K$233),"",ReferenceData!$K$233),"")</x:f>
        <x:v>-1.6475660000000001</x:v>
      </x:c>
      <x:c r="L233">
        <x:f ca="1">IFERROR(IF(0=LEN(ReferenceData!$L$233),"",ReferenceData!$L$233),"")</x:f>
        <x:v>-0.40392699999999998</x:v>
      </x:c>
      <x:c r="M233">
        <x:f ca="1">IFERROR(IF(0=LEN(ReferenceData!$M$233),"",ReferenceData!$M$233),"")</x:f>
        <x:v>-0.81853200000000004</x:v>
      </x:c>
      <x:c r="N233">
        <x:f ca="1">IFERROR(IF(0=LEN(ReferenceData!$N$233),"",ReferenceData!$N$233),"")</x:f>
        <x:v>-3.1027149999999999</x:v>
      </x:c>
      <x:c r="O233">
        <x:f ca="1">IFERROR(IF(0=LEN(ReferenceData!$O$233),"",ReferenceData!$O$233),"")</x:f>
        <x:v>-0.87512900000000005</x:v>
      </x:c>
      <x:c r="P233">
        <x:f ca="1">IFERROR(IF(0=LEN(ReferenceData!$P$233),"",ReferenceData!$P$233),"")</x:f>
        <x:v>-26.479431000000002</x:v>
      </x:c>
      <x:c r="Q233">
        <x:f ca="1">IFERROR(IF(0=LEN(ReferenceData!$Q$233),"",ReferenceData!$Q$233),"")</x:f>
        <x:v>0</x:v>
      </x:c>
      <x:c r="R233">
        <x:f ca="1">IFERROR(IF(0=LEN(ReferenceData!$R$233),"",ReferenceData!$R$233),"")</x:f>
        <x:v>5.2500000000000003E-3</x:v>
      </x:c>
      <x:c r="S233">
        <x:f ca="1">IFERROR(IF(0=LEN(ReferenceData!$S$233),"",ReferenceData!$S$233),"")</x:f>
        <x:v>-1.717973</x:v>
      </x:c>
    </x:row>
    <x:row r="234" spans="1:19" x14ac:dyDescent="0.25">
      <x:c r="A234" t="str">
        <x:f>IFERROR(IF(0=LEN(ReferenceData!$A$234),"",ReferenceData!$A$234),"")</x:f>
        <x:v xml:space="preserve">        Davis Select Financial ETF</x:v>
      </x:c>
      <x:c r="B234" t="str">
        <x:f>IFERROR(IF(0=LEN(ReferenceData!$B$234),"",ReferenceData!$B$234),"")</x:f>
        <x:v>DFNL US Equity</x:v>
      </x:c>
      <x:c r="C234" t="str">
        <x:f>IFERROR(IF(0=LEN(ReferenceData!$C$234),"",ReferenceData!$C$234),"")</x:f>
        <x:v/>
      </x:c>
      <x:c r="D234" t="str">
        <x:f>IFERROR(IF(0=LEN(ReferenceData!$D$234),"",ReferenceData!$D$234),"")</x:f>
        <x:v/>
      </x:c>
      <x:c r="E234" t="str">
        <x:f>IFERROR(IF(0=LEN(ReferenceData!$E$234),"",ReferenceData!$E$234),"")</x:f>
        <x:v>Expression</x:v>
      </x:c>
      <x:c r="F234">
        <x:f ca="1">IFERROR(IF(0=LEN(ReferenceData!$F$234),"",ReferenceData!$F$234),"")</x:f>
        <x:v>-2.7702</x:v>
      </x:c>
      <x:c r="G234">
        <x:f ca="1">IFERROR(IF(0=LEN(ReferenceData!$G$234),"",ReferenceData!$G$234),"")</x:f>
        <x:v>0</x:v>
      </x:c>
      <x:c r="H234">
        <x:f ca="1">IFERROR(IF(0=LEN(ReferenceData!$H$234),"",ReferenceData!$H$234),"")</x:f>
        <x:v>-1.3724780000000001</x:v>
      </x:c>
      <x:c r="I234">
        <x:f ca="1">IFERROR(IF(0=LEN(ReferenceData!$I$234),"",ReferenceData!$I$234),"")</x:f>
        <x:v>-2.7535099999999999</x:v>
      </x:c>
      <x:c r="J234">
        <x:f ca="1">IFERROR(IF(0=LEN(ReferenceData!$J$234),"",ReferenceData!$J$234),"")</x:f>
        <x:v>0</x:v>
      </x:c>
      <x:c r="K234">
        <x:f ca="1">IFERROR(IF(0=LEN(ReferenceData!$K$234),"",ReferenceData!$K$234),"")</x:f>
        <x:v>0</x:v>
      </x:c>
      <x:c r="L234">
        <x:f ca="1">IFERROR(IF(0=LEN(ReferenceData!$L$234),"",ReferenceData!$L$234),"")</x:f>
        <x:v>0</x:v>
      </x:c>
      <x:c r="M234">
        <x:f ca="1">IFERROR(IF(0=LEN(ReferenceData!$M$234),"",ReferenceData!$M$234),"")</x:f>
        <x:v>-2.6206999999999998</x:v>
      </x:c>
      <x:c r="N234">
        <x:f ca="1">IFERROR(IF(0=LEN(ReferenceData!$N$234),"",ReferenceData!$N$234),"")</x:f>
        <x:v>0</x:v>
      </x:c>
      <x:c r="O234">
        <x:f ca="1">IFERROR(IF(0=LEN(ReferenceData!$O$234),"",ReferenceData!$O$234),"")</x:f>
        <x:v>-5.8680380000000003</x:v>
      </x:c>
      <x:c r="P234">
        <x:f ca="1">IFERROR(IF(0=LEN(ReferenceData!$P$234),"",ReferenceData!$P$234),"")</x:f>
        <x:v>0</x:v>
      </x:c>
      <x:c r="Q234">
        <x:f ca="1">IFERROR(IF(0=LEN(ReferenceData!$Q$234),"",ReferenceData!$Q$234),"")</x:f>
        <x:v>0</x:v>
      </x:c>
      <x:c r="R234">
        <x:f ca="1">IFERROR(IF(0=LEN(ReferenceData!$R$234),"",ReferenceData!$R$234),"")</x:f>
        <x:v>0</x:v>
      </x:c>
      <x:c r="S234">
        <x:f ca="1">IFERROR(IF(0=LEN(ReferenceData!$S$234),"",ReferenceData!$S$234),"")</x:f>
        <x:v>0</x:v>
      </x:c>
    </x:row>
    <x:row r="235" spans="1:19" x14ac:dyDescent="0.25">
      <x:c r="A235" t="str">
        <x:f>IFERROR(IF(0=LEN(ReferenceData!$A$235),"",ReferenceData!$A$235),"")</x:f>
        <x:v xml:space="preserve">        ProShares UltraShort Financial</x:v>
      </x:c>
      <x:c r="B235" t="str">
        <x:f>IFERROR(IF(0=LEN(ReferenceData!$B$235),"",ReferenceData!$B$235),"")</x:f>
        <x:v>SKF US Equity</x:v>
      </x:c>
      <x:c r="C235" t="str">
        <x:f>IFERROR(IF(0=LEN(ReferenceData!$C$235),"",ReferenceData!$C$235),"")</x:f>
        <x:v/>
      </x:c>
      <x:c r="D235" t="str">
        <x:f>IFERROR(IF(0=LEN(ReferenceData!$D$235),"",ReferenceData!$D$235),"")</x:f>
        <x:v/>
      </x:c>
      <x:c r="E235" t="str">
        <x:f>IFERROR(IF(0=LEN(ReferenceData!$E$235),"",ReferenceData!$E$235),"")</x:f>
        <x:v>Expression</x:v>
      </x:c>
      <x:c r="F235">
        <x:f ca="1">IFERROR(IF(0=LEN(ReferenceData!$F$235),"",ReferenceData!$F$235),"")</x:f>
        <x:v>-0.93774500000000005</x:v>
      </x:c>
      <x:c r="G235">
        <x:f ca="1">IFERROR(IF(0=LEN(ReferenceData!$G$235),"",ReferenceData!$G$235),"")</x:f>
        <x:v>0.508992</x:v>
      </x:c>
      <x:c r="H235">
        <x:f ca="1">IFERROR(IF(0=LEN(ReferenceData!$H$235),"",ReferenceData!$H$235),"")</x:f>
        <x:v>-0.96329299999999995</x:v>
      </x:c>
      <x:c r="I235">
        <x:f ca="1">IFERROR(IF(0=LEN(ReferenceData!$I$235),"",ReferenceData!$I$235),"")</x:f>
        <x:v>-0.42168</x:v>
      </x:c>
      <x:c r="J235">
        <x:f ca="1">IFERROR(IF(0=LEN(ReferenceData!$J$235),"",ReferenceData!$J$235),"")</x:f>
        <x:v>5.4099999999999999E-3</x:v>
      </x:c>
      <x:c r="K235">
        <x:f ca="1">IFERROR(IF(0=LEN(ReferenceData!$K$235),"",ReferenceData!$K$235),"")</x:f>
        <x:v>-3.7805849999999999</x:v>
      </x:c>
      <x:c r="L235">
        <x:f ca="1">IFERROR(IF(0=LEN(ReferenceData!$L$235),"",ReferenceData!$L$235),"")</x:f>
        <x:v>1.93424</x:v>
      </x:c>
      <x:c r="M235">
        <x:f ca="1">IFERROR(IF(0=LEN(ReferenceData!$M$235),"",ReferenceData!$M$235),"")</x:f>
        <x:v>1.968078</x:v>
      </x:c>
      <x:c r="N235">
        <x:f ca="1">IFERROR(IF(0=LEN(ReferenceData!$N$235),"",ReferenceData!$N$235),"")</x:f>
        <x:v>2.572972</x:v>
      </x:c>
      <x:c r="O235">
        <x:f ca="1">IFERROR(IF(0=LEN(ReferenceData!$O$235),"",ReferenceData!$O$235),"")</x:f>
        <x:v>-0.44500299999999998</x:v>
      </x:c>
      <x:c r="P235">
        <x:f ca="1">IFERROR(IF(0=LEN(ReferenceData!$P$235),"",ReferenceData!$P$235),"")</x:f>
        <x:v>-2.2747030000000001</x:v>
      </x:c>
      <x:c r="Q235">
        <x:f ca="1">IFERROR(IF(0=LEN(ReferenceData!$Q$235),"",ReferenceData!$Q$235),"")</x:f>
        <x:v>4.461773</x:v>
      </x:c>
      <x:c r="R235">
        <x:f ca="1">IFERROR(IF(0=LEN(ReferenceData!$R$235),"",ReferenceData!$R$235),"")</x:f>
        <x:v>-2.5184999999999999E-2</x:v>
      </x:c>
      <x:c r="S235">
        <x:f ca="1">IFERROR(IF(0=LEN(ReferenceData!$S$235),"",ReferenceData!$S$235),"")</x:f>
        <x:v>1.2540819999999999</x:v>
      </x:c>
    </x:row>
    <x:row r="236" spans="1:19" x14ac:dyDescent="0.25">
      <x:c r="A236" t="str">
        <x:f>IFERROR(IF(0=LEN(ReferenceData!$A$236),"",ReferenceData!$A$236),"")</x:f>
        <x:v xml:space="preserve">        John Hancock Multi-Factor Fina</x:v>
      </x:c>
      <x:c r="B236" t="str">
        <x:f>IFERROR(IF(0=LEN(ReferenceData!$B$236),"",ReferenceData!$B$236),"")</x:f>
        <x:v>JHMF US Equity</x:v>
      </x:c>
      <x:c r="C236" t="str">
        <x:f>IFERROR(IF(0=LEN(ReferenceData!$C$236),"",ReferenceData!$C$236),"")</x:f>
        <x:v/>
      </x:c>
      <x:c r="D236" t="str">
        <x:f>IFERROR(IF(0=LEN(ReferenceData!$D$236),"",ReferenceData!$D$236),"")</x:f>
        <x:v/>
      </x:c>
      <x:c r="E236" t="str">
        <x:f>IFERROR(IF(0=LEN(ReferenceData!$E$236),"",ReferenceData!$E$236),"")</x:f>
        <x:v>Expression</x:v>
      </x:c>
      <x:c r="F236" t="str">
        <x:f ca="1">IFERROR(IF(0=LEN(ReferenceData!$F$236),"",ReferenceData!$F$236),"")</x:f>
        <x:v/>
      </x:c>
      <x:c r="G236" t="str">
        <x:f ca="1">IFERROR(IF(0=LEN(ReferenceData!$G$236),"",ReferenceData!$G$236),"")</x:f>
        <x:v/>
      </x:c>
      <x:c r="H236" t="str">
        <x:f ca="1">IFERROR(IF(0=LEN(ReferenceData!$H$236),"",ReferenceData!$H$236),"")</x:f>
        <x:v/>
      </x:c>
      <x:c r="I236" t="str">
        <x:f ca="1">IFERROR(IF(0=LEN(ReferenceData!$I$236),"",ReferenceData!$I$236),"")</x:f>
        <x:v/>
      </x:c>
      <x:c r="J236" t="str">
        <x:f ca="1">IFERROR(IF(0=LEN(ReferenceData!$J$236),"",ReferenceData!$J$236),"")</x:f>
        <x:v/>
      </x:c>
      <x:c r="K236" t="str">
        <x:f ca="1">IFERROR(IF(0=LEN(ReferenceData!$K$236),"",ReferenceData!$K$236),"")</x:f>
        <x:v/>
      </x:c>
      <x:c r="L236" t="str">
        <x:f ca="1">IFERROR(IF(0=LEN(ReferenceData!$L$236),"",ReferenceData!$L$236),"")</x:f>
        <x:v/>
      </x:c>
      <x:c r="M236" t="str">
        <x:f ca="1">IFERROR(IF(0=LEN(ReferenceData!$M$236),"",ReferenceData!$M$236),"")</x:f>
        <x:v/>
      </x:c>
      <x:c r="N236" t="str">
        <x:f ca="1">IFERROR(IF(0=LEN(ReferenceData!$N$236),"",ReferenceData!$N$236),"")</x:f>
        <x:v/>
      </x:c>
      <x:c r="O236" t="str">
        <x:f ca="1">IFERROR(IF(0=LEN(ReferenceData!$O$236),"",ReferenceData!$O$236),"")</x:f>
        <x:v/>
      </x:c>
      <x:c r="P236" t="str">
        <x:f ca="1">IFERROR(IF(0=LEN(ReferenceData!$P$236),"",ReferenceData!$P$236),"")</x:f>
        <x:v/>
      </x:c>
      <x:c r="Q236" t="str">
        <x:f ca="1">IFERROR(IF(0=LEN(ReferenceData!$Q$236),"",ReferenceData!$Q$236),"")</x:f>
        <x:v/>
      </x:c>
      <x:c r="R236" t="str">
        <x:f ca="1">IFERROR(IF(0=LEN(ReferenceData!$R$236),"",ReferenceData!$R$236),"")</x:f>
        <x:v/>
      </x:c>
      <x:c r="S236">
        <x:f ca="1">IFERROR(IF(0=LEN(ReferenceData!$S$236),"",ReferenceData!$S$236),"")</x:f>
        <x:v>-2.992769</x:v>
      </x:c>
    </x:row>
    <x:row r="237" spans="1:19" x14ac:dyDescent="0.25">
      <x:c r="A237" t="str">
        <x:f>IFERROR(IF(0=LEN(ReferenceData!$A$237),"",ReferenceData!$A$237),"")</x:f>
        <x:v xml:space="preserve">        WisdomTree Japan Hedged Financ</x:v>
      </x:c>
      <x:c r="B237" t="str">
        <x:f>IFERROR(IF(0=LEN(ReferenceData!$B$237),"",ReferenceData!$B$237),"")</x:f>
        <x:v>DXJF US Equity</x:v>
      </x:c>
      <x:c r="C237" t="str">
        <x:f>IFERROR(IF(0=LEN(ReferenceData!$C$237),"",ReferenceData!$C$237),"")</x:f>
        <x:v/>
      </x:c>
      <x:c r="D237" t="str">
        <x:f>IFERROR(IF(0=LEN(ReferenceData!$D$237),"",ReferenceData!$D$237),"")</x:f>
        <x:v/>
      </x:c>
      <x:c r="E237" t="str">
        <x:f>IFERROR(IF(0=LEN(ReferenceData!$E$237),"",ReferenceData!$E$237),"")</x:f>
        <x:v>Expression</x:v>
      </x:c>
      <x:c r="F237" t="str">
        <x:f ca="1">IFERROR(IF(0=LEN(ReferenceData!$F$237),"",ReferenceData!$F$237),"")</x:f>
        <x:v/>
      </x:c>
      <x:c r="G237" t="str">
        <x:f ca="1">IFERROR(IF(0=LEN(ReferenceData!$G$237),"",ReferenceData!$G$237),"")</x:f>
        <x:v/>
      </x:c>
      <x:c r="H237" t="str">
        <x:f ca="1">IFERROR(IF(0=LEN(ReferenceData!$H$237),"",ReferenceData!$H$237),"")</x:f>
        <x:v/>
      </x:c>
      <x:c r="I237" t="str">
        <x:f ca="1">IFERROR(IF(0=LEN(ReferenceData!$I$237),"",ReferenceData!$I$237),"")</x:f>
        <x:v/>
      </x:c>
      <x:c r="J237" t="str">
        <x:f ca="1">IFERROR(IF(0=LEN(ReferenceData!$J$237),"",ReferenceData!$J$237),"")</x:f>
        <x:v/>
      </x:c>
      <x:c r="K237" t="str">
        <x:f ca="1">IFERROR(IF(0=LEN(ReferenceData!$K$237),"",ReferenceData!$K$237),"")</x:f>
        <x:v/>
      </x:c>
      <x:c r="L237" t="str">
        <x:f ca="1">IFERROR(IF(0=LEN(ReferenceData!$L$237),"",ReferenceData!$L$237),"")</x:f>
        <x:v/>
      </x:c>
      <x:c r="M237" t="str">
        <x:f ca="1">IFERROR(IF(0=LEN(ReferenceData!$M$237),"",ReferenceData!$M$237),"")</x:f>
        <x:v/>
      </x:c>
      <x:c r="N237" t="str">
        <x:f ca="1">IFERROR(IF(0=LEN(ReferenceData!$N$237),"",ReferenceData!$N$237),"")</x:f>
        <x:v/>
      </x:c>
      <x:c r="O237" t="str">
        <x:f ca="1">IFERROR(IF(0=LEN(ReferenceData!$O$237),"",ReferenceData!$O$237),"")</x:f>
        <x:v/>
      </x:c>
      <x:c r="P237" t="str">
        <x:f ca="1">IFERROR(IF(0=LEN(ReferenceData!$P$237),"",ReferenceData!$P$237),"")</x:f>
        <x:v/>
      </x:c>
      <x:c r="Q237" t="str">
        <x:f ca="1">IFERROR(IF(0=LEN(ReferenceData!$Q$237),"",ReferenceData!$Q$237),"")</x:f>
        <x:v/>
      </x:c>
      <x:c r="R237" t="str">
        <x:f ca="1">IFERROR(IF(0=LEN(ReferenceData!$R$237),"",ReferenceData!$R$237),"")</x:f>
        <x:v/>
      </x:c>
      <x:c r="S237" t="str">
        <x:f ca="1">IFERROR(IF(0=LEN(ReferenceData!$S$237),"",ReferenceData!$S$237),"")</x:f>
        <x:v/>
      </x:c>
    </x:row>
    <x:row r="238" spans="1:19" x14ac:dyDescent="0.25">
      <x:c r="A238" t="str">
        <x:f>IFERROR(IF(0=LEN(ReferenceData!$A$238),"",ReferenceData!$A$238),"")</x:f>
        <x:v xml:space="preserve">        Global X MSCI China Financials</x:v>
      </x:c>
      <x:c r="B238" t="str">
        <x:f>IFERROR(IF(0=LEN(ReferenceData!$B$238),"",ReferenceData!$B$238),"")</x:f>
        <x:v>CHIX US Equity</x:v>
      </x:c>
      <x:c r="C238" t="str">
        <x:f>IFERROR(IF(0=LEN(ReferenceData!$C$238),"",ReferenceData!$C$238),"")</x:f>
        <x:v/>
      </x:c>
      <x:c r="D238" t="str">
        <x:f>IFERROR(IF(0=LEN(ReferenceData!$D$238),"",ReferenceData!$D$238),"")</x:f>
        <x:v/>
      </x:c>
      <x:c r="E238" t="str">
        <x:f>IFERROR(IF(0=LEN(ReferenceData!$E$238),"",ReferenceData!$E$238),"")</x:f>
        <x:v>Expression</x:v>
      </x:c>
      <x:c r="F238">
        <x:f ca="1">IFERROR(IF(0=LEN(ReferenceData!$F$238),"",ReferenceData!$F$238),"")</x:f>
        <x:v>0</x:v>
      </x:c>
      <x:c r="G238">
        <x:f ca="1">IFERROR(IF(0=LEN(ReferenceData!$G$238),"",ReferenceData!$G$238),"")</x:f>
        <x:v>0</x:v>
      </x:c>
      <x:c r="H238">
        <x:f ca="1">IFERROR(IF(0=LEN(ReferenceData!$H$238),"",ReferenceData!$H$238),"")</x:f>
        <x:v>0</x:v>
      </x:c>
      <x:c r="I238">
        <x:f ca="1">IFERROR(IF(0=LEN(ReferenceData!$I$238),"",ReferenceData!$I$238),"")</x:f>
        <x:v>0</x:v>
      </x:c>
      <x:c r="J238">
        <x:f ca="1">IFERROR(IF(0=LEN(ReferenceData!$J$238),"",ReferenceData!$J$238),"")</x:f>
        <x:v>0</x:v>
      </x:c>
      <x:c r="K238">
        <x:f ca="1">IFERROR(IF(0=LEN(ReferenceData!$K$238),"",ReferenceData!$K$238),"")</x:f>
        <x:v>-1.0980000000000001</x:v>
      </x:c>
      <x:c r="L238">
        <x:f ca="1">IFERROR(IF(0=LEN(ReferenceData!$L$238),"",ReferenceData!$L$238),"")</x:f>
        <x:v>0</x:v>
      </x:c>
      <x:c r="M238">
        <x:f ca="1">IFERROR(IF(0=LEN(ReferenceData!$M$238),"",ReferenceData!$M$238),"")</x:f>
        <x:v>0</x:v>
      </x:c>
      <x:c r="N238">
        <x:f ca="1">IFERROR(IF(0=LEN(ReferenceData!$N$238),"",ReferenceData!$N$238),"")</x:f>
        <x:v>0</x:v>
      </x:c>
      <x:c r="O238">
        <x:f ca="1">IFERROR(IF(0=LEN(ReferenceData!$O$238),"",ReferenceData!$O$238),"")</x:f>
        <x:v>0</x:v>
      </x:c>
      <x:c r="P238">
        <x:f ca="1">IFERROR(IF(0=LEN(ReferenceData!$P$238),"",ReferenceData!$P$238),"")</x:f>
        <x:v>-5.3013000000000003</x:v>
      </x:c>
      <x:c r="Q238">
        <x:f ca="1">IFERROR(IF(0=LEN(ReferenceData!$Q$238),"",ReferenceData!$Q$238),"")</x:f>
        <x:v>-5.4675000000000002</x:v>
      </x:c>
      <x:c r="R238">
        <x:f ca="1">IFERROR(IF(0=LEN(ReferenceData!$R$238),"",ReferenceData!$R$238),"")</x:f>
        <x:v>0</x:v>
      </x:c>
      <x:c r="S238">
        <x:f ca="1">IFERROR(IF(0=LEN(ReferenceData!$S$238),"",ReferenceData!$S$238),"")</x:f>
        <x:v>0</x:v>
      </x:c>
    </x:row>
    <x:row r="239" spans="1:19" x14ac:dyDescent="0.25">
      <x:c r="A239" t="str">
        <x:f>IFERROR(IF(0=LEN(ReferenceData!$A$239),"",ReferenceData!$A$239),"")</x:f>
        <x:v xml:space="preserve">        Invesco S&amp;P Financials Revenue</x:v>
      </x:c>
      <x:c r="B239" t="str">
        <x:f>IFERROR(IF(0=LEN(ReferenceData!$B$239),"",ReferenceData!$B$239),"")</x:f>
        <x:v>RWW US Equity</x:v>
      </x:c>
      <x:c r="C239" t="str">
        <x:f>IFERROR(IF(0=LEN(ReferenceData!$C$239),"",ReferenceData!$C$239),"")</x:f>
        <x:v/>
      </x:c>
      <x:c r="D239" t="str">
        <x:f>IFERROR(IF(0=LEN(ReferenceData!$D$239),"",ReferenceData!$D$239),"")</x:f>
        <x:v/>
      </x:c>
      <x:c r="E239" t="str">
        <x:f>IFERROR(IF(0=LEN(ReferenceData!$E$239),"",ReferenceData!$E$239),"")</x:f>
        <x:v>Expression</x:v>
      </x:c>
      <x:c r="F239" t="str">
        <x:f ca="1">IFERROR(IF(0=LEN(ReferenceData!$F$239),"",ReferenceData!$F$239),"")</x:f>
        <x:v/>
      </x:c>
      <x:c r="G239" t="str">
        <x:f ca="1">IFERROR(IF(0=LEN(ReferenceData!$G$239),"",ReferenceData!$G$239),"")</x:f>
        <x:v/>
      </x:c>
      <x:c r="H239" t="str">
        <x:f ca="1">IFERROR(IF(0=LEN(ReferenceData!$H$239),"",ReferenceData!$H$239),"")</x:f>
        <x:v/>
      </x:c>
      <x:c r="I239" t="str">
        <x:f ca="1">IFERROR(IF(0=LEN(ReferenceData!$I$239),"",ReferenceData!$I$239),"")</x:f>
        <x:v/>
      </x:c>
      <x:c r="J239" t="str">
        <x:f ca="1">IFERROR(IF(0=LEN(ReferenceData!$J$239),"",ReferenceData!$J$239),"")</x:f>
        <x:v/>
      </x:c>
      <x:c r="K239" t="str">
        <x:f ca="1">IFERROR(IF(0=LEN(ReferenceData!$K$239),"",ReferenceData!$K$239),"")</x:f>
        <x:v/>
      </x:c>
      <x:c r="L239" t="str">
        <x:f ca="1">IFERROR(IF(0=LEN(ReferenceData!$L$239),"",ReferenceData!$L$239),"")</x:f>
        <x:v/>
      </x:c>
      <x:c r="M239" t="str">
        <x:f ca="1">IFERROR(IF(0=LEN(ReferenceData!$M$239),"",ReferenceData!$M$239),"")</x:f>
        <x:v/>
      </x:c>
      <x:c r="N239" t="str">
        <x:f ca="1">IFERROR(IF(0=LEN(ReferenceData!$N$239),"",ReferenceData!$N$239),"")</x:f>
        <x:v/>
      </x:c>
      <x:c r="O239" t="str">
        <x:f ca="1">IFERROR(IF(0=LEN(ReferenceData!$O$239),"",ReferenceData!$O$239),"")</x:f>
        <x:v/>
      </x:c>
      <x:c r="P239" t="str">
        <x:f ca="1">IFERROR(IF(0=LEN(ReferenceData!$P$239),"",ReferenceData!$P$239),"")</x:f>
        <x:v/>
      </x:c>
      <x:c r="Q239" t="str">
        <x:f ca="1">IFERROR(IF(0=LEN(ReferenceData!$Q$239),"",ReferenceData!$Q$239),"")</x:f>
        <x:v/>
      </x:c>
      <x:c r="R239" t="str">
        <x:f ca="1">IFERROR(IF(0=LEN(ReferenceData!$R$239),"",ReferenceData!$R$239),"")</x:f>
        <x:v/>
      </x:c>
      <x:c r="S239" t="str">
        <x:f ca="1">IFERROR(IF(0=LEN(ReferenceData!$S$239),"",ReferenceData!$S$239),"")</x:f>
        <x:v/>
      </x:c>
    </x:row>
    <x:row r="240" spans="1:19" x14ac:dyDescent="0.25">
      <x:c r="A240" t="str">
        <x:f>IFERROR(IF(0=LEN(ReferenceData!$A$240),"",ReferenceData!$A$240),"")</x:f>
        <x:v xml:space="preserve">        Direxion Daily Regional Banks</x:v>
      </x:c>
      <x:c r="B240" t="str">
        <x:f>IFERROR(IF(0=LEN(ReferenceData!$B$240),"",ReferenceData!$B$240),"")</x:f>
        <x:v>DPST US Equity</x:v>
      </x:c>
      <x:c r="C240" t="str">
        <x:f>IFERROR(IF(0=LEN(ReferenceData!$C$240),"",ReferenceData!$C$240),"")</x:f>
        <x:v/>
      </x:c>
      <x:c r="D240" t="str">
        <x:f>IFERROR(IF(0=LEN(ReferenceData!$D$240),"",ReferenceData!$D$240),"")</x:f>
        <x:v/>
      </x:c>
      <x:c r="E240" t="str">
        <x:f>IFERROR(IF(0=LEN(ReferenceData!$E$240),"",ReferenceData!$E$240),"")</x:f>
        <x:v>Expression</x:v>
      </x:c>
      <x:c r="F240">
        <x:f ca="1">IFERROR(IF(0=LEN(ReferenceData!$F$240),"",ReferenceData!$F$240),"")</x:f>
        <x:v>-70.473292999999998</x:v>
      </x:c>
      <x:c r="G240">
        <x:f ca="1">IFERROR(IF(0=LEN(ReferenceData!$G$240),"",ReferenceData!$G$240),"")</x:f>
        <x:v>66.311475000000002</x:v>
      </x:c>
      <x:c r="H240">
        <x:f ca="1">IFERROR(IF(0=LEN(ReferenceData!$H$240),"",ReferenceData!$H$240),"")</x:f>
        <x:v>46.396450000000002</x:v>
      </x:c>
      <x:c r="I240">
        <x:f ca="1">IFERROR(IF(0=LEN(ReferenceData!$I$240),"",ReferenceData!$I$240),"")</x:f>
        <x:v>-34.457610000000003</x:v>
      </x:c>
      <x:c r="J240">
        <x:f ca="1">IFERROR(IF(0=LEN(ReferenceData!$J$240),"",ReferenceData!$J$240),"")</x:f>
        <x:v>-189.48420999999999</x:v>
      </x:c>
      <x:c r="K240">
        <x:f ca="1">IFERROR(IF(0=LEN(ReferenceData!$K$240),"",ReferenceData!$K$240),"")</x:f>
        <x:v>12.023224000000001</x:v>
      </x:c>
      <x:c r="L240">
        <x:f ca="1">IFERROR(IF(0=LEN(ReferenceData!$L$240),"",ReferenceData!$L$240),"")</x:f>
        <x:v>161.13067100000001</x:v>
      </x:c>
      <x:c r="M240">
        <x:f ca="1">IFERROR(IF(0=LEN(ReferenceData!$M$240),"",ReferenceData!$M$240),"")</x:f>
        <x:v>76.309172000000004</x:v>
      </x:c>
      <x:c r="N240">
        <x:f ca="1">IFERROR(IF(0=LEN(ReferenceData!$N$240),"",ReferenceData!$N$240),"")</x:f>
        <x:v>349.56163700000002</x:v>
      </x:c>
      <x:c r="O240">
        <x:f ca="1">IFERROR(IF(0=LEN(ReferenceData!$O$240),"",ReferenceData!$O$240),"")</x:f>
        <x:v>-10.192157999999999</x:v>
      </x:c>
      <x:c r="P240">
        <x:f ca="1">IFERROR(IF(0=LEN(ReferenceData!$P$240),"",ReferenceData!$P$240),"")</x:f>
        <x:v>-14.923565</x:v>
      </x:c>
      <x:c r="Q240">
        <x:f ca="1">IFERROR(IF(0=LEN(ReferenceData!$Q$240),"",ReferenceData!$Q$240),"")</x:f>
        <x:v>16.197431000000002</x:v>
      </x:c>
      <x:c r="R240">
        <x:f ca="1">IFERROR(IF(0=LEN(ReferenceData!$R$240),"",ReferenceData!$R$240),"")</x:f>
        <x:v>-9.1278780000000008</x:v>
      </x:c>
      <x:c r="S240">
        <x:f ca="1">IFERROR(IF(0=LEN(ReferenceData!$S$240),"",ReferenceData!$S$240),"")</x:f>
        <x:v>2.215255</x:v>
      </x:c>
    </x:row>
    <x:row r="241" spans="1:19" x14ac:dyDescent="0.25">
      <x:c r="A241" t="str">
        <x:f>IFERROR(IF(0=LEN(ReferenceData!$A$241),"",ReferenceData!$A$241),"")</x:f>
        <x:v xml:space="preserve">        ProShares Short Financials</x:v>
      </x:c>
      <x:c r="B241" t="str">
        <x:f>IFERROR(IF(0=LEN(ReferenceData!$B$241),"",ReferenceData!$B$241),"")</x:f>
        <x:v>SEF US Equity</x:v>
      </x:c>
      <x:c r="C241" t="str">
        <x:f>IFERROR(IF(0=LEN(ReferenceData!$C$241),"",ReferenceData!$C$241),"")</x:f>
        <x:v/>
      </x:c>
      <x:c r="D241" t="str">
        <x:f>IFERROR(IF(0=LEN(ReferenceData!$D$241),"",ReferenceData!$D$241),"")</x:f>
        <x:v/>
      </x:c>
      <x:c r="E241" t="str">
        <x:f>IFERROR(IF(0=LEN(ReferenceData!$E$241),"",ReferenceData!$E$241),"")</x:f>
        <x:v>Expression</x:v>
      </x:c>
      <x:c r="F241">
        <x:f ca="1">IFERROR(IF(0=LEN(ReferenceData!$F$241),"",ReferenceData!$F$241),"")</x:f>
        <x:v>-3.1098849999999998</x:v>
      </x:c>
      <x:c r="G241">
        <x:f ca="1">IFERROR(IF(0=LEN(ReferenceData!$G$241),"",ReferenceData!$G$241),"")</x:f>
        <x:v>-1.3866350000000001</x:v>
      </x:c>
      <x:c r="H241">
        <x:f ca="1">IFERROR(IF(0=LEN(ReferenceData!$H$241),"",ReferenceData!$H$241),"")</x:f>
        <x:v>-0.64197000000000004</x:v>
      </x:c>
      <x:c r="I241">
        <x:f ca="1">IFERROR(IF(0=LEN(ReferenceData!$I$241),"",ReferenceData!$I$241),"")</x:f>
        <x:v>-1.959635</x:v>
      </x:c>
      <x:c r="J241">
        <x:f ca="1">IFERROR(IF(0=LEN(ReferenceData!$J$241),"",ReferenceData!$J$241),"")</x:f>
        <x:v>-8.6805199999999996</x:v>
      </x:c>
      <x:c r="K241">
        <x:f ca="1">IFERROR(IF(0=LEN(ReferenceData!$K$241),"",ReferenceData!$K$241),"")</x:f>
        <x:v>-1.2714449999999999</x:v>
      </x:c>
      <x:c r="L241">
        <x:f ca="1">IFERROR(IF(0=LEN(ReferenceData!$L$241),"",ReferenceData!$L$241),"")</x:f>
        <x:v>0.54484999999999995</x:v>
      </x:c>
      <x:c r="M241">
        <x:f ca="1">IFERROR(IF(0=LEN(ReferenceData!$M$241),"",ReferenceData!$M$241),"")</x:f>
        <x:v>1.760815</x:v>
      </x:c>
      <x:c r="N241">
        <x:f ca="1">IFERROR(IF(0=LEN(ReferenceData!$N$241),"",ReferenceData!$N$241),"")</x:f>
        <x:v>10.846885</x:v>
      </x:c>
      <x:c r="O241">
        <x:f ca="1">IFERROR(IF(0=LEN(ReferenceData!$O$241),"",ReferenceData!$O$241),"")</x:f>
        <x:v>-2.4151449999999999</x:v>
      </x:c>
      <x:c r="P241">
        <x:f ca="1">IFERROR(IF(0=LEN(ReferenceData!$P$241),"",ReferenceData!$P$241),"")</x:f>
        <x:v>0.62988</x:v>
      </x:c>
      <x:c r="Q241">
        <x:f ca="1">IFERROR(IF(0=LEN(ReferenceData!$Q$241),"",ReferenceData!$Q$241),"")</x:f>
        <x:v>0.60595500000000002</x:v>
      </x:c>
      <x:c r="R241">
        <x:f ca="1">IFERROR(IF(0=LEN(ReferenceData!$R$241),"",ReferenceData!$R$241),"")</x:f>
        <x:v>-4.323645</x:v>
      </x:c>
      <x:c r="S241">
        <x:f ca="1">IFERROR(IF(0=LEN(ReferenceData!$S$241),"",ReferenceData!$S$241),"")</x:f>
        <x:v>3.5607549999999999</x:v>
      </x:c>
    </x:row>
    <x:row r="242" spans="1:19" x14ac:dyDescent="0.25">
      <x:c r="A242" t="str">
        <x:f>IFERROR(IF(0=LEN(ReferenceData!$A$242),"",ReferenceData!$A$242),"")</x:f>
        <x:v xml:space="preserve">        ProShares UltraPro Financial S</x:v>
      </x:c>
      <x:c r="B242" t="str">
        <x:f>IFERROR(IF(0=LEN(ReferenceData!$B$242),"",ReferenceData!$B$242),"")</x:f>
        <x:v>1848835D US Equity</x:v>
      </x:c>
      <x:c r="C242" t="str">
        <x:f>IFERROR(IF(0=LEN(ReferenceData!$C$242),"",ReferenceData!$C$242),"")</x:f>
        <x:v/>
      </x:c>
      <x:c r="D242" t="str">
        <x:f>IFERROR(IF(0=LEN(ReferenceData!$D$242),"",ReferenceData!$D$242),"")</x:f>
        <x:v/>
      </x:c>
      <x:c r="E242" t="str">
        <x:f>IFERROR(IF(0=LEN(ReferenceData!$E$242),"",ReferenceData!$E$242),"")</x:f>
        <x:v>Expression</x:v>
      </x:c>
      <x:c r="F242" t="str">
        <x:f ca="1">IFERROR(IF(0=LEN(ReferenceData!$F$242),"",ReferenceData!$F$242),"")</x:f>
        <x:v/>
      </x:c>
      <x:c r="G242" t="str">
        <x:f ca="1">IFERROR(IF(0=LEN(ReferenceData!$G$242),"",ReferenceData!$G$242),"")</x:f>
        <x:v/>
      </x:c>
      <x:c r="H242" t="str">
        <x:f ca="1">IFERROR(IF(0=LEN(ReferenceData!$H$242),"",ReferenceData!$H$242),"")</x:f>
        <x:v/>
      </x:c>
      <x:c r="I242" t="str">
        <x:f ca="1">IFERROR(IF(0=LEN(ReferenceData!$I$242),"",ReferenceData!$I$242),"")</x:f>
        <x:v/>
      </x:c>
      <x:c r="J242" t="str">
        <x:f ca="1">IFERROR(IF(0=LEN(ReferenceData!$J$242),"",ReferenceData!$J$242),"")</x:f>
        <x:v/>
      </x:c>
      <x:c r="K242" t="str">
        <x:f ca="1">IFERROR(IF(0=LEN(ReferenceData!$K$242),"",ReferenceData!$K$242),"")</x:f>
        <x:v/>
      </x:c>
      <x:c r="L242" t="str">
        <x:f ca="1">IFERROR(IF(0=LEN(ReferenceData!$L$242),"",ReferenceData!$L$242),"")</x:f>
        <x:v/>
      </x:c>
      <x:c r="M242" t="str">
        <x:f ca="1">IFERROR(IF(0=LEN(ReferenceData!$M$242),"",ReferenceData!$M$242),"")</x:f>
        <x:v/>
      </x:c>
      <x:c r="N242" t="str">
        <x:f ca="1">IFERROR(IF(0=LEN(ReferenceData!$N$242),"",ReferenceData!$N$242),"")</x:f>
        <x:v/>
      </x:c>
      <x:c r="O242" t="str">
        <x:f ca="1">IFERROR(IF(0=LEN(ReferenceData!$O$242),"",ReferenceData!$O$242),"")</x:f>
        <x:v/>
      </x:c>
      <x:c r="P242" t="str">
        <x:f ca="1">IFERROR(IF(0=LEN(ReferenceData!$P$242),"",ReferenceData!$P$242),"")</x:f>
        <x:v/>
      </x:c>
      <x:c r="Q242" t="str">
        <x:f ca="1">IFERROR(IF(0=LEN(ReferenceData!$Q$242),"",ReferenceData!$Q$242),"")</x:f>
        <x:v/>
      </x:c>
      <x:c r="R242" t="str">
        <x:f ca="1">IFERROR(IF(0=LEN(ReferenceData!$R$242),"",ReferenceData!$R$242),"")</x:f>
        <x:v/>
      </x:c>
      <x:c r="S242" t="str">
        <x:f ca="1">IFERROR(IF(0=LEN(ReferenceData!$S$242),"",ReferenceData!$S$242),"")</x:f>
        <x:v/>
      </x:c>
    </x:row>
    <x:row r="243" spans="1:19" x14ac:dyDescent="0.25">
      <x:c r="A243" t="str">
        <x:f>IFERROR(IF(0=LEN(ReferenceData!$A$243),"",ReferenceData!$A$243),"")</x:f>
        <x:v xml:space="preserve">        ProShares Ultra S&amp;P Regional B</x:v>
      </x:c>
      <x:c r="B243" t="str">
        <x:f>IFERROR(IF(0=LEN(ReferenceData!$B$243),"",ReferenceData!$B$243),"")</x:f>
        <x:v>KRU US Equity</x:v>
      </x:c>
      <x:c r="C243" t="str">
        <x:f>IFERROR(IF(0=LEN(ReferenceData!$C$243),"",ReferenceData!$C$243),"")</x:f>
        <x:v/>
      </x:c>
      <x:c r="D243" t="str">
        <x:f>IFERROR(IF(0=LEN(ReferenceData!$D$243),"",ReferenceData!$D$243),"")</x:f>
        <x:v/>
      </x:c>
      <x:c r="E243" t="str">
        <x:f>IFERROR(IF(0=LEN(ReferenceData!$E$243),"",ReferenceData!$E$243),"")</x:f>
        <x:v>Expression</x:v>
      </x:c>
      <x:c r="F243" t="str">
        <x:f ca="1">IFERROR(IF(0=LEN(ReferenceData!$F$243),"",ReferenceData!$F$243),"")</x:f>
        <x:v/>
      </x:c>
      <x:c r="G243" t="str">
        <x:f ca="1">IFERROR(IF(0=LEN(ReferenceData!$G$243),"",ReferenceData!$G$243),"")</x:f>
        <x:v/>
      </x:c>
      <x:c r="H243" t="str">
        <x:f ca="1">IFERROR(IF(0=LEN(ReferenceData!$H$243),"",ReferenceData!$H$243),"")</x:f>
        <x:v/>
      </x:c>
      <x:c r="I243" t="str">
        <x:f ca="1">IFERROR(IF(0=LEN(ReferenceData!$I$243),"",ReferenceData!$I$243),"")</x:f>
        <x:v/>
      </x:c>
      <x:c r="J243" t="str">
        <x:f ca="1">IFERROR(IF(0=LEN(ReferenceData!$J$243),"",ReferenceData!$J$243),"")</x:f>
        <x:v/>
      </x:c>
      <x:c r="K243" t="str">
        <x:f ca="1">IFERROR(IF(0=LEN(ReferenceData!$K$243),"",ReferenceData!$K$243),"")</x:f>
        <x:v/>
      </x:c>
      <x:c r="L243" t="str">
        <x:f ca="1">IFERROR(IF(0=LEN(ReferenceData!$L$243),"",ReferenceData!$L$243),"")</x:f>
        <x:v/>
      </x:c>
      <x:c r="M243" t="str">
        <x:f ca="1">IFERROR(IF(0=LEN(ReferenceData!$M$243),"",ReferenceData!$M$243),"")</x:f>
        <x:v/>
      </x:c>
      <x:c r="N243" t="str">
        <x:f ca="1">IFERROR(IF(0=LEN(ReferenceData!$N$243),"",ReferenceData!$N$243),"")</x:f>
        <x:v/>
      </x:c>
      <x:c r="O243" t="str">
        <x:f ca="1">IFERROR(IF(0=LEN(ReferenceData!$O$243),"",ReferenceData!$O$243),"")</x:f>
        <x:v/>
      </x:c>
      <x:c r="P243" t="str">
        <x:f ca="1">IFERROR(IF(0=LEN(ReferenceData!$P$243),"",ReferenceData!$P$243),"")</x:f>
        <x:v/>
      </x:c>
      <x:c r="Q243" t="str">
        <x:f ca="1">IFERROR(IF(0=LEN(ReferenceData!$Q$243),"",ReferenceData!$Q$243),"")</x:f>
        <x:v/>
      </x:c>
      <x:c r="R243" t="str">
        <x:f ca="1">IFERROR(IF(0=LEN(ReferenceData!$R$243),"",ReferenceData!$R$243),"")</x:f>
        <x:v/>
      </x:c>
      <x:c r="S243" t="str">
        <x:f ca="1">IFERROR(IF(0=LEN(ReferenceData!$S$243),"",ReferenceData!$S$243),"")</x:f>
        <x:v/>
      </x:c>
    </x:row>
    <x:row r="244" spans="1:19" x14ac:dyDescent="0.25">
      <x:c r="A244" t="str">
        <x:f>IFERROR(IF(0=LEN(ReferenceData!$A$244),"",ReferenceData!$A$244),"")</x:f>
        <x:v xml:space="preserve">        SPDR S&amp;P International Financi</x:v>
      </x:c>
      <x:c r="B244" t="str">
        <x:f>IFERROR(IF(0=LEN(ReferenceData!$B$244),"",ReferenceData!$B$244),"")</x:f>
        <x:v>IPF US Equity</x:v>
      </x:c>
      <x:c r="C244" t="str">
        <x:f>IFERROR(IF(0=LEN(ReferenceData!$C$244),"",ReferenceData!$C$244),"")</x:f>
        <x:v/>
      </x:c>
      <x:c r="D244" t="str">
        <x:f>IFERROR(IF(0=LEN(ReferenceData!$D$244),"",ReferenceData!$D$244),"")</x:f>
        <x:v/>
      </x:c>
      <x:c r="E244" t="str">
        <x:f>IFERROR(IF(0=LEN(ReferenceData!$E$244),"",ReferenceData!$E$244),"")</x:f>
        <x:v>Expression</x:v>
      </x:c>
      <x:c r="F244" t="str">
        <x:f ca="1">IFERROR(IF(0=LEN(ReferenceData!$F$244),"",ReferenceData!$F$244),"")</x:f>
        <x:v/>
      </x:c>
      <x:c r="G244" t="str">
        <x:f ca="1">IFERROR(IF(0=LEN(ReferenceData!$G$244),"",ReferenceData!$G$244),"")</x:f>
        <x:v/>
      </x:c>
      <x:c r="H244" t="str">
        <x:f ca="1">IFERROR(IF(0=LEN(ReferenceData!$H$244),"",ReferenceData!$H$244),"")</x:f>
        <x:v/>
      </x:c>
      <x:c r="I244" t="str">
        <x:f ca="1">IFERROR(IF(0=LEN(ReferenceData!$I$244),"",ReferenceData!$I$244),"")</x:f>
        <x:v/>
      </x:c>
      <x:c r="J244" t="str">
        <x:f ca="1">IFERROR(IF(0=LEN(ReferenceData!$J$244),"",ReferenceData!$J$244),"")</x:f>
        <x:v/>
      </x:c>
      <x:c r="K244" t="str">
        <x:f ca="1">IFERROR(IF(0=LEN(ReferenceData!$K$244),"",ReferenceData!$K$244),"")</x:f>
        <x:v/>
      </x:c>
      <x:c r="L244" t="str">
        <x:f ca="1">IFERROR(IF(0=LEN(ReferenceData!$L$244),"",ReferenceData!$L$244),"")</x:f>
        <x:v/>
      </x:c>
      <x:c r="M244" t="str">
        <x:f ca="1">IFERROR(IF(0=LEN(ReferenceData!$M$244),"",ReferenceData!$M$244),"")</x:f>
        <x:v/>
      </x:c>
      <x:c r="N244" t="str">
        <x:f ca="1">IFERROR(IF(0=LEN(ReferenceData!$N$244),"",ReferenceData!$N$244),"")</x:f>
        <x:v/>
      </x:c>
      <x:c r="O244" t="str">
        <x:f ca="1">IFERROR(IF(0=LEN(ReferenceData!$O$244),"",ReferenceData!$O$244),"")</x:f>
        <x:v/>
      </x:c>
      <x:c r="P244" t="str">
        <x:f ca="1">IFERROR(IF(0=LEN(ReferenceData!$P$244),"",ReferenceData!$P$244),"")</x:f>
        <x:v/>
      </x:c>
      <x:c r="Q244" t="str">
        <x:f ca="1">IFERROR(IF(0=LEN(ReferenceData!$Q$244),"",ReferenceData!$Q$244),"")</x:f>
        <x:v/>
      </x:c>
      <x:c r="R244" t="str">
        <x:f ca="1">IFERROR(IF(0=LEN(ReferenceData!$R$244),"",ReferenceData!$R$244),"")</x:f>
        <x:v/>
      </x:c>
      <x:c r="S244" t="str">
        <x:f ca="1">IFERROR(IF(0=LEN(ReferenceData!$S$244),"",ReferenceData!$S$244),"")</x:f>
        <x:v/>
      </x:c>
    </x:row>
    <x:row r="245" spans="1:19" x14ac:dyDescent="0.25">
      <x:c r="A245" t="str">
        <x:f>IFERROR(IF(0=LEN(ReferenceData!$A$245),"",ReferenceData!$A$245),"")</x:f>
        <x:v xml:space="preserve">        Direxion Shares Etf Trust-Dire</x:v>
      </x:c>
      <x:c r="B245" t="str">
        <x:f>IFERROR(IF(0=LEN(ReferenceData!$B$245),"",ReferenceData!$B$245),"")</x:f>
        <x:v>WDRW US Equity</x:v>
      </x:c>
      <x:c r="C245" t="str">
        <x:f>IFERROR(IF(0=LEN(ReferenceData!$C$245),"",ReferenceData!$C$245),"")</x:f>
        <x:v/>
      </x:c>
      <x:c r="D245" t="str">
        <x:f>IFERROR(IF(0=LEN(ReferenceData!$D$245),"",ReferenceData!$D$245),"")</x:f>
        <x:v/>
      </x:c>
      <x:c r="E245" t="str">
        <x:f>IFERROR(IF(0=LEN(ReferenceData!$E$245),"",ReferenceData!$E$245),"")</x:f>
        <x:v>Expression</x:v>
      </x:c>
      <x:c r="F245" t="str">
        <x:f ca="1">IFERROR(IF(0=LEN(ReferenceData!$F$245),"",ReferenceData!$F$245),"")</x:f>
        <x:v/>
      </x:c>
      <x:c r="G245" t="str">
        <x:f ca="1">IFERROR(IF(0=LEN(ReferenceData!$G$245),"",ReferenceData!$G$245),"")</x:f>
        <x:v/>
      </x:c>
      <x:c r="H245" t="str">
        <x:f ca="1">IFERROR(IF(0=LEN(ReferenceData!$H$245),"",ReferenceData!$H$245),"")</x:f>
        <x:v/>
      </x:c>
      <x:c r="I245" t="str">
        <x:f ca="1">IFERROR(IF(0=LEN(ReferenceData!$I$245),"",ReferenceData!$I$245),"")</x:f>
        <x:v/>
      </x:c>
      <x:c r="J245" t="str">
        <x:f ca="1">IFERROR(IF(0=LEN(ReferenceData!$J$245),"",ReferenceData!$J$245),"")</x:f>
        <x:v/>
      </x:c>
      <x:c r="K245" t="str">
        <x:f ca="1">IFERROR(IF(0=LEN(ReferenceData!$K$245),"",ReferenceData!$K$245),"")</x:f>
        <x:v/>
      </x:c>
      <x:c r="L245" t="str">
        <x:f ca="1">IFERROR(IF(0=LEN(ReferenceData!$L$245),"",ReferenceData!$L$245),"")</x:f>
        <x:v/>
      </x:c>
      <x:c r="M245" t="str">
        <x:f ca="1">IFERROR(IF(0=LEN(ReferenceData!$M$245),"",ReferenceData!$M$245),"")</x:f>
        <x:v/>
      </x:c>
      <x:c r="N245" t="str">
        <x:f ca="1">IFERROR(IF(0=LEN(ReferenceData!$N$245),"",ReferenceData!$N$245),"")</x:f>
        <x:v/>
      </x:c>
      <x:c r="O245" t="str">
        <x:f ca="1">IFERROR(IF(0=LEN(ReferenceData!$O$245),"",ReferenceData!$O$245),"")</x:f>
        <x:v/>
      </x:c>
      <x:c r="P245" t="str">
        <x:f ca="1">IFERROR(IF(0=LEN(ReferenceData!$P$245),"",ReferenceData!$P$245),"")</x:f>
        <x:v/>
      </x:c>
      <x:c r="Q245" t="str">
        <x:f ca="1">IFERROR(IF(0=LEN(ReferenceData!$Q$245),"",ReferenceData!$Q$245),"")</x:f>
        <x:v/>
      </x:c>
      <x:c r="R245" t="str">
        <x:f ca="1">IFERROR(IF(0=LEN(ReferenceData!$R$245),"",ReferenceData!$R$245),"")</x:f>
        <x:v/>
      </x:c>
      <x:c r="S245" t="str">
        <x:f ca="1">IFERROR(IF(0=LEN(ReferenceData!$S$245),"",ReferenceData!$S$245),"")</x:f>
        <x:v/>
      </x:c>
    </x:row>
    <x:row r="246" spans="1:19" x14ac:dyDescent="0.25">
      <x:c r="A246" t="str">
        <x:f>IFERROR(IF(0=LEN(ReferenceData!$A$246),"",ReferenceData!$A$246),"")</x:f>
        <x:v xml:space="preserve">        Direxion Daily European Financ</x:v>
      </x:c>
      <x:c r="B246" t="str">
        <x:f>IFERROR(IF(0=LEN(ReferenceData!$B$246),"",ReferenceData!$B$246),"")</x:f>
        <x:v>EUFL US Equity</x:v>
      </x:c>
      <x:c r="C246" t="str">
        <x:f>IFERROR(IF(0=LEN(ReferenceData!$C$246),"",ReferenceData!$C$246),"")</x:f>
        <x:v/>
      </x:c>
      <x:c r="D246" t="str">
        <x:f>IFERROR(IF(0=LEN(ReferenceData!$D$246),"",ReferenceData!$D$246),"")</x:f>
        <x:v/>
      </x:c>
      <x:c r="E246" t="str">
        <x:f>IFERROR(IF(0=LEN(ReferenceData!$E$246),"",ReferenceData!$E$246),"")</x:f>
        <x:v>Expression</x:v>
      </x:c>
      <x:c r="F246" t="str">
        <x:f ca="1">IFERROR(IF(0=LEN(ReferenceData!$F$246),"",ReferenceData!$F$246),"")</x:f>
        <x:v/>
      </x:c>
      <x:c r="G246" t="str">
        <x:f ca="1">IFERROR(IF(0=LEN(ReferenceData!$G$246),"",ReferenceData!$G$246),"")</x:f>
        <x:v/>
      </x:c>
      <x:c r="H246" t="str">
        <x:f ca="1">IFERROR(IF(0=LEN(ReferenceData!$H$246),"",ReferenceData!$H$246),"")</x:f>
        <x:v/>
      </x:c>
      <x:c r="I246" t="str">
        <x:f ca="1">IFERROR(IF(0=LEN(ReferenceData!$I$246),"",ReferenceData!$I$246),"")</x:f>
        <x:v/>
      </x:c>
      <x:c r="J246" t="str">
        <x:f ca="1">IFERROR(IF(0=LEN(ReferenceData!$J$246),"",ReferenceData!$J$246),"")</x:f>
        <x:v/>
      </x:c>
      <x:c r="K246" t="str">
        <x:f ca="1">IFERROR(IF(0=LEN(ReferenceData!$K$246),"",ReferenceData!$K$246),"")</x:f>
        <x:v/>
      </x:c>
      <x:c r="L246" t="str">
        <x:f ca="1">IFERROR(IF(0=LEN(ReferenceData!$L$246),"",ReferenceData!$L$246),"")</x:f>
        <x:v/>
      </x:c>
      <x:c r="M246" t="str">
        <x:f ca="1">IFERROR(IF(0=LEN(ReferenceData!$M$246),"",ReferenceData!$M$246),"")</x:f>
        <x:v/>
      </x:c>
      <x:c r="N246" t="str">
        <x:f ca="1">IFERROR(IF(0=LEN(ReferenceData!$N$246),"",ReferenceData!$N$246),"")</x:f>
        <x:v/>
      </x:c>
      <x:c r="O246" t="str">
        <x:f ca="1">IFERROR(IF(0=LEN(ReferenceData!$O$246),"",ReferenceData!$O$246),"")</x:f>
        <x:v/>
      </x:c>
      <x:c r="P246" t="str">
        <x:f ca="1">IFERROR(IF(0=LEN(ReferenceData!$P$246),"",ReferenceData!$P$246),"")</x:f>
        <x:v/>
      </x:c>
      <x:c r="Q246" t="str">
        <x:f ca="1">IFERROR(IF(0=LEN(ReferenceData!$Q$246),"",ReferenceData!$Q$246),"")</x:f>
        <x:v/>
      </x:c>
      <x:c r="R246" t="str">
        <x:f ca="1">IFERROR(IF(0=LEN(ReferenceData!$R$246),"",ReferenceData!$R$246),"")</x:f>
        <x:v/>
      </x:c>
      <x:c r="S246" t="str">
        <x:f ca="1">IFERROR(IF(0=LEN(ReferenceData!$S$246),"",ReferenceData!$S$246),"")</x:f>
        <x:v/>
      </x:c>
    </x:row>
    <x:row r="247" spans="1:19" x14ac:dyDescent="0.25">
      <x:c r="A247" t="str">
        <x:f>IFERROR(IF(0=LEN(ReferenceData!$A$247),"",ReferenceData!$A$247),"")</x:f>
        <x:v xml:space="preserve">        iShares Edge MSCI Multifactor</x:v>
      </x:c>
      <x:c r="B247" t="str">
        <x:f>IFERROR(IF(0=LEN(ReferenceData!$B$247),"",ReferenceData!$B$247),"")</x:f>
        <x:v>FNCF US Equity</x:v>
      </x:c>
      <x:c r="C247" t="str">
        <x:f>IFERROR(IF(0=LEN(ReferenceData!$C$247),"",ReferenceData!$C$247),"")</x:f>
        <x:v/>
      </x:c>
      <x:c r="D247" t="str">
        <x:f>IFERROR(IF(0=LEN(ReferenceData!$D$247),"",ReferenceData!$D$247),"")</x:f>
        <x:v/>
      </x:c>
      <x:c r="E247" t="str">
        <x:f>IFERROR(IF(0=LEN(ReferenceData!$E$247),"",ReferenceData!$E$247),"")</x:f>
        <x:v>Expression</x:v>
      </x:c>
      <x:c r="F247" t="str">
        <x:f ca="1">IFERROR(IF(0=LEN(ReferenceData!$F$247),"",ReferenceData!$F$247),"")</x:f>
        <x:v/>
      </x:c>
      <x:c r="G247" t="str">
        <x:f ca="1">IFERROR(IF(0=LEN(ReferenceData!$G$247),"",ReferenceData!$G$247),"")</x:f>
        <x:v/>
      </x:c>
      <x:c r="H247" t="str">
        <x:f ca="1">IFERROR(IF(0=LEN(ReferenceData!$H$247),"",ReferenceData!$H$247),"")</x:f>
        <x:v/>
      </x:c>
      <x:c r="I247" t="str">
        <x:f ca="1">IFERROR(IF(0=LEN(ReferenceData!$I$247),"",ReferenceData!$I$247),"")</x:f>
        <x:v/>
      </x:c>
      <x:c r="J247" t="str">
        <x:f ca="1">IFERROR(IF(0=LEN(ReferenceData!$J$247),"",ReferenceData!$J$247),"")</x:f>
        <x:v/>
      </x:c>
      <x:c r="K247" t="str">
        <x:f ca="1">IFERROR(IF(0=LEN(ReferenceData!$K$247),"",ReferenceData!$K$247),"")</x:f>
        <x:v/>
      </x:c>
      <x:c r="L247" t="str">
        <x:f ca="1">IFERROR(IF(0=LEN(ReferenceData!$L$247),"",ReferenceData!$L$247),"")</x:f>
        <x:v/>
      </x:c>
      <x:c r="M247" t="str">
        <x:f ca="1">IFERROR(IF(0=LEN(ReferenceData!$M$247),"",ReferenceData!$M$247),"")</x:f>
        <x:v/>
      </x:c>
      <x:c r="N247" t="str">
        <x:f ca="1">IFERROR(IF(0=LEN(ReferenceData!$N$247),"",ReferenceData!$N$247),"")</x:f>
        <x:v/>
      </x:c>
      <x:c r="O247" t="str">
        <x:f ca="1">IFERROR(IF(0=LEN(ReferenceData!$O$247),"",ReferenceData!$O$247),"")</x:f>
        <x:v/>
      </x:c>
      <x:c r="P247" t="str">
        <x:f ca="1">IFERROR(IF(0=LEN(ReferenceData!$P$247),"",ReferenceData!$P$247),"")</x:f>
        <x:v/>
      </x:c>
      <x:c r="Q247" t="str">
        <x:f ca="1">IFERROR(IF(0=LEN(ReferenceData!$Q$247),"",ReferenceData!$Q$247),"")</x:f>
        <x:v/>
      </x:c>
      <x:c r="R247" t="str">
        <x:f ca="1">IFERROR(IF(0=LEN(ReferenceData!$R$247),"",ReferenceData!$R$247),"")</x:f>
        <x:v/>
      </x:c>
      <x:c r="S247" t="str">
        <x:f ca="1">IFERROR(IF(0=LEN(ReferenceData!$S$247),"",ReferenceData!$S$247),"")</x:f>
        <x:v/>
      </x:c>
    </x:row>
    <x:row r="248" spans="1:19" x14ac:dyDescent="0.25">
      <x:c r="A248" t="str">
        <x:f>IFERROR(IF(0=LEN(ReferenceData!$A$248),"",ReferenceData!$A$248),"")</x:f>
        <x:v xml:space="preserve">        ProShares UltraPro Short Finan</x:v>
      </x:c>
      <x:c r="B248" t="str">
        <x:f>IFERROR(IF(0=LEN(ReferenceData!$B$248),"",ReferenceData!$B$248),"")</x:f>
        <x:v>FINZ US Equity</x:v>
      </x:c>
      <x:c r="C248" t="str">
        <x:f>IFERROR(IF(0=LEN(ReferenceData!$C$248),"",ReferenceData!$C$248),"")</x:f>
        <x:v/>
      </x:c>
      <x:c r="D248" t="str">
        <x:f>IFERROR(IF(0=LEN(ReferenceData!$D$248),"",ReferenceData!$D$248),"")</x:f>
        <x:v/>
      </x:c>
      <x:c r="E248" t="str">
        <x:f>IFERROR(IF(0=LEN(ReferenceData!$E$248),"",ReferenceData!$E$248),"")</x:f>
        <x:v>Expression</x:v>
      </x:c>
      <x:c r="F248" t="str">
        <x:f ca="1">IFERROR(IF(0=LEN(ReferenceData!$F$248),"",ReferenceData!$F$248),"")</x:f>
        <x:v/>
      </x:c>
      <x:c r="G248" t="str">
        <x:f ca="1">IFERROR(IF(0=LEN(ReferenceData!$G$248),"",ReferenceData!$G$248),"")</x:f>
        <x:v/>
      </x:c>
      <x:c r="H248" t="str">
        <x:f ca="1">IFERROR(IF(0=LEN(ReferenceData!$H$248),"",ReferenceData!$H$248),"")</x:f>
        <x:v/>
      </x:c>
      <x:c r="I248" t="str">
        <x:f ca="1">IFERROR(IF(0=LEN(ReferenceData!$I$248),"",ReferenceData!$I$248),"")</x:f>
        <x:v/>
      </x:c>
      <x:c r="J248" t="str">
        <x:f ca="1">IFERROR(IF(0=LEN(ReferenceData!$J$248),"",ReferenceData!$J$248),"")</x:f>
        <x:v/>
      </x:c>
      <x:c r="K248" t="str">
        <x:f ca="1">IFERROR(IF(0=LEN(ReferenceData!$K$248),"",ReferenceData!$K$248),"")</x:f>
        <x:v/>
      </x:c>
      <x:c r="L248" t="str">
        <x:f ca="1">IFERROR(IF(0=LEN(ReferenceData!$L$248),"",ReferenceData!$L$248),"")</x:f>
        <x:v/>
      </x:c>
      <x:c r="M248" t="str">
        <x:f ca="1">IFERROR(IF(0=LEN(ReferenceData!$M$248),"",ReferenceData!$M$248),"")</x:f>
        <x:v/>
      </x:c>
      <x:c r="N248" t="str">
        <x:f ca="1">IFERROR(IF(0=LEN(ReferenceData!$N$248),"",ReferenceData!$N$248),"")</x:f>
        <x:v/>
      </x:c>
      <x:c r="O248" t="str">
        <x:f ca="1">IFERROR(IF(0=LEN(ReferenceData!$O$248),"",ReferenceData!$O$248),"")</x:f>
        <x:v/>
      </x:c>
      <x:c r="P248" t="str">
        <x:f ca="1">IFERROR(IF(0=LEN(ReferenceData!$P$248),"",ReferenceData!$P$248),"")</x:f>
        <x:v/>
      </x:c>
      <x:c r="Q248" t="str">
        <x:f ca="1">IFERROR(IF(0=LEN(ReferenceData!$Q$248),"",ReferenceData!$Q$248),"")</x:f>
        <x:v/>
      </x:c>
      <x:c r="R248" t="str">
        <x:f ca="1">IFERROR(IF(0=LEN(ReferenceData!$R$248),"",ReferenceData!$R$248),"")</x:f>
        <x:v/>
      </x:c>
      <x:c r="S248" t="str">
        <x:f ca="1">IFERROR(IF(0=LEN(ReferenceData!$S$248),"",ReferenceData!$S$248),"")</x:f>
        <x:v/>
      </x:c>
    </x:row>
    <x:row r="249" spans="1:19" x14ac:dyDescent="0.25">
      <x:c r="A249" t="str">
        <x:f>IFERROR(IF(0=LEN(ReferenceData!$A$249),"",ReferenceData!$A$249),"")</x:f>
        <x:v xml:space="preserve">        Direxion Shares Etf Trust-Dire</x:v>
      </x:c>
      <x:c r="B249" t="str">
        <x:f>IFERROR(IF(0=LEN(ReferenceData!$B$249),"",ReferenceData!$B$249),"")</x:f>
        <x:v>FAZZ US Equity</x:v>
      </x:c>
      <x:c r="C249" t="str">
        <x:f>IFERROR(IF(0=LEN(ReferenceData!$C$249),"",ReferenceData!$C$249),"")</x:f>
        <x:v/>
      </x:c>
      <x:c r="D249" t="str">
        <x:f>IFERROR(IF(0=LEN(ReferenceData!$D$249),"",ReferenceData!$D$249),"")</x:f>
        <x:v/>
      </x:c>
      <x:c r="E249" t="str">
        <x:f>IFERROR(IF(0=LEN(ReferenceData!$E$249),"",ReferenceData!$E$249),"")</x:f>
        <x:v>Expression</x:v>
      </x:c>
      <x:c r="F249" t="str">
        <x:f ca="1">IFERROR(IF(0=LEN(ReferenceData!$F$249),"",ReferenceData!$F$249),"")</x:f>
        <x:v/>
      </x:c>
      <x:c r="G249" t="str">
        <x:f ca="1">IFERROR(IF(0=LEN(ReferenceData!$G$249),"",ReferenceData!$G$249),"")</x:f>
        <x:v/>
      </x:c>
      <x:c r="H249" t="str">
        <x:f ca="1">IFERROR(IF(0=LEN(ReferenceData!$H$249),"",ReferenceData!$H$249),"")</x:f>
        <x:v/>
      </x:c>
      <x:c r="I249" t="str">
        <x:f ca="1">IFERROR(IF(0=LEN(ReferenceData!$I$249),"",ReferenceData!$I$249),"")</x:f>
        <x:v/>
      </x:c>
      <x:c r="J249" t="str">
        <x:f ca="1">IFERROR(IF(0=LEN(ReferenceData!$J$249),"",ReferenceData!$J$249),"")</x:f>
        <x:v/>
      </x:c>
      <x:c r="K249" t="str">
        <x:f ca="1">IFERROR(IF(0=LEN(ReferenceData!$K$249),"",ReferenceData!$K$249),"")</x:f>
        <x:v/>
      </x:c>
      <x:c r="L249" t="str">
        <x:f ca="1">IFERROR(IF(0=LEN(ReferenceData!$L$249),"",ReferenceData!$L$249),"")</x:f>
        <x:v/>
      </x:c>
      <x:c r="M249" t="str">
        <x:f ca="1">IFERROR(IF(0=LEN(ReferenceData!$M$249),"",ReferenceData!$M$249),"")</x:f>
        <x:v/>
      </x:c>
      <x:c r="N249" t="str">
        <x:f ca="1">IFERROR(IF(0=LEN(ReferenceData!$N$249),"",ReferenceData!$N$249),"")</x:f>
        <x:v/>
      </x:c>
      <x:c r="O249" t="str">
        <x:f ca="1">IFERROR(IF(0=LEN(ReferenceData!$O$249),"",ReferenceData!$O$249),"")</x:f>
        <x:v/>
      </x:c>
      <x:c r="P249" t="str">
        <x:f ca="1">IFERROR(IF(0=LEN(ReferenceData!$P$249),"",ReferenceData!$P$249),"")</x:f>
        <x:v/>
      </x:c>
      <x:c r="Q249" t="str">
        <x:f ca="1">IFERROR(IF(0=LEN(ReferenceData!$Q$249),"",ReferenceData!$Q$249),"")</x:f>
        <x:v/>
      </x:c>
      <x:c r="R249" t="str">
        <x:f ca="1">IFERROR(IF(0=LEN(ReferenceData!$R$249),"",ReferenceData!$R$249),"")</x:f>
        <x:v/>
      </x:c>
      <x:c r="S249" t="str">
        <x:f ca="1">IFERROR(IF(0=LEN(ReferenceData!$S$249),"",ReferenceData!$S$249),"")</x:f>
        <x:v/>
      </x:c>
    </x:row>
    <x:row r="250" spans="1:19" x14ac:dyDescent="0.25">
      <x:c r="A250" t="str">
        <x:f>IFERROR(IF(0=LEN(ReferenceData!$A$250),"",ReferenceData!$A$250),"")</x:f>
        <x:v xml:space="preserve">        Direxion Daily European Financ</x:v>
      </x:c>
      <x:c r="B250" t="str">
        <x:f>IFERROR(IF(0=LEN(ReferenceData!$B$250),"",ReferenceData!$B$250),"")</x:f>
        <x:v>EUFS US Equity</x:v>
      </x:c>
      <x:c r="C250" t="str">
        <x:f>IFERROR(IF(0=LEN(ReferenceData!$C$250),"",ReferenceData!$C$250),"")</x:f>
        <x:v/>
      </x:c>
      <x:c r="D250" t="str">
        <x:f>IFERROR(IF(0=LEN(ReferenceData!$D$250),"",ReferenceData!$D$250),"")</x:f>
        <x:v/>
      </x:c>
      <x:c r="E250" t="str">
        <x:f>IFERROR(IF(0=LEN(ReferenceData!$E$250),"",ReferenceData!$E$250),"")</x:f>
        <x:v>Expression</x:v>
      </x:c>
      <x:c r="F250" t="str">
        <x:f ca="1">IFERROR(IF(0=LEN(ReferenceData!$F$250),"",ReferenceData!$F$250),"")</x:f>
        <x:v/>
      </x:c>
      <x:c r="G250" t="str">
        <x:f ca="1">IFERROR(IF(0=LEN(ReferenceData!$G$250),"",ReferenceData!$G$250),"")</x:f>
        <x:v/>
      </x:c>
      <x:c r="H250" t="str">
        <x:f ca="1">IFERROR(IF(0=LEN(ReferenceData!$H$250),"",ReferenceData!$H$250),"")</x:f>
        <x:v/>
      </x:c>
      <x:c r="I250" t="str">
        <x:f ca="1">IFERROR(IF(0=LEN(ReferenceData!$I$250),"",ReferenceData!$I$250),"")</x:f>
        <x:v/>
      </x:c>
      <x:c r="J250" t="str">
        <x:f ca="1">IFERROR(IF(0=LEN(ReferenceData!$J$250),"",ReferenceData!$J$250),"")</x:f>
        <x:v/>
      </x:c>
      <x:c r="K250" t="str">
        <x:f ca="1">IFERROR(IF(0=LEN(ReferenceData!$K$250),"",ReferenceData!$K$250),"")</x:f>
        <x:v/>
      </x:c>
      <x:c r="L250" t="str">
        <x:f ca="1">IFERROR(IF(0=LEN(ReferenceData!$L$250),"",ReferenceData!$L$250),"")</x:f>
        <x:v/>
      </x:c>
      <x:c r="M250" t="str">
        <x:f ca="1">IFERROR(IF(0=LEN(ReferenceData!$M$250),"",ReferenceData!$M$250),"")</x:f>
        <x:v/>
      </x:c>
      <x:c r="N250" t="str">
        <x:f ca="1">IFERROR(IF(0=LEN(ReferenceData!$N$250),"",ReferenceData!$N$250),"")</x:f>
        <x:v/>
      </x:c>
      <x:c r="O250" t="str">
        <x:f ca="1">IFERROR(IF(0=LEN(ReferenceData!$O$250),"",ReferenceData!$O$250),"")</x:f>
        <x:v/>
      </x:c>
      <x:c r="P250" t="str">
        <x:f ca="1">IFERROR(IF(0=LEN(ReferenceData!$P$250),"",ReferenceData!$P$250),"")</x:f>
        <x:v/>
      </x:c>
      <x:c r="Q250" t="str">
        <x:f ca="1">IFERROR(IF(0=LEN(ReferenceData!$Q$250),"",ReferenceData!$Q$250),"")</x:f>
        <x:v/>
      </x:c>
      <x:c r="R250" t="str">
        <x:f ca="1">IFERROR(IF(0=LEN(ReferenceData!$R$250),"",ReferenceData!$R$250),"")</x:f>
        <x:v/>
      </x:c>
      <x:c r="S250" t="str">
        <x:f ca="1">IFERROR(IF(0=LEN(ReferenceData!$S$250),"",ReferenceData!$S$250),"")</x:f>
        <x:v/>
      </x:c>
    </x:row>
    <x:row r="251" spans="1:19" x14ac:dyDescent="0.25">
      <x:c r="A251" t="str">
        <x:f>IFERROR(IF(0=LEN(ReferenceData!$A$251),"",ReferenceData!$A$251),"")</x:f>
        <x:v xml:space="preserve">        ProShares Short S&amp;P Regional B</x:v>
      </x:c>
      <x:c r="B251" t="str">
        <x:f>IFERROR(IF(0=LEN(ReferenceData!$B$251),"",ReferenceData!$B$251),"")</x:f>
        <x:v>KRS US Equity</x:v>
      </x:c>
      <x:c r="C251" t="str">
        <x:f>IFERROR(IF(0=LEN(ReferenceData!$C$251),"",ReferenceData!$C$251),"")</x:f>
        <x:v/>
      </x:c>
      <x:c r="D251" t="str">
        <x:f>IFERROR(IF(0=LEN(ReferenceData!$D$251),"",ReferenceData!$D$251),"")</x:f>
        <x:v/>
      </x:c>
      <x:c r="E251" t="str">
        <x:f>IFERROR(IF(0=LEN(ReferenceData!$E$251),"",ReferenceData!$E$251),"")</x:f>
        <x:v>Expression</x:v>
      </x:c>
      <x:c r="F251" t="str">
        <x:f ca="1">IFERROR(IF(0=LEN(ReferenceData!$F$251),"",ReferenceData!$F$251),"")</x:f>
        <x:v/>
      </x:c>
      <x:c r="G251" t="str">
        <x:f ca="1">IFERROR(IF(0=LEN(ReferenceData!$G$251),"",ReferenceData!$G$251),"")</x:f>
        <x:v/>
      </x:c>
      <x:c r="H251" t="str">
        <x:f ca="1">IFERROR(IF(0=LEN(ReferenceData!$H$251),"",ReferenceData!$H$251),"")</x:f>
        <x:v/>
      </x:c>
      <x:c r="I251" t="str">
        <x:f ca="1">IFERROR(IF(0=LEN(ReferenceData!$I$251),"",ReferenceData!$I$251),"")</x:f>
        <x:v/>
      </x:c>
      <x:c r="J251" t="str">
        <x:f ca="1">IFERROR(IF(0=LEN(ReferenceData!$J$251),"",ReferenceData!$J$251),"")</x:f>
        <x:v/>
      </x:c>
      <x:c r="K251" t="str">
        <x:f ca="1">IFERROR(IF(0=LEN(ReferenceData!$K$251),"",ReferenceData!$K$251),"")</x:f>
        <x:v/>
      </x:c>
      <x:c r="L251" t="str">
        <x:f ca="1">IFERROR(IF(0=LEN(ReferenceData!$L$251),"",ReferenceData!$L$251),"")</x:f>
        <x:v/>
      </x:c>
      <x:c r="M251" t="str">
        <x:f ca="1">IFERROR(IF(0=LEN(ReferenceData!$M$251),"",ReferenceData!$M$251),"")</x:f>
        <x:v/>
      </x:c>
      <x:c r="N251" t="str">
        <x:f ca="1">IFERROR(IF(0=LEN(ReferenceData!$N$251),"",ReferenceData!$N$251),"")</x:f>
        <x:v/>
      </x:c>
      <x:c r="O251" t="str">
        <x:f ca="1">IFERROR(IF(0=LEN(ReferenceData!$O$251),"",ReferenceData!$O$251),"")</x:f>
        <x:v/>
      </x:c>
      <x:c r="P251" t="str">
        <x:f ca="1">IFERROR(IF(0=LEN(ReferenceData!$P$251),"",ReferenceData!$P$251),"")</x:f>
        <x:v/>
      </x:c>
      <x:c r="Q251" t="str">
        <x:f ca="1">IFERROR(IF(0=LEN(ReferenceData!$Q$251),"",ReferenceData!$Q$251),"")</x:f>
        <x:v/>
      </x:c>
      <x:c r="R251" t="str">
        <x:f ca="1">IFERROR(IF(0=LEN(ReferenceData!$R$251),"",ReferenceData!$R$251),"")</x:f>
        <x:v/>
      </x:c>
      <x:c r="S251" t="str">
        <x:f ca="1">IFERROR(IF(0=LEN(ReferenceData!$S$251),"",ReferenceData!$S$251),"")</x:f>
        <x:v/>
      </x:c>
    </x:row>
    <x:row r="252" spans="1:19" x14ac:dyDescent="0.25">
      <x:c r="A252" t="str">
        <x:f>IFERROR(IF(0=LEN(ReferenceData!$A$252),"",ReferenceData!$A$252),"")</x:f>
        <x:v xml:space="preserve">        ETF Industry Exposure &amp; Financ</x:v>
      </x:c>
      <x:c r="B252" t="str">
        <x:f>IFERROR(IF(0=LEN(ReferenceData!$B$252),"",ReferenceData!$B$252),"")</x:f>
        <x:v>TETF US Equity</x:v>
      </x:c>
      <x:c r="C252" t="str">
        <x:f>IFERROR(IF(0=LEN(ReferenceData!$C$252),"",ReferenceData!$C$252),"")</x:f>
        <x:v/>
      </x:c>
      <x:c r="D252" t="str">
        <x:f>IFERROR(IF(0=LEN(ReferenceData!$D$252),"",ReferenceData!$D$252),"")</x:f>
        <x:v/>
      </x:c>
      <x:c r="E252" t="str">
        <x:f>IFERROR(IF(0=LEN(ReferenceData!$E$252),"",ReferenceData!$E$252),"")</x:f>
        <x:v>Expression</x:v>
      </x:c>
      <x:c r="F252" t="str">
        <x:f ca="1">IFERROR(IF(0=LEN(ReferenceData!$F$252),"",ReferenceData!$F$252),"")</x:f>
        <x:v/>
      </x:c>
      <x:c r="G252" t="str">
        <x:f ca="1">IFERROR(IF(0=LEN(ReferenceData!$G$252),"",ReferenceData!$G$252),"")</x:f>
        <x:v/>
      </x:c>
      <x:c r="H252" t="str">
        <x:f ca="1">IFERROR(IF(0=LEN(ReferenceData!$H$252),"",ReferenceData!$H$252),"")</x:f>
        <x:v/>
      </x:c>
      <x:c r="I252" t="str">
        <x:f ca="1">IFERROR(IF(0=LEN(ReferenceData!$I$252),"",ReferenceData!$I$252),"")</x:f>
        <x:v/>
      </x:c>
      <x:c r="J252" t="str">
        <x:f ca="1">IFERROR(IF(0=LEN(ReferenceData!$J$252),"",ReferenceData!$J$252),"")</x:f>
        <x:v/>
      </x:c>
      <x:c r="K252" t="str">
        <x:f ca="1">IFERROR(IF(0=LEN(ReferenceData!$K$252),"",ReferenceData!$K$252),"")</x:f>
        <x:v/>
      </x:c>
      <x:c r="L252" t="str">
        <x:f ca="1">IFERROR(IF(0=LEN(ReferenceData!$L$252),"",ReferenceData!$L$252),"")</x:f>
        <x:v/>
      </x:c>
      <x:c r="M252" t="str">
        <x:f ca="1">IFERROR(IF(0=LEN(ReferenceData!$M$252),"",ReferenceData!$M$252),"")</x:f>
        <x:v/>
      </x:c>
      <x:c r="N252" t="str">
        <x:f ca="1">IFERROR(IF(0=LEN(ReferenceData!$N$252),"",ReferenceData!$N$252),"")</x:f>
        <x:v/>
      </x:c>
      <x:c r="O252" t="str">
        <x:f ca="1">IFERROR(IF(0=LEN(ReferenceData!$O$252),"",ReferenceData!$O$252),"")</x:f>
        <x:v/>
      </x:c>
      <x:c r="P252" t="str">
        <x:f ca="1">IFERROR(IF(0=LEN(ReferenceData!$P$252),"",ReferenceData!$P$252),"")</x:f>
        <x:v/>
      </x:c>
      <x:c r="Q252" t="str">
        <x:f ca="1">IFERROR(IF(0=LEN(ReferenceData!$Q$252),"",ReferenceData!$Q$252),"")</x:f>
        <x:v/>
      </x:c>
      <x:c r="R252" t="str">
        <x:f ca="1">IFERROR(IF(0=LEN(ReferenceData!$R$252),"",ReferenceData!$R$252),"")</x:f>
        <x:v/>
      </x:c>
      <x:c r="S252" t="str">
        <x:f ca="1">IFERROR(IF(0=LEN(ReferenceData!$S$252),"",ReferenceData!$S$252),"")</x:f>
        <x:v/>
      </x:c>
    </x:row>
    <x:row r="253" spans="1:19" x14ac:dyDescent="0.25">
      <x:c r="A253" t="str">
        <x:f>IFERROR(IF(0=LEN(ReferenceData!$A$253),"",ReferenceData!$A$253),"")</x:f>
        <x:v xml:space="preserve">        Elkhorn S&amp;P MidCap Financials</x:v>
      </x:c>
      <x:c r="B253" t="str">
        <x:f>IFERROR(IF(0=LEN(ReferenceData!$B$253),"",ReferenceData!$B$253),"")</x:f>
        <x:v>XF US Equity</x:v>
      </x:c>
      <x:c r="C253" t="str">
        <x:f>IFERROR(IF(0=LEN(ReferenceData!$C$253),"",ReferenceData!$C$253),"")</x:f>
        <x:v/>
      </x:c>
      <x:c r="D253" t="str">
        <x:f>IFERROR(IF(0=LEN(ReferenceData!$D$253),"",ReferenceData!$D$253),"")</x:f>
        <x:v/>
      </x:c>
      <x:c r="E253" t="str">
        <x:f>IFERROR(IF(0=LEN(ReferenceData!$E$253),"",ReferenceData!$E$253),"")</x:f>
        <x:v>Expression</x:v>
      </x:c>
      <x:c r="F253" t="str">
        <x:f ca="1">IFERROR(IF(0=LEN(ReferenceData!$F$253),"",ReferenceData!$F$253),"")</x:f>
        <x:v/>
      </x:c>
      <x:c r="G253" t="str">
        <x:f ca="1">IFERROR(IF(0=LEN(ReferenceData!$G$253),"",ReferenceData!$G$253),"")</x:f>
        <x:v/>
      </x:c>
      <x:c r="H253" t="str">
        <x:f ca="1">IFERROR(IF(0=LEN(ReferenceData!$H$253),"",ReferenceData!$H$253),"")</x:f>
        <x:v/>
      </x:c>
      <x:c r="I253" t="str">
        <x:f ca="1">IFERROR(IF(0=LEN(ReferenceData!$I$253),"",ReferenceData!$I$253),"")</x:f>
        <x:v/>
      </x:c>
      <x:c r="J253" t="str">
        <x:f ca="1">IFERROR(IF(0=LEN(ReferenceData!$J$253),"",ReferenceData!$J$253),"")</x:f>
        <x:v/>
      </x:c>
      <x:c r="K253" t="str">
        <x:f ca="1">IFERROR(IF(0=LEN(ReferenceData!$K$253),"",ReferenceData!$K$253),"")</x:f>
        <x:v/>
      </x:c>
      <x:c r="L253" t="str">
        <x:f ca="1">IFERROR(IF(0=LEN(ReferenceData!$L$253),"",ReferenceData!$L$253),"")</x:f>
        <x:v/>
      </x:c>
      <x:c r="M253" t="str">
        <x:f ca="1">IFERROR(IF(0=LEN(ReferenceData!$M$253),"",ReferenceData!$M$253),"")</x:f>
        <x:v/>
      </x:c>
      <x:c r="N253" t="str">
        <x:f ca="1">IFERROR(IF(0=LEN(ReferenceData!$N$253),"",ReferenceData!$N$253),"")</x:f>
        <x:v/>
      </x:c>
      <x:c r="O253" t="str">
        <x:f ca="1">IFERROR(IF(0=LEN(ReferenceData!$O$253),"",ReferenceData!$O$253),"")</x:f>
        <x:v/>
      </x:c>
      <x:c r="P253" t="str">
        <x:f ca="1">IFERROR(IF(0=LEN(ReferenceData!$P$253),"",ReferenceData!$P$253),"")</x:f>
        <x:v/>
      </x:c>
      <x:c r="Q253" t="str">
        <x:f ca="1">IFERROR(IF(0=LEN(ReferenceData!$Q$253),"",ReferenceData!$Q$253),"")</x:f>
        <x:v/>
      </x:c>
      <x:c r="R253" t="str">
        <x:f ca="1">IFERROR(IF(0=LEN(ReferenceData!$R$253),"",ReferenceData!$R$253),"")</x:f>
        <x:v/>
      </x:c>
      <x:c r="S253" t="str">
        <x:f ca="1">IFERROR(IF(0=LEN(ReferenceData!$S$253),"",ReferenceData!$S$253),"")</x:f>
        <x:v/>
      </x:c>
    </x:row>
    <x:row r="254" spans="1:19" x14ac:dyDescent="0.25">
      <x:c r="A254" t="str">
        <x:f>IFERROR(IF(0=LEN(ReferenceData!$A$254),"",ReferenceData!$A$254),"")</x:f>
        <x:v xml:space="preserve">        iShares Evolved US Financials</x:v>
      </x:c>
      <x:c r="B254" t="str">
        <x:f>IFERROR(IF(0=LEN(ReferenceData!$B$254),"",ReferenceData!$B$254),"")</x:f>
        <x:v>IEFN US Equity</x:v>
      </x:c>
      <x:c r="C254" t="str">
        <x:f>IFERROR(IF(0=LEN(ReferenceData!$C$254),"",ReferenceData!$C$254),"")</x:f>
        <x:v/>
      </x:c>
      <x:c r="D254" t="str">
        <x:f>IFERROR(IF(0=LEN(ReferenceData!$D$254),"",ReferenceData!$D$254),"")</x:f>
        <x:v/>
      </x:c>
      <x:c r="E254" t="str">
        <x:f>IFERROR(IF(0=LEN(ReferenceData!$E$254),"",ReferenceData!$E$254),"")</x:f>
        <x:v>Expression</x:v>
      </x:c>
      <x:c r="F254" t="str">
        <x:f ca="1">IFERROR(IF(0=LEN(ReferenceData!$F$254),"",ReferenceData!$F$254),"")</x:f>
        <x:v/>
      </x:c>
      <x:c r="G254" t="str">
        <x:f ca="1">IFERROR(IF(0=LEN(ReferenceData!$G$254),"",ReferenceData!$G$254),"")</x:f>
        <x:v/>
      </x:c>
      <x:c r="H254" t="str">
        <x:f ca="1">IFERROR(IF(0=LEN(ReferenceData!$H$254),"",ReferenceData!$H$254),"")</x:f>
        <x:v/>
      </x:c>
      <x:c r="I254" t="str">
        <x:f ca="1">IFERROR(IF(0=LEN(ReferenceData!$I$254),"",ReferenceData!$I$254),"")</x:f>
        <x:v/>
      </x:c>
      <x:c r="J254" t="str">
        <x:f ca="1">IFERROR(IF(0=LEN(ReferenceData!$J$254),"",ReferenceData!$J$254),"")</x:f>
        <x:v/>
      </x:c>
      <x:c r="K254" t="str">
        <x:f ca="1">IFERROR(IF(0=LEN(ReferenceData!$K$254),"",ReferenceData!$K$254),"")</x:f>
        <x:v/>
      </x:c>
      <x:c r="L254" t="str">
        <x:f ca="1">IFERROR(IF(0=LEN(ReferenceData!$L$254),"",ReferenceData!$L$254),"")</x:f>
        <x:v/>
      </x:c>
      <x:c r="M254" t="str">
        <x:f ca="1">IFERROR(IF(0=LEN(ReferenceData!$M$254),"",ReferenceData!$M$254),"")</x:f>
        <x:v/>
      </x:c>
      <x:c r="N254" t="str">
        <x:f ca="1">IFERROR(IF(0=LEN(ReferenceData!$N$254),"",ReferenceData!$N$254),"")</x:f>
        <x:v/>
      </x:c>
      <x:c r="O254" t="str">
        <x:f ca="1">IFERROR(IF(0=LEN(ReferenceData!$O$254),"",ReferenceData!$O$254),"")</x:f>
        <x:v/>
      </x:c>
      <x:c r="P254" t="str">
        <x:f ca="1">IFERROR(IF(0=LEN(ReferenceData!$P$254),"",ReferenceData!$P$254),"")</x:f>
        <x:v/>
      </x:c>
      <x:c r="Q254" t="str">
        <x:f ca="1">IFERROR(IF(0=LEN(ReferenceData!$Q$254),"",ReferenceData!$Q$254),"")</x:f>
        <x:v/>
      </x:c>
      <x:c r="R254" t="str">
        <x:f ca="1">IFERROR(IF(0=LEN(ReferenceData!$R$254),"",ReferenceData!$R$254),"")</x:f>
        <x:v/>
      </x:c>
      <x:c r="S254" t="str">
        <x:f ca="1">IFERROR(IF(0=LEN(ReferenceData!$S$254),"",ReferenceData!$S$254),"")</x:f>
        <x:v/>
      </x:c>
    </x:row>
    <x:row r="255" spans="1:19" x14ac:dyDescent="0.25">
      <x:c r="A255" t="str">
        <x:f>IFERROR(IF(0=LEN(ReferenceData!$A$255),"",ReferenceData!$A$255),"")</x:f>
        <x:v xml:space="preserve">        MicroSectors US Big Banks Inde</x:v>
      </x:c>
      <x:c r="B255" t="str">
        <x:f>IFERROR(IF(0=LEN(ReferenceData!$B$255),"",ReferenceData!$B$255),"")</x:f>
        <x:v>BNKD US Equity</x:v>
      </x:c>
      <x:c r="C255" t="str">
        <x:f>IFERROR(IF(0=LEN(ReferenceData!$C$255),"",ReferenceData!$C$255),"")</x:f>
        <x:v/>
      </x:c>
      <x:c r="D255" t="str">
        <x:f>IFERROR(IF(0=LEN(ReferenceData!$D$255),"",ReferenceData!$D$255),"")</x:f>
        <x:v/>
      </x:c>
      <x:c r="E255" t="str">
        <x:f>IFERROR(IF(0=LEN(ReferenceData!$E$255),"",ReferenceData!$E$255),"")</x:f>
        <x:v>Expression</x:v>
      </x:c>
      <x:c r="F255">
        <x:f ca="1">IFERROR(IF(0=LEN(ReferenceData!$F$255),"",ReferenceData!$F$255),"")</x:f>
        <x:v>0</x:v>
      </x:c>
      <x:c r="G255">
        <x:f ca="1">IFERROR(IF(0=LEN(ReferenceData!$G$255),"",ReferenceData!$G$255),"")</x:f>
        <x:v>0</x:v>
      </x:c>
      <x:c r="H255">
        <x:f ca="1">IFERROR(IF(0=LEN(ReferenceData!$H$255),"",ReferenceData!$H$255),"")</x:f>
        <x:v>0</x:v>
      </x:c>
      <x:c r="I255">
        <x:f ca="1">IFERROR(IF(0=LEN(ReferenceData!$I$255),"",ReferenceData!$I$255),"")</x:f>
        <x:v>0</x:v>
      </x:c>
      <x:c r="J255">
        <x:f ca="1">IFERROR(IF(0=LEN(ReferenceData!$J$255),"",ReferenceData!$J$255),"")</x:f>
        <x:v>4.4781420000000001</x:v>
      </x:c>
      <x:c r="K255">
        <x:f ca="1">IFERROR(IF(0=LEN(ReferenceData!$K$255),"",ReferenceData!$K$255),"")</x:f>
        <x:v>0</x:v>
      </x:c>
      <x:c r="L255">
        <x:f ca="1">IFERROR(IF(0=LEN(ReferenceData!$L$255),"",ReferenceData!$L$255),"")</x:f>
        <x:v>0</x:v>
      </x:c>
      <x:c r="M255">
        <x:f ca="1">IFERROR(IF(0=LEN(ReferenceData!$M$255),"",ReferenceData!$M$255),"")</x:f>
        <x:v>0</x:v>
      </x:c>
      <x:c r="N255">
        <x:f ca="1">IFERROR(IF(0=LEN(ReferenceData!$N$255),"",ReferenceData!$N$255),"")</x:f>
        <x:v>0</x:v>
      </x:c>
      <x:c r="O255">
        <x:f ca="1">IFERROR(IF(0=LEN(ReferenceData!$O$255),"",ReferenceData!$O$255),"")</x:f>
        <x:v>0</x:v>
      </x:c>
      <x:c r="P255">
        <x:f ca="1">IFERROR(IF(0=LEN(ReferenceData!$P$255),"",ReferenceData!$P$255),"")</x:f>
        <x:v>0</x:v>
      </x:c>
      <x:c r="Q255">
        <x:f ca="1">IFERROR(IF(0=LEN(ReferenceData!$Q$255),"",ReferenceData!$Q$255),"")</x:f>
        <x:v>0</x:v>
      </x:c>
      <x:c r="R255">
        <x:f ca="1">IFERROR(IF(0=LEN(ReferenceData!$R$255),"",ReferenceData!$R$255),"")</x:f>
        <x:v>0</x:v>
      </x:c>
      <x:c r="S255">
        <x:f ca="1">IFERROR(IF(0=LEN(ReferenceData!$S$255),"",ReferenceData!$S$255),"")</x:f>
        <x:v>0</x:v>
      </x:c>
    </x:row>
    <x:row r="256" spans="1:19" x14ac:dyDescent="0.25">
      <x:c r="A256" t="str">
        <x:f>IFERROR(IF(0=LEN(ReferenceData!$A$256),"",ReferenceData!$A$256),"")</x:f>
        <x:v xml:space="preserve">        MicroSectors US Big Banks Inde</x:v>
      </x:c>
      <x:c r="B256" t="str">
        <x:f>IFERROR(IF(0=LEN(ReferenceData!$B$256),"",ReferenceData!$B$256),"")</x:f>
        <x:v>BNKO US Equity</x:v>
      </x:c>
      <x:c r="C256" t="str">
        <x:f>IFERROR(IF(0=LEN(ReferenceData!$C$256),"",ReferenceData!$C$256),"")</x:f>
        <x:v/>
      </x:c>
      <x:c r="D256" t="str">
        <x:f>IFERROR(IF(0=LEN(ReferenceData!$D$256),"",ReferenceData!$D$256),"")</x:f>
        <x:v/>
      </x:c>
      <x:c r="E256" t="str">
        <x:f>IFERROR(IF(0=LEN(ReferenceData!$E$256),"",ReferenceData!$E$256),"")</x:f>
        <x:v>Expression</x:v>
      </x:c>
      <x:c r="F256" t="str">
        <x:f ca="1">IFERROR(IF(0=LEN(ReferenceData!$F$256),"",ReferenceData!$F$256),"")</x:f>
        <x:v/>
      </x:c>
      <x:c r="G256" t="str">
        <x:f ca="1">IFERROR(IF(0=LEN(ReferenceData!$G$256),"",ReferenceData!$G$256),"")</x:f>
        <x:v/>
      </x:c>
      <x:c r="H256" t="str">
        <x:f ca="1">IFERROR(IF(0=LEN(ReferenceData!$H$256),"",ReferenceData!$H$256),"")</x:f>
        <x:v/>
      </x:c>
      <x:c r="I256" t="str">
        <x:f ca="1">IFERROR(IF(0=LEN(ReferenceData!$I$256),"",ReferenceData!$I$256),"")</x:f>
        <x:v/>
      </x:c>
      <x:c r="J256" t="str">
        <x:f ca="1">IFERROR(IF(0=LEN(ReferenceData!$J$256),"",ReferenceData!$J$256),"")</x:f>
        <x:v/>
      </x:c>
      <x:c r="K256" t="str">
        <x:f ca="1">IFERROR(IF(0=LEN(ReferenceData!$K$256),"",ReferenceData!$K$256),"")</x:f>
        <x:v/>
      </x:c>
      <x:c r="L256" t="str">
        <x:f ca="1">IFERROR(IF(0=LEN(ReferenceData!$L$256),"",ReferenceData!$L$256),"")</x:f>
        <x:v/>
      </x:c>
      <x:c r="M256" t="str">
        <x:f ca="1">IFERROR(IF(0=LEN(ReferenceData!$M$256),"",ReferenceData!$M$256),"")</x:f>
        <x:v/>
      </x:c>
      <x:c r="N256" t="str">
        <x:f ca="1">IFERROR(IF(0=LEN(ReferenceData!$N$256),"",ReferenceData!$N$256),"")</x:f>
        <x:v/>
      </x:c>
      <x:c r="O256" t="str">
        <x:f ca="1">IFERROR(IF(0=LEN(ReferenceData!$O$256),"",ReferenceData!$O$256),"")</x:f>
        <x:v/>
      </x:c>
      <x:c r="P256" t="str">
        <x:f ca="1">IFERROR(IF(0=LEN(ReferenceData!$P$256),"",ReferenceData!$P$256),"")</x:f>
        <x:v/>
      </x:c>
      <x:c r="Q256" t="str">
        <x:f ca="1">IFERROR(IF(0=LEN(ReferenceData!$Q$256),"",ReferenceData!$Q$256),"")</x:f>
        <x:v/>
      </x:c>
      <x:c r="R256" t="str">
        <x:f ca="1">IFERROR(IF(0=LEN(ReferenceData!$R$256),"",ReferenceData!$R$256),"")</x:f>
        <x:v/>
      </x:c>
      <x:c r="S256" t="str">
        <x:f ca="1">IFERROR(IF(0=LEN(ReferenceData!$S$256),"",ReferenceData!$S$256),"")</x:f>
        <x:v/>
      </x:c>
    </x:row>
    <x:row r="257" spans="1:19" x14ac:dyDescent="0.25">
      <x:c r="A257" t="str">
        <x:f>IFERROR(IF(0=LEN(ReferenceData!$A$257),"",ReferenceData!$A$257),"")</x:f>
        <x:v xml:space="preserve">        MicroSectors US Big Banks Inde</x:v>
      </x:c>
      <x:c r="B257" t="str">
        <x:f>IFERROR(IF(0=LEN(ReferenceData!$B$257),"",ReferenceData!$B$257),"")</x:f>
        <x:v>BNKU US Equity</x:v>
      </x:c>
      <x:c r="C257" t="str">
        <x:f>IFERROR(IF(0=LEN(ReferenceData!$C$257),"",ReferenceData!$C$257),"")</x:f>
        <x:v/>
      </x:c>
      <x:c r="D257" t="str">
        <x:f>IFERROR(IF(0=LEN(ReferenceData!$D$257),"",ReferenceData!$D$257),"")</x:f>
        <x:v/>
      </x:c>
      <x:c r="E257" t="str">
        <x:f>IFERROR(IF(0=LEN(ReferenceData!$E$257),"",ReferenceData!$E$257),"")</x:f>
        <x:v>Expression</x:v>
      </x:c>
      <x:c r="F257">
        <x:f ca="1">IFERROR(IF(0=LEN(ReferenceData!$F$257),"",ReferenceData!$F$257),"")</x:f>
        <x:v>0</x:v>
      </x:c>
      <x:c r="G257">
        <x:f ca="1">IFERROR(IF(0=LEN(ReferenceData!$G$257),"",ReferenceData!$G$257),"")</x:f>
        <x:v>0</x:v>
      </x:c>
      <x:c r="H257">
        <x:f ca="1">IFERROR(IF(0=LEN(ReferenceData!$H$257),"",ReferenceData!$H$257),"")</x:f>
        <x:v>0</x:v>
      </x:c>
      <x:c r="I257">
        <x:f ca="1">IFERROR(IF(0=LEN(ReferenceData!$I$257),"",ReferenceData!$I$257),"")</x:f>
        <x:v>0</x:v>
      </x:c>
      <x:c r="J257">
        <x:f ca="1">IFERROR(IF(0=LEN(ReferenceData!$J$257),"",ReferenceData!$J$257),"")</x:f>
        <x:v>0</x:v>
      </x:c>
      <x:c r="K257">
        <x:f ca="1">IFERROR(IF(0=LEN(ReferenceData!$K$257),"",ReferenceData!$K$257),"")</x:f>
        <x:v>0</x:v>
      </x:c>
      <x:c r="L257">
        <x:f ca="1">IFERROR(IF(0=LEN(ReferenceData!$L$257),"",ReferenceData!$L$257),"")</x:f>
        <x:v>0</x:v>
      </x:c>
      <x:c r="M257">
        <x:f ca="1">IFERROR(IF(0=LEN(ReferenceData!$M$257),"",ReferenceData!$M$257),"")</x:f>
        <x:v>0</x:v>
      </x:c>
      <x:c r="N257">
        <x:f ca="1">IFERROR(IF(0=LEN(ReferenceData!$N$257),"",ReferenceData!$N$257),"")</x:f>
        <x:v>114.68735</x:v>
      </x:c>
      <x:c r="O257">
        <x:f ca="1">IFERROR(IF(0=LEN(ReferenceData!$O$257),"",ReferenceData!$O$257),"")</x:f>
        <x:v>0</x:v>
      </x:c>
      <x:c r="P257">
        <x:f ca="1">IFERROR(IF(0=LEN(ReferenceData!$P$257),"",ReferenceData!$P$257),"")</x:f>
        <x:v>0</x:v>
      </x:c>
      <x:c r="Q257">
        <x:f ca="1">IFERROR(IF(0=LEN(ReferenceData!$Q$257),"",ReferenceData!$Q$257),"")</x:f>
        <x:v>0</x:v>
      </x:c>
      <x:c r="R257">
        <x:f ca="1">IFERROR(IF(0=LEN(ReferenceData!$R$257),"",ReferenceData!$R$257),"")</x:f>
        <x:v>0</x:v>
      </x:c>
      <x:c r="S257">
        <x:f ca="1">IFERROR(IF(0=LEN(ReferenceData!$S$257),"",ReferenceData!$S$257),"")</x:f>
        <x:v>0</x:v>
      </x:c>
    </x:row>
    <x:row r="258" spans="1:19" x14ac:dyDescent="0.25">
      <x:c r="A258" t="str">
        <x:f>IFERROR(IF(0=LEN(ReferenceData!$A$258),"",ReferenceData!$A$258),"")</x:f>
        <x:v xml:space="preserve">        MicroSectors US Big Banks Inde</x:v>
      </x:c>
      <x:c r="B258" t="str">
        <x:f>IFERROR(IF(0=LEN(ReferenceData!$B$258),"",ReferenceData!$B$258),"")</x:f>
        <x:v>BNKZ US Equity</x:v>
      </x:c>
      <x:c r="C258" t="str">
        <x:f>IFERROR(IF(0=LEN(ReferenceData!$C$258),"",ReferenceData!$C$258),"")</x:f>
        <x:v/>
      </x:c>
      <x:c r="D258" t="str">
        <x:f>IFERROR(IF(0=LEN(ReferenceData!$D$258),"",ReferenceData!$D$258),"")</x:f>
        <x:v/>
      </x:c>
      <x:c r="E258" t="str">
        <x:f>IFERROR(IF(0=LEN(ReferenceData!$E$258),"",ReferenceData!$E$258),"")</x:f>
        <x:v>Expression</x:v>
      </x:c>
      <x:c r="F258" t="str">
        <x:f ca="1">IFERROR(IF(0=LEN(ReferenceData!$F$258),"",ReferenceData!$F$258),"")</x:f>
        <x:v/>
      </x:c>
      <x:c r="G258" t="str">
        <x:f ca="1">IFERROR(IF(0=LEN(ReferenceData!$G$258),"",ReferenceData!$G$258),"")</x:f>
        <x:v/>
      </x:c>
      <x:c r="H258" t="str">
        <x:f ca="1">IFERROR(IF(0=LEN(ReferenceData!$H$258),"",ReferenceData!$H$258),"")</x:f>
        <x:v/>
      </x:c>
      <x:c r="I258" t="str">
        <x:f ca="1">IFERROR(IF(0=LEN(ReferenceData!$I$258),"",ReferenceData!$I$258),"")</x:f>
        <x:v/>
      </x:c>
      <x:c r="J258" t="str">
        <x:f ca="1">IFERROR(IF(0=LEN(ReferenceData!$J$258),"",ReferenceData!$J$258),"")</x:f>
        <x:v/>
      </x:c>
      <x:c r="K258" t="str">
        <x:f ca="1">IFERROR(IF(0=LEN(ReferenceData!$K$258),"",ReferenceData!$K$258),"")</x:f>
        <x:v/>
      </x:c>
      <x:c r="L258" t="str">
        <x:f ca="1">IFERROR(IF(0=LEN(ReferenceData!$L$258),"",ReferenceData!$L$258),"")</x:f>
        <x:v/>
      </x:c>
      <x:c r="M258" t="str">
        <x:f ca="1">IFERROR(IF(0=LEN(ReferenceData!$M$258),"",ReferenceData!$M$258),"")</x:f>
        <x:v/>
      </x:c>
      <x:c r="N258" t="str">
        <x:f ca="1">IFERROR(IF(0=LEN(ReferenceData!$N$258),"",ReferenceData!$N$258),"")</x:f>
        <x:v/>
      </x:c>
      <x:c r="O258" t="str">
        <x:f ca="1">IFERROR(IF(0=LEN(ReferenceData!$O$258),"",ReferenceData!$O$258),"")</x:f>
        <x:v/>
      </x:c>
      <x:c r="P258" t="str">
        <x:f ca="1">IFERROR(IF(0=LEN(ReferenceData!$P$258),"",ReferenceData!$P$258),"")</x:f>
        <x:v/>
      </x:c>
      <x:c r="Q258" t="str">
        <x:f ca="1">IFERROR(IF(0=LEN(ReferenceData!$Q$258),"",ReferenceData!$Q$258),"")</x:f>
        <x:v/>
      </x:c>
      <x:c r="R258" t="str">
        <x:f ca="1">IFERROR(IF(0=LEN(ReferenceData!$R$258),"",ReferenceData!$R$258),"")</x:f>
        <x:v/>
      </x:c>
      <x:c r="S258" t="str">
        <x:f ca="1">IFERROR(IF(0=LEN(ReferenceData!$S$258),"",ReferenceData!$S$258),"")</x:f>
        <x:v/>
      </x:c>
    </x:row>
    <x:row r="259" spans="1:19" x14ac:dyDescent="0.25">
      <x:c r="A259" t="str">
        <x:f>IFERROR(IF(0=LEN(ReferenceData!$A$259),"",ReferenceData!$A$259),"")</x:f>
        <x:v xml:space="preserve">        Goldman Sachs Finance Reimagin</x:v>
      </x:c>
      <x:c r="B259" t="str">
        <x:f>IFERROR(IF(0=LEN(ReferenceData!$B$259),"",ReferenceData!$B$259),"")</x:f>
        <x:v>GFIN US Equity</x:v>
      </x:c>
      <x:c r="C259" t="str">
        <x:f>IFERROR(IF(0=LEN(ReferenceData!$C$259),"",ReferenceData!$C$259),"")</x:f>
        <x:v/>
      </x:c>
      <x:c r="D259" t="str">
        <x:f>IFERROR(IF(0=LEN(ReferenceData!$D$259),"",ReferenceData!$D$259),"")</x:f>
        <x:v/>
      </x:c>
      <x:c r="E259" t="str">
        <x:f>IFERROR(IF(0=LEN(ReferenceData!$E$259),"",ReferenceData!$E$259),"")</x:f>
        <x:v>Expression</x:v>
      </x:c>
      <x:c r="F259" t="str">
        <x:f ca="1">IFERROR(IF(0=LEN(ReferenceData!$F$259),"",ReferenceData!$F$259),"")</x:f>
        <x:v/>
      </x:c>
      <x:c r="G259" t="str">
        <x:f ca="1">IFERROR(IF(0=LEN(ReferenceData!$G$259),"",ReferenceData!$G$259),"")</x:f>
        <x:v/>
      </x:c>
      <x:c r="H259" t="str">
        <x:f ca="1">IFERROR(IF(0=LEN(ReferenceData!$H$259),"",ReferenceData!$H$259),"")</x:f>
        <x:v/>
      </x:c>
      <x:c r="I259" t="str">
        <x:f ca="1">IFERROR(IF(0=LEN(ReferenceData!$I$259),"",ReferenceData!$I$259),"")</x:f>
        <x:v/>
      </x:c>
      <x:c r="J259" t="str">
        <x:f ca="1">IFERROR(IF(0=LEN(ReferenceData!$J$259),"",ReferenceData!$J$259),"")</x:f>
        <x:v/>
      </x:c>
      <x:c r="K259" t="str">
        <x:f ca="1">IFERROR(IF(0=LEN(ReferenceData!$K$259),"",ReferenceData!$K$259),"")</x:f>
        <x:v/>
      </x:c>
      <x:c r="L259" t="str">
        <x:f ca="1">IFERROR(IF(0=LEN(ReferenceData!$L$259),"",ReferenceData!$L$259),"")</x:f>
        <x:v/>
      </x:c>
      <x:c r="M259" t="str">
        <x:f ca="1">IFERROR(IF(0=LEN(ReferenceData!$M$259),"",ReferenceData!$M$259),"")</x:f>
        <x:v/>
      </x:c>
      <x:c r="N259" t="str">
        <x:f ca="1">IFERROR(IF(0=LEN(ReferenceData!$N$259),"",ReferenceData!$N$259),"")</x:f>
        <x:v/>
      </x:c>
      <x:c r="O259" t="str">
        <x:f ca="1">IFERROR(IF(0=LEN(ReferenceData!$O$259),"",ReferenceData!$O$259),"")</x:f>
        <x:v/>
      </x:c>
      <x:c r="P259" t="str">
        <x:f ca="1">IFERROR(IF(0=LEN(ReferenceData!$P$259),"",ReferenceData!$P$259),"")</x:f>
        <x:v/>
      </x:c>
      <x:c r="Q259" t="str">
        <x:f ca="1">IFERROR(IF(0=LEN(ReferenceData!$Q$259),"",ReferenceData!$Q$259),"")</x:f>
        <x:v/>
      </x:c>
      <x:c r="R259" t="str">
        <x:f ca="1">IFERROR(IF(0=LEN(ReferenceData!$R$259),"",ReferenceData!$R$259),"")</x:f>
        <x:v/>
      </x:c>
      <x:c r="S259" t="str">
        <x:f ca="1">IFERROR(IF(0=LEN(ReferenceData!$S$259),"",ReferenceData!$S$259),"")</x:f>
        <x:v/>
      </x:c>
    </x:row>
    <x:row r="260" spans="1:19" x14ac:dyDescent="0.25">
      <x:c r="A260" t="str">
        <x:f>IFERROR(IF(0=LEN(ReferenceData!$A$260),"",ReferenceData!$A$260),"")</x:f>
        <x:v xml:space="preserve">        MicroSectors US Big Banks Inde</x:v>
      </x:c>
      <x:c r="B260" t="str">
        <x:f>IFERROR(IF(0=LEN(ReferenceData!$B$260),"",ReferenceData!$B$260),"")</x:f>
        <x:v>KNAB US Equity</x:v>
      </x:c>
      <x:c r="C260" t="str">
        <x:f>IFERROR(IF(0=LEN(ReferenceData!$C$260),"",ReferenceData!$C$260),"")</x:f>
        <x:v/>
      </x:c>
      <x:c r="D260" t="str">
        <x:f>IFERROR(IF(0=LEN(ReferenceData!$D$260),"",ReferenceData!$D$260),"")</x:f>
        <x:v/>
      </x:c>
      <x:c r="E260" t="str">
        <x:f>IFERROR(IF(0=LEN(ReferenceData!$E$260),"",ReferenceData!$E$260),"")</x:f>
        <x:v>Expression</x:v>
      </x:c>
      <x:c r="F260" t="str">
        <x:f ca="1">IFERROR(IF(0=LEN(ReferenceData!$F$260),"",ReferenceData!$F$260),"")</x:f>
        <x:v/>
      </x:c>
      <x:c r="G260" t="str">
        <x:f ca="1">IFERROR(IF(0=LEN(ReferenceData!$G$260),"",ReferenceData!$G$260),"")</x:f>
        <x:v/>
      </x:c>
      <x:c r="H260" t="str">
        <x:f ca="1">IFERROR(IF(0=LEN(ReferenceData!$H$260),"",ReferenceData!$H$260),"")</x:f>
        <x:v/>
      </x:c>
      <x:c r="I260" t="str">
        <x:f ca="1">IFERROR(IF(0=LEN(ReferenceData!$I$260),"",ReferenceData!$I$260),"")</x:f>
        <x:v/>
      </x:c>
      <x:c r="J260" t="str">
        <x:f ca="1">IFERROR(IF(0=LEN(ReferenceData!$J$260),"",ReferenceData!$J$260),"")</x:f>
        <x:v/>
      </x:c>
      <x:c r="K260" t="str">
        <x:f ca="1">IFERROR(IF(0=LEN(ReferenceData!$K$260),"",ReferenceData!$K$260),"")</x:f>
        <x:v/>
      </x:c>
      <x:c r="L260" t="str">
        <x:f ca="1">IFERROR(IF(0=LEN(ReferenceData!$L$260),"",ReferenceData!$L$260),"")</x:f>
        <x:v/>
      </x:c>
      <x:c r="M260" t="str">
        <x:f ca="1">IFERROR(IF(0=LEN(ReferenceData!$M$260),"",ReferenceData!$M$260),"")</x:f>
        <x:v/>
      </x:c>
      <x:c r="N260" t="str">
        <x:f ca="1">IFERROR(IF(0=LEN(ReferenceData!$N$260),"",ReferenceData!$N$260),"")</x:f>
        <x:v/>
      </x:c>
      <x:c r="O260" t="str">
        <x:f ca="1">IFERROR(IF(0=LEN(ReferenceData!$O$260),"",ReferenceData!$O$260),"")</x:f>
        <x:v/>
      </x:c>
      <x:c r="P260" t="str">
        <x:f ca="1">IFERROR(IF(0=LEN(ReferenceData!$P$260),"",ReferenceData!$P$260),"")</x:f>
        <x:v/>
      </x:c>
      <x:c r="Q260" t="str">
        <x:f ca="1">IFERROR(IF(0=LEN(ReferenceData!$Q$260),"",ReferenceData!$Q$260),"")</x:f>
        <x:v/>
      </x:c>
      <x:c r="R260" t="str">
        <x:f ca="1">IFERROR(IF(0=LEN(ReferenceData!$R$260),"",ReferenceData!$R$260),"")</x:f>
        <x:v/>
      </x:c>
      <x:c r="S260" t="str">
        <x:f ca="1">IFERROR(IF(0=LEN(ReferenceData!$S$260),"",ReferenceData!$S$260),"")</x:f>
        <x:v/>
      </x:c>
    </x:row>
    <x:row r="261" spans="1:19" x14ac:dyDescent="0.25">
      <x:c r="A261" t="str">
        <x:f>IFERROR(IF(0=LEN(ReferenceData!$A$261),"",ReferenceData!$A$261),"")</x:f>
        <x:v xml:space="preserve">        Roundhill BIG Bank ETF</x:v>
      </x:c>
      <x:c r="B261" t="str">
        <x:f>IFERROR(IF(0=LEN(ReferenceData!$B$261),"",ReferenceData!$B$261),"")</x:f>
        <x:v>BIGB US Equity</x:v>
      </x:c>
      <x:c r="C261" t="str">
        <x:f>IFERROR(IF(0=LEN(ReferenceData!$C$261),"",ReferenceData!$C$261),"")</x:f>
        <x:v/>
      </x:c>
      <x:c r="D261" t="str">
        <x:f>IFERROR(IF(0=LEN(ReferenceData!$D$261),"",ReferenceData!$D$261),"")</x:f>
        <x:v/>
      </x:c>
      <x:c r="E261" t="str">
        <x:f>IFERROR(IF(0=LEN(ReferenceData!$E$261),"",ReferenceData!$E$261),"")</x:f>
        <x:v>Expression</x:v>
      </x:c>
      <x:c r="F261">
        <x:f ca="1">IFERROR(IF(0=LEN(ReferenceData!$F$261),"",ReferenceData!$F$261),"")</x:f>
        <x:v>0</x:v>
      </x:c>
      <x:c r="G261">
        <x:f ca="1">IFERROR(IF(0=LEN(ReferenceData!$G$261),"",ReferenceData!$G$261),"")</x:f>
        <x:v>-1.7802640000000001</x:v>
      </x:c>
      <x:c r="H261">
        <x:f ca="1">IFERROR(IF(0=LEN(ReferenceData!$H$261),"",ReferenceData!$H$261),"")</x:f>
        <x:v>0.78352500000000003</x:v>
      </x:c>
      <x:c r="I261">
        <x:f ca="1">IFERROR(IF(0=LEN(ReferenceData!$I$261),"",ReferenceData!$I$261),"")</x:f>
        <x:v>0</x:v>
      </x:c>
      <x:c r="J261">
        <x:f ca="1">IFERROR(IF(0=LEN(ReferenceData!$J$261),"",ReferenceData!$J$261),"")</x:f>
        <x:v>0.79766999999999999</x:v>
      </x:c>
      <x:c r="K261">
        <x:f ca="1">IFERROR(IF(0=LEN(ReferenceData!$K$261),"",ReferenceData!$K$261),"")</x:f>
        <x:v>-1.524E-3</x:v>
      </x:c>
      <x:c r="L261">
        <x:f ca="1">IFERROR(IF(0=LEN(ReferenceData!$L$261),"",ReferenceData!$L$261),"")</x:f>
        <x:v>0</x:v>
      </x:c>
      <x:c r="M261">
        <x:f ca="1">IFERROR(IF(0=LEN(ReferenceData!$M$261),"",ReferenceData!$M$261),"")</x:f>
        <x:v>0.26058300000000001</x:v>
      </x:c>
      <x:c r="N261">
        <x:f ca="1">IFERROR(IF(0=LEN(ReferenceData!$N$261),"",ReferenceData!$N$261),"")</x:f>
        <x:v>3.2633909999999999</x:v>
      </x:c>
      <x:c r="O261" t="str">
        <x:f ca="1">IFERROR(IF(0=LEN(ReferenceData!$O$261),"",ReferenceData!$O$261),"")</x:f>
        <x:v/>
      </x:c>
      <x:c r="P261" t="str">
        <x:f ca="1">IFERROR(IF(0=LEN(ReferenceData!$P$261),"",ReferenceData!$P$261),"")</x:f>
        <x:v/>
      </x:c>
      <x:c r="Q261" t="str">
        <x:f ca="1">IFERROR(IF(0=LEN(ReferenceData!$Q$261),"",ReferenceData!$Q$261),"")</x:f>
        <x:v/>
      </x:c>
      <x:c r="R261" t="str">
        <x:f ca="1">IFERROR(IF(0=LEN(ReferenceData!$R$261),"",ReferenceData!$R$261),"")</x:f>
        <x:v/>
      </x:c>
      <x:c r="S261" t="str">
        <x:f ca="1">IFERROR(IF(0=LEN(ReferenceData!$S$261),"",ReferenceData!$S$261),"")</x:f>
        <x:v/>
      </x:c>
    </x:row>
    <x:row r="262" spans="1:19" x14ac:dyDescent="0.25">
      <x:c r="A262" t="str">
        <x:f>IFERROR(IF(0=LEN(ReferenceData!$A$262),"",ReferenceData!$A$262),"")</x:f>
        <x:v xml:space="preserve">        GraniteShares 1.5x Long COIN D</x:v>
      </x:c>
      <x:c r="B262" t="str">
        <x:f>IFERROR(IF(0=LEN(ReferenceData!$B$262),"",ReferenceData!$B$262),"")</x:f>
        <x:v>CONL US Equity</x:v>
      </x:c>
      <x:c r="C262" t="str">
        <x:f>IFERROR(IF(0=LEN(ReferenceData!$C$262),"",ReferenceData!$C$262),"")</x:f>
        <x:v/>
      </x:c>
      <x:c r="D262" t="str">
        <x:f>IFERROR(IF(0=LEN(ReferenceData!$D$262),"",ReferenceData!$D$262),"")</x:f>
        <x:v/>
      </x:c>
      <x:c r="E262" t="str">
        <x:f>IFERROR(IF(0=LEN(ReferenceData!$E$262),"",ReferenceData!$E$262),"")</x:f>
        <x:v>Expression</x:v>
      </x:c>
      <x:c r="F262">
        <x:f ca="1">IFERROR(IF(0=LEN(ReferenceData!$F$262),"",ReferenceData!$F$262),"")</x:f>
        <x:v>-0.75193600000000005</x:v>
      </x:c>
      <x:c r="G262">
        <x:f ca="1">IFERROR(IF(0=LEN(ReferenceData!$G$262),"",ReferenceData!$G$262),"")</x:f>
        <x:v>0.88527500000000003</x:v>
      </x:c>
      <x:c r="H262">
        <x:f ca="1">IFERROR(IF(0=LEN(ReferenceData!$H$262),"",ReferenceData!$H$262),"")</x:f>
        <x:v>-0.22691600000000001</x:v>
      </x:c>
      <x:c r="I262">
        <x:f ca="1">IFERROR(IF(0=LEN(ReferenceData!$I$262),"",ReferenceData!$I$262),"")</x:f>
        <x:v>2.2740309999999999</x:v>
      </x:c>
      <x:c r="J262">
        <x:f ca="1">IFERROR(IF(0=LEN(ReferenceData!$J$262),"",ReferenceData!$J$262),"")</x:f>
        <x:v>-1.2475020000000001</x:v>
      </x:c>
      <x:c r="K262">
        <x:f ca="1">IFERROR(IF(0=LEN(ReferenceData!$K$262),"",ReferenceData!$K$262),"")</x:f>
        <x:v>1.2268840000000001</x:v>
      </x:c>
      <x:c r="L262">
        <x:f ca="1">IFERROR(IF(0=LEN(ReferenceData!$L$262),"",ReferenceData!$L$262),"")</x:f>
        <x:v>-0.25039499999999998</x:v>
      </x:c>
      <x:c r="M262">
        <x:f ca="1">IFERROR(IF(0=LEN(ReferenceData!$M$262),"",ReferenceData!$M$262),"")</x:f>
        <x:v>-9.1904E-2</x:v>
      </x:c>
      <x:c r="N262">
        <x:f ca="1">IFERROR(IF(0=LEN(ReferenceData!$N$262),"",ReferenceData!$N$262),"")</x:f>
        <x:v>1.6946639999999999</x:v>
      </x:c>
      <x:c r="O262">
        <x:f ca="1">IFERROR(IF(0=LEN(ReferenceData!$O$262),"",ReferenceData!$O$262),"")</x:f>
        <x:v>3.16533</x:v>
      </x:c>
      <x:c r="P262">
        <x:f ca="1">IFERROR(IF(0=LEN(ReferenceData!$P$262),"",ReferenceData!$P$262),"")</x:f>
        <x:v>0.241343</x:v>
      </x:c>
      <x:c r="Q262">
        <x:f ca="1">IFERROR(IF(0=LEN(ReferenceData!$Q$262),"",ReferenceData!$Q$262),"")</x:f>
        <x:v>4.4566000000000001E-2</x:v>
      </x:c>
      <x:c r="R262">
        <x:f ca="1">IFERROR(IF(0=LEN(ReferenceData!$R$262),"",ReferenceData!$R$262),"")</x:f>
        <x:v>1.2507649999999999</x:v>
      </x:c>
      <x:c r="S262">
        <x:f ca="1">IFERROR(IF(0=LEN(ReferenceData!$S$262),"",ReferenceData!$S$262),"")</x:f>
        <x:v>-0.43071100000000001</x:v>
      </x:c>
    </x:row>
    <x:row r="263" spans="1:19" x14ac:dyDescent="0.25">
      <x:c r="A263" t="str">
        <x:f>IFERROR(IF(0=LEN(ReferenceData!$A$263),"",ReferenceData!$A$263),"")</x:f>
        <x:v xml:space="preserve">        Global X Financials Covered Ca</x:v>
      </x:c>
      <x:c r="B263" t="str">
        <x:f>IFERROR(IF(0=LEN(ReferenceData!$B$263),"",ReferenceData!$B$263),"")</x:f>
        <x:v>FYLG US Equity</x:v>
      </x:c>
      <x:c r="C263" t="str">
        <x:f>IFERROR(IF(0=LEN(ReferenceData!$C$263),"",ReferenceData!$C$263),"")</x:f>
        <x:v/>
      </x:c>
      <x:c r="D263" t="str">
        <x:f>IFERROR(IF(0=LEN(ReferenceData!$D$263),"",ReferenceData!$D$263),"")</x:f>
        <x:v/>
      </x:c>
      <x:c r="E263" t="str">
        <x:f>IFERROR(IF(0=LEN(ReferenceData!$E$263),"",ReferenceData!$E$263),"")</x:f>
        <x:v>Expression</x:v>
      </x:c>
      <x:c r="F263">
        <x:f ca="1">IFERROR(IF(0=LEN(ReferenceData!$F$263),"",ReferenceData!$F$263),"")</x:f>
        <x:v>0</x:v>
      </x:c>
      <x:c r="G263">
        <x:f ca="1">IFERROR(IF(0=LEN(ReferenceData!$G$263),"",ReferenceData!$G$263),"")</x:f>
        <x:v>0</x:v>
      </x:c>
      <x:c r="H263">
        <x:f ca="1">IFERROR(IF(0=LEN(ReferenceData!$H$263),"",ReferenceData!$H$263),"")</x:f>
        <x:v>0</x:v>
      </x:c>
      <x:c r="I263">
        <x:f ca="1">IFERROR(IF(0=LEN(ReferenceData!$I$263),"",ReferenceData!$I$263),"")</x:f>
        <x:v>0</x:v>
      </x:c>
      <x:c r="J263">
        <x:f ca="1">IFERROR(IF(0=LEN(ReferenceData!$J$263),"",ReferenceData!$J$263),"")</x:f>
        <x:v>0</x:v>
      </x:c>
      <x:c r="K263">
        <x:f ca="1">IFERROR(IF(0=LEN(ReferenceData!$K$263),"",ReferenceData!$K$263),"")</x:f>
        <x:v>0</x:v>
      </x:c>
      <x:c r="L263">
        <x:f ca="1">IFERROR(IF(0=LEN(ReferenceData!$L$263),"",ReferenceData!$L$263),"")</x:f>
        <x:v>0</x:v>
      </x:c>
      <x:c r="M263">
        <x:f ca="1">IFERROR(IF(0=LEN(ReferenceData!$M$263),"",ReferenceData!$M$263),"")</x:f>
        <x:v>0</x:v>
      </x:c>
      <x:c r="N263">
        <x:f ca="1">IFERROR(IF(0=LEN(ReferenceData!$N$263),"",ReferenceData!$N$263),"")</x:f>
        <x:v>0</x:v>
      </x:c>
      <x:c r="O263">
        <x:f ca="1">IFERROR(IF(0=LEN(ReferenceData!$O$263),"",ReferenceData!$O$263),"")</x:f>
        <x:v>0</x:v>
      </x:c>
      <x:c r="P263">
        <x:f ca="1">IFERROR(IF(0=LEN(ReferenceData!$P$263),"",ReferenceData!$P$263),"")</x:f>
        <x:v>0</x:v>
      </x:c>
      <x:c r="Q263">
        <x:f ca="1">IFERROR(IF(0=LEN(ReferenceData!$Q$263),"",ReferenceData!$Q$263),"")</x:f>
        <x:v>0</x:v>
      </x:c>
      <x:c r="R263">
        <x:f ca="1">IFERROR(IF(0=LEN(ReferenceData!$R$263),"",ReferenceData!$R$263),"")</x:f>
        <x:v>0</x:v>
      </x:c>
      <x:c r="S263" t="str">
        <x:f ca="1">IFERROR(IF(0=LEN(ReferenceData!$S$263),"",ReferenceData!$S$263),"")</x:f>
        <x:v/>
      </x:c>
    </x:row>
    <x:row r="264" spans="1:19" x14ac:dyDescent="0.25">
      <x:c r="A264" t="str">
        <x:f>IFERROR(IF(0=LEN(ReferenceData!$A$264),"",ReferenceData!$A$264),"")</x:f>
        <x:v xml:space="preserve">        Gabelli Financial Services Opp</x:v>
      </x:c>
      <x:c r="B264" t="str">
        <x:f>IFERROR(IF(0=LEN(ReferenceData!$B$264),"",ReferenceData!$B$264),"")</x:f>
        <x:v>GABF US Equity</x:v>
      </x:c>
      <x:c r="C264" t="str">
        <x:f>IFERROR(IF(0=LEN(ReferenceData!$C$264),"",ReferenceData!$C$264),"")</x:f>
        <x:v/>
      </x:c>
      <x:c r="D264" t="str">
        <x:f>IFERROR(IF(0=LEN(ReferenceData!$D$264),"",ReferenceData!$D$264),"")</x:f>
        <x:v/>
      </x:c>
      <x:c r="E264" t="str">
        <x:f>IFERROR(IF(0=LEN(ReferenceData!$E$264),"",ReferenceData!$E$264),"")</x:f>
        <x:v>Expression</x:v>
      </x:c>
      <x:c r="F264">
        <x:f ca="1">IFERROR(IF(0=LEN(ReferenceData!$F$264),"",ReferenceData!$F$264),"")</x:f>
        <x:v>0</x:v>
      </x:c>
      <x:c r="G264">
        <x:f ca="1">IFERROR(IF(0=LEN(ReferenceData!$G$264),"",ReferenceData!$G$264),"")</x:f>
        <x:v>0</x:v>
      </x:c>
      <x:c r="H264">
        <x:f ca="1">IFERROR(IF(0=LEN(ReferenceData!$H$264),"",ReferenceData!$H$264),"")</x:f>
        <x:v>0.29898999999999998</x:v>
      </x:c>
      <x:c r="I264">
        <x:f ca="1">IFERROR(IF(0=LEN(ReferenceData!$I$264),"",ReferenceData!$I$264),"")</x:f>
        <x:v>0.29757</x:v>
      </x:c>
      <x:c r="J264">
        <x:f ca="1">IFERROR(IF(0=LEN(ReferenceData!$J$264),"",ReferenceData!$J$264),"")</x:f>
        <x:v>0.59501300000000001</x:v>
      </x:c>
      <x:c r="K264">
        <x:f ca="1">IFERROR(IF(0=LEN(ReferenceData!$K$264),"",ReferenceData!$K$264),"")</x:f>
        <x:v>0.27541100000000002</x:v>
      </x:c>
      <x:c r="L264">
        <x:f ca="1">IFERROR(IF(0=LEN(ReferenceData!$L$264),"",ReferenceData!$L$264),"")</x:f>
        <x:v>0</x:v>
      </x:c>
      <x:c r="M264">
        <x:f ca="1">IFERROR(IF(0=LEN(ReferenceData!$M$264),"",ReferenceData!$M$264),"")</x:f>
        <x:v>0.27051500000000001</x:v>
      </x:c>
      <x:c r="N264">
        <x:f ca="1">IFERROR(IF(0=LEN(ReferenceData!$N$264),"",ReferenceData!$N$264),"")</x:f>
        <x:v>0</x:v>
      </x:c>
      <x:c r="O264">
        <x:f ca="1">IFERROR(IF(0=LEN(ReferenceData!$O$264),"",ReferenceData!$O$264),"")</x:f>
        <x:v>0.14446600000000001</x:v>
      </x:c>
      <x:c r="P264">
        <x:f ca="1">IFERROR(IF(0=LEN(ReferenceData!$P$264),"",ReferenceData!$P$264),"")</x:f>
        <x:v>0</x:v>
      </x:c>
      <x:c r="Q264">
        <x:f ca="1">IFERROR(IF(0=LEN(ReferenceData!$Q$264),"",ReferenceData!$Q$264),"")</x:f>
        <x:v>0</x:v>
      </x:c>
      <x:c r="R264">
        <x:f ca="1">IFERROR(IF(0=LEN(ReferenceData!$R$264),"",ReferenceData!$R$264),"")</x:f>
        <x:v>0</x:v>
      </x:c>
      <x:c r="S264">
        <x:f ca="1">IFERROR(IF(0=LEN(ReferenceData!$S$264),"",ReferenceData!$S$264),"")</x:f>
        <x:v>0</x:v>
      </x:c>
    </x:row>
    <x:row r="265" spans="1:19" x14ac:dyDescent="0.25">
      <x:c r="A265" t="str">
        <x:f>IFERROR(IF(0=LEN(ReferenceData!$A$265),"",ReferenceData!$A$265),"")</x:f>
        <x:v xml:space="preserve">    Health Care</x:v>
      </x:c>
      <x:c r="B265" t="str">
        <x:f>IFERROR(IF(0=LEN(ReferenceData!$B$265),"",ReferenceData!$B$265),"")</x:f>
        <x:v/>
      </x:c>
      <x:c r="C265" t="str">
        <x:f>IFERROR(IF(0=LEN(ReferenceData!$C$265),"",ReferenceData!$C$265),"")</x:f>
        <x:v/>
      </x:c>
      <x:c r="D265" t="str">
        <x:f>IFERROR(IF(0=LEN(ReferenceData!$D$265),"",ReferenceData!$D$265),"")</x:f>
        <x:v/>
      </x:c>
      <x:c r="E265" t="str">
        <x:f>IFERROR(IF(0=LEN(ReferenceData!$E$265),"",ReferenceData!$E$265),"")</x:f>
        <x:v>Sum</x:v>
      </x:c>
      <x:c r="F265">
        <x:f ca="1">IFERROR(IF(0=LEN(ReferenceData!$F$265),"",ReferenceData!$F$265),"")</x:f>
        <x:v>561.31360200000017</x:v>
      </x:c>
      <x:c r="G265">
        <x:f ca="1">IFERROR(IF(0=LEN(ReferenceData!$G$265),"",ReferenceData!$G$265),"")</x:f>
        <x:v>-1373.3562089999998</x:v>
      </x:c>
      <x:c r="H265">
        <x:f ca="1">IFERROR(IF(0=LEN(ReferenceData!$H$265),"",ReferenceData!$H$265),"")</x:f>
        <x:v>-1554.8848899999998</x:v>
      </x:c>
      <x:c r="I265">
        <x:f ca="1">IFERROR(IF(0=LEN(ReferenceData!$I$265),"",ReferenceData!$I$265),"")</x:f>
        <x:v>-102.28530299999998</x:v>
      </x:c>
      <x:c r="J265">
        <x:f ca="1">IFERROR(IF(0=LEN(ReferenceData!$J$265),"",ReferenceData!$J$265),"")</x:f>
        <x:v>-1322.6078639999996</x:v>
      </x:c>
      <x:c r="K265">
        <x:f ca="1">IFERROR(IF(0=LEN(ReferenceData!$K$265),"",ReferenceData!$K$265),"")</x:f>
        <x:v>-321.16688600000009</x:v>
      </x:c>
      <x:c r="L265">
        <x:f ca="1">IFERROR(IF(0=LEN(ReferenceData!$L$265),"",ReferenceData!$L$265),"")</x:f>
        <x:v>473.66157600000003</x:v>
      </x:c>
      <x:c r="M265">
        <x:f ca="1">IFERROR(IF(0=LEN(ReferenceData!$M$265),"",ReferenceData!$M$265),"")</x:f>
        <x:v>-339.057592</x:v>
      </x:c>
      <x:c r="N265">
        <x:f ca="1">IFERROR(IF(0=LEN(ReferenceData!$N$265),"",ReferenceData!$N$265),"")</x:f>
        <x:v>-1508.9740930000003</x:v>
      </x:c>
      <x:c r="O265">
        <x:f ca="1">IFERROR(IF(0=LEN(ReferenceData!$O$265),"",ReferenceData!$O$265),"")</x:f>
        <x:v>-1542.4192159999998</x:v>
      </x:c>
      <x:c r="P265">
        <x:f ca="1">IFERROR(IF(0=LEN(ReferenceData!$P$265),"",ReferenceData!$P$265),"")</x:f>
        <x:v>-1159.1785999999997</x:v>
      </x:c>
      <x:c r="Q265">
        <x:f ca="1">IFERROR(IF(0=LEN(ReferenceData!$Q$265),"",ReferenceData!$Q$265),"")</x:f>
        <x:v>-510.00680199999999</x:v>
      </x:c>
      <x:c r="R265">
        <x:f ca="1">IFERROR(IF(0=LEN(ReferenceData!$R$265),"",ReferenceData!$R$265),"")</x:f>
        <x:v>2713.5257580000007</x:v>
      </x:c>
      <x:c r="S265">
        <x:f ca="1">IFERROR(IF(0=LEN(ReferenceData!$S$265),"",ReferenceData!$S$265),"")</x:f>
        <x:v>1436.7284190000005</x:v>
      </x:c>
    </x:row>
    <x:row r="266" spans="1:19" x14ac:dyDescent="0.25">
      <x:c r="A266" t="str">
        <x:f>IFERROR(IF(0=LEN(ReferenceData!$A$266),"",ReferenceData!$A$266),"")</x:f>
        <x:v xml:space="preserve">        Health Care Select Sector SPDR</x:v>
      </x:c>
      <x:c r="B266" t="str">
        <x:f>IFERROR(IF(0=LEN(ReferenceData!$B$266),"",ReferenceData!$B$266),"")</x:f>
        <x:v>XLV US Equity</x:v>
      </x:c>
      <x:c r="C266" t="str">
        <x:f>IFERROR(IF(0=LEN(ReferenceData!$C$266),"",ReferenceData!$C$266),"")</x:f>
        <x:v/>
      </x:c>
      <x:c r="D266" t="str">
        <x:f>IFERROR(IF(0=LEN(ReferenceData!$D$266),"",ReferenceData!$D$266),"")</x:f>
        <x:v/>
      </x:c>
      <x:c r="E266" t="str">
        <x:f>IFERROR(IF(0=LEN(ReferenceData!$E$266),"",ReferenceData!$E$266),"")</x:f>
        <x:v>Expression</x:v>
      </x:c>
      <x:c r="F266">
        <x:f ca="1">IFERROR(IF(0=LEN(ReferenceData!$F$266),"",ReferenceData!$F$266),"")</x:f>
        <x:v>558.12327000000005</x:v>
      </x:c>
      <x:c r="G266">
        <x:f ca="1">IFERROR(IF(0=LEN(ReferenceData!$G$266),"",ReferenceData!$G$266),"")</x:f>
        <x:v>-894.90911100000005</x:v>
      </x:c>
      <x:c r="H266">
        <x:f ca="1">IFERROR(IF(0=LEN(ReferenceData!$H$266),"",ReferenceData!$H$266),"")</x:f>
        <x:v>-1150.3637659999999</x:v>
      </x:c>
      <x:c r="I266">
        <x:f ca="1">IFERROR(IF(0=LEN(ReferenceData!$I$266),"",ReferenceData!$I$266),"")</x:f>
        <x:v>293.49940500000002</x:v>
      </x:c>
      <x:c r="J266">
        <x:f ca="1">IFERROR(IF(0=LEN(ReferenceData!$J$266),"",ReferenceData!$J$266),"")</x:f>
        <x:v>-1345.7300319999999</x:v>
      </x:c>
      <x:c r="K266">
        <x:f ca="1">IFERROR(IF(0=LEN(ReferenceData!$K$266),"",ReferenceData!$K$266),"")</x:f>
        <x:v>160.958833</x:v>
      </x:c>
      <x:c r="L266">
        <x:f ca="1">IFERROR(IF(0=LEN(ReferenceData!$L$266),"",ReferenceData!$L$266),"")</x:f>
        <x:v>1344.1631809999999</x:v>
      </x:c>
      <x:c r="M266">
        <x:f ca="1">IFERROR(IF(0=LEN(ReferenceData!$M$266),"",ReferenceData!$M$266),"")</x:f>
        <x:v>155.780767</x:v>
      </x:c>
      <x:c r="N266">
        <x:f ca="1">IFERROR(IF(0=LEN(ReferenceData!$N$266),"",ReferenceData!$N$266),"")</x:f>
        <x:v>-1061.9779309999999</x:v>
      </x:c>
      <x:c r="O266">
        <x:f ca="1">IFERROR(IF(0=LEN(ReferenceData!$O$266),"",ReferenceData!$O$266),"")</x:f>
        <x:v>-153.25450900000001</x:v>
      </x:c>
      <x:c r="P266">
        <x:f ca="1">IFERROR(IF(0=LEN(ReferenceData!$P$266),"",ReferenceData!$P$266),"")</x:f>
        <x:v>-366.92881499999999</x:v>
      </x:c>
      <x:c r="Q266">
        <x:f ca="1">IFERROR(IF(0=LEN(ReferenceData!$Q$266),"",ReferenceData!$Q$266),"")</x:f>
        <x:v>-292.74676699999998</x:v>
      </x:c>
      <x:c r="R266">
        <x:f ca="1">IFERROR(IF(0=LEN(ReferenceData!$R$266),"",ReferenceData!$R$266),"")</x:f>
        <x:v>1267.8800180000001</x:v>
      </x:c>
      <x:c r="S266">
        <x:f ca="1">IFERROR(IF(0=LEN(ReferenceData!$S$266),"",ReferenceData!$S$266),"")</x:f>
        <x:v>781.05017199999998</x:v>
      </x:c>
    </x:row>
    <x:row r="267" spans="1:19" x14ac:dyDescent="0.25">
      <x:c r="A267" t="str">
        <x:f>IFERROR(IF(0=LEN(ReferenceData!$A$267),"",ReferenceData!$A$267),"")</x:f>
        <x:v xml:space="preserve">        iShares Biotechnology ETF</x:v>
      </x:c>
      <x:c r="B267" t="str">
        <x:f>IFERROR(IF(0=LEN(ReferenceData!$B$267),"",ReferenceData!$B$267),"")</x:f>
        <x:v>IBB US Equity</x:v>
      </x:c>
      <x:c r="C267" t="str">
        <x:f>IFERROR(IF(0=LEN(ReferenceData!$C$267),"",ReferenceData!$C$267),"")</x:f>
        <x:v/>
      </x:c>
      <x:c r="D267" t="str">
        <x:f>IFERROR(IF(0=LEN(ReferenceData!$D$267),"",ReferenceData!$D$267),"")</x:f>
        <x:v/>
      </x:c>
      <x:c r="E267" t="str">
        <x:f>IFERROR(IF(0=LEN(ReferenceData!$E$267),"",ReferenceData!$E$267),"")</x:f>
        <x:v>Expression</x:v>
      </x:c>
      <x:c r="F267">
        <x:f ca="1">IFERROR(IF(0=LEN(ReferenceData!$F$267),"",ReferenceData!$F$267),"")</x:f>
        <x:v>-188.761019</x:v>
      </x:c>
      <x:c r="G267">
        <x:f ca="1">IFERROR(IF(0=LEN(ReferenceData!$G$267),"",ReferenceData!$G$267),"")</x:f>
        <x:v>-68.155607000000003</x:v>
      </x:c>
      <x:c r="H267">
        <x:f ca="1">IFERROR(IF(0=LEN(ReferenceData!$H$267),"",ReferenceData!$H$267),"")</x:f>
        <x:v>-146.29762299999999</x:v>
      </x:c>
      <x:c r="I267">
        <x:f ca="1">IFERROR(IF(0=LEN(ReferenceData!$I$267),"",ReferenceData!$I$267),"")</x:f>
        <x:v>-108.00877</x:v>
      </x:c>
      <x:c r="J267">
        <x:f ca="1">IFERROR(IF(0=LEN(ReferenceData!$J$267),"",ReferenceData!$J$267),"")</x:f>
        <x:v>-106.07989000000001</x:v>
      </x:c>
      <x:c r="K267">
        <x:f ca="1">IFERROR(IF(0=LEN(ReferenceData!$K$267),"",ReferenceData!$K$267),"")</x:f>
        <x:v>51.517935000000001</x:v>
      </x:c>
      <x:c r="L267">
        <x:f ca="1">IFERROR(IF(0=LEN(ReferenceData!$L$267),"",ReferenceData!$L$267),"")</x:f>
        <x:v>-114.53737</x:v>
      </x:c>
      <x:c r="M267">
        <x:f ca="1">IFERROR(IF(0=LEN(ReferenceData!$M$267),"",ReferenceData!$M$267),"")</x:f>
        <x:v>-223.44813500000001</x:v>
      </x:c>
      <x:c r="N267">
        <x:f ca="1">IFERROR(IF(0=LEN(ReferenceData!$N$267),"",ReferenceData!$N$267),"")</x:f>
        <x:v>-177.99734000000001</x:v>
      </x:c>
      <x:c r="O267">
        <x:f ca="1">IFERROR(IF(0=LEN(ReferenceData!$O$267),"",ReferenceData!$O$267),"")</x:f>
        <x:v>-328.87918000000002</x:v>
      </x:c>
      <x:c r="P267">
        <x:f ca="1">IFERROR(IF(0=LEN(ReferenceData!$P$267),"",ReferenceData!$P$267),"")</x:f>
        <x:v>-54.490389999999998</x:v>
      </x:c>
      <x:c r="Q267">
        <x:f ca="1">IFERROR(IF(0=LEN(ReferenceData!$Q$267),"",ReferenceData!$Q$267),"")</x:f>
        <x:v>152.707155</x:v>
      </x:c>
      <x:c r="R267">
        <x:f ca="1">IFERROR(IF(0=LEN(ReferenceData!$R$267),"",ReferenceData!$R$267),"")</x:f>
        <x:v>328.52951999999999</x:v>
      </x:c>
      <x:c r="S267">
        <x:f ca="1">IFERROR(IF(0=LEN(ReferenceData!$S$267),"",ReferenceData!$S$267),"")</x:f>
        <x:v>7.642385</x:v>
      </x:c>
    </x:row>
    <x:row r="268" spans="1:19" x14ac:dyDescent="0.25">
      <x:c r="A268" t="str">
        <x:f>IFERROR(IF(0=LEN(ReferenceData!$A$268),"",ReferenceData!$A$268),"")</x:f>
        <x:v xml:space="preserve">        Vanguard Health Care ETF</x:v>
      </x:c>
      <x:c r="B268" t="str">
        <x:f>IFERROR(IF(0=LEN(ReferenceData!$B$268),"",ReferenceData!$B$268),"")</x:f>
        <x:v>VHT US Equity</x:v>
      </x:c>
      <x:c r="C268" t="str">
        <x:f>IFERROR(IF(0=LEN(ReferenceData!$C$268),"",ReferenceData!$C$268),"")</x:f>
        <x:v/>
      </x:c>
      <x:c r="D268" t="str">
        <x:f>IFERROR(IF(0=LEN(ReferenceData!$D$268),"",ReferenceData!$D$268),"")</x:f>
        <x:v/>
      </x:c>
      <x:c r="E268" t="str">
        <x:f>IFERROR(IF(0=LEN(ReferenceData!$E$268),"",ReferenceData!$E$268),"")</x:f>
        <x:v>Expression</x:v>
      </x:c>
      <x:c r="F268">
        <x:f ca="1">IFERROR(IF(0=LEN(ReferenceData!$F$268),"",ReferenceData!$F$268),"")</x:f>
        <x:v>-160.314978</x:v>
      </x:c>
      <x:c r="G268">
        <x:f ca="1">IFERROR(IF(0=LEN(ReferenceData!$G$268),"",ReferenceData!$G$268),"")</x:f>
        <x:v>-394.89057300000002</x:v>
      </x:c>
      <x:c r="H268">
        <x:f ca="1">IFERROR(IF(0=LEN(ReferenceData!$H$268),"",ReferenceData!$H$268),"")</x:f>
        <x:v>-13.771122999999999</x:v>
      </x:c>
      <x:c r="I268">
        <x:f ca="1">IFERROR(IF(0=LEN(ReferenceData!$I$268),"",ReferenceData!$I$268),"")</x:f>
        <x:v>-21.682431999999999</x:v>
      </x:c>
      <x:c r="J268">
        <x:f ca="1">IFERROR(IF(0=LEN(ReferenceData!$J$268),"",ReferenceData!$J$268),"")</x:f>
        <x:v>147.05024900000001</x:v>
      </x:c>
      <x:c r="K268">
        <x:f ca="1">IFERROR(IF(0=LEN(ReferenceData!$K$268),"",ReferenceData!$K$268),"")</x:f>
        <x:v>-123.892456</x:v>
      </x:c>
      <x:c r="L268">
        <x:f ca="1">IFERROR(IF(0=LEN(ReferenceData!$L$268),"",ReferenceData!$L$268),"")</x:f>
        <x:v>-152.94254799999999</x:v>
      </x:c>
      <x:c r="M268">
        <x:f ca="1">IFERROR(IF(0=LEN(ReferenceData!$M$268),"",ReferenceData!$M$268),"")</x:f>
        <x:v>80.041302999999999</x:v>
      </x:c>
      <x:c r="N268">
        <x:f ca="1">IFERROR(IF(0=LEN(ReferenceData!$N$268),"",ReferenceData!$N$268),"")</x:f>
        <x:v>-28.114077000000002</x:v>
      </x:c>
      <x:c r="O268">
        <x:f ca="1">IFERROR(IF(0=LEN(ReferenceData!$O$268),"",ReferenceData!$O$268),"")</x:f>
        <x:v>6.4974629999999998</x:v>
      </x:c>
      <x:c r="P268">
        <x:f ca="1">IFERROR(IF(0=LEN(ReferenceData!$P$268),"",ReferenceData!$P$268),"")</x:f>
        <x:v>79.805243000000004</x:v>
      </x:c>
      <x:c r="Q268">
        <x:f ca="1">IFERROR(IF(0=LEN(ReferenceData!$Q$268),"",ReferenceData!$Q$268),"")</x:f>
        <x:v>0.153498</x:v>
      </x:c>
      <x:c r="R268">
        <x:f ca="1">IFERROR(IF(0=LEN(ReferenceData!$R$268),"",ReferenceData!$R$268),"")</x:f>
        <x:v>-43.119596999999999</x:v>
      </x:c>
      <x:c r="S268">
        <x:f ca="1">IFERROR(IF(0=LEN(ReferenceData!$S$268),"",ReferenceData!$S$268),"")</x:f>
        <x:v>275.40780899999999</x:v>
      </x:c>
    </x:row>
    <x:row r="269" spans="1:19" x14ac:dyDescent="0.25">
      <x:c r="A269" t="str">
        <x:f>IFERROR(IF(0=LEN(ReferenceData!$A$269),"",ReferenceData!$A$269),"")</x:f>
        <x:v xml:space="preserve">        SPDR S&amp;P Biotech ETF</x:v>
      </x:c>
      <x:c r="B269" t="str">
        <x:f>IFERROR(IF(0=LEN(ReferenceData!$B$269),"",ReferenceData!$B$269),"")</x:f>
        <x:v>XBI US Equity</x:v>
      </x:c>
      <x:c r="C269" t="str">
        <x:f>IFERROR(IF(0=LEN(ReferenceData!$C$269),"",ReferenceData!$C$269),"")</x:f>
        <x:v/>
      </x:c>
      <x:c r="D269" t="str">
        <x:f>IFERROR(IF(0=LEN(ReferenceData!$D$269),"",ReferenceData!$D$269),"")</x:f>
        <x:v/>
      </x:c>
      <x:c r="E269" t="str">
        <x:f>IFERROR(IF(0=LEN(ReferenceData!$E$269),"",ReferenceData!$E$269),"")</x:f>
        <x:v>Expression</x:v>
      </x:c>
      <x:c r="F269">
        <x:f ca="1">IFERROR(IF(0=LEN(ReferenceData!$F$269),"",ReferenceData!$F$269),"")</x:f>
        <x:v>511.97466500000002</x:v>
      </x:c>
      <x:c r="G269">
        <x:f ca="1">IFERROR(IF(0=LEN(ReferenceData!$G$269),"",ReferenceData!$G$269),"")</x:f>
        <x:v>202.28400199999999</x:v>
      </x:c>
      <x:c r="H269">
        <x:f ca="1">IFERROR(IF(0=LEN(ReferenceData!$H$269),"",ReferenceData!$H$269),"")</x:f>
        <x:v>-1.23509</x:v>
      </x:c>
      <x:c r="I269">
        <x:f ca="1">IFERROR(IF(0=LEN(ReferenceData!$I$269),"",ReferenceData!$I$269),"")</x:f>
        <x:v>-258.59887900000001</x:v>
      </x:c>
      <x:c r="J269">
        <x:f ca="1">IFERROR(IF(0=LEN(ReferenceData!$J$269),"",ReferenceData!$J$269),"")</x:f>
        <x:v>47.484211999999999</x:v>
      </x:c>
      <x:c r="K269">
        <x:f ca="1">IFERROR(IF(0=LEN(ReferenceData!$K$269),"",ReferenceData!$K$269),"")</x:f>
        <x:v>17.982659000000002</x:v>
      </x:c>
      <x:c r="L269">
        <x:f ca="1">IFERROR(IF(0=LEN(ReferenceData!$L$269),"",ReferenceData!$L$269),"")</x:f>
        <x:v>-131.80989</x:v>
      </x:c>
      <x:c r="M269">
        <x:f ca="1">IFERROR(IF(0=LEN(ReferenceData!$M$269),"",ReferenceData!$M$269),"")</x:f>
        <x:v>-425.02245199999999</x:v>
      </x:c>
      <x:c r="N269">
        <x:f ca="1">IFERROR(IF(0=LEN(ReferenceData!$N$269),"",ReferenceData!$N$269),"")</x:f>
        <x:v>-90.145764</x:v>
      </x:c>
      <x:c r="O269">
        <x:f ca="1">IFERROR(IF(0=LEN(ReferenceData!$O$269),"",ReferenceData!$O$269),"")</x:f>
        <x:v>-627.94772399999999</x:v>
      </x:c>
      <x:c r="P269">
        <x:f ca="1">IFERROR(IF(0=LEN(ReferenceData!$P$269),"",ReferenceData!$P$269),"")</x:f>
        <x:v>-289.77960000000002</x:v>
      </x:c>
      <x:c r="Q269">
        <x:f ca="1">IFERROR(IF(0=LEN(ReferenceData!$Q$269),"",ReferenceData!$Q$269),"")</x:f>
        <x:v>-302.29077999999998</x:v>
      </x:c>
      <x:c r="R269">
        <x:f ca="1">IFERROR(IF(0=LEN(ReferenceData!$R$269),"",ReferenceData!$R$269),"")</x:f>
        <x:v>863.80777799999998</x:v>
      </x:c>
      <x:c r="S269">
        <x:f ca="1">IFERROR(IF(0=LEN(ReferenceData!$S$269),"",ReferenceData!$S$269),"")</x:f>
        <x:v>331.67445900000001</x:v>
      </x:c>
    </x:row>
    <x:row r="270" spans="1:19" x14ac:dyDescent="0.25">
      <x:c r="A270" t="str">
        <x:f>IFERROR(IF(0=LEN(ReferenceData!$A$270),"",ReferenceData!$A$270),"")</x:f>
        <x:v xml:space="preserve">        iShares U.S. Healthcare ETF</x:v>
      </x:c>
      <x:c r="B270" t="str">
        <x:f>IFERROR(IF(0=LEN(ReferenceData!$B$270),"",ReferenceData!$B$270),"")</x:f>
        <x:v>IYH US Equity</x:v>
      </x:c>
      <x:c r="C270" t="str">
        <x:f>IFERROR(IF(0=LEN(ReferenceData!$C$270),"",ReferenceData!$C$270),"")</x:f>
        <x:v/>
      </x:c>
      <x:c r="D270" t="str">
        <x:f>IFERROR(IF(0=LEN(ReferenceData!$D$270),"",ReferenceData!$D$270),"")</x:f>
        <x:v/>
      </x:c>
      <x:c r="E270" t="str">
        <x:f>IFERROR(IF(0=LEN(ReferenceData!$E$270),"",ReferenceData!$E$270),"")</x:f>
        <x:v>Expression</x:v>
      </x:c>
      <x:c r="F270">
        <x:f ca="1">IFERROR(IF(0=LEN(ReferenceData!$F$270),"",ReferenceData!$F$270),"")</x:f>
        <x:v>-13.377462</x:v>
      </x:c>
      <x:c r="G270">
        <x:f ca="1">IFERROR(IF(0=LEN(ReferenceData!$G$270),"",ReferenceData!$G$270),"")</x:f>
        <x:v>-120.713544</x:v>
      </x:c>
      <x:c r="H270">
        <x:f ca="1">IFERROR(IF(0=LEN(ReferenceData!$H$270),"",ReferenceData!$H$270),"")</x:f>
        <x:v>-13.848922999999999</x:v>
      </x:c>
      <x:c r="I270">
        <x:f ca="1">IFERROR(IF(0=LEN(ReferenceData!$I$270),"",ReferenceData!$I$270),"")</x:f>
        <x:v>42.239984999999997</x:v>
      </x:c>
      <x:c r="J270">
        <x:f ca="1">IFERROR(IF(0=LEN(ReferenceData!$J$270),"",ReferenceData!$J$270),"")</x:f>
        <x:v>-27.331600000000002</x:v>
      </x:c>
      <x:c r="K270">
        <x:f ca="1">IFERROR(IF(0=LEN(ReferenceData!$K$270),"",ReferenceData!$K$270),"")</x:f>
        <x:v>-13.942385</x:v>
      </x:c>
      <x:c r="L270">
        <x:f ca="1">IFERROR(IF(0=LEN(ReferenceData!$L$270),"",ReferenceData!$L$270),"")</x:f>
        <x:v>-27.296845000000001</x:v>
      </x:c>
      <x:c r="M270">
        <x:f ca="1">IFERROR(IF(0=LEN(ReferenceData!$M$270),"",ReferenceData!$M$270),"")</x:f>
        <x:v>-14.384065</x:v>
      </x:c>
      <x:c r="N270">
        <x:f ca="1">IFERROR(IF(0=LEN(ReferenceData!$N$270),"",ReferenceData!$N$270),"")</x:f>
        <x:v>0.45301000000000002</x:v>
      </x:c>
      <x:c r="O270">
        <x:f ca="1">IFERROR(IF(0=LEN(ReferenceData!$O$270),"",ReferenceData!$O$270),"")</x:f>
        <x:v>-27.608689999999999</x:v>
      </x:c>
      <x:c r="P270">
        <x:f ca="1">IFERROR(IF(0=LEN(ReferenceData!$P$270),"",ReferenceData!$P$270),"")</x:f>
        <x:v>-3.3605000000000003E-2</x:v>
      </x:c>
      <x:c r="Q270">
        <x:f ca="1">IFERROR(IF(0=LEN(ReferenceData!$Q$270),"",ReferenceData!$Q$270),"")</x:f>
        <x:v>-13.98785</x:v>
      </x:c>
      <x:c r="R270">
        <x:f ca="1">IFERROR(IF(0=LEN(ReferenceData!$R$270),"",ReferenceData!$R$270),"")</x:f>
        <x:v>27.932865</x:v>
      </x:c>
      <x:c r="S270">
        <x:f ca="1">IFERROR(IF(0=LEN(ReferenceData!$S$270),"",ReferenceData!$S$270),"")</x:f>
        <x:v>41.30039</x:v>
      </x:c>
    </x:row>
    <x:row r="271" spans="1:19" x14ac:dyDescent="0.25">
      <x:c r="A271" t="str">
        <x:f>IFERROR(IF(0=LEN(ReferenceData!$A$271),"",ReferenceData!$A$271),"")</x:f>
        <x:v xml:space="preserve">        iShares Global Healthcare ETF</x:v>
      </x:c>
      <x:c r="B271" t="str">
        <x:f>IFERROR(IF(0=LEN(ReferenceData!$B$271),"",ReferenceData!$B$271),"")</x:f>
        <x:v>IXJ US Equity</x:v>
      </x:c>
      <x:c r="C271" t="str">
        <x:f>IFERROR(IF(0=LEN(ReferenceData!$C$271),"",ReferenceData!$C$271),"")</x:f>
        <x:v/>
      </x:c>
      <x:c r="D271" t="str">
        <x:f>IFERROR(IF(0=LEN(ReferenceData!$D$271),"",ReferenceData!$D$271),"")</x:f>
        <x:v/>
      </x:c>
      <x:c r="E271" t="str">
        <x:f>IFERROR(IF(0=LEN(ReferenceData!$E$271),"",ReferenceData!$E$271),"")</x:f>
        <x:v>Expression</x:v>
      </x:c>
      <x:c r="F271">
        <x:f ca="1">IFERROR(IF(0=LEN(ReferenceData!$F$271),"",ReferenceData!$F$271),"")</x:f>
        <x:v>-28.411721</x:v>
      </x:c>
      <x:c r="G271">
        <x:f ca="1">IFERROR(IF(0=LEN(ReferenceData!$G$271),"",ReferenceData!$G$271),"")</x:f>
        <x:v>12.714109000000001</x:v>
      </x:c>
      <x:c r="H271">
        <x:f ca="1">IFERROR(IF(0=LEN(ReferenceData!$H$271),"",ReferenceData!$H$271),"")</x:f>
        <x:v>75.371581000000006</x:v>
      </x:c>
      <x:c r="I271">
        <x:f ca="1">IFERROR(IF(0=LEN(ReferenceData!$I$271),"",ReferenceData!$I$271),"")</x:f>
        <x:v>50.734679999999997</x:v>
      </x:c>
      <x:c r="J271">
        <x:f ca="1">IFERROR(IF(0=LEN(ReferenceData!$J$271),"",ReferenceData!$J$271),"")</x:f>
        <x:v>25.604610000000001</x:v>
      </x:c>
      <x:c r="K271">
        <x:f ca="1">IFERROR(IF(0=LEN(ReferenceData!$K$271),"",ReferenceData!$K$271),"")</x:f>
        <x:v>-122.314515</x:v>
      </x:c>
      <x:c r="L271">
        <x:f ca="1">IFERROR(IF(0=LEN(ReferenceData!$L$271),"",ReferenceData!$L$271),"")</x:f>
        <x:v>-253.36022</x:v>
      </x:c>
      <x:c r="M271">
        <x:f ca="1">IFERROR(IF(0=LEN(ReferenceData!$M$271),"",ReferenceData!$M$271),"")</x:f>
        <x:v>129.97979000000001</x:v>
      </x:c>
      <x:c r="N271">
        <x:f ca="1">IFERROR(IF(0=LEN(ReferenceData!$N$271),"",ReferenceData!$N$271),"")</x:f>
        <x:v>70.148049999999998</x:v>
      </x:c>
      <x:c r="O271">
        <x:f ca="1">IFERROR(IF(0=LEN(ReferenceData!$O$271),"",ReferenceData!$O$271),"")</x:f>
        <x:v>-246.14434499999999</x:v>
      </x:c>
      <x:c r="P271">
        <x:f ca="1">IFERROR(IF(0=LEN(ReferenceData!$P$271),"",ReferenceData!$P$271),"")</x:f>
        <x:v>-105.94821</x:v>
      </x:c>
      <x:c r="Q271">
        <x:f ca="1">IFERROR(IF(0=LEN(ReferenceData!$Q$271),"",ReferenceData!$Q$271),"")</x:f>
        <x:v>118.68254</x:v>
      </x:c>
      <x:c r="R271">
        <x:f ca="1">IFERROR(IF(0=LEN(ReferenceData!$R$271),"",ReferenceData!$R$271),"")</x:f>
        <x:v>408.99529999999999</x:v>
      </x:c>
      <x:c r="S271">
        <x:f ca="1">IFERROR(IF(0=LEN(ReferenceData!$S$271),"",ReferenceData!$S$271),"")</x:f>
        <x:v>24.442119999999999</x:v>
      </x:c>
    </x:row>
    <x:row r="272" spans="1:19" x14ac:dyDescent="0.25">
      <x:c r="A272" t="str">
        <x:f>IFERROR(IF(0=LEN(ReferenceData!$A$272),"",ReferenceData!$A$272),"")</x:f>
        <x:v xml:space="preserve">        iShares U.S. Medical Devices E</x:v>
      </x:c>
      <x:c r="B272" t="str">
        <x:f>IFERROR(IF(0=LEN(ReferenceData!$B$272),"",ReferenceData!$B$272),"")</x:f>
        <x:v>IHI US Equity</x:v>
      </x:c>
      <x:c r="C272" t="str">
        <x:f>IFERROR(IF(0=LEN(ReferenceData!$C$272),"",ReferenceData!$C$272),"")</x:f>
        <x:v/>
      </x:c>
      <x:c r="D272" t="str">
        <x:f>IFERROR(IF(0=LEN(ReferenceData!$D$272),"",ReferenceData!$D$272),"")</x:f>
        <x:v/>
      </x:c>
      <x:c r="E272" t="str">
        <x:f>IFERROR(IF(0=LEN(ReferenceData!$E$272),"",ReferenceData!$E$272),"")</x:f>
        <x:v>Expression</x:v>
      </x:c>
      <x:c r="F272">
        <x:f ca="1">IFERROR(IF(0=LEN(ReferenceData!$F$272),"",ReferenceData!$F$272),"")</x:f>
        <x:v>-32.671714999999999</x:v>
      </x:c>
      <x:c r="G272">
        <x:f ca="1">IFERROR(IF(0=LEN(ReferenceData!$G$272),"",ReferenceData!$G$272),"")</x:f>
        <x:v>-107.21191</x:v>
      </x:c>
      <x:c r="H272">
        <x:f ca="1">IFERROR(IF(0=LEN(ReferenceData!$H$272),"",ReferenceData!$H$272),"")</x:f>
        <x:v>-132.263282</x:v>
      </x:c>
      <x:c r="I272">
        <x:f ca="1">IFERROR(IF(0=LEN(ReferenceData!$I$272),"",ReferenceData!$I$272),"")</x:f>
        <x:v>-84.872450000000001</x:v>
      </x:c>
      <x:c r="J272">
        <x:f ca="1">IFERROR(IF(0=LEN(ReferenceData!$J$272),"",ReferenceData!$J$272),"")</x:f>
        <x:v>21.077855</x:v>
      </x:c>
      <x:c r="K272">
        <x:f ca="1">IFERROR(IF(0=LEN(ReferenceData!$K$272),"",ReferenceData!$K$272),"")</x:f>
        <x:v>-118.893055</x:v>
      </x:c>
      <x:c r="L272">
        <x:f ca="1">IFERROR(IF(0=LEN(ReferenceData!$L$272),"",ReferenceData!$L$272),"")</x:f>
        <x:v>-58.687975000000002</x:v>
      </x:c>
      <x:c r="M272">
        <x:f ca="1">IFERROR(IF(0=LEN(ReferenceData!$M$272),"",ReferenceData!$M$272),"")</x:f>
        <x:v>35.360644999999998</x:v>
      </x:c>
      <x:c r="N272">
        <x:f ca="1">IFERROR(IF(0=LEN(ReferenceData!$N$272),"",ReferenceData!$N$272),"")</x:f>
        <x:v>-73.611085000000003</x:v>
      </x:c>
      <x:c r="O272">
        <x:f ca="1">IFERROR(IF(0=LEN(ReferenceData!$O$272),"",ReferenceData!$O$272),"")</x:f>
        <x:v>-109.20520500000001</x:v>
      </x:c>
      <x:c r="P272">
        <x:f ca="1">IFERROR(IF(0=LEN(ReferenceData!$P$272),"",ReferenceData!$P$272),"")</x:f>
        <x:v>-122.41624</x:v>
      </x:c>
      <x:c r="Q272">
        <x:f ca="1">IFERROR(IF(0=LEN(ReferenceData!$Q$272),"",ReferenceData!$Q$272),"")</x:f>
        <x:v>-200.50872000000001</x:v>
      </x:c>
      <x:c r="R272">
        <x:f ca="1">IFERROR(IF(0=LEN(ReferenceData!$R$272),"",ReferenceData!$R$272),"")</x:f>
        <x:v>-59.742899999999999</x:v>
      </x:c>
      <x:c r="S272">
        <x:f ca="1">IFERROR(IF(0=LEN(ReferenceData!$S$272),"",ReferenceData!$S$272),"")</x:f>
        <x:v>-54.509590000000003</x:v>
      </x:c>
    </x:row>
    <x:row r="273" spans="1:19" x14ac:dyDescent="0.25">
      <x:c r="A273" t="str">
        <x:f>IFERROR(IF(0=LEN(ReferenceData!$A$273),"",ReferenceData!$A$273),"")</x:f>
        <x:v xml:space="preserve">        First Trust Health Care AlphaD</x:v>
      </x:c>
      <x:c r="B273" t="str">
        <x:f>IFERROR(IF(0=LEN(ReferenceData!$B$273),"",ReferenceData!$B$273),"")</x:f>
        <x:v>FXH US Equity</x:v>
      </x:c>
      <x:c r="C273" t="str">
        <x:f>IFERROR(IF(0=LEN(ReferenceData!$C$273),"",ReferenceData!$C$273),"")</x:f>
        <x:v/>
      </x:c>
      <x:c r="D273" t="str">
        <x:f>IFERROR(IF(0=LEN(ReferenceData!$D$273),"",ReferenceData!$D$273),"")</x:f>
        <x:v/>
      </x:c>
      <x:c r="E273" t="str">
        <x:f>IFERROR(IF(0=LEN(ReferenceData!$E$273),"",ReferenceData!$E$273),"")</x:f>
        <x:v>Expression</x:v>
      </x:c>
      <x:c r="F273">
        <x:f ca="1">IFERROR(IF(0=LEN(ReferenceData!$F$273),"",ReferenceData!$F$273),"")</x:f>
        <x:v>-18.357728000000002</x:v>
      </x:c>
      <x:c r="G273">
        <x:f ca="1">IFERROR(IF(0=LEN(ReferenceData!$G$273),"",ReferenceData!$G$273),"")</x:f>
        <x:v>-42.421114000000003</x:v>
      </x:c>
      <x:c r="H273">
        <x:f ca="1">IFERROR(IF(0=LEN(ReferenceData!$H$273),"",ReferenceData!$H$273),"")</x:f>
        <x:v>-34.530431</x:v>
      </x:c>
      <x:c r="I273">
        <x:f ca="1">IFERROR(IF(0=LEN(ReferenceData!$I$273),"",ReferenceData!$I$273),"")</x:f>
        <x:v>-57.083258999999998</x:v>
      </x:c>
      <x:c r="J273">
        <x:f ca="1">IFERROR(IF(0=LEN(ReferenceData!$J$273),"",ReferenceData!$J$273),"")</x:f>
        <x:v>-16.065999999999999</x:v>
      </x:c>
      <x:c r="K273">
        <x:f ca="1">IFERROR(IF(0=LEN(ReferenceData!$K$273),"",ReferenceData!$K$273),"")</x:f>
        <x:v>15.9595</x:v>
      </x:c>
      <x:c r="L273">
        <x:f ca="1">IFERROR(IF(0=LEN(ReferenceData!$L$273),"",ReferenceData!$L$273),"")</x:f>
        <x:v>-26.429500000000001</x:v>
      </x:c>
      <x:c r="M273">
        <x:f ca="1">IFERROR(IF(0=LEN(ReferenceData!$M$273),"",ReferenceData!$M$273),"")</x:f>
        <x:v>-5.5049999999999999</x:v>
      </x:c>
      <x:c r="N273">
        <x:f ca="1">IFERROR(IF(0=LEN(ReferenceData!$N$273),"",ReferenceData!$N$273),"")</x:f>
        <x:v>-10.365</x:v>
      </x:c>
      <x:c r="O273">
        <x:f ca="1">IFERROR(IF(0=LEN(ReferenceData!$O$273),"",ReferenceData!$O$273),"")</x:f>
        <x:v>-11.548500000000001</x:v>
      </x:c>
      <x:c r="P273">
        <x:f ca="1">IFERROR(IF(0=LEN(ReferenceData!$P$273),"",ReferenceData!$P$273),"")</x:f>
        <x:v>38.547953</x:v>
      </x:c>
      <x:c r="Q273">
        <x:f ca="1">IFERROR(IF(0=LEN(ReferenceData!$Q$273),"",ReferenceData!$Q$273),"")</x:f>
        <x:v>5.6188180000000001</x:v>
      </x:c>
      <x:c r="R273">
        <x:f ca="1">IFERROR(IF(0=LEN(ReferenceData!$R$273),"",ReferenceData!$R$273),"")</x:f>
        <x:v>26.370557000000002</x:v>
      </x:c>
      <x:c r="S273">
        <x:f ca="1">IFERROR(IF(0=LEN(ReferenceData!$S$273),"",ReferenceData!$S$273),"")</x:f>
        <x:v>-9.9732149999999997</x:v>
      </x:c>
    </x:row>
    <x:row r="274" spans="1:19" x14ac:dyDescent="0.25">
      <x:c r="A274" t="str">
        <x:f>IFERROR(IF(0=LEN(ReferenceData!$A$274),"",ReferenceData!$A$274),"")</x:f>
        <x:v xml:space="preserve">        First Trust NYSE Arca Biotechn</x:v>
      </x:c>
      <x:c r="B274" t="str">
        <x:f>IFERROR(IF(0=LEN(ReferenceData!$B$274),"",ReferenceData!$B$274),"")</x:f>
        <x:v>FBT US Equity</x:v>
      </x:c>
      <x:c r="C274" t="str">
        <x:f>IFERROR(IF(0=LEN(ReferenceData!$C$274),"",ReferenceData!$C$274),"")</x:f>
        <x:v/>
      </x:c>
      <x:c r="D274" t="str">
        <x:f>IFERROR(IF(0=LEN(ReferenceData!$D$274),"",ReferenceData!$D$274),"")</x:f>
        <x:v/>
      </x:c>
      <x:c r="E274" t="str">
        <x:f>IFERROR(IF(0=LEN(ReferenceData!$E$274),"",ReferenceData!$E$274),"")</x:f>
        <x:v>Expression</x:v>
      </x:c>
      <x:c r="F274">
        <x:f ca="1">IFERROR(IF(0=LEN(ReferenceData!$F$274),"",ReferenceData!$F$274),"")</x:f>
        <x:v>-13.926242</x:v>
      </x:c>
      <x:c r="G274">
        <x:f ca="1">IFERROR(IF(0=LEN(ReferenceData!$G$274),"",ReferenceData!$G$274),"")</x:f>
        <x:v>-41.436166999999998</x:v>
      </x:c>
      <x:c r="H274">
        <x:f ca="1">IFERROR(IF(0=LEN(ReferenceData!$H$274),"",ReferenceData!$H$274),"")</x:f>
        <x:v>-29.952752</x:v>
      </x:c>
      <x:c r="I274">
        <x:f ca="1">IFERROR(IF(0=LEN(ReferenceData!$I$274),"",ReferenceData!$I$274),"")</x:f>
        <x:v>-45.864271000000002</x:v>
      </x:c>
      <x:c r="J274">
        <x:f ca="1">IFERROR(IF(0=LEN(ReferenceData!$J$274),"",ReferenceData!$J$274),"")</x:f>
        <x:v>-22.827000000000002</x:v>
      </x:c>
      <x:c r="K274">
        <x:f ca="1">IFERROR(IF(0=LEN(ReferenceData!$K$274),"",ReferenceData!$K$274),"")</x:f>
        <x:v>-31.318999999999999</x:v>
      </x:c>
      <x:c r="L274">
        <x:f ca="1">IFERROR(IF(0=LEN(ReferenceData!$L$274),"",ReferenceData!$L$274),"")</x:f>
        <x:v>0</x:v>
      </x:c>
      <x:c r="M274">
        <x:f ca="1">IFERROR(IF(0=LEN(ReferenceData!$M$274),"",ReferenceData!$M$274),"")</x:f>
        <x:v>-7.6849999999999996</x:v>
      </x:c>
      <x:c r="N274">
        <x:f ca="1">IFERROR(IF(0=LEN(ReferenceData!$N$274),"",ReferenceData!$N$274),"")</x:f>
        <x:v>-7.4165000000000001</x:v>
      </x:c>
      <x:c r="O274">
        <x:f ca="1">IFERROR(IF(0=LEN(ReferenceData!$O$274),"",ReferenceData!$O$274),"")</x:f>
        <x:v>0</x:v>
      </x:c>
      <x:c r="P274">
        <x:f ca="1">IFERROR(IF(0=LEN(ReferenceData!$P$274),"",ReferenceData!$P$274),"")</x:f>
        <x:v>-8.048</x:v>
      </x:c>
      <x:c r="Q274">
        <x:f ca="1">IFERROR(IF(0=LEN(ReferenceData!$Q$274),"",ReferenceData!$Q$274),"")</x:f>
        <x:v>30.786148000000001</x:v>
      </x:c>
      <x:c r="R274">
        <x:f ca="1">IFERROR(IF(0=LEN(ReferenceData!$R$274),"",ReferenceData!$R$274),"")</x:f>
        <x:v>0.49355900000000003</x:v>
      </x:c>
      <x:c r="S274">
        <x:f ca="1">IFERROR(IF(0=LEN(ReferenceData!$S$274),"",ReferenceData!$S$274),"")</x:f>
        <x:v>-6.9366979999999998</x:v>
      </x:c>
    </x:row>
    <x:row r="275" spans="1:19" x14ac:dyDescent="0.25">
      <x:c r="A275" t="str">
        <x:f>IFERROR(IF(0=LEN(ReferenceData!$A$275),"",ReferenceData!$A$275),"")</x:f>
        <x:v xml:space="preserve">        Invesco Dynamic Pharmaceutical</x:v>
      </x:c>
      <x:c r="B275" t="str">
        <x:f>IFERROR(IF(0=LEN(ReferenceData!$B$275),"",ReferenceData!$B$275),"")</x:f>
        <x:v>PJP US Equity</x:v>
      </x:c>
      <x:c r="C275" t="str">
        <x:f>IFERROR(IF(0=LEN(ReferenceData!$C$275),"",ReferenceData!$C$275),"")</x:f>
        <x:v/>
      </x:c>
      <x:c r="D275" t="str">
        <x:f>IFERROR(IF(0=LEN(ReferenceData!$D$275),"",ReferenceData!$D$275),"")</x:f>
        <x:v/>
      </x:c>
      <x:c r="E275" t="str">
        <x:f>IFERROR(IF(0=LEN(ReferenceData!$E$275),"",ReferenceData!$E$275),"")</x:f>
        <x:v>Expression</x:v>
      </x:c>
      <x:c r="F275">
        <x:f ca="1">IFERROR(IF(0=LEN(ReferenceData!$F$275),"",ReferenceData!$F$275),"")</x:f>
        <x:v>0</x:v>
      </x:c>
      <x:c r="G275">
        <x:f ca="1">IFERROR(IF(0=LEN(ReferenceData!$G$275),"",ReferenceData!$G$275),"")</x:f>
        <x:v>-8.4739839999999997</x:v>
      </x:c>
      <x:c r="H275">
        <x:f ca="1">IFERROR(IF(0=LEN(ReferenceData!$H$275),"",ReferenceData!$H$275),"")</x:f>
        <x:v>-5.2344799999999996</x:v>
      </x:c>
      <x:c r="I275">
        <x:f ca="1">IFERROR(IF(0=LEN(ReferenceData!$I$275),"",ReferenceData!$I$275),"")</x:f>
        <x:v>-4.7104210000000002</x:v>
      </x:c>
      <x:c r="J275">
        <x:f ca="1">IFERROR(IF(0=LEN(ReferenceData!$J$275),"",ReferenceData!$J$275),"")</x:f>
        <x:v>-3.7486380000000001</x:v>
      </x:c>
      <x:c r="K275">
        <x:f ca="1">IFERROR(IF(0=LEN(ReferenceData!$K$275),"",ReferenceData!$K$275),"")</x:f>
        <x:v>-6.8071289999999998</x:v>
      </x:c>
      <x:c r="L275">
        <x:f ca="1">IFERROR(IF(0=LEN(ReferenceData!$L$275),"",ReferenceData!$L$275),"")</x:f>
        <x:v>2.4714E-2</x:v>
      </x:c>
      <x:c r="M275">
        <x:f ca="1">IFERROR(IF(0=LEN(ReferenceData!$M$275),"",ReferenceData!$M$275),"")</x:f>
        <x:v>-5.3923579999999998</x:v>
      </x:c>
      <x:c r="N275">
        <x:f ca="1">IFERROR(IF(0=LEN(ReferenceData!$N$275),"",ReferenceData!$N$275),"")</x:f>
        <x:v>-10.48855</x:v>
      </x:c>
      <x:c r="O275">
        <x:f ca="1">IFERROR(IF(0=LEN(ReferenceData!$O$275),"",ReferenceData!$O$275),"")</x:f>
        <x:v>-1.5508439999999999</x:v>
      </x:c>
      <x:c r="P275">
        <x:f ca="1">IFERROR(IF(0=LEN(ReferenceData!$P$275),"",ReferenceData!$P$275),"")</x:f>
        <x:v>0</x:v>
      </x:c>
      <x:c r="Q275">
        <x:f ca="1">IFERROR(IF(0=LEN(ReferenceData!$Q$275),"",ReferenceData!$Q$275),"")</x:f>
        <x:v>-0.78806799999999999</x:v>
      </x:c>
      <x:c r="R275">
        <x:f ca="1">IFERROR(IF(0=LEN(ReferenceData!$R$275),"",ReferenceData!$R$275),"")</x:f>
        <x:v>7.680097</x:v>
      </x:c>
      <x:c r="S275">
        <x:f ca="1">IFERROR(IF(0=LEN(ReferenceData!$S$275),"",ReferenceData!$S$275),"")</x:f>
        <x:v>-11.888843</x:v>
      </x:c>
    </x:row>
    <x:row r="276" spans="1:19" x14ac:dyDescent="0.25">
      <x:c r="A276" t="str">
        <x:f>IFERROR(IF(0=LEN(ReferenceData!$A$276),"",ReferenceData!$A$276),"")</x:f>
        <x:v xml:space="preserve">        iShares US Pharmaceuticals ETF</x:v>
      </x:c>
      <x:c r="B276" t="str">
        <x:f>IFERROR(IF(0=LEN(ReferenceData!$B$276),"",ReferenceData!$B$276),"")</x:f>
        <x:v>IHE US Equity</x:v>
      </x:c>
      <x:c r="C276" t="str">
        <x:f>IFERROR(IF(0=LEN(ReferenceData!$C$276),"",ReferenceData!$C$276),"")</x:f>
        <x:v/>
      </x:c>
      <x:c r="D276" t="str">
        <x:f>IFERROR(IF(0=LEN(ReferenceData!$D$276),"",ReferenceData!$D$276),"")</x:f>
        <x:v/>
      </x:c>
      <x:c r="E276" t="str">
        <x:f>IFERROR(IF(0=LEN(ReferenceData!$E$276),"",ReferenceData!$E$276),"")</x:f>
        <x:v>Expression</x:v>
      </x:c>
      <x:c r="F276">
        <x:f ca="1">IFERROR(IF(0=LEN(ReferenceData!$F$276),"",ReferenceData!$F$276),"")</x:f>
        <x:v>-25.094356000000001</x:v>
      </x:c>
      <x:c r="G276">
        <x:f ca="1">IFERROR(IF(0=LEN(ReferenceData!$G$276),"",ReferenceData!$G$276),"")</x:f>
        <x:v>229.89286000000001</x:v>
      </x:c>
      <x:c r="H276">
        <x:f ca="1">IFERROR(IF(0=LEN(ReferenceData!$H$276),"",ReferenceData!$H$276),"")</x:f>
        <x:v>-8.9920380000000009</x:v>
      </x:c>
      <x:c r="I276">
        <x:f ca="1">IFERROR(IF(0=LEN(ReferenceData!$I$276),"",ReferenceData!$I$276),"")</x:f>
        <x:v>0</x:v>
      </x:c>
      <x:c r="J276">
        <x:f ca="1">IFERROR(IF(0=LEN(ReferenceData!$J$276),"",ReferenceData!$J$276),"")</x:f>
        <x:v>-9.0382650000000009</x:v>
      </x:c>
      <x:c r="K276">
        <x:f ca="1">IFERROR(IF(0=LEN(ReferenceData!$K$276),"",ReferenceData!$K$276),"")</x:f>
        <x:v>-8.8803000000000001</x:v>
      </x:c>
      <x:c r="L276">
        <x:f ca="1">IFERROR(IF(0=LEN(ReferenceData!$L$276),"",ReferenceData!$L$276),"")</x:f>
        <x:v>0</x:v>
      </x:c>
      <x:c r="M276">
        <x:f ca="1">IFERROR(IF(0=LEN(ReferenceData!$M$276),"",ReferenceData!$M$276),"")</x:f>
        <x:v>0</x:v>
      </x:c>
      <x:c r="N276">
        <x:f ca="1">IFERROR(IF(0=LEN(ReferenceData!$N$276),"",ReferenceData!$N$276),"")</x:f>
        <x:v>-8.7444799999999994</x:v>
      </x:c>
      <x:c r="O276">
        <x:f ca="1">IFERROR(IF(0=LEN(ReferenceData!$O$276),"",ReferenceData!$O$276),"")</x:f>
        <x:v>9.5487950000000001</x:v>
      </x:c>
      <x:c r="P276">
        <x:f ca="1">IFERROR(IF(0=LEN(ReferenceData!$P$276),"",ReferenceData!$P$276),"")</x:f>
        <x:v>-18.627649999999999</x:v>
      </x:c>
      <x:c r="Q276">
        <x:f ca="1">IFERROR(IF(0=LEN(ReferenceData!$Q$276),"",ReferenceData!$Q$276),"")</x:f>
        <x:v>0</x:v>
      </x:c>
      <x:c r="R276">
        <x:f ca="1">IFERROR(IF(0=LEN(ReferenceData!$R$276),"",ReferenceData!$R$276),"")</x:f>
        <x:v>-8.9933750000000003</x:v>
      </x:c>
      <x:c r="S276">
        <x:f ca="1">IFERROR(IF(0=LEN(ReferenceData!$S$276),"",ReferenceData!$S$276),"")</x:f>
        <x:v>8.8855149999999998</x:v>
      </x:c>
    </x:row>
    <x:row r="277" spans="1:19" x14ac:dyDescent="0.25">
      <x:c r="A277" t="str">
        <x:f>IFERROR(IF(0=LEN(ReferenceData!$A$277),"",ReferenceData!$A$277),"")</x:f>
        <x:v xml:space="preserve">        Fidelity MSCI Health Care Inde</x:v>
      </x:c>
      <x:c r="B277" t="str">
        <x:f>IFERROR(IF(0=LEN(ReferenceData!$B$277),"",ReferenceData!$B$277),"")</x:f>
        <x:v>FHLC US Equity</x:v>
      </x:c>
      <x:c r="C277" t="str">
        <x:f>IFERROR(IF(0=LEN(ReferenceData!$C$277),"",ReferenceData!$C$277),"")</x:f>
        <x:v/>
      </x:c>
      <x:c r="D277" t="str">
        <x:f>IFERROR(IF(0=LEN(ReferenceData!$D$277),"",ReferenceData!$D$277),"")</x:f>
        <x:v/>
      </x:c>
      <x:c r="E277" t="str">
        <x:f>IFERROR(IF(0=LEN(ReferenceData!$E$277),"",ReferenceData!$E$277),"")</x:f>
        <x:v>Expression</x:v>
      </x:c>
      <x:c r="F277">
        <x:f ca="1">IFERROR(IF(0=LEN(ReferenceData!$F$277),"",ReferenceData!$F$277),"")</x:f>
        <x:v>-9.0012249999999998</x:v>
      </x:c>
      <x:c r="G277">
        <x:f ca="1">IFERROR(IF(0=LEN(ReferenceData!$G$277),"",ReferenceData!$G$277),"")</x:f>
        <x:v>-38.472194999999999</x:v>
      </x:c>
      <x:c r="H277">
        <x:f ca="1">IFERROR(IF(0=LEN(ReferenceData!$H$277),"",ReferenceData!$H$277),"")</x:f>
        <x:v>2.6689999999999998E-2</x:v>
      </x:c>
      <x:c r="I277">
        <x:f ca="1">IFERROR(IF(0=LEN(ReferenceData!$I$277),"",ReferenceData!$I$277),"")</x:f>
        <x:v>-0.58597500000000002</x:v>
      </x:c>
      <x:c r="J277">
        <x:f ca="1">IFERROR(IF(0=LEN(ReferenceData!$J$277),"",ReferenceData!$J$277),"")</x:f>
        <x:v>-0.42870999999999998</x:v>
      </x:c>
      <x:c r="K277">
        <x:f ca="1">IFERROR(IF(0=LEN(ReferenceData!$K$277),"",ReferenceData!$K$277),"")</x:f>
        <x:v>0.15165500000000001</x:v>
      </x:c>
      <x:c r="L277">
        <x:f ca="1">IFERROR(IF(0=LEN(ReferenceData!$L$277),"",ReferenceData!$L$277),"")</x:f>
        <x:v>-24.604489999999998</x:v>
      </x:c>
      <x:c r="M277">
        <x:f ca="1">IFERROR(IF(0=LEN(ReferenceData!$M$277),"",ReferenceData!$M$277),"")</x:f>
        <x:v>-9.3778349999999993</x:v>
      </x:c>
      <x:c r="N277">
        <x:f ca="1">IFERROR(IF(0=LEN(ReferenceData!$N$277),"",ReferenceData!$N$277),"")</x:f>
        <x:v>-12.118285</x:v>
      </x:c>
      <x:c r="O277">
        <x:f ca="1">IFERROR(IF(0=LEN(ReferenceData!$O$277),"",ReferenceData!$O$277),"")</x:f>
        <x:v>-21.941324999999999</x:v>
      </x:c>
      <x:c r="P277">
        <x:f ca="1">IFERROR(IF(0=LEN(ReferenceData!$P$277),"",ReferenceData!$P$277),"")</x:f>
        <x:v>6.3140999999999998</x:v>
      </x:c>
      <x:c r="Q277">
        <x:f ca="1">IFERROR(IF(0=LEN(ReferenceData!$Q$277),"",ReferenceData!$Q$277),"")</x:f>
        <x:v>12.88782</x:v>
      </x:c>
      <x:c r="R277">
        <x:f ca="1">IFERROR(IF(0=LEN(ReferenceData!$R$277),"",ReferenceData!$R$277),"")</x:f>
        <x:v>37.307715000000002</x:v>
      </x:c>
      <x:c r="S277">
        <x:f ca="1">IFERROR(IF(0=LEN(ReferenceData!$S$277),"",ReferenceData!$S$277),"")</x:f>
        <x:v>29.967790000000001</x:v>
      </x:c>
    </x:row>
    <x:row r="278" spans="1:19" x14ac:dyDescent="0.25">
      <x:c r="A278" t="str">
        <x:f>IFERROR(IF(0=LEN(ReferenceData!$A$278),"",ReferenceData!$A$278),"")</x:f>
        <x:v xml:space="preserve">        VanEck Biotech ETF</x:v>
      </x:c>
      <x:c r="B278" t="str">
        <x:f>IFERROR(IF(0=LEN(ReferenceData!$B$278),"",ReferenceData!$B$278),"")</x:f>
        <x:v>BBH US Equity</x:v>
      </x:c>
      <x:c r="C278" t="str">
        <x:f>IFERROR(IF(0=LEN(ReferenceData!$C$278),"",ReferenceData!$C$278),"")</x:f>
        <x:v/>
      </x:c>
      <x:c r="D278" t="str">
        <x:f>IFERROR(IF(0=LEN(ReferenceData!$D$278),"",ReferenceData!$D$278),"")</x:f>
        <x:v/>
      </x:c>
      <x:c r="E278" t="str">
        <x:f>IFERROR(IF(0=LEN(ReferenceData!$E$278),"",ReferenceData!$E$278),"")</x:f>
        <x:v>Expression</x:v>
      </x:c>
      <x:c r="F278">
        <x:f ca="1">IFERROR(IF(0=LEN(ReferenceData!$F$278),"",ReferenceData!$F$278),"")</x:f>
        <x:v>-3.7135319999999998</x:v>
      </x:c>
      <x:c r="G278">
        <x:f ca="1">IFERROR(IF(0=LEN(ReferenceData!$G$278),"",ReferenceData!$G$278),"")</x:f>
        <x:v>0</x:v>
      </x:c>
      <x:c r="H278">
        <x:f ca="1">IFERROR(IF(0=LEN(ReferenceData!$H$278),"",ReferenceData!$H$278),"")</x:f>
        <x:v>-7.7338269999999998</x:v>
      </x:c>
      <x:c r="I278">
        <x:f ca="1">IFERROR(IF(0=LEN(ReferenceData!$I$278),"",ReferenceData!$I$278),"")</x:f>
        <x:v>-16.034503999999998</x:v>
      </x:c>
      <x:c r="J278">
        <x:f ca="1">IFERROR(IF(0=LEN(ReferenceData!$J$278),"",ReferenceData!$J$278),"")</x:f>
        <x:v>-3.9244970000000001</x:v>
      </x:c>
      <x:c r="K278">
        <x:f ca="1">IFERROR(IF(0=LEN(ReferenceData!$K$278),"",ReferenceData!$K$278),"")</x:f>
        <x:v>-4.1163129999999999</x:v>
      </x:c>
      <x:c r="L278">
        <x:f ca="1">IFERROR(IF(0=LEN(ReferenceData!$L$278),"",ReferenceData!$L$278),"")</x:f>
        <x:v>-3.9690560000000001</x:v>
      </x:c>
      <x:c r="M278">
        <x:f ca="1">IFERROR(IF(0=LEN(ReferenceData!$M$278),"",ReferenceData!$M$278),"")</x:f>
        <x:v>8.1006789999999995</x:v>
      </x:c>
      <x:c r="N278">
        <x:f ca="1">IFERROR(IF(0=LEN(ReferenceData!$N$278),"",ReferenceData!$N$278),"")</x:f>
        <x:v>-15.664488</x:v>
      </x:c>
      <x:c r="O278">
        <x:f ca="1">IFERROR(IF(0=LEN(ReferenceData!$O$278),"",ReferenceData!$O$278),"")</x:f>
        <x:v>0</x:v>
      </x:c>
      <x:c r="P278">
        <x:f ca="1">IFERROR(IF(0=LEN(ReferenceData!$P$278),"",ReferenceData!$P$278),"")</x:f>
        <x:v>12.795562</x:v>
      </x:c>
      <x:c r="Q278">
        <x:f ca="1">IFERROR(IF(0=LEN(ReferenceData!$Q$278),"",ReferenceData!$Q$278),"")</x:f>
        <x:v>5.3882620000000001</x:v>
      </x:c>
      <x:c r="R278">
        <x:f ca="1">IFERROR(IF(0=LEN(ReferenceData!$R$278),"",ReferenceData!$R$278),"")</x:f>
        <x:v>3.7689430000000002</x:v>
      </x:c>
      <x:c r="S278">
        <x:f ca="1">IFERROR(IF(0=LEN(ReferenceData!$S$278),"",ReferenceData!$S$278),"")</x:f>
        <x:v>14.492167999999999</x:v>
      </x:c>
    </x:row>
    <x:row r="279" spans="1:19" x14ac:dyDescent="0.25">
      <x:c r="A279" t="str">
        <x:f>IFERROR(IF(0=LEN(ReferenceData!$A$279),"",ReferenceData!$A$279),"")</x:f>
        <x:v xml:space="preserve">        Invesco S&amp;P 500 Equal Weight H</x:v>
      </x:c>
      <x:c r="B279" t="str">
        <x:f>IFERROR(IF(0=LEN(ReferenceData!$B$279),"",ReferenceData!$B$279),"")</x:f>
        <x:v>RYH US Equity</x:v>
      </x:c>
      <x:c r="C279" t="str">
        <x:f>IFERROR(IF(0=LEN(ReferenceData!$C$279),"",ReferenceData!$C$279),"")</x:f>
        <x:v/>
      </x:c>
      <x:c r="D279" t="str">
        <x:f>IFERROR(IF(0=LEN(ReferenceData!$D$279),"",ReferenceData!$D$279),"")</x:f>
        <x:v/>
      </x:c>
      <x:c r="E279" t="str">
        <x:f>IFERROR(IF(0=LEN(ReferenceData!$E$279),"",ReferenceData!$E$279),"")</x:f>
        <x:v>Expression</x:v>
      </x:c>
      <x:c r="F279">
        <x:f ca="1">IFERROR(IF(0=LEN(ReferenceData!$F$279),"",ReferenceData!$F$279),"")</x:f>
        <x:v>-12.993053</x:v>
      </x:c>
      <x:c r="G279">
        <x:f ca="1">IFERROR(IF(0=LEN(ReferenceData!$G$279),"",ReferenceData!$G$279),"")</x:f>
        <x:v>-28.116993999999998</x:v>
      </x:c>
      <x:c r="H279">
        <x:f ca="1">IFERROR(IF(0=LEN(ReferenceData!$H$279),"",ReferenceData!$H$279),"")</x:f>
        <x:v>-5.5388700000000002</x:v>
      </x:c>
      <x:c r="I279">
        <x:f ca="1">IFERROR(IF(0=LEN(ReferenceData!$I$279),"",ReferenceData!$I$279),"")</x:f>
        <x:v>13.025059000000001</x:v>
      </x:c>
      <x:c r="J279">
        <x:f ca="1">IFERROR(IF(0=LEN(ReferenceData!$J$279),"",ReferenceData!$J$279),"")</x:f>
        <x:v>-8.1828520000000005</x:v>
      </x:c>
      <x:c r="K279">
        <x:f ca="1">IFERROR(IF(0=LEN(ReferenceData!$K$279),"",ReferenceData!$K$279),"")</x:f>
        <x:v>-0.76641000000000004</x:v>
      </x:c>
      <x:c r="L279" t="str">
        <x:f ca="1">IFERROR(IF(0=LEN(ReferenceData!$L$279),"",ReferenceData!$L$279),"")</x:f>
        <x:v/>
      </x:c>
      <x:c r="M279" t="str">
        <x:f ca="1">IFERROR(IF(0=LEN(ReferenceData!$M$279),"",ReferenceData!$M$279),"")</x:f>
        <x:v/>
      </x:c>
      <x:c r="N279" t="str">
        <x:f ca="1">IFERROR(IF(0=LEN(ReferenceData!$N$279),"",ReferenceData!$N$279),"")</x:f>
        <x:v/>
      </x:c>
      <x:c r="O279" t="str">
        <x:f ca="1">IFERROR(IF(0=LEN(ReferenceData!$O$279),"",ReferenceData!$O$279),"")</x:f>
        <x:v/>
      </x:c>
      <x:c r="P279" t="str">
        <x:f ca="1">IFERROR(IF(0=LEN(ReferenceData!$P$279),"",ReferenceData!$P$279),"")</x:f>
        <x:v/>
      </x:c>
      <x:c r="Q279" t="str">
        <x:f ca="1">IFERROR(IF(0=LEN(ReferenceData!$Q$279),"",ReferenceData!$Q$279),"")</x:f>
        <x:v/>
      </x:c>
      <x:c r="R279" t="str">
        <x:f ca="1">IFERROR(IF(0=LEN(ReferenceData!$R$279),"",ReferenceData!$R$279),"")</x:f>
        <x:v/>
      </x:c>
      <x:c r="S279" t="str">
        <x:f ca="1">IFERROR(IF(0=LEN(ReferenceData!$S$279),"",ReferenceData!$S$279),"")</x:f>
        <x:v/>
      </x:c>
    </x:row>
    <x:row r="280" spans="1:19" x14ac:dyDescent="0.25">
      <x:c r="A280" t="str">
        <x:f>IFERROR(IF(0=LEN(ReferenceData!$A$280),"",ReferenceData!$A$280),"")</x:f>
        <x:v xml:space="preserve">        iShares U.S. Healthcare Provid</x:v>
      </x:c>
      <x:c r="B280" t="str">
        <x:f>IFERROR(IF(0=LEN(ReferenceData!$B$280),"",ReferenceData!$B$280),"")</x:f>
        <x:v>IHF US Equity</x:v>
      </x:c>
      <x:c r="C280" t="str">
        <x:f>IFERROR(IF(0=LEN(ReferenceData!$C$280),"",ReferenceData!$C$280),"")</x:f>
        <x:v/>
      </x:c>
      <x:c r="D280" t="str">
        <x:f>IFERROR(IF(0=LEN(ReferenceData!$D$280),"",ReferenceData!$D$280),"")</x:f>
        <x:v/>
      </x:c>
      <x:c r="E280" t="str">
        <x:f>IFERROR(IF(0=LEN(ReferenceData!$E$280),"",ReferenceData!$E$280),"")</x:f>
        <x:v>Expression</x:v>
      </x:c>
      <x:c r="F280">
        <x:f ca="1">IFERROR(IF(0=LEN(ReferenceData!$F$280),"",ReferenceData!$F$280),"")</x:f>
        <x:v>12.319653000000001</x:v>
      </x:c>
      <x:c r="G280">
        <x:f ca="1">IFERROR(IF(0=LEN(ReferenceData!$G$280),"",ReferenceData!$G$280),"")</x:f>
        <x:v>-12.272078</x:v>
      </x:c>
      <x:c r="H280">
        <x:f ca="1">IFERROR(IF(0=LEN(ReferenceData!$H$280),"",ReferenceData!$H$280),"")</x:f>
        <x:v>-37.367159999999998</x:v>
      </x:c>
      <x:c r="I280">
        <x:f ca="1">IFERROR(IF(0=LEN(ReferenceData!$I$280),"",ReferenceData!$I$280),"")</x:f>
        <x:v>-25.657699999999998</x:v>
      </x:c>
      <x:c r="J280">
        <x:f ca="1">IFERROR(IF(0=LEN(ReferenceData!$J$280),"",ReferenceData!$J$280),"")</x:f>
        <x:v>-50.489204999999998</x:v>
      </x:c>
      <x:c r="K280">
        <x:f ca="1">IFERROR(IF(0=LEN(ReferenceData!$K$280),"",ReferenceData!$K$280),"")</x:f>
        <x:v>-63.399039999999999</x:v>
      </x:c>
      <x:c r="L280">
        <x:f ca="1">IFERROR(IF(0=LEN(ReferenceData!$L$280),"",ReferenceData!$L$280),"")</x:f>
        <x:v>-36.727055</x:v>
      </x:c>
      <x:c r="M280">
        <x:f ca="1">IFERROR(IF(0=LEN(ReferenceData!$M$280),"",ReferenceData!$M$280),"")</x:f>
        <x:v>-76.368875000000003</x:v>
      </x:c>
      <x:c r="N280">
        <x:f ca="1">IFERROR(IF(0=LEN(ReferenceData!$N$280),"",ReferenceData!$N$280),"")</x:f>
        <x:v>-135.63333499999999</x:v>
      </x:c>
      <x:c r="O280">
        <x:f ca="1">IFERROR(IF(0=LEN(ReferenceData!$O$280),"",ReferenceData!$O$280),"")</x:f>
        <x:v>-26.551314999999999</x:v>
      </x:c>
      <x:c r="P280">
        <x:f ca="1">IFERROR(IF(0=LEN(ReferenceData!$P$280),"",ReferenceData!$P$280),"")</x:f>
        <x:v>-39.530259999999998</x:v>
      </x:c>
      <x:c r="Q280">
        <x:f ca="1">IFERROR(IF(0=LEN(ReferenceData!$Q$280),"",ReferenceData!$Q$280),"")</x:f>
        <x:v>-120.87180499999999</x:v>
      </x:c>
      <x:c r="R280">
        <x:f ca="1">IFERROR(IF(0=LEN(ReferenceData!$R$280),"",ReferenceData!$R$280),"")</x:f>
        <x:v>27.688034999999999</x:v>
      </x:c>
      <x:c r="S280">
        <x:f ca="1">IFERROR(IF(0=LEN(ReferenceData!$S$280),"",ReferenceData!$S$280),"")</x:f>
        <x:v>-13.624879999999999</x:v>
      </x:c>
    </x:row>
    <x:row r="281" spans="1:19" x14ac:dyDescent="0.25">
      <x:c r="A281" t="str">
        <x:f>IFERROR(IF(0=LEN(ReferenceData!$A$281),"",ReferenceData!$A$281),"")</x:f>
        <x:v xml:space="preserve">        SPDR S&amp;P Pharmaceuticals ETF</x:v>
      </x:c>
      <x:c r="B281" t="str">
        <x:f>IFERROR(IF(0=LEN(ReferenceData!$B$281),"",ReferenceData!$B$281),"")</x:f>
        <x:v>XPH US Equity</x:v>
      </x:c>
      <x:c r="C281" t="str">
        <x:f>IFERROR(IF(0=LEN(ReferenceData!$C$281),"",ReferenceData!$C$281),"")</x:f>
        <x:v/>
      </x:c>
      <x:c r="D281" t="str">
        <x:f>IFERROR(IF(0=LEN(ReferenceData!$D$281),"",ReferenceData!$D$281),"")</x:f>
        <x:v/>
      </x:c>
      <x:c r="E281" t="str">
        <x:f>IFERROR(IF(0=LEN(ReferenceData!$E$281),"",ReferenceData!$E$281),"")</x:f>
        <x:v>Expression</x:v>
      </x:c>
      <x:c r="F281">
        <x:f ca="1">IFERROR(IF(0=LEN(ReferenceData!$F$281),"",ReferenceData!$F$281),"")</x:f>
        <x:v>3.6209009999999999</x:v>
      </x:c>
      <x:c r="G281">
        <x:f ca="1">IFERROR(IF(0=LEN(ReferenceData!$G$281),"",ReferenceData!$G$281),"")</x:f>
        <x:v>-7.7283920000000004</x:v>
      </x:c>
      <x:c r="H281">
        <x:f ca="1">IFERROR(IF(0=LEN(ReferenceData!$H$281),"",ReferenceData!$H$281),"")</x:f>
        <x:v>-19.364502999999999</x:v>
      </x:c>
      <x:c r="I281">
        <x:f ca="1">IFERROR(IF(0=LEN(ReferenceData!$I$281),"",ReferenceData!$I$281),"")</x:f>
        <x:v>6.5323479999999998</x:v>
      </x:c>
      <x:c r="J281">
        <x:f ca="1">IFERROR(IF(0=LEN(ReferenceData!$J$281),"",ReferenceData!$J$281),"")</x:f>
        <x:v>-6.2139850000000001</x:v>
      </x:c>
      <x:c r="K281">
        <x:f ca="1">IFERROR(IF(0=LEN(ReferenceData!$K$281),"",ReferenceData!$K$281),"")</x:f>
        <x:v>-10.300108</x:v>
      </x:c>
      <x:c r="L281">
        <x:f ca="1">IFERROR(IF(0=LEN(ReferenceData!$L$281),"",ReferenceData!$L$281),"")</x:f>
        <x:v>-3.9259379999999999</x:v>
      </x:c>
      <x:c r="M281">
        <x:f ca="1">IFERROR(IF(0=LEN(ReferenceData!$M$281),"",ReferenceData!$M$281),"")</x:f>
        <x:v>48.456215999999998</x:v>
      </x:c>
      <x:c r="N281">
        <x:f ca="1">IFERROR(IF(0=LEN(ReferenceData!$N$281),"",ReferenceData!$N$281),"")</x:f>
        <x:v>-27.197022</x:v>
      </x:c>
      <x:c r="O281">
        <x:f ca="1">IFERROR(IF(0=LEN(ReferenceData!$O$281),"",ReferenceData!$O$281),"")</x:f>
        <x:v>19.714020999999999</x:v>
      </x:c>
      <x:c r="P281">
        <x:f ca="1">IFERROR(IF(0=LEN(ReferenceData!$P$281),"",ReferenceData!$P$281),"")</x:f>
        <x:v>-8.4324180000000002</x:v>
      </x:c>
      <x:c r="Q281">
        <x:f ca="1">IFERROR(IF(0=LEN(ReferenceData!$Q$281),"",ReferenceData!$Q$281),"")</x:f>
        <x:v>-0.139796</x:v>
      </x:c>
      <x:c r="R281">
        <x:f ca="1">IFERROR(IF(0=LEN(ReferenceData!$R$281),"",ReferenceData!$R$281),"")</x:f>
        <x:v>-4.6083460000000001</x:v>
      </x:c>
      <x:c r="S281">
        <x:f ca="1">IFERROR(IF(0=LEN(ReferenceData!$S$281),"",ReferenceData!$S$281),"")</x:f>
        <x:v>-2.0437699999999999</x:v>
      </x:c>
    </x:row>
    <x:row r="282" spans="1:19" x14ac:dyDescent="0.25">
      <x:c r="A282" t="str">
        <x:f>IFERROR(IF(0=LEN(ReferenceData!$A$282),"",ReferenceData!$A$282),"")</x:f>
        <x:v xml:space="preserve">        ProShares Ultra Nasdaq Biotech</x:v>
      </x:c>
      <x:c r="B282" t="str">
        <x:f>IFERROR(IF(0=LEN(ReferenceData!$B$282),"",ReferenceData!$B$282),"")</x:f>
        <x:v>BIB US Equity</x:v>
      </x:c>
      <x:c r="C282" t="str">
        <x:f>IFERROR(IF(0=LEN(ReferenceData!$C$282),"",ReferenceData!$C$282),"")</x:f>
        <x:v/>
      </x:c>
      <x:c r="D282" t="str">
        <x:f>IFERROR(IF(0=LEN(ReferenceData!$D$282),"",ReferenceData!$D$282),"")</x:f>
        <x:v/>
      </x:c>
      <x:c r="E282" t="str">
        <x:f>IFERROR(IF(0=LEN(ReferenceData!$E$282),"",ReferenceData!$E$282),"")</x:f>
        <x:v>Expression</x:v>
      </x:c>
      <x:c r="F282">
        <x:f ca="1">IFERROR(IF(0=LEN(ReferenceData!$F$282),"",ReferenceData!$F$282),"")</x:f>
        <x:v>2.5675E-2</x:v>
      </x:c>
      <x:c r="G282">
        <x:f ca="1">IFERROR(IF(0=LEN(ReferenceData!$G$282),"",ReferenceData!$G$282),"")</x:f>
        <x:v>-2.24939</x:v>
      </x:c>
      <x:c r="H282">
        <x:f ca="1">IFERROR(IF(0=LEN(ReferenceData!$H$282),"",ReferenceData!$H$282),"")</x:f>
        <x:v>-1.290645</x:v>
      </x:c>
      <x:c r="I282">
        <x:f ca="1">IFERROR(IF(0=LEN(ReferenceData!$I$282),"",ReferenceData!$I$282),"")</x:f>
        <x:v>-2.5808719999999998</x:v>
      </x:c>
      <x:c r="J282">
        <x:f ca="1">IFERROR(IF(0=LEN(ReferenceData!$J$282),"",ReferenceData!$J$282),"")</x:f>
        <x:v>1.336465</x:v>
      </x:c>
      <x:c r="K282">
        <x:f ca="1">IFERROR(IF(0=LEN(ReferenceData!$K$282),"",ReferenceData!$K$282),"")</x:f>
        <x:v>-5.2617599999999998</x:v>
      </x:c>
      <x:c r="L282">
        <x:f ca="1">IFERROR(IF(0=LEN(ReferenceData!$L$282),"",ReferenceData!$L$282),"")</x:f>
        <x:v>0</x:v>
      </x:c>
      <x:c r="M282">
        <x:f ca="1">IFERROR(IF(0=LEN(ReferenceData!$M$282),"",ReferenceData!$M$282),"")</x:f>
        <x:v>-2.7743950000000002</x:v>
      </x:c>
      <x:c r="N282">
        <x:f ca="1">IFERROR(IF(0=LEN(ReferenceData!$N$282),"",ReferenceData!$N$282),"")</x:f>
        <x:v>-2.725E-2</x:v>
      </x:c>
      <x:c r="O282">
        <x:f ca="1">IFERROR(IF(0=LEN(ReferenceData!$O$282),"",ReferenceData!$O$282),"")</x:f>
        <x:v>0</x:v>
      </x:c>
      <x:c r="P282">
        <x:f ca="1">IFERROR(IF(0=LEN(ReferenceData!$P$282),"",ReferenceData!$P$282),"")</x:f>
        <x:v>6.21197</x:v>
      </x:c>
      <x:c r="Q282">
        <x:f ca="1">IFERROR(IF(0=LEN(ReferenceData!$Q$282),"",ReferenceData!$Q$282),"")</x:f>
        <x:v>-5.7702349999999996</x:v>
      </x:c>
      <x:c r="R282">
        <x:f ca="1">IFERROR(IF(0=LEN(ReferenceData!$R$282),"",ReferenceData!$R$282),"")</x:f>
        <x:v>3.0427599999999999</x:v>
      </x:c>
      <x:c r="S282">
        <x:f ca="1">IFERROR(IF(0=LEN(ReferenceData!$S$282),"",ReferenceData!$S$282),"")</x:f>
        <x:v>0</x:v>
      </x:c>
    </x:row>
    <x:row r="283" spans="1:19" x14ac:dyDescent="0.25">
      <x:c r="A283" t="str">
        <x:f>IFERROR(IF(0=LEN(ReferenceData!$A$283),"",ReferenceData!$A$283),"")</x:f>
        <x:v xml:space="preserve">        VanEck Pharmaceutical ETF</x:v>
      </x:c>
      <x:c r="B283" t="str">
        <x:f>IFERROR(IF(0=LEN(ReferenceData!$B$283),"",ReferenceData!$B$283),"")</x:f>
        <x:v>PPH US Equity</x:v>
      </x:c>
      <x:c r="C283" t="str">
        <x:f>IFERROR(IF(0=LEN(ReferenceData!$C$283),"",ReferenceData!$C$283),"")</x:f>
        <x:v/>
      </x:c>
      <x:c r="D283" t="str">
        <x:f>IFERROR(IF(0=LEN(ReferenceData!$D$283),"",ReferenceData!$D$283),"")</x:f>
        <x:v/>
      </x:c>
      <x:c r="E283" t="str">
        <x:f>IFERROR(IF(0=LEN(ReferenceData!$E$283),"",ReferenceData!$E$283),"")</x:f>
        <x:v>Expression</x:v>
      </x:c>
      <x:c r="F283">
        <x:f ca="1">IFERROR(IF(0=LEN(ReferenceData!$F$283),"",ReferenceData!$F$283),"")</x:f>
        <x:v>-7.6219340000000004</x:v>
      </x:c>
      <x:c r="G283">
        <x:f ca="1">IFERROR(IF(0=LEN(ReferenceData!$G$283),"",ReferenceData!$G$283),"")</x:f>
        <x:v>-26.43357</x:v>
      </x:c>
      <x:c r="H283">
        <x:f ca="1">IFERROR(IF(0=LEN(ReferenceData!$H$283),"",ReferenceData!$H$283),"")</x:f>
        <x:v>12.168352000000001</x:v>
      </x:c>
      <x:c r="I283">
        <x:f ca="1">IFERROR(IF(0=LEN(ReferenceData!$I$283),"",ReferenceData!$I$283),"")</x:f>
        <x:v>56.803618999999998</x:v>
      </x:c>
      <x:c r="J283">
        <x:f ca="1">IFERROR(IF(0=LEN(ReferenceData!$J$283),"",ReferenceData!$J$283),"")</x:f>
        <x:v>-31.049043999999999</x:v>
      </x:c>
      <x:c r="K283">
        <x:f ca="1">IFERROR(IF(0=LEN(ReferenceData!$K$283),"",ReferenceData!$K$283),"")</x:f>
        <x:v>-11.840680000000001</x:v>
      </x:c>
      <x:c r="L283">
        <x:f ca="1">IFERROR(IF(0=LEN(ReferenceData!$L$283),"",ReferenceData!$L$283),"")</x:f>
        <x:v>4.7243810000000002</x:v>
      </x:c>
      <x:c r="M283">
        <x:f ca="1">IFERROR(IF(0=LEN(ReferenceData!$M$283),"",ReferenceData!$M$283),"")</x:f>
        <x:v>19.724747000000001</x:v>
      </x:c>
      <x:c r="N283">
        <x:f ca="1">IFERROR(IF(0=LEN(ReferenceData!$N$283),"",ReferenceData!$N$283),"")</x:f>
        <x:v>-37.740197000000002</x:v>
      </x:c>
      <x:c r="O283">
        <x:f ca="1">IFERROR(IF(0=LEN(ReferenceData!$O$283),"",ReferenceData!$O$283),"")</x:f>
        <x:v>-97.536188999999993</x:v>
      </x:c>
      <x:c r="P283">
        <x:f ca="1">IFERROR(IF(0=LEN(ReferenceData!$P$283),"",ReferenceData!$P$283),"")</x:f>
        <x:v>-78.105279999999993</x:v>
      </x:c>
      <x:c r="Q283">
        <x:f ca="1">IFERROR(IF(0=LEN(ReferenceData!$Q$283),"",ReferenceData!$Q$283),"")</x:f>
        <x:v>-7.187621</x:v>
      </x:c>
      <x:c r="R283">
        <x:f ca="1">IFERROR(IF(0=LEN(ReferenceData!$R$283),"",ReferenceData!$R$283),"")</x:f>
        <x:v>-6.3653700000000004</x:v>
      </x:c>
      <x:c r="S283">
        <x:f ca="1">IFERROR(IF(0=LEN(ReferenceData!$S$283),"",ReferenceData!$S$283),"")</x:f>
        <x:v>-0.42804700000000001</x:v>
      </x:c>
    </x:row>
    <x:row r="284" spans="1:19" x14ac:dyDescent="0.25">
      <x:c r="A284" t="str">
        <x:f>IFERROR(IF(0=LEN(ReferenceData!$A$284),"",ReferenceData!$A$284),"")</x:f>
        <x:v xml:space="preserve">        Direxion Daily S&amp;P Biotech Bul</x:v>
      </x:c>
      <x:c r="B284" t="str">
        <x:f>IFERROR(IF(0=LEN(ReferenceData!$B$284),"",ReferenceData!$B$284),"")</x:f>
        <x:v>LABU US Equity</x:v>
      </x:c>
      <x:c r="C284" t="str">
        <x:f>IFERROR(IF(0=LEN(ReferenceData!$C$284),"",ReferenceData!$C$284),"")</x:f>
        <x:v/>
      </x:c>
      <x:c r="D284" t="str">
        <x:f>IFERROR(IF(0=LEN(ReferenceData!$D$284),"",ReferenceData!$D$284),"")</x:f>
        <x:v/>
      </x:c>
      <x:c r="E284" t="str">
        <x:f>IFERROR(IF(0=LEN(ReferenceData!$E$284),"",ReferenceData!$E$284),"")</x:f>
        <x:v>Expression</x:v>
      </x:c>
      <x:c r="F284">
        <x:f ca="1">IFERROR(IF(0=LEN(ReferenceData!$F$284),"",ReferenceData!$F$284),"")</x:f>
        <x:v>-6.3106580000000001</x:v>
      </x:c>
      <x:c r="G284">
        <x:f ca="1">IFERROR(IF(0=LEN(ReferenceData!$G$284),"",ReferenceData!$G$284),"")</x:f>
        <x:v>56.437922999999998</x:v>
      </x:c>
      <x:c r="H284">
        <x:f ca="1">IFERROR(IF(0=LEN(ReferenceData!$H$284),"",ReferenceData!$H$284),"")</x:f>
        <x:v>69.900606999999994</x:v>
      </x:c>
      <x:c r="I284">
        <x:f ca="1">IFERROR(IF(0=LEN(ReferenceData!$I$284),"",ReferenceData!$I$284),"")</x:f>
        <x:v>204.426029</x:v>
      </x:c>
      <x:c r="J284">
        <x:f ca="1">IFERROR(IF(0=LEN(ReferenceData!$J$284),"",ReferenceData!$J$284),"")</x:f>
        <x:v>57.240915999999999</x:v>
      </x:c>
      <x:c r="K284">
        <x:f ca="1">IFERROR(IF(0=LEN(ReferenceData!$K$284),"",ReferenceData!$K$284),"")</x:f>
        <x:v>-43.099856000000003</x:v>
      </x:c>
      <x:c r="L284">
        <x:f ca="1">IFERROR(IF(0=LEN(ReferenceData!$L$284),"",ReferenceData!$L$284),"")</x:f>
        <x:v>-78.660900999999996</x:v>
      </x:c>
      <x:c r="M284">
        <x:f ca="1">IFERROR(IF(0=LEN(ReferenceData!$M$284),"",ReferenceData!$M$284),"")</x:f>
        <x:v>-73.163382999999996</x:v>
      </x:c>
      <x:c r="N284">
        <x:f ca="1">IFERROR(IF(0=LEN(ReferenceData!$N$284),"",ReferenceData!$N$284),"")</x:f>
        <x:v>263.15364699999998</x:v>
      </x:c>
      <x:c r="O284">
        <x:f ca="1">IFERROR(IF(0=LEN(ReferenceData!$O$284),"",ReferenceData!$O$284),"")</x:f>
        <x:v>71.758741000000001</x:v>
      </x:c>
      <x:c r="P284">
        <x:f ca="1">IFERROR(IF(0=LEN(ReferenceData!$P$284),"",ReferenceData!$P$284),"")</x:f>
        <x:v>-308.54441500000001</x:v>
      </x:c>
      <x:c r="Q284">
        <x:f ca="1">IFERROR(IF(0=LEN(ReferenceData!$Q$284),"",ReferenceData!$Q$284),"")</x:f>
        <x:v>148.43476999999999</x:v>
      </x:c>
      <x:c r="R284">
        <x:f ca="1">IFERROR(IF(0=LEN(ReferenceData!$R$284),"",ReferenceData!$R$284),"")</x:f>
        <x:v>-102.643878</x:v>
      </x:c>
      <x:c r="S284">
        <x:f ca="1">IFERROR(IF(0=LEN(ReferenceData!$S$284),"",ReferenceData!$S$284),"")</x:f>
        <x:v>30.255552999999999</x:v>
      </x:c>
    </x:row>
    <x:row r="285" spans="1:19" x14ac:dyDescent="0.25">
      <x:c r="A285" t="str">
        <x:f>IFERROR(IF(0=LEN(ReferenceData!$A$285),"",ReferenceData!$A$285),"")</x:f>
        <x:v xml:space="preserve">        Invesco Dynamic Biotechnology</x:v>
      </x:c>
      <x:c r="B285" t="str">
        <x:f>IFERROR(IF(0=LEN(ReferenceData!$B$285),"",ReferenceData!$B$285),"")</x:f>
        <x:v>PBE US Equity</x:v>
      </x:c>
      <x:c r="C285" t="str">
        <x:f>IFERROR(IF(0=LEN(ReferenceData!$C$285),"",ReferenceData!$C$285),"")</x:f>
        <x:v/>
      </x:c>
      <x:c r="D285" t="str">
        <x:f>IFERROR(IF(0=LEN(ReferenceData!$D$285),"",ReferenceData!$D$285),"")</x:f>
        <x:v/>
      </x:c>
      <x:c r="E285" t="str">
        <x:f>IFERROR(IF(0=LEN(ReferenceData!$E$285),"",ReferenceData!$E$285),"")</x:f>
        <x:v>Expression</x:v>
      </x:c>
      <x:c r="F285">
        <x:f ca="1">IFERROR(IF(0=LEN(ReferenceData!$F$285),"",ReferenceData!$F$285),"")</x:f>
        <x:v>-1.1129599999999999</x:v>
      </x:c>
      <x:c r="G285">
        <x:f ca="1">IFERROR(IF(0=LEN(ReferenceData!$G$285),"",ReferenceData!$G$285),"")</x:f>
        <x:v>-1.150668</x:v>
      </x:c>
      <x:c r="H285">
        <x:f ca="1">IFERROR(IF(0=LEN(ReferenceData!$H$285),"",ReferenceData!$H$285),"")</x:f>
        <x:v>-0.60562800000000006</x:v>
      </x:c>
      <x:c r="I285">
        <x:f ca="1">IFERROR(IF(0=LEN(ReferenceData!$I$285),"",ReferenceData!$I$285),"")</x:f>
        <x:v>-0.60907100000000003</x:v>
      </x:c>
      <x:c r="J285">
        <x:f ca="1">IFERROR(IF(0=LEN(ReferenceData!$J$285),"",ReferenceData!$J$285),"")</x:f>
        <x:v>-0.63556000000000001</x:v>
      </x:c>
      <x:c r="K285">
        <x:f ca="1">IFERROR(IF(0=LEN(ReferenceData!$K$285),"",ReferenceData!$K$285),"")</x:f>
        <x:v>0.62376299999999996</x:v>
      </x:c>
      <x:c r="L285">
        <x:f ca="1">IFERROR(IF(0=LEN(ReferenceData!$L$285),"",ReferenceData!$L$285),"")</x:f>
        <x:v>-3.1012940000000002</x:v>
      </x:c>
      <x:c r="M285">
        <x:f ca="1">IFERROR(IF(0=LEN(ReferenceData!$M$285),"",ReferenceData!$M$285),"")</x:f>
        <x:v>0</x:v>
      </x:c>
      <x:c r="N285">
        <x:f ca="1">IFERROR(IF(0=LEN(ReferenceData!$N$285),"",ReferenceData!$N$285),"")</x:f>
        <x:v>2.1410000000000001E-3</x:v>
      </x:c>
      <x:c r="O285">
        <x:f ca="1">IFERROR(IF(0=LEN(ReferenceData!$O$285),"",ReferenceData!$O$285),"")</x:f>
        <x:v>1.2641929999999999</x:v>
      </x:c>
      <x:c r="P285">
        <x:f ca="1">IFERROR(IF(0=LEN(ReferenceData!$P$285),"",ReferenceData!$P$285),"")</x:f>
        <x:v>3.201279</x:v>
      </x:c>
      <x:c r="Q285">
        <x:f ca="1">IFERROR(IF(0=LEN(ReferenceData!$Q$285),"",ReferenceData!$Q$285),"")</x:f>
        <x:v>-0.62033199999999999</x:v>
      </x:c>
      <x:c r="R285">
        <x:f ca="1">IFERROR(IF(0=LEN(ReferenceData!$R$285),"",ReferenceData!$R$285),"")</x:f>
        <x:v>1.2637579999999999</x:v>
      </x:c>
      <x:c r="S285">
        <x:f ca="1">IFERROR(IF(0=LEN(ReferenceData!$S$285),"",ReferenceData!$S$285),"")</x:f>
        <x:v>3.5989399999999998</x:v>
      </x:c>
    </x:row>
    <x:row r="286" spans="1:19" x14ac:dyDescent="0.25">
      <x:c r="A286" t="str">
        <x:f>IFERROR(IF(0=LEN(ReferenceData!$A$286),"",ReferenceData!$A$286),"")</x:f>
        <x:v xml:space="preserve">        Invesco S&amp;P SmallCap Health Ca</x:v>
      </x:c>
      <x:c r="B286" t="str">
        <x:f>IFERROR(IF(0=LEN(ReferenceData!$B$286),"",ReferenceData!$B$286),"")</x:f>
        <x:v>PSCH US Equity</x:v>
      </x:c>
      <x:c r="C286" t="str">
        <x:f>IFERROR(IF(0=LEN(ReferenceData!$C$286),"",ReferenceData!$C$286),"")</x:f>
        <x:v/>
      </x:c>
      <x:c r="D286" t="str">
        <x:f>IFERROR(IF(0=LEN(ReferenceData!$D$286),"",ReferenceData!$D$286),"")</x:f>
        <x:v/>
      </x:c>
      <x:c r="E286" t="str">
        <x:f>IFERROR(IF(0=LEN(ReferenceData!$E$286),"",ReferenceData!$E$286),"")</x:f>
        <x:v>Expression</x:v>
      </x:c>
      <x:c r="F286">
        <x:f ca="1">IFERROR(IF(0=LEN(ReferenceData!$F$286),"",ReferenceData!$F$286),"")</x:f>
        <x:v>-7.2810379999999997</x:v>
      </x:c>
      <x:c r="G286">
        <x:f ca="1">IFERROR(IF(0=LEN(ReferenceData!$G$286),"",ReferenceData!$G$286),"")</x:f>
        <x:v>-5.5419650000000003</x:v>
      </x:c>
      <x:c r="H286">
        <x:f ca="1">IFERROR(IF(0=LEN(ReferenceData!$H$286),"",ReferenceData!$H$286),"")</x:f>
        <x:v>-12.165111</x:v>
      </x:c>
      <x:c r="I286">
        <x:f ca="1">IFERROR(IF(0=LEN(ReferenceData!$I$286),"",ReferenceData!$I$286),"")</x:f>
        <x:v>-4.6513520000000002</x:v>
      </x:c>
      <x:c r="J286">
        <x:f ca="1">IFERROR(IF(0=LEN(ReferenceData!$J$286),"",ReferenceData!$J$286),"")</x:f>
        <x:v>-5.3179020000000001</x:v>
      </x:c>
      <x:c r="K286">
        <x:f ca="1">IFERROR(IF(0=LEN(ReferenceData!$K$286),"",ReferenceData!$K$286),"")</x:f>
        <x:v>-5.3300400000000003</x:v>
      </x:c>
      <x:c r="L286">
        <x:f ca="1">IFERROR(IF(0=LEN(ReferenceData!$L$286),"",ReferenceData!$L$286),"")</x:f>
        <x:v>-1.335928</x:v>
      </x:c>
      <x:c r="M286">
        <x:f ca="1">IFERROR(IF(0=LEN(ReferenceData!$M$286),"",ReferenceData!$M$286),"")</x:f>
        <x:v>-4.0184730000000002</x:v>
      </x:c>
      <x:c r="N286">
        <x:f ca="1">IFERROR(IF(0=LEN(ReferenceData!$N$286),"",ReferenceData!$N$286),"")</x:f>
        <x:v>-16.690973</x:v>
      </x:c>
      <x:c r="O286">
        <x:f ca="1">IFERROR(IF(0=LEN(ReferenceData!$O$286),"",ReferenceData!$O$286),"")</x:f>
        <x:v>4.4200999999999997E-2</x:v>
      </x:c>
      <x:c r="P286">
        <x:f ca="1">IFERROR(IF(0=LEN(ReferenceData!$P$286),"",ReferenceData!$P$286),"")</x:f>
        <x:v>-5.4742819999999996</x:v>
      </x:c>
      <x:c r="Q286">
        <x:f ca="1">IFERROR(IF(0=LEN(ReferenceData!$Q$286),"",ReferenceData!$Q$286),"")</x:f>
        <x:v>4.199605</x:v>
      </x:c>
      <x:c r="R286">
        <x:f ca="1">IFERROR(IF(0=LEN(ReferenceData!$R$286),"",ReferenceData!$R$286),"")</x:f>
        <x:v>-1.3390120000000001</x:v>
      </x:c>
      <x:c r="S286">
        <x:f ca="1">IFERROR(IF(0=LEN(ReferenceData!$S$286),"",ReferenceData!$S$286),"")</x:f>
        <x:v>-0.15840499999999999</x:v>
      </x:c>
    </x:row>
    <x:row r="287" spans="1:19" x14ac:dyDescent="0.25">
      <x:c r="A287" t="str">
        <x:f>IFERROR(IF(0=LEN(ReferenceData!$A$287),"",ReferenceData!$A$287),"")</x:f>
        <x:v xml:space="preserve">        Direxion Daily Healthcare Bull</x:v>
      </x:c>
      <x:c r="B287" t="str">
        <x:f>IFERROR(IF(0=LEN(ReferenceData!$B$287),"",ReferenceData!$B$287),"")</x:f>
        <x:v>CURE US Equity</x:v>
      </x:c>
      <x:c r="C287" t="str">
        <x:f>IFERROR(IF(0=LEN(ReferenceData!$C$287),"",ReferenceData!$C$287),"")</x:f>
        <x:v/>
      </x:c>
      <x:c r="D287" t="str">
        <x:f>IFERROR(IF(0=LEN(ReferenceData!$D$287),"",ReferenceData!$D$287),"")</x:f>
        <x:v/>
      </x:c>
      <x:c r="E287" t="str">
        <x:f>IFERROR(IF(0=LEN(ReferenceData!$E$287),"",ReferenceData!$E$287),"")</x:f>
        <x:v>Expression</x:v>
      </x:c>
      <x:c r="F287">
        <x:f ca="1">IFERROR(IF(0=LEN(ReferenceData!$F$287),"",ReferenceData!$F$287),"")</x:f>
        <x:v>-4.1560920000000001</x:v>
      </x:c>
      <x:c r="G287">
        <x:f ca="1">IFERROR(IF(0=LEN(ReferenceData!$G$287),"",ReferenceData!$G$287),"")</x:f>
        <x:v>4.0077059999999998</x:v>
      </x:c>
      <x:c r="H287">
        <x:f ca="1">IFERROR(IF(0=LEN(ReferenceData!$H$287),"",ReferenceData!$H$287),"")</x:f>
        <x:v>-4.638744</x:v>
      </x:c>
      <x:c r="I287">
        <x:f ca="1">IFERROR(IF(0=LEN(ReferenceData!$I$287),"",ReferenceData!$I$287),"")</x:f>
        <x:v>-0.156473</x:v>
      </x:c>
      <x:c r="J287">
        <x:f ca="1">IFERROR(IF(0=LEN(ReferenceData!$J$287),"",ReferenceData!$J$287),"")</x:f>
        <x:v>0</x:v>
      </x:c>
      <x:c r="K287">
        <x:f ca="1">IFERROR(IF(0=LEN(ReferenceData!$K$287),"",ReferenceData!$K$287),"")</x:f>
        <x:v>4.6276109999999999</x:v>
      </x:c>
      <x:c r="L287">
        <x:f ca="1">IFERROR(IF(0=LEN(ReferenceData!$L$287),"",ReferenceData!$L$287),"")</x:f>
        <x:v>4.3061509999999998</x:v>
      </x:c>
      <x:c r="M287">
        <x:f ca="1">IFERROR(IF(0=LEN(ReferenceData!$M$287),"",ReferenceData!$M$287),"")</x:f>
        <x:v>-10.277156</x:v>
      </x:c>
      <x:c r="N287">
        <x:f ca="1">IFERROR(IF(0=LEN(ReferenceData!$N$287),"",ReferenceData!$N$287),"")</x:f>
        <x:v>13.478</x:v>
      </x:c>
      <x:c r="O287">
        <x:f ca="1">IFERROR(IF(0=LEN(ReferenceData!$O$287),"",ReferenceData!$O$287),"")</x:f>
        <x:v>0</x:v>
      </x:c>
      <x:c r="P287">
        <x:f ca="1">IFERROR(IF(0=LEN(ReferenceData!$P$287),"",ReferenceData!$P$287),"")</x:f>
        <x:v>0</x:v>
      </x:c>
      <x:c r="Q287">
        <x:f ca="1">IFERROR(IF(0=LEN(ReferenceData!$Q$287),"",ReferenceData!$Q$287),"")</x:f>
        <x:v>-5.8958870000000001</x:v>
      </x:c>
      <x:c r="R287">
        <x:f ca="1">IFERROR(IF(0=LEN(ReferenceData!$R$287),"",ReferenceData!$R$287),"")</x:f>
        <x:v>5.4273990000000003</x:v>
      </x:c>
      <x:c r="S287">
        <x:f ca="1">IFERROR(IF(0=LEN(ReferenceData!$S$287),"",ReferenceData!$S$287),"")</x:f>
        <x:v>-5.0889499999999996</x:v>
      </x:c>
    </x:row>
    <x:row r="288" spans="1:19" x14ac:dyDescent="0.25">
      <x:c r="A288" t="str">
        <x:f>IFERROR(IF(0=LEN(ReferenceData!$A$288),"",ReferenceData!$A$288),"")</x:f>
        <x:v xml:space="preserve">        SPDR S&amp;P Health Care Equipment</x:v>
      </x:c>
      <x:c r="B288" t="str">
        <x:f>IFERROR(IF(0=LEN(ReferenceData!$B$288),"",ReferenceData!$B$288),"")</x:f>
        <x:v>XHE US Equity</x:v>
      </x:c>
      <x:c r="C288" t="str">
        <x:f>IFERROR(IF(0=LEN(ReferenceData!$C$288),"",ReferenceData!$C$288),"")</x:f>
        <x:v/>
      </x:c>
      <x:c r="D288" t="str">
        <x:f>IFERROR(IF(0=LEN(ReferenceData!$D$288),"",ReferenceData!$D$288),"")</x:f>
        <x:v/>
      </x:c>
      <x:c r="E288" t="str">
        <x:f>IFERROR(IF(0=LEN(ReferenceData!$E$288),"",ReferenceData!$E$288),"")</x:f>
        <x:v>Expression</x:v>
      </x:c>
      <x:c r="F288">
        <x:f ca="1">IFERROR(IF(0=LEN(ReferenceData!$F$288),"",ReferenceData!$F$288),"")</x:f>
        <x:v>-10.499967</x:v>
      </x:c>
      <x:c r="G288">
        <x:f ca="1">IFERROR(IF(0=LEN(ReferenceData!$G$288),"",ReferenceData!$G$288),"")</x:f>
        <x:v>-37.775312</x:v>
      </x:c>
      <x:c r="H288">
        <x:f ca="1">IFERROR(IF(0=LEN(ReferenceData!$H$288),"",ReferenceData!$H$288),"")</x:f>
        <x:v>-35.637174000000002</x:v>
      </x:c>
      <x:c r="I288">
        <x:f ca="1">IFERROR(IF(0=LEN(ReferenceData!$I$288),"",ReferenceData!$I$288),"")</x:f>
        <x:v>-100.387867</x:v>
      </x:c>
      <x:c r="J288">
        <x:f ca="1">IFERROR(IF(0=LEN(ReferenceData!$J$288),"",ReferenceData!$J$288),"")</x:f>
        <x:v>36.047004000000001</x:v>
      </x:c>
      <x:c r="K288">
        <x:f ca="1">IFERROR(IF(0=LEN(ReferenceData!$K$288),"",ReferenceData!$K$288),"")</x:f>
        <x:v>31.330138999999999</x:v>
      </x:c>
      <x:c r="L288">
        <x:f ca="1">IFERROR(IF(0=LEN(ReferenceData!$L$288),"",ReferenceData!$L$288),"")</x:f>
        <x:v>19.039292</x:v>
      </x:c>
      <x:c r="M288">
        <x:f ca="1">IFERROR(IF(0=LEN(ReferenceData!$M$288),"",ReferenceData!$M$288),"")</x:f>
        <x:v>38.886127999999999</x:v>
      </x:c>
      <x:c r="N288">
        <x:f ca="1">IFERROR(IF(0=LEN(ReferenceData!$N$288),"",ReferenceData!$N$288),"")</x:f>
        <x:v>-38.467326999999997</x:v>
      </x:c>
      <x:c r="O288">
        <x:f ca="1">IFERROR(IF(0=LEN(ReferenceData!$O$288),"",ReferenceData!$O$288),"")</x:f>
        <x:v>69.038171000000006</x:v>
      </x:c>
      <x:c r="P288">
        <x:f ca="1">IFERROR(IF(0=LEN(ReferenceData!$P$288),"",ReferenceData!$P$288),"")</x:f>
        <x:v>50.551833999999999</x:v>
      </x:c>
      <x:c r="Q288">
        <x:f ca="1">IFERROR(IF(0=LEN(ReferenceData!$Q$288),"",ReferenceData!$Q$288),"")</x:f>
        <x:v>-11.298361</x:v>
      </x:c>
      <x:c r="R288">
        <x:f ca="1">IFERROR(IF(0=LEN(ReferenceData!$R$288),"",ReferenceData!$R$288),"")</x:f>
        <x:v>-10.928235000000001</x:v>
      </x:c>
      <x:c r="S288">
        <x:f ca="1">IFERROR(IF(0=LEN(ReferenceData!$S$288),"",ReferenceData!$S$288),"")</x:f>
        <x:v>6.7541650000000004</x:v>
      </x:c>
    </x:row>
    <x:row r="289" spans="1:19" x14ac:dyDescent="0.25">
      <x:c r="A289" t="str">
        <x:f>IFERROR(IF(0=LEN(ReferenceData!$A$289),"",ReferenceData!$A$289),"")</x:f>
        <x:v xml:space="preserve">        SPDR S&amp;P Health Care Services</x:v>
      </x:c>
      <x:c r="B289" t="str">
        <x:f>IFERROR(IF(0=LEN(ReferenceData!$B$289),"",ReferenceData!$B$289),"")</x:f>
        <x:v>XHS US Equity</x:v>
      </x:c>
      <x:c r="C289" t="str">
        <x:f>IFERROR(IF(0=LEN(ReferenceData!$C$289),"",ReferenceData!$C$289),"")</x:f>
        <x:v/>
      </x:c>
      <x:c r="D289" t="str">
        <x:f>IFERROR(IF(0=LEN(ReferenceData!$D$289),"",ReferenceData!$D$289),"")</x:f>
        <x:v/>
      </x:c>
      <x:c r="E289" t="str">
        <x:f>IFERROR(IF(0=LEN(ReferenceData!$E$289),"",ReferenceData!$E$289),"")</x:f>
        <x:v>Expression</x:v>
      </x:c>
      <x:c r="F289">
        <x:f ca="1">IFERROR(IF(0=LEN(ReferenceData!$F$289),"",ReferenceData!$F$289),"")</x:f>
        <x:v>-1.627275</x:v>
      </x:c>
      <x:c r="G289">
        <x:f ca="1">IFERROR(IF(0=LEN(ReferenceData!$G$289),"",ReferenceData!$G$289),"")</x:f>
        <x:v>-8.3196119999999993</x:v>
      </x:c>
      <x:c r="H289">
        <x:f ca="1">IFERROR(IF(0=LEN(ReferenceData!$H$289),"",ReferenceData!$H$289),"")</x:f>
        <x:v>-5.1598410000000001</x:v>
      </x:c>
      <x:c r="I289">
        <x:f ca="1">IFERROR(IF(0=LEN(ReferenceData!$I$289),"",ReferenceData!$I$289),"")</x:f>
        <x:v>3.6889789999999998</x:v>
      </x:c>
      <x:c r="J289">
        <x:f ca="1">IFERROR(IF(0=LEN(ReferenceData!$J$289),"",ReferenceData!$J$289),"")</x:f>
        <x:v>1.8753439999999999</x:v>
      </x:c>
      <x:c r="K289">
        <x:f ca="1">IFERROR(IF(0=LEN(ReferenceData!$K$289),"",ReferenceData!$K$289),"")</x:f>
        <x:v>-5.4240089999999999</x:v>
      </x:c>
      <x:c r="L289">
        <x:f ca="1">IFERROR(IF(0=LEN(ReferenceData!$L$289),"",ReferenceData!$L$289),"")</x:f>
        <x:v>0.125808</x:v>
      </x:c>
      <x:c r="M289">
        <x:f ca="1">IFERROR(IF(0=LEN(ReferenceData!$M$289),"",ReferenceData!$M$289),"")</x:f>
        <x:v>-0.89066699999999999</x:v>
      </x:c>
      <x:c r="N289">
        <x:f ca="1">IFERROR(IF(0=LEN(ReferenceData!$N$289),"",ReferenceData!$N$289),"")</x:f>
        <x:v>-3.5053320000000001</x:v>
      </x:c>
      <x:c r="O289">
        <x:f ca="1">IFERROR(IF(0=LEN(ReferenceData!$O$289),"",ReferenceData!$O$289),"")</x:f>
        <x:v>-1.3485E-2</x:v>
      </x:c>
      <x:c r="P289">
        <x:f ca="1">IFERROR(IF(0=LEN(ReferenceData!$P$289),"",ReferenceData!$P$289),"")</x:f>
        <x:v>-3.3560949999999998</x:v>
      </x:c>
      <x:c r="Q289">
        <x:f ca="1">IFERROR(IF(0=LEN(ReferenceData!$Q$289),"",ReferenceData!$Q$289),"")</x:f>
        <x:v>-17.573836</x:v>
      </x:c>
      <x:c r="R289">
        <x:f ca="1">IFERROR(IF(0=LEN(ReferenceData!$R$289),"",ReferenceData!$R$289),"")</x:f>
        <x:v>-1.714075</x:v>
      </x:c>
      <x:c r="S289">
        <x:f ca="1">IFERROR(IF(0=LEN(ReferenceData!$S$289),"",ReferenceData!$S$289),"")</x:f>
        <x:v>11.232677000000001</x:v>
      </x:c>
    </x:row>
    <x:row r="290" spans="1:19" x14ac:dyDescent="0.25">
      <x:c r="A290" t="str">
        <x:f>IFERROR(IF(0=LEN(ReferenceData!$A$290),"",ReferenceData!$A$290),"")</x:f>
        <x:v xml:space="preserve">        ALPS Medical Breakthroughs ETF</x:v>
      </x:c>
      <x:c r="B290" t="str">
        <x:f>IFERROR(IF(0=LEN(ReferenceData!$B$290),"",ReferenceData!$B$290),"")</x:f>
        <x:v>SBIO US Equity</x:v>
      </x:c>
      <x:c r="C290" t="str">
        <x:f>IFERROR(IF(0=LEN(ReferenceData!$C$290),"",ReferenceData!$C$290),"")</x:f>
        <x:v/>
      </x:c>
      <x:c r="D290" t="str">
        <x:f>IFERROR(IF(0=LEN(ReferenceData!$D$290),"",ReferenceData!$D$290),"")</x:f>
        <x:v/>
      </x:c>
      <x:c r="E290" t="str">
        <x:f>IFERROR(IF(0=LEN(ReferenceData!$E$290),"",ReferenceData!$E$290),"")</x:f>
        <x:v>Expression</x:v>
      </x:c>
      <x:c r="F290">
        <x:f ca="1">IFERROR(IF(0=LEN(ReferenceData!$F$290),"",ReferenceData!$F$290),"")</x:f>
        <x:v>-1.1930430000000001</x:v>
      </x:c>
      <x:c r="G290">
        <x:f ca="1">IFERROR(IF(0=LEN(ReferenceData!$G$290),"",ReferenceData!$G$290),"")</x:f>
        <x:v>-3.0664889999999998</x:v>
      </x:c>
      <x:c r="H290">
        <x:f ca="1">IFERROR(IF(0=LEN(ReferenceData!$H$290),"",ReferenceData!$H$290),"")</x:f>
        <x:v>-0.73950199999999999</x:v>
      </x:c>
      <x:c r="I290">
        <x:f ca="1">IFERROR(IF(0=LEN(ReferenceData!$I$290),"",ReferenceData!$I$290),"")</x:f>
        <x:v>-1.518972</x:v>
      </x:c>
      <x:c r="J290">
        <x:f ca="1">IFERROR(IF(0=LEN(ReferenceData!$J$290),"",ReferenceData!$J$290),"")</x:f>
        <x:v>-1.59904</x:v>
      </x:c>
      <x:c r="K290">
        <x:f ca="1">IFERROR(IF(0=LEN(ReferenceData!$K$290),"",ReferenceData!$K$290),"")</x:f>
        <x:v>-2.435937</x:v>
      </x:c>
      <x:c r="L290">
        <x:f ca="1">IFERROR(IF(0=LEN(ReferenceData!$L$290),"",ReferenceData!$L$290),"")</x:f>
        <x:v>0.81474400000000002</x:v>
      </x:c>
      <x:c r="M290">
        <x:f ca="1">IFERROR(IF(0=LEN(ReferenceData!$M$290),"",ReferenceData!$M$290),"")</x:f>
        <x:v>0</x:v>
      </x:c>
      <x:c r="N290">
        <x:f ca="1">IFERROR(IF(0=LEN(ReferenceData!$N$290),"",ReferenceData!$N$290),"")</x:f>
        <x:v>-7.0982000000000003E-2</x:v>
      </x:c>
      <x:c r="O290">
        <x:f ca="1">IFERROR(IF(0=LEN(ReferenceData!$O$290),"",ReferenceData!$O$290),"")</x:f>
        <x:v>-0.78822099999999995</x:v>
      </x:c>
      <x:c r="P290">
        <x:f ca="1">IFERROR(IF(0=LEN(ReferenceData!$P$290),"",ReferenceData!$P$290),"")</x:f>
        <x:v>-2.2516310000000002</x:v>
      </x:c>
      <x:c r="Q290">
        <x:f ca="1">IFERROR(IF(0=LEN(ReferenceData!$Q$290),"",ReferenceData!$Q$290),"")</x:f>
        <x:v>-0.74299199999999999</x:v>
      </x:c>
      <x:c r="R290">
        <x:f ca="1">IFERROR(IF(0=LEN(ReferenceData!$R$290),"",ReferenceData!$R$290),"")</x:f>
        <x:v>13.389824000000001</x:v>
      </x:c>
      <x:c r="S290">
        <x:f ca="1">IFERROR(IF(0=LEN(ReferenceData!$S$290),"",ReferenceData!$S$290),"")</x:f>
        <x:v>-0.75789700000000004</x:v>
      </x:c>
    </x:row>
    <x:row r="291" spans="1:19" x14ac:dyDescent="0.25">
      <x:c r="A291" t="str">
        <x:f>IFERROR(IF(0=LEN(ReferenceData!$A$291),"",ReferenceData!$A$291),"")</x:f>
        <x:v xml:space="preserve">        Direxion Daily S&amp;P Biotech Bea</x:v>
      </x:c>
      <x:c r="B291" t="str">
        <x:f>IFERROR(IF(0=LEN(ReferenceData!$B$291),"",ReferenceData!$B$291),"")</x:f>
        <x:v>LABD US Equity</x:v>
      </x:c>
      <x:c r="C291" t="str">
        <x:f>IFERROR(IF(0=LEN(ReferenceData!$C$291),"",ReferenceData!$C$291),"")</x:f>
        <x:v/>
      </x:c>
      <x:c r="D291" t="str">
        <x:f>IFERROR(IF(0=LEN(ReferenceData!$D$291),"",ReferenceData!$D$291),"")</x:f>
        <x:v/>
      </x:c>
      <x:c r="E291" t="str">
        <x:f>IFERROR(IF(0=LEN(ReferenceData!$E$291),"",ReferenceData!$E$291),"")</x:f>
        <x:v>Expression</x:v>
      </x:c>
      <x:c r="F291">
        <x:f ca="1">IFERROR(IF(0=LEN(ReferenceData!$F$291),"",ReferenceData!$F$291),"")</x:f>
        <x:v>31.357873000000001</x:v>
      </x:c>
      <x:c r="G291">
        <x:f ca="1">IFERROR(IF(0=LEN(ReferenceData!$G$291),"",ReferenceData!$G$291),"")</x:f>
        <x:v>-20.179431999999998</x:v>
      </x:c>
      <x:c r="H291">
        <x:f ca="1">IFERROR(IF(0=LEN(ReferenceData!$H$291),"",ReferenceData!$H$291),"")</x:f>
        <x:v>-24.508841</x:v>
      </x:c>
      <x:c r="I291">
        <x:f ca="1">IFERROR(IF(0=LEN(ReferenceData!$I$291),"",ReferenceData!$I$291),"")</x:f>
        <x:v>-23.955303000000001</x:v>
      </x:c>
      <x:c r="J291">
        <x:f ca="1">IFERROR(IF(0=LEN(ReferenceData!$J$291),"",ReferenceData!$J$291),"")</x:f>
        <x:v>-20.250101999999998</x:v>
      </x:c>
      <x:c r="K291">
        <x:f ca="1">IFERROR(IF(0=LEN(ReferenceData!$K$291),"",ReferenceData!$K$291),"")</x:f>
        <x:v>-2.6053860000000002</x:v>
      </x:c>
      <x:c r="L291">
        <x:f ca="1">IFERROR(IF(0=LEN(ReferenceData!$L$291),"",ReferenceData!$L$291),"")</x:f>
        <x:v>27.356662</x:v>
      </x:c>
      <x:c r="M291">
        <x:f ca="1">IFERROR(IF(0=LEN(ReferenceData!$M$291),"",ReferenceData!$M$291),"")</x:f>
        <x:v>27.340288999999999</x:v>
      </x:c>
      <x:c r="N291">
        <x:f ca="1">IFERROR(IF(0=LEN(ReferenceData!$N$291),"",ReferenceData!$N$291),"")</x:f>
        <x:v>-64.783021000000005</x:v>
      </x:c>
      <x:c r="O291">
        <x:f ca="1">IFERROR(IF(0=LEN(ReferenceData!$O$291),"",ReferenceData!$O$291),"")</x:f>
        <x:v>-65.627341000000001</x:v>
      </x:c>
      <x:c r="P291">
        <x:f ca="1">IFERROR(IF(0=LEN(ReferenceData!$P$291),"",ReferenceData!$P$291),"")</x:f>
        <x:v>66.881349</x:v>
      </x:c>
      <x:c r="Q291">
        <x:f ca="1">IFERROR(IF(0=LEN(ReferenceData!$Q$291),"",ReferenceData!$Q$291),"")</x:f>
        <x:v>2.2271079999999999</x:v>
      </x:c>
      <x:c r="R291">
        <x:f ca="1">IFERROR(IF(0=LEN(ReferenceData!$R$291),"",ReferenceData!$R$291),"")</x:f>
        <x:v>-67.665786999999995</x:v>
      </x:c>
      <x:c r="S291">
        <x:f ca="1">IFERROR(IF(0=LEN(ReferenceData!$S$291),"",ReferenceData!$S$291),"")</x:f>
        <x:v>13.717063</x:v>
      </x:c>
    </x:row>
    <x:row r="292" spans="1:19" x14ac:dyDescent="0.25">
      <x:c r="A292" t="str">
        <x:f>IFERROR(IF(0=LEN(ReferenceData!$A$292),"",ReferenceData!$A$292),"")</x:f>
        <x:v xml:space="preserve">        ProShares Ultra Health Care</x:v>
      </x:c>
      <x:c r="B292" t="str">
        <x:f>IFERROR(IF(0=LEN(ReferenceData!$B$292),"",ReferenceData!$B$292),"")</x:f>
        <x:v>RXL US Equity</x:v>
      </x:c>
      <x:c r="C292" t="str">
        <x:f>IFERROR(IF(0=LEN(ReferenceData!$C$292),"",ReferenceData!$C$292),"")</x:f>
        <x:v/>
      </x:c>
      <x:c r="D292" t="str">
        <x:f>IFERROR(IF(0=LEN(ReferenceData!$D$292),"",ReferenceData!$D$292),"")</x:f>
        <x:v/>
      </x:c>
      <x:c r="E292" t="str">
        <x:f>IFERROR(IF(0=LEN(ReferenceData!$E$292),"",ReferenceData!$E$292),"")</x:f>
        <x:v>Expression</x:v>
      </x:c>
      <x:c r="F292">
        <x:f ca="1">IFERROR(IF(0=LEN(ReferenceData!$F$292),"",ReferenceData!$F$292),"")</x:f>
        <x:v>-0.77117800000000003</x:v>
      </x:c>
      <x:c r="G292">
        <x:f ca="1">IFERROR(IF(0=LEN(ReferenceData!$G$292),"",ReferenceData!$G$292),"")</x:f>
        <x:v>-2.3838469999999998</x:v>
      </x:c>
      <x:c r="H292">
        <x:f ca="1">IFERROR(IF(0=LEN(ReferenceData!$H$292),"",ReferenceData!$H$292),"")</x:f>
        <x:v>-1.7178899999999999</x:v>
      </x:c>
      <x:c r="I292">
        <x:f ca="1">IFERROR(IF(0=LEN(ReferenceData!$I$292),"",ReferenceData!$I$292),"")</x:f>
        <x:v>1.7811779999999999</x:v>
      </x:c>
      <x:c r="J292">
        <x:f ca="1">IFERROR(IF(0=LEN(ReferenceData!$J$292),"",ReferenceData!$J$292),"")</x:f>
        <x:v>1.8539639999999999</x:v>
      </x:c>
      <x:c r="K292">
        <x:f ca="1">IFERROR(IF(0=LEN(ReferenceData!$K$292),"",ReferenceData!$K$292),"")</x:f>
        <x:v>-3.9288159999999999</x:v>
      </x:c>
      <x:c r="L292">
        <x:f ca="1">IFERROR(IF(0=LEN(ReferenceData!$L$292),"",ReferenceData!$L$292),"")</x:f>
        <x:v>0</x:v>
      </x:c>
      <x:c r="M292">
        <x:f ca="1">IFERROR(IF(0=LEN(ReferenceData!$M$292),"",ReferenceData!$M$292),"")</x:f>
        <x:v>0</x:v>
      </x:c>
      <x:c r="N292">
        <x:f ca="1">IFERROR(IF(0=LEN(ReferenceData!$N$292),"",ReferenceData!$N$292),"")</x:f>
        <x:v>-16.339252999999999</x:v>
      </x:c>
      <x:c r="O292">
        <x:f ca="1">IFERROR(IF(0=LEN(ReferenceData!$O$292),"",ReferenceData!$O$292),"")</x:f>
        <x:v>13.324260000000001</x:v>
      </x:c>
      <x:c r="P292">
        <x:f ca="1">IFERROR(IF(0=LEN(ReferenceData!$P$292),"",ReferenceData!$P$292),"")</x:f>
        <x:v>0</x:v>
      </x:c>
      <x:c r="Q292">
        <x:f ca="1">IFERROR(IF(0=LEN(ReferenceData!$Q$292),"",ReferenceData!$Q$292),"")</x:f>
        <x:v>-6.9831529999999997</x:v>
      </x:c>
      <x:c r="R292">
        <x:f ca="1">IFERROR(IF(0=LEN(ReferenceData!$R$292),"",ReferenceData!$R$292),"")</x:f>
        <x:v>9.1080299999999994</x:v>
      </x:c>
      <x:c r="S292">
        <x:f ca="1">IFERROR(IF(0=LEN(ReferenceData!$S$292),"",ReferenceData!$S$292),"")</x:f>
        <x:v>-9.7336449999999992</x:v>
      </x:c>
    </x:row>
    <x:row r="293" spans="1:19" x14ac:dyDescent="0.25">
      <x:c r="A293" t="str">
        <x:f>IFERROR(IF(0=LEN(ReferenceData!$A$293),"",ReferenceData!$A$293),"")</x:f>
        <x:v xml:space="preserve">        Invesco DWA Healthcare Momentu</x:v>
      </x:c>
      <x:c r="B293" t="str">
        <x:f>IFERROR(IF(0=LEN(ReferenceData!$B$293),"",ReferenceData!$B$293),"")</x:f>
        <x:v>PTH US Equity</x:v>
      </x:c>
      <x:c r="C293" t="str">
        <x:f>IFERROR(IF(0=LEN(ReferenceData!$C$293),"",ReferenceData!$C$293),"")</x:f>
        <x:v/>
      </x:c>
      <x:c r="D293" t="str">
        <x:f>IFERROR(IF(0=LEN(ReferenceData!$D$293),"",ReferenceData!$D$293),"")</x:f>
        <x:v/>
      </x:c>
      <x:c r="E293" t="str">
        <x:f>IFERROR(IF(0=LEN(ReferenceData!$E$293),"",ReferenceData!$E$293),"")</x:f>
        <x:v>Expression</x:v>
      </x:c>
      <x:c r="F293">
        <x:f ca="1">IFERROR(IF(0=LEN(ReferenceData!$F$293),"",ReferenceData!$F$293),"")</x:f>
        <x:v>-4.4758990000000001</x:v>
      </x:c>
      <x:c r="G293">
        <x:f ca="1">IFERROR(IF(0=LEN(ReferenceData!$G$293),"",ReferenceData!$G$293),"")</x:f>
        <x:v>-3.7604799999999998</x:v>
      </x:c>
      <x:c r="H293">
        <x:f ca="1">IFERROR(IF(0=LEN(ReferenceData!$H$293),"",ReferenceData!$H$293),"")</x:f>
        <x:v>-3.138344</x:v>
      </x:c>
      <x:c r="I293">
        <x:f ca="1">IFERROR(IF(0=LEN(ReferenceData!$I$293),"",ReferenceData!$I$293),"")</x:f>
        <x:v>-9.747719</x:v>
      </x:c>
      <x:c r="J293">
        <x:f ca="1">IFERROR(IF(0=LEN(ReferenceData!$J$293),"",ReferenceData!$J$293),"")</x:f>
        <x:v>-2.4025349999999999</x:v>
      </x:c>
      <x:c r="K293">
        <x:f ca="1">IFERROR(IF(0=LEN(ReferenceData!$K$293),"",ReferenceData!$K$293),"")</x:f>
        <x:v>-6.0753969999999997</x:v>
      </x:c>
      <x:c r="L293">
        <x:f ca="1">IFERROR(IF(0=LEN(ReferenceData!$L$293),"",ReferenceData!$L$293),"")</x:f>
        <x:v>-2.2456140000000002</x:v>
      </x:c>
      <x:c r="M293">
        <x:f ca="1">IFERROR(IF(0=LEN(ReferenceData!$M$293),"",ReferenceData!$M$293),"")</x:f>
        <x:v>-12.698383</x:v>
      </x:c>
      <x:c r="N293">
        <x:f ca="1">IFERROR(IF(0=LEN(ReferenceData!$N$293),"",ReferenceData!$N$293),"")</x:f>
        <x:v>-5.6097830000000002</x:v>
      </x:c>
      <x:c r="O293">
        <x:f ca="1">IFERROR(IF(0=LEN(ReferenceData!$O$293),"",ReferenceData!$O$293),"")</x:f>
        <x:v>-12.845209000000001</x:v>
      </x:c>
      <x:c r="P293">
        <x:f ca="1">IFERROR(IF(0=LEN(ReferenceData!$P$293),"",ReferenceData!$P$293),"")</x:f>
        <x:v>-1.2002729999999999</x:v>
      </x:c>
      <x:c r="Q293">
        <x:f ca="1">IFERROR(IF(0=LEN(ReferenceData!$Q$293),"",ReferenceData!$Q$293),"")</x:f>
        <x:v>-9.781962</x:v>
      </x:c>
      <x:c r="R293">
        <x:f ca="1">IFERROR(IF(0=LEN(ReferenceData!$R$293),"",ReferenceData!$R$293),"")</x:f>
        <x:v>-5.9488320000000003</x:v>
      </x:c>
      <x:c r="S293">
        <x:f ca="1">IFERROR(IF(0=LEN(ReferenceData!$S$293),"",ReferenceData!$S$293),"")</x:f>
        <x:v>-3.6503830000000002</x:v>
      </x:c>
    </x:row>
    <x:row r="294" spans="1:19" x14ac:dyDescent="0.25">
      <x:c r="A294" t="str">
        <x:f>IFERROR(IF(0=LEN(ReferenceData!$A$294),"",ReferenceData!$A$294),"")</x:f>
        <x:v xml:space="preserve">        SPDR S&amp;P International Health</x:v>
      </x:c>
      <x:c r="B294" t="str">
        <x:f>IFERROR(IF(0=LEN(ReferenceData!$B$294),"",ReferenceData!$B$294),"")</x:f>
        <x:v>IRY US Equity</x:v>
      </x:c>
      <x:c r="C294" t="str">
        <x:f>IFERROR(IF(0=LEN(ReferenceData!$C$294),"",ReferenceData!$C$294),"")</x:f>
        <x:v/>
      </x:c>
      <x:c r="D294" t="str">
        <x:f>IFERROR(IF(0=LEN(ReferenceData!$D$294),"",ReferenceData!$D$294),"")</x:f>
        <x:v/>
      </x:c>
      <x:c r="E294" t="str">
        <x:f>IFERROR(IF(0=LEN(ReferenceData!$E$294),"",ReferenceData!$E$294),"")</x:f>
        <x:v>Expression</x:v>
      </x:c>
      <x:c r="F294" t="str">
        <x:f ca="1">IFERROR(IF(0=LEN(ReferenceData!$F$294),"",ReferenceData!$F$294),"")</x:f>
        <x:v/>
      </x:c>
      <x:c r="G294" t="str">
        <x:f ca="1">IFERROR(IF(0=LEN(ReferenceData!$G$294),"",ReferenceData!$G$294),"")</x:f>
        <x:v/>
      </x:c>
      <x:c r="H294" t="str">
        <x:f ca="1">IFERROR(IF(0=LEN(ReferenceData!$H$294),"",ReferenceData!$H$294),"")</x:f>
        <x:v/>
      </x:c>
      <x:c r="I294" t="str">
        <x:f ca="1">IFERROR(IF(0=LEN(ReferenceData!$I$294),"",ReferenceData!$I$294),"")</x:f>
        <x:v/>
      </x:c>
      <x:c r="J294" t="str">
        <x:f ca="1">IFERROR(IF(0=LEN(ReferenceData!$J$294),"",ReferenceData!$J$294),"")</x:f>
        <x:v/>
      </x:c>
      <x:c r="K294" t="str">
        <x:f ca="1">IFERROR(IF(0=LEN(ReferenceData!$K$294),"",ReferenceData!$K$294),"")</x:f>
        <x:v/>
      </x:c>
      <x:c r="L294" t="str">
        <x:f ca="1">IFERROR(IF(0=LEN(ReferenceData!$L$294),"",ReferenceData!$L$294),"")</x:f>
        <x:v/>
      </x:c>
      <x:c r="M294" t="str">
        <x:f ca="1">IFERROR(IF(0=LEN(ReferenceData!$M$294),"",ReferenceData!$M$294),"")</x:f>
        <x:v/>
      </x:c>
      <x:c r="N294" t="str">
        <x:f ca="1">IFERROR(IF(0=LEN(ReferenceData!$N$294),"",ReferenceData!$N$294),"")</x:f>
        <x:v/>
      </x:c>
      <x:c r="O294" t="str">
        <x:f ca="1">IFERROR(IF(0=LEN(ReferenceData!$O$294),"",ReferenceData!$O$294),"")</x:f>
        <x:v/>
      </x:c>
      <x:c r="P294" t="str">
        <x:f ca="1">IFERROR(IF(0=LEN(ReferenceData!$P$294),"",ReferenceData!$P$294),"")</x:f>
        <x:v/>
      </x:c>
      <x:c r="Q294" t="str">
        <x:f ca="1">IFERROR(IF(0=LEN(ReferenceData!$Q$294),"",ReferenceData!$Q$294),"")</x:f>
        <x:v/>
      </x:c>
      <x:c r="R294" t="str">
        <x:f ca="1">IFERROR(IF(0=LEN(ReferenceData!$R$294),"",ReferenceData!$R$294),"")</x:f>
        <x:v/>
      </x:c>
      <x:c r="S294" t="str">
        <x:f ca="1">IFERROR(IF(0=LEN(ReferenceData!$S$294),"",ReferenceData!$S$294),"")</x:f>
        <x:v/>
      </x:c>
    </x:row>
    <x:row r="295" spans="1:19" x14ac:dyDescent="0.25">
      <x:c r="A295" t="str">
        <x:f>IFERROR(IF(0=LEN(ReferenceData!$A$295),"",ReferenceData!$A$295),"")</x:f>
        <x:v xml:space="preserve">        ProShares UltraShort Nasdaq Bi</x:v>
      </x:c>
      <x:c r="B295" t="str">
        <x:f>IFERROR(IF(0=LEN(ReferenceData!$B$295),"",ReferenceData!$B$295),"")</x:f>
        <x:v>BIS US Equity</x:v>
      </x:c>
      <x:c r="C295" t="str">
        <x:f>IFERROR(IF(0=LEN(ReferenceData!$C$295),"",ReferenceData!$C$295),"")</x:f>
        <x:v/>
      </x:c>
      <x:c r="D295" t="str">
        <x:f>IFERROR(IF(0=LEN(ReferenceData!$D$295),"",ReferenceData!$D$295),"")</x:f>
        <x:v/>
      </x:c>
      <x:c r="E295" t="str">
        <x:f>IFERROR(IF(0=LEN(ReferenceData!$E$295),"",ReferenceData!$E$295),"")</x:f>
        <x:v>Expression</x:v>
      </x:c>
      <x:c r="F295">
        <x:f ca="1">IFERROR(IF(0=LEN(ReferenceData!$F$295),"",ReferenceData!$F$295),"")</x:f>
        <x:v>-0.63234999999999997</x:v>
      </x:c>
      <x:c r="G295">
        <x:f ca="1">IFERROR(IF(0=LEN(ReferenceData!$G$295),"",ReferenceData!$G$295),"")</x:f>
        <x:v>-4.0605000000000002E-2</x:v>
      </x:c>
      <x:c r="H295">
        <x:f ca="1">IFERROR(IF(0=LEN(ReferenceData!$H$295),"",ReferenceData!$H$295),"")</x:f>
        <x:v>0</x:v>
      </x:c>
      <x:c r="I295">
        <x:f ca="1">IFERROR(IF(0=LEN(ReferenceData!$I$295),"",ReferenceData!$I$295),"")</x:f>
        <x:v>-0.522173</x:v>
      </x:c>
      <x:c r="J295">
        <x:f ca="1">IFERROR(IF(0=LEN(ReferenceData!$J$295),"",ReferenceData!$J$295),"")</x:f>
        <x:v>0</x:v>
      </x:c>
      <x:c r="K295">
        <x:f ca="1">IFERROR(IF(0=LEN(ReferenceData!$K$295),"",ReferenceData!$K$295),"")</x:f>
        <x:v>0</x:v>
      </x:c>
      <x:c r="L295">
        <x:f ca="1">IFERROR(IF(0=LEN(ReferenceData!$L$295),"",ReferenceData!$L$295),"")</x:f>
        <x:v>0</x:v>
      </x:c>
      <x:c r="M295">
        <x:f ca="1">IFERROR(IF(0=LEN(ReferenceData!$M$295),"",ReferenceData!$M$295),"")</x:f>
        <x:v>-0.96110300000000004</x:v>
      </x:c>
      <x:c r="N295">
        <x:f ca="1">IFERROR(IF(0=LEN(ReferenceData!$N$295),"",ReferenceData!$N$295),"")</x:f>
        <x:v>1.6032949999999999</x:v>
      </x:c>
      <x:c r="O295">
        <x:f ca="1">IFERROR(IF(0=LEN(ReferenceData!$O$295),"",ReferenceData!$O$295),"")</x:f>
        <x:v>-0.50240499999999999</x:v>
      </x:c>
      <x:c r="P295">
        <x:f ca="1">IFERROR(IF(0=LEN(ReferenceData!$P$295),"",ReferenceData!$P$295),"")</x:f>
        <x:v>-1.883675</x:v>
      </x:c>
      <x:c r="Q295">
        <x:f ca="1">IFERROR(IF(0=LEN(ReferenceData!$Q$295),"",ReferenceData!$Q$295),"")</x:f>
        <x:v>1.032632</x:v>
      </x:c>
      <x:c r="R295">
        <x:f ca="1">IFERROR(IF(0=LEN(ReferenceData!$R$295),"",ReferenceData!$R$295),"")</x:f>
        <x:v>0</x:v>
      </x:c>
      <x:c r="S295">
        <x:f ca="1">IFERROR(IF(0=LEN(ReferenceData!$S$295),"",ReferenceData!$S$295),"")</x:f>
        <x:v>-1.1536500000000001</x:v>
      </x:c>
    </x:row>
    <x:row r="296" spans="1:19" x14ac:dyDescent="0.25">
      <x:c r="A296" t="str">
        <x:f>IFERROR(IF(0=LEN(ReferenceData!$A$296),"",ReferenceData!$A$296),"")</x:f>
        <x:v xml:space="preserve">        Virtus LifeSci Biotech Product</x:v>
      </x:c>
      <x:c r="B296" t="str">
        <x:f>IFERROR(IF(0=LEN(ReferenceData!$B$296),"",ReferenceData!$B$296),"")</x:f>
        <x:v>BBP US Equity</x:v>
      </x:c>
      <x:c r="C296" t="str">
        <x:f>IFERROR(IF(0=LEN(ReferenceData!$C$296),"",ReferenceData!$C$296),"")</x:f>
        <x:v/>
      </x:c>
      <x:c r="D296" t="str">
        <x:f>IFERROR(IF(0=LEN(ReferenceData!$D$296),"",ReferenceData!$D$296),"")</x:f>
        <x:v/>
      </x:c>
      <x:c r="E296" t="str">
        <x:f>IFERROR(IF(0=LEN(ReferenceData!$E$296),"",ReferenceData!$E$296),"")</x:f>
        <x:v>Expression</x:v>
      </x:c>
      <x:c r="F296">
        <x:f ca="1">IFERROR(IF(0=LEN(ReferenceData!$F$296),"",ReferenceData!$F$296),"")</x:f>
        <x:v>0</x:v>
      </x:c>
      <x:c r="G296">
        <x:f ca="1">IFERROR(IF(0=LEN(ReferenceData!$G$296),"",ReferenceData!$G$296),"")</x:f>
        <x:v>0</x:v>
      </x:c>
      <x:c r="H296">
        <x:f ca="1">IFERROR(IF(0=LEN(ReferenceData!$H$296),"",ReferenceData!$H$296),"")</x:f>
        <x:v>0</x:v>
      </x:c>
      <x:c r="I296">
        <x:f ca="1">IFERROR(IF(0=LEN(ReferenceData!$I$296),"",ReferenceData!$I$296),"")</x:f>
        <x:v>-2.6504500000000002</x:v>
      </x:c>
      <x:c r="J296">
        <x:f ca="1">IFERROR(IF(0=LEN(ReferenceData!$J$296),"",ReferenceData!$J$296),"")</x:f>
        <x:v>0</x:v>
      </x:c>
      <x:c r="K296">
        <x:f ca="1">IFERROR(IF(0=LEN(ReferenceData!$K$296),"",ReferenceData!$K$296),"")</x:f>
        <x:v>0</x:v>
      </x:c>
      <x:c r="L296">
        <x:f ca="1">IFERROR(IF(0=LEN(ReferenceData!$L$296),"",ReferenceData!$L$296),"")</x:f>
        <x:v>0</x:v>
      </x:c>
      <x:c r="M296">
        <x:f ca="1">IFERROR(IF(0=LEN(ReferenceData!$M$296),"",ReferenceData!$M$296),"")</x:f>
        <x:v>0</x:v>
      </x:c>
      <x:c r="N296">
        <x:f ca="1">IFERROR(IF(0=LEN(ReferenceData!$N$296),"",ReferenceData!$N$296),"")</x:f>
        <x:v>0</x:v>
      </x:c>
      <x:c r="O296">
        <x:f ca="1">IFERROR(IF(0=LEN(ReferenceData!$O$296),"",ReferenceData!$O$296),"")</x:f>
        <x:v>0</x:v>
      </x:c>
      <x:c r="P296">
        <x:f ca="1">IFERROR(IF(0=LEN(ReferenceData!$P$296),"",ReferenceData!$P$296),"")</x:f>
        <x:v>0</x:v>
      </x:c>
      <x:c r="Q296">
        <x:f ca="1">IFERROR(IF(0=LEN(ReferenceData!$Q$296),"",ReferenceData!$Q$296),"")</x:f>
        <x:v>0</x:v>
      </x:c>
      <x:c r="R296">
        <x:f ca="1">IFERROR(IF(0=LEN(ReferenceData!$R$296),"",ReferenceData!$R$296),"")</x:f>
        <x:v>0</x:v>
      </x:c>
      <x:c r="S296">
        <x:f ca="1">IFERROR(IF(0=LEN(ReferenceData!$S$296),"",ReferenceData!$S$296),"")</x:f>
        <x:v>0</x:v>
      </x:c>
    </x:row>
    <x:row r="297" spans="1:19" x14ac:dyDescent="0.25">
      <x:c r="A297" t="str">
        <x:f>IFERROR(IF(0=LEN(ReferenceData!$A$297),"",ReferenceData!$A$297),"")</x:f>
        <x:v xml:space="preserve">        Proshares UltraPro NASDAQ Biot</x:v>
      </x:c>
      <x:c r="B297" t="str">
        <x:f>IFERROR(IF(0=LEN(ReferenceData!$B$297),"",ReferenceData!$B$297),"")</x:f>
        <x:v>UBIO US Equity</x:v>
      </x:c>
      <x:c r="C297" t="str">
        <x:f>IFERROR(IF(0=LEN(ReferenceData!$C$297),"",ReferenceData!$C$297),"")</x:f>
        <x:v/>
      </x:c>
      <x:c r="D297" t="str">
        <x:f>IFERROR(IF(0=LEN(ReferenceData!$D$297),"",ReferenceData!$D$297),"")</x:f>
        <x:v/>
      </x:c>
      <x:c r="E297" t="str">
        <x:f>IFERROR(IF(0=LEN(ReferenceData!$E$297),"",ReferenceData!$E$297),"")</x:f>
        <x:v>Expression</x:v>
      </x:c>
      <x:c r="F297" t="str">
        <x:f ca="1">IFERROR(IF(0=LEN(ReferenceData!$F$297),"",ReferenceData!$F$297),"")</x:f>
        <x:v/>
      </x:c>
      <x:c r="G297" t="str">
        <x:f ca="1">IFERROR(IF(0=LEN(ReferenceData!$G$297),"",ReferenceData!$G$297),"")</x:f>
        <x:v/>
      </x:c>
      <x:c r="H297" t="str">
        <x:f ca="1">IFERROR(IF(0=LEN(ReferenceData!$H$297),"",ReferenceData!$H$297),"")</x:f>
        <x:v/>
      </x:c>
      <x:c r="I297" t="str">
        <x:f ca="1">IFERROR(IF(0=LEN(ReferenceData!$I$297),"",ReferenceData!$I$297),"")</x:f>
        <x:v/>
      </x:c>
      <x:c r="J297" t="str">
        <x:f ca="1">IFERROR(IF(0=LEN(ReferenceData!$J$297),"",ReferenceData!$J$297),"")</x:f>
        <x:v/>
      </x:c>
      <x:c r="K297" t="str">
        <x:f ca="1">IFERROR(IF(0=LEN(ReferenceData!$K$297),"",ReferenceData!$K$297),"")</x:f>
        <x:v/>
      </x:c>
      <x:c r="L297" t="str">
        <x:f ca="1">IFERROR(IF(0=LEN(ReferenceData!$L$297),"",ReferenceData!$L$297),"")</x:f>
        <x:v/>
      </x:c>
      <x:c r="M297" t="str">
        <x:f ca="1">IFERROR(IF(0=LEN(ReferenceData!$M$297),"",ReferenceData!$M$297),"")</x:f>
        <x:v/>
      </x:c>
      <x:c r="N297" t="str">
        <x:f ca="1">IFERROR(IF(0=LEN(ReferenceData!$N$297),"",ReferenceData!$N$297),"")</x:f>
        <x:v/>
      </x:c>
      <x:c r="O297" t="str">
        <x:f ca="1">IFERROR(IF(0=LEN(ReferenceData!$O$297),"",ReferenceData!$O$297),"")</x:f>
        <x:v/>
      </x:c>
      <x:c r="P297" t="str">
        <x:f ca="1">IFERROR(IF(0=LEN(ReferenceData!$P$297),"",ReferenceData!$P$297),"")</x:f>
        <x:v/>
      </x:c>
      <x:c r="Q297" t="str">
        <x:f ca="1">IFERROR(IF(0=LEN(ReferenceData!$Q$297),"",ReferenceData!$Q$297),"")</x:f>
        <x:v/>
      </x:c>
      <x:c r="R297" t="str">
        <x:f ca="1">IFERROR(IF(0=LEN(ReferenceData!$R$297),"",ReferenceData!$R$297),"")</x:f>
        <x:v/>
      </x:c>
      <x:c r="S297" t="str">
        <x:f ca="1">IFERROR(IF(0=LEN(ReferenceData!$S$297),"",ReferenceData!$S$297),"")</x:f>
        <x:v/>
      </x:c>
    </x:row>
    <x:row r="298" spans="1:19" x14ac:dyDescent="0.25">
      <x:c r="A298" t="str">
        <x:f>IFERROR(IF(0=LEN(ReferenceData!$A$298),"",ReferenceData!$A$298),"")</x:f>
        <x:v xml:space="preserve">        John Hancock Multi-Factor Heal</x:v>
      </x:c>
      <x:c r="B298" t="str">
        <x:f>IFERROR(IF(0=LEN(ReferenceData!$B$298),"",ReferenceData!$B$298),"")</x:f>
        <x:v>JHMH US Equity</x:v>
      </x:c>
      <x:c r="C298" t="str">
        <x:f>IFERROR(IF(0=LEN(ReferenceData!$C$298),"",ReferenceData!$C$298),"")</x:f>
        <x:v/>
      </x:c>
      <x:c r="D298" t="str">
        <x:f>IFERROR(IF(0=LEN(ReferenceData!$D$298),"",ReferenceData!$D$298),"")</x:f>
        <x:v/>
      </x:c>
      <x:c r="E298" t="str">
        <x:f>IFERROR(IF(0=LEN(ReferenceData!$E$298),"",ReferenceData!$E$298),"")</x:f>
        <x:v>Expression</x:v>
      </x:c>
      <x:c r="F298" t="str">
        <x:f ca="1">IFERROR(IF(0=LEN(ReferenceData!$F$298),"",ReferenceData!$F$298),"")</x:f>
        <x:v/>
      </x:c>
      <x:c r="G298" t="str">
        <x:f ca="1">IFERROR(IF(0=LEN(ReferenceData!$G$298),"",ReferenceData!$G$298),"")</x:f>
        <x:v/>
      </x:c>
      <x:c r="H298" t="str">
        <x:f ca="1">IFERROR(IF(0=LEN(ReferenceData!$H$298),"",ReferenceData!$H$298),"")</x:f>
        <x:v/>
      </x:c>
      <x:c r="I298" t="str">
        <x:f ca="1">IFERROR(IF(0=LEN(ReferenceData!$I$298),"",ReferenceData!$I$298),"")</x:f>
        <x:v/>
      </x:c>
      <x:c r="J298" t="str">
        <x:f ca="1">IFERROR(IF(0=LEN(ReferenceData!$J$298),"",ReferenceData!$J$298),"")</x:f>
        <x:v/>
      </x:c>
      <x:c r="K298" t="str">
        <x:f ca="1">IFERROR(IF(0=LEN(ReferenceData!$K$298),"",ReferenceData!$K$298),"")</x:f>
        <x:v/>
      </x:c>
      <x:c r="L298" t="str">
        <x:f ca="1">IFERROR(IF(0=LEN(ReferenceData!$L$298),"",ReferenceData!$L$298),"")</x:f>
        <x:v/>
      </x:c>
      <x:c r="M298" t="str">
        <x:f ca="1">IFERROR(IF(0=LEN(ReferenceData!$M$298),"",ReferenceData!$M$298),"")</x:f>
        <x:v/>
      </x:c>
      <x:c r="N298" t="str">
        <x:f ca="1">IFERROR(IF(0=LEN(ReferenceData!$N$298),"",ReferenceData!$N$298),"")</x:f>
        <x:v/>
      </x:c>
      <x:c r="O298" t="str">
        <x:f ca="1">IFERROR(IF(0=LEN(ReferenceData!$O$298),"",ReferenceData!$O$298),"")</x:f>
        <x:v/>
      </x:c>
      <x:c r="P298" t="str">
        <x:f ca="1">IFERROR(IF(0=LEN(ReferenceData!$P$298),"",ReferenceData!$P$298),"")</x:f>
        <x:v/>
      </x:c>
      <x:c r="Q298" t="str">
        <x:f ca="1">IFERROR(IF(0=LEN(ReferenceData!$Q$298),"",ReferenceData!$Q$298),"")</x:f>
        <x:v/>
      </x:c>
      <x:c r="R298" t="str">
        <x:f ca="1">IFERROR(IF(0=LEN(ReferenceData!$R$298),"",ReferenceData!$R$298),"")</x:f>
        <x:v/>
      </x:c>
      <x:c r="S298">
        <x:f ca="1">IFERROR(IF(0=LEN(ReferenceData!$S$298),"",ReferenceData!$S$298),"")</x:f>
        <x:v>-13.69833</x:v>
      </x:c>
    </x:row>
    <x:row r="299" spans="1:19" x14ac:dyDescent="0.25">
      <x:c r="A299" t="str">
        <x:f>IFERROR(IF(0=LEN(ReferenceData!$A$299),"",ReferenceData!$A$299),"")</x:f>
        <x:v xml:space="preserve">        Virtus LifeSci Biotech Clinica</x:v>
      </x:c>
      <x:c r="B299" t="str">
        <x:f>IFERROR(IF(0=LEN(ReferenceData!$B$299),"",ReferenceData!$B$299),"")</x:f>
        <x:v>BBC US Equity</x:v>
      </x:c>
      <x:c r="C299" t="str">
        <x:f>IFERROR(IF(0=LEN(ReferenceData!$C$299),"",ReferenceData!$C$299),"")</x:f>
        <x:v/>
      </x:c>
      <x:c r="D299" t="str">
        <x:f>IFERROR(IF(0=LEN(ReferenceData!$D$299),"",ReferenceData!$D$299),"")</x:f>
        <x:v/>
      </x:c>
      <x:c r="E299" t="str">
        <x:f>IFERROR(IF(0=LEN(ReferenceData!$E$299),"",ReferenceData!$E$299),"")</x:f>
        <x:v>Expression</x:v>
      </x:c>
      <x:c r="F299">
        <x:f ca="1">IFERROR(IF(0=LEN(ReferenceData!$F$299),"",ReferenceData!$F$299),"")</x:f>
        <x:v>0</x:v>
      </x:c>
      <x:c r="G299">
        <x:f ca="1">IFERROR(IF(0=LEN(ReferenceData!$G$299),"",ReferenceData!$G$299),"")</x:f>
        <x:v>0</x:v>
      </x:c>
      <x:c r="H299">
        <x:f ca="1">IFERROR(IF(0=LEN(ReferenceData!$H$299),"",ReferenceData!$H$299),"")</x:f>
        <x:v>0</x:v>
      </x:c>
      <x:c r="I299">
        <x:f ca="1">IFERROR(IF(0=LEN(ReferenceData!$I$299),"",ReferenceData!$I$299),"")</x:f>
        <x:v>-1.1205080000000001</x:v>
      </x:c>
      <x:c r="J299">
        <x:f ca="1">IFERROR(IF(0=LEN(ReferenceData!$J$299),"",ReferenceData!$J$299),"")</x:f>
        <x:v>0</x:v>
      </x:c>
      <x:c r="K299">
        <x:f ca="1">IFERROR(IF(0=LEN(ReferenceData!$K$299),"",ReferenceData!$K$299),"")</x:f>
        <x:v>0</x:v>
      </x:c>
      <x:c r="L299">
        <x:f ca="1">IFERROR(IF(0=LEN(ReferenceData!$L$299),"",ReferenceData!$L$299),"")</x:f>
        <x:v>0</x:v>
      </x:c>
      <x:c r="M299">
        <x:f ca="1">IFERROR(IF(0=LEN(ReferenceData!$M$299),"",ReferenceData!$M$299),"")</x:f>
        <x:v>0</x:v>
      </x:c>
      <x:c r="N299">
        <x:f ca="1">IFERROR(IF(0=LEN(ReferenceData!$N$299),"",ReferenceData!$N$299),"")</x:f>
        <x:v>-1.098873</x:v>
      </x:c>
      <x:c r="O299">
        <x:f ca="1">IFERROR(IF(0=LEN(ReferenceData!$O$299),"",ReferenceData!$O$299),"")</x:f>
        <x:v>-1.3310059999999999</x:v>
      </x:c>
      <x:c r="P299">
        <x:f ca="1">IFERROR(IF(0=LEN(ReferenceData!$P$299),"",ReferenceData!$P$299),"")</x:f>
        <x:v>-2.5819939999999999</x:v>
      </x:c>
      <x:c r="Q299">
        <x:f ca="1">IFERROR(IF(0=LEN(ReferenceData!$Q$299),"",ReferenceData!$Q$299),"")</x:f>
        <x:v>0</x:v>
      </x:c>
      <x:c r="R299">
        <x:f ca="1">IFERROR(IF(0=LEN(ReferenceData!$R$299),"",ReferenceData!$R$299),"")</x:f>
        <x:v>0</x:v>
      </x:c>
      <x:c r="S299">
        <x:f ca="1">IFERROR(IF(0=LEN(ReferenceData!$S$299),"",ReferenceData!$S$299),"")</x:f>
        <x:v>0</x:v>
      </x:c>
    </x:row>
    <x:row r="300" spans="1:19" x14ac:dyDescent="0.25">
      <x:c r="A300" t="str">
        <x:f>IFERROR(IF(0=LEN(ReferenceData!$A$300),"",ReferenceData!$A$300),"")</x:f>
        <x:v xml:space="preserve">        The Long-Term Care ETF</x:v>
      </x:c>
      <x:c r="B300" t="str">
        <x:f>IFERROR(IF(0=LEN(ReferenceData!$B$300),"",ReferenceData!$B$300),"")</x:f>
        <x:v>OLD US Equity</x:v>
      </x:c>
      <x:c r="C300" t="str">
        <x:f>IFERROR(IF(0=LEN(ReferenceData!$C$300),"",ReferenceData!$C$300),"")</x:f>
        <x:v/>
      </x:c>
      <x:c r="D300" t="str">
        <x:f>IFERROR(IF(0=LEN(ReferenceData!$D$300),"",ReferenceData!$D$300),"")</x:f>
        <x:v/>
      </x:c>
      <x:c r="E300" t="str">
        <x:f>IFERROR(IF(0=LEN(ReferenceData!$E$300),"",ReferenceData!$E$300),"")</x:f>
        <x:v>Expression</x:v>
      </x:c>
      <x:c r="F300" t="str">
        <x:f ca="1">IFERROR(IF(0=LEN(ReferenceData!$F$300),"",ReferenceData!$F$300),"")</x:f>
        <x:v/>
      </x:c>
      <x:c r="G300" t="str">
        <x:f ca="1">IFERROR(IF(0=LEN(ReferenceData!$G$300),"",ReferenceData!$G$300),"")</x:f>
        <x:v/>
      </x:c>
      <x:c r="H300" t="str">
        <x:f ca="1">IFERROR(IF(0=LEN(ReferenceData!$H$300),"",ReferenceData!$H$300),"")</x:f>
        <x:v/>
      </x:c>
      <x:c r="I300" t="str">
        <x:f ca="1">IFERROR(IF(0=LEN(ReferenceData!$I$300),"",ReferenceData!$I$300),"")</x:f>
        <x:v/>
      </x:c>
      <x:c r="J300" t="str">
        <x:f ca="1">IFERROR(IF(0=LEN(ReferenceData!$J$300),"",ReferenceData!$J$300),"")</x:f>
        <x:v/>
      </x:c>
      <x:c r="K300" t="str">
        <x:f ca="1">IFERROR(IF(0=LEN(ReferenceData!$K$300),"",ReferenceData!$K$300),"")</x:f>
        <x:v/>
      </x:c>
      <x:c r="L300" t="str">
        <x:f ca="1">IFERROR(IF(0=LEN(ReferenceData!$L$300),"",ReferenceData!$L$300),"")</x:f>
        <x:v/>
      </x:c>
      <x:c r="M300" t="str">
        <x:f ca="1">IFERROR(IF(0=LEN(ReferenceData!$M$300),"",ReferenceData!$M$300),"")</x:f>
        <x:v/>
      </x:c>
      <x:c r="N300" t="str">
        <x:f ca="1">IFERROR(IF(0=LEN(ReferenceData!$N$300),"",ReferenceData!$N$300),"")</x:f>
        <x:v/>
      </x:c>
      <x:c r="O300" t="str">
        <x:f ca="1">IFERROR(IF(0=LEN(ReferenceData!$O$300),"",ReferenceData!$O$300),"")</x:f>
        <x:v/>
      </x:c>
      <x:c r="P300" t="str">
        <x:f ca="1">IFERROR(IF(0=LEN(ReferenceData!$P$300),"",ReferenceData!$P$300),"")</x:f>
        <x:v/>
      </x:c>
      <x:c r="Q300" t="str">
        <x:f ca="1">IFERROR(IF(0=LEN(ReferenceData!$Q$300),"",ReferenceData!$Q$300),"")</x:f>
        <x:v/>
      </x:c>
      <x:c r="R300" t="str">
        <x:f ca="1">IFERROR(IF(0=LEN(ReferenceData!$R$300),"",ReferenceData!$R$300),"")</x:f>
        <x:v/>
      </x:c>
      <x:c r="S300" t="str">
        <x:f ca="1">IFERROR(IF(0=LEN(ReferenceData!$S$300),"",ReferenceData!$S$300),"")</x:f>
        <x:v/>
      </x:c>
    </x:row>
    <x:row r="301" spans="1:19" x14ac:dyDescent="0.25">
      <x:c r="A301" t="str">
        <x:f>IFERROR(IF(0=LEN(ReferenceData!$A$301),"",ReferenceData!$A$301),"")</x:f>
        <x:v xml:space="preserve">        ProShares UltraPro Short NASDA</x:v>
      </x:c>
      <x:c r="B301" t="str">
        <x:f>IFERROR(IF(0=LEN(ReferenceData!$B$301),"",ReferenceData!$B$301),"")</x:f>
        <x:v>ZBIO US Equity</x:v>
      </x:c>
      <x:c r="C301" t="str">
        <x:f>IFERROR(IF(0=LEN(ReferenceData!$C$301),"",ReferenceData!$C$301),"")</x:f>
        <x:v/>
      </x:c>
      <x:c r="D301" t="str">
        <x:f>IFERROR(IF(0=LEN(ReferenceData!$D$301),"",ReferenceData!$D$301),"")</x:f>
        <x:v/>
      </x:c>
      <x:c r="E301" t="str">
        <x:f>IFERROR(IF(0=LEN(ReferenceData!$E$301),"",ReferenceData!$E$301),"")</x:f>
        <x:v>Expression</x:v>
      </x:c>
      <x:c r="F301" t="str">
        <x:f ca="1">IFERROR(IF(0=LEN(ReferenceData!$F$301),"",ReferenceData!$F$301),"")</x:f>
        <x:v/>
      </x:c>
      <x:c r="G301" t="str">
        <x:f ca="1">IFERROR(IF(0=LEN(ReferenceData!$G$301),"",ReferenceData!$G$301),"")</x:f>
        <x:v/>
      </x:c>
      <x:c r="H301" t="str">
        <x:f ca="1">IFERROR(IF(0=LEN(ReferenceData!$H$301),"",ReferenceData!$H$301),"")</x:f>
        <x:v/>
      </x:c>
      <x:c r="I301" t="str">
        <x:f ca="1">IFERROR(IF(0=LEN(ReferenceData!$I$301),"",ReferenceData!$I$301),"")</x:f>
        <x:v/>
      </x:c>
      <x:c r="J301" t="str">
        <x:f ca="1">IFERROR(IF(0=LEN(ReferenceData!$J$301),"",ReferenceData!$J$301),"")</x:f>
        <x:v/>
      </x:c>
      <x:c r="K301" t="str">
        <x:f ca="1">IFERROR(IF(0=LEN(ReferenceData!$K$301),"",ReferenceData!$K$301),"")</x:f>
        <x:v/>
      </x:c>
      <x:c r="L301" t="str">
        <x:f ca="1">IFERROR(IF(0=LEN(ReferenceData!$L$301),"",ReferenceData!$L$301),"")</x:f>
        <x:v/>
      </x:c>
      <x:c r="M301" t="str">
        <x:f ca="1">IFERROR(IF(0=LEN(ReferenceData!$M$301),"",ReferenceData!$M$301),"")</x:f>
        <x:v/>
      </x:c>
      <x:c r="N301" t="str">
        <x:f ca="1">IFERROR(IF(0=LEN(ReferenceData!$N$301),"",ReferenceData!$N$301),"")</x:f>
        <x:v/>
      </x:c>
      <x:c r="O301" t="str">
        <x:f ca="1">IFERROR(IF(0=LEN(ReferenceData!$O$301),"",ReferenceData!$O$301),"")</x:f>
        <x:v/>
      </x:c>
      <x:c r="P301" t="str">
        <x:f ca="1">IFERROR(IF(0=LEN(ReferenceData!$P$301),"",ReferenceData!$P$301),"")</x:f>
        <x:v/>
      </x:c>
      <x:c r="Q301" t="str">
        <x:f ca="1">IFERROR(IF(0=LEN(ReferenceData!$Q$301),"",ReferenceData!$Q$301),"")</x:f>
        <x:v/>
      </x:c>
      <x:c r="R301" t="str">
        <x:f ca="1">IFERROR(IF(0=LEN(ReferenceData!$R$301),"",ReferenceData!$R$301),"")</x:f>
        <x:v/>
      </x:c>
      <x:c r="S301" t="str">
        <x:f ca="1">IFERROR(IF(0=LEN(ReferenceData!$S$301),"",ReferenceData!$S$301),"")</x:f>
        <x:v/>
      </x:c>
    </x:row>
    <x:row r="302" spans="1:19" x14ac:dyDescent="0.25">
      <x:c r="A302" t="str">
        <x:f>IFERROR(IF(0=LEN(ReferenceData!$A$302),"",ReferenceData!$A$302),"")</x:f>
        <x:v xml:space="preserve">        Principal Healthcare Innovator</x:v>
      </x:c>
      <x:c r="B302" t="str">
        <x:f>IFERROR(IF(0=LEN(ReferenceData!$B$302),"",ReferenceData!$B$302),"")</x:f>
        <x:v>BTEC US Equity</x:v>
      </x:c>
      <x:c r="C302" t="str">
        <x:f>IFERROR(IF(0=LEN(ReferenceData!$C$302),"",ReferenceData!$C$302),"")</x:f>
        <x:v/>
      </x:c>
      <x:c r="D302" t="str">
        <x:f>IFERROR(IF(0=LEN(ReferenceData!$D$302),"",ReferenceData!$D$302),"")</x:f>
        <x:v/>
      </x:c>
      <x:c r="E302" t="str">
        <x:f>IFERROR(IF(0=LEN(ReferenceData!$E$302),"",ReferenceData!$E$302),"")</x:f>
        <x:v>Expression</x:v>
      </x:c>
      <x:c r="F302">
        <x:f ca="1">IFERROR(IF(0=LEN(ReferenceData!$F$302),"",ReferenceData!$F$302),"")</x:f>
        <x:v>-1.11093</x:v>
      </x:c>
      <x:c r="G302">
        <x:f ca="1">IFERROR(IF(0=LEN(ReferenceData!$G$302),"",ReferenceData!$G$302),"")</x:f>
        <x:v>-1.4616119999999999</x:v>
      </x:c>
      <x:c r="H302">
        <x:f ca="1">IFERROR(IF(0=LEN(ReferenceData!$H$302),"",ReferenceData!$H$302),"")</x:f>
        <x:v>-1.537166</x:v>
      </x:c>
      <x:c r="I302">
        <x:f ca="1">IFERROR(IF(0=LEN(ReferenceData!$I$302),"",ReferenceData!$I$302),"")</x:f>
        <x:v>0</x:v>
      </x:c>
      <x:c r="J302">
        <x:f ca="1">IFERROR(IF(0=LEN(ReferenceData!$J$302),"",ReferenceData!$J$302),"")</x:f>
        <x:v>1.783852</x:v>
      </x:c>
      <x:c r="K302">
        <x:f ca="1">IFERROR(IF(0=LEN(ReferenceData!$K$302),"",ReferenceData!$K$302),"")</x:f>
        <x:v>0</x:v>
      </x:c>
      <x:c r="L302">
        <x:f ca="1">IFERROR(IF(0=LEN(ReferenceData!$L$302),"",ReferenceData!$L$302),"")</x:f>
        <x:v>0</x:v>
      </x:c>
      <x:c r="M302">
        <x:f ca="1">IFERROR(IF(0=LEN(ReferenceData!$M$302),"",ReferenceData!$M$302),"")</x:f>
        <x:v>-1.7624850000000001</x:v>
      </x:c>
      <x:c r="N302">
        <x:f ca="1">IFERROR(IF(0=LEN(ReferenceData!$N$302),"",ReferenceData!$N$302),"")</x:f>
        <x:v>-1.620312</x:v>
      </x:c>
      <x:c r="O302">
        <x:f ca="1">IFERROR(IF(0=LEN(ReferenceData!$O$302),"",ReferenceData!$O$302),"")</x:f>
        <x:v>0</x:v>
      </x:c>
      <x:c r="P302">
        <x:f ca="1">IFERROR(IF(0=LEN(ReferenceData!$P$302),"",ReferenceData!$P$302),"")</x:f>
        <x:v>-1.6886110000000001</x:v>
      </x:c>
      <x:c r="Q302">
        <x:f ca="1">IFERROR(IF(0=LEN(ReferenceData!$Q$302),"",ReferenceData!$Q$302),"")</x:f>
        <x:v>0</x:v>
      </x:c>
      <x:c r="R302">
        <x:f ca="1">IFERROR(IF(0=LEN(ReferenceData!$R$302),"",ReferenceData!$R$302),"")</x:f>
        <x:v>0</x:v>
      </x:c>
      <x:c r="S302">
        <x:f ca="1">IFERROR(IF(0=LEN(ReferenceData!$S$302),"",ReferenceData!$S$302),"")</x:f>
        <x:v>-1.743366</x:v>
      </x:c>
    </x:row>
    <x:row r="303" spans="1:19" x14ac:dyDescent="0.25">
      <x:c r="A303" t="str">
        <x:f>IFERROR(IF(0=LEN(ReferenceData!$A$303),"",ReferenceData!$A$303),"")</x:f>
        <x:v xml:space="preserve">        WisdomTree Japan Hedged Health</x:v>
      </x:c>
      <x:c r="B303" t="str">
        <x:f>IFERROR(IF(0=LEN(ReferenceData!$B$303),"",ReferenceData!$B$303),"")</x:f>
        <x:v>DXJH US Equity</x:v>
      </x:c>
      <x:c r="C303" t="str">
        <x:f>IFERROR(IF(0=LEN(ReferenceData!$C$303),"",ReferenceData!$C$303),"")</x:f>
        <x:v/>
      </x:c>
      <x:c r="D303" t="str">
        <x:f>IFERROR(IF(0=LEN(ReferenceData!$D$303),"",ReferenceData!$D$303),"")</x:f>
        <x:v/>
      </x:c>
      <x:c r="E303" t="str">
        <x:f>IFERROR(IF(0=LEN(ReferenceData!$E$303),"",ReferenceData!$E$303),"")</x:f>
        <x:v>Expression</x:v>
      </x:c>
      <x:c r="F303" t="str">
        <x:f ca="1">IFERROR(IF(0=LEN(ReferenceData!$F$303),"",ReferenceData!$F$303),"")</x:f>
        <x:v/>
      </x:c>
      <x:c r="G303" t="str">
        <x:f ca="1">IFERROR(IF(0=LEN(ReferenceData!$G$303),"",ReferenceData!$G$303),"")</x:f>
        <x:v/>
      </x:c>
      <x:c r="H303" t="str">
        <x:f ca="1">IFERROR(IF(0=LEN(ReferenceData!$H$303),"",ReferenceData!$H$303),"")</x:f>
        <x:v/>
      </x:c>
      <x:c r="I303" t="str">
        <x:f ca="1">IFERROR(IF(0=LEN(ReferenceData!$I$303),"",ReferenceData!$I$303),"")</x:f>
        <x:v/>
      </x:c>
      <x:c r="J303" t="str">
        <x:f ca="1">IFERROR(IF(0=LEN(ReferenceData!$J$303),"",ReferenceData!$J$303),"")</x:f>
        <x:v/>
      </x:c>
      <x:c r="K303" t="str">
        <x:f ca="1">IFERROR(IF(0=LEN(ReferenceData!$K$303),"",ReferenceData!$K$303),"")</x:f>
        <x:v/>
      </x:c>
      <x:c r="L303" t="str">
        <x:f ca="1">IFERROR(IF(0=LEN(ReferenceData!$L$303),"",ReferenceData!$L$303),"")</x:f>
        <x:v/>
      </x:c>
      <x:c r="M303" t="str">
        <x:f ca="1">IFERROR(IF(0=LEN(ReferenceData!$M$303),"",ReferenceData!$M$303),"")</x:f>
        <x:v/>
      </x:c>
      <x:c r="N303" t="str">
        <x:f ca="1">IFERROR(IF(0=LEN(ReferenceData!$N$303),"",ReferenceData!$N$303),"")</x:f>
        <x:v/>
      </x:c>
      <x:c r="O303" t="str">
        <x:f ca="1">IFERROR(IF(0=LEN(ReferenceData!$O$303),"",ReferenceData!$O$303),"")</x:f>
        <x:v/>
      </x:c>
      <x:c r="P303" t="str">
        <x:f ca="1">IFERROR(IF(0=LEN(ReferenceData!$P$303),"",ReferenceData!$P$303),"")</x:f>
        <x:v/>
      </x:c>
      <x:c r="Q303" t="str">
        <x:f ca="1">IFERROR(IF(0=LEN(ReferenceData!$Q$303),"",ReferenceData!$Q$303),"")</x:f>
        <x:v/>
      </x:c>
      <x:c r="R303" t="str">
        <x:f ca="1">IFERROR(IF(0=LEN(ReferenceData!$R$303),"",ReferenceData!$R$303),"")</x:f>
        <x:v/>
      </x:c>
      <x:c r="S303" t="str">
        <x:f ca="1">IFERROR(IF(0=LEN(ReferenceData!$S$303),"",ReferenceData!$S$303),"")</x:f>
        <x:v/>
      </x:c>
    </x:row>
    <x:row r="304" spans="1:19" x14ac:dyDescent="0.25">
      <x:c r="A304" t="str">
        <x:f>IFERROR(IF(0=LEN(ReferenceData!$A$304),"",ReferenceData!$A$304),"")</x:f>
        <x:v xml:space="preserve">        VanEck Vectors Generic Drugs E</x:v>
      </x:c>
      <x:c r="B304" t="str">
        <x:f>IFERROR(IF(0=LEN(ReferenceData!$B$304),"",ReferenceData!$B$304),"")</x:f>
        <x:v>GNRX US Equity</x:v>
      </x:c>
      <x:c r="C304" t="str">
        <x:f>IFERROR(IF(0=LEN(ReferenceData!$C$304),"",ReferenceData!$C$304),"")</x:f>
        <x:v/>
      </x:c>
      <x:c r="D304" t="str">
        <x:f>IFERROR(IF(0=LEN(ReferenceData!$D$304),"",ReferenceData!$D$304),"")</x:f>
        <x:v/>
      </x:c>
      <x:c r="E304" t="str">
        <x:f>IFERROR(IF(0=LEN(ReferenceData!$E$304),"",ReferenceData!$E$304),"")</x:f>
        <x:v>Expression</x:v>
      </x:c>
      <x:c r="F304" t="str">
        <x:f ca="1">IFERROR(IF(0=LEN(ReferenceData!$F$304),"",ReferenceData!$F$304),"")</x:f>
        <x:v/>
      </x:c>
      <x:c r="G304" t="str">
        <x:f ca="1">IFERROR(IF(0=LEN(ReferenceData!$G$304),"",ReferenceData!$G$304),"")</x:f>
        <x:v/>
      </x:c>
      <x:c r="H304" t="str">
        <x:f ca="1">IFERROR(IF(0=LEN(ReferenceData!$H$304),"",ReferenceData!$H$304),"")</x:f>
        <x:v/>
      </x:c>
      <x:c r="I304" t="str">
        <x:f ca="1">IFERROR(IF(0=LEN(ReferenceData!$I$304),"",ReferenceData!$I$304),"")</x:f>
        <x:v/>
      </x:c>
      <x:c r="J304" t="str">
        <x:f ca="1">IFERROR(IF(0=LEN(ReferenceData!$J$304),"",ReferenceData!$J$304),"")</x:f>
        <x:v/>
      </x:c>
      <x:c r="K304" t="str">
        <x:f ca="1">IFERROR(IF(0=LEN(ReferenceData!$K$304),"",ReferenceData!$K$304),"")</x:f>
        <x:v/>
      </x:c>
      <x:c r="L304" t="str">
        <x:f ca="1">IFERROR(IF(0=LEN(ReferenceData!$L$304),"",ReferenceData!$L$304),"")</x:f>
        <x:v/>
      </x:c>
      <x:c r="M304" t="str">
        <x:f ca="1">IFERROR(IF(0=LEN(ReferenceData!$M$304),"",ReferenceData!$M$304),"")</x:f>
        <x:v/>
      </x:c>
      <x:c r="N304" t="str">
        <x:f ca="1">IFERROR(IF(0=LEN(ReferenceData!$N$304),"",ReferenceData!$N$304),"")</x:f>
        <x:v/>
      </x:c>
      <x:c r="O304" t="str">
        <x:f ca="1">IFERROR(IF(0=LEN(ReferenceData!$O$304),"",ReferenceData!$O$304),"")</x:f>
        <x:v/>
      </x:c>
      <x:c r="P304" t="str">
        <x:f ca="1">IFERROR(IF(0=LEN(ReferenceData!$P$304),"",ReferenceData!$P$304),"")</x:f>
        <x:v/>
      </x:c>
      <x:c r="Q304" t="str">
        <x:f ca="1">IFERROR(IF(0=LEN(ReferenceData!$Q$304),"",ReferenceData!$Q$304),"")</x:f>
        <x:v/>
      </x:c>
      <x:c r="R304" t="str">
        <x:f ca="1">IFERROR(IF(0=LEN(ReferenceData!$R$304),"",ReferenceData!$R$304),"")</x:f>
        <x:v/>
      </x:c>
      <x:c r="S304" t="str">
        <x:f ca="1">IFERROR(IF(0=LEN(ReferenceData!$S$304),"",ReferenceData!$S$304),"")</x:f>
        <x:v/>
      </x:c>
    </x:row>
    <x:row r="305" spans="1:19" x14ac:dyDescent="0.25">
      <x:c r="A305" t="str">
        <x:f>IFERROR(IF(0=LEN(ReferenceData!$A$305),"",ReferenceData!$A$305),"")</x:f>
        <x:v xml:space="preserve">        Direxion Shares Etf Trust-Dire</x:v>
      </x:c>
      <x:c r="B305" t="str">
        <x:f>IFERROR(IF(0=LEN(ReferenceData!$B$305),"",ReferenceData!$B$305),"")</x:f>
        <x:v>LABS US Equity</x:v>
      </x:c>
      <x:c r="C305" t="str">
        <x:f>IFERROR(IF(0=LEN(ReferenceData!$C$305),"",ReferenceData!$C$305),"")</x:f>
        <x:v/>
      </x:c>
      <x:c r="D305" t="str">
        <x:f>IFERROR(IF(0=LEN(ReferenceData!$D$305),"",ReferenceData!$D$305),"")</x:f>
        <x:v/>
      </x:c>
      <x:c r="E305" t="str">
        <x:f>IFERROR(IF(0=LEN(ReferenceData!$E$305),"",ReferenceData!$E$305),"")</x:f>
        <x:v>Expression</x:v>
      </x:c>
      <x:c r="F305" t="str">
        <x:f ca="1">IFERROR(IF(0=LEN(ReferenceData!$F$305),"",ReferenceData!$F$305),"")</x:f>
        <x:v/>
      </x:c>
      <x:c r="G305" t="str">
        <x:f ca="1">IFERROR(IF(0=LEN(ReferenceData!$G$305),"",ReferenceData!$G$305),"")</x:f>
        <x:v/>
      </x:c>
      <x:c r="H305" t="str">
        <x:f ca="1">IFERROR(IF(0=LEN(ReferenceData!$H$305),"",ReferenceData!$H$305),"")</x:f>
        <x:v/>
      </x:c>
      <x:c r="I305" t="str">
        <x:f ca="1">IFERROR(IF(0=LEN(ReferenceData!$I$305),"",ReferenceData!$I$305),"")</x:f>
        <x:v/>
      </x:c>
      <x:c r="J305" t="str">
        <x:f ca="1">IFERROR(IF(0=LEN(ReferenceData!$J$305),"",ReferenceData!$J$305),"")</x:f>
        <x:v/>
      </x:c>
      <x:c r="K305" t="str">
        <x:f ca="1">IFERROR(IF(0=LEN(ReferenceData!$K$305),"",ReferenceData!$K$305),"")</x:f>
        <x:v/>
      </x:c>
      <x:c r="L305" t="str">
        <x:f ca="1">IFERROR(IF(0=LEN(ReferenceData!$L$305),"",ReferenceData!$L$305),"")</x:f>
        <x:v/>
      </x:c>
      <x:c r="M305" t="str">
        <x:f ca="1">IFERROR(IF(0=LEN(ReferenceData!$M$305),"",ReferenceData!$M$305),"")</x:f>
        <x:v/>
      </x:c>
      <x:c r="N305" t="str">
        <x:f ca="1">IFERROR(IF(0=LEN(ReferenceData!$N$305),"",ReferenceData!$N$305),"")</x:f>
        <x:v/>
      </x:c>
      <x:c r="O305" t="str">
        <x:f ca="1">IFERROR(IF(0=LEN(ReferenceData!$O$305),"",ReferenceData!$O$305),"")</x:f>
        <x:v/>
      </x:c>
      <x:c r="P305" t="str">
        <x:f ca="1">IFERROR(IF(0=LEN(ReferenceData!$P$305),"",ReferenceData!$P$305),"")</x:f>
        <x:v/>
      </x:c>
      <x:c r="Q305" t="str">
        <x:f ca="1">IFERROR(IF(0=LEN(ReferenceData!$Q$305),"",ReferenceData!$Q$305),"")</x:f>
        <x:v/>
      </x:c>
      <x:c r="R305" t="str">
        <x:f ca="1">IFERROR(IF(0=LEN(ReferenceData!$R$305),"",ReferenceData!$R$305),"")</x:f>
        <x:v/>
      </x:c>
      <x:c r="S305" t="str">
        <x:f ca="1">IFERROR(IF(0=LEN(ReferenceData!$S$305),"",ReferenceData!$S$305),"")</x:f>
        <x:v/>
      </x:c>
    </x:row>
    <x:row r="306" spans="1:19" x14ac:dyDescent="0.25">
      <x:c r="A306" t="str">
        <x:f>IFERROR(IF(0=LEN(ReferenceData!$A$306),"",ReferenceData!$A$306),"")</x:f>
        <x:v xml:space="preserve">        iShares Edge MSCI Multifactor</x:v>
      </x:c>
      <x:c r="B306" t="str">
        <x:f>IFERROR(IF(0=LEN(ReferenceData!$B$306),"",ReferenceData!$B$306),"")</x:f>
        <x:v>HCRF US Equity</x:v>
      </x:c>
      <x:c r="C306" t="str">
        <x:f>IFERROR(IF(0=LEN(ReferenceData!$C$306),"",ReferenceData!$C$306),"")</x:f>
        <x:v/>
      </x:c>
      <x:c r="D306" t="str">
        <x:f>IFERROR(IF(0=LEN(ReferenceData!$D$306),"",ReferenceData!$D$306),"")</x:f>
        <x:v/>
      </x:c>
      <x:c r="E306" t="str">
        <x:f>IFERROR(IF(0=LEN(ReferenceData!$E$306),"",ReferenceData!$E$306),"")</x:f>
        <x:v>Expression</x:v>
      </x:c>
      <x:c r="F306" t="str">
        <x:f ca="1">IFERROR(IF(0=LEN(ReferenceData!$F$306),"",ReferenceData!$F$306),"")</x:f>
        <x:v/>
      </x:c>
      <x:c r="G306" t="str">
        <x:f ca="1">IFERROR(IF(0=LEN(ReferenceData!$G$306),"",ReferenceData!$G$306),"")</x:f>
        <x:v/>
      </x:c>
      <x:c r="H306" t="str">
        <x:f ca="1">IFERROR(IF(0=LEN(ReferenceData!$H$306),"",ReferenceData!$H$306),"")</x:f>
        <x:v/>
      </x:c>
      <x:c r="I306" t="str">
        <x:f ca="1">IFERROR(IF(0=LEN(ReferenceData!$I$306),"",ReferenceData!$I$306),"")</x:f>
        <x:v/>
      </x:c>
      <x:c r="J306" t="str">
        <x:f ca="1">IFERROR(IF(0=LEN(ReferenceData!$J$306),"",ReferenceData!$J$306),"")</x:f>
        <x:v/>
      </x:c>
      <x:c r="K306" t="str">
        <x:f ca="1">IFERROR(IF(0=LEN(ReferenceData!$K$306),"",ReferenceData!$K$306),"")</x:f>
        <x:v/>
      </x:c>
      <x:c r="L306" t="str">
        <x:f ca="1">IFERROR(IF(0=LEN(ReferenceData!$L$306),"",ReferenceData!$L$306),"")</x:f>
        <x:v/>
      </x:c>
      <x:c r="M306" t="str">
        <x:f ca="1">IFERROR(IF(0=LEN(ReferenceData!$M$306),"",ReferenceData!$M$306),"")</x:f>
        <x:v/>
      </x:c>
      <x:c r="N306" t="str">
        <x:f ca="1">IFERROR(IF(0=LEN(ReferenceData!$N$306),"",ReferenceData!$N$306),"")</x:f>
        <x:v/>
      </x:c>
      <x:c r="O306" t="str">
        <x:f ca="1">IFERROR(IF(0=LEN(ReferenceData!$O$306),"",ReferenceData!$O$306),"")</x:f>
        <x:v/>
      </x:c>
      <x:c r="P306" t="str">
        <x:f ca="1">IFERROR(IF(0=LEN(ReferenceData!$P$306),"",ReferenceData!$P$306),"")</x:f>
        <x:v/>
      </x:c>
      <x:c r="Q306" t="str">
        <x:f ca="1">IFERROR(IF(0=LEN(ReferenceData!$Q$306),"",ReferenceData!$Q$306),"")</x:f>
        <x:v/>
      </x:c>
      <x:c r="R306" t="str">
        <x:f ca="1">IFERROR(IF(0=LEN(ReferenceData!$R$306),"",ReferenceData!$R$306),"")</x:f>
        <x:v/>
      </x:c>
      <x:c r="S306" t="str">
        <x:f ca="1">IFERROR(IF(0=LEN(ReferenceData!$S$306),"",ReferenceData!$S$306),"")</x:f>
        <x:v/>
      </x:c>
    </x:row>
    <x:row r="307" spans="1:19" x14ac:dyDescent="0.25">
      <x:c r="A307" t="str">
        <x:f>IFERROR(IF(0=LEN(ReferenceData!$A$307),"",ReferenceData!$A$307),"")</x:f>
        <x:v xml:space="preserve">        First Trust Nasdaq Pharmaceuti</x:v>
      </x:c>
      <x:c r="B307" t="str">
        <x:f>IFERROR(IF(0=LEN(ReferenceData!$B$307),"",ReferenceData!$B$307),"")</x:f>
        <x:v>FTXH US Equity</x:v>
      </x:c>
      <x:c r="C307" t="str">
        <x:f>IFERROR(IF(0=LEN(ReferenceData!$C$307),"",ReferenceData!$C$307),"")</x:f>
        <x:v/>
      </x:c>
      <x:c r="D307" t="str">
        <x:f>IFERROR(IF(0=LEN(ReferenceData!$D$307),"",ReferenceData!$D$307),"")</x:f>
        <x:v/>
      </x:c>
      <x:c r="E307" t="str">
        <x:f>IFERROR(IF(0=LEN(ReferenceData!$E$307),"",ReferenceData!$E$307),"")</x:f>
        <x:v>Expression</x:v>
      </x:c>
      <x:c r="F307">
        <x:f ca="1">IFERROR(IF(0=LEN(ReferenceData!$F$307),"",ReferenceData!$F$307),"")</x:f>
        <x:v>0</x:v>
      </x:c>
      <x:c r="G307">
        <x:f ca="1">IFERROR(IF(0=LEN(ReferenceData!$G$307),"",ReferenceData!$G$307),"")</x:f>
        <x:v>0</x:v>
      </x:c>
      <x:c r="H307">
        <x:f ca="1">IFERROR(IF(0=LEN(ReferenceData!$H$307),"",ReferenceData!$H$307),"")</x:f>
        <x:v>-1.3183339999999999</x:v>
      </x:c>
      <x:c r="I307">
        <x:f ca="1">IFERROR(IF(0=LEN(ReferenceData!$I$307),"",ReferenceData!$I$307),"")</x:f>
        <x:v>0</x:v>
      </x:c>
      <x:c r="J307">
        <x:f ca="1">IFERROR(IF(0=LEN(ReferenceData!$J$307),"",ReferenceData!$J$307),"")</x:f>
        <x:v>-3.9580000000000002</x:v>
      </x:c>
      <x:c r="K307">
        <x:f ca="1">IFERROR(IF(0=LEN(ReferenceData!$K$307),"",ReferenceData!$K$307),"")</x:f>
        <x:v>-5.2670000000000003</x:v>
      </x:c>
      <x:c r="L307">
        <x:f ca="1">IFERROR(IF(0=LEN(ReferenceData!$L$307),"",ReferenceData!$L$307),"")</x:f>
        <x:v>-1.3360000000000001</x:v>
      </x:c>
      <x:c r="M307">
        <x:f ca="1">IFERROR(IF(0=LEN(ReferenceData!$M$307),"",ReferenceData!$M$307),"")</x:f>
        <x:v>0</x:v>
      </x:c>
      <x:c r="N307">
        <x:f ca="1">IFERROR(IF(0=LEN(ReferenceData!$N$307),"",ReferenceData!$N$307),"")</x:f>
        <x:v>-7.6892310000000004</x:v>
      </x:c>
      <x:c r="O307">
        <x:f ca="1">IFERROR(IF(0=LEN(ReferenceData!$O$307),"",ReferenceData!$O$307),"")</x:f>
        <x:v>0</x:v>
      </x:c>
      <x:c r="P307">
        <x:f ca="1">IFERROR(IF(0=LEN(ReferenceData!$P$307),"",ReferenceData!$P$307),"")</x:f>
        <x:v>0</x:v>
      </x:c>
      <x:c r="Q307">
        <x:f ca="1">IFERROR(IF(0=LEN(ReferenceData!$Q$307),"",ReferenceData!$Q$307),"")</x:f>
        <x:v>2.4101000000000001E-2</x:v>
      </x:c>
      <x:c r="R307">
        <x:f ca="1">IFERROR(IF(0=LEN(ReferenceData!$R$307),"",ReferenceData!$R$307),"")</x:f>
        <x:v>-1.325688</x:v>
      </x:c>
      <x:c r="S307">
        <x:f ca="1">IFERROR(IF(0=LEN(ReferenceData!$S$307),"",ReferenceData!$S$307),"")</x:f>
        <x:v>2.4527999999999999</x:v>
      </x:c>
    </x:row>
    <x:row r="308" spans="1:19" x14ac:dyDescent="0.25">
      <x:c r="A308" t="str">
        <x:f>IFERROR(IF(0=LEN(ReferenceData!$A$308),"",ReferenceData!$A$308),"")</x:f>
        <x:v xml:space="preserve">        Elkhorn S&amp;P MidCap Health Care</x:v>
      </x:c>
      <x:c r="B308" t="str">
        <x:f>IFERROR(IF(0=LEN(ReferenceData!$B$308),"",ReferenceData!$B$308),"")</x:f>
        <x:v>XH US Equity</x:v>
      </x:c>
      <x:c r="C308" t="str">
        <x:f>IFERROR(IF(0=LEN(ReferenceData!$C$308),"",ReferenceData!$C$308),"")</x:f>
        <x:v/>
      </x:c>
      <x:c r="D308" t="str">
        <x:f>IFERROR(IF(0=LEN(ReferenceData!$D$308),"",ReferenceData!$D$308),"")</x:f>
        <x:v/>
      </x:c>
      <x:c r="E308" t="str">
        <x:f>IFERROR(IF(0=LEN(ReferenceData!$E$308),"",ReferenceData!$E$308),"")</x:f>
        <x:v>Expression</x:v>
      </x:c>
      <x:c r="F308" t="str">
        <x:f ca="1">IFERROR(IF(0=LEN(ReferenceData!$F$308),"",ReferenceData!$F$308),"")</x:f>
        <x:v/>
      </x:c>
      <x:c r="G308" t="str">
        <x:f ca="1">IFERROR(IF(0=LEN(ReferenceData!$G$308),"",ReferenceData!$G$308),"")</x:f>
        <x:v/>
      </x:c>
      <x:c r="H308" t="str">
        <x:f ca="1">IFERROR(IF(0=LEN(ReferenceData!$H$308),"",ReferenceData!$H$308),"")</x:f>
        <x:v/>
      </x:c>
      <x:c r="I308" t="str">
        <x:f ca="1">IFERROR(IF(0=LEN(ReferenceData!$I$308),"",ReferenceData!$I$308),"")</x:f>
        <x:v/>
      </x:c>
      <x:c r="J308" t="str">
        <x:f ca="1">IFERROR(IF(0=LEN(ReferenceData!$J$308),"",ReferenceData!$J$308),"")</x:f>
        <x:v/>
      </x:c>
      <x:c r="K308" t="str">
        <x:f ca="1">IFERROR(IF(0=LEN(ReferenceData!$K$308),"",ReferenceData!$K$308),"")</x:f>
        <x:v/>
      </x:c>
      <x:c r="L308" t="str">
        <x:f ca="1">IFERROR(IF(0=LEN(ReferenceData!$L$308),"",ReferenceData!$L$308),"")</x:f>
        <x:v/>
      </x:c>
      <x:c r="M308" t="str">
        <x:f ca="1">IFERROR(IF(0=LEN(ReferenceData!$M$308),"",ReferenceData!$M$308),"")</x:f>
        <x:v/>
      </x:c>
      <x:c r="N308" t="str">
        <x:f ca="1">IFERROR(IF(0=LEN(ReferenceData!$N$308),"",ReferenceData!$N$308),"")</x:f>
        <x:v/>
      </x:c>
      <x:c r="O308" t="str">
        <x:f ca="1">IFERROR(IF(0=LEN(ReferenceData!$O$308),"",ReferenceData!$O$308),"")</x:f>
        <x:v/>
      </x:c>
      <x:c r="P308" t="str">
        <x:f ca="1">IFERROR(IF(0=LEN(ReferenceData!$P$308),"",ReferenceData!$P$308),"")</x:f>
        <x:v/>
      </x:c>
      <x:c r="Q308" t="str">
        <x:f ca="1">IFERROR(IF(0=LEN(ReferenceData!$Q$308),"",ReferenceData!$Q$308),"")</x:f>
        <x:v/>
      </x:c>
      <x:c r="R308" t="str">
        <x:f ca="1">IFERROR(IF(0=LEN(ReferenceData!$R$308),"",ReferenceData!$R$308),"")</x:f>
        <x:v/>
      </x:c>
      <x:c r="S308" t="str">
        <x:f ca="1">IFERROR(IF(0=LEN(ReferenceData!$S$308),"",ReferenceData!$S$308),"")</x:f>
        <x:v/>
      </x:c>
    </x:row>
    <x:row r="309" spans="1:19" x14ac:dyDescent="0.25">
      <x:c r="A309" t="str">
        <x:f>IFERROR(IF(0=LEN(ReferenceData!$A$309),"",ReferenceData!$A$309),"")</x:f>
        <x:v xml:space="preserve">        First Trust S-Network Healthca</x:v>
      </x:c>
      <x:c r="B309" t="str">
        <x:f>IFERROR(IF(0=LEN(ReferenceData!$B$309),"",ReferenceData!$B$309),"")</x:f>
        <x:v>IMED US Equity</x:v>
      </x:c>
      <x:c r="C309" t="str">
        <x:f>IFERROR(IF(0=LEN(ReferenceData!$C$309),"",ReferenceData!$C$309),"")</x:f>
        <x:v/>
      </x:c>
      <x:c r="D309" t="str">
        <x:f>IFERROR(IF(0=LEN(ReferenceData!$D$309),"",ReferenceData!$D$309),"")</x:f>
        <x:v/>
      </x:c>
      <x:c r="E309" t="str">
        <x:f>IFERROR(IF(0=LEN(ReferenceData!$E$309),"",ReferenceData!$E$309),"")</x:f>
        <x:v>Expression</x:v>
      </x:c>
      <x:c r="F309" t="str">
        <x:f ca="1">IFERROR(IF(0=LEN(ReferenceData!$F$309),"",ReferenceData!$F$309),"")</x:f>
        <x:v/>
      </x:c>
      <x:c r="G309" t="str">
        <x:f ca="1">IFERROR(IF(0=LEN(ReferenceData!$G$309),"",ReferenceData!$G$309),"")</x:f>
        <x:v/>
      </x:c>
      <x:c r="H309" t="str">
        <x:f ca="1">IFERROR(IF(0=LEN(ReferenceData!$H$309),"",ReferenceData!$H$309),"")</x:f>
        <x:v/>
      </x:c>
      <x:c r="I309" t="str">
        <x:f ca="1">IFERROR(IF(0=LEN(ReferenceData!$I$309),"",ReferenceData!$I$309),"")</x:f>
        <x:v/>
      </x:c>
      <x:c r="J309" t="str">
        <x:f ca="1">IFERROR(IF(0=LEN(ReferenceData!$J$309),"",ReferenceData!$J$309),"")</x:f>
        <x:v/>
      </x:c>
      <x:c r="K309" t="str">
        <x:f ca="1">IFERROR(IF(0=LEN(ReferenceData!$K$309),"",ReferenceData!$K$309),"")</x:f>
        <x:v/>
      </x:c>
      <x:c r="L309" t="str">
        <x:f ca="1">IFERROR(IF(0=LEN(ReferenceData!$L$309),"",ReferenceData!$L$309),"")</x:f>
        <x:v/>
      </x:c>
      <x:c r="M309" t="str">
        <x:f ca="1">IFERROR(IF(0=LEN(ReferenceData!$M$309),"",ReferenceData!$M$309),"")</x:f>
        <x:v/>
      </x:c>
      <x:c r="N309" t="str">
        <x:f ca="1">IFERROR(IF(0=LEN(ReferenceData!$N$309),"",ReferenceData!$N$309),"")</x:f>
        <x:v/>
      </x:c>
      <x:c r="O309" t="str">
        <x:f ca="1">IFERROR(IF(0=LEN(ReferenceData!$O$309),"",ReferenceData!$O$309),"")</x:f>
        <x:v/>
      </x:c>
      <x:c r="P309" t="str">
        <x:f ca="1">IFERROR(IF(0=LEN(ReferenceData!$P$309),"",ReferenceData!$P$309),"")</x:f>
        <x:v/>
      </x:c>
      <x:c r="Q309" t="str">
        <x:f ca="1">IFERROR(IF(0=LEN(ReferenceData!$Q$309),"",ReferenceData!$Q$309),"")</x:f>
        <x:v/>
      </x:c>
      <x:c r="R309" t="str">
        <x:f ca="1">IFERROR(IF(0=LEN(ReferenceData!$R$309),"",ReferenceData!$R$309),"")</x:f>
        <x:v/>
      </x:c>
      <x:c r="S309" t="str">
        <x:f ca="1">IFERROR(IF(0=LEN(ReferenceData!$S$309),"",ReferenceData!$S$309),"")</x:f>
        <x:v/>
      </x:c>
    </x:row>
    <x:row r="310" spans="1:19" x14ac:dyDescent="0.25">
      <x:c r="A310" t="str">
        <x:f>IFERROR(IF(0=LEN(ReferenceData!$A$310),"",ReferenceData!$A$310),"")</x:f>
        <x:v xml:space="preserve">        ProShares UltraShort Health Ca</x:v>
      </x:c>
      <x:c r="B310" t="str">
        <x:f>IFERROR(IF(0=LEN(ReferenceData!$B$310),"",ReferenceData!$B$310),"")</x:f>
        <x:v>RXD US Equity</x:v>
      </x:c>
      <x:c r="C310" t="str">
        <x:f>IFERROR(IF(0=LEN(ReferenceData!$C$310),"",ReferenceData!$C$310),"")</x:f>
        <x:v/>
      </x:c>
      <x:c r="D310" t="str">
        <x:f>IFERROR(IF(0=LEN(ReferenceData!$D$310),"",ReferenceData!$D$310),"")</x:f>
        <x:v/>
      </x:c>
      <x:c r="E310" t="str">
        <x:f>IFERROR(IF(0=LEN(ReferenceData!$E$310),"",ReferenceData!$E$310),"")</x:f>
        <x:v>Expression</x:v>
      </x:c>
      <x:c r="F310">
        <x:f ca="1">IFERROR(IF(0=LEN(ReferenceData!$F$310),"",ReferenceData!$F$310),"")</x:f>
        <x:v>0.27040500000000001</x:v>
      </x:c>
      <x:c r="G310">
        <x:f ca="1">IFERROR(IF(0=LEN(ReferenceData!$G$310),"",ReferenceData!$G$310),"")</x:f>
        <x:v>0.57258399999999998</x:v>
      </x:c>
      <x:c r="H310">
        <x:f ca="1">IFERROR(IF(0=LEN(ReferenceData!$H$310),"",ReferenceData!$H$310),"")</x:f>
        <x:v>0.130966</x:v>
      </x:c>
      <x:c r="I310">
        <x:f ca="1">IFERROR(IF(0=LEN(ReferenceData!$I$310),"",ReferenceData!$I$310),"")</x:f>
        <x:v>0</x:v>
      </x:c>
      <x:c r="J310">
        <x:f ca="1">IFERROR(IF(0=LEN(ReferenceData!$J$310),"",ReferenceData!$J$310),"")</x:f>
        <x:v>-0.38151400000000002</x:v>
      </x:c>
      <x:c r="K310">
        <x:f ca="1">IFERROR(IF(0=LEN(ReferenceData!$K$310),"",ReferenceData!$K$310),"")</x:f>
        <x:v>-0.44043100000000002</x:v>
      </x:c>
      <x:c r="L310">
        <x:f ca="1">IFERROR(IF(0=LEN(ReferenceData!$L$310),"",ReferenceData!$L$310),"")</x:f>
        <x:v>0</x:v>
      </x:c>
      <x:c r="M310">
        <x:f ca="1">IFERROR(IF(0=LEN(ReferenceData!$M$310),"",ReferenceData!$M$310),"")</x:f>
        <x:v>-0.95399999999999996</x:v>
      </x:c>
      <x:c r="N310">
        <x:f ca="1">IFERROR(IF(0=LEN(ReferenceData!$N$310),"",ReferenceData!$N$310),"")</x:f>
        <x:v>1.3672580000000001</x:v>
      </x:c>
      <x:c r="O310">
        <x:f ca="1">IFERROR(IF(0=LEN(ReferenceData!$O$310),"",ReferenceData!$O$310),"")</x:f>
        <x:v>-0.33356799999999998</x:v>
      </x:c>
      <x:c r="P310">
        <x:f ca="1">IFERROR(IF(0=LEN(ReferenceData!$P$310),"",ReferenceData!$P$310),"")</x:f>
        <x:v>0.29747800000000002</x:v>
      </x:c>
      <x:c r="Q310">
        <x:f ca="1">IFERROR(IF(0=LEN(ReferenceData!$Q$310),"",ReferenceData!$Q$310),"")</x:f>
        <x:v>0</x:v>
      </x:c>
      <x:c r="R310">
        <x:f ca="1">IFERROR(IF(0=LEN(ReferenceData!$R$310),"",ReferenceData!$R$310),"")</x:f>
        <x:v>-1.852565</x:v>
      </x:c>
      <x:c r="S310">
        <x:f ca="1">IFERROR(IF(0=LEN(ReferenceData!$S$310),"",ReferenceData!$S$310),"")</x:f>
        <x:v>-4.6076170000000003</x:v>
      </x:c>
    </x:row>
    <x:row r="311" spans="1:19" x14ac:dyDescent="0.25">
      <x:c r="A311" t="str">
        <x:f>IFERROR(IF(0=LEN(ReferenceData!$A$311),"",ReferenceData!$A$311),"")</x:f>
        <x:v xml:space="preserve">        Direxion Daily Healthcare Bear</x:v>
      </x:c>
      <x:c r="B311" t="str">
        <x:f>IFERROR(IF(0=LEN(ReferenceData!$B$311),"",ReferenceData!$B$311),"")</x:f>
        <x:v>SICK US Equity</x:v>
      </x:c>
      <x:c r="C311" t="str">
        <x:f>IFERROR(IF(0=LEN(ReferenceData!$C$311),"",ReferenceData!$C$311),"")</x:f>
        <x:v/>
      </x:c>
      <x:c r="D311" t="str">
        <x:f>IFERROR(IF(0=LEN(ReferenceData!$D$311),"",ReferenceData!$D$311),"")</x:f>
        <x:v/>
      </x:c>
      <x:c r="E311" t="str">
        <x:f>IFERROR(IF(0=LEN(ReferenceData!$E$311),"",ReferenceData!$E$311),"")</x:f>
        <x:v>Expression</x:v>
      </x:c>
      <x:c r="F311" t="str">
        <x:f ca="1">IFERROR(IF(0=LEN(ReferenceData!$F$311),"",ReferenceData!$F$311),"")</x:f>
        <x:v/>
      </x:c>
      <x:c r="G311" t="str">
        <x:f ca="1">IFERROR(IF(0=LEN(ReferenceData!$G$311),"",ReferenceData!$G$311),"")</x:f>
        <x:v/>
      </x:c>
      <x:c r="H311" t="str">
        <x:f ca="1">IFERROR(IF(0=LEN(ReferenceData!$H$311),"",ReferenceData!$H$311),"")</x:f>
        <x:v/>
      </x:c>
      <x:c r="I311" t="str">
        <x:f ca="1">IFERROR(IF(0=LEN(ReferenceData!$I$311),"",ReferenceData!$I$311),"")</x:f>
        <x:v/>
      </x:c>
      <x:c r="J311" t="str">
        <x:f ca="1">IFERROR(IF(0=LEN(ReferenceData!$J$311),"",ReferenceData!$J$311),"")</x:f>
        <x:v/>
      </x:c>
      <x:c r="K311" t="str">
        <x:f ca="1">IFERROR(IF(0=LEN(ReferenceData!$K$311),"",ReferenceData!$K$311),"")</x:f>
        <x:v/>
      </x:c>
      <x:c r="L311" t="str">
        <x:f ca="1">IFERROR(IF(0=LEN(ReferenceData!$L$311),"",ReferenceData!$L$311),"")</x:f>
        <x:v/>
      </x:c>
      <x:c r="M311" t="str">
        <x:f ca="1">IFERROR(IF(0=LEN(ReferenceData!$M$311),"",ReferenceData!$M$311),"")</x:f>
        <x:v/>
      </x:c>
      <x:c r="N311" t="str">
        <x:f ca="1">IFERROR(IF(0=LEN(ReferenceData!$N$311),"",ReferenceData!$N$311),"")</x:f>
        <x:v/>
      </x:c>
      <x:c r="O311" t="str">
        <x:f ca="1">IFERROR(IF(0=LEN(ReferenceData!$O$311),"",ReferenceData!$O$311),"")</x:f>
        <x:v/>
      </x:c>
      <x:c r="P311" t="str">
        <x:f ca="1">IFERROR(IF(0=LEN(ReferenceData!$P$311),"",ReferenceData!$P$311),"")</x:f>
        <x:v/>
      </x:c>
      <x:c r="Q311" t="str">
        <x:f ca="1">IFERROR(IF(0=LEN(ReferenceData!$Q$311),"",ReferenceData!$Q$311),"")</x:f>
        <x:v/>
      </x:c>
      <x:c r="R311" t="str">
        <x:f ca="1">IFERROR(IF(0=LEN(ReferenceData!$R$311),"",ReferenceData!$R$311),"")</x:f>
        <x:v/>
      </x:c>
      <x:c r="S311" t="str">
        <x:f ca="1">IFERROR(IF(0=LEN(ReferenceData!$S$311),"",ReferenceData!$S$311),"")</x:f>
        <x:v/>
      </x:c>
    </x:row>
    <x:row r="312" spans="1:19" x14ac:dyDescent="0.25">
      <x:c r="A312" t="str">
        <x:f>IFERROR(IF(0=LEN(ReferenceData!$A$312),"",ReferenceData!$A$312),"")</x:f>
        <x:v xml:space="preserve">        iShares Evolved US Healthcare</x:v>
      </x:c>
      <x:c r="B312" t="str">
        <x:f>IFERROR(IF(0=LEN(ReferenceData!$B$312),"",ReferenceData!$B$312),"")</x:f>
        <x:v>IEHS US Equity</x:v>
      </x:c>
      <x:c r="C312" t="str">
        <x:f>IFERROR(IF(0=LEN(ReferenceData!$C$312),"",ReferenceData!$C$312),"")</x:f>
        <x:v/>
      </x:c>
      <x:c r="D312" t="str">
        <x:f>IFERROR(IF(0=LEN(ReferenceData!$D$312),"",ReferenceData!$D$312),"")</x:f>
        <x:v/>
      </x:c>
      <x:c r="E312" t="str">
        <x:f>IFERROR(IF(0=LEN(ReferenceData!$E$312),"",ReferenceData!$E$312),"")</x:f>
        <x:v>Expression</x:v>
      </x:c>
      <x:c r="F312" t="str">
        <x:f ca="1">IFERROR(IF(0=LEN(ReferenceData!$F$312),"",ReferenceData!$F$312),"")</x:f>
        <x:v/>
      </x:c>
      <x:c r="G312" t="str">
        <x:f ca="1">IFERROR(IF(0=LEN(ReferenceData!$G$312),"",ReferenceData!$G$312),"")</x:f>
        <x:v/>
      </x:c>
      <x:c r="H312" t="str">
        <x:f ca="1">IFERROR(IF(0=LEN(ReferenceData!$H$312),"",ReferenceData!$H$312),"")</x:f>
        <x:v/>
      </x:c>
      <x:c r="I312" t="str">
        <x:f ca="1">IFERROR(IF(0=LEN(ReferenceData!$I$312),"",ReferenceData!$I$312),"")</x:f>
        <x:v/>
      </x:c>
      <x:c r="J312" t="str">
        <x:f ca="1">IFERROR(IF(0=LEN(ReferenceData!$J$312),"",ReferenceData!$J$312),"")</x:f>
        <x:v/>
      </x:c>
      <x:c r="K312" t="str">
        <x:f ca="1">IFERROR(IF(0=LEN(ReferenceData!$K$312),"",ReferenceData!$K$312),"")</x:f>
        <x:v/>
      </x:c>
      <x:c r="L312" t="str">
        <x:f ca="1">IFERROR(IF(0=LEN(ReferenceData!$L$312),"",ReferenceData!$L$312),"")</x:f>
        <x:v/>
      </x:c>
      <x:c r="M312" t="str">
        <x:f ca="1">IFERROR(IF(0=LEN(ReferenceData!$M$312),"",ReferenceData!$M$312),"")</x:f>
        <x:v/>
      </x:c>
      <x:c r="N312" t="str">
        <x:f ca="1">IFERROR(IF(0=LEN(ReferenceData!$N$312),"",ReferenceData!$N$312),"")</x:f>
        <x:v/>
      </x:c>
      <x:c r="O312" t="str">
        <x:f ca="1">IFERROR(IF(0=LEN(ReferenceData!$O$312),"",ReferenceData!$O$312),"")</x:f>
        <x:v/>
      </x:c>
      <x:c r="P312" t="str">
        <x:f ca="1">IFERROR(IF(0=LEN(ReferenceData!$P$312),"",ReferenceData!$P$312),"")</x:f>
        <x:v/>
      </x:c>
      <x:c r="Q312" t="str">
        <x:f ca="1">IFERROR(IF(0=LEN(ReferenceData!$Q$312),"",ReferenceData!$Q$312),"")</x:f>
        <x:v/>
      </x:c>
      <x:c r="R312" t="str">
        <x:f ca="1">IFERROR(IF(0=LEN(ReferenceData!$R$312),"",ReferenceData!$R$312),"")</x:f>
        <x:v/>
      </x:c>
      <x:c r="S312" t="str">
        <x:f ca="1">IFERROR(IF(0=LEN(ReferenceData!$S$312),"",ReferenceData!$S$312),"")</x:f>
        <x:v/>
      </x:c>
    </x:row>
    <x:row r="313" spans="1:19" x14ac:dyDescent="0.25">
      <x:c r="A313" t="str">
        <x:f>IFERROR(IF(0=LEN(ReferenceData!$A$313),"",ReferenceData!$A$313),"")</x:f>
        <x:v xml:space="preserve">        iShares Evolved US Innovative</x:v>
      </x:c>
      <x:c r="B313" t="str">
        <x:f>IFERROR(IF(0=LEN(ReferenceData!$B$313),"",ReferenceData!$B$313),"")</x:f>
        <x:v>IEIH US Equity</x:v>
      </x:c>
      <x:c r="C313" t="str">
        <x:f>IFERROR(IF(0=LEN(ReferenceData!$C$313),"",ReferenceData!$C$313),"")</x:f>
        <x:v/>
      </x:c>
      <x:c r="D313" t="str">
        <x:f>IFERROR(IF(0=LEN(ReferenceData!$D$313),"",ReferenceData!$D$313),"")</x:f>
        <x:v/>
      </x:c>
      <x:c r="E313" t="str">
        <x:f>IFERROR(IF(0=LEN(ReferenceData!$E$313),"",ReferenceData!$E$313),"")</x:f>
        <x:v>Expression</x:v>
      </x:c>
      <x:c r="F313" t="str">
        <x:f ca="1">IFERROR(IF(0=LEN(ReferenceData!$F$313),"",ReferenceData!$F$313),"")</x:f>
        <x:v/>
      </x:c>
      <x:c r="G313" t="str">
        <x:f ca="1">IFERROR(IF(0=LEN(ReferenceData!$G$313),"",ReferenceData!$G$313),"")</x:f>
        <x:v/>
      </x:c>
      <x:c r="H313" t="str">
        <x:f ca="1">IFERROR(IF(0=LEN(ReferenceData!$H$313),"",ReferenceData!$H$313),"")</x:f>
        <x:v/>
      </x:c>
      <x:c r="I313" t="str">
        <x:f ca="1">IFERROR(IF(0=LEN(ReferenceData!$I$313),"",ReferenceData!$I$313),"")</x:f>
        <x:v/>
      </x:c>
      <x:c r="J313" t="str">
        <x:f ca="1">IFERROR(IF(0=LEN(ReferenceData!$J$313),"",ReferenceData!$J$313),"")</x:f>
        <x:v/>
      </x:c>
      <x:c r="K313" t="str">
        <x:f ca="1">IFERROR(IF(0=LEN(ReferenceData!$K$313),"",ReferenceData!$K$313),"")</x:f>
        <x:v/>
      </x:c>
      <x:c r="L313" t="str">
        <x:f ca="1">IFERROR(IF(0=LEN(ReferenceData!$L$313),"",ReferenceData!$L$313),"")</x:f>
        <x:v/>
      </x:c>
      <x:c r="M313" t="str">
        <x:f ca="1">IFERROR(IF(0=LEN(ReferenceData!$M$313),"",ReferenceData!$M$313),"")</x:f>
        <x:v/>
      </x:c>
      <x:c r="N313" t="str">
        <x:f ca="1">IFERROR(IF(0=LEN(ReferenceData!$N$313),"",ReferenceData!$N$313),"")</x:f>
        <x:v/>
      </x:c>
      <x:c r="O313" t="str">
        <x:f ca="1">IFERROR(IF(0=LEN(ReferenceData!$O$313),"",ReferenceData!$O$313),"")</x:f>
        <x:v/>
      </x:c>
      <x:c r="P313" t="str">
        <x:f ca="1">IFERROR(IF(0=LEN(ReferenceData!$P$313),"",ReferenceData!$P$313),"")</x:f>
        <x:v/>
      </x:c>
      <x:c r="Q313" t="str">
        <x:f ca="1">IFERROR(IF(0=LEN(ReferenceData!$Q$313),"",ReferenceData!$Q$313),"")</x:f>
        <x:v/>
      </x:c>
      <x:c r="R313" t="str">
        <x:f ca="1">IFERROR(IF(0=LEN(ReferenceData!$R$313),"",ReferenceData!$R$313),"")</x:f>
        <x:v/>
      </x:c>
      <x:c r="S313" t="str">
        <x:f ca="1">IFERROR(IF(0=LEN(ReferenceData!$S$313),"",ReferenceData!$S$313),"")</x:f>
        <x:v/>
      </x:c>
    </x:row>
    <x:row r="314" spans="1:19" x14ac:dyDescent="0.25">
      <x:c r="A314" t="str">
        <x:f>IFERROR(IF(0=LEN(ReferenceData!$A$314),"",ReferenceData!$A$314),"")</x:f>
        <x:v xml:space="preserve">        Kraneshares MSCI All China Hea</x:v>
      </x:c>
      <x:c r="B314" t="str">
        <x:f>IFERROR(IF(0=LEN(ReferenceData!$B$314),"",ReferenceData!$B$314),"")</x:f>
        <x:v>KURE US Equity</x:v>
      </x:c>
      <x:c r="C314" t="str">
        <x:f>IFERROR(IF(0=LEN(ReferenceData!$C$314),"",ReferenceData!$C$314),"")</x:f>
        <x:v/>
      </x:c>
      <x:c r="D314" t="str">
        <x:f>IFERROR(IF(0=LEN(ReferenceData!$D$314),"",ReferenceData!$D$314),"")</x:f>
        <x:v/>
      </x:c>
      <x:c r="E314" t="str">
        <x:f>IFERROR(IF(0=LEN(ReferenceData!$E$314),"",ReferenceData!$E$314),"")</x:f>
        <x:v>Expression</x:v>
      </x:c>
      <x:c r="F314">
        <x:f ca="1">IFERROR(IF(0=LEN(ReferenceData!$F$314),"",ReferenceData!$F$314),"")</x:f>
        <x:v>-3.7490000000000001</x:v>
      </x:c>
      <x:c r="G314">
        <x:f ca="1">IFERROR(IF(0=LEN(ReferenceData!$G$314),"",ReferenceData!$G$314),"")</x:f>
        <x:v>-2.6970000000000001</x:v>
      </x:c>
      <x:c r="H314">
        <x:f ca="1">IFERROR(IF(0=LEN(ReferenceData!$H$314),"",ReferenceData!$H$314),"")</x:f>
        <x:v>-1.8009999999999999</x:v>
      </x:c>
      <x:c r="I314">
        <x:f ca="1">IFERROR(IF(0=LEN(ReferenceData!$I$314),"",ReferenceData!$I$314),"")</x:f>
        <x:v>-4.3365</x:v>
      </x:c>
      <x:c r="J314">
        <x:f ca="1">IFERROR(IF(0=LEN(ReferenceData!$J$314),"",ReferenceData!$J$314),"")</x:f>
        <x:v>0</x:v>
      </x:c>
      <x:c r="K314">
        <x:f ca="1">IFERROR(IF(0=LEN(ReferenceData!$K$314),"",ReferenceData!$K$314),"")</x:f>
        <x:v>0</x:v>
      </x:c>
      <x:c r="L314">
        <x:f ca="1">IFERROR(IF(0=LEN(ReferenceData!$L$314),"",ReferenceData!$L$314),"")</x:f>
        <x:v>-5.9429999999999996</x:v>
      </x:c>
      <x:c r="M314">
        <x:f ca="1">IFERROR(IF(0=LEN(ReferenceData!$M$314),"",ReferenceData!$M$314),"")</x:f>
        <x:v>-3.2505000000000002</x:v>
      </x:c>
      <x:c r="N314">
        <x:f ca="1">IFERROR(IF(0=LEN(ReferenceData!$N$314),"",ReferenceData!$N$314),"")</x:f>
        <x:v>0</x:v>
      </x:c>
      <x:c r="O314">
        <x:f ca="1">IFERROR(IF(0=LEN(ReferenceData!$O$314),"",ReferenceData!$O$314),"")</x:f>
        <x:v>0</x:v>
      </x:c>
      <x:c r="P314">
        <x:f ca="1">IFERROR(IF(0=LEN(ReferenceData!$P$314),"",ReferenceData!$P$314),"")</x:f>
        <x:v>-8.2270000000000003</x:v>
      </x:c>
      <x:c r="Q314">
        <x:f ca="1">IFERROR(IF(0=LEN(ReferenceData!$Q$314),"",ReferenceData!$Q$314),"")</x:f>
        <x:v>4.298</x:v>
      </x:c>
      <x:c r="R314">
        <x:f ca="1">IFERROR(IF(0=LEN(ReferenceData!$R$314),"",ReferenceData!$R$314),"")</x:f>
        <x:v>-2.0190000000000001</x:v>
      </x:c>
      <x:c r="S314">
        <x:f ca="1">IFERROR(IF(0=LEN(ReferenceData!$S$314),"",ReferenceData!$S$314),"")</x:f>
        <x:v>-3.589</x:v>
      </x:c>
    </x:row>
    <x:row r="315" spans="1:19" x14ac:dyDescent="0.25">
      <x:c r="A315" t="str">
        <x:f>IFERROR(IF(0=LEN(ReferenceData!$A$315),"",ReferenceData!$A$315),"")</x:f>
        <x:v xml:space="preserve">        Direxion Daily Pharmaceutical</x:v>
      </x:c>
      <x:c r="B315" t="str">
        <x:f>IFERROR(IF(0=LEN(ReferenceData!$B$315),"",ReferenceData!$B$315),"")</x:f>
        <x:v>PILL US Equity</x:v>
      </x:c>
      <x:c r="C315" t="str">
        <x:f>IFERROR(IF(0=LEN(ReferenceData!$C$315),"",ReferenceData!$C$315),"")</x:f>
        <x:v/>
      </x:c>
      <x:c r="D315" t="str">
        <x:f>IFERROR(IF(0=LEN(ReferenceData!$D$315),"",ReferenceData!$D$315),"")</x:f>
        <x:v/>
      </x:c>
      <x:c r="E315" t="str">
        <x:f>IFERROR(IF(0=LEN(ReferenceData!$E$315),"",ReferenceData!$E$315),"")</x:f>
        <x:v>Expression</x:v>
      </x:c>
      <x:c r="F315">
        <x:f ca="1">IFERROR(IF(0=LEN(ReferenceData!$F$315),"",ReferenceData!$F$315),"")</x:f>
        <x:v>0.78651499999999996</x:v>
      </x:c>
      <x:c r="G315">
        <x:f ca="1">IFERROR(IF(0=LEN(ReferenceData!$G$315),"",ReferenceData!$G$315),"")</x:f>
        <x:v>1.180769</x:v>
      </x:c>
      <x:c r="H315">
        <x:f ca="1">IFERROR(IF(0=LEN(ReferenceData!$H$315),"",ReferenceData!$H$315),"")</x:f>
        <x:v>0.64273199999999997</x:v>
      </x:c>
      <x:c r="I315">
        <x:f ca="1">IFERROR(IF(0=LEN(ReferenceData!$I$315),"",ReferenceData!$I$315),"")</x:f>
        <x:v>0.45893600000000001</x:v>
      </x:c>
      <x:c r="J315">
        <x:f ca="1">IFERROR(IF(0=LEN(ReferenceData!$J$315),"",ReferenceData!$J$315),"")</x:f>
        <x:v>0.40593600000000002</x:v>
      </x:c>
      <x:c r="K315">
        <x:f ca="1">IFERROR(IF(0=LEN(ReferenceData!$K$315),"",ReferenceData!$K$315),"")</x:f>
        <x:v>0.411574</x:v>
      </x:c>
      <x:c r="L315">
        <x:f ca="1">IFERROR(IF(0=LEN(ReferenceData!$L$315),"",ReferenceData!$L$315),"")</x:f>
        <x:v>0.73570899999999995</x:v>
      </x:c>
      <x:c r="M315">
        <x:f ca="1">IFERROR(IF(0=LEN(ReferenceData!$M$315),"",ReferenceData!$M$315),"")</x:f>
        <x:v>0</x:v>
      </x:c>
      <x:c r="N315">
        <x:f ca="1">IFERROR(IF(0=LEN(ReferenceData!$N$315),"",ReferenceData!$N$315),"")</x:f>
        <x:v>0</x:v>
      </x:c>
      <x:c r="O315">
        <x:f ca="1">IFERROR(IF(0=LEN(ReferenceData!$O$315),"",ReferenceData!$O$315),"")</x:f>
        <x:v>0</x:v>
      </x:c>
      <x:c r="P315">
        <x:f ca="1">IFERROR(IF(0=LEN(ReferenceData!$P$315),"",ReferenceData!$P$315),"")</x:f>
        <x:v>-0.48066700000000001</x:v>
      </x:c>
      <x:c r="Q315">
        <x:f ca="1">IFERROR(IF(0=LEN(ReferenceData!$Q$315),"",ReferenceData!$Q$315),"")</x:f>
        <x:v>0</x:v>
      </x:c>
      <x:c r="R315">
        <x:f ca="1">IFERROR(IF(0=LEN(ReferenceData!$R$315),"",ReferenceData!$R$315),"")</x:f>
        <x:v>0</x:v>
      </x:c>
      <x:c r="S315">
        <x:f ca="1">IFERROR(IF(0=LEN(ReferenceData!$S$315),"",ReferenceData!$S$315),"")</x:f>
        <x:v>-3.1469999999999998E-2</x:v>
      </x:c>
    </x:row>
    <x:row r="316" spans="1:19" x14ac:dyDescent="0.25">
      <x:c r="A316" t="str">
        <x:f>IFERROR(IF(0=LEN(ReferenceData!$A$316),"",ReferenceData!$A$316),"")</x:f>
        <x:v xml:space="preserve">        Loncar China Biopharma ETF</x:v>
      </x:c>
      <x:c r="B316" t="str">
        <x:f>IFERROR(IF(0=LEN(ReferenceData!$B$316),"",ReferenceData!$B$316),"")</x:f>
        <x:v>CHNA US Equity</x:v>
      </x:c>
      <x:c r="C316" t="str">
        <x:f>IFERROR(IF(0=LEN(ReferenceData!$C$316),"",ReferenceData!$C$316),"")</x:f>
        <x:v/>
      </x:c>
      <x:c r="D316" t="str">
        <x:f>IFERROR(IF(0=LEN(ReferenceData!$D$316),"",ReferenceData!$D$316),"")</x:f>
        <x:v/>
      </x:c>
      <x:c r="E316" t="str">
        <x:f>IFERROR(IF(0=LEN(ReferenceData!$E$316),"",ReferenceData!$E$316),"")</x:f>
        <x:v>Expression</x:v>
      </x:c>
      <x:c r="F316" t="str">
        <x:f ca="1">IFERROR(IF(0=LEN(ReferenceData!$F$316),"",ReferenceData!$F$316),"")</x:f>
        <x:v/>
      </x:c>
      <x:c r="G316">
        <x:f ca="1">IFERROR(IF(0=LEN(ReferenceData!$G$316),"",ReferenceData!$G$316),"")</x:f>
        <x:v>0</x:v>
      </x:c>
      <x:c r="H316">
        <x:f ca="1">IFERROR(IF(0=LEN(ReferenceData!$H$316),"",ReferenceData!$H$316),"")</x:f>
        <x:v>0</x:v>
      </x:c>
      <x:c r="I316">
        <x:f ca="1">IFERROR(IF(0=LEN(ReferenceData!$I$316),"",ReferenceData!$I$316),"")</x:f>
        <x:v>0</x:v>
      </x:c>
      <x:c r="J316">
        <x:f ca="1">IFERROR(IF(0=LEN(ReferenceData!$J$316),"",ReferenceData!$J$316),"")</x:f>
        <x:v>0</x:v>
      </x:c>
      <x:c r="K316">
        <x:f ca="1">IFERROR(IF(0=LEN(ReferenceData!$K$316),"",ReferenceData!$K$316),"")</x:f>
        <x:v>0</x:v>
      </x:c>
      <x:c r="L316">
        <x:f ca="1">IFERROR(IF(0=LEN(ReferenceData!$L$316),"",ReferenceData!$L$316),"")</x:f>
        <x:v>0</x:v>
      </x:c>
      <x:c r="M316">
        <x:f ca="1">IFERROR(IF(0=LEN(ReferenceData!$M$316),"",ReferenceData!$M$316),"")</x:f>
        <x:v>0</x:v>
      </x:c>
      <x:c r="N316">
        <x:f ca="1">IFERROR(IF(0=LEN(ReferenceData!$N$316),"",ReferenceData!$N$316),"")</x:f>
        <x:v>-0.45667999999999997</x:v>
      </x:c>
      <x:c r="O316">
        <x:f ca="1">IFERROR(IF(0=LEN(ReferenceData!$O$316),"",ReferenceData!$O$316),"")</x:f>
        <x:v>0</x:v>
      </x:c>
      <x:c r="P316">
        <x:f ca="1">IFERROR(IF(0=LEN(ReferenceData!$P$316),"",ReferenceData!$P$316),"")</x:f>
        <x:v>0</x:v>
      </x:c>
      <x:c r="Q316">
        <x:f ca="1">IFERROR(IF(0=LEN(ReferenceData!$Q$316),"",ReferenceData!$Q$316),"")</x:f>
        <x:v>0</x:v>
      </x:c>
      <x:c r="R316">
        <x:f ca="1">IFERROR(IF(0=LEN(ReferenceData!$R$316),"",ReferenceData!$R$316),"")</x:f>
        <x:v>0</x:v>
      </x:c>
      <x:c r="S316">
        <x:f ca="1">IFERROR(IF(0=LEN(ReferenceData!$S$316),"",ReferenceData!$S$316),"")</x:f>
        <x:v>0</x:v>
      </x:c>
    </x:row>
    <x:row r="317" spans="1:19" x14ac:dyDescent="0.25">
      <x:c r="A317" t="str">
        <x:f>IFERROR(IF(0=LEN(ReferenceData!$A$317),"",ReferenceData!$A$317),"")</x:f>
        <x:v xml:space="preserve">        KraneShares Emerging Markets H</x:v>
      </x:c>
      <x:c r="B317" t="str">
        <x:f>IFERROR(IF(0=LEN(ReferenceData!$B$317),"",ReferenceData!$B$317),"")</x:f>
        <x:v>KMED US Equity</x:v>
      </x:c>
      <x:c r="C317" t="str">
        <x:f>IFERROR(IF(0=LEN(ReferenceData!$C$317),"",ReferenceData!$C$317),"")</x:f>
        <x:v/>
      </x:c>
      <x:c r="D317" t="str">
        <x:f>IFERROR(IF(0=LEN(ReferenceData!$D$317),"",ReferenceData!$D$317),"")</x:f>
        <x:v/>
      </x:c>
      <x:c r="E317" t="str">
        <x:f>IFERROR(IF(0=LEN(ReferenceData!$E$317),"",ReferenceData!$E$317),"")</x:f>
        <x:v>Expression</x:v>
      </x:c>
      <x:c r="F317" t="str">
        <x:f ca="1">IFERROR(IF(0=LEN(ReferenceData!$F$317),"",ReferenceData!$F$317),"")</x:f>
        <x:v/>
      </x:c>
      <x:c r="G317">
        <x:f ca="1">IFERROR(IF(0=LEN(ReferenceData!$G$317),"",ReferenceData!$G$317),"")</x:f>
        <x:v>0</x:v>
      </x:c>
      <x:c r="H317">
        <x:f ca="1">IFERROR(IF(0=LEN(ReferenceData!$H$317),"",ReferenceData!$H$317),"")</x:f>
        <x:v>0</x:v>
      </x:c>
      <x:c r="I317">
        <x:f ca="1">IFERROR(IF(0=LEN(ReferenceData!$I$317),"",ReferenceData!$I$317),"")</x:f>
        <x:v>0</x:v>
      </x:c>
      <x:c r="J317">
        <x:f ca="1">IFERROR(IF(0=LEN(ReferenceData!$J$317),"",ReferenceData!$J$317),"")</x:f>
        <x:v>0</x:v>
      </x:c>
      <x:c r="K317">
        <x:f ca="1">IFERROR(IF(0=LEN(ReferenceData!$K$317),"",ReferenceData!$K$317),"")</x:f>
        <x:v>0</x:v>
      </x:c>
      <x:c r="L317">
        <x:f ca="1">IFERROR(IF(0=LEN(ReferenceData!$L$317),"",ReferenceData!$L$317),"")</x:f>
        <x:v>0</x:v>
      </x:c>
      <x:c r="M317">
        <x:f ca="1">IFERROR(IF(0=LEN(ReferenceData!$M$317),"",ReferenceData!$M$317),"")</x:f>
        <x:v>0</x:v>
      </x:c>
      <x:c r="N317">
        <x:f ca="1">IFERROR(IF(0=LEN(ReferenceData!$N$317),"",ReferenceData!$N$317),"")</x:f>
        <x:v>0</x:v>
      </x:c>
      <x:c r="O317">
        <x:f ca="1">IFERROR(IF(0=LEN(ReferenceData!$O$317),"",ReferenceData!$O$317),"")</x:f>
        <x:v>0</x:v>
      </x:c>
      <x:c r="P317">
        <x:f ca="1">IFERROR(IF(0=LEN(ReferenceData!$P$317),"",ReferenceData!$P$317),"")</x:f>
        <x:v>0</x:v>
      </x:c>
      <x:c r="Q317">
        <x:f ca="1">IFERROR(IF(0=LEN(ReferenceData!$Q$317),"",ReferenceData!$Q$317),"")</x:f>
        <x:v>0</x:v>
      </x:c>
      <x:c r="R317">
        <x:f ca="1">IFERROR(IF(0=LEN(ReferenceData!$R$317),"",ReferenceData!$R$317),"")</x:f>
        <x:v>0</x:v>
      </x:c>
      <x:c r="S317">
        <x:f ca="1">IFERROR(IF(0=LEN(ReferenceData!$S$317),"",ReferenceData!$S$317),"")</x:f>
        <x:v>0</x:v>
      </x:c>
    </x:row>
    <x:row r="318" spans="1:19" x14ac:dyDescent="0.25">
      <x:c r="A318" t="str">
        <x:f>IFERROR(IF(0=LEN(ReferenceData!$A$318),"",ReferenceData!$A$318),"")</x:f>
        <x:v xml:space="preserve">        Global X MSCI China Health Car</x:v>
      </x:c>
      <x:c r="B318" t="str">
        <x:f>IFERROR(IF(0=LEN(ReferenceData!$B$318),"",ReferenceData!$B$318),"")</x:f>
        <x:v>CHIH US Equity</x:v>
      </x:c>
      <x:c r="C318" t="str">
        <x:f>IFERROR(IF(0=LEN(ReferenceData!$C$318),"",ReferenceData!$C$318),"")</x:f>
        <x:v/>
      </x:c>
      <x:c r="D318" t="str">
        <x:f>IFERROR(IF(0=LEN(ReferenceData!$D$318),"",ReferenceData!$D$318),"")</x:f>
        <x:v/>
      </x:c>
      <x:c r="E318" t="str">
        <x:f>IFERROR(IF(0=LEN(ReferenceData!$E$318),"",ReferenceData!$E$318),"")</x:f>
        <x:v>Expression</x:v>
      </x:c>
      <x:c r="F318">
        <x:f ca="1">IFERROR(IF(0=LEN(ReferenceData!$F$318),"",ReferenceData!$F$318),"")</x:f>
        <x:v>0</x:v>
      </x:c>
      <x:c r="G318">
        <x:f ca="1">IFERROR(IF(0=LEN(ReferenceData!$G$318),"",ReferenceData!$G$318),"")</x:f>
        <x:v>0</x:v>
      </x:c>
      <x:c r="H318">
        <x:f ca="1">IFERROR(IF(0=LEN(ReferenceData!$H$318),"",ReferenceData!$H$318),"")</x:f>
        <x:v>0</x:v>
      </x:c>
      <x:c r="I318">
        <x:f ca="1">IFERROR(IF(0=LEN(ReferenceData!$I$318),"",ReferenceData!$I$318),"")</x:f>
        <x:v>-0.1396</x:v>
      </x:c>
      <x:c r="J318">
        <x:f ca="1">IFERROR(IF(0=LEN(ReferenceData!$J$318),"",ReferenceData!$J$318),"")</x:f>
        <x:v>1.2861</x:v>
      </x:c>
      <x:c r="K318">
        <x:f ca="1">IFERROR(IF(0=LEN(ReferenceData!$K$318),"",ReferenceData!$K$318),"")</x:f>
        <x:v>0</x:v>
      </x:c>
      <x:c r="L318">
        <x:f ca="1">IFERROR(IF(0=LEN(ReferenceData!$L$318),"",ReferenceData!$L$318),"")</x:f>
        <x:v>0</x:v>
      </x:c>
      <x:c r="M318">
        <x:f ca="1">IFERROR(IF(0=LEN(ReferenceData!$M$318),"",ReferenceData!$M$318),"")</x:f>
        <x:v>-1.0077</x:v>
      </x:c>
      <x:c r="N318">
        <x:f ca="1">IFERROR(IF(0=LEN(ReferenceData!$N$318),"",ReferenceData!$N$318),"")</x:f>
        <x:v>0</x:v>
      </x:c>
      <x:c r="O318">
        <x:f ca="1">IFERROR(IF(0=LEN(ReferenceData!$O$318),"",ReferenceData!$O$318),"")</x:f>
        <x:v>0</x:v>
      </x:c>
      <x:c r="P318">
        <x:f ca="1">IFERROR(IF(0=LEN(ReferenceData!$P$318),"",ReferenceData!$P$318),"")</x:f>
        <x:v>0</x:v>
      </x:c>
      <x:c r="Q318">
        <x:f ca="1">IFERROR(IF(0=LEN(ReferenceData!$Q$318),"",ReferenceData!$Q$318),"")</x:f>
        <x:v>0</x:v>
      </x:c>
      <x:c r="R318">
        <x:f ca="1">IFERROR(IF(0=LEN(ReferenceData!$R$318),"",ReferenceData!$R$318),"")</x:f>
        <x:v>0</x:v>
      </x:c>
      <x:c r="S318">
        <x:f ca="1">IFERROR(IF(0=LEN(ReferenceData!$S$318),"",ReferenceData!$S$318),"")</x:f>
        <x:v>0</x:v>
      </x:c>
    </x:row>
    <x:row r="319" spans="1:19" x14ac:dyDescent="0.25">
      <x:c r="A319" t="str">
        <x:f>IFERROR(IF(0=LEN(ReferenceData!$A$319),"",ReferenceData!$A$319),"")</x:f>
        <x:v xml:space="preserve">        ROBO Global R Healthcare Techn</x:v>
      </x:c>
      <x:c r="B319" t="str">
        <x:f>IFERROR(IF(0=LEN(ReferenceData!$B$319),"",ReferenceData!$B$319),"")</x:f>
        <x:v>HTEC US Equity</x:v>
      </x:c>
      <x:c r="C319" t="str">
        <x:f>IFERROR(IF(0=LEN(ReferenceData!$C$319),"",ReferenceData!$C$319),"")</x:f>
        <x:v/>
      </x:c>
      <x:c r="D319" t="str">
        <x:f>IFERROR(IF(0=LEN(ReferenceData!$D$319),"",ReferenceData!$D$319),"")</x:f>
        <x:v/>
      </x:c>
      <x:c r="E319" t="str">
        <x:f>IFERROR(IF(0=LEN(ReferenceData!$E$319),"",ReferenceData!$E$319),"")</x:f>
        <x:v>Expression</x:v>
      </x:c>
      <x:c r="F319">
        <x:f ca="1">IFERROR(IF(0=LEN(ReferenceData!$F$319),"",ReferenceData!$F$319),"")</x:f>
        <x:v>0</x:v>
      </x:c>
      <x:c r="G319">
        <x:f ca="1">IFERROR(IF(0=LEN(ReferenceData!$G$319),"",ReferenceData!$G$319),"")</x:f>
        <x:v>-0.584511</x:v>
      </x:c>
      <x:c r="H319">
        <x:f ca="1">IFERROR(IF(0=LEN(ReferenceData!$H$319),"",ReferenceData!$H$319),"")</x:f>
        <x:v>-12.37373</x:v>
      </x:c>
      <x:c r="I319">
        <x:f ca="1">IFERROR(IF(0=LEN(ReferenceData!$I$319),"",ReferenceData!$I$319),"")</x:f>
        <x:v>0</x:v>
      </x:c>
      <x:c r="J319">
        <x:f ca="1">IFERROR(IF(0=LEN(ReferenceData!$J$319),"",ReferenceData!$J$319),"")</x:f>
        <x:v>0</x:v>
      </x:c>
      <x:c r="K319">
        <x:f ca="1">IFERROR(IF(0=LEN(ReferenceData!$K$319),"",ReferenceData!$K$319),"")</x:f>
        <x:v>-4.5544599999999997</x:v>
      </x:c>
      <x:c r="L319">
        <x:f ca="1">IFERROR(IF(0=LEN(ReferenceData!$L$319),"",ReferenceData!$L$319),"")</x:f>
        <x:v>0</x:v>
      </x:c>
      <x:c r="M319">
        <x:f ca="1">IFERROR(IF(0=LEN(ReferenceData!$M$319),"",ReferenceData!$M$319),"")</x:f>
        <x:v>-5.3235340000000004</x:v>
      </x:c>
      <x:c r="N319">
        <x:f ca="1">IFERROR(IF(0=LEN(ReferenceData!$N$319),"",ReferenceData!$N$319),"")</x:f>
        <x:v>-5.7629210000000004</x:v>
      </x:c>
      <x:c r="O319">
        <x:f ca="1">IFERROR(IF(0=LEN(ReferenceData!$O$319),"",ReferenceData!$O$319),"")</x:f>
        <x:v>0</x:v>
      </x:c>
      <x:c r="P319">
        <x:f ca="1">IFERROR(IF(0=LEN(ReferenceData!$P$319),"",ReferenceData!$P$319),"")</x:f>
        <x:v>2.9523700000000002</x:v>
      </x:c>
      <x:c r="Q319">
        <x:f ca="1">IFERROR(IF(0=LEN(ReferenceData!$Q$319),"",ReferenceData!$Q$319),"")</x:f>
        <x:v>0.74090599999999995</x:v>
      </x:c>
      <x:c r="R319">
        <x:f ca="1">IFERROR(IF(0=LEN(ReferenceData!$R$319),"",ReferenceData!$R$319),"")</x:f>
        <x:v>0</x:v>
      </x:c>
      <x:c r="S319">
        <x:f ca="1">IFERROR(IF(0=LEN(ReferenceData!$S$319),"",ReferenceData!$S$319),"")</x:f>
        <x:v>-2.8477380000000001</x:v>
      </x:c>
    </x:row>
    <x:row r="320" spans="1:19" x14ac:dyDescent="0.25">
      <x:c r="A320" t="str">
        <x:f>IFERROR(IF(0=LEN(ReferenceData!$A$320),"",ReferenceData!$A$320),"")</x:f>
        <x:v xml:space="preserve">        Invesco Nasdaq Biotechnology E</x:v>
      </x:c>
      <x:c r="B320" t="str">
        <x:f>IFERROR(IF(0=LEN(ReferenceData!$B$320),"",ReferenceData!$B$320),"")</x:f>
        <x:v>IBBQ US Equity</x:v>
      </x:c>
      <x:c r="C320" t="str">
        <x:f>IFERROR(IF(0=LEN(ReferenceData!$C$320),"",ReferenceData!$C$320),"")</x:f>
        <x:v/>
      </x:c>
      <x:c r="D320" t="str">
        <x:f>IFERROR(IF(0=LEN(ReferenceData!$D$320),"",ReferenceData!$D$320),"")</x:f>
        <x:v/>
      </x:c>
      <x:c r="E320" t="str">
        <x:f>IFERROR(IF(0=LEN(ReferenceData!$E$320),"",ReferenceData!$E$320),"")</x:f>
        <x:v>Expression</x:v>
      </x:c>
      <x:c r="F320">
        <x:f ca="1">IFERROR(IF(0=LEN(ReferenceData!$F$320),"",ReferenceData!$F$320),"")</x:f>
        <x:v>0</x:v>
      </x:c>
      <x:c r="G320">
        <x:f ca="1">IFERROR(IF(0=LEN(ReferenceData!$G$320),"",ReferenceData!$G$320),"")</x:f>
        <x:v>0</x:v>
      </x:c>
      <x:c r="H320">
        <x:f ca="1">IFERROR(IF(0=LEN(ReferenceData!$H$320),"",ReferenceData!$H$320),"")</x:f>
        <x:v>0</x:v>
      </x:c>
      <x:c r="I320">
        <x:f ca="1">IFERROR(IF(0=LEN(ReferenceData!$I$320),"",ReferenceData!$I$320),"")</x:f>
        <x:v>0</x:v>
      </x:c>
      <x:c r="J320">
        <x:f ca="1">IFERROR(IF(0=LEN(ReferenceData!$J$320),"",ReferenceData!$J$320),"")</x:f>
        <x:v>0</x:v>
      </x:c>
      <x:c r="K320">
        <x:f ca="1">IFERROR(IF(0=LEN(ReferenceData!$K$320),"",ReferenceData!$K$320),"")</x:f>
        <x:v>-2.8571780000000002</x:v>
      </x:c>
      <x:c r="L320">
        <x:f ca="1">IFERROR(IF(0=LEN(ReferenceData!$L$320),"",ReferenceData!$L$320),"")</x:f>
        <x:v>0.427288</x:v>
      </x:c>
      <x:c r="M320">
        <x:f ca="1">IFERROR(IF(0=LEN(ReferenceData!$M$320),"",ReferenceData!$M$320),"")</x:f>
        <x:v>0</x:v>
      </x:c>
      <x:c r="N320">
        <x:f ca="1">IFERROR(IF(0=LEN(ReferenceData!$N$320),"",ReferenceData!$N$320),"")</x:f>
        <x:v>0.156498</x:v>
      </x:c>
      <x:c r="O320">
        <x:f ca="1">IFERROR(IF(0=LEN(ReferenceData!$O$320),"",ReferenceData!$O$320),"")</x:f>
        <x:v>0</x:v>
      </x:c>
      <x:c r="P320">
        <x:f ca="1">IFERROR(IF(0=LEN(ReferenceData!$P$320),"",ReferenceData!$P$320),"")</x:f>
        <x:v>0</x:v>
      </x:c>
      <x:c r="Q320">
        <x:f ca="1">IFERROR(IF(0=LEN(ReferenceData!$Q$320),"",ReferenceData!$Q$320),"")</x:f>
        <x:v>0</x:v>
      </x:c>
      <x:c r="R320">
        <x:f ca="1">IFERROR(IF(0=LEN(ReferenceData!$R$320),"",ReferenceData!$R$320),"")</x:f>
        <x:v>-1.0396289999999999</x:v>
      </x:c>
      <x:c r="S320">
        <x:f ca="1">IFERROR(IF(0=LEN(ReferenceData!$S$320),"",ReferenceData!$S$320),"")</x:f>
        <x:v>-0.95814699999999997</x:v>
      </x:c>
    </x:row>
    <x:row r="321" spans="1:19" x14ac:dyDescent="0.25">
      <x:c r="A321" t="str">
        <x:f>IFERROR(IF(0=LEN(ReferenceData!$A$321),"",ReferenceData!$A$321),"")</x:f>
        <x:v xml:space="preserve">        Global X Health Care Covered C</x:v>
      </x:c>
      <x:c r="B321" t="str">
        <x:f>IFERROR(IF(0=LEN(ReferenceData!$B$321),"",ReferenceData!$B$321),"")</x:f>
        <x:v>HYLG US Equity</x:v>
      </x:c>
      <x:c r="C321" t="str">
        <x:f>IFERROR(IF(0=LEN(ReferenceData!$C$321),"",ReferenceData!$C$321),"")</x:f>
        <x:v/>
      </x:c>
      <x:c r="D321" t="str">
        <x:f>IFERROR(IF(0=LEN(ReferenceData!$D$321),"",ReferenceData!$D$321),"")</x:f>
        <x:v/>
      </x:c>
      <x:c r="E321" t="str">
        <x:f>IFERROR(IF(0=LEN(ReferenceData!$E$321),"",ReferenceData!$E$321),"")</x:f>
        <x:v>Expression</x:v>
      </x:c>
      <x:c r="F321">
        <x:f ca="1">IFERROR(IF(0=LEN(ReferenceData!$F$321),"",ReferenceData!$F$321),"")</x:f>
        <x:v>0</x:v>
      </x:c>
      <x:c r="G321">
        <x:f ca="1">IFERROR(IF(0=LEN(ReferenceData!$G$321),"",ReferenceData!$G$321),"")</x:f>
        <x:v>0</x:v>
      </x:c>
      <x:c r="H321">
        <x:f ca="1">IFERROR(IF(0=LEN(ReferenceData!$H$321),"",ReferenceData!$H$321),"")</x:f>
        <x:v>0</x:v>
      </x:c>
      <x:c r="I321">
        <x:f ca="1">IFERROR(IF(0=LEN(ReferenceData!$I$321),"",ReferenceData!$I$321),"")</x:f>
        <x:v>0</x:v>
      </x:c>
      <x:c r="J321">
        <x:f ca="1">IFERROR(IF(0=LEN(ReferenceData!$J$321),"",ReferenceData!$J$321),"")</x:f>
        <x:v>0</x:v>
      </x:c>
      <x:c r="K321">
        <x:f ca="1">IFERROR(IF(0=LEN(ReferenceData!$K$321),"",ReferenceData!$K$321),"")</x:f>
        <x:v>0</x:v>
      </x:c>
      <x:c r="L321">
        <x:f ca="1">IFERROR(IF(0=LEN(ReferenceData!$L$321),"",ReferenceData!$L$321),"")</x:f>
        <x:v>0</x:v>
      </x:c>
      <x:c r="M321">
        <x:f ca="1">IFERROR(IF(0=LEN(ReferenceData!$M$321),"",ReferenceData!$M$321),"")</x:f>
        <x:v>0.24809999999999999</x:v>
      </x:c>
      <x:c r="N321">
        <x:f ca="1">IFERROR(IF(0=LEN(ReferenceData!$N$321),"",ReferenceData!$N$321),"")</x:f>
        <x:v>0</x:v>
      </x:c>
      <x:c r="O321">
        <x:f ca="1">IFERROR(IF(0=LEN(ReferenceData!$O$321),"",ReferenceData!$O$321),"")</x:f>
        <x:v>0</x:v>
      </x:c>
      <x:c r="P321">
        <x:f ca="1">IFERROR(IF(0=LEN(ReferenceData!$P$321),"",ReferenceData!$P$321),"")</x:f>
        <x:v>0</x:v>
      </x:c>
      <x:c r="Q321">
        <x:f ca="1">IFERROR(IF(0=LEN(ReferenceData!$Q$321),"",ReferenceData!$Q$321),"")</x:f>
        <x:v>0</x:v>
      </x:c>
      <x:c r="R321">
        <x:f ca="1">IFERROR(IF(0=LEN(ReferenceData!$R$321),"",ReferenceData!$R$321),"")</x:f>
        <x:v>0</x:v>
      </x:c>
      <x:c r="S321" t="str">
        <x:f ca="1">IFERROR(IF(0=LEN(ReferenceData!$S$321),"",ReferenceData!$S$321),"")</x:f>
        <x:v/>
      </x:c>
    </x:row>
    <x:row r="322" spans="1:19" x14ac:dyDescent="0.25">
      <x:c r="A322" t="str">
        <x:f>IFERROR(IF(0=LEN(ReferenceData!$A$322),"",ReferenceData!$A$322),"")</x:f>
        <x:v xml:space="preserve">        Harbor Health Care ETF</x:v>
      </x:c>
      <x:c r="B322" t="str">
        <x:f>IFERROR(IF(0=LEN(ReferenceData!$B$322),"",ReferenceData!$B$322),"")</x:f>
        <x:v>MEDI US Equity</x:v>
      </x:c>
      <x:c r="C322" t="str">
        <x:f>IFERROR(IF(0=LEN(ReferenceData!$C$322),"",ReferenceData!$C$322),"")</x:f>
        <x:v/>
      </x:c>
      <x:c r="D322" t="str">
        <x:f>IFERROR(IF(0=LEN(ReferenceData!$D$322),"",ReferenceData!$D$322),"")</x:f>
        <x:v/>
      </x:c>
      <x:c r="E322" t="str">
        <x:f>IFERROR(IF(0=LEN(ReferenceData!$E$322),"",ReferenceData!$E$322),"")</x:f>
        <x:v>Expression</x:v>
      </x:c>
      <x:c r="F322">
        <x:f ca="1">IFERROR(IF(0=LEN(ReferenceData!$F$322),"",ReferenceData!$F$322),"")</x:f>
        <x:v>0</x:v>
      </x:c>
      <x:c r="G322">
        <x:f ca="1">IFERROR(IF(0=LEN(ReferenceData!$G$322),"",ReferenceData!$G$322),"")</x:f>
        <x:v>0</x:v>
      </x:c>
      <x:c r="H322">
        <x:f ca="1">IFERROR(IF(0=LEN(ReferenceData!$H$322),"",ReferenceData!$H$322),"")</x:f>
        <x:v>0</x:v>
      </x:c>
      <x:c r="I322">
        <x:f ca="1">IFERROR(IF(0=LEN(ReferenceData!$I$322),"",ReferenceData!$I$322),"")</x:f>
        <x:v>0</x:v>
      </x:c>
      <x:c r="J322">
        <x:f ca="1">IFERROR(IF(0=LEN(ReferenceData!$J$322),"",ReferenceData!$J$322),"")</x:f>
        <x:v>0</x:v>
      </x:c>
      <x:c r="K322">
        <x:f ca="1">IFERROR(IF(0=LEN(ReferenceData!$K$322),"",ReferenceData!$K$322),"")</x:f>
        <x:v>0</x:v>
      </x:c>
      <x:c r="L322">
        <x:f ca="1">IFERROR(IF(0=LEN(ReferenceData!$L$322),"",ReferenceData!$L$322),"")</x:f>
        <x:v>0</x:v>
      </x:c>
      <x:c r="M322">
        <x:f ca="1">IFERROR(IF(0=LEN(ReferenceData!$M$322),"",ReferenceData!$M$322),"")</x:f>
        <x:v>0.53110500000000005</x:v>
      </x:c>
      <x:c r="N322">
        <x:f ca="1">IFERROR(IF(0=LEN(ReferenceData!$N$322),"",ReferenceData!$N$322),"")</x:f>
        <x:v>0</x:v>
      </x:c>
      <x:c r="O322">
        <x:f ca="1">IFERROR(IF(0=LEN(ReferenceData!$O$322),"",ReferenceData!$O$322),"")</x:f>
        <x:v>0</x:v>
      </x:c>
      <x:c r="P322">
        <x:f ca="1">IFERROR(IF(0=LEN(ReferenceData!$P$322),"",ReferenceData!$P$322),"")</x:f>
        <x:v>1.0077640000000001</x:v>
      </x:c>
      <x:c r="Q322">
        <x:f ca="1">IFERROR(IF(0=LEN(ReferenceData!$Q$322),"",ReferenceData!$Q$322),"")</x:f>
        <x:v>0</x:v>
      </x:c>
      <x:c r="R322">
        <x:f ca="1">IFERROR(IF(0=LEN(ReferenceData!$R$322),"",ReferenceData!$R$322),"")</x:f>
        <x:v>0</x:v>
      </x:c>
      <x:c r="S322" t="str">
        <x:f ca="1">IFERROR(IF(0=LEN(ReferenceData!$S$322),"",ReferenceData!$S$322),"")</x:f>
        <x:v/>
      </x:c>
    </x:row>
    <x:row r="323" spans="1:19" x14ac:dyDescent="0.25">
      <x:c r="A323" t="str">
        <x:f>IFERROR(IF(0=LEN(ReferenceData!$A$323),"",ReferenceData!$A$323),"")</x:f>
        <x:v xml:space="preserve">        Horizon Kinetics Medical ETF</x:v>
      </x:c>
      <x:c r="B323" t="str">
        <x:f>IFERROR(IF(0=LEN(ReferenceData!$B$323),"",ReferenceData!$B$323),"")</x:f>
        <x:v>MEDX US Equity</x:v>
      </x:c>
      <x:c r="C323" t="str">
        <x:f>IFERROR(IF(0=LEN(ReferenceData!$C$323),"",ReferenceData!$C$323),"")</x:f>
        <x:v/>
      </x:c>
      <x:c r="D323" t="str">
        <x:f>IFERROR(IF(0=LEN(ReferenceData!$D$323),"",ReferenceData!$D$323),"")</x:f>
        <x:v/>
      </x:c>
      <x:c r="E323" t="str">
        <x:f>IFERROR(IF(0=LEN(ReferenceData!$E$323),"",ReferenceData!$E$323),"")</x:f>
        <x:v>Expression</x:v>
      </x:c>
      <x:c r="F323">
        <x:f ca="1">IFERROR(IF(0=LEN(ReferenceData!$F$323),"",ReferenceData!$F$323),"")</x:f>
        <x:v>0</x:v>
      </x:c>
      <x:c r="G323">
        <x:f ca="1">IFERROR(IF(0=LEN(ReferenceData!$G$323),"",ReferenceData!$G$323),"")</x:f>
        <x:v>0</x:v>
      </x:c>
      <x:c r="H323">
        <x:f ca="1">IFERROR(IF(0=LEN(ReferenceData!$H$323),"",ReferenceData!$H$323),"")</x:f>
        <x:v>0</x:v>
      </x:c>
      <x:c r="I323">
        <x:f ca="1">IFERROR(IF(0=LEN(ReferenceData!$I$323),"",ReferenceData!$I$323),"")</x:f>
        <x:v>0</x:v>
      </x:c>
      <x:c r="J323">
        <x:f ca="1">IFERROR(IF(0=LEN(ReferenceData!$J$323),"",ReferenceData!$J$323),"")</x:f>
        <x:v>0</x:v>
      </x:c>
      <x:c r="K323">
        <x:f ca="1">IFERROR(IF(0=LEN(ReferenceData!$K$323),"",ReferenceData!$K$323),"")</x:f>
        <x:v>-0.78243300000000005</x:v>
      </x:c>
      <x:c r="L323">
        <x:f ca="1">IFERROR(IF(0=LEN(ReferenceData!$L$323),"",ReferenceData!$L$323),"")</x:f>
        <x:v>0</x:v>
      </x:c>
      <x:c r="M323">
        <x:f ca="1">IFERROR(IF(0=LEN(ReferenceData!$M$323),"",ReferenceData!$M$323),"")</x:f>
        <x:v>0.75813799999999998</x:v>
      </x:c>
      <x:c r="N323">
        <x:f ca="1">IFERROR(IF(0=LEN(ReferenceData!$N$323),"",ReferenceData!$N$323),"")</x:f>
        <x:v>0</x:v>
      </x:c>
      <x:c r="O323">
        <x:f ca="1">IFERROR(IF(0=LEN(ReferenceData!$O$323),"",ReferenceData!$O$323),"")</x:f>
        <x:v>0</x:v>
      </x:c>
      <x:c r="P323">
        <x:f ca="1">IFERROR(IF(0=LEN(ReferenceData!$P$323),"",ReferenceData!$P$323),"")</x:f>
        <x:v>-4.3672999999999997E-2</x:v>
      </x:c>
      <x:c r="Q323" t="str">
        <x:f ca="1">IFERROR(IF(0=LEN(ReferenceData!$Q$323),"",ReferenceData!$Q$323),"")</x:f>
        <x:v/>
      </x:c>
      <x:c r="R323" t="str">
        <x:f ca="1">IFERROR(IF(0=LEN(ReferenceData!$R$323),"",ReferenceData!$R$323),"")</x:f>
        <x:v/>
      </x:c>
      <x:c r="S323" t="str">
        <x:f ca="1">IFERROR(IF(0=LEN(ReferenceData!$S$323),"",ReferenceData!$S$323),"")</x:f>
        <x:v/>
      </x:c>
    </x:row>
    <x:row r="324" spans="1:19" x14ac:dyDescent="0.25">
      <x:c r="A324" t="str">
        <x:f>IFERROR(IF(0=LEN(ReferenceData!$A$324),"",ReferenceData!$A$324),"")</x:f>
        <x:v xml:space="preserve">        AXS 2X PFE Bull Daily ETF</x:v>
      </x:c>
      <x:c r="B324" t="str">
        <x:f>IFERROR(IF(0=LEN(ReferenceData!$B$324),"",ReferenceData!$B$324),"")</x:f>
        <x:v>PFEL US Equity</x:v>
      </x:c>
      <x:c r="C324" t="str">
        <x:f>IFERROR(IF(0=LEN(ReferenceData!$C$324),"",ReferenceData!$C$324),"")</x:f>
        <x:v/>
      </x:c>
      <x:c r="D324" t="str">
        <x:f>IFERROR(IF(0=LEN(ReferenceData!$D$324),"",ReferenceData!$D$324),"")</x:f>
        <x:v/>
      </x:c>
      <x:c r="E324" t="str">
        <x:f>IFERROR(IF(0=LEN(ReferenceData!$E$324),"",ReferenceData!$E$324),"")</x:f>
        <x:v>Expression</x:v>
      </x:c>
      <x:c r="F324" t="str">
        <x:f ca="1">IFERROR(IF(0=LEN(ReferenceData!$F$324),"",ReferenceData!$F$324),"")</x:f>
        <x:v/>
      </x:c>
      <x:c r="G324" t="str">
        <x:f ca="1">IFERROR(IF(0=LEN(ReferenceData!$G$324),"",ReferenceData!$G$324),"")</x:f>
        <x:v/>
      </x:c>
      <x:c r="H324" t="str">
        <x:f ca="1">IFERROR(IF(0=LEN(ReferenceData!$H$324),"",ReferenceData!$H$324),"")</x:f>
        <x:v/>
      </x:c>
      <x:c r="I324" t="str">
        <x:f ca="1">IFERROR(IF(0=LEN(ReferenceData!$I$324),"",ReferenceData!$I$324),"")</x:f>
        <x:v/>
      </x:c>
      <x:c r="J324" t="str">
        <x:f ca="1">IFERROR(IF(0=LEN(ReferenceData!$J$324),"",ReferenceData!$J$324),"")</x:f>
        <x:v/>
      </x:c>
      <x:c r="K324">
        <x:f ca="1">IFERROR(IF(0=LEN(ReferenceData!$K$324),"",ReferenceData!$K$324),"")</x:f>
        <x:v>8.7345000000000006E-2</x:v>
      </x:c>
      <x:c r="L324">
        <x:f ca="1">IFERROR(IF(0=LEN(ReferenceData!$L$324),"",ReferenceData!$L$324),"")</x:f>
        <x:v>-0.25004999999999999</x:v>
      </x:c>
      <x:c r="M324">
        <x:f ca="1">IFERROR(IF(0=LEN(ReferenceData!$M$324),"",ReferenceData!$M$324),"")</x:f>
        <x:v>0</x:v>
      </x:c>
      <x:c r="N324">
        <x:f ca="1">IFERROR(IF(0=LEN(ReferenceData!$N$324),"",ReferenceData!$N$324),"")</x:f>
        <x:v>0</x:v>
      </x:c>
      <x:c r="O324">
        <x:f ca="1">IFERROR(IF(0=LEN(ReferenceData!$O$324),"",ReferenceData!$O$324),"")</x:f>
        <x:v>0</x:v>
      </x:c>
      <x:c r="P324">
        <x:f ca="1">IFERROR(IF(0=LEN(ReferenceData!$P$324),"",ReferenceData!$P$324),"")</x:f>
        <x:v>0.14724499999999999</x:v>
      </x:c>
      <x:c r="Q324">
        <x:f ca="1">IFERROR(IF(0=LEN(ReferenceData!$Q$324),"",ReferenceData!$Q$324),"")</x:f>
        <x:v>0</x:v>
      </x:c>
      <x:c r="R324">
        <x:f ca="1">IFERROR(IF(0=LEN(ReferenceData!$R$324),"",ReferenceData!$R$324),"")</x:f>
        <x:v>0.14588899999999999</x:v>
      </x:c>
      <x:c r="S324">
        <x:f ca="1">IFERROR(IF(0=LEN(ReferenceData!$S$324),"",ReferenceData!$S$324),"")</x:f>
        <x:v>0</x:v>
      </x:c>
    </x:row>
    <x:row r="325" spans="1:19" x14ac:dyDescent="0.25">
      <x:c r="A325" t="str">
        <x:f>IFERROR(IF(0=LEN(ReferenceData!$A$325),"",ReferenceData!$A$325),"")</x:f>
        <x:v xml:space="preserve">        AXS 2X PFE Bear Daily ETF</x:v>
      </x:c>
      <x:c r="B325" t="str">
        <x:f>IFERROR(IF(0=LEN(ReferenceData!$B$325),"",ReferenceData!$B$325),"")</x:f>
        <x:v>PFES US Equity</x:v>
      </x:c>
      <x:c r="C325" t="str">
        <x:f>IFERROR(IF(0=LEN(ReferenceData!$C$325),"",ReferenceData!$C$325),"")</x:f>
        <x:v/>
      </x:c>
      <x:c r="D325" t="str">
        <x:f>IFERROR(IF(0=LEN(ReferenceData!$D$325),"",ReferenceData!$D$325),"")</x:f>
        <x:v/>
      </x:c>
      <x:c r="E325" t="str">
        <x:f>IFERROR(IF(0=LEN(ReferenceData!$E$325),"",ReferenceData!$E$325),"")</x:f>
        <x:v>Expression</x:v>
      </x:c>
      <x:c r="F325" t="str">
        <x:f ca="1">IFERROR(IF(0=LEN(ReferenceData!$F$325),"",ReferenceData!$F$325),"")</x:f>
        <x:v/>
      </x:c>
      <x:c r="G325" t="str">
        <x:f ca="1">IFERROR(IF(0=LEN(ReferenceData!$G$325),"",ReferenceData!$G$325),"")</x:f>
        <x:v/>
      </x:c>
      <x:c r="H325" t="str">
        <x:f ca="1">IFERROR(IF(0=LEN(ReferenceData!$H$325),"",ReferenceData!$H$325),"")</x:f>
        <x:v/>
      </x:c>
      <x:c r="I325" t="str">
        <x:f ca="1">IFERROR(IF(0=LEN(ReferenceData!$I$325),"",ReferenceData!$I$325),"")</x:f>
        <x:v/>
      </x:c>
      <x:c r="J325" t="str">
        <x:f ca="1">IFERROR(IF(0=LEN(ReferenceData!$J$325),"",ReferenceData!$J$325),"")</x:f>
        <x:v/>
      </x:c>
      <x:c r="K325">
        <x:f ca="1">IFERROR(IF(0=LEN(ReferenceData!$K$325),"",ReferenceData!$K$325),"")</x:f>
        <x:v>-0.283806</x:v>
      </x:c>
      <x:c r="L325">
        <x:f ca="1">IFERROR(IF(0=LEN(ReferenceData!$L$325),"",ReferenceData!$L$325),"")</x:f>
        <x:v>-0.89268000000000003</x:v>
      </x:c>
      <x:c r="M325">
        <x:f ca="1">IFERROR(IF(0=LEN(ReferenceData!$M$325),"",ReferenceData!$M$325),"")</x:f>
        <x:v>0</x:v>
      </x:c>
      <x:c r="N325">
        <x:f ca="1">IFERROR(IF(0=LEN(ReferenceData!$N$325),"",ReferenceData!$N$325),"")</x:f>
        <x:v>0</x:v>
      </x:c>
      <x:c r="O325">
        <x:f ca="1">IFERROR(IF(0=LEN(ReferenceData!$O$325),"",ReferenceData!$O$325),"")</x:f>
        <x:v>0</x:v>
      </x:c>
      <x:c r="P325">
        <x:f ca="1">IFERROR(IF(0=LEN(ReferenceData!$P$325),"",ReferenceData!$P$325),"")</x:f>
        <x:v>0.180037</x:v>
      </x:c>
      <x:c r="Q325">
        <x:f ca="1">IFERROR(IF(0=LEN(ReferenceData!$Q$325),"",ReferenceData!$Q$325),"")</x:f>
        <x:v>0</x:v>
      </x:c>
      <x:c r="R325">
        <x:f ca="1">IFERROR(IF(0=LEN(ReferenceData!$R$325),"",ReferenceData!$R$325),"")</x:f>
        <x:v>0</x:v>
      </x:c>
      <x:c r="S325">
        <x:f ca="1">IFERROR(IF(0=LEN(ReferenceData!$S$325),"",ReferenceData!$S$325),"")</x:f>
        <x:v>0</x:v>
      </x:c>
    </x:row>
    <x:row r="326" spans="1:19" x14ac:dyDescent="0.25">
      <x:c r="A326" t="str">
        <x:f>IFERROR(IF(0=LEN(ReferenceData!$A$326),"",ReferenceData!$A$326),"")</x:f>
        <x:v xml:space="preserve">        Putnam BioRevolution ETF</x:v>
      </x:c>
      <x:c r="B326" t="str">
        <x:f>IFERROR(IF(0=LEN(ReferenceData!$B$326),"",ReferenceData!$B$326),"")</x:f>
        <x:v>SYNB US Equity</x:v>
      </x:c>
      <x:c r="C326" t="str">
        <x:f>IFERROR(IF(0=LEN(ReferenceData!$C$326),"",ReferenceData!$C$326),"")</x:f>
        <x:v/>
      </x:c>
      <x:c r="D326" t="str">
        <x:f>IFERROR(IF(0=LEN(ReferenceData!$D$326),"",ReferenceData!$D$326),"")</x:f>
        <x:v/>
      </x:c>
      <x:c r="E326" t="str">
        <x:f>IFERROR(IF(0=LEN(ReferenceData!$E$326),"",ReferenceData!$E$326),"")</x:f>
        <x:v>Expression</x:v>
      </x:c>
      <x:c r="F326">
        <x:f ca="1">IFERROR(IF(0=LEN(ReferenceData!$F$326),"",ReferenceData!$F$326),"")</x:f>
        <x:v>0</x:v>
      </x:c>
      <x:c r="G326">
        <x:f ca="1">IFERROR(IF(0=LEN(ReferenceData!$G$326),"",ReferenceData!$G$326),"")</x:f>
        <x:v>0</x:v>
      </x:c>
      <x:c r="H326">
        <x:f ca="1">IFERROR(IF(0=LEN(ReferenceData!$H$326),"",ReferenceData!$H$326),"")</x:f>
        <x:v>0</x:v>
      </x:c>
      <x:c r="I326">
        <x:f ca="1">IFERROR(IF(0=LEN(ReferenceData!$I$326),"",ReferenceData!$I$326),"")</x:f>
        <x:v>0</x:v>
      </x:c>
      <x:c r="J326">
        <x:f ca="1">IFERROR(IF(0=LEN(ReferenceData!$J$326),"",ReferenceData!$J$326),"")</x:f>
        <x:v>0</x:v>
      </x:c>
      <x:c r="K326">
        <x:f ca="1">IFERROR(IF(0=LEN(ReferenceData!$K$326),"",ReferenceData!$K$326),"")</x:f>
        <x:v>0</x:v>
      </x:c>
      <x:c r="L326">
        <x:f ca="1">IFERROR(IF(0=LEN(ReferenceData!$L$326),"",ReferenceData!$L$326),"")</x:f>
        <x:v>0</x:v>
      </x:c>
      <x:c r="M326">
        <x:f ca="1">IFERROR(IF(0=LEN(ReferenceData!$M$326),"",ReferenceData!$M$326),"")</x:f>
        <x:v>0</x:v>
      </x:c>
      <x:c r="N326">
        <x:f ca="1">IFERROR(IF(0=LEN(ReferenceData!$N$326),"",ReferenceData!$N$326),"")</x:f>
        <x:v>0</x:v>
      </x:c>
      <x:c r="O326">
        <x:f ca="1">IFERROR(IF(0=LEN(ReferenceData!$O$326),"",ReferenceData!$O$326),"")</x:f>
        <x:v>0</x:v>
      </x:c>
      <x:c r="P326">
        <x:f ca="1">IFERROR(IF(0=LEN(ReferenceData!$P$326),"",ReferenceData!$P$326),"")</x:f>
        <x:v>0</x:v>
      </x:c>
      <x:c r="Q326">
        <x:f ca="1">IFERROR(IF(0=LEN(ReferenceData!$Q$326),"",ReferenceData!$Q$326),"")</x:f>
        <x:v>0</x:v>
      </x:c>
      <x:c r="R326">
        <x:f ca="1">IFERROR(IF(0=LEN(ReferenceData!$R$326),"",ReferenceData!$R$326),"")</x:f>
        <x:v>0</x:v>
      </x:c>
      <x:c r="S326">
        <x:f ca="1">IFERROR(IF(0=LEN(ReferenceData!$S$326),"",ReferenceData!$S$326),"")</x:f>
        <x:v>1.278054</x:v>
      </x:c>
    </x:row>
    <x:row r="327" spans="1:19" x14ac:dyDescent="0.25">
      <x:c r="A327" t="str">
        <x:f>IFERROR(IF(0=LEN(ReferenceData!$A$327),"",ReferenceData!$A$327),"")</x:f>
        <x:v xml:space="preserve">    Industrial</x:v>
      </x:c>
      <x:c r="B327" t="str">
        <x:f>IFERROR(IF(0=LEN(ReferenceData!$B$327),"",ReferenceData!$B$327),"")</x:f>
        <x:v/>
      </x:c>
      <x:c r="C327" t="str">
        <x:f>IFERROR(IF(0=LEN(ReferenceData!$C$327),"",ReferenceData!$C$327),"")</x:f>
        <x:v/>
      </x:c>
      <x:c r="D327" t="str">
        <x:f>IFERROR(IF(0=LEN(ReferenceData!$D$327),"",ReferenceData!$D$327),"")</x:f>
        <x:v/>
      </x:c>
      <x:c r="E327" t="str">
        <x:f>IFERROR(IF(0=LEN(ReferenceData!$E$327),"",ReferenceData!$E$327),"")</x:f>
        <x:v>Sum</x:v>
      </x:c>
      <x:c r="F327">
        <x:f ca="1">IFERROR(IF(0=LEN(ReferenceData!$F$327),"",ReferenceData!$F$327),"")</x:f>
        <x:v>-445.44995900000004</x:v>
      </x:c>
      <x:c r="G327">
        <x:f ca="1">IFERROR(IF(0=LEN(ReferenceData!$G$327),"",ReferenceData!$G$327),"")</x:f>
        <x:v>-142.32296100000005</x:v>
      </x:c>
      <x:c r="H327">
        <x:f ca="1">IFERROR(IF(0=LEN(ReferenceData!$H$327),"",ReferenceData!$H$327),"")</x:f>
        <x:v>-282.63633700000008</x:v>
      </x:c>
      <x:c r="I327">
        <x:f ca="1">IFERROR(IF(0=LEN(ReferenceData!$I$327),"",ReferenceData!$I$327),"")</x:f>
        <x:v>-408.95493700000009</x:v>
      </x:c>
      <x:c r="J327">
        <x:f ca="1">IFERROR(IF(0=LEN(ReferenceData!$J$327),"",ReferenceData!$J$327),"")</x:f>
        <x:v>1524.4742619999993</x:v>
      </x:c>
      <x:c r="K327">
        <x:f ca="1">IFERROR(IF(0=LEN(ReferenceData!$K$327),"",ReferenceData!$K$327),"")</x:f>
        <x:v>1099.7964560000003</x:v>
      </x:c>
      <x:c r="L327">
        <x:f ca="1">IFERROR(IF(0=LEN(ReferenceData!$L$327),"",ReferenceData!$L$327),"")</x:f>
        <x:v>-718.58406600000001</x:v>
      </x:c>
      <x:c r="M327">
        <x:f ca="1">IFERROR(IF(0=LEN(ReferenceData!$M$327),"",ReferenceData!$M$327),"")</x:f>
        <x:v>-233.91888499999999</x:v>
      </x:c>
      <x:c r="N327">
        <x:f ca="1">IFERROR(IF(0=LEN(ReferenceData!$N$327),"",ReferenceData!$N$327),"")</x:f>
        <x:v>-97.712961000000007</x:v>
      </x:c>
      <x:c r="O327">
        <x:f ca="1">IFERROR(IF(0=LEN(ReferenceData!$O$327),"",ReferenceData!$O$327),"")</x:f>
        <x:v>823.38703200000009</x:v>
      </x:c>
      <x:c r="P327">
        <x:f ca="1">IFERROR(IF(0=LEN(ReferenceData!$P$327),"",ReferenceData!$P$327),"")</x:f>
        <x:v>323.08865899999995</x:v>
      </x:c>
      <x:c r="Q327">
        <x:f ca="1">IFERROR(IF(0=LEN(ReferenceData!$Q$327),"",ReferenceData!$Q$327),"")</x:f>
        <x:v>447.39451799999995</x:v>
      </x:c>
      <x:c r="R327">
        <x:f ca="1">IFERROR(IF(0=LEN(ReferenceData!$R$327),"",ReferenceData!$R$327),"")</x:f>
        <x:v>386.40175300000004</x:v>
      </x:c>
      <x:c r="S327">
        <x:f ca="1">IFERROR(IF(0=LEN(ReferenceData!$S$327),"",ReferenceData!$S$327),"")</x:f>
        <x:v>210.54156600000002</x:v>
      </x:c>
    </x:row>
    <x:row r="328" spans="1:19" x14ac:dyDescent="0.25">
      <x:c r="A328" t="str">
        <x:f>IFERROR(IF(0=LEN(ReferenceData!$A$328),"",ReferenceData!$A$328),"")</x:f>
        <x:v xml:space="preserve">        Industrial Select Sector SPDR</x:v>
      </x:c>
      <x:c r="B328" t="str">
        <x:f>IFERROR(IF(0=LEN(ReferenceData!$B$328),"",ReferenceData!$B$328),"")</x:f>
        <x:v>XLI US Equity</x:v>
      </x:c>
      <x:c r="C328" t="str">
        <x:f>IFERROR(IF(0=LEN(ReferenceData!$C$328),"",ReferenceData!$C$328),"")</x:f>
        <x:v/>
      </x:c>
      <x:c r="D328" t="str">
        <x:f>IFERROR(IF(0=LEN(ReferenceData!$D$328),"",ReferenceData!$D$328),"")</x:f>
        <x:v/>
      </x:c>
      <x:c r="E328" t="str">
        <x:f>IFERROR(IF(0=LEN(ReferenceData!$E$328),"",ReferenceData!$E$328),"")</x:f>
        <x:v>Expression</x:v>
      </x:c>
      <x:c r="F328">
        <x:f ca="1">IFERROR(IF(0=LEN(ReferenceData!$F$328),"",ReferenceData!$F$328),"")</x:f>
        <x:v>-476.92808600000001</x:v>
      </x:c>
      <x:c r="G328">
        <x:f ca="1">IFERROR(IF(0=LEN(ReferenceData!$G$328),"",ReferenceData!$G$328),"")</x:f>
        <x:v>-140.88414700000001</x:v>
      </x:c>
      <x:c r="H328">
        <x:f ca="1">IFERROR(IF(0=LEN(ReferenceData!$H$328),"",ReferenceData!$H$328),"")</x:f>
        <x:v>-34.011868999999997</x:v>
      </x:c>
      <x:c r="I328">
        <x:f ca="1">IFERROR(IF(0=LEN(ReferenceData!$I$328),"",ReferenceData!$I$328),"")</x:f>
        <x:v>-446.94066500000002</x:v>
      </x:c>
      <x:c r="J328">
        <x:f ca="1">IFERROR(IF(0=LEN(ReferenceData!$J$328),"",ReferenceData!$J$328),"")</x:f>
        <x:v>870.67030899999997</x:v>
      </x:c>
      <x:c r="K328">
        <x:f ca="1">IFERROR(IF(0=LEN(ReferenceData!$K$328),"",ReferenceData!$K$328),"")</x:f>
        <x:v>1069.5011810000001</x:v>
      </x:c>
      <x:c r="L328">
        <x:f ca="1">IFERROR(IF(0=LEN(ReferenceData!$L$328),"",ReferenceData!$L$328),"")</x:f>
        <x:v>-449.71653500000002</x:v>
      </x:c>
      <x:c r="M328">
        <x:f ca="1">IFERROR(IF(0=LEN(ReferenceData!$M$328),"",ReferenceData!$M$328),"")</x:f>
        <x:v>-429.62248199999999</x:v>
      </x:c>
      <x:c r="N328">
        <x:f ca="1">IFERROR(IF(0=LEN(ReferenceData!$N$328),"",ReferenceData!$N$328),"")</x:f>
        <x:v>-391.98539699999998</x:v>
      </x:c>
      <x:c r="O328">
        <x:f ca="1">IFERROR(IF(0=LEN(ReferenceData!$O$328),"",ReferenceData!$O$328),"")</x:f>
        <x:v>284.54024099999998</x:v>
      </x:c>
      <x:c r="P328">
        <x:f ca="1">IFERROR(IF(0=LEN(ReferenceData!$P$328),"",ReferenceData!$P$328),"")</x:f>
        <x:v>96.203320000000005</x:v>
      </x:c>
      <x:c r="Q328">
        <x:f ca="1">IFERROR(IF(0=LEN(ReferenceData!$Q$328),"",ReferenceData!$Q$328),"")</x:f>
        <x:v>71.541644000000005</x:v>
      </x:c>
      <x:c r="R328">
        <x:f ca="1">IFERROR(IF(0=LEN(ReferenceData!$R$328),"",ReferenceData!$R$328),"")</x:f>
        <x:v>59.238180999999997</x:v>
      </x:c>
      <x:c r="S328">
        <x:f ca="1">IFERROR(IF(0=LEN(ReferenceData!$S$328),"",ReferenceData!$S$328),"")</x:f>
        <x:v>217.728374</x:v>
      </x:c>
    </x:row>
    <x:row r="329" spans="1:19" x14ac:dyDescent="0.25">
      <x:c r="A329" t="str">
        <x:f>IFERROR(IF(0=LEN(ReferenceData!$A$329),"",ReferenceData!$A$329),"")</x:f>
        <x:v xml:space="preserve">        Vanguard Industrials ETF</x:v>
      </x:c>
      <x:c r="B329" t="str">
        <x:f>IFERROR(IF(0=LEN(ReferenceData!$B$329),"",ReferenceData!$B$329),"")</x:f>
        <x:v>VIS US Equity</x:v>
      </x:c>
      <x:c r="C329" t="str">
        <x:f>IFERROR(IF(0=LEN(ReferenceData!$C$329),"",ReferenceData!$C$329),"")</x:f>
        <x:v/>
      </x:c>
      <x:c r="D329" t="str">
        <x:f>IFERROR(IF(0=LEN(ReferenceData!$D$329),"",ReferenceData!$D$329),"")</x:f>
        <x:v/>
      </x:c>
      <x:c r="E329" t="str">
        <x:f>IFERROR(IF(0=LEN(ReferenceData!$E$329),"",ReferenceData!$E$329),"")</x:f>
        <x:v>Expression</x:v>
      </x:c>
      <x:c r="F329">
        <x:f ca="1">IFERROR(IF(0=LEN(ReferenceData!$F$329),"",ReferenceData!$F$329),"")</x:f>
        <x:v>-9.5773410000000005</x:v>
      </x:c>
      <x:c r="G329">
        <x:f ca="1">IFERROR(IF(0=LEN(ReferenceData!$G$329),"",ReferenceData!$G$329),"")</x:f>
        <x:v>-393.18705799999998</x:v>
      </x:c>
      <x:c r="H329">
        <x:f ca="1">IFERROR(IF(0=LEN(ReferenceData!$H$329),"",ReferenceData!$H$329),"")</x:f>
        <x:v>-24.896000000000001</x:v>
      </x:c>
      <x:c r="I329">
        <x:f ca="1">IFERROR(IF(0=LEN(ReferenceData!$I$329),"",ReferenceData!$I$329),"")</x:f>
        <x:v>10.02425</x:v>
      </x:c>
      <x:c r="J329">
        <x:f ca="1">IFERROR(IF(0=LEN(ReferenceData!$J$329),"",ReferenceData!$J$329),"")</x:f>
        <x:v>256.62299999999999</x:v>
      </x:c>
      <x:c r="K329">
        <x:f ca="1">IFERROR(IF(0=LEN(ReferenceData!$K$329),"",ReferenceData!$K$329),"")</x:f>
        <x:v>74.909750000000003</x:v>
      </x:c>
      <x:c r="L329">
        <x:f ca="1">IFERROR(IF(0=LEN(ReferenceData!$L$329),"",ReferenceData!$L$329),"")</x:f>
        <x:v>4.6159939999999997</x:v>
      </x:c>
      <x:c r="M329">
        <x:f ca="1">IFERROR(IF(0=LEN(ReferenceData!$M$329),"",ReferenceData!$M$329),"")</x:f>
        <x:v>-46.47625</x:v>
      </x:c>
      <x:c r="N329">
        <x:f ca="1">IFERROR(IF(0=LEN(ReferenceData!$N$329),"",ReferenceData!$N$329),"")</x:f>
        <x:v>36.221499999999999</x:v>
      </x:c>
      <x:c r="O329">
        <x:f ca="1">IFERROR(IF(0=LEN(ReferenceData!$O$329),"",ReferenceData!$O$329),"")</x:f>
        <x:v>47.949249999999999</x:v>
      </x:c>
      <x:c r="P329">
        <x:f ca="1">IFERROR(IF(0=LEN(ReferenceData!$P$329),"",ReferenceData!$P$329),"")</x:f>
        <x:v>-14.147500000000001</x:v>
      </x:c>
      <x:c r="Q329">
        <x:f ca="1">IFERROR(IF(0=LEN(ReferenceData!$Q$329),"",ReferenceData!$Q$329),"")</x:f>
        <x:v>-9.4477499999999992</x:v>
      </x:c>
      <x:c r="R329">
        <x:f ca="1">IFERROR(IF(0=LEN(ReferenceData!$R$329),"",ReferenceData!$R$329),"")</x:f>
        <x:v>96.753</x:v>
      </x:c>
      <x:c r="S329">
        <x:f ca="1">IFERROR(IF(0=LEN(ReferenceData!$S$329),"",ReferenceData!$S$329),"")</x:f>
        <x:v>-44.181249999999999</x:v>
      </x:c>
    </x:row>
    <x:row r="330" spans="1:19" x14ac:dyDescent="0.25">
      <x:c r="A330" t="str">
        <x:f>IFERROR(IF(0=LEN(ReferenceData!$A$330),"",ReferenceData!$A$330),"")</x:f>
        <x:v xml:space="preserve">        iShares US Aerospace &amp; Defense</x:v>
      </x:c>
      <x:c r="B330" t="str">
        <x:f>IFERROR(IF(0=LEN(ReferenceData!$B$330),"",ReferenceData!$B$330),"")</x:f>
        <x:v>ITA US Equity</x:v>
      </x:c>
      <x:c r="C330" t="str">
        <x:f>IFERROR(IF(0=LEN(ReferenceData!$C$330),"",ReferenceData!$C$330),"")</x:f>
        <x:v/>
      </x:c>
      <x:c r="D330" t="str">
        <x:f>IFERROR(IF(0=LEN(ReferenceData!$D$330),"",ReferenceData!$D$330),"")</x:f>
        <x:v/>
      </x:c>
      <x:c r="E330" t="str">
        <x:f>IFERROR(IF(0=LEN(ReferenceData!$E$330),"",ReferenceData!$E$330),"")</x:f>
        <x:v>Expression</x:v>
      </x:c>
      <x:c r="F330">
        <x:f ca="1">IFERROR(IF(0=LEN(ReferenceData!$F$330),"",ReferenceData!$F$330),"")</x:f>
        <x:v>-23.635704</x:v>
      </x:c>
      <x:c r="G330">
        <x:f ca="1">IFERROR(IF(0=LEN(ReferenceData!$G$330),"",ReferenceData!$G$330),"")</x:f>
        <x:v>160.97065799999999</x:v>
      </x:c>
      <x:c r="H330">
        <x:f ca="1">IFERROR(IF(0=LEN(ReferenceData!$H$330),"",ReferenceData!$H$330),"")</x:f>
        <x:v>-226.273235</x:v>
      </x:c>
      <x:c r="I330">
        <x:f ca="1">IFERROR(IF(0=LEN(ReferenceData!$I$330),"",ReferenceData!$I$330),"")</x:f>
        <x:v>-75.453545000000005</x:v>
      </x:c>
      <x:c r="J330">
        <x:f ca="1">IFERROR(IF(0=LEN(ReferenceData!$J$330),"",ReferenceData!$J$330),"")</x:f>
        <x:v>-103.991625</x:v>
      </x:c>
      <x:c r="K330">
        <x:f ca="1">IFERROR(IF(0=LEN(ReferenceData!$K$330),"",ReferenceData!$K$330),"")</x:f>
        <x:v>-126.51728</x:v>
      </x:c>
      <x:c r="L330">
        <x:f ca="1">IFERROR(IF(0=LEN(ReferenceData!$L$330),"",ReferenceData!$L$330),"")</x:f>
        <x:v>-133.31273999999999</x:v>
      </x:c>
      <x:c r="M330">
        <x:f ca="1">IFERROR(IF(0=LEN(ReferenceData!$M$330),"",ReferenceData!$M$330),"")</x:f>
        <x:v>138.81026499999999</x:v>
      </x:c>
      <x:c r="N330">
        <x:f ca="1">IFERROR(IF(0=LEN(ReferenceData!$N$330),"",ReferenceData!$N$330),"")</x:f>
        <x:v>174.439075</x:v>
      </x:c>
      <x:c r="O330">
        <x:f ca="1">IFERROR(IF(0=LEN(ReferenceData!$O$330),"",ReferenceData!$O$330),"")</x:f>
        <x:v>383.32704999999999</x:v>
      </x:c>
      <x:c r="P330">
        <x:f ca="1">IFERROR(IF(0=LEN(ReferenceData!$P$330),"",ReferenceData!$P$330),"")</x:f>
        <x:v>453.08328499999999</x:v>
      </x:c>
      <x:c r="Q330">
        <x:f ca="1">IFERROR(IF(0=LEN(ReferenceData!$Q$330),"",ReferenceData!$Q$330),"")</x:f>
        <x:v>233.01751999999999</x:v>
      </x:c>
      <x:c r="R330">
        <x:f ca="1">IFERROR(IF(0=LEN(ReferenceData!$R$330),"",ReferenceData!$R$330),"")</x:f>
        <x:v>207.92252500000001</x:v>
      </x:c>
      <x:c r="S330">
        <x:f ca="1">IFERROR(IF(0=LEN(ReferenceData!$S$330),"",ReferenceData!$S$330),"")</x:f>
        <x:v>58.956814999999999</x:v>
      </x:c>
    </x:row>
    <x:row r="331" spans="1:19" x14ac:dyDescent="0.25">
      <x:c r="A331" t="str">
        <x:f>IFERROR(IF(0=LEN(ReferenceData!$A$331),"",ReferenceData!$A$331),"")</x:f>
        <x:v xml:space="preserve">        First Trust Industrials/Produc</x:v>
      </x:c>
      <x:c r="B331" t="str">
        <x:f>IFERROR(IF(0=LEN(ReferenceData!$B$331),"",ReferenceData!$B$331),"")</x:f>
        <x:v>FXR US Equity</x:v>
      </x:c>
      <x:c r="C331" t="str">
        <x:f>IFERROR(IF(0=LEN(ReferenceData!$C$331),"",ReferenceData!$C$331),"")</x:f>
        <x:v/>
      </x:c>
      <x:c r="D331" t="str">
        <x:f>IFERROR(IF(0=LEN(ReferenceData!$D$331),"",ReferenceData!$D$331),"")</x:f>
        <x:v/>
      </x:c>
      <x:c r="E331" t="str">
        <x:f>IFERROR(IF(0=LEN(ReferenceData!$E$331),"",ReferenceData!$E$331),"")</x:f>
        <x:v>Expression</x:v>
      </x:c>
      <x:c r="F331">
        <x:f ca="1">IFERROR(IF(0=LEN(ReferenceData!$F$331),"",ReferenceData!$F$331),"")</x:f>
        <x:v>-45.710448</x:v>
      </x:c>
      <x:c r="G331">
        <x:f ca="1">IFERROR(IF(0=LEN(ReferenceData!$G$331),"",ReferenceData!$G$331),"")</x:f>
        <x:v>-60.524498000000001</x:v>
      </x:c>
      <x:c r="H331">
        <x:f ca="1">IFERROR(IF(0=LEN(ReferenceData!$H$331),"",ReferenceData!$H$331),"")</x:f>
        <x:v>-14.944805000000001</x:v>
      </x:c>
      <x:c r="I331">
        <x:f ca="1">IFERROR(IF(0=LEN(ReferenceData!$I$331),"",ReferenceData!$I$331),"")</x:f>
        <x:v>24.223458999999998</x:v>
      </x:c>
      <x:c r="J331">
        <x:f ca="1">IFERROR(IF(0=LEN(ReferenceData!$J$331),"",ReferenceData!$J$331),"")</x:f>
        <x:v>25.211500000000001</x:v>
      </x:c>
      <x:c r="K331">
        <x:f ca="1">IFERROR(IF(0=LEN(ReferenceData!$K$331),"",ReferenceData!$K$331),"")</x:f>
        <x:v>-23.794499999999999</x:v>
      </x:c>
      <x:c r="L331">
        <x:f ca="1">IFERROR(IF(0=LEN(ReferenceData!$L$331),"",ReferenceData!$L$331),"")</x:f>
        <x:v>-10.7735</x:v>
      </x:c>
      <x:c r="M331">
        <x:f ca="1">IFERROR(IF(0=LEN(ReferenceData!$M$331),"",ReferenceData!$M$331),"")</x:f>
        <x:v>-35.152999999999999</x:v>
      </x:c>
      <x:c r="N331">
        <x:f ca="1">IFERROR(IF(0=LEN(ReferenceData!$N$331),"",ReferenceData!$N$331),"")</x:f>
        <x:v>-9.0519999999999996</x:v>
      </x:c>
      <x:c r="O331">
        <x:f ca="1">IFERROR(IF(0=LEN(ReferenceData!$O$331),"",ReferenceData!$O$331),"")</x:f>
        <x:v>40.414999999999999</x:v>
      </x:c>
      <x:c r="P331">
        <x:f ca="1">IFERROR(IF(0=LEN(ReferenceData!$P$331),"",ReferenceData!$P$331),"")</x:f>
        <x:v>0.29499999999999998</x:v>
      </x:c>
      <x:c r="Q331">
        <x:f ca="1">IFERROR(IF(0=LEN(ReferenceData!$Q$331),"",ReferenceData!$Q$331),"")</x:f>
        <x:v>-15.218370999999999</x:v>
      </x:c>
      <x:c r="R331">
        <x:f ca="1">IFERROR(IF(0=LEN(ReferenceData!$R$331),"",ReferenceData!$R$331),"")</x:f>
        <x:v>7.0261430000000002</x:v>
      </x:c>
      <x:c r="S331">
        <x:f ca="1">IFERROR(IF(0=LEN(ReferenceData!$S$331),"",ReferenceData!$S$331),"")</x:f>
        <x:v>-33.726230000000001</x:v>
      </x:c>
    </x:row>
    <x:row r="332" spans="1:19" x14ac:dyDescent="0.25">
      <x:c r="A332" t="str">
        <x:f>IFERROR(IF(0=LEN(ReferenceData!$A$332),"",ReferenceData!$A$332),"")</x:f>
        <x:v xml:space="preserve">        iShares U.S. Industrials ETF</x:v>
      </x:c>
      <x:c r="B332" t="str">
        <x:f>IFERROR(IF(0=LEN(ReferenceData!$B$332),"",ReferenceData!$B$332),"")</x:f>
        <x:v>IYJ US Equity</x:v>
      </x:c>
      <x:c r="C332" t="str">
        <x:f>IFERROR(IF(0=LEN(ReferenceData!$C$332),"",ReferenceData!$C$332),"")</x:f>
        <x:v/>
      </x:c>
      <x:c r="D332" t="str">
        <x:f>IFERROR(IF(0=LEN(ReferenceData!$D$332),"",ReferenceData!$D$332),"")</x:f>
        <x:v/>
      </x:c>
      <x:c r="E332" t="str">
        <x:f>IFERROR(IF(0=LEN(ReferenceData!$E$332),"",ReferenceData!$E$332),"")</x:f>
        <x:v>Expression</x:v>
      </x:c>
      <x:c r="F332">
        <x:f ca="1">IFERROR(IF(0=LEN(ReferenceData!$F$332),"",ReferenceData!$F$332),"")</x:f>
        <x:v>-10.09774</x:v>
      </x:c>
      <x:c r="G332">
        <x:f ca="1">IFERROR(IF(0=LEN(ReferenceData!$G$332),"",ReferenceData!$G$332),"")</x:f>
        <x:v>-9.7824690000000007</x:v>
      </x:c>
      <x:c r="H332">
        <x:f ca="1">IFERROR(IF(0=LEN(ReferenceData!$H$332),"",ReferenceData!$H$332),"")</x:f>
        <x:v>-52.221815999999997</x:v>
      </x:c>
      <x:c r="I332">
        <x:f ca="1">IFERROR(IF(0=LEN(ReferenceData!$I$332),"",ReferenceData!$I$332),"")</x:f>
        <x:v>-15.820155</x:v>
      </x:c>
      <x:c r="J332">
        <x:f ca="1">IFERROR(IF(0=LEN(ReferenceData!$J$332),"",ReferenceData!$J$332),"")</x:f>
        <x:v>96.978125000000006</x:v>
      </x:c>
      <x:c r="K332">
        <x:f ca="1">IFERROR(IF(0=LEN(ReferenceData!$K$332),"",ReferenceData!$K$332),"")</x:f>
        <x:v>-107.398995</x:v>
      </x:c>
      <x:c r="L332">
        <x:f ca="1">IFERROR(IF(0=LEN(ReferenceData!$L$332),"",ReferenceData!$L$332),"")</x:f>
        <x:v>-9.8900600000000001</x:v>
      </x:c>
      <x:c r="M332">
        <x:f ca="1">IFERROR(IF(0=LEN(ReferenceData!$M$332),"",ReferenceData!$M$332),"")</x:f>
        <x:v>-10.024975</x:v>
      </x:c>
      <x:c r="N332">
        <x:f ca="1">IFERROR(IF(0=LEN(ReferenceData!$N$332),"",ReferenceData!$N$332),"")</x:f>
        <x:v>-19.771474999999999</x:v>
      </x:c>
      <x:c r="O332">
        <x:f ca="1">IFERROR(IF(0=LEN(ReferenceData!$O$332),"",ReferenceData!$O$332),"")</x:f>
        <x:v>-10.191509999999999</x:v>
      </x:c>
      <x:c r="P332">
        <x:f ca="1">IFERROR(IF(0=LEN(ReferenceData!$P$332),"",ReferenceData!$P$332),"")</x:f>
        <x:v>-79.771664999999999</x:v>
      </x:c>
      <x:c r="Q332">
        <x:f ca="1">IFERROR(IF(0=LEN(ReferenceData!$Q$332),"",ReferenceData!$Q$332),"")</x:f>
        <x:v>202.80197999999999</x:v>
      </x:c>
      <x:c r="R332">
        <x:f ca="1">IFERROR(IF(0=LEN(ReferenceData!$R$332),"",ReferenceData!$R$332),"")</x:f>
        <x:v>-4.91934</x:v>
      </x:c>
      <x:c r="S332">
        <x:f ca="1">IFERROR(IF(0=LEN(ReferenceData!$S$332),"",ReferenceData!$S$332),"")</x:f>
        <x:v>-21.869289999999999</x:v>
      </x:c>
    </x:row>
    <x:row r="333" spans="1:19" x14ac:dyDescent="0.25">
      <x:c r="A333" t="str">
        <x:f>IFERROR(IF(0=LEN(ReferenceData!$A$333),"",ReferenceData!$A$333),"")</x:f>
        <x:v xml:space="preserve">        iShares US Transportation ETF</x:v>
      </x:c>
      <x:c r="B333" t="str">
        <x:f>IFERROR(IF(0=LEN(ReferenceData!$B$333),"",ReferenceData!$B$333),"")</x:f>
        <x:v>IYT US Equity</x:v>
      </x:c>
      <x:c r="C333" t="str">
        <x:f>IFERROR(IF(0=LEN(ReferenceData!$C$333),"",ReferenceData!$C$333),"")</x:f>
        <x:v/>
      </x:c>
      <x:c r="D333" t="str">
        <x:f>IFERROR(IF(0=LEN(ReferenceData!$D$333),"",ReferenceData!$D$333),"")</x:f>
        <x:v/>
      </x:c>
      <x:c r="E333" t="str">
        <x:f>IFERROR(IF(0=LEN(ReferenceData!$E$333),"",ReferenceData!$E$333),"")</x:f>
        <x:v>Expression</x:v>
      </x:c>
      <x:c r="F333">
        <x:f ca="1">IFERROR(IF(0=LEN(ReferenceData!$F$333),"",ReferenceData!$F$333),"")</x:f>
        <x:v>-10.889996999999999</x:v>
      </x:c>
      <x:c r="G333">
        <x:f ca="1">IFERROR(IF(0=LEN(ReferenceData!$G$333),"",ReferenceData!$G$333),"")</x:f>
        <x:v>-22.361554999999999</x:v>
      </x:c>
      <x:c r="H333">
        <x:f ca="1">IFERROR(IF(0=LEN(ReferenceData!$H$333),"",ReferenceData!$H$333),"")</x:f>
        <x:v>-165.855141</x:v>
      </x:c>
      <x:c r="I333">
        <x:f ca="1">IFERROR(IF(0=LEN(ReferenceData!$I$333),"",ReferenceData!$I$333),"")</x:f>
        <x:v>-36.941605000000003</x:v>
      </x:c>
      <x:c r="J333">
        <x:f ca="1">IFERROR(IF(0=LEN(ReferenceData!$J$333),"",ReferenceData!$J$333),"")</x:f>
        <x:v>182.24024499999999</x:v>
      </x:c>
      <x:c r="K333">
        <x:f ca="1">IFERROR(IF(0=LEN(ReferenceData!$K$333),"",ReferenceData!$K$333),"")</x:f>
        <x:v>116.60445</x:v>
      </x:c>
      <x:c r="L333">
        <x:f ca="1">IFERROR(IF(0=LEN(ReferenceData!$L$333),"",ReferenceData!$L$333),"")</x:f>
        <x:v>-67.843819999999994</x:v>
      </x:c>
      <x:c r="M333">
        <x:f ca="1">IFERROR(IF(0=LEN(ReferenceData!$M$333),"",ReferenceData!$M$333),"")</x:f>
        <x:v>66.653745000000001</x:v>
      </x:c>
      <x:c r="N333">
        <x:f ca="1">IFERROR(IF(0=LEN(ReferenceData!$N$333),"",ReferenceData!$N$333),"")</x:f>
        <x:v>2.0288550000000001</x:v>
      </x:c>
      <x:c r="O333">
        <x:f ca="1">IFERROR(IF(0=LEN(ReferenceData!$O$333),"",ReferenceData!$O$333),"")</x:f>
        <x:v>-2.3523849999999999</x:v>
      </x:c>
      <x:c r="P333">
        <x:f ca="1">IFERROR(IF(0=LEN(ReferenceData!$P$333),"",ReferenceData!$P$333),"")</x:f>
        <x:v>23.34018</x:v>
      </x:c>
      <x:c r="Q333">
        <x:f ca="1">IFERROR(IF(0=LEN(ReferenceData!$Q$333),"",ReferenceData!$Q$333),"")</x:f>
        <x:v>20.782530000000001</x:v>
      </x:c>
      <x:c r="R333">
        <x:f ca="1">IFERROR(IF(0=LEN(ReferenceData!$R$333),"",ReferenceData!$R$333),"")</x:f>
        <x:v>-98.236864999999995</x:v>
      </x:c>
      <x:c r="S333">
        <x:f ca="1">IFERROR(IF(0=LEN(ReferenceData!$S$333),"",ReferenceData!$S$333),"")</x:f>
        <x:v>-7.3706649999999998</x:v>
      </x:c>
    </x:row>
    <x:row r="334" spans="1:19" x14ac:dyDescent="0.25">
      <x:c r="A334" t="str">
        <x:f>IFERROR(IF(0=LEN(ReferenceData!$A$334),"",ReferenceData!$A$334),"")</x:f>
        <x:v xml:space="preserve">        SPDR S&amp;P Aerospace &amp; Defense E</x:v>
      </x:c>
      <x:c r="B334" t="str">
        <x:f>IFERROR(IF(0=LEN(ReferenceData!$B$334),"",ReferenceData!$B$334),"")</x:f>
        <x:v>XAR US Equity</x:v>
      </x:c>
      <x:c r="C334" t="str">
        <x:f>IFERROR(IF(0=LEN(ReferenceData!$C$334),"",ReferenceData!$C$334),"")</x:f>
        <x:v/>
      </x:c>
      <x:c r="D334" t="str">
        <x:f>IFERROR(IF(0=LEN(ReferenceData!$D$334),"",ReferenceData!$D$334),"")</x:f>
        <x:v/>
      </x:c>
      <x:c r="E334" t="str">
        <x:f>IFERROR(IF(0=LEN(ReferenceData!$E$334),"",ReferenceData!$E$334),"")</x:f>
        <x:v>Expression</x:v>
      </x:c>
      <x:c r="F334">
        <x:f ca="1">IFERROR(IF(0=LEN(ReferenceData!$F$334),"",ReferenceData!$F$334),"")</x:f>
        <x:v>45.360010000000003</x:v>
      </x:c>
      <x:c r="G334">
        <x:f ca="1">IFERROR(IF(0=LEN(ReferenceData!$G$334),"",ReferenceData!$G$334),"")</x:f>
        <x:v>118.191008</x:v>
      </x:c>
      <x:c r="H334">
        <x:f ca="1">IFERROR(IF(0=LEN(ReferenceData!$H$334),"",ReferenceData!$H$334),"")</x:f>
        <x:v>5.7943429999999996</x:v>
      </x:c>
      <x:c r="I334">
        <x:f ca="1">IFERROR(IF(0=LEN(ReferenceData!$I$334),"",ReferenceData!$I$334),"")</x:f>
        <x:v>12.255850000000001</x:v>
      </x:c>
      <x:c r="J334">
        <x:f ca="1">IFERROR(IF(0=LEN(ReferenceData!$J$334),"",ReferenceData!$J$334),"")</x:f>
        <x:v>12.230084</x:v>
      </x:c>
      <x:c r="K334">
        <x:f ca="1">IFERROR(IF(0=LEN(ReferenceData!$K$334),"",ReferenceData!$K$334),"")</x:f>
        <x:v>-5.6254780000000002</x:v>
      </x:c>
      <x:c r="L334">
        <x:f ca="1">IFERROR(IF(0=LEN(ReferenceData!$L$334),"",ReferenceData!$L$334),"")</x:f>
        <x:v>-11.308882000000001</x:v>
      </x:c>
      <x:c r="M334">
        <x:f ca="1">IFERROR(IF(0=LEN(ReferenceData!$M$334),"",ReferenceData!$M$334),"")</x:f>
        <x:v>5.9803230000000003</x:v>
      </x:c>
      <x:c r="N334">
        <x:f ca="1">IFERROR(IF(0=LEN(ReferenceData!$N$334),"",ReferenceData!$N$334),"")</x:f>
        <x:v>12.335039999999999</x:v>
      </x:c>
      <x:c r="O334">
        <x:f ca="1">IFERROR(IF(0=LEN(ReferenceData!$O$334),"",ReferenceData!$O$334),"")</x:f>
        <x:v>38.925955999999999</x:v>
      </x:c>
      <x:c r="P334">
        <x:f ca="1">IFERROR(IF(0=LEN(ReferenceData!$P$334),"",ReferenceData!$P$334),"")</x:f>
        <x:v>14.349643</x:v>
      </x:c>
      <x:c r="Q334">
        <x:f ca="1">IFERROR(IF(0=LEN(ReferenceData!$Q$334),"",ReferenceData!$Q$334),"")</x:f>
        <x:v>8.1976220000000009</x:v>
      </x:c>
      <x:c r="R334">
        <x:f ca="1">IFERROR(IF(0=LEN(ReferenceData!$R$334),"",ReferenceData!$R$334),"")</x:f>
        <x:v>7.6961680000000001</x:v>
      </x:c>
      <x:c r="S334">
        <x:f ca="1">IFERROR(IF(0=LEN(ReferenceData!$S$334),"",ReferenceData!$S$334),"")</x:f>
        <x:v>5.6389329999999998</x:v>
      </x:c>
    </x:row>
    <x:row r="335" spans="1:19" x14ac:dyDescent="0.25">
      <x:c r="A335" t="str">
        <x:f>IFERROR(IF(0=LEN(ReferenceData!$A$335),"",ReferenceData!$A$335),"")</x:f>
        <x:v xml:space="preserve">        Invesco Aerospace &amp; Defense ET</x:v>
      </x:c>
      <x:c r="B335" t="str">
        <x:f>IFERROR(IF(0=LEN(ReferenceData!$B$335),"",ReferenceData!$B$335),"")</x:f>
        <x:v>PPA US Equity</x:v>
      </x:c>
      <x:c r="C335" t="str">
        <x:f>IFERROR(IF(0=LEN(ReferenceData!$C$335),"",ReferenceData!$C$335),"")</x:f>
        <x:v/>
      </x:c>
      <x:c r="D335" t="str">
        <x:f>IFERROR(IF(0=LEN(ReferenceData!$D$335),"",ReferenceData!$D$335),"")</x:f>
        <x:v/>
      </x:c>
      <x:c r="E335" t="str">
        <x:f>IFERROR(IF(0=LEN(ReferenceData!$E$335),"",ReferenceData!$E$335),"")</x:f>
        <x:v>Expression</x:v>
      </x:c>
      <x:c r="F335">
        <x:f ca="1">IFERROR(IF(0=LEN(ReferenceData!$F$335),"",ReferenceData!$F$335),"")</x:f>
        <x:v>103.017037</x:v>
      </x:c>
      <x:c r="G335">
        <x:f ca="1">IFERROR(IF(0=LEN(ReferenceData!$G$335),"",ReferenceData!$G$335),"")</x:f>
        <x:v>179.80318399999999</x:v>
      </x:c>
      <x:c r="H335">
        <x:f ca="1">IFERROR(IF(0=LEN(ReferenceData!$H$335),"",ReferenceData!$H$335),"")</x:f>
        <x:v>27.679190999999999</x:v>
      </x:c>
      <x:c r="I335">
        <x:f ca="1">IFERROR(IF(0=LEN(ReferenceData!$I$335),"",ReferenceData!$I$335),"")</x:f>
        <x:v>19.237396</x:v>
      </x:c>
      <x:c r="J335">
        <x:f ca="1">IFERROR(IF(0=LEN(ReferenceData!$J$335),"",ReferenceData!$J$335),"")</x:f>
        <x:v>38.951022000000002</x:v>
      </x:c>
      <x:c r="K335">
        <x:f ca="1">IFERROR(IF(0=LEN(ReferenceData!$K$335),"",ReferenceData!$K$335),"")</x:f>
        <x:v>6.1737099999999998</x:v>
      </x:c>
      <x:c r="L335">
        <x:f ca="1">IFERROR(IF(0=LEN(ReferenceData!$L$335),"",ReferenceData!$L$335),"")</x:f>
        <x:v>-33.919837999999999</x:v>
      </x:c>
      <x:c r="M335">
        <x:f ca="1">IFERROR(IF(0=LEN(ReferenceData!$M$335),"",ReferenceData!$M$335),"")</x:f>
        <x:v>29.058952999999999</x:v>
      </x:c>
      <x:c r="N335">
        <x:f ca="1">IFERROR(IF(0=LEN(ReferenceData!$N$335),"",ReferenceData!$N$335),"")</x:f>
        <x:v>39.520052</x:v>
      </x:c>
      <x:c r="O335">
        <x:f ca="1">IFERROR(IF(0=LEN(ReferenceData!$O$335),"",ReferenceData!$O$335),"")</x:f>
        <x:v>63.933396000000002</x:v>
      </x:c>
      <x:c r="P335">
        <x:f ca="1">IFERROR(IF(0=LEN(ReferenceData!$P$335),"",ReferenceData!$P$335),"")</x:f>
        <x:v>28.318601999999998</x:v>
      </x:c>
      <x:c r="Q335">
        <x:f ca="1">IFERROR(IF(0=LEN(ReferenceData!$Q$335),"",ReferenceData!$Q$335),"")</x:f>
        <x:v>-45.895287000000003</x:v>
      </x:c>
      <x:c r="R335">
        <x:f ca="1">IFERROR(IF(0=LEN(ReferenceData!$R$335),"",ReferenceData!$R$335),"")</x:f>
        <x:v>80.392860999999996</x:v>
      </x:c>
      <x:c r="S335">
        <x:f ca="1">IFERROR(IF(0=LEN(ReferenceData!$S$335),"",ReferenceData!$S$335),"")</x:f>
        <x:v>76.560813999999993</x:v>
      </x:c>
    </x:row>
    <x:row r="336" spans="1:19" x14ac:dyDescent="0.25">
      <x:c r="A336" t="str">
        <x:f>IFERROR(IF(0=LEN(ReferenceData!$A$336),"",ReferenceData!$A$336),"")</x:f>
        <x:v xml:space="preserve">        Fidelity MSCI Industrials Inde</x:v>
      </x:c>
      <x:c r="B336" t="str">
        <x:f>IFERROR(IF(0=LEN(ReferenceData!$B$336),"",ReferenceData!$B$336),"")</x:f>
        <x:v>FIDU US Equity</x:v>
      </x:c>
      <x:c r="C336" t="str">
        <x:f>IFERROR(IF(0=LEN(ReferenceData!$C$336),"",ReferenceData!$C$336),"")</x:f>
        <x:v/>
      </x:c>
      <x:c r="D336" t="str">
        <x:f>IFERROR(IF(0=LEN(ReferenceData!$D$336),"",ReferenceData!$D$336),"")</x:f>
        <x:v/>
      </x:c>
      <x:c r="E336" t="str">
        <x:f>IFERROR(IF(0=LEN(ReferenceData!$E$336),"",ReferenceData!$E$336),"")</x:f>
        <x:v>Expression</x:v>
      </x:c>
      <x:c r="F336">
        <x:f ca="1">IFERROR(IF(0=LEN(ReferenceData!$F$336),"",ReferenceData!$F$336),"")</x:f>
        <x:v>2.8960900000000001</x:v>
      </x:c>
      <x:c r="G336">
        <x:f ca="1">IFERROR(IF(0=LEN(ReferenceData!$G$336),"",ReferenceData!$G$336),"")</x:f>
        <x:v>2.2694200000000002</x:v>
      </x:c>
      <x:c r="H336">
        <x:f ca="1">IFERROR(IF(0=LEN(ReferenceData!$H$336),"",ReferenceData!$H$336),"")</x:f>
        <x:v>8.3683049999999994</x:v>
      </x:c>
      <x:c r="I336">
        <x:f ca="1">IFERROR(IF(0=LEN(ReferenceData!$I$336),"",ReferenceData!$I$336),"")</x:f>
        <x:v>31.889875</x:v>
      </x:c>
      <x:c r="J336">
        <x:f ca="1">IFERROR(IF(0=LEN(ReferenceData!$J$336),"",ReferenceData!$J$336),"")</x:f>
        <x:v>23.067550000000001</x:v>
      </x:c>
      <x:c r="K336">
        <x:f ca="1">IFERROR(IF(0=LEN(ReferenceData!$K$336),"",ReferenceData!$K$336),"")</x:f>
        <x:v>2.8835950000000001</x:v>
      </x:c>
      <x:c r="L336">
        <x:f ca="1">IFERROR(IF(0=LEN(ReferenceData!$L$336),"",ReferenceData!$L$336),"")</x:f>
        <x:v>-5.2545149999999996</x:v>
      </x:c>
      <x:c r="M336">
        <x:f ca="1">IFERROR(IF(0=LEN(ReferenceData!$M$336),"",ReferenceData!$M$336),"")</x:f>
        <x:v>-7.8420350000000001</x:v>
      </x:c>
      <x:c r="N336">
        <x:f ca="1">IFERROR(IF(0=LEN(ReferenceData!$N$336),"",ReferenceData!$N$336),"")</x:f>
        <x:v>-10.89659</x:v>
      </x:c>
      <x:c r="O336">
        <x:f ca="1">IFERROR(IF(0=LEN(ReferenceData!$O$336),"",ReferenceData!$O$336),"")</x:f>
        <x:v>-13.653969999999999</x:v>
      </x:c>
      <x:c r="P336">
        <x:f ca="1">IFERROR(IF(0=LEN(ReferenceData!$P$336),"",ReferenceData!$P$336),"")</x:f>
        <x:v>7.7240900000000003</x:v>
      </x:c>
      <x:c r="Q336">
        <x:f ca="1">IFERROR(IF(0=LEN(ReferenceData!$Q$336),"",ReferenceData!$Q$336),"")</x:f>
        <x:v>7.7039999999999997E-2</x:v>
      </x:c>
      <x:c r="R336">
        <x:f ca="1">IFERROR(IF(0=LEN(ReferenceData!$R$336),"",ReferenceData!$R$336),"")</x:f>
        <x:v>15.32713</x:v>
      </x:c>
      <x:c r="S336">
        <x:f ca="1">IFERROR(IF(0=LEN(ReferenceData!$S$336),"",ReferenceData!$S$336),"")</x:f>
        <x:v>-1.92855</x:v>
      </x:c>
    </x:row>
    <x:row r="337" spans="1:19" x14ac:dyDescent="0.25">
      <x:c r="A337" t="str">
        <x:f>IFERROR(IF(0=LEN(ReferenceData!$A$337),"",ReferenceData!$A$337),"")</x:f>
        <x:v xml:space="preserve">        iShares Global Industrials ETF</x:v>
      </x:c>
      <x:c r="B337" t="str">
        <x:f>IFERROR(IF(0=LEN(ReferenceData!$B$337),"",ReferenceData!$B$337),"")</x:f>
        <x:v>EXI US Equity</x:v>
      </x:c>
      <x:c r="C337" t="str">
        <x:f>IFERROR(IF(0=LEN(ReferenceData!$C$337),"",ReferenceData!$C$337),"")</x:f>
        <x:v/>
      </x:c>
      <x:c r="D337" t="str">
        <x:f>IFERROR(IF(0=LEN(ReferenceData!$D$337),"",ReferenceData!$D$337),"")</x:f>
        <x:v/>
      </x:c>
      <x:c r="E337" t="str">
        <x:f>IFERROR(IF(0=LEN(ReferenceData!$E$337),"",ReferenceData!$E$337),"")</x:f>
        <x:v>Expression</x:v>
      </x:c>
      <x:c r="F337">
        <x:f ca="1">IFERROR(IF(0=LEN(ReferenceData!$F$337),"",ReferenceData!$F$337),"")</x:f>
        <x:v>11.668778</x:v>
      </x:c>
      <x:c r="G337">
        <x:f ca="1">IFERROR(IF(0=LEN(ReferenceData!$G$337),"",ReferenceData!$G$337),"")</x:f>
        <x:v>-27.361408000000001</x:v>
      </x:c>
      <x:c r="H337">
        <x:f ca="1">IFERROR(IF(0=LEN(ReferenceData!$H$337),"",ReferenceData!$H$337),"")</x:f>
        <x:v>130.95160899999999</x:v>
      </x:c>
      <x:c r="I337">
        <x:f ca="1">IFERROR(IF(0=LEN(ReferenceData!$I$337),"",ReferenceData!$I$337),"")</x:f>
        <x:v>35.723565000000001</x:v>
      </x:c>
      <x:c r="J337">
        <x:f ca="1">IFERROR(IF(0=LEN(ReferenceData!$J$337),"",ReferenceData!$J$337),"")</x:f>
        <x:v>12.204335</x:v>
      </x:c>
      <x:c r="K337">
        <x:f ca="1">IFERROR(IF(0=LEN(ReferenceData!$K$337),"",ReferenceData!$K$337),"")</x:f>
        <x:v>-57.178959999999996</x:v>
      </x:c>
      <x:c r="L337">
        <x:f ca="1">IFERROR(IF(0=LEN(ReferenceData!$L$337),"",ReferenceData!$L$337),"")</x:f>
        <x:v>-39.777940000000001</x:v>
      </x:c>
      <x:c r="M337">
        <x:f ca="1">IFERROR(IF(0=LEN(ReferenceData!$M$337),"",ReferenceData!$M$337),"")</x:f>
        <x:v>109.198435</x:v>
      </x:c>
      <x:c r="N337">
        <x:f ca="1">IFERROR(IF(0=LEN(ReferenceData!$N$337),"",ReferenceData!$N$337),"")</x:f>
        <x:v>-5.4329400000000003</x:v>
      </x:c>
      <x:c r="O337">
        <x:f ca="1">IFERROR(IF(0=LEN(ReferenceData!$O$337),"",ReferenceData!$O$337),"")</x:f>
        <x:v>-11.128259999999999</x:v>
      </x:c>
      <x:c r="P337">
        <x:f ca="1">IFERROR(IF(0=LEN(ReferenceData!$P$337),"",ReferenceData!$P$337),"")</x:f>
        <x:v>11.217510000000001</x:v>
      </x:c>
      <x:c r="Q337">
        <x:f ca="1">IFERROR(IF(0=LEN(ReferenceData!$Q$337),"",ReferenceData!$Q$337),"")</x:f>
        <x:v>10.886725</x:v>
      </x:c>
      <x:c r="R337">
        <x:f ca="1">IFERROR(IF(0=LEN(ReferenceData!$R$337),"",ReferenceData!$R$337),"")</x:f>
        <x:v>32.869979999999998</x:v>
      </x:c>
      <x:c r="S337">
        <x:f ca="1">IFERROR(IF(0=LEN(ReferenceData!$S$337),"",ReferenceData!$S$337),"")</x:f>
        <x:v>-23.477715</x:v>
      </x:c>
    </x:row>
    <x:row r="338" spans="1:19" x14ac:dyDescent="0.25">
      <x:c r="A338" t="str">
        <x:f>IFERROR(IF(0=LEN(ReferenceData!$A$338),"",ReferenceData!$A$338),"")</x:f>
        <x:v xml:space="preserve">        First Trust RBA American Indus</x:v>
      </x:c>
      <x:c r="B338" t="str">
        <x:f>IFERROR(IF(0=LEN(ReferenceData!$B$338),"",ReferenceData!$B$338),"")</x:f>
        <x:v>AIRR US Equity</x:v>
      </x:c>
      <x:c r="C338" t="str">
        <x:f>IFERROR(IF(0=LEN(ReferenceData!$C$338),"",ReferenceData!$C$338),"")</x:f>
        <x:v/>
      </x:c>
      <x:c r="D338" t="str">
        <x:f>IFERROR(IF(0=LEN(ReferenceData!$D$338),"",ReferenceData!$D$338),"")</x:f>
        <x:v/>
      </x:c>
      <x:c r="E338" t="str">
        <x:f>IFERROR(IF(0=LEN(ReferenceData!$E$338),"",ReferenceData!$E$338),"")</x:f>
        <x:v>Expression</x:v>
      </x:c>
      <x:c r="F338">
        <x:f ca="1">IFERROR(IF(0=LEN(ReferenceData!$F$338),"",ReferenceData!$F$338),"")</x:f>
        <x:v>4.9215840000000002</x:v>
      </x:c>
      <x:c r="G338">
        <x:f ca="1">IFERROR(IF(0=LEN(ReferenceData!$G$338),"",ReferenceData!$G$338),"")</x:f>
        <x:v>21.60821</x:v>
      </x:c>
      <x:c r="H338">
        <x:f ca="1">IFERROR(IF(0=LEN(ReferenceData!$H$338),"",ReferenceData!$H$338),"")</x:f>
        <x:v>34.316358999999999</x:v>
      </x:c>
      <x:c r="I338">
        <x:f ca="1">IFERROR(IF(0=LEN(ReferenceData!$I$338),"",ReferenceData!$I$338),"")</x:f>
        <x:v>27.195142000000001</x:v>
      </x:c>
      <x:c r="J338">
        <x:f ca="1">IFERROR(IF(0=LEN(ReferenceData!$J$338),"",ReferenceData!$J$338),"")</x:f>
        <x:v>48.973168999999999</x:v>
      </x:c>
      <x:c r="K338">
        <x:f ca="1">IFERROR(IF(0=LEN(ReferenceData!$K$338),"",ReferenceData!$K$338),"")</x:f>
        <x:v>62.883865</x:v>
      </x:c>
      <x:c r="L338">
        <x:f ca="1">IFERROR(IF(0=LEN(ReferenceData!$L$338),"",ReferenceData!$L$338),"")</x:f>
        <x:v>0.18217</x:v>
      </x:c>
      <x:c r="M338">
        <x:f ca="1">IFERROR(IF(0=LEN(ReferenceData!$M$338),"",ReferenceData!$M$338),"")</x:f>
        <x:v>-9.2013809999999996</x:v>
      </x:c>
      <x:c r="N338">
        <x:f ca="1">IFERROR(IF(0=LEN(ReferenceData!$N$338),"",ReferenceData!$N$338),"")</x:f>
        <x:v>50.64188</x:v>
      </x:c>
      <x:c r="O338">
        <x:f ca="1">IFERROR(IF(0=LEN(ReferenceData!$O$338),"",ReferenceData!$O$338),"")</x:f>
        <x:v>19.695765999999999</x:v>
      </x:c>
      <x:c r="P338">
        <x:f ca="1">IFERROR(IF(0=LEN(ReferenceData!$P$338),"",ReferenceData!$P$338),"")</x:f>
        <x:v>4.2082680000000003</x:v>
      </x:c>
      <x:c r="Q338">
        <x:f ca="1">IFERROR(IF(0=LEN(ReferenceData!$Q$338),"",ReferenceData!$Q$338),"")</x:f>
        <x:v>2.3161269999999998</x:v>
      </x:c>
      <x:c r="R338">
        <x:f ca="1">IFERROR(IF(0=LEN(ReferenceData!$R$338),"",ReferenceData!$R$338),"")</x:f>
        <x:v>16.024830999999999</x:v>
      </x:c>
      <x:c r="S338">
        <x:f ca="1">IFERROR(IF(0=LEN(ReferenceData!$S$338),"",ReferenceData!$S$338),"")</x:f>
        <x:v>9.1566229999999997</x:v>
      </x:c>
    </x:row>
    <x:row r="339" spans="1:19" x14ac:dyDescent="0.25">
      <x:c r="A339" t="str">
        <x:f>IFERROR(IF(0=LEN(ReferenceData!$A$339),"",ReferenceData!$A$339),"")</x:f>
        <x:v xml:space="preserve">        Invesco S&amp;P 500 Equal Weight I</x:v>
      </x:c>
      <x:c r="B339" t="str">
        <x:f>IFERROR(IF(0=LEN(ReferenceData!$B$339),"",ReferenceData!$B$339),"")</x:f>
        <x:v>RGI US Equity</x:v>
      </x:c>
      <x:c r="C339" t="str">
        <x:f>IFERROR(IF(0=LEN(ReferenceData!$C$339),"",ReferenceData!$C$339),"")</x:f>
        <x:v/>
      </x:c>
      <x:c r="D339" t="str">
        <x:f>IFERROR(IF(0=LEN(ReferenceData!$D$339),"",ReferenceData!$D$339),"")</x:f>
        <x:v/>
      </x:c>
      <x:c r="E339" t="str">
        <x:f>IFERROR(IF(0=LEN(ReferenceData!$E$339),"",ReferenceData!$E$339),"")</x:f>
        <x:v>Expression</x:v>
      </x:c>
      <x:c r="F339">
        <x:f ca="1">IFERROR(IF(0=LEN(ReferenceData!$F$339),"",ReferenceData!$F$339),"")</x:f>
        <x:v>-1.1760250000000001</x:v>
      </x:c>
      <x:c r="G339">
        <x:f ca="1">IFERROR(IF(0=LEN(ReferenceData!$G$339),"",ReferenceData!$G$339),"")</x:f>
        <x:v>0.13218299999999999</x:v>
      </x:c>
      <x:c r="H339">
        <x:f ca="1">IFERROR(IF(0=LEN(ReferenceData!$H$339),"",ReferenceData!$H$339),"")</x:f>
        <x:v>20.916730000000001</x:v>
      </x:c>
      <x:c r="I339">
        <x:f ca="1">IFERROR(IF(0=LEN(ReferenceData!$I$339),"",ReferenceData!$I$339),"")</x:f>
        <x:v>14.543868</x:v>
      </x:c>
      <x:c r="J339">
        <x:f ca="1">IFERROR(IF(0=LEN(ReferenceData!$J$339),"",ReferenceData!$J$339),"")</x:f>
        <x:v>38.569316000000001</x:v>
      </x:c>
      <x:c r="K339">
        <x:f ca="1">IFERROR(IF(0=LEN(ReferenceData!$K$339),"",ReferenceData!$K$339),"")</x:f>
        <x:v>104.118937</x:v>
      </x:c>
      <x:c r="L339" t="str">
        <x:f ca="1">IFERROR(IF(0=LEN(ReferenceData!$L$339),"",ReferenceData!$L$339),"")</x:f>
        <x:v/>
      </x:c>
      <x:c r="M339" t="str">
        <x:f ca="1">IFERROR(IF(0=LEN(ReferenceData!$M$339),"",ReferenceData!$M$339),"")</x:f>
        <x:v/>
      </x:c>
      <x:c r="N339" t="str">
        <x:f ca="1">IFERROR(IF(0=LEN(ReferenceData!$N$339),"",ReferenceData!$N$339),"")</x:f>
        <x:v/>
      </x:c>
      <x:c r="O339" t="str">
        <x:f ca="1">IFERROR(IF(0=LEN(ReferenceData!$O$339),"",ReferenceData!$O$339),"")</x:f>
        <x:v/>
      </x:c>
      <x:c r="P339" t="str">
        <x:f ca="1">IFERROR(IF(0=LEN(ReferenceData!$P$339),"",ReferenceData!$P$339),"")</x:f>
        <x:v/>
      </x:c>
      <x:c r="Q339" t="str">
        <x:f ca="1">IFERROR(IF(0=LEN(ReferenceData!$Q$339),"",ReferenceData!$Q$339),"")</x:f>
        <x:v/>
      </x:c>
      <x:c r="R339" t="str">
        <x:f ca="1">IFERROR(IF(0=LEN(ReferenceData!$R$339),"",ReferenceData!$R$339),"")</x:f>
        <x:v/>
      </x:c>
      <x:c r="S339" t="str">
        <x:f ca="1">IFERROR(IF(0=LEN(ReferenceData!$S$339),"",ReferenceData!$S$339),"")</x:f>
        <x:v/>
      </x:c>
    </x:row>
    <x:row r="340" spans="1:19" x14ac:dyDescent="0.25">
      <x:c r="A340" t="str">
        <x:f>IFERROR(IF(0=LEN(ReferenceData!$A$340),"",ReferenceData!$A$340),"")</x:f>
        <x:v xml:space="preserve">        SPDR S&amp;P Transportation ETF</x:v>
      </x:c>
      <x:c r="B340" t="str">
        <x:f>IFERROR(IF(0=LEN(ReferenceData!$B$340),"",ReferenceData!$B$340),"")</x:f>
        <x:v>XTN US Equity</x:v>
      </x:c>
      <x:c r="C340" t="str">
        <x:f>IFERROR(IF(0=LEN(ReferenceData!$C$340),"",ReferenceData!$C$340),"")</x:f>
        <x:v/>
      </x:c>
      <x:c r="D340" t="str">
        <x:f>IFERROR(IF(0=LEN(ReferenceData!$D$340),"",ReferenceData!$D$340),"")</x:f>
        <x:v/>
      </x:c>
      <x:c r="E340" t="str">
        <x:f>IFERROR(IF(0=LEN(ReferenceData!$E$340),"",ReferenceData!$E$340),"")</x:f>
        <x:v>Expression</x:v>
      </x:c>
      <x:c r="F340">
        <x:f ca="1">IFERROR(IF(0=LEN(ReferenceData!$F$340),"",ReferenceData!$F$340),"")</x:f>
        <x:v>-4.2622980000000004</x:v>
      </x:c>
      <x:c r="G340">
        <x:f ca="1">IFERROR(IF(0=LEN(ReferenceData!$G$340),"",ReferenceData!$G$340),"")</x:f>
        <x:v>-8.6743959999999998</x:v>
      </x:c>
      <x:c r="H340">
        <x:f ca="1">IFERROR(IF(0=LEN(ReferenceData!$H$340),"",ReferenceData!$H$340),"")</x:f>
        <x:v>-14.063572000000001</x:v>
      </x:c>
      <x:c r="I340">
        <x:f ca="1">IFERROR(IF(0=LEN(ReferenceData!$I$340),"",ReferenceData!$I$340),"")</x:f>
        <x:v>-8.0508629999999997</x:v>
      </x:c>
      <x:c r="J340">
        <x:f ca="1">IFERROR(IF(0=LEN(ReferenceData!$J$340),"",ReferenceData!$J$340),"")</x:f>
        <x:v>6.377338</x:v>
      </x:c>
      <x:c r="K340">
        <x:f ca="1">IFERROR(IF(0=LEN(ReferenceData!$K$340),"",ReferenceData!$K$340),"")</x:f>
        <x:v>2.8297140000000001</x:v>
      </x:c>
      <x:c r="L340">
        <x:f ca="1">IFERROR(IF(0=LEN(ReferenceData!$L$340),"",ReferenceData!$L$340),"")</x:f>
        <x:v>-8.6157170000000001</x:v>
      </x:c>
      <x:c r="M340">
        <x:f ca="1">IFERROR(IF(0=LEN(ReferenceData!$M$340),"",ReferenceData!$M$340),"")</x:f>
        <x:v>-21.34815</x:v>
      </x:c>
      <x:c r="N340">
        <x:f ca="1">IFERROR(IF(0=LEN(ReferenceData!$N$340),"",ReferenceData!$N$340),"")</x:f>
        <x:v>15.232912000000001</x:v>
      </x:c>
      <x:c r="O340">
        <x:f ca="1">IFERROR(IF(0=LEN(ReferenceData!$O$340),"",ReferenceData!$O$340),"")</x:f>
        <x:v>-2.915756</x:v>
      </x:c>
      <x:c r="P340">
        <x:f ca="1">IFERROR(IF(0=LEN(ReferenceData!$P$340),"",ReferenceData!$P$340),"")</x:f>
        <x:v>-201.24943999999999</x:v>
      </x:c>
      <x:c r="Q340">
        <x:f ca="1">IFERROR(IF(0=LEN(ReferenceData!$Q$340),"",ReferenceData!$Q$340),"")</x:f>
        <x:v>-5.9836580000000001</x:v>
      </x:c>
      <x:c r="R340">
        <x:f ca="1">IFERROR(IF(0=LEN(ReferenceData!$R$340),"",ReferenceData!$R$340),"")</x:f>
        <x:v>-9.4275880000000001</x:v>
      </x:c>
      <x:c r="S340">
        <x:f ca="1">IFERROR(IF(0=LEN(ReferenceData!$S$340),"",ReferenceData!$S$340),"")</x:f>
        <x:v>-13.409202000000001</x:v>
      </x:c>
    </x:row>
    <x:row r="341" spans="1:19" x14ac:dyDescent="0.25">
      <x:c r="A341" t="str">
        <x:f>IFERROR(IF(0=LEN(ReferenceData!$A$341),"",ReferenceData!$A$341),"")</x:f>
        <x:v xml:space="preserve">        Invesco DWA Industrials Moment</x:v>
      </x:c>
      <x:c r="B341" t="str">
        <x:f>IFERROR(IF(0=LEN(ReferenceData!$B$341),"",ReferenceData!$B$341),"")</x:f>
        <x:v>PRN US Equity</x:v>
      </x:c>
      <x:c r="C341" t="str">
        <x:f>IFERROR(IF(0=LEN(ReferenceData!$C$341),"",ReferenceData!$C$341),"")</x:f>
        <x:v/>
      </x:c>
      <x:c r="D341" t="str">
        <x:f>IFERROR(IF(0=LEN(ReferenceData!$D$341),"",ReferenceData!$D$341),"")</x:f>
        <x:v/>
      </x:c>
      <x:c r="E341" t="str">
        <x:f>IFERROR(IF(0=LEN(ReferenceData!$E$341),"",ReferenceData!$E$341),"")</x:f>
        <x:v>Expression</x:v>
      </x:c>
      <x:c r="F341">
        <x:f ca="1">IFERROR(IF(0=LEN(ReferenceData!$F$341),"",ReferenceData!$F$341),"")</x:f>
        <x:v>-1.012813</x:v>
      </x:c>
      <x:c r="G341">
        <x:f ca="1">IFERROR(IF(0=LEN(ReferenceData!$G$341),"",ReferenceData!$G$341),"")</x:f>
        <x:v>-2.9555150000000001</x:v>
      </x:c>
      <x:c r="H341">
        <x:f ca="1">IFERROR(IF(0=LEN(ReferenceData!$H$341),"",ReferenceData!$H$341),"")</x:f>
        <x:v>5.2824999999999997E-2</x:v>
      </x:c>
      <x:c r="I341">
        <x:f ca="1">IFERROR(IF(0=LEN(ReferenceData!$I$341),"",ReferenceData!$I$341),"")</x:f>
        <x:v>4.3147539999999998</x:v>
      </x:c>
      <x:c r="J341">
        <x:f ca="1">IFERROR(IF(0=LEN(ReferenceData!$J$341),"",ReferenceData!$J$341),"")</x:f>
        <x:v>1.060074</x:v>
      </x:c>
      <x:c r="K341">
        <x:f ca="1">IFERROR(IF(0=LEN(ReferenceData!$K$341),"",ReferenceData!$K$341),"")</x:f>
        <x:v>0.68911500000000003</x:v>
      </x:c>
      <x:c r="L341">
        <x:f ca="1">IFERROR(IF(0=LEN(ReferenceData!$L$341),"",ReferenceData!$L$341),"")</x:f>
        <x:v>0.97096700000000002</x:v>
      </x:c>
      <x:c r="M341">
        <x:f ca="1">IFERROR(IF(0=LEN(ReferenceData!$M$341),"",ReferenceData!$M$341),"")</x:f>
        <x:v>-1.8153680000000001</x:v>
      </x:c>
      <x:c r="N341">
        <x:f ca="1">IFERROR(IF(0=LEN(ReferenceData!$N$341),"",ReferenceData!$N$341),"")</x:f>
        <x:v>0</x:v>
      </x:c>
      <x:c r="O341">
        <x:f ca="1">IFERROR(IF(0=LEN(ReferenceData!$O$341),"",ReferenceData!$O$341),"")</x:f>
        <x:v>0</x:v>
      </x:c>
      <x:c r="P341">
        <x:f ca="1">IFERROR(IF(0=LEN(ReferenceData!$P$341),"",ReferenceData!$P$341),"")</x:f>
        <x:v>19.684615999999998</x:v>
      </x:c>
      <x:c r="Q341">
        <x:f ca="1">IFERROR(IF(0=LEN(ReferenceData!$Q$341),"",ReferenceData!$Q$341),"")</x:f>
        <x:v>-6.137982</x:v>
      </x:c>
      <x:c r="R341">
        <x:f ca="1">IFERROR(IF(0=LEN(ReferenceData!$R$341),"",ReferenceData!$R$341),"")</x:f>
        <x:v>-1.786821</x:v>
      </x:c>
      <x:c r="S341">
        <x:f ca="1">IFERROR(IF(0=LEN(ReferenceData!$S$341),"",ReferenceData!$S$341),"")</x:f>
        <x:v>-4.243188</x:v>
      </x:c>
    </x:row>
    <x:row r="342" spans="1:19" x14ac:dyDescent="0.25">
      <x:c r="A342" t="str">
        <x:f>IFERROR(IF(0=LEN(ReferenceData!$A$342),"",ReferenceData!$A$342),"")</x:f>
        <x:v xml:space="preserve">        US Global Sea to Sky Cargo ETF</x:v>
      </x:c>
      <x:c r="B342" t="str">
        <x:f>IFERROR(IF(0=LEN(ReferenceData!$B$342),"",ReferenceData!$B$342),"")</x:f>
        <x:v>SEA US Equity</x:v>
      </x:c>
      <x:c r="C342" t="str">
        <x:f>IFERROR(IF(0=LEN(ReferenceData!$C$342),"",ReferenceData!$C$342),"")</x:f>
        <x:v/>
      </x:c>
      <x:c r="D342" t="str">
        <x:f>IFERROR(IF(0=LEN(ReferenceData!$D$342),"",ReferenceData!$D$342),"")</x:f>
        <x:v/>
      </x:c>
      <x:c r="E342" t="str">
        <x:f>IFERROR(IF(0=LEN(ReferenceData!$E$342),"",ReferenceData!$E$342),"")</x:f>
        <x:v>Expression</x:v>
      </x:c>
      <x:c r="F342">
        <x:f ca="1">IFERROR(IF(0=LEN(ReferenceData!$F$342),"",ReferenceData!$F$342),"")</x:f>
        <x:v>0</x:v>
      </x:c>
      <x:c r="G342">
        <x:f ca="1">IFERROR(IF(0=LEN(ReferenceData!$G$342),"",ReferenceData!$G$342),"")</x:f>
        <x:v>0.72338000000000002</x:v>
      </x:c>
      <x:c r="H342">
        <x:f ca="1">IFERROR(IF(0=LEN(ReferenceData!$H$342),"",ReferenceData!$H$342),"")</x:f>
        <x:v>0</x:v>
      </x:c>
      <x:c r="I342">
        <x:f ca="1">IFERROR(IF(0=LEN(ReferenceData!$I$342),"",ReferenceData!$I$342),"")</x:f>
        <x:v>0</x:v>
      </x:c>
      <x:c r="J342">
        <x:f ca="1">IFERROR(IF(0=LEN(ReferenceData!$J$342),"",ReferenceData!$J$342),"")</x:f>
        <x:v>0</x:v>
      </x:c>
      <x:c r="K342">
        <x:f ca="1">IFERROR(IF(0=LEN(ReferenceData!$K$342),"",ReferenceData!$K$342),"")</x:f>
        <x:v>0</x:v>
      </x:c>
      <x:c r="L342">
        <x:f ca="1">IFERROR(IF(0=LEN(ReferenceData!$L$342),"",ReferenceData!$L$342),"")</x:f>
        <x:v>0</x:v>
      </x:c>
      <x:c r="M342">
        <x:f ca="1">IFERROR(IF(0=LEN(ReferenceData!$M$342),"",ReferenceData!$M$342),"")</x:f>
        <x:v>0</x:v>
      </x:c>
      <x:c r="N342">
        <x:f ca="1">IFERROR(IF(0=LEN(ReferenceData!$N$342),"",ReferenceData!$N$342),"")</x:f>
        <x:v>0</x:v>
      </x:c>
      <x:c r="O342">
        <x:f ca="1">IFERROR(IF(0=LEN(ReferenceData!$O$342),"",ReferenceData!$O$342),"")</x:f>
        <x:v>-0.73387500000000006</x:v>
      </x:c>
      <x:c r="P342">
        <x:f ca="1">IFERROR(IF(0=LEN(ReferenceData!$P$342),"",ReferenceData!$P$342),"")</x:f>
        <x:v>-0.71185500000000002</x:v>
      </x:c>
      <x:c r="Q342">
        <x:f ca="1">IFERROR(IF(0=LEN(ReferenceData!$Q$342),"",ReferenceData!$Q$342),"")</x:f>
        <x:v>0.41961999999999999</x:v>
      </x:c>
      <x:c r="R342">
        <x:f ca="1">IFERROR(IF(0=LEN(ReferenceData!$R$342),"",ReferenceData!$R$342),"")</x:f>
        <x:v>0</x:v>
      </x:c>
      <x:c r="S342">
        <x:f ca="1">IFERROR(IF(0=LEN(ReferenceData!$S$342),"",ReferenceData!$S$342),"")</x:f>
        <x:v>0</x:v>
      </x:c>
    </x:row>
    <x:row r="343" spans="1:19" x14ac:dyDescent="0.25">
      <x:c r="A343" t="str">
        <x:f>IFERROR(IF(0=LEN(ReferenceData!$A$343),"",ReferenceData!$A$343),"")</x:f>
        <x:v xml:space="preserve">        Invesco S&amp;P SmallCap Industria</x:v>
      </x:c>
      <x:c r="B343" t="str">
        <x:f>IFERROR(IF(0=LEN(ReferenceData!$B$343),"",ReferenceData!$B$343),"")</x:f>
        <x:v>PSCI US Equity</x:v>
      </x:c>
      <x:c r="C343" t="str">
        <x:f>IFERROR(IF(0=LEN(ReferenceData!$C$343),"",ReferenceData!$C$343),"")</x:f>
        <x:v/>
      </x:c>
      <x:c r="D343" t="str">
        <x:f>IFERROR(IF(0=LEN(ReferenceData!$D$343),"",ReferenceData!$D$343),"")</x:f>
        <x:v/>
      </x:c>
      <x:c r="E343" t="str">
        <x:f>IFERROR(IF(0=LEN(ReferenceData!$E$343),"",ReferenceData!$E$343),"")</x:f>
        <x:v>Expression</x:v>
      </x:c>
      <x:c r="F343">
        <x:f ca="1">IFERROR(IF(0=LEN(ReferenceData!$F$343),"",ReferenceData!$F$343),"")</x:f>
        <x:v>0</x:v>
      </x:c>
      <x:c r="G343">
        <x:f ca="1">IFERROR(IF(0=LEN(ReferenceData!$G$343),"",ReferenceData!$G$343),"")</x:f>
        <x:v>-1.9099109999999999</x:v>
      </x:c>
      <x:c r="H343">
        <x:f ca="1">IFERROR(IF(0=LEN(ReferenceData!$H$343),"",ReferenceData!$H$343),"")</x:f>
        <x:v>7.127478</x:v>
      </x:c>
      <x:c r="I343">
        <x:f ca="1">IFERROR(IF(0=LEN(ReferenceData!$I$343),"",ReferenceData!$I$343),"")</x:f>
        <x:v>2.091755</x:v>
      </x:c>
      <x:c r="J343">
        <x:f ca="1">IFERROR(IF(0=LEN(ReferenceData!$J$343),"",ReferenceData!$J$343),"")</x:f>
        <x:v>3.0988180000000001</x:v>
      </x:c>
      <x:c r="K343">
        <x:f ca="1">IFERROR(IF(0=LEN(ReferenceData!$K$343),"",ReferenceData!$K$343),"")</x:f>
        <x:v>4.057277</x:v>
      </x:c>
      <x:c r="L343">
        <x:f ca="1">IFERROR(IF(0=LEN(ReferenceData!$L$343),"",ReferenceData!$L$343),"")</x:f>
        <x:v>39.249178000000001</x:v>
      </x:c>
      <x:c r="M343">
        <x:f ca="1">IFERROR(IF(0=LEN(ReferenceData!$M$343),"",ReferenceData!$M$343),"")</x:f>
        <x:v>-3.6975769999999999</x:v>
      </x:c>
      <x:c r="N343">
        <x:f ca="1">IFERROR(IF(0=LEN(ReferenceData!$N$343),"",ReferenceData!$N$343),"")</x:f>
        <x:v>4.9427539999999999</x:v>
      </x:c>
      <x:c r="O343">
        <x:f ca="1">IFERROR(IF(0=LEN(ReferenceData!$O$343),"",ReferenceData!$O$343),"")</x:f>
        <x:v>-0.952515</x:v>
      </x:c>
      <x:c r="P343">
        <x:f ca="1">IFERROR(IF(0=LEN(ReferenceData!$P$343),"",ReferenceData!$P$343),"")</x:f>
        <x:v>0</x:v>
      </x:c>
      <x:c r="Q343">
        <x:f ca="1">IFERROR(IF(0=LEN(ReferenceData!$Q$343),"",ReferenceData!$Q$343),"")</x:f>
        <x:v>-0.89876999999999996</x:v>
      </x:c>
      <x:c r="R343">
        <x:f ca="1">IFERROR(IF(0=LEN(ReferenceData!$R$343),"",ReferenceData!$R$343),"")</x:f>
        <x:v>-0.97441</x:v>
      </x:c>
      <x:c r="S343">
        <x:f ca="1">IFERROR(IF(0=LEN(ReferenceData!$S$343),"",ReferenceData!$S$343),"")</x:f>
        <x:v>1.752567</x:v>
      </x:c>
    </x:row>
    <x:row r="344" spans="1:19" x14ac:dyDescent="0.25">
      <x:c r="A344" t="str">
        <x:f>IFERROR(IF(0=LEN(ReferenceData!$A$344),"",ReferenceData!$A$344),"")</x:f>
        <x:v xml:space="preserve">        SPDR S&amp;P International Industr</x:v>
      </x:c>
      <x:c r="B344" t="str">
        <x:f>IFERROR(IF(0=LEN(ReferenceData!$B$344),"",ReferenceData!$B$344),"")</x:f>
        <x:v>IPN US Equity</x:v>
      </x:c>
      <x:c r="C344" t="str">
        <x:f>IFERROR(IF(0=LEN(ReferenceData!$C$344),"",ReferenceData!$C$344),"")</x:f>
        <x:v/>
      </x:c>
      <x:c r="D344" t="str">
        <x:f>IFERROR(IF(0=LEN(ReferenceData!$D$344),"",ReferenceData!$D$344),"")</x:f>
        <x:v/>
      </x:c>
      <x:c r="E344" t="str">
        <x:f>IFERROR(IF(0=LEN(ReferenceData!$E$344),"",ReferenceData!$E$344),"")</x:f>
        <x:v>Expression</x:v>
      </x:c>
      <x:c r="F344" t="str">
        <x:f ca="1">IFERROR(IF(0=LEN(ReferenceData!$F$344),"",ReferenceData!$F$344),"")</x:f>
        <x:v/>
      </x:c>
      <x:c r="G344" t="str">
        <x:f ca="1">IFERROR(IF(0=LEN(ReferenceData!$G$344),"",ReferenceData!$G$344),"")</x:f>
        <x:v/>
      </x:c>
      <x:c r="H344" t="str">
        <x:f ca="1">IFERROR(IF(0=LEN(ReferenceData!$H$344),"",ReferenceData!$H$344),"")</x:f>
        <x:v/>
      </x:c>
      <x:c r="I344" t="str">
        <x:f ca="1">IFERROR(IF(0=LEN(ReferenceData!$I$344),"",ReferenceData!$I$344),"")</x:f>
        <x:v/>
      </x:c>
      <x:c r="J344" t="str">
        <x:f ca="1">IFERROR(IF(0=LEN(ReferenceData!$J$344),"",ReferenceData!$J$344),"")</x:f>
        <x:v/>
      </x:c>
      <x:c r="K344" t="str">
        <x:f ca="1">IFERROR(IF(0=LEN(ReferenceData!$K$344),"",ReferenceData!$K$344),"")</x:f>
        <x:v/>
      </x:c>
      <x:c r="L344" t="str">
        <x:f ca="1">IFERROR(IF(0=LEN(ReferenceData!$L$344),"",ReferenceData!$L$344),"")</x:f>
        <x:v/>
      </x:c>
      <x:c r="M344" t="str">
        <x:f ca="1">IFERROR(IF(0=LEN(ReferenceData!$M$344),"",ReferenceData!$M$344),"")</x:f>
        <x:v/>
      </x:c>
      <x:c r="N344" t="str">
        <x:f ca="1">IFERROR(IF(0=LEN(ReferenceData!$N$344),"",ReferenceData!$N$344),"")</x:f>
        <x:v/>
      </x:c>
      <x:c r="O344" t="str">
        <x:f ca="1">IFERROR(IF(0=LEN(ReferenceData!$O$344),"",ReferenceData!$O$344),"")</x:f>
        <x:v/>
      </x:c>
      <x:c r="P344" t="str">
        <x:f ca="1">IFERROR(IF(0=LEN(ReferenceData!$P$344),"",ReferenceData!$P$344),"")</x:f>
        <x:v/>
      </x:c>
      <x:c r="Q344" t="str">
        <x:f ca="1">IFERROR(IF(0=LEN(ReferenceData!$Q$344),"",ReferenceData!$Q$344),"")</x:f>
        <x:v/>
      </x:c>
      <x:c r="R344" t="str">
        <x:f ca="1">IFERROR(IF(0=LEN(ReferenceData!$R$344),"",ReferenceData!$R$344),"")</x:f>
        <x:v/>
      </x:c>
      <x:c r="S344" t="str">
        <x:f ca="1">IFERROR(IF(0=LEN(ReferenceData!$S$344),"",ReferenceData!$S$344),"")</x:f>
        <x:v/>
      </x:c>
    </x:row>
    <x:row r="345" spans="1:19" x14ac:dyDescent="0.25">
      <x:c r="A345" t="str">
        <x:f>IFERROR(IF(0=LEN(ReferenceData!$A$345),"",ReferenceData!$A$345),"")</x:f>
        <x:v xml:space="preserve">        John Hancock Multifactor Indus</x:v>
      </x:c>
      <x:c r="B345" t="str">
        <x:f>IFERROR(IF(0=LEN(ReferenceData!$B$345),"",ReferenceData!$B$345),"")</x:f>
        <x:v>JHMI US Equity</x:v>
      </x:c>
      <x:c r="C345" t="str">
        <x:f>IFERROR(IF(0=LEN(ReferenceData!$C$345),"",ReferenceData!$C$345),"")</x:f>
        <x:v/>
      </x:c>
      <x:c r="D345" t="str">
        <x:f>IFERROR(IF(0=LEN(ReferenceData!$D$345),"",ReferenceData!$D$345),"")</x:f>
        <x:v/>
      </x:c>
      <x:c r="E345" t="str">
        <x:f>IFERROR(IF(0=LEN(ReferenceData!$E$345),"",ReferenceData!$E$345),"")</x:f>
        <x:v>Expression</x:v>
      </x:c>
      <x:c r="F345" t="str">
        <x:f ca="1">IFERROR(IF(0=LEN(ReferenceData!$F$345),"",ReferenceData!$F$345),"")</x:f>
        <x:v/>
      </x:c>
      <x:c r="G345" t="str">
        <x:f ca="1">IFERROR(IF(0=LEN(ReferenceData!$G$345),"",ReferenceData!$G$345),"")</x:f>
        <x:v/>
      </x:c>
      <x:c r="H345" t="str">
        <x:f ca="1">IFERROR(IF(0=LEN(ReferenceData!$H$345),"",ReferenceData!$H$345),"")</x:f>
        <x:v/>
      </x:c>
      <x:c r="I345" t="str">
        <x:f ca="1">IFERROR(IF(0=LEN(ReferenceData!$I$345),"",ReferenceData!$I$345),"")</x:f>
        <x:v/>
      </x:c>
      <x:c r="J345" t="str">
        <x:f ca="1">IFERROR(IF(0=LEN(ReferenceData!$J$345),"",ReferenceData!$J$345),"")</x:f>
        <x:v/>
      </x:c>
      <x:c r="K345" t="str">
        <x:f ca="1">IFERROR(IF(0=LEN(ReferenceData!$K$345),"",ReferenceData!$K$345),"")</x:f>
        <x:v/>
      </x:c>
      <x:c r="L345" t="str">
        <x:f ca="1">IFERROR(IF(0=LEN(ReferenceData!$L$345),"",ReferenceData!$L$345),"")</x:f>
        <x:v/>
      </x:c>
      <x:c r="M345" t="str">
        <x:f ca="1">IFERROR(IF(0=LEN(ReferenceData!$M$345),"",ReferenceData!$M$345),"")</x:f>
        <x:v/>
      </x:c>
      <x:c r="N345" t="str">
        <x:f ca="1">IFERROR(IF(0=LEN(ReferenceData!$N$345),"",ReferenceData!$N$345),"")</x:f>
        <x:v/>
      </x:c>
      <x:c r="O345" t="str">
        <x:f ca="1">IFERROR(IF(0=LEN(ReferenceData!$O$345),"",ReferenceData!$O$345),"")</x:f>
        <x:v/>
      </x:c>
      <x:c r="P345" t="str">
        <x:f ca="1">IFERROR(IF(0=LEN(ReferenceData!$P$345),"",ReferenceData!$P$345),"")</x:f>
        <x:v/>
      </x:c>
      <x:c r="Q345" t="str">
        <x:f ca="1">IFERROR(IF(0=LEN(ReferenceData!$Q$345),"",ReferenceData!$Q$345),"")</x:f>
        <x:v/>
      </x:c>
      <x:c r="R345" t="str">
        <x:f ca="1">IFERROR(IF(0=LEN(ReferenceData!$R$345),"",ReferenceData!$R$345),"")</x:f>
        <x:v/>
      </x:c>
      <x:c r="S345">
        <x:f ca="1">IFERROR(IF(0=LEN(ReferenceData!$S$345),"",ReferenceData!$S$345),"")</x:f>
        <x:v>-1.767803</x:v>
      </x:c>
    </x:row>
    <x:row r="346" spans="1:19" x14ac:dyDescent="0.25">
      <x:c r="A346" t="str">
        <x:f>IFERROR(IF(0=LEN(ReferenceData!$A$346),"",ReferenceData!$A$346),"")</x:f>
        <x:v xml:space="preserve">        ProShares Ultra Industrials</x:v>
      </x:c>
      <x:c r="B346" t="str">
        <x:f>IFERROR(IF(0=LEN(ReferenceData!$B$346),"",ReferenceData!$B$346),"")</x:f>
        <x:v>UXI US Equity</x:v>
      </x:c>
      <x:c r="C346" t="str">
        <x:f>IFERROR(IF(0=LEN(ReferenceData!$C$346),"",ReferenceData!$C$346),"")</x:f>
        <x:v/>
      </x:c>
      <x:c r="D346" t="str">
        <x:f>IFERROR(IF(0=LEN(ReferenceData!$D$346),"",ReferenceData!$D$346),"")</x:f>
        <x:v/>
      </x:c>
      <x:c r="E346" t="str">
        <x:f>IFERROR(IF(0=LEN(ReferenceData!$E$346),"",ReferenceData!$E$346),"")</x:f>
        <x:v>Expression</x:v>
      </x:c>
      <x:c r="F346">
        <x:f ca="1">IFERROR(IF(0=LEN(ReferenceData!$F$346),"",ReferenceData!$F$346),"")</x:f>
        <x:v>0</x:v>
      </x:c>
      <x:c r="G346">
        <x:f ca="1">IFERROR(IF(0=LEN(ReferenceData!$G$346),"",ReferenceData!$G$346),"")</x:f>
        <x:v>-2.1805029999999999</x:v>
      </x:c>
      <x:c r="H346">
        <x:f ca="1">IFERROR(IF(0=LEN(ReferenceData!$H$346),"",ReferenceData!$H$346),"")</x:f>
        <x:v>-3.2092879999999999</x:v>
      </x:c>
      <x:c r="I346">
        <x:f ca="1">IFERROR(IF(0=LEN(ReferenceData!$I$346),"",ReferenceData!$I$346),"")</x:f>
        <x:v>2.1415009999999999</x:v>
      </x:c>
      <x:c r="J346">
        <x:f ca="1">IFERROR(IF(0=LEN(ReferenceData!$J$346),"",ReferenceData!$J$346),"")</x:f>
        <x:v>0.51838899999999999</x:v>
      </x:c>
      <x:c r="K346">
        <x:f ca="1">IFERROR(IF(0=LEN(ReferenceData!$K$346),"",ReferenceData!$K$346),"")</x:f>
        <x:v>-0.73160800000000004</x:v>
      </x:c>
      <x:c r="L346">
        <x:f ca="1">IFERROR(IF(0=LEN(ReferenceData!$L$346),"",ReferenceData!$L$346),"")</x:f>
        <x:v>-0.21746599999999999</x:v>
      </x:c>
      <x:c r="M346">
        <x:f ca="1">IFERROR(IF(0=LEN(ReferenceData!$M$346),"",ReferenceData!$M$346),"")</x:f>
        <x:v>0</x:v>
      </x:c>
      <x:c r="N346">
        <x:f ca="1">IFERROR(IF(0=LEN(ReferenceData!$N$346),"",ReferenceData!$N$346),"")</x:f>
        <x:v>0</x:v>
      </x:c>
      <x:c r="O346">
        <x:f ca="1">IFERROR(IF(0=LEN(ReferenceData!$O$346),"",ReferenceData!$O$346),"")</x:f>
        <x:v>0.76881900000000003</x:v>
      </x:c>
      <x:c r="P346">
        <x:f ca="1">IFERROR(IF(0=LEN(ReferenceData!$P$346),"",ReferenceData!$P$346),"")</x:f>
        <x:v>-0.23796400000000001</x:v>
      </x:c>
      <x:c r="Q346">
        <x:f ca="1">IFERROR(IF(0=LEN(ReferenceData!$Q$346),"",ReferenceData!$Q$346),"")</x:f>
        <x:v>0</x:v>
      </x:c>
      <x:c r="R346">
        <x:f ca="1">IFERROR(IF(0=LEN(ReferenceData!$R$346),"",ReferenceData!$R$346),"")</x:f>
        <x:v>1.31847</x:v>
      </x:c>
      <x:c r="S346">
        <x:f ca="1">IFERROR(IF(0=LEN(ReferenceData!$S$346),"",ReferenceData!$S$346),"")</x:f>
        <x:v>1.107275</x:v>
      </x:c>
    </x:row>
    <x:row r="347" spans="1:19" x14ac:dyDescent="0.25">
      <x:c r="A347" t="str">
        <x:f>IFERROR(IF(0=LEN(ReferenceData!$A$347),"",ReferenceData!$A$347),"")</x:f>
        <x:v xml:space="preserve">        VanEck Environmental Services</x:v>
      </x:c>
      <x:c r="B347" t="str">
        <x:f>IFERROR(IF(0=LEN(ReferenceData!$B$347),"",ReferenceData!$B$347),"")</x:f>
        <x:v>EVX US Equity</x:v>
      </x:c>
      <x:c r="C347" t="str">
        <x:f>IFERROR(IF(0=LEN(ReferenceData!$C$347),"",ReferenceData!$C$347),"")</x:f>
        <x:v/>
      </x:c>
      <x:c r="D347" t="str">
        <x:f>IFERROR(IF(0=LEN(ReferenceData!$D$347),"",ReferenceData!$D$347),"")</x:f>
        <x:v/>
      </x:c>
      <x:c r="E347" t="str">
        <x:f>IFERROR(IF(0=LEN(ReferenceData!$E$347),"",ReferenceData!$E$347),"")</x:f>
        <x:v>Expression</x:v>
      </x:c>
      <x:c r="F347">
        <x:f ca="1">IFERROR(IF(0=LEN(ReferenceData!$F$347),"",ReferenceData!$F$347),"")</x:f>
        <x:v>0</x:v>
      </x:c>
      <x:c r="G347">
        <x:f ca="1">IFERROR(IF(0=LEN(ReferenceData!$G$347),"",ReferenceData!$G$347),"")</x:f>
        <x:v>0</x:v>
      </x:c>
      <x:c r="H347">
        <x:f ca="1">IFERROR(IF(0=LEN(ReferenceData!$H$347),"",ReferenceData!$H$347),"")</x:f>
        <x:v>-1.500272</x:v>
      </x:c>
      <x:c r="I347">
        <x:f ca="1">IFERROR(IF(0=LEN(ReferenceData!$I$347),"",ReferenceData!$I$347),"")</x:f>
        <x:v>3.0696099999999999</x:v>
      </x:c>
      <x:c r="J347">
        <x:f ca="1">IFERROR(IF(0=LEN(ReferenceData!$J$347),"",ReferenceData!$J$347),"")</x:f>
        <x:v>9.6789170000000002</x:v>
      </x:c>
      <x:c r="K347">
        <x:f ca="1">IFERROR(IF(0=LEN(ReferenceData!$K$347),"",ReferenceData!$K$347),"")</x:f>
        <x:v>-6.3202999999999995E-2</x:v>
      </x:c>
      <x:c r="L347">
        <x:f ca="1">IFERROR(IF(0=LEN(ReferenceData!$L$347),"",ReferenceData!$L$347),"")</x:f>
        <x:v>0</x:v>
      </x:c>
      <x:c r="M347">
        <x:f ca="1">IFERROR(IF(0=LEN(ReferenceData!$M$347),"",ReferenceData!$M$347),"")</x:f>
        <x:v>-2.8381620000000001</x:v>
      </x:c>
      <x:c r="N347">
        <x:f ca="1">IFERROR(IF(0=LEN(ReferenceData!$N$347),"",ReferenceData!$N$347),"")</x:f>
        <x:v>-8.5119E-2</x:v>
      </x:c>
      <x:c r="O347">
        <x:f ca="1">IFERROR(IF(0=LEN(ReferenceData!$O$347),"",ReferenceData!$O$347),"")</x:f>
        <x:v>0</x:v>
      </x:c>
      <x:c r="P347">
        <x:f ca="1">IFERROR(IF(0=LEN(ReferenceData!$P$347),"",ReferenceData!$P$347),"")</x:f>
        <x:v>-2.8488560000000001</x:v>
      </x:c>
      <x:c r="Q347">
        <x:f ca="1">IFERROR(IF(0=LEN(ReferenceData!$Q$347),"",ReferenceData!$Q$347),"")</x:f>
        <x:v>-3.9069999999999999E-3</x:v>
      </x:c>
      <x:c r="R347">
        <x:f ca="1">IFERROR(IF(0=LEN(ReferenceData!$R$347),"",ReferenceData!$R$347),"")</x:f>
        <x:v>-1.3928579999999999</x:v>
      </x:c>
      <x:c r="S347">
        <x:f ca="1">IFERROR(IF(0=LEN(ReferenceData!$S$347),"",ReferenceData!$S$347),"")</x:f>
        <x:v>0</x:v>
      </x:c>
    </x:row>
    <x:row r="348" spans="1:19" x14ac:dyDescent="0.25">
      <x:c r="A348" t="str">
        <x:f>IFERROR(IF(0=LEN(ReferenceData!$A$348),"",ReferenceData!$A$348),"")</x:f>
        <x:v xml:space="preserve">        First Trust Alerian US NextGen</x:v>
      </x:c>
      <x:c r="B348" t="str">
        <x:f>IFERROR(IF(0=LEN(ReferenceData!$B$348),"",ReferenceData!$B$348),"")</x:f>
        <x:v>FLM US Equity</x:v>
      </x:c>
      <x:c r="C348" t="str">
        <x:f>IFERROR(IF(0=LEN(ReferenceData!$C$348),"",ReferenceData!$C$348),"")</x:f>
        <x:v/>
      </x:c>
      <x:c r="D348" t="str">
        <x:f>IFERROR(IF(0=LEN(ReferenceData!$D$348),"",ReferenceData!$D$348),"")</x:f>
        <x:v/>
      </x:c>
      <x:c r="E348" t="str">
        <x:f>IFERROR(IF(0=LEN(ReferenceData!$E$348),"",ReferenceData!$E$348),"")</x:f>
        <x:v>Expression</x:v>
      </x:c>
      <x:c r="F348">
        <x:f ca="1">IFERROR(IF(0=LEN(ReferenceData!$F$348),"",ReferenceData!$F$348),"")</x:f>
        <x:v>0</x:v>
      </x:c>
      <x:c r="G348">
        <x:f ca="1">IFERROR(IF(0=LEN(ReferenceData!$G$348),"",ReferenceData!$G$348),"")</x:f>
        <x:v>0</x:v>
      </x:c>
      <x:c r="H348">
        <x:f ca="1">IFERROR(IF(0=LEN(ReferenceData!$H$348),"",ReferenceData!$H$348),"")</x:f>
        <x:v>0</x:v>
      </x:c>
      <x:c r="I348">
        <x:f ca="1">IFERROR(IF(0=LEN(ReferenceData!$I$348),"",ReferenceData!$I$348),"")</x:f>
        <x:v>0</x:v>
      </x:c>
      <x:c r="J348">
        <x:f ca="1">IFERROR(IF(0=LEN(ReferenceData!$J$348),"",ReferenceData!$J$348),"")</x:f>
        <x:v>0</x:v>
      </x:c>
      <x:c r="K348">
        <x:f ca="1">IFERROR(IF(0=LEN(ReferenceData!$K$348),"",ReferenceData!$K$348),"")</x:f>
        <x:v>0</x:v>
      </x:c>
      <x:c r="L348">
        <x:f ca="1">IFERROR(IF(0=LEN(ReferenceData!$L$348),"",ReferenceData!$L$348),"")</x:f>
        <x:v>0</x:v>
      </x:c>
      <x:c r="M348">
        <x:f ca="1">IFERROR(IF(0=LEN(ReferenceData!$M$348),"",ReferenceData!$M$348),"")</x:f>
        <x:v>0</x:v>
      </x:c>
      <x:c r="N348">
        <x:f ca="1">IFERROR(IF(0=LEN(ReferenceData!$N$348),"",ReferenceData!$N$348),"")</x:f>
        <x:v>0</x:v>
      </x:c>
      <x:c r="O348">
        <x:f ca="1">IFERROR(IF(0=LEN(ReferenceData!$O$348),"",ReferenceData!$O$348),"")</x:f>
        <x:v>0</x:v>
      </x:c>
      <x:c r="P348">
        <x:f ca="1">IFERROR(IF(0=LEN(ReferenceData!$P$348),"",ReferenceData!$P$348),"")</x:f>
        <x:v>0</x:v>
      </x:c>
      <x:c r="Q348">
        <x:f ca="1">IFERROR(IF(0=LEN(ReferenceData!$Q$348),"",ReferenceData!$Q$348),"")</x:f>
        <x:v>0</x:v>
      </x:c>
      <x:c r="R348">
        <x:f ca="1">IFERROR(IF(0=LEN(ReferenceData!$R$348),"",ReferenceData!$R$348),"")</x:f>
        <x:v>0</x:v>
      </x:c>
      <x:c r="S348">
        <x:f ca="1">IFERROR(IF(0=LEN(ReferenceData!$S$348),"",ReferenceData!$S$348),"")</x:f>
        <x:v>-2.1500189999999999</x:v>
      </x:c>
    </x:row>
    <x:row r="349" spans="1:19" x14ac:dyDescent="0.25">
      <x:c r="A349" t="str">
        <x:f>IFERROR(IF(0=LEN(ReferenceData!$A$349),"",ReferenceData!$A$349),"")</x:f>
        <x:v xml:space="preserve">        Wedbush ETFMG Global Cloud Tec</x:v>
      </x:c>
      <x:c r="B349" t="str">
        <x:f>IFERROR(IF(0=LEN(ReferenceData!$B$349),"",ReferenceData!$B$349),"")</x:f>
        <x:v>IVES US Equity</x:v>
      </x:c>
      <x:c r="C349" t="str">
        <x:f>IFERROR(IF(0=LEN(ReferenceData!$C$349),"",ReferenceData!$C$349),"")</x:f>
        <x:v/>
      </x:c>
      <x:c r="D349" t="str">
        <x:f>IFERROR(IF(0=LEN(ReferenceData!$D$349),"",ReferenceData!$D$349),"")</x:f>
        <x:v/>
      </x:c>
      <x:c r="E349" t="str">
        <x:f>IFERROR(IF(0=LEN(ReferenceData!$E$349),"",ReferenceData!$E$349),"")</x:f>
        <x:v>Expression</x:v>
      </x:c>
      <x:c r="F349">
        <x:f ca="1">IFERROR(IF(0=LEN(ReferenceData!$F$349),"",ReferenceData!$F$349),"")</x:f>
        <x:v>0</x:v>
      </x:c>
      <x:c r="G349">
        <x:f ca="1">IFERROR(IF(0=LEN(ReferenceData!$G$349),"",ReferenceData!$G$349),"")</x:f>
        <x:v>-3.5318499999999999</x:v>
      </x:c>
      <x:c r="H349">
        <x:f ca="1">IFERROR(IF(0=LEN(ReferenceData!$H$349),"",ReferenceData!$H$349),"")</x:f>
        <x:v>-1.8433550000000001</x:v>
      </x:c>
      <x:c r="I349">
        <x:f ca="1">IFERROR(IF(0=LEN(ReferenceData!$I$349),"",ReferenceData!$I$349),"")</x:f>
        <x:v>3.5370400000000002</x:v>
      </x:c>
      <x:c r="J349">
        <x:f ca="1">IFERROR(IF(0=LEN(ReferenceData!$J$349),"",ReferenceData!$J$349),"")</x:f>
        <x:v>0</x:v>
      </x:c>
      <x:c r="K349">
        <x:f ca="1">IFERROR(IF(0=LEN(ReferenceData!$K$349),"",ReferenceData!$K$349),"")</x:f>
        <x:v>0</x:v>
      </x:c>
      <x:c r="L349">
        <x:f ca="1">IFERROR(IF(0=LEN(ReferenceData!$L$349),"",ReferenceData!$L$349),"")</x:f>
        <x:v>-1.583885</x:v>
      </x:c>
      <x:c r="M349">
        <x:f ca="1">IFERROR(IF(0=LEN(ReferenceData!$M$349),"",ReferenceData!$M$349),"")</x:f>
        <x:v>0</x:v>
      </x:c>
      <x:c r="N349">
        <x:f ca="1">IFERROR(IF(0=LEN(ReferenceData!$N$349),"",ReferenceData!$N$349),"")</x:f>
        <x:v>0</x:v>
      </x:c>
      <x:c r="O349">
        <x:f ca="1">IFERROR(IF(0=LEN(ReferenceData!$O$349),"",ReferenceData!$O$349),"")</x:f>
        <x:v>0</x:v>
      </x:c>
      <x:c r="P349">
        <x:f ca="1">IFERROR(IF(0=LEN(ReferenceData!$P$349),"",ReferenceData!$P$349),"")</x:f>
        <x:v>-2.9208500000000002</x:v>
      </x:c>
      <x:c r="Q349">
        <x:f ca="1">IFERROR(IF(0=LEN(ReferenceData!$Q$349),"",ReferenceData!$Q$349),"")</x:f>
        <x:v>0</x:v>
      </x:c>
      <x:c r="R349">
        <x:f ca="1">IFERROR(IF(0=LEN(ReferenceData!$R$349),"",ReferenceData!$R$349),"")</x:f>
        <x:v>0</x:v>
      </x:c>
      <x:c r="S349">
        <x:f ca="1">IFERROR(IF(0=LEN(ReferenceData!$S$349),"",ReferenceData!$S$349),"")</x:f>
        <x:v>0</x:v>
      </x:c>
    </x:row>
    <x:row r="350" spans="1:19" x14ac:dyDescent="0.25">
      <x:c r="A350" t="str">
        <x:f>IFERROR(IF(0=LEN(ReferenceData!$A$350),"",ReferenceData!$A$350),"")</x:f>
        <x:v xml:space="preserve">        Global X MSCI China Industrial</x:v>
      </x:c>
      <x:c r="B350" t="str">
        <x:f>IFERROR(IF(0=LEN(ReferenceData!$B$350),"",ReferenceData!$B$350),"")</x:f>
        <x:v>CHII US Equity</x:v>
      </x:c>
      <x:c r="C350" t="str">
        <x:f>IFERROR(IF(0=LEN(ReferenceData!$C$350),"",ReferenceData!$C$350),"")</x:f>
        <x:v/>
      </x:c>
      <x:c r="D350" t="str">
        <x:f>IFERROR(IF(0=LEN(ReferenceData!$D$350),"",ReferenceData!$D$350),"")</x:f>
        <x:v/>
      </x:c>
      <x:c r="E350" t="str">
        <x:f>IFERROR(IF(0=LEN(ReferenceData!$E$350),"",ReferenceData!$E$350),"")</x:f>
        <x:v>Expression</x:v>
      </x:c>
      <x:c r="F350">
        <x:f ca="1">IFERROR(IF(0=LEN(ReferenceData!$F$350),"",ReferenceData!$F$350),"")</x:f>
        <x:v>0</x:v>
      </x:c>
      <x:c r="G350">
        <x:f ca="1">IFERROR(IF(0=LEN(ReferenceData!$G$350),"",ReferenceData!$G$350),"")</x:f>
        <x:v>0</x:v>
      </x:c>
      <x:c r="H350">
        <x:f ca="1">IFERROR(IF(0=LEN(ReferenceData!$H$350),"",ReferenceData!$H$350),"")</x:f>
        <x:v>0</x:v>
      </x:c>
      <x:c r="I350">
        <x:f ca="1">IFERROR(IF(0=LEN(ReferenceData!$I$350),"",ReferenceData!$I$350),"")</x:f>
        <x:v>-0.34139999999999998</x:v>
      </x:c>
      <x:c r="J350">
        <x:f ca="1">IFERROR(IF(0=LEN(ReferenceData!$J$350),"",ReferenceData!$J$350),"")</x:f>
        <x:v>0</x:v>
      </x:c>
      <x:c r="K350">
        <x:f ca="1">IFERROR(IF(0=LEN(ReferenceData!$K$350),"",ReferenceData!$K$350),"")</x:f>
        <x:v>0</x:v>
      </x:c>
      <x:c r="L350">
        <x:f ca="1">IFERROR(IF(0=LEN(ReferenceData!$L$350),"",ReferenceData!$L$350),"")</x:f>
        <x:v>0</x:v>
      </x:c>
      <x:c r="M350">
        <x:f ca="1">IFERROR(IF(0=LEN(ReferenceData!$M$350),"",ReferenceData!$M$350),"")</x:f>
        <x:v>0</x:v>
      </x:c>
      <x:c r="N350">
        <x:f ca="1">IFERROR(IF(0=LEN(ReferenceData!$N$350),"",ReferenceData!$N$350),"")</x:f>
        <x:v>0</x:v>
      </x:c>
      <x:c r="O350">
        <x:f ca="1">IFERROR(IF(0=LEN(ReferenceData!$O$350),"",ReferenceData!$O$350),"")</x:f>
        <x:v>0</x:v>
      </x:c>
      <x:c r="P350">
        <x:f ca="1">IFERROR(IF(0=LEN(ReferenceData!$P$350),"",ReferenceData!$P$350),"")</x:f>
        <x:v>0</x:v>
      </x:c>
      <x:c r="Q350">
        <x:f ca="1">IFERROR(IF(0=LEN(ReferenceData!$Q$350),"",ReferenceData!$Q$350),"")</x:f>
        <x:v>0.13400000000000001</x:v>
      </x:c>
      <x:c r="R350">
        <x:f ca="1">IFERROR(IF(0=LEN(ReferenceData!$R$350),"",ReferenceData!$R$350),"")</x:f>
        <x:v>0</x:v>
      </x:c>
      <x:c r="S350">
        <x:f ca="1">IFERROR(IF(0=LEN(ReferenceData!$S$350),"",ReferenceData!$S$350),"")</x:f>
        <x:v>0</x:v>
      </x:c>
    </x:row>
    <x:row r="351" spans="1:19" x14ac:dyDescent="0.25">
      <x:c r="A351" t="str">
        <x:f>IFERROR(IF(0=LEN(ReferenceData!$A$351),"",ReferenceData!$A$351),"")</x:f>
        <x:v xml:space="preserve">        ProShares UltraShort Industria</x:v>
      </x:c>
      <x:c r="B351" t="str">
        <x:f>IFERROR(IF(0=LEN(ReferenceData!$B$351),"",ReferenceData!$B$351),"")</x:f>
        <x:v>SIJ US Equity</x:v>
      </x:c>
      <x:c r="C351" t="str">
        <x:f>IFERROR(IF(0=LEN(ReferenceData!$C$351),"",ReferenceData!$C$351),"")</x:f>
        <x:v/>
      </x:c>
      <x:c r="D351" t="str">
        <x:f>IFERROR(IF(0=LEN(ReferenceData!$D$351),"",ReferenceData!$D$351),"")</x:f>
        <x:v/>
      </x:c>
      <x:c r="E351" t="str">
        <x:f>IFERROR(IF(0=LEN(ReferenceData!$E$351),"",ReferenceData!$E$351),"")</x:f>
        <x:v>Expression</x:v>
      </x:c>
      <x:c r="F351">
        <x:f ca="1">IFERROR(IF(0=LEN(ReferenceData!$F$351),"",ReferenceData!$F$351),"")</x:f>
        <x:v>0.56323199999999995</x:v>
      </x:c>
      <x:c r="G351">
        <x:f ca="1">IFERROR(IF(0=LEN(ReferenceData!$G$351),"",ReferenceData!$G$351),"")</x:f>
        <x:v>2.1573999999999999E-2</x:v>
      </x:c>
      <x:c r="H351">
        <x:f ca="1">IFERROR(IF(0=LEN(ReferenceData!$H$351),"",ReferenceData!$H$351),"")</x:f>
        <x:v>-0.13559499999999999</x:v>
      </x:c>
      <x:c r="I351">
        <x:f ca="1">IFERROR(IF(0=LEN(ReferenceData!$I$351),"",ReferenceData!$I$351),"")</x:f>
        <x:v>-0.79972200000000004</x:v>
      </x:c>
      <x:c r="J351">
        <x:f ca="1">IFERROR(IF(0=LEN(ReferenceData!$J$351),"",ReferenceData!$J$351),"")</x:f>
        <x:v>0.26730999999999999</x:v>
      </x:c>
      <x:c r="K351">
        <x:f ca="1">IFERROR(IF(0=LEN(ReferenceData!$K$351),"",ReferenceData!$K$351),"")</x:f>
        <x:v>5.0596000000000002E-2</x:v>
      </x:c>
      <x:c r="L351">
        <x:f ca="1">IFERROR(IF(0=LEN(ReferenceData!$L$351),"",ReferenceData!$L$351),"")</x:f>
        <x:v>0.76686200000000004</x:v>
      </x:c>
      <x:c r="M351">
        <x:f ca="1">IFERROR(IF(0=LEN(ReferenceData!$M$351),"",ReferenceData!$M$351),"")</x:f>
        <x:v>0.36670999999999998</x:v>
      </x:c>
      <x:c r="N351">
        <x:f ca="1">IFERROR(IF(0=LEN(ReferenceData!$N$351),"",ReferenceData!$N$351),"")</x:f>
        <x:v>-0.37378699999999998</x:v>
      </x:c>
      <x:c r="O351">
        <x:f ca="1">IFERROR(IF(0=LEN(ReferenceData!$O$351),"",ReferenceData!$O$351),"")</x:f>
        <x:v>0</x:v>
      </x:c>
      <x:c r="P351">
        <x:f ca="1">IFERROR(IF(0=LEN(ReferenceData!$P$351),"",ReferenceData!$P$351),"")</x:f>
        <x:v>-0.73208200000000001</x:v>
      </x:c>
      <x:c r="Q351">
        <x:f ca="1">IFERROR(IF(0=LEN(ReferenceData!$Q$351),"",ReferenceData!$Q$351),"")</x:f>
        <x:v>1.1728670000000001</x:v>
      </x:c>
      <x:c r="R351">
        <x:f ca="1">IFERROR(IF(0=LEN(ReferenceData!$R$351),"",ReferenceData!$R$351),"")</x:f>
        <x:v>-1.243757</x:v>
      </x:c>
      <x:c r="S351">
        <x:f ca="1">IFERROR(IF(0=LEN(ReferenceData!$S$351),"",ReferenceData!$S$351),"")</x:f>
        <x:v>0</x:v>
      </x:c>
    </x:row>
    <x:row r="352" spans="1:19" x14ac:dyDescent="0.25">
      <x:c r="A352" t="str">
        <x:f>IFERROR(IF(0=LEN(ReferenceData!$A$352),"",ReferenceData!$A$352),"")</x:f>
        <x:v xml:space="preserve">        Nifty India Financials ETF</x:v>
      </x:c>
      <x:c r="B352" t="str">
        <x:f>IFERROR(IF(0=LEN(ReferenceData!$B$352),"",ReferenceData!$B$352),"")</x:f>
        <x:v>INDF US Equity</x:v>
      </x:c>
      <x:c r="C352" t="str">
        <x:f>IFERROR(IF(0=LEN(ReferenceData!$C$352),"",ReferenceData!$C$352),"")</x:f>
        <x:v/>
      </x:c>
      <x:c r="D352" t="str">
        <x:f>IFERROR(IF(0=LEN(ReferenceData!$D$352),"",ReferenceData!$D$352),"")</x:f>
        <x:v/>
      </x:c>
      <x:c r="E352" t="str">
        <x:f>IFERROR(IF(0=LEN(ReferenceData!$E$352),"",ReferenceData!$E$352),"")</x:f>
        <x:v>Expression</x:v>
      </x:c>
      <x:c r="F352">
        <x:f ca="1">IFERROR(IF(0=LEN(ReferenceData!$F$352),"",ReferenceData!$F$352),"")</x:f>
        <x:v>0</x:v>
      </x:c>
      <x:c r="G352">
        <x:f ca="1">IFERROR(IF(0=LEN(ReferenceData!$G$352),"",ReferenceData!$G$352),"")</x:f>
        <x:v>0</x:v>
      </x:c>
      <x:c r="H352">
        <x:f ca="1">IFERROR(IF(0=LEN(ReferenceData!$H$352),"",ReferenceData!$H$352),"")</x:f>
        <x:v>0</x:v>
      </x:c>
      <x:c r="I352">
        <x:f ca="1">IFERROR(IF(0=LEN(ReferenceData!$I$352),"",ReferenceData!$I$352),"")</x:f>
        <x:v>0</x:v>
      </x:c>
      <x:c r="J352">
        <x:f ca="1">IFERROR(IF(0=LEN(ReferenceData!$J$352),"",ReferenceData!$J$352),"")</x:f>
        <x:v>0</x:v>
      </x:c>
      <x:c r="K352">
        <x:f ca="1">IFERROR(IF(0=LEN(ReferenceData!$K$352),"",ReferenceData!$K$352),"")</x:f>
        <x:v>-1.698</x:v>
      </x:c>
      <x:c r="L352">
        <x:f ca="1">IFERROR(IF(0=LEN(ReferenceData!$L$352),"",ReferenceData!$L$352),"")</x:f>
        <x:v>0</x:v>
      </x:c>
      <x:c r="M352">
        <x:f ca="1">IFERROR(IF(0=LEN(ReferenceData!$M$352),"",ReferenceData!$M$352),"")</x:f>
        <x:v>0</x:v>
      </x:c>
      <x:c r="N352">
        <x:f ca="1">IFERROR(IF(0=LEN(ReferenceData!$N$352),"",ReferenceData!$N$352),"")</x:f>
        <x:v>0</x:v>
      </x:c>
      <x:c r="O352">
        <x:f ca="1">IFERROR(IF(0=LEN(ReferenceData!$O$352),"",ReferenceData!$O$352),"")</x:f>
        <x:v>0</x:v>
      </x:c>
      <x:c r="P352">
        <x:f ca="1">IFERROR(IF(0=LEN(ReferenceData!$P$352),"",ReferenceData!$P$352),"")</x:f>
        <x:v>0</x:v>
      </x:c>
      <x:c r="Q352">
        <x:f ca="1">IFERROR(IF(0=LEN(ReferenceData!$Q$352),"",ReferenceData!$Q$352),"")</x:f>
        <x:v>0</x:v>
      </x:c>
      <x:c r="R352">
        <x:f ca="1">IFERROR(IF(0=LEN(ReferenceData!$R$352),"",ReferenceData!$R$352),"")</x:f>
        <x:v>0</x:v>
      </x:c>
      <x:c r="S352">
        <x:f ca="1">IFERROR(IF(0=LEN(ReferenceData!$S$352),"",ReferenceData!$S$352),"")</x:f>
        <x:v>0</x:v>
      </x:c>
    </x:row>
    <x:row r="353" spans="1:19" x14ac:dyDescent="0.25">
      <x:c r="A353" t="str">
        <x:f>IFERROR(IF(0=LEN(ReferenceData!$A$353),"",ReferenceData!$A$353),"")</x:f>
        <x:v xml:space="preserve">        Direxion Daily Aerospace &amp; Def</x:v>
      </x:c>
      <x:c r="B353" t="str">
        <x:f>IFERROR(IF(0=LEN(ReferenceData!$B$353),"",ReferenceData!$B$353),"")</x:f>
        <x:v>DFEN US Equity</x:v>
      </x:c>
      <x:c r="C353" t="str">
        <x:f>IFERROR(IF(0=LEN(ReferenceData!$C$353),"",ReferenceData!$C$353),"")</x:f>
        <x:v/>
      </x:c>
      <x:c r="D353" t="str">
        <x:f>IFERROR(IF(0=LEN(ReferenceData!$D$353),"",ReferenceData!$D$353),"")</x:f>
        <x:v/>
      </x:c>
      <x:c r="E353" t="str">
        <x:f>IFERROR(IF(0=LEN(ReferenceData!$E$353),"",ReferenceData!$E$353),"")</x:f>
        <x:v>Expression</x:v>
      </x:c>
      <x:c r="F353">
        <x:f ca="1">IFERROR(IF(0=LEN(ReferenceData!$F$353),"",ReferenceData!$F$353),"")</x:f>
        <x:v>-19.175443000000001</x:v>
      </x:c>
      <x:c r="G353">
        <x:f ca="1">IFERROR(IF(0=LEN(ReferenceData!$G$353),"",ReferenceData!$G$353),"")</x:f>
        <x:v>18.026655000000002</x:v>
      </x:c>
      <x:c r="H353">
        <x:f ca="1">IFERROR(IF(0=LEN(ReferenceData!$H$353),"",ReferenceData!$H$353),"")</x:f>
        <x:v>16.888964000000001</x:v>
      </x:c>
      <x:c r="I353">
        <x:f ca="1">IFERROR(IF(0=LEN(ReferenceData!$I$353),"",ReferenceData!$I$353),"")</x:f>
        <x:v>-6.2669980000000001</x:v>
      </x:c>
      <x:c r="J353">
        <x:f ca="1">IFERROR(IF(0=LEN(ReferenceData!$J$353),"",ReferenceData!$J$353),"")</x:f>
        <x:v>-5.3878950000000003</x:v>
      </x:c>
      <x:c r="K353">
        <x:f ca="1">IFERROR(IF(0=LEN(ReferenceData!$K$353),"",ReferenceData!$K$353),"")</x:f>
        <x:v>-13.229519</x:v>
      </x:c>
      <x:c r="L353">
        <x:f ca="1">IFERROR(IF(0=LEN(ReferenceData!$L$353),"",ReferenceData!$L$353),"")</x:f>
        <x:v>3.4400710000000001</x:v>
      </x:c>
      <x:c r="M353">
        <x:f ca="1">IFERROR(IF(0=LEN(ReferenceData!$M$353),"",ReferenceData!$M$353),"")</x:f>
        <x:v>-9.5782950000000007</x:v>
      </x:c>
      <x:c r="N353">
        <x:f ca="1">IFERROR(IF(0=LEN(ReferenceData!$N$353),"",ReferenceData!$N$353),"")</x:f>
        <x:v>-0.94355800000000001</x:v>
      </x:c>
      <x:c r="O353">
        <x:f ca="1">IFERROR(IF(0=LEN(ReferenceData!$O$353),"",ReferenceData!$O$353),"")</x:f>
        <x:v>-6.4430699999999996</x:v>
      </x:c>
      <x:c r="P353">
        <x:f ca="1">IFERROR(IF(0=LEN(ReferenceData!$P$353),"",ReferenceData!$P$353),"")</x:f>
        <x:v>-12.050926</x:v>
      </x:c>
      <x:c r="Q353">
        <x:f ca="1">IFERROR(IF(0=LEN(ReferenceData!$Q$353),"",ReferenceData!$Q$353),"")</x:f>
        <x:v>-3.975787</x:v>
      </x:c>
      <x:c r="R353">
        <x:f ca="1">IFERROR(IF(0=LEN(ReferenceData!$R$353),"",ReferenceData!$R$353),"")</x:f>
        <x:v>-13.345176</x:v>
      </x:c>
      <x:c r="S353">
        <x:f ca="1">IFERROR(IF(0=LEN(ReferenceData!$S$353),"",ReferenceData!$S$353),"")</x:f>
        <x:v>-1.2210920000000001</x:v>
      </x:c>
    </x:row>
    <x:row r="354" spans="1:19" x14ac:dyDescent="0.25">
      <x:c r="A354" t="str">
        <x:f>IFERROR(IF(0=LEN(ReferenceData!$A$354),"",ReferenceData!$A$354),"")</x:f>
        <x:v xml:space="preserve">        Direxion Daily Industrials Bul</x:v>
      </x:c>
      <x:c r="B354" t="str">
        <x:f>IFERROR(IF(0=LEN(ReferenceData!$B$354),"",ReferenceData!$B$354),"")</x:f>
        <x:v>DUSL US Equity</x:v>
      </x:c>
      <x:c r="C354" t="str">
        <x:f>IFERROR(IF(0=LEN(ReferenceData!$C$354),"",ReferenceData!$C$354),"")</x:f>
        <x:v/>
      </x:c>
      <x:c r="D354" t="str">
        <x:f>IFERROR(IF(0=LEN(ReferenceData!$D$354),"",ReferenceData!$D$354),"")</x:f>
        <x:v/>
      </x:c>
      <x:c r="E354" t="str">
        <x:f>IFERROR(IF(0=LEN(ReferenceData!$E$354),"",ReferenceData!$E$354),"")</x:f>
        <x:v>Expression</x:v>
      </x:c>
      <x:c r="F354">
        <x:f ca="1">IFERROR(IF(0=LEN(ReferenceData!$F$354),"",ReferenceData!$F$354),"")</x:f>
        <x:v>1.6740660000000001</x:v>
      </x:c>
      <x:c r="G354">
        <x:f ca="1">IFERROR(IF(0=LEN(ReferenceData!$G$354),"",ReferenceData!$G$354),"")</x:f>
        <x:v>1.6367449999999999</x:v>
      </x:c>
      <x:c r="H354">
        <x:f ca="1">IFERROR(IF(0=LEN(ReferenceData!$H$354),"",ReferenceData!$H$354),"")</x:f>
        <x:v>0.21105299999999999</x:v>
      </x:c>
      <x:c r="I354">
        <x:f ca="1">IFERROR(IF(0=LEN(ReferenceData!$I$354),"",ReferenceData!$I$354),"")</x:f>
        <x:v>-3.8254990000000002</x:v>
      </x:c>
      <x:c r="J354">
        <x:f ca="1">IFERROR(IF(0=LEN(ReferenceData!$J$354),"",ReferenceData!$J$354),"")</x:f>
        <x:v>1.9374910000000001</x:v>
      </x:c>
      <x:c r="K354">
        <x:f ca="1">IFERROR(IF(0=LEN(ReferenceData!$K$354),"",ReferenceData!$K$354),"")</x:f>
        <x:v>1.5761350000000001</x:v>
      </x:c>
      <x:c r="L354">
        <x:f ca="1">IFERROR(IF(0=LEN(ReferenceData!$L$354),"",ReferenceData!$L$354),"")</x:f>
        <x:v>0</x:v>
      </x:c>
      <x:c r="M354">
        <x:f ca="1">IFERROR(IF(0=LEN(ReferenceData!$M$354),"",ReferenceData!$M$354),"")</x:f>
        <x:v>0</x:v>
      </x:c>
      <x:c r="N354">
        <x:f ca="1">IFERROR(IF(0=LEN(ReferenceData!$N$354),"",ReferenceData!$N$354),"")</x:f>
        <x:v>-1.583483</x:v>
      </x:c>
      <x:c r="O354">
        <x:f ca="1">IFERROR(IF(0=LEN(ReferenceData!$O$354),"",ReferenceData!$O$354),"")</x:f>
        <x:v>0</x:v>
      </x:c>
      <x:c r="P354">
        <x:f ca="1">IFERROR(IF(0=LEN(ReferenceData!$P$354),"",ReferenceData!$P$354),"")</x:f>
        <x:v>7.7183000000000002E-2</x:v>
      </x:c>
      <x:c r="Q354">
        <x:f ca="1">IFERROR(IF(0=LEN(ReferenceData!$Q$354),"",ReferenceData!$Q$354),"")</x:f>
        <x:v>-1.6212569999999999</x:v>
      </x:c>
      <x:c r="R354">
        <x:f ca="1">IFERROR(IF(0=LEN(ReferenceData!$R$354),"",ReferenceData!$R$354),"")</x:f>
        <x:v>2.9393509999999998</x:v>
      </x:c>
      <x:c r="S354">
        <x:f ca="1">IFERROR(IF(0=LEN(ReferenceData!$S$354),"",ReferenceData!$S$354),"")</x:f>
        <x:v>0</x:v>
      </x:c>
    </x:row>
    <x:row r="355" spans="1:19" x14ac:dyDescent="0.25">
      <x:c r="A355" t="str">
        <x:f>IFERROR(IF(0=LEN(ReferenceData!$A$355),"",ReferenceData!$A$355),"")</x:f>
        <x:v xml:space="preserve">        Direxion Daily Transportation</x:v>
      </x:c>
      <x:c r="B355" t="str">
        <x:f>IFERROR(IF(0=LEN(ReferenceData!$B$355),"",ReferenceData!$B$355),"")</x:f>
        <x:v>TPOR US Equity</x:v>
      </x:c>
      <x:c r="C355" t="str">
        <x:f>IFERROR(IF(0=LEN(ReferenceData!$C$355),"",ReferenceData!$C$355),"")</x:f>
        <x:v/>
      </x:c>
      <x:c r="D355" t="str">
        <x:f>IFERROR(IF(0=LEN(ReferenceData!$D$355),"",ReferenceData!$D$355),"")</x:f>
        <x:v/>
      </x:c>
      <x:c r="E355" t="str">
        <x:f>IFERROR(IF(0=LEN(ReferenceData!$E$355),"",ReferenceData!$E$355),"")</x:f>
        <x:v>Expression</x:v>
      </x:c>
      <x:c r="F355">
        <x:f ca="1">IFERROR(IF(0=LEN(ReferenceData!$F$355),"",ReferenceData!$F$355),"")</x:f>
        <x:v>2.2082579999999998</x:v>
      </x:c>
      <x:c r="G355">
        <x:f ca="1">IFERROR(IF(0=LEN(ReferenceData!$G$355),"",ReferenceData!$G$355),"")</x:f>
        <x:v>1.2166790000000001</x:v>
      </x:c>
      <x:c r="H355">
        <x:f ca="1">IFERROR(IF(0=LEN(ReferenceData!$H$355),"",ReferenceData!$H$355),"")</x:f>
        <x:v>-1.3612059999999999</x:v>
      </x:c>
      <x:c r="I355">
        <x:f ca="1">IFERROR(IF(0=LEN(ReferenceData!$I$355),"",ReferenceData!$I$355),"")</x:f>
        <x:v>-1.6536759999999999</x:v>
      </x:c>
      <x:c r="J355">
        <x:f ca="1">IFERROR(IF(0=LEN(ReferenceData!$J$355),"",ReferenceData!$J$355),"")</x:f>
        <x:v>-3.5879029999999998</x:v>
      </x:c>
      <x:c r="K355">
        <x:f ca="1">IFERROR(IF(0=LEN(ReferenceData!$K$355),"",ReferenceData!$K$355),"")</x:f>
        <x:v>1.4285289999999999</x:v>
      </x:c>
      <x:c r="L355">
        <x:f ca="1">IFERROR(IF(0=LEN(ReferenceData!$L$355),"",ReferenceData!$L$355),"")</x:f>
        <x:v>0</x:v>
      </x:c>
      <x:c r="M355">
        <x:f ca="1">IFERROR(IF(0=LEN(ReferenceData!$M$355),"",ReferenceData!$M$355),"")</x:f>
        <x:v>-5.4923E-2</x:v>
      </x:c>
      <x:c r="N355">
        <x:f ca="1">IFERROR(IF(0=LEN(ReferenceData!$N$355),"",ReferenceData!$N$355),"")</x:f>
        <x:v>0</x:v>
      </x:c>
      <x:c r="O355">
        <x:f ca="1">IFERROR(IF(0=LEN(ReferenceData!$O$355),"",ReferenceData!$O$355),"")</x:f>
        <x:v>0</x:v>
      </x:c>
      <x:c r="P355">
        <x:f ca="1">IFERROR(IF(0=LEN(ReferenceData!$P$355),"",ReferenceData!$P$355),"")</x:f>
        <x:v>-1.2639119999999999</x:v>
      </x:c>
      <x:c r="Q355">
        <x:f ca="1">IFERROR(IF(0=LEN(ReferenceData!$Q$355),"",ReferenceData!$Q$355),"")</x:f>
        <x:v>0</x:v>
      </x:c>
      <x:c r="R355">
        <x:f ca="1">IFERROR(IF(0=LEN(ReferenceData!$R$355),"",ReferenceData!$R$355),"")</x:f>
        <x:v>0.39230799999999999</x:v>
      </x:c>
      <x:c r="S355">
        <x:f ca="1">IFERROR(IF(0=LEN(ReferenceData!$S$355),"",ReferenceData!$S$355),"")</x:f>
        <x:v>1.091062</x:v>
      </x:c>
    </x:row>
    <x:row r="356" spans="1:19" x14ac:dyDescent="0.25">
      <x:c r="A356" t="str">
        <x:f>IFERROR(IF(0=LEN(ReferenceData!$A$356),"",ReferenceData!$A$356),"")</x:f>
        <x:v xml:space="preserve">        First Trust Nasdaq Transportat</x:v>
      </x:c>
      <x:c r="B356" t="str">
        <x:f>IFERROR(IF(0=LEN(ReferenceData!$B$356),"",ReferenceData!$B$356),"")</x:f>
        <x:v>FTXR US Equity</x:v>
      </x:c>
      <x:c r="C356" t="str">
        <x:f>IFERROR(IF(0=LEN(ReferenceData!$C$356),"",ReferenceData!$C$356),"")</x:f>
        <x:v/>
      </x:c>
      <x:c r="D356" t="str">
        <x:f>IFERROR(IF(0=LEN(ReferenceData!$D$356),"",ReferenceData!$D$356),"")</x:f>
        <x:v/>
      </x:c>
      <x:c r="E356" t="str">
        <x:f>IFERROR(IF(0=LEN(ReferenceData!$E$356),"",ReferenceData!$E$356),"")</x:f>
        <x:v>Expression</x:v>
      </x:c>
      <x:c r="F356">
        <x:f ca="1">IFERROR(IF(0=LEN(ReferenceData!$F$356),"",ReferenceData!$F$356),"")</x:f>
        <x:v>0</x:v>
      </x:c>
      <x:c r="G356">
        <x:f ca="1">IFERROR(IF(0=LEN(ReferenceData!$G$356),"",ReferenceData!$G$356),"")</x:f>
        <x:v>-4.211138</x:v>
      </x:c>
      <x:c r="H356">
        <x:f ca="1">IFERROR(IF(0=LEN(ReferenceData!$H$356),"",ReferenceData!$H$356),"")</x:f>
        <x:v>-11.480997</x:v>
      </x:c>
      <x:c r="I356">
        <x:f ca="1">IFERROR(IF(0=LEN(ReferenceData!$I$356),"",ReferenceData!$I$356),"")</x:f>
        <x:v>-2.9816630000000002</x:v>
      </x:c>
      <x:c r="J356">
        <x:f ca="1">IFERROR(IF(0=LEN(ReferenceData!$J$356),"",ReferenceData!$J$356),"")</x:f>
        <x:v>12.3</x:v>
      </x:c>
      <x:c r="K356">
        <x:f ca="1">IFERROR(IF(0=LEN(ReferenceData!$K$356),"",ReferenceData!$K$356),"")</x:f>
        <x:v>-1.448</x:v>
      </x:c>
      <x:c r="L356">
        <x:f ca="1">IFERROR(IF(0=LEN(ReferenceData!$L$356),"",ReferenceData!$L$356),"")</x:f>
        <x:v>-2.6280000000000001</x:v>
      </x:c>
      <x:c r="M356">
        <x:f ca="1">IFERROR(IF(0=LEN(ReferenceData!$M$356),"",ReferenceData!$M$356),"")</x:f>
        <x:v>0</x:v>
      </x:c>
      <x:c r="N356">
        <x:f ca="1">IFERROR(IF(0=LEN(ReferenceData!$N$356),"",ReferenceData!$N$356),"")</x:f>
        <x:v>-5.2755859999999997</x:v>
      </x:c>
      <x:c r="O356">
        <x:f ca="1">IFERROR(IF(0=LEN(ReferenceData!$O$356),"",ReferenceData!$O$356),"")</x:f>
        <x:v>-2.7556319999999999</x:v>
      </x:c>
      <x:c r="P356">
        <x:f ca="1">IFERROR(IF(0=LEN(ReferenceData!$P$356),"",ReferenceData!$P$356),"")</x:f>
        <x:v>-6.8581469999999998</x:v>
      </x:c>
      <x:c r="Q356">
        <x:f ca="1">IFERROR(IF(0=LEN(ReferenceData!$Q$356),"",ReferenceData!$Q$356),"")</x:f>
        <x:v>-9.1733440000000002</x:v>
      </x:c>
      <x:c r="R356">
        <x:f ca="1">IFERROR(IF(0=LEN(ReferenceData!$R$356),"",ReferenceData!$R$356),"")</x:f>
        <x:v>-1.2588889999999999</x:v>
      </x:c>
      <x:c r="S356">
        <x:f ca="1">IFERROR(IF(0=LEN(ReferenceData!$S$356),"",ReferenceData!$S$356),"")</x:f>
        <x:v>-5.9758630000000004</x:v>
      </x:c>
    </x:row>
    <x:row r="357" spans="1:19" x14ac:dyDescent="0.25">
      <x:c r="A357" t="str">
        <x:f>IFERROR(IF(0=LEN(ReferenceData!$A$357),"",ReferenceData!$A$357),"")</x:f>
        <x:v xml:space="preserve">        Elkhorn S&amp;P MidCap Industrials</x:v>
      </x:c>
      <x:c r="B357" t="str">
        <x:f>IFERROR(IF(0=LEN(ReferenceData!$B$357),"",ReferenceData!$B$357),"")</x:f>
        <x:v>XI US Equity</x:v>
      </x:c>
      <x:c r="C357" t="str">
        <x:f>IFERROR(IF(0=LEN(ReferenceData!$C$357),"",ReferenceData!$C$357),"")</x:f>
        <x:v/>
      </x:c>
      <x:c r="D357" t="str">
        <x:f>IFERROR(IF(0=LEN(ReferenceData!$D$357),"",ReferenceData!$D$357),"")</x:f>
        <x:v/>
      </x:c>
      <x:c r="E357" t="str">
        <x:f>IFERROR(IF(0=LEN(ReferenceData!$E$357),"",ReferenceData!$E$357),"")</x:f>
        <x:v>Expression</x:v>
      </x:c>
      <x:c r="F357" t="str">
        <x:f ca="1">IFERROR(IF(0=LEN(ReferenceData!$F$357),"",ReferenceData!$F$357),"")</x:f>
        <x:v/>
      </x:c>
      <x:c r="G357" t="str">
        <x:f ca="1">IFERROR(IF(0=LEN(ReferenceData!$G$357),"",ReferenceData!$G$357),"")</x:f>
        <x:v/>
      </x:c>
      <x:c r="H357" t="str">
        <x:f ca="1">IFERROR(IF(0=LEN(ReferenceData!$H$357),"",ReferenceData!$H$357),"")</x:f>
        <x:v/>
      </x:c>
      <x:c r="I357" t="str">
        <x:f ca="1">IFERROR(IF(0=LEN(ReferenceData!$I$357),"",ReferenceData!$I$357),"")</x:f>
        <x:v/>
      </x:c>
      <x:c r="J357" t="str">
        <x:f ca="1">IFERROR(IF(0=LEN(ReferenceData!$J$357),"",ReferenceData!$J$357),"")</x:f>
        <x:v/>
      </x:c>
      <x:c r="K357" t="str">
        <x:f ca="1">IFERROR(IF(0=LEN(ReferenceData!$K$357),"",ReferenceData!$K$357),"")</x:f>
        <x:v/>
      </x:c>
      <x:c r="L357" t="str">
        <x:f ca="1">IFERROR(IF(0=LEN(ReferenceData!$L$357),"",ReferenceData!$L$357),"")</x:f>
        <x:v/>
      </x:c>
      <x:c r="M357" t="str">
        <x:f ca="1">IFERROR(IF(0=LEN(ReferenceData!$M$357),"",ReferenceData!$M$357),"")</x:f>
        <x:v/>
      </x:c>
      <x:c r="N357" t="str">
        <x:f ca="1">IFERROR(IF(0=LEN(ReferenceData!$N$357),"",ReferenceData!$N$357),"")</x:f>
        <x:v/>
      </x:c>
      <x:c r="O357" t="str">
        <x:f ca="1">IFERROR(IF(0=LEN(ReferenceData!$O$357),"",ReferenceData!$O$357),"")</x:f>
        <x:v/>
      </x:c>
      <x:c r="P357" t="str">
        <x:f ca="1">IFERROR(IF(0=LEN(ReferenceData!$P$357),"",ReferenceData!$P$357),"")</x:f>
        <x:v/>
      </x:c>
      <x:c r="Q357" t="str">
        <x:f ca="1">IFERROR(IF(0=LEN(ReferenceData!$Q$357),"",ReferenceData!$Q$357),"")</x:f>
        <x:v/>
      </x:c>
      <x:c r="R357" t="str">
        <x:f ca="1">IFERROR(IF(0=LEN(ReferenceData!$R$357),"",ReferenceData!$R$357),"")</x:f>
        <x:v/>
      </x:c>
      <x:c r="S357" t="str">
        <x:f ca="1">IFERROR(IF(0=LEN(ReferenceData!$S$357),"",ReferenceData!$S$357),"")</x:f>
        <x:v/>
      </x:c>
    </x:row>
    <x:row r="358" spans="1:19" x14ac:dyDescent="0.25">
      <x:c r="A358" t="str">
        <x:f>IFERROR(IF(0=LEN(ReferenceData!$A$358),"",ReferenceData!$A$358),"")</x:f>
        <x:v xml:space="preserve">        Direxion Daily Transportation</x:v>
      </x:c>
      <x:c r="B358" t="str">
        <x:f>IFERROR(IF(0=LEN(ReferenceData!$B$358),"",ReferenceData!$B$358),"")</x:f>
        <x:v>TPOR US Equity</x:v>
      </x:c>
      <x:c r="C358" t="str">
        <x:f>IFERROR(IF(0=LEN(ReferenceData!$C$358),"",ReferenceData!$C$358),"")</x:f>
        <x:v/>
      </x:c>
      <x:c r="D358" t="str">
        <x:f>IFERROR(IF(0=LEN(ReferenceData!$D$358),"",ReferenceData!$D$358),"")</x:f>
        <x:v/>
      </x:c>
      <x:c r="E358" t="str">
        <x:f>IFERROR(IF(0=LEN(ReferenceData!$E$358),"",ReferenceData!$E$358),"")</x:f>
        <x:v>Expression</x:v>
      </x:c>
      <x:c r="F358">
        <x:f ca="1">IFERROR(IF(0=LEN(ReferenceData!$F$358),"",ReferenceData!$F$358),"")</x:f>
        <x:v>2.2082579999999998</x:v>
      </x:c>
      <x:c r="G358">
        <x:f ca="1">IFERROR(IF(0=LEN(ReferenceData!$G$358),"",ReferenceData!$G$358),"")</x:f>
        <x:v>1.2166790000000001</x:v>
      </x:c>
      <x:c r="H358">
        <x:f ca="1">IFERROR(IF(0=LEN(ReferenceData!$H$358),"",ReferenceData!$H$358),"")</x:f>
        <x:v>-1.3612059999999999</x:v>
      </x:c>
      <x:c r="I358">
        <x:f ca="1">IFERROR(IF(0=LEN(ReferenceData!$I$358),"",ReferenceData!$I$358),"")</x:f>
        <x:v>-1.6536759999999999</x:v>
      </x:c>
      <x:c r="J358">
        <x:f ca="1">IFERROR(IF(0=LEN(ReferenceData!$J$358),"",ReferenceData!$J$358),"")</x:f>
        <x:v>-3.5879029999999998</x:v>
      </x:c>
      <x:c r="K358">
        <x:f ca="1">IFERROR(IF(0=LEN(ReferenceData!$K$358),"",ReferenceData!$K$358),"")</x:f>
        <x:v>1.4285289999999999</x:v>
      </x:c>
      <x:c r="L358">
        <x:f ca="1">IFERROR(IF(0=LEN(ReferenceData!$L$358),"",ReferenceData!$L$358),"")</x:f>
        <x:v>0</x:v>
      </x:c>
      <x:c r="M358">
        <x:f ca="1">IFERROR(IF(0=LEN(ReferenceData!$M$358),"",ReferenceData!$M$358),"")</x:f>
        <x:v>-5.4923E-2</x:v>
      </x:c>
      <x:c r="N358">
        <x:f ca="1">IFERROR(IF(0=LEN(ReferenceData!$N$358),"",ReferenceData!$N$358),"")</x:f>
        <x:v>0</x:v>
      </x:c>
      <x:c r="O358">
        <x:f ca="1">IFERROR(IF(0=LEN(ReferenceData!$O$358),"",ReferenceData!$O$358),"")</x:f>
        <x:v>0</x:v>
      </x:c>
      <x:c r="P358">
        <x:f ca="1">IFERROR(IF(0=LEN(ReferenceData!$P$358),"",ReferenceData!$P$358),"")</x:f>
        <x:v>-1.2639119999999999</x:v>
      </x:c>
      <x:c r="Q358">
        <x:f ca="1">IFERROR(IF(0=LEN(ReferenceData!$Q$358),"",ReferenceData!$Q$358),"")</x:f>
        <x:v>0</x:v>
      </x:c>
      <x:c r="R358">
        <x:f ca="1">IFERROR(IF(0=LEN(ReferenceData!$R$358),"",ReferenceData!$R$358),"")</x:f>
        <x:v>0.39230799999999999</x:v>
      </x:c>
      <x:c r="S358">
        <x:f ca="1">IFERROR(IF(0=LEN(ReferenceData!$S$358),"",ReferenceData!$S$358),"")</x:f>
        <x:v>1.091062</x:v>
      </x:c>
    </x:row>
    <x:row r="359" spans="1:19" x14ac:dyDescent="0.25">
      <x:c r="A359" t="str">
        <x:f>IFERROR(IF(0=LEN(ReferenceData!$A$359),"",ReferenceData!$A$359),"")</x:f>
        <x:v xml:space="preserve">        Direxion Daily Industrials Bul</x:v>
      </x:c>
      <x:c r="B359" t="str">
        <x:f>IFERROR(IF(0=LEN(ReferenceData!$B$359),"",ReferenceData!$B$359),"")</x:f>
        <x:v>DUSL US Equity</x:v>
      </x:c>
      <x:c r="C359" t="str">
        <x:f>IFERROR(IF(0=LEN(ReferenceData!$C$359),"",ReferenceData!$C$359),"")</x:f>
        <x:v/>
      </x:c>
      <x:c r="D359" t="str">
        <x:f>IFERROR(IF(0=LEN(ReferenceData!$D$359),"",ReferenceData!$D$359),"")</x:f>
        <x:v/>
      </x:c>
      <x:c r="E359" t="str">
        <x:f>IFERROR(IF(0=LEN(ReferenceData!$E$359),"",ReferenceData!$E$359),"")</x:f>
        <x:v>Expression</x:v>
      </x:c>
      <x:c r="F359">
        <x:f ca="1">IFERROR(IF(0=LEN(ReferenceData!$F$359),"",ReferenceData!$F$359),"")</x:f>
        <x:v>1.6740660000000001</x:v>
      </x:c>
      <x:c r="G359">
        <x:f ca="1">IFERROR(IF(0=LEN(ReferenceData!$G$359),"",ReferenceData!$G$359),"")</x:f>
        <x:v>1.6367449999999999</x:v>
      </x:c>
      <x:c r="H359">
        <x:f ca="1">IFERROR(IF(0=LEN(ReferenceData!$H$359),"",ReferenceData!$H$359),"")</x:f>
        <x:v>0.21105299999999999</x:v>
      </x:c>
      <x:c r="I359">
        <x:f ca="1">IFERROR(IF(0=LEN(ReferenceData!$I$359),"",ReferenceData!$I$359),"")</x:f>
        <x:v>-3.8254990000000002</x:v>
      </x:c>
      <x:c r="J359">
        <x:f ca="1">IFERROR(IF(0=LEN(ReferenceData!$J$359),"",ReferenceData!$J$359),"")</x:f>
        <x:v>1.9374910000000001</x:v>
      </x:c>
      <x:c r="K359">
        <x:f ca="1">IFERROR(IF(0=LEN(ReferenceData!$K$359),"",ReferenceData!$K$359),"")</x:f>
        <x:v>1.5761350000000001</x:v>
      </x:c>
      <x:c r="L359">
        <x:f ca="1">IFERROR(IF(0=LEN(ReferenceData!$L$359),"",ReferenceData!$L$359),"")</x:f>
        <x:v>0</x:v>
      </x:c>
      <x:c r="M359">
        <x:f ca="1">IFERROR(IF(0=LEN(ReferenceData!$M$359),"",ReferenceData!$M$359),"")</x:f>
        <x:v>0</x:v>
      </x:c>
      <x:c r="N359">
        <x:f ca="1">IFERROR(IF(0=LEN(ReferenceData!$N$359),"",ReferenceData!$N$359),"")</x:f>
        <x:v>-1.583483</x:v>
      </x:c>
      <x:c r="O359">
        <x:f ca="1">IFERROR(IF(0=LEN(ReferenceData!$O$359),"",ReferenceData!$O$359),"")</x:f>
        <x:v>0</x:v>
      </x:c>
      <x:c r="P359">
        <x:f ca="1">IFERROR(IF(0=LEN(ReferenceData!$P$359),"",ReferenceData!$P$359),"")</x:f>
        <x:v>7.7183000000000002E-2</x:v>
      </x:c>
      <x:c r="Q359">
        <x:f ca="1">IFERROR(IF(0=LEN(ReferenceData!$Q$359),"",ReferenceData!$Q$359),"")</x:f>
        <x:v>-1.6212569999999999</x:v>
      </x:c>
      <x:c r="R359">
        <x:f ca="1">IFERROR(IF(0=LEN(ReferenceData!$R$359),"",ReferenceData!$R$359),"")</x:f>
        <x:v>2.9393509999999998</x:v>
      </x:c>
      <x:c r="S359">
        <x:f ca="1">IFERROR(IF(0=LEN(ReferenceData!$S$359),"",ReferenceData!$S$359),"")</x:f>
        <x:v>0</x:v>
      </x:c>
    </x:row>
    <x:row r="360" spans="1:19" x14ac:dyDescent="0.25">
      <x:c r="A360" t="str">
        <x:f>IFERROR(IF(0=LEN(ReferenceData!$A$360),"",ReferenceData!$A$360),"")</x:f>
        <x:v xml:space="preserve">        Direxion Daily Aerospace &amp; Def</x:v>
      </x:c>
      <x:c r="B360" t="str">
        <x:f>IFERROR(IF(0=LEN(ReferenceData!$B$360),"",ReferenceData!$B$360),"")</x:f>
        <x:v>DFEN US Equity</x:v>
      </x:c>
      <x:c r="C360" t="str">
        <x:f>IFERROR(IF(0=LEN(ReferenceData!$C$360),"",ReferenceData!$C$360),"")</x:f>
        <x:v/>
      </x:c>
      <x:c r="D360" t="str">
        <x:f>IFERROR(IF(0=LEN(ReferenceData!$D$360),"",ReferenceData!$D$360),"")</x:f>
        <x:v/>
      </x:c>
      <x:c r="E360" t="str">
        <x:f>IFERROR(IF(0=LEN(ReferenceData!$E$360),"",ReferenceData!$E$360),"")</x:f>
        <x:v>Expression</x:v>
      </x:c>
      <x:c r="F360">
        <x:f ca="1">IFERROR(IF(0=LEN(ReferenceData!$F$360),"",ReferenceData!$F$360),"")</x:f>
        <x:v>-19.175443000000001</x:v>
      </x:c>
      <x:c r="G360">
        <x:f ca="1">IFERROR(IF(0=LEN(ReferenceData!$G$360),"",ReferenceData!$G$360),"")</x:f>
        <x:v>18.026655000000002</x:v>
      </x:c>
      <x:c r="H360">
        <x:f ca="1">IFERROR(IF(0=LEN(ReferenceData!$H$360),"",ReferenceData!$H$360),"")</x:f>
        <x:v>16.888964000000001</x:v>
      </x:c>
      <x:c r="I360">
        <x:f ca="1">IFERROR(IF(0=LEN(ReferenceData!$I$360),"",ReferenceData!$I$360),"")</x:f>
        <x:v>-6.2669980000000001</x:v>
      </x:c>
      <x:c r="J360">
        <x:f ca="1">IFERROR(IF(0=LEN(ReferenceData!$J$360),"",ReferenceData!$J$360),"")</x:f>
        <x:v>-5.3878950000000003</x:v>
      </x:c>
      <x:c r="K360">
        <x:f ca="1">IFERROR(IF(0=LEN(ReferenceData!$K$360),"",ReferenceData!$K$360),"")</x:f>
        <x:v>-13.229519</x:v>
      </x:c>
      <x:c r="L360">
        <x:f ca="1">IFERROR(IF(0=LEN(ReferenceData!$L$360),"",ReferenceData!$L$360),"")</x:f>
        <x:v>3.4400710000000001</x:v>
      </x:c>
      <x:c r="M360">
        <x:f ca="1">IFERROR(IF(0=LEN(ReferenceData!$M$360),"",ReferenceData!$M$360),"")</x:f>
        <x:v>-9.5782950000000007</x:v>
      </x:c>
      <x:c r="N360">
        <x:f ca="1">IFERROR(IF(0=LEN(ReferenceData!$N$360),"",ReferenceData!$N$360),"")</x:f>
        <x:v>-0.94355800000000001</x:v>
      </x:c>
      <x:c r="O360">
        <x:f ca="1">IFERROR(IF(0=LEN(ReferenceData!$O$360),"",ReferenceData!$O$360),"")</x:f>
        <x:v>-6.4430699999999996</x:v>
      </x:c>
      <x:c r="P360">
        <x:f ca="1">IFERROR(IF(0=LEN(ReferenceData!$P$360),"",ReferenceData!$P$360),"")</x:f>
        <x:v>-12.050926</x:v>
      </x:c>
      <x:c r="Q360">
        <x:f ca="1">IFERROR(IF(0=LEN(ReferenceData!$Q$360),"",ReferenceData!$Q$360),"")</x:f>
        <x:v>-3.975787</x:v>
      </x:c>
      <x:c r="R360">
        <x:f ca="1">IFERROR(IF(0=LEN(ReferenceData!$R$360),"",ReferenceData!$R$360),"")</x:f>
        <x:v>-13.345176</x:v>
      </x:c>
      <x:c r="S360">
        <x:f ca="1">IFERROR(IF(0=LEN(ReferenceData!$S$360),"",ReferenceData!$S$360),"")</x:f>
        <x:v>-1.2210920000000001</x:v>
      </x:c>
    </x:row>
    <x:row r="361" spans="1:19" x14ac:dyDescent="0.25">
      <x:c r="A361" t="str">
        <x:f>IFERROR(IF(0=LEN(ReferenceData!$A$361),"",ReferenceData!$A$361),"")</x:f>
        <x:v xml:space="preserve">        VictoryShares Protect America</x:v>
      </x:c>
      <x:c r="B361" t="str">
        <x:f>IFERROR(IF(0=LEN(ReferenceData!$B$361),"",ReferenceData!$B$361),"")</x:f>
        <x:v>SHLD US Equity</x:v>
      </x:c>
      <x:c r="C361" t="str">
        <x:f>IFERROR(IF(0=LEN(ReferenceData!$C$361),"",ReferenceData!$C$361),"")</x:f>
        <x:v/>
      </x:c>
      <x:c r="D361" t="str">
        <x:f>IFERROR(IF(0=LEN(ReferenceData!$D$361),"",ReferenceData!$D$361),"")</x:f>
        <x:v/>
      </x:c>
      <x:c r="E361" t="str">
        <x:f>IFERROR(IF(0=LEN(ReferenceData!$E$361),"",ReferenceData!$E$361),"")</x:f>
        <x:v>Expression</x:v>
      </x:c>
      <x:c r="F361">
        <x:f ca="1">IFERROR(IF(0=LEN(ReferenceData!$F$361),"",ReferenceData!$F$361),"")</x:f>
        <x:v>0</x:v>
      </x:c>
      <x:c r="G361">
        <x:f ca="1">IFERROR(IF(0=LEN(ReferenceData!$G$361),"",ReferenceData!$G$361),"")</x:f>
        <x:v>1.7815000000000001</x:v>
      </x:c>
      <x:c r="H361">
        <x:f ca="1">IFERROR(IF(0=LEN(ReferenceData!$H$361),"",ReferenceData!$H$361),"")</x:f>
        <x:v>0</x:v>
      </x:c>
      <x:c r="I361" t="str">
        <x:f ca="1">IFERROR(IF(0=LEN(ReferenceData!$I$361),"",ReferenceData!$I$361),"")</x:f>
        <x:v/>
      </x:c>
      <x:c r="J361" t="str">
        <x:f ca="1">IFERROR(IF(0=LEN(ReferenceData!$J$361),"",ReferenceData!$J$361),"")</x:f>
        <x:v/>
      </x:c>
      <x:c r="K361" t="str">
        <x:f ca="1">IFERROR(IF(0=LEN(ReferenceData!$K$361),"",ReferenceData!$K$361),"")</x:f>
        <x:v/>
      </x:c>
      <x:c r="L361" t="str">
        <x:f ca="1">IFERROR(IF(0=LEN(ReferenceData!$L$361),"",ReferenceData!$L$361),"")</x:f>
        <x:v/>
      </x:c>
      <x:c r="M361" t="str">
        <x:f ca="1">IFERROR(IF(0=LEN(ReferenceData!$M$361),"",ReferenceData!$M$361),"")</x:f>
        <x:v/>
      </x:c>
      <x:c r="N361" t="str">
        <x:f ca="1">IFERROR(IF(0=LEN(ReferenceData!$N$361),"",ReferenceData!$N$361),"")</x:f>
        <x:v/>
      </x:c>
      <x:c r="O361" t="str">
        <x:f ca="1">IFERROR(IF(0=LEN(ReferenceData!$O$361),"",ReferenceData!$O$361),"")</x:f>
        <x:v/>
      </x:c>
      <x:c r="P361" t="str">
        <x:f ca="1">IFERROR(IF(0=LEN(ReferenceData!$P$361),"",ReferenceData!$P$361),"")</x:f>
        <x:v/>
      </x:c>
      <x:c r="Q361" t="str">
        <x:f ca="1">IFERROR(IF(0=LEN(ReferenceData!$Q$361),"",ReferenceData!$Q$361),"")</x:f>
        <x:v/>
      </x:c>
      <x:c r="R361" t="str">
        <x:f ca="1">IFERROR(IF(0=LEN(ReferenceData!$R$361),"",ReferenceData!$R$361),"")</x:f>
        <x:v/>
      </x:c>
      <x:c r="S361" t="str">
        <x:f ca="1">IFERROR(IF(0=LEN(ReferenceData!$S$361),"",ReferenceData!$S$361),"")</x:f>
        <x:v/>
      </x:c>
    </x:row>
    <x:row r="362" spans="1:19" x14ac:dyDescent="0.25">
      <x:c r="A362" t="str">
        <x:f>IFERROR(IF(0=LEN(ReferenceData!$A$362),"",ReferenceData!$A$362),"")</x:f>
        <x:v xml:space="preserve">        Gabelli Commercial Aerospace a</x:v>
      </x:c>
      <x:c r="B362" t="str">
        <x:f>IFERROR(IF(0=LEN(ReferenceData!$B$362),"",ReferenceData!$B$362),"")</x:f>
        <x:v>GCAD US Equity</x:v>
      </x:c>
      <x:c r="C362" t="str">
        <x:f>IFERROR(IF(0=LEN(ReferenceData!$C$362),"",ReferenceData!$C$362),"")</x:f>
        <x:v/>
      </x:c>
      <x:c r="D362" t="str">
        <x:f>IFERROR(IF(0=LEN(ReferenceData!$D$362),"",ReferenceData!$D$362),"")</x:f>
        <x:v/>
      </x:c>
      <x:c r="E362" t="str">
        <x:f>IFERROR(IF(0=LEN(ReferenceData!$E$362),"",ReferenceData!$E$362),"")</x:f>
        <x:v>Expression</x:v>
      </x:c>
      <x:c r="F362">
        <x:f ca="1">IFERROR(IF(0=LEN(ReferenceData!$F$362),"",ReferenceData!$F$362),"")</x:f>
        <x:v>0</x:v>
      </x:c>
      <x:c r="G362">
        <x:f ca="1">IFERROR(IF(0=LEN(ReferenceData!$G$362),"",ReferenceData!$G$362),"")</x:f>
        <x:v>0</x:v>
      </x:c>
      <x:c r="H362">
        <x:f ca="1">IFERROR(IF(0=LEN(ReferenceData!$H$362),"",ReferenceData!$H$362),"")</x:f>
        <x:v>0</x:v>
      </x:c>
      <x:c r="I362">
        <x:f ca="1">IFERROR(IF(0=LEN(ReferenceData!$I$362),"",ReferenceData!$I$362),"")</x:f>
        <x:v>0</x:v>
      </x:c>
      <x:c r="J362">
        <x:f ca="1">IFERROR(IF(0=LEN(ReferenceData!$J$362),"",ReferenceData!$J$362),"")</x:f>
        <x:v>0</x:v>
      </x:c>
      <x:c r="K362">
        <x:f ca="1">IFERROR(IF(0=LEN(ReferenceData!$K$362),"",ReferenceData!$K$362),"")</x:f>
        <x:v>0</x:v>
      </x:c>
      <x:c r="L362">
        <x:f ca="1">IFERROR(IF(0=LEN(ReferenceData!$L$362),"",ReferenceData!$L$362),"")</x:f>
        <x:v>0.24851899999999999</x:v>
      </x:c>
      <x:c r="M362">
        <x:f ca="1">IFERROR(IF(0=LEN(ReferenceData!$M$362),"",ReferenceData!$M$362),"")</x:f>
        <x:v>0</x:v>
      </x:c>
      <x:c r="N362">
        <x:f ca="1">IFERROR(IF(0=LEN(ReferenceData!$N$362),"",ReferenceData!$N$362),"")</x:f>
        <x:v>0.25844699999999998</x:v>
      </x:c>
      <x:c r="O362">
        <x:f ca="1">IFERROR(IF(0=LEN(ReferenceData!$O$362),"",ReferenceData!$O$362),"")</x:f>
        <x:v>0.25659700000000002</x:v>
      </x:c>
      <x:c r="P362">
        <x:f ca="1">IFERROR(IF(0=LEN(ReferenceData!$P$362),"",ReferenceData!$P$362),"")</x:f>
        <x:v>0.62781399999999998</x:v>
      </x:c>
      <x:c r="Q362" t="str">
        <x:f ca="1">IFERROR(IF(0=LEN(ReferenceData!$Q$362),"",ReferenceData!$Q$362),"")</x:f>
        <x:v/>
      </x:c>
      <x:c r="R362" t="str">
        <x:f ca="1">IFERROR(IF(0=LEN(ReferenceData!$R$362),"",ReferenceData!$R$362),"")</x:f>
        <x:v/>
      </x:c>
      <x:c r="S362" t="str">
        <x:f ca="1">IFERROR(IF(0=LEN(ReferenceData!$S$362),"",ReferenceData!$S$362),"")</x:f>
        <x:v/>
      </x:c>
    </x:row>
    <x:row r="363" spans="1:19" x14ac:dyDescent="0.25">
      <x:c r="A363" t="str">
        <x:f>IFERROR(IF(0=LEN(ReferenceData!$A$363),"",ReferenceData!$A$363),"")</x:f>
        <x:v xml:space="preserve">        First Trust Indxx Aerospace &amp;</x:v>
      </x:c>
      <x:c r="B363" t="str">
        <x:f>IFERROR(IF(0=LEN(ReferenceData!$B$363),"",ReferenceData!$B$363),"")</x:f>
        <x:v>MISL US Equity</x:v>
      </x:c>
      <x:c r="C363" t="str">
        <x:f>IFERROR(IF(0=LEN(ReferenceData!$C$363),"",ReferenceData!$C$363),"")</x:f>
        <x:v/>
      </x:c>
      <x:c r="D363" t="str">
        <x:f>IFERROR(IF(0=LEN(ReferenceData!$D$363),"",ReferenceData!$D$363),"")</x:f>
        <x:v/>
      </x:c>
      <x:c r="E363" t="str">
        <x:f>IFERROR(IF(0=LEN(ReferenceData!$E$363),"",ReferenceData!$E$363),"")</x:f>
        <x:v>Expression</x:v>
      </x:c>
      <x:c r="F363">
        <x:f ca="1">IFERROR(IF(0=LEN(ReferenceData!$F$363),"",ReferenceData!$F$363),"")</x:f>
        <x:v>0</x:v>
      </x:c>
      <x:c r="G363">
        <x:f ca="1">IFERROR(IF(0=LEN(ReferenceData!$G$363),"",ReferenceData!$G$363),"")</x:f>
        <x:v>7.9802119999999999</x:v>
      </x:c>
      <x:c r="H363">
        <x:f ca="1">IFERROR(IF(0=LEN(ReferenceData!$H$363),"",ReferenceData!$H$363),"")</x:f>
        <x:v>1.115146</x:v>
      </x:c>
      <x:c r="I363">
        <x:f ca="1">IFERROR(IF(0=LEN(ReferenceData!$I$363),"",ReferenceData!$I$363),"")</x:f>
        <x:v>11.618962</x:v>
      </x:c>
      <x:c r="J363">
        <x:f ca="1">IFERROR(IF(0=LEN(ReferenceData!$J$363),"",ReferenceData!$J$363),"")</x:f>
        <x:v>3.5230000000000001</x:v>
      </x:c>
      <x:c r="K363">
        <x:f ca="1">IFERROR(IF(0=LEN(ReferenceData!$K$363),"",ReferenceData!$K$363),"")</x:f>
        <x:v>0</x:v>
      </x:c>
      <x:c r="L363">
        <x:f ca="1">IFERROR(IF(0=LEN(ReferenceData!$L$363),"",ReferenceData!$L$363),"")</x:f>
        <x:v>3.3450000000000002</x:v>
      </x:c>
      <x:c r="M363">
        <x:f ca="1">IFERROR(IF(0=LEN(ReferenceData!$M$363),"",ReferenceData!$M$363),"")</x:f>
        <x:v>3.2985000000000002</x:v>
      </x:c>
      <x:c r="N363">
        <x:f ca="1">IFERROR(IF(0=LEN(ReferenceData!$N$363),"",ReferenceData!$N$363),"")</x:f>
        <x:v>14.593500000000001</x:v>
      </x:c>
      <x:c r="O363">
        <x:f ca="1">IFERROR(IF(0=LEN(ReferenceData!$O$363),"",ReferenceData!$O$363),"")</x:f>
        <x:v>1.145</x:v>
      </x:c>
      <x:c r="P363">
        <x:f ca="1">IFERROR(IF(0=LEN(ReferenceData!$P$363),"",ReferenceData!$P$363),"")</x:f>
        <x:v>-0.01</x:v>
      </x:c>
      <x:c r="Q363">
        <x:f ca="1">IFERROR(IF(0=LEN(ReferenceData!$Q$363),"",ReferenceData!$Q$363),"")</x:f>
        <x:v>0</x:v>
      </x:c>
      <x:c r="R363">
        <x:f ca="1">IFERROR(IF(0=LEN(ReferenceData!$R$363),"",ReferenceData!$R$363),"")</x:f>
        <x:v>1.1000259999999999</x:v>
      </x:c>
      <x:c r="S363">
        <x:f ca="1">IFERROR(IF(0=LEN(ReferenceData!$S$363),"",ReferenceData!$S$363),"")</x:f>
        <x:v>0</x:v>
      </x:c>
    </x:row>
    <x:row r="364" spans="1:19" x14ac:dyDescent="0.25">
      <x:c r="A364" t="str">
        <x:f>IFERROR(IF(0=LEN(ReferenceData!$A$364),"",ReferenceData!$A$364),"")</x:f>
        <x:v xml:space="preserve">        Pacer Industrials and Logistic</x:v>
      </x:c>
      <x:c r="B364" t="str">
        <x:f>IFERROR(IF(0=LEN(ReferenceData!$B$364),"",ReferenceData!$B$364),"")</x:f>
        <x:v>SHPP US Equity</x:v>
      </x:c>
      <x:c r="C364" t="str">
        <x:f>IFERROR(IF(0=LEN(ReferenceData!$C$364),"",ReferenceData!$C$364),"")</x:f>
        <x:v/>
      </x:c>
      <x:c r="D364" t="str">
        <x:f>IFERROR(IF(0=LEN(ReferenceData!$D$364),"",ReferenceData!$D$364),"")</x:f>
        <x:v/>
      </x:c>
      <x:c r="E364" t="str">
        <x:f>IFERROR(IF(0=LEN(ReferenceData!$E$364),"",ReferenceData!$E$364),"")</x:f>
        <x:v>Expression</x:v>
      </x:c>
      <x:c r="F364">
        <x:f ca="1">IFERROR(IF(0=LEN(ReferenceData!$F$364),"",ReferenceData!$F$364),"")</x:f>
        <x:v>0</x:v>
      </x:c>
      <x:c r="G364">
        <x:f ca="1">IFERROR(IF(0=LEN(ReferenceData!$G$364),"",ReferenceData!$G$364),"")</x:f>
        <x:v>0</x:v>
      </x:c>
      <x:c r="H364">
        <x:f ca="1">IFERROR(IF(0=LEN(ReferenceData!$H$364),"",ReferenceData!$H$364),"")</x:f>
        <x:v>0</x:v>
      </x:c>
      <x:c r="I364">
        <x:f ca="1">IFERROR(IF(0=LEN(ReferenceData!$I$364),"",ReferenceData!$I$364),"")</x:f>
        <x:v>0</x:v>
      </x:c>
      <x:c r="J364">
        <x:f ca="1">IFERROR(IF(0=LEN(ReferenceData!$J$364),"",ReferenceData!$J$364),"")</x:f>
        <x:v>0</x:v>
      </x:c>
      <x:c r="K364">
        <x:f ca="1">IFERROR(IF(0=LEN(ReferenceData!$K$364),"",ReferenceData!$K$364),"")</x:f>
        <x:v>0</x:v>
      </x:c>
      <x:c r="L364">
        <x:f ca="1">IFERROR(IF(0=LEN(ReferenceData!$L$364),"",ReferenceData!$L$364),"")</x:f>
        <x:v>0</x:v>
      </x:c>
      <x:c r="M364">
        <x:f ca="1">IFERROR(IF(0=LEN(ReferenceData!$M$364),"",ReferenceData!$M$364),"")</x:f>
        <x:v>0</x:v>
      </x:c>
      <x:c r="N364">
        <x:f ca="1">IFERROR(IF(0=LEN(ReferenceData!$N$364),"",ReferenceData!$N$364),"")</x:f>
        <x:v>0</x:v>
      </x:c>
      <x:c r="O364">
        <x:f ca="1">IFERROR(IF(0=LEN(ReferenceData!$O$364),"",ReferenceData!$O$364),"")</x:f>
        <x:v>0</x:v>
      </x:c>
      <x:c r="P364">
        <x:f ca="1">IFERROR(IF(0=LEN(ReferenceData!$P$364),"",ReferenceData!$P$364),"")</x:f>
        <x:v>0</x:v>
      </x:c>
      <x:c r="Q364">
        <x:f ca="1">IFERROR(IF(0=LEN(ReferenceData!$Q$364),"",ReferenceData!$Q$364),"")</x:f>
        <x:v>0</x:v>
      </x:c>
      <x:c r="R364">
        <x:f ca="1">IFERROR(IF(0=LEN(ReferenceData!$R$364),"",ReferenceData!$R$364),"")</x:f>
        <x:v>0</x:v>
      </x:c>
      <x:c r="S364">
        <x:f ca="1">IFERROR(IF(0=LEN(ReferenceData!$S$364),"",ReferenceData!$S$364),"")</x:f>
        <x:v>0</x:v>
      </x:c>
    </x:row>
    <x:row r="365" spans="1:19" x14ac:dyDescent="0.25">
      <x:c r="A365" t="str">
        <x:f>IFERROR(IF(0=LEN(ReferenceData!$A$365),"",ReferenceData!$A$365),"")</x:f>
        <x:v xml:space="preserve">    Materials</x:v>
      </x:c>
      <x:c r="B365" t="str">
        <x:f>IFERROR(IF(0=LEN(ReferenceData!$B$365),"",ReferenceData!$B$365),"")</x:f>
        <x:v/>
      </x:c>
      <x:c r="C365" t="str">
        <x:f>IFERROR(IF(0=LEN(ReferenceData!$C$365),"",ReferenceData!$C$365),"")</x:f>
        <x:v/>
      </x:c>
      <x:c r="D365" t="str">
        <x:f>IFERROR(IF(0=LEN(ReferenceData!$D$365),"",ReferenceData!$D$365),"")</x:f>
        <x:v/>
      </x:c>
      <x:c r="E365" t="str">
        <x:f>IFERROR(IF(0=LEN(ReferenceData!$E$365),"",ReferenceData!$E$365),"")</x:f>
        <x:v>Sum</x:v>
      </x:c>
      <x:c r="F365">
        <x:f ca="1">IFERROR(IF(0=LEN(ReferenceData!$F$365),"",ReferenceData!$F$365),"")</x:f>
        <x:v>502.81183399999992</x:v>
      </x:c>
      <x:c r="G365">
        <x:f ca="1">IFERROR(IF(0=LEN(ReferenceData!$G$365),"",ReferenceData!$G$365),"")</x:f>
        <x:v>184.09647299999997</x:v>
      </x:c>
      <x:c r="H365">
        <x:f ca="1">IFERROR(IF(0=LEN(ReferenceData!$H$365),"",ReferenceData!$H$365),"")</x:f>
        <x:v>-803.07311899999991</x:v>
      </x:c>
      <x:c r="I365">
        <x:f ca="1">IFERROR(IF(0=LEN(ReferenceData!$I$365),"",ReferenceData!$I$365),"")</x:f>
        <x:v>-632.69096600000012</x:v>
      </x:c>
      <x:c r="J365">
        <x:f ca="1">IFERROR(IF(0=LEN(ReferenceData!$J$365),"",ReferenceData!$J$365),"")</x:f>
        <x:v>842.46821699999975</x:v>
      </x:c>
      <x:c r="K365">
        <x:f ca="1">IFERROR(IF(0=LEN(ReferenceData!$K$365),"",ReferenceData!$K$365),"")</x:f>
        <x:v>-1191.2550099999999</x:v>
      </x:c>
      <x:c r="L365">
        <x:f ca="1">IFERROR(IF(0=LEN(ReferenceData!$L$365),"",ReferenceData!$L$365),"")</x:f>
        <x:v>-980.95570399999997</x:v>
      </x:c>
      <x:c r="M365">
        <x:f ca="1">IFERROR(IF(0=LEN(ReferenceData!$M$365),"",ReferenceData!$M$365),"")</x:f>
        <x:v>-308.15391500000004</x:v>
      </x:c>
      <x:c r="N365">
        <x:f ca="1">IFERROR(IF(0=LEN(ReferenceData!$N$365),"",ReferenceData!$N$365),"")</x:f>
        <x:v>-29.359471999999968</x:v>
      </x:c>
      <x:c r="O365">
        <x:f ca="1">IFERROR(IF(0=LEN(ReferenceData!$O$365),"",ReferenceData!$O$365),"")</x:f>
        <x:v>-240.97790899999987</x:v>
      </x:c>
      <x:c r="P365">
        <x:f ca="1">IFERROR(IF(0=LEN(ReferenceData!$P$365),"",ReferenceData!$P$365),"")</x:f>
        <x:v>1450.1953229999999</x:v>
      </x:c>
      <x:c r="Q365">
        <x:f ca="1">IFERROR(IF(0=LEN(ReferenceData!$Q$365),"",ReferenceData!$Q$365),"")</x:f>
        <x:v>-5.5347800000000005</x:v>
      </x:c>
      <x:c r="R365">
        <x:f ca="1">IFERROR(IF(0=LEN(ReferenceData!$R$365),"",ReferenceData!$R$365),"")</x:f>
        <x:v>141.44304599999998</x:v>
      </x:c>
      <x:c r="S365">
        <x:f ca="1">IFERROR(IF(0=LEN(ReferenceData!$S$365),"",ReferenceData!$S$365),"")</x:f>
        <x:v>435.91022699999968</x:v>
      </x:c>
    </x:row>
    <x:row r="366" spans="1:19" x14ac:dyDescent="0.25">
      <x:c r="A366" t="str">
        <x:f>IFERROR(IF(0=LEN(ReferenceData!$A$366),"",ReferenceData!$A$366),"")</x:f>
        <x:v xml:space="preserve">        VanEck Gold Miners ETF/USA</x:v>
      </x:c>
      <x:c r="B366" t="str">
        <x:f>IFERROR(IF(0=LEN(ReferenceData!$B$366),"",ReferenceData!$B$366),"")</x:f>
        <x:v>GDX US Equity</x:v>
      </x:c>
      <x:c r="C366" t="str">
        <x:f>IFERROR(IF(0=LEN(ReferenceData!$C$366),"",ReferenceData!$C$366),"")</x:f>
        <x:v/>
      </x:c>
      <x:c r="D366" t="str">
        <x:f>IFERROR(IF(0=LEN(ReferenceData!$D$366),"",ReferenceData!$D$366),"")</x:f>
        <x:v/>
      </x:c>
      <x:c r="E366" t="str">
        <x:f>IFERROR(IF(0=LEN(ReferenceData!$E$366),"",ReferenceData!$E$366),"")</x:f>
        <x:v>Expression</x:v>
      </x:c>
      <x:c r="F366">
        <x:f ca="1">IFERROR(IF(0=LEN(ReferenceData!$F$366),"",ReferenceData!$F$366),"")</x:f>
        <x:v>826.77285199999994</x:v>
      </x:c>
      <x:c r="G366">
        <x:f ca="1">IFERROR(IF(0=LEN(ReferenceData!$G$366),"",ReferenceData!$G$366),"")</x:f>
        <x:v>-86.883026999999998</x:v>
      </x:c>
      <x:c r="H366">
        <x:f ca="1">IFERROR(IF(0=LEN(ReferenceData!$H$366),"",ReferenceData!$H$366),"")</x:f>
        <x:v>-239.33350999999999</x:v>
      </x:c>
      <x:c r="I366">
        <x:f ca="1">IFERROR(IF(0=LEN(ReferenceData!$I$366),"",ReferenceData!$I$366),"")</x:f>
        <x:v>192.031271</x:v>
      </x:c>
      <x:c r="J366">
        <x:f ca="1">IFERROR(IF(0=LEN(ReferenceData!$J$366),"",ReferenceData!$J$366),"")</x:f>
        <x:v>71.338014999999999</x:v>
      </x:c>
      <x:c r="K366">
        <x:f ca="1">IFERROR(IF(0=LEN(ReferenceData!$K$366),"",ReferenceData!$K$366),"")</x:f>
        <x:v>-370.20334400000002</x:v>
      </x:c>
      <x:c r="L366">
        <x:f ca="1">IFERROR(IF(0=LEN(ReferenceData!$L$366),"",ReferenceData!$L$366),"")</x:f>
        <x:v>-71.975564000000006</x:v>
      </x:c>
      <x:c r="M366">
        <x:f ca="1">IFERROR(IF(0=LEN(ReferenceData!$M$366),"",ReferenceData!$M$366),"")</x:f>
        <x:v>-544.12555499999996</x:v>
      </x:c>
      <x:c r="N366">
        <x:f ca="1">IFERROR(IF(0=LEN(ReferenceData!$N$366),"",ReferenceData!$N$366),"")</x:f>
        <x:v>314.78822000000002</x:v>
      </x:c>
      <x:c r="O366">
        <x:f ca="1">IFERROR(IF(0=LEN(ReferenceData!$O$366),"",ReferenceData!$O$366),"")</x:f>
        <x:v>-256.63113199999998</x:v>
      </x:c>
      <x:c r="P366">
        <x:f ca="1">IFERROR(IF(0=LEN(ReferenceData!$P$366),"",ReferenceData!$P$366),"")</x:f>
        <x:v>323.54277500000001</x:v>
      </x:c>
      <x:c r="Q366">
        <x:f ca="1">IFERROR(IF(0=LEN(ReferenceData!$Q$366),"",ReferenceData!$Q$366),"")</x:f>
        <x:v>-15.411706000000001</x:v>
      </x:c>
      <x:c r="R366">
        <x:f ca="1">IFERROR(IF(0=LEN(ReferenceData!$R$366),"",ReferenceData!$R$366),"")</x:f>
        <x:v>192.97896</x:v>
      </x:c>
      <x:c r="S366">
        <x:f ca="1">IFERROR(IF(0=LEN(ReferenceData!$S$366),"",ReferenceData!$S$366),"")</x:f>
        <x:v>503.69313199999999</x:v>
      </x:c>
    </x:row>
    <x:row r="367" spans="1:19" x14ac:dyDescent="0.25">
      <x:c r="A367" t="str">
        <x:f>IFERROR(IF(0=LEN(ReferenceData!$A$367),"",ReferenceData!$A$367),"")</x:f>
        <x:v xml:space="preserve">        VanEck Junior Gold Miners ETF</x:v>
      </x:c>
      <x:c r="B367" t="str">
        <x:f>IFERROR(IF(0=LEN(ReferenceData!$B$367),"",ReferenceData!$B$367),"")</x:f>
        <x:v>GDXJ US Equity</x:v>
      </x:c>
      <x:c r="C367" t="str">
        <x:f>IFERROR(IF(0=LEN(ReferenceData!$C$367),"",ReferenceData!$C$367),"")</x:f>
        <x:v/>
      </x:c>
      <x:c r="D367" t="str">
        <x:f>IFERROR(IF(0=LEN(ReferenceData!$D$367),"",ReferenceData!$D$367),"")</x:f>
        <x:v/>
      </x:c>
      <x:c r="E367" t="str">
        <x:f>IFERROR(IF(0=LEN(ReferenceData!$E$367),"",ReferenceData!$E$367),"")</x:f>
        <x:v>Expression</x:v>
      </x:c>
      <x:c r="F367">
        <x:f ca="1">IFERROR(IF(0=LEN(ReferenceData!$F$367),"",ReferenceData!$F$367),"")</x:f>
        <x:v>71.976669000000001</x:v>
      </x:c>
      <x:c r="G367">
        <x:f ca="1">IFERROR(IF(0=LEN(ReferenceData!$G$367),"",ReferenceData!$G$367),"")</x:f>
        <x:v>44.795758999999997</x:v>
      </x:c>
      <x:c r="H367">
        <x:f ca="1">IFERROR(IF(0=LEN(ReferenceData!$H$367),"",ReferenceData!$H$367),"")</x:f>
        <x:v>6.1215909999999996</x:v>
      </x:c>
      <x:c r="I367">
        <x:f ca="1">IFERROR(IF(0=LEN(ReferenceData!$I$367),"",ReferenceData!$I$367),"")</x:f>
        <x:v>105.34687599999999</x:v>
      </x:c>
      <x:c r="J367">
        <x:f ca="1">IFERROR(IF(0=LEN(ReferenceData!$J$367),"",ReferenceData!$J$367),"")</x:f>
        <x:v>30.933508</x:v>
      </x:c>
      <x:c r="K367">
        <x:f ca="1">IFERROR(IF(0=LEN(ReferenceData!$K$367),"",ReferenceData!$K$367),"")</x:f>
        <x:v>-2.2942990000000001</x:v>
      </x:c>
      <x:c r="L367">
        <x:f ca="1">IFERROR(IF(0=LEN(ReferenceData!$L$367),"",ReferenceData!$L$367),"")</x:f>
        <x:v>-51.190724000000003</x:v>
      </x:c>
      <x:c r="M367">
        <x:f ca="1">IFERROR(IF(0=LEN(ReferenceData!$M$367),"",ReferenceData!$M$367),"")</x:f>
        <x:v>23.191123999999999</x:v>
      </x:c>
      <x:c r="N367">
        <x:f ca="1">IFERROR(IF(0=LEN(ReferenceData!$N$367),"",ReferenceData!$N$367),"")</x:f>
        <x:v>137.11084500000001</x:v>
      </x:c>
      <x:c r="O367">
        <x:f ca="1">IFERROR(IF(0=LEN(ReferenceData!$O$367),"",ReferenceData!$O$367),"")</x:f>
        <x:v>-55.199216</x:v>
      </x:c>
      <x:c r="P367">
        <x:f ca="1">IFERROR(IF(0=LEN(ReferenceData!$P$367),"",ReferenceData!$P$367),"")</x:f>
        <x:v>17.606607</x:v>
      </x:c>
      <x:c r="Q367">
        <x:f ca="1">IFERROR(IF(0=LEN(ReferenceData!$Q$367),"",ReferenceData!$Q$367),"")</x:f>
        <x:v>9.938701</x:v>
      </x:c>
      <x:c r="R367">
        <x:f ca="1">IFERROR(IF(0=LEN(ReferenceData!$R$367),"",ReferenceData!$R$367),"")</x:f>
        <x:v>68.812047000000007</x:v>
      </x:c>
      <x:c r="S367">
        <x:f ca="1">IFERROR(IF(0=LEN(ReferenceData!$S$367),"",ReferenceData!$S$367),"")</x:f>
        <x:v>1.9105939999999999</x:v>
      </x:c>
    </x:row>
    <x:row r="368" spans="1:19" x14ac:dyDescent="0.25">
      <x:c r="A368" t="str">
        <x:f>IFERROR(IF(0=LEN(ReferenceData!$A$368),"",ReferenceData!$A$368),"")</x:f>
        <x:v xml:space="preserve">        Materials Select Sector SPDR F</x:v>
      </x:c>
      <x:c r="B368" t="str">
        <x:f>IFERROR(IF(0=LEN(ReferenceData!$B$368),"",ReferenceData!$B$368),"")</x:f>
        <x:v>XLB US Equity</x:v>
      </x:c>
      <x:c r="C368" t="str">
        <x:f>IFERROR(IF(0=LEN(ReferenceData!$C$368),"",ReferenceData!$C$368),"")</x:f>
        <x:v/>
      </x:c>
      <x:c r="D368" t="str">
        <x:f>IFERROR(IF(0=LEN(ReferenceData!$D$368),"",ReferenceData!$D$368),"")</x:f>
        <x:v/>
      </x:c>
      <x:c r="E368" t="str">
        <x:f>IFERROR(IF(0=LEN(ReferenceData!$E$368),"",ReferenceData!$E$368),"")</x:f>
        <x:v>Expression</x:v>
      </x:c>
      <x:c r="F368">
        <x:f ca="1">IFERROR(IF(0=LEN(ReferenceData!$F$368),"",ReferenceData!$F$368),"")</x:f>
        <x:v>-181.93026499999999</x:v>
      </x:c>
      <x:c r="G368">
        <x:f ca="1">IFERROR(IF(0=LEN(ReferenceData!$G$368),"",ReferenceData!$G$368),"")</x:f>
        <x:v>455.17264399999999</x:v>
      </x:c>
      <x:c r="H368">
        <x:f ca="1">IFERROR(IF(0=LEN(ReferenceData!$H$368),"",ReferenceData!$H$368),"")</x:f>
        <x:v>-506.822563</x:v>
      </x:c>
      <x:c r="I368">
        <x:f ca="1">IFERROR(IF(0=LEN(ReferenceData!$I$368),"",ReferenceData!$I$368),"")</x:f>
        <x:v>-830.96642099999997</x:v>
      </x:c>
      <x:c r="J368">
        <x:f ca="1">IFERROR(IF(0=LEN(ReferenceData!$J$368),"",ReferenceData!$J$368),"")</x:f>
        <x:v>622.95755299999996</x:v>
      </x:c>
      <x:c r="K368">
        <x:f ca="1">IFERROR(IF(0=LEN(ReferenceData!$K$368),"",ReferenceData!$K$368),"")</x:f>
        <x:v>167.56300899999999</x:v>
      </x:c>
      <x:c r="L368">
        <x:f ca="1">IFERROR(IF(0=LEN(ReferenceData!$L$368),"",ReferenceData!$L$368),"")</x:f>
        <x:v>-221.19088500000001</x:v>
      </x:c>
      <x:c r="M368">
        <x:f ca="1">IFERROR(IF(0=LEN(ReferenceData!$M$368),"",ReferenceData!$M$368),"")</x:f>
        <x:v>484.59240199999999</x:v>
      </x:c>
      <x:c r="N368">
        <x:f ca="1">IFERROR(IF(0=LEN(ReferenceData!$N$368),"",ReferenceData!$N$368),"")</x:f>
        <x:v>-416.08860099999998</x:v>
      </x:c>
      <x:c r="O368">
        <x:f ca="1">IFERROR(IF(0=LEN(ReferenceData!$O$368),"",ReferenceData!$O$368),"")</x:f>
        <x:v>-187.54572400000001</x:v>
      </x:c>
      <x:c r="P368">
        <x:f ca="1">IFERROR(IF(0=LEN(ReferenceData!$P$368),"",ReferenceData!$P$368),"")</x:f>
        <x:v>560.50241800000003</x:v>
      </x:c>
      <x:c r="Q368">
        <x:f ca="1">IFERROR(IF(0=LEN(ReferenceData!$Q$368),"",ReferenceData!$Q$368),"")</x:f>
        <x:v>-3.1411820000000001</x:v>
      </x:c>
      <x:c r="R368">
        <x:f ca="1">IFERROR(IF(0=LEN(ReferenceData!$R$368),"",ReferenceData!$R$368),"")</x:f>
        <x:v>-208.47816900000001</x:v>
      </x:c>
      <x:c r="S368">
        <x:f ca="1">IFERROR(IF(0=LEN(ReferenceData!$S$368),"",ReferenceData!$S$368),"")</x:f>
        <x:v>80.103648000000007</x:v>
      </x:c>
    </x:row>
    <x:row r="369" spans="1:19" x14ac:dyDescent="0.25">
      <x:c r="A369" t="str">
        <x:f>IFERROR(IF(0=LEN(ReferenceData!$A$369),"",ReferenceData!$A$369),"")</x:f>
        <x:v xml:space="preserve">        Vanguard Materials ETF</x:v>
      </x:c>
      <x:c r="B369" t="str">
        <x:f>IFERROR(IF(0=LEN(ReferenceData!$B$369),"",ReferenceData!$B$369),"")</x:f>
        <x:v>VAW US Equity</x:v>
      </x:c>
      <x:c r="C369" t="str">
        <x:f>IFERROR(IF(0=LEN(ReferenceData!$C$369),"",ReferenceData!$C$369),"")</x:f>
        <x:v/>
      </x:c>
      <x:c r="D369" t="str">
        <x:f>IFERROR(IF(0=LEN(ReferenceData!$D$369),"",ReferenceData!$D$369),"")</x:f>
        <x:v/>
      </x:c>
      <x:c r="E369" t="str">
        <x:f>IFERROR(IF(0=LEN(ReferenceData!$E$369),"",ReferenceData!$E$369),"")</x:f>
        <x:v>Expression</x:v>
      </x:c>
      <x:c r="F369">
        <x:f ca="1">IFERROR(IF(0=LEN(ReferenceData!$F$369),"",ReferenceData!$F$369),"")</x:f>
        <x:v>-17.138000000000002</x:v>
      </x:c>
      <x:c r="G369">
        <x:f ca="1">IFERROR(IF(0=LEN(ReferenceData!$G$369),"",ReferenceData!$G$369),"")</x:f>
        <x:v>-322.55824999999999</x:v>
      </x:c>
      <x:c r="H369">
        <x:f ca="1">IFERROR(IF(0=LEN(ReferenceData!$H$369),"",ReferenceData!$H$369),"")</x:f>
        <x:v>-44.545999999999999</x:v>
      </x:c>
      <x:c r="I369">
        <x:f ca="1">IFERROR(IF(0=LEN(ReferenceData!$I$369),"",ReferenceData!$I$369),"")</x:f>
        <x:v>-8.2677239999999994</x:v>
      </x:c>
      <x:c r="J369">
        <x:f ca="1">IFERROR(IF(0=LEN(ReferenceData!$J$369),"",ReferenceData!$J$369),"")</x:f>
        <x:v>230.267</x:v>
      </x:c>
      <x:c r="K369">
        <x:f ca="1">IFERROR(IF(0=LEN(ReferenceData!$K$369),"",ReferenceData!$K$369),"")</x:f>
        <x:v>-25.870080999999999</x:v>
      </x:c>
      <x:c r="L369">
        <x:f ca="1">IFERROR(IF(0=LEN(ReferenceData!$L$369),"",ReferenceData!$L$369),"")</x:f>
        <x:v>-77.556066999999999</x:v>
      </x:c>
      <x:c r="M369">
        <x:f ca="1">IFERROR(IF(0=LEN(ReferenceData!$M$369),"",ReferenceData!$M$369),"")</x:f>
        <x:v>-53.488</x:v>
      </x:c>
      <x:c r="N369">
        <x:f ca="1">IFERROR(IF(0=LEN(ReferenceData!$N$369),"",ReferenceData!$N$369),"")</x:f>
        <x:v>-7.423654</x:v>
      </x:c>
      <x:c r="O369">
        <x:f ca="1">IFERROR(IF(0=LEN(ReferenceData!$O$369),"",ReferenceData!$O$369),"")</x:f>
        <x:v>15.285423</x:v>
      </x:c>
      <x:c r="P369">
        <x:f ca="1">IFERROR(IF(0=LEN(ReferenceData!$P$369),"",ReferenceData!$P$369),"")</x:f>
        <x:v>-25.739111999999999</x:v>
      </x:c>
      <x:c r="Q369">
        <x:f ca="1">IFERROR(IF(0=LEN(ReferenceData!$Q$369),"",ReferenceData!$Q$369),"")</x:f>
        <x:v>-30.757750000000001</x:v>
      </x:c>
      <x:c r="R369">
        <x:f ca="1">IFERROR(IF(0=LEN(ReferenceData!$R$369),"",ReferenceData!$R$369),"")</x:f>
        <x:v>53.672462000000003</x:v>
      </x:c>
      <x:c r="S369">
        <x:f ca="1">IFERROR(IF(0=LEN(ReferenceData!$S$369),"",ReferenceData!$S$369),"")</x:f>
        <x:v>-46.644750000000002</x:v>
      </x:c>
    </x:row>
    <x:row r="370" spans="1:19" x14ac:dyDescent="0.25">
      <x:c r="A370" t="str">
        <x:f>IFERROR(IF(0=LEN(ReferenceData!$A$370),"",ReferenceData!$A$370),"")</x:f>
        <x:v xml:space="preserve">        Direxion Daily Gold Miners Ind</x:v>
      </x:c>
      <x:c r="B370" t="str">
        <x:f>IFERROR(IF(0=LEN(ReferenceData!$B$370),"",ReferenceData!$B$370),"")</x:f>
        <x:v>NUGT US Equity</x:v>
      </x:c>
      <x:c r="C370" t="str">
        <x:f>IFERROR(IF(0=LEN(ReferenceData!$C$370),"",ReferenceData!$C$370),"")</x:f>
        <x:v/>
      </x:c>
      <x:c r="D370" t="str">
        <x:f>IFERROR(IF(0=LEN(ReferenceData!$D$370),"",ReferenceData!$D$370),"")</x:f>
        <x:v/>
      </x:c>
      <x:c r="E370" t="str">
        <x:f>IFERROR(IF(0=LEN(ReferenceData!$E$370),"",ReferenceData!$E$370),"")</x:f>
        <x:v>Expression</x:v>
      </x:c>
      <x:c r="F370">
        <x:f ca="1">IFERROR(IF(0=LEN(ReferenceData!$F$370),"",ReferenceData!$F$370),"")</x:f>
        <x:v>-0.85528400000000004</x:v>
      </x:c>
      <x:c r="G370">
        <x:f ca="1">IFERROR(IF(0=LEN(ReferenceData!$G$370),"",ReferenceData!$G$370),"")</x:f>
        <x:v>10.096603</x:v>
      </x:c>
      <x:c r="H370">
        <x:f ca="1">IFERROR(IF(0=LEN(ReferenceData!$H$370),"",ReferenceData!$H$370),"")</x:f>
        <x:v>36.657556999999997</x:v>
      </x:c>
      <x:c r="I370">
        <x:f ca="1">IFERROR(IF(0=LEN(ReferenceData!$I$370),"",ReferenceData!$I$370),"")</x:f>
        <x:v>41.429003999999999</x:v>
      </x:c>
      <x:c r="J370">
        <x:f ca="1">IFERROR(IF(0=LEN(ReferenceData!$J$370),"",ReferenceData!$J$370),"")</x:f>
        <x:v>0.15273900000000001</x:v>
      </x:c>
      <x:c r="K370">
        <x:f ca="1">IFERROR(IF(0=LEN(ReferenceData!$K$370),"",ReferenceData!$K$370),"")</x:f>
        <x:v>4.2404310000000001</x:v>
      </x:c>
      <x:c r="L370">
        <x:f ca="1">IFERROR(IF(0=LEN(ReferenceData!$L$370),"",ReferenceData!$L$370),"")</x:f>
        <x:v>37.901251000000002</x:v>
      </x:c>
      <x:c r="M370">
        <x:f ca="1">IFERROR(IF(0=LEN(ReferenceData!$M$370),"",ReferenceData!$M$370),"")</x:f>
        <x:v>-51.459502999999998</x:v>
      </x:c>
      <x:c r="N370">
        <x:f ca="1">IFERROR(IF(0=LEN(ReferenceData!$N$370),"",ReferenceData!$N$370),"")</x:f>
        <x:v>-17.992436999999999</x:v>
      </x:c>
      <x:c r="O370">
        <x:f ca="1">IFERROR(IF(0=LEN(ReferenceData!$O$370),"",ReferenceData!$O$370),"")</x:f>
        <x:v>39.073419000000001</x:v>
      </x:c>
      <x:c r="P370">
        <x:f ca="1">IFERROR(IF(0=LEN(ReferenceData!$P$370),"",ReferenceData!$P$370),"")</x:f>
        <x:v>-63.596235999999998</x:v>
      </x:c>
      <x:c r="Q370">
        <x:f ca="1">IFERROR(IF(0=LEN(ReferenceData!$Q$370),"",ReferenceData!$Q$370),"")</x:f>
        <x:v>6.9053630000000004</x:v>
      </x:c>
      <x:c r="R370">
        <x:f ca="1">IFERROR(IF(0=LEN(ReferenceData!$R$370),"",ReferenceData!$R$370),"")</x:f>
        <x:v>-45.567937000000001</x:v>
      </x:c>
      <x:c r="S370">
        <x:f ca="1">IFERROR(IF(0=LEN(ReferenceData!$S$370),"",ReferenceData!$S$370),"")</x:f>
        <x:v>-23.326350999999999</x:v>
      </x:c>
    </x:row>
    <x:row r="371" spans="1:19" x14ac:dyDescent="0.25">
      <x:c r="A371" t="str">
        <x:f>IFERROR(IF(0=LEN(ReferenceData!$A$371),"",ReferenceData!$A$371),"")</x:f>
        <x:v xml:space="preserve">        iShares U.S. Basic Materials E</x:v>
      </x:c>
      <x:c r="B371" t="str">
        <x:f>IFERROR(IF(0=LEN(ReferenceData!$B$371),"",ReferenceData!$B$371),"")</x:f>
        <x:v>IYM US Equity</x:v>
      </x:c>
      <x:c r="C371" t="str">
        <x:f>IFERROR(IF(0=LEN(ReferenceData!$C$371),"",ReferenceData!$C$371),"")</x:f>
        <x:v/>
      </x:c>
      <x:c r="D371" t="str">
        <x:f>IFERROR(IF(0=LEN(ReferenceData!$D$371),"",ReferenceData!$D$371),"")</x:f>
        <x:v/>
      </x:c>
      <x:c r="E371" t="str">
        <x:f>IFERROR(IF(0=LEN(ReferenceData!$E$371),"",ReferenceData!$E$371),"")</x:f>
        <x:v>Expression</x:v>
      </x:c>
      <x:c r="F371">
        <x:f ca="1">IFERROR(IF(0=LEN(ReferenceData!$F$371),"",ReferenceData!$F$371),"")</x:f>
        <x:v>-12.286431</x:v>
      </x:c>
      <x:c r="G371">
        <x:f ca="1">IFERROR(IF(0=LEN(ReferenceData!$G$371),"",ReferenceData!$G$371),"")</x:f>
        <x:v>-30.961312</x:v>
      </x:c>
      <x:c r="H371">
        <x:f ca="1">IFERROR(IF(0=LEN(ReferenceData!$H$371),"",ReferenceData!$H$371),"")</x:f>
        <x:v>-6.5568549999999997</x:v>
      </x:c>
      <x:c r="I371">
        <x:f ca="1">IFERROR(IF(0=LEN(ReferenceData!$I$371),"",ReferenceData!$I$371),"")</x:f>
        <x:v>-79.415485000000004</x:v>
      </x:c>
      <x:c r="J371">
        <x:f ca="1">IFERROR(IF(0=LEN(ReferenceData!$J$371),"",ReferenceData!$J$371),"")</x:f>
        <x:v>-99.364059999999995</x:v>
      </x:c>
      <x:c r="K371">
        <x:f ca="1">IFERROR(IF(0=LEN(ReferenceData!$K$371),"",ReferenceData!$K$371),"")</x:f>
        <x:v>90.977490000000003</x:v>
      </x:c>
      <x:c r="L371">
        <x:f ca="1">IFERROR(IF(0=LEN(ReferenceData!$L$371),"",ReferenceData!$L$371),"")</x:f>
        <x:v>-120.688335</x:v>
      </x:c>
      <x:c r="M371">
        <x:f ca="1">IFERROR(IF(0=LEN(ReferenceData!$M$371),"",ReferenceData!$M$371),"")</x:f>
        <x:v>92.356009999999998</x:v>
      </x:c>
      <x:c r="N371">
        <x:f ca="1">IFERROR(IF(0=LEN(ReferenceData!$N$371),"",ReferenceData!$N$371),"")</x:f>
        <x:v>40.365504999999999</x:v>
      </x:c>
      <x:c r="O371">
        <x:f ca="1">IFERROR(IF(0=LEN(ReferenceData!$O$371),"",ReferenceData!$O$371),"")</x:f>
        <x:v>13.685779999999999</x:v>
      </x:c>
      <x:c r="P371">
        <x:f ca="1">IFERROR(IF(0=LEN(ReferenceData!$P$371),"",ReferenceData!$P$371),"")</x:f>
        <x:v>20.321000000000002</x:v>
      </x:c>
      <x:c r="Q371">
        <x:f ca="1">IFERROR(IF(0=LEN(ReferenceData!$Q$371),"",ReferenceData!$Q$371),"")</x:f>
        <x:v>-6.6222599999999998</x:v>
      </x:c>
      <x:c r="R371">
        <x:f ca="1">IFERROR(IF(0=LEN(ReferenceData!$R$371),"",ReferenceData!$R$371),"")</x:f>
        <x:v>-156.249145</x:v>
      </x:c>
      <x:c r="S371">
        <x:f ca="1">IFERROR(IF(0=LEN(ReferenceData!$S$371),"",ReferenceData!$S$371),"")</x:f>
        <x:v>-34.179105</x:v>
      </x:c>
    </x:row>
    <x:row r="372" spans="1:19" x14ac:dyDescent="0.25">
      <x:c r="A372" t="str">
        <x:f>IFERROR(IF(0=LEN(ReferenceData!$A$372),"",ReferenceData!$A$372),"")</x:f>
        <x:v xml:space="preserve">        Direxion Daily Junior Gold Min</x:v>
      </x:c>
      <x:c r="B372" t="str">
        <x:f>IFERROR(IF(0=LEN(ReferenceData!$B$372),"",ReferenceData!$B$372),"")</x:f>
        <x:v>JNUG US Equity</x:v>
      </x:c>
      <x:c r="C372" t="str">
        <x:f>IFERROR(IF(0=LEN(ReferenceData!$C$372),"",ReferenceData!$C$372),"")</x:f>
        <x:v/>
      </x:c>
      <x:c r="D372" t="str">
        <x:f>IFERROR(IF(0=LEN(ReferenceData!$D$372),"",ReferenceData!$D$372),"")</x:f>
        <x:v/>
      </x:c>
      <x:c r="E372" t="str">
        <x:f>IFERROR(IF(0=LEN(ReferenceData!$E$372),"",ReferenceData!$E$372),"")</x:f>
        <x:v>Expression</x:v>
      </x:c>
      <x:c r="F372">
        <x:f ca="1">IFERROR(IF(0=LEN(ReferenceData!$F$372),"",ReferenceData!$F$372),"")</x:f>
        <x:v>-54.922516999999999</x:v>
      </x:c>
      <x:c r="G372">
        <x:f ca="1">IFERROR(IF(0=LEN(ReferenceData!$G$372),"",ReferenceData!$G$372),"")</x:f>
        <x:v>-9.5737869999999994</x:v>
      </x:c>
      <x:c r="H372">
        <x:f ca="1">IFERROR(IF(0=LEN(ReferenceData!$H$372),"",ReferenceData!$H$372),"")</x:f>
        <x:v>21.841591000000001</x:v>
      </x:c>
      <x:c r="I372">
        <x:f ca="1">IFERROR(IF(0=LEN(ReferenceData!$I$372),"",ReferenceData!$I$372),"")</x:f>
        <x:v>83.084795</x:v>
      </x:c>
      <x:c r="J372">
        <x:f ca="1">IFERROR(IF(0=LEN(ReferenceData!$J$372),"",ReferenceData!$J$372),"")</x:f>
        <x:v>-11.989463000000001</x:v>
      </x:c>
      <x:c r="K372">
        <x:f ca="1">IFERROR(IF(0=LEN(ReferenceData!$K$372),"",ReferenceData!$K$372),"")</x:f>
        <x:v>23.342841</x:v>
      </x:c>
      <x:c r="L372">
        <x:f ca="1">IFERROR(IF(0=LEN(ReferenceData!$L$372),"",ReferenceData!$L$372),"")</x:f>
        <x:v>15.471838999999999</x:v>
      </x:c>
      <x:c r="M372">
        <x:f ca="1">IFERROR(IF(0=LEN(ReferenceData!$M$372),"",ReferenceData!$M$372),"")</x:f>
        <x:v>-26.795532999999999</x:v>
      </x:c>
      <x:c r="N372">
        <x:f ca="1">IFERROR(IF(0=LEN(ReferenceData!$N$372),"",ReferenceData!$N$372),"")</x:f>
        <x:v>-39.304813000000003</x:v>
      </x:c>
      <x:c r="O372">
        <x:f ca="1">IFERROR(IF(0=LEN(ReferenceData!$O$372),"",ReferenceData!$O$372),"")</x:f>
        <x:v>55.930446000000003</x:v>
      </x:c>
      <x:c r="P372">
        <x:f ca="1">IFERROR(IF(0=LEN(ReferenceData!$P$372),"",ReferenceData!$P$372),"")</x:f>
        <x:v>-26.870305999999999</x:v>
      </x:c>
      <x:c r="Q372">
        <x:f ca="1">IFERROR(IF(0=LEN(ReferenceData!$Q$372),"",ReferenceData!$Q$372),"")</x:f>
        <x:v>-4.9175490000000002</x:v>
      </x:c>
      <x:c r="R372">
        <x:f ca="1">IFERROR(IF(0=LEN(ReferenceData!$R$372),"",ReferenceData!$R$372),"")</x:f>
        <x:v>-31.742996000000002</x:v>
      </x:c>
      <x:c r="S372">
        <x:f ca="1">IFERROR(IF(0=LEN(ReferenceData!$S$372),"",ReferenceData!$S$372),"")</x:f>
        <x:v>-6.5081220000000002</x:v>
      </x:c>
    </x:row>
    <x:row r="373" spans="1:19" x14ac:dyDescent="0.25">
      <x:c r="A373" t="str">
        <x:f>IFERROR(IF(0=LEN(ReferenceData!$A$373),"",ReferenceData!$A$373),"")</x:f>
        <x:v xml:space="preserve">        SPDR S&amp;P Metals &amp; Mining ETF</x:v>
      </x:c>
      <x:c r="B373" t="str">
        <x:f>IFERROR(IF(0=LEN(ReferenceData!$B$373),"",ReferenceData!$B$373),"")</x:f>
        <x:v>XME US Equity</x:v>
      </x:c>
      <x:c r="C373" t="str">
        <x:f>IFERROR(IF(0=LEN(ReferenceData!$C$373),"",ReferenceData!$C$373),"")</x:f>
        <x:v/>
      </x:c>
      <x:c r="D373" t="str">
        <x:f>IFERROR(IF(0=LEN(ReferenceData!$D$373),"",ReferenceData!$D$373),"")</x:f>
        <x:v/>
      </x:c>
      <x:c r="E373" t="str">
        <x:f>IFERROR(IF(0=LEN(ReferenceData!$E$373),"",ReferenceData!$E$373),"")</x:f>
        <x:v>Expression</x:v>
      </x:c>
      <x:c r="F373">
        <x:f ca="1">IFERROR(IF(0=LEN(ReferenceData!$F$373),"",ReferenceData!$F$373),"")</x:f>
        <x:v>-12.156701</x:v>
      </x:c>
      <x:c r="G373">
        <x:f ca="1">IFERROR(IF(0=LEN(ReferenceData!$G$373),"",ReferenceData!$G$373),"")</x:f>
        <x:v>18.736370000000001</x:v>
      </x:c>
      <x:c r="H373">
        <x:f ca="1">IFERROR(IF(0=LEN(ReferenceData!$H$373),"",ReferenceData!$H$373),"")</x:f>
        <x:v>-55.646881</x:v>
      </x:c>
      <x:c r="I373">
        <x:f ca="1">IFERROR(IF(0=LEN(ReferenceData!$I$373),"",ReferenceData!$I$373),"")</x:f>
        <x:v>-142.93124700000001</x:v>
      </x:c>
      <x:c r="J373">
        <x:f ca="1">IFERROR(IF(0=LEN(ReferenceData!$J$373),"",ReferenceData!$J$373),"")</x:f>
        <x:v>61.840313999999999</x:v>
      </x:c>
      <x:c r="K373">
        <x:f ca="1">IFERROR(IF(0=LEN(ReferenceData!$K$373),"",ReferenceData!$K$373),"")</x:f>
        <x:v>8.4497970000000002</x:v>
      </x:c>
      <x:c r="L373">
        <x:f ca="1">IFERROR(IF(0=LEN(ReferenceData!$L$373),"",ReferenceData!$L$373),"")</x:f>
        <x:v>-208.378547</x:v>
      </x:c>
      <x:c r="M373">
        <x:f ca="1">IFERROR(IF(0=LEN(ReferenceData!$M$373),"",ReferenceData!$M$373),"")</x:f>
        <x:v>-119.66403</x:v>
      </x:c>
      <x:c r="N373">
        <x:f ca="1">IFERROR(IF(0=LEN(ReferenceData!$N$373),"",ReferenceData!$N$373),"")</x:f>
        <x:v>-216.24477999999999</x:v>
      </x:c>
      <x:c r="O373">
        <x:f ca="1">IFERROR(IF(0=LEN(ReferenceData!$O$373),"",ReferenceData!$O$373),"")</x:f>
        <x:v>59.634746999999997</x:v>
      </x:c>
      <x:c r="P373">
        <x:f ca="1">IFERROR(IF(0=LEN(ReferenceData!$P$373),"",ReferenceData!$P$373),"")</x:f>
        <x:v>310.10801900000001</x:v>
      </x:c>
      <x:c r="Q373">
        <x:f ca="1">IFERROR(IF(0=LEN(ReferenceData!$Q$373),"",ReferenceData!$Q$373),"")</x:f>
        <x:v>-63.431776999999997</x:v>
      </x:c>
      <x:c r="R373">
        <x:f ca="1">IFERROR(IF(0=LEN(ReferenceData!$R$373),"",ReferenceData!$R$373),"")</x:f>
        <x:v>143.91008199999999</x:v>
      </x:c>
      <x:c r="S373">
        <x:f ca="1">IFERROR(IF(0=LEN(ReferenceData!$S$373),"",ReferenceData!$S$373),"")</x:f>
        <x:v>110.581174</x:v>
      </x:c>
    </x:row>
    <x:row r="374" spans="1:19" x14ac:dyDescent="0.25">
      <x:c r="A374" t="str">
        <x:f>IFERROR(IF(0=LEN(ReferenceData!$A$374),"",ReferenceData!$A$374),"")</x:f>
        <x:v xml:space="preserve">        Global X Silver Miners ETF</x:v>
      </x:c>
      <x:c r="B374" t="str">
        <x:f>IFERROR(IF(0=LEN(ReferenceData!$B$374),"",ReferenceData!$B$374),"")</x:f>
        <x:v>SIL US Equity</x:v>
      </x:c>
      <x:c r="C374" t="str">
        <x:f>IFERROR(IF(0=LEN(ReferenceData!$C$374),"",ReferenceData!$C$374),"")</x:f>
        <x:v/>
      </x:c>
      <x:c r="D374" t="str">
        <x:f>IFERROR(IF(0=LEN(ReferenceData!$D$374),"",ReferenceData!$D$374),"")</x:f>
        <x:v/>
      </x:c>
      <x:c r="E374" t="str">
        <x:f>IFERROR(IF(0=LEN(ReferenceData!$E$374),"",ReferenceData!$E$374),"")</x:f>
        <x:v>Expression</x:v>
      </x:c>
      <x:c r="F374">
        <x:f ca="1">IFERROR(IF(0=LEN(ReferenceData!$F$374),"",ReferenceData!$F$374),"")</x:f>
        <x:v>0</x:v>
      </x:c>
      <x:c r="G374">
        <x:f ca="1">IFERROR(IF(0=LEN(ReferenceData!$G$374),"",ReferenceData!$G$374),"")</x:f>
        <x:v>5.1840000000000002</x:v>
      </x:c>
      <x:c r="H374">
        <x:f ca="1">IFERROR(IF(0=LEN(ReferenceData!$H$374),"",ReferenceData!$H$374),"")</x:f>
        <x:v>27.4664</x:v>
      </x:c>
      <x:c r="I374">
        <x:f ca="1">IFERROR(IF(0=LEN(ReferenceData!$I$374),"",ReferenceData!$I$374),"")</x:f>
        <x:v>-7.2210000000000001</x:v>
      </x:c>
      <x:c r="J374">
        <x:f ca="1">IFERROR(IF(0=LEN(ReferenceData!$J$374),"",ReferenceData!$J$374),"")</x:f>
        <x:v>-2.5859999999999999</x:v>
      </x:c>
      <x:c r="K374">
        <x:f ca="1">IFERROR(IF(0=LEN(ReferenceData!$K$374),"",ReferenceData!$K$374),"")</x:f>
        <x:v>-15.0946</x:v>
      </x:c>
      <x:c r="L374">
        <x:f ca="1">IFERROR(IF(0=LEN(ReferenceData!$L$374),"",ReferenceData!$L$374),"")</x:f>
        <x:v>3.02</x:v>
      </x:c>
      <x:c r="M374">
        <x:f ca="1">IFERROR(IF(0=LEN(ReferenceData!$M$374),"",ReferenceData!$M$374),"")</x:f>
        <x:v>32.877299999999998</x:v>
      </x:c>
      <x:c r="N374">
        <x:f ca="1">IFERROR(IF(0=LEN(ReferenceData!$N$374),"",ReferenceData!$N$374),"")</x:f>
        <x:v>-4.7233999999999998</x:v>
      </x:c>
      <x:c r="O374">
        <x:f ca="1">IFERROR(IF(0=LEN(ReferenceData!$O$374),"",ReferenceData!$O$374),"")</x:f>
        <x:v>-20.186</x:v>
      </x:c>
      <x:c r="P374">
        <x:f ca="1">IFERROR(IF(0=LEN(ReferenceData!$P$374),"",ReferenceData!$P$374),"")</x:f>
        <x:v>-7.7625000000000002</x:v>
      </x:c>
      <x:c r="Q374">
        <x:f ca="1">IFERROR(IF(0=LEN(ReferenceData!$Q$374),"",ReferenceData!$Q$374),"")</x:f>
        <x:v>-12.671200000000001</x:v>
      </x:c>
      <x:c r="R374">
        <x:f ca="1">IFERROR(IF(0=LEN(ReferenceData!$R$374),"",ReferenceData!$R$374),"")</x:f>
        <x:v>16.346599999999999</x:v>
      </x:c>
      <x:c r="S374">
        <x:f ca="1">IFERROR(IF(0=LEN(ReferenceData!$S$374),"",ReferenceData!$S$374),"")</x:f>
        <x:v>-2.6779000000000002</x:v>
      </x:c>
    </x:row>
    <x:row r="375" spans="1:19" x14ac:dyDescent="0.25">
      <x:c r="A375" t="str">
        <x:f>IFERROR(IF(0=LEN(ReferenceData!$A$375),"",ReferenceData!$A$375),"")</x:f>
        <x:v xml:space="preserve">        iShares MSCI Global Gold Miner</x:v>
      </x:c>
      <x:c r="B375" t="str">
        <x:f>IFERROR(IF(0=LEN(ReferenceData!$B$375),"",ReferenceData!$B$375),"")</x:f>
        <x:v>RING US Equity</x:v>
      </x:c>
      <x:c r="C375" t="str">
        <x:f>IFERROR(IF(0=LEN(ReferenceData!$C$375),"",ReferenceData!$C$375),"")</x:f>
        <x:v/>
      </x:c>
      <x:c r="D375" t="str">
        <x:f>IFERROR(IF(0=LEN(ReferenceData!$D$375),"",ReferenceData!$D$375),"")</x:f>
        <x:v/>
      </x:c>
      <x:c r="E375" t="str">
        <x:f>IFERROR(IF(0=LEN(ReferenceData!$E$375),"",ReferenceData!$E$375),"")</x:f>
        <x:v>Expression</x:v>
      </x:c>
      <x:c r="F375">
        <x:f ca="1">IFERROR(IF(0=LEN(ReferenceData!$F$375),"",ReferenceData!$F$375),"")</x:f>
        <x:v>0</x:v>
      </x:c>
      <x:c r="G375">
        <x:f ca="1">IFERROR(IF(0=LEN(ReferenceData!$G$375),"",ReferenceData!$G$375),"")</x:f>
        <x:v>4.5527670000000002</x:v>
      </x:c>
      <x:c r="H375">
        <x:f ca="1">IFERROR(IF(0=LEN(ReferenceData!$H$375),"",ReferenceData!$H$375),"")</x:f>
        <x:v>4.261838</x:v>
      </x:c>
      <x:c r="I375">
        <x:f ca="1">IFERROR(IF(0=LEN(ReferenceData!$I$375),"",ReferenceData!$I$375),"")</x:f>
        <x:v>0</x:v>
      </x:c>
      <x:c r="J375">
        <x:f ca="1">IFERROR(IF(0=LEN(ReferenceData!$J$375),"",ReferenceData!$J$375),"")</x:f>
        <x:v>-7.5403349999999998</x:v>
      </x:c>
      <x:c r="K375">
        <x:f ca="1">IFERROR(IF(0=LEN(ReferenceData!$K$375),"",ReferenceData!$K$375),"")</x:f>
        <x:v>-4.5429050000000002</x:v>
      </x:c>
      <x:c r="L375">
        <x:f ca="1">IFERROR(IF(0=LEN(ReferenceData!$L$375),"",ReferenceData!$L$375),"")</x:f>
        <x:v>0.30743999999999999</x:v>
      </x:c>
      <x:c r="M375">
        <x:f ca="1">IFERROR(IF(0=LEN(ReferenceData!$M$375),"",ReferenceData!$M$375),"")</x:f>
        <x:v>5.4854099999999999</x:v>
      </x:c>
      <x:c r="N375">
        <x:f ca="1">IFERROR(IF(0=LEN(ReferenceData!$N$375),"",ReferenceData!$N$375),"")</x:f>
        <x:v>-56.310690000000001</x:v>
      </x:c>
      <x:c r="O375">
        <x:f ca="1">IFERROR(IF(0=LEN(ReferenceData!$O$375),"",ReferenceData!$O$375),"")</x:f>
        <x:v>6.2240000000000002</x:v>
      </x:c>
      <x:c r="P375">
        <x:f ca="1">IFERROR(IF(0=LEN(ReferenceData!$P$375),"",ReferenceData!$P$375),"")</x:f>
        <x:v>45.681710000000002</x:v>
      </x:c>
      <x:c r="Q375">
        <x:f ca="1">IFERROR(IF(0=LEN(ReferenceData!$Q$375),"",ReferenceData!$Q$375),"")</x:f>
        <x:v>-5.6164300000000003</x:v>
      </x:c>
      <x:c r="R375">
        <x:f ca="1">IFERROR(IF(0=LEN(ReferenceData!$R$375),"",ReferenceData!$R$375),"")</x:f>
        <x:v>-3.1283099999999999</x:v>
      </x:c>
      <x:c r="S375">
        <x:f ca="1">IFERROR(IF(0=LEN(ReferenceData!$S$375),"",ReferenceData!$S$375),"")</x:f>
        <x:v>-23.42107</x:v>
      </x:c>
    </x:row>
    <x:row r="376" spans="1:19" x14ac:dyDescent="0.25">
      <x:c r="A376" t="str">
        <x:f>IFERROR(IF(0=LEN(ReferenceData!$A$376),"",ReferenceData!$A$376),"")</x:f>
        <x:v xml:space="preserve">        Direxion Daily Gold Miners Ind</x:v>
      </x:c>
      <x:c r="B376" t="str">
        <x:f>IFERROR(IF(0=LEN(ReferenceData!$B$376),"",ReferenceData!$B$376),"")</x:f>
        <x:v>DUST US Equity</x:v>
      </x:c>
      <x:c r="C376" t="str">
        <x:f>IFERROR(IF(0=LEN(ReferenceData!$C$376),"",ReferenceData!$C$376),"")</x:f>
        <x:v/>
      </x:c>
      <x:c r="D376" t="str">
        <x:f>IFERROR(IF(0=LEN(ReferenceData!$D$376),"",ReferenceData!$D$376),"")</x:f>
        <x:v/>
      </x:c>
      <x:c r="E376" t="str">
        <x:f>IFERROR(IF(0=LEN(ReferenceData!$E$376),"",ReferenceData!$E$376),"")</x:f>
        <x:v>Expression</x:v>
      </x:c>
      <x:c r="F376">
        <x:f ca="1">IFERROR(IF(0=LEN(ReferenceData!$F$376),"",ReferenceData!$F$376),"")</x:f>
        <x:v>-59.117476000000003</x:v>
      </x:c>
      <x:c r="G376">
        <x:f ca="1">IFERROR(IF(0=LEN(ReferenceData!$G$376),"",ReferenceData!$G$376),"")</x:f>
        <x:v>72.891988999999995</x:v>
      </x:c>
      <x:c r="H376">
        <x:f ca="1">IFERROR(IF(0=LEN(ReferenceData!$H$376),"",ReferenceData!$H$376),"")</x:f>
        <x:v>-25.425919</x:v>
      </x:c>
      <x:c r="I376">
        <x:f ca="1">IFERROR(IF(0=LEN(ReferenceData!$I$376),"",ReferenceData!$I$376),"")</x:f>
        <x:v>-60.037047000000001</x:v>
      </x:c>
      <x:c r="J376">
        <x:f ca="1">IFERROR(IF(0=LEN(ReferenceData!$J$376),"",ReferenceData!$J$376),"")</x:f>
        <x:v>12.639514999999999</x:v>
      </x:c>
      <x:c r="K376">
        <x:f ca="1">IFERROR(IF(0=LEN(ReferenceData!$K$376),"",ReferenceData!$K$376),"")</x:f>
        <x:v>2.9926020000000002</x:v>
      </x:c>
      <x:c r="L376">
        <x:f ca="1">IFERROR(IF(0=LEN(ReferenceData!$L$376),"",ReferenceData!$L$376),"")</x:f>
        <x:v>-22.082329000000001</x:v>
      </x:c>
      <x:c r="M376">
        <x:f ca="1">IFERROR(IF(0=LEN(ReferenceData!$M$376),"",ReferenceData!$M$376),"")</x:f>
        <x:v>39.036090000000002</x:v>
      </x:c>
      <x:c r="N376">
        <x:f ca="1">IFERROR(IF(0=LEN(ReferenceData!$N$376),"",ReferenceData!$N$376),"")</x:f>
        <x:v>37.475530999999997</x:v>
      </x:c>
      <x:c r="O376">
        <x:f ca="1">IFERROR(IF(0=LEN(ReferenceData!$O$376),"",ReferenceData!$O$376),"")</x:f>
        <x:v>-64.315673000000004</x:v>
      </x:c>
      <x:c r="P376">
        <x:f ca="1">IFERROR(IF(0=LEN(ReferenceData!$P$376),"",ReferenceData!$P$376),"")</x:f>
        <x:v>53.742939999999997</x:v>
      </x:c>
      <x:c r="Q376">
        <x:f ca="1">IFERROR(IF(0=LEN(ReferenceData!$Q$376),"",ReferenceData!$Q$376),"")</x:f>
        <x:v>18.540172999999999</x:v>
      </x:c>
      <x:c r="R376">
        <x:f ca="1">IFERROR(IF(0=LEN(ReferenceData!$R$376),"",ReferenceData!$R$376),"")</x:f>
        <x:v>25.545093000000001</x:v>
      </x:c>
      <x:c r="S376">
        <x:f ca="1">IFERROR(IF(0=LEN(ReferenceData!$S$376),"",ReferenceData!$S$376),"")</x:f>
        <x:v>-2.0583830000000001</x:v>
      </x:c>
    </x:row>
    <x:row r="377" spans="1:19" x14ac:dyDescent="0.25">
      <x:c r="A377" t="str">
        <x:f>IFERROR(IF(0=LEN(ReferenceData!$A$377),"",ReferenceData!$A$377),"")</x:f>
        <x:v xml:space="preserve">        First Trust Materials AlphaDEX</x:v>
      </x:c>
      <x:c r="B377" t="str">
        <x:f>IFERROR(IF(0=LEN(ReferenceData!$B$377),"",ReferenceData!$B$377),"")</x:f>
        <x:v>FXZ US Equity</x:v>
      </x:c>
      <x:c r="C377" t="str">
        <x:f>IFERROR(IF(0=LEN(ReferenceData!$C$377),"",ReferenceData!$C$377),"")</x:f>
        <x:v/>
      </x:c>
      <x:c r="D377" t="str">
        <x:f>IFERROR(IF(0=LEN(ReferenceData!$D$377),"",ReferenceData!$D$377),"")</x:f>
        <x:v/>
      </x:c>
      <x:c r="E377" t="str">
        <x:f>IFERROR(IF(0=LEN(ReferenceData!$E$377),"",ReferenceData!$E$377),"")</x:f>
        <x:v>Expression</x:v>
      </x:c>
      <x:c r="F377">
        <x:f ca="1">IFERROR(IF(0=LEN(ReferenceData!$F$377),"",ReferenceData!$F$377),"")</x:f>
        <x:v>-30.734355999999998</x:v>
      </x:c>
      <x:c r="G377">
        <x:f ca="1">IFERROR(IF(0=LEN(ReferenceData!$G$377),"",ReferenceData!$G$377),"")</x:f>
        <x:v>-27.409547</x:v>
      </x:c>
      <x:c r="H377">
        <x:f ca="1">IFERROR(IF(0=LEN(ReferenceData!$H$377),"",ReferenceData!$H$377),"")</x:f>
        <x:v>-9.1891280000000002</x:v>
      </x:c>
      <x:c r="I377">
        <x:f ca="1">IFERROR(IF(0=LEN(ReferenceData!$I$377),"",ReferenceData!$I$377),"")</x:f>
        <x:v>-26.302683999999999</x:v>
      </x:c>
      <x:c r="J377">
        <x:f ca="1">IFERROR(IF(0=LEN(ReferenceData!$J$377),"",ReferenceData!$J$377),"")</x:f>
        <x:v>-39.274500000000003</x:v>
      </x:c>
      <x:c r="K377">
        <x:f ca="1">IFERROR(IF(0=LEN(ReferenceData!$K$377),"",ReferenceData!$K$377),"")</x:f>
        <x:v>-912.99649999999997</x:v>
      </x:c>
      <x:c r="L377">
        <x:f ca="1">IFERROR(IF(0=LEN(ReferenceData!$L$377),"",ReferenceData!$L$377),"")</x:f>
        <x:v>-131.17599999999999</x:v>
      </x:c>
      <x:c r="M377">
        <x:f ca="1">IFERROR(IF(0=LEN(ReferenceData!$M$377),"",ReferenceData!$M$377),"")</x:f>
        <x:v>-23.025500000000001</x:v>
      </x:c>
      <x:c r="N377">
        <x:f ca="1">IFERROR(IF(0=LEN(ReferenceData!$N$377),"",ReferenceData!$N$377),"")</x:f>
        <x:v>-3.9864999999999999</x:v>
      </x:c>
      <x:c r="O377">
        <x:f ca="1">IFERROR(IF(0=LEN(ReferenceData!$O$377),"",ReferenceData!$O$377),"")</x:f>
        <x:v>203.464</x:v>
      </x:c>
      <x:c r="P377">
        <x:f ca="1">IFERROR(IF(0=LEN(ReferenceData!$P$377),"",ReferenceData!$P$377),"")</x:f>
        <x:v>34.337499999999999</x:v>
      </x:c>
      <x:c r="Q377">
        <x:f ca="1">IFERROR(IF(0=LEN(ReferenceData!$Q$377),"",ReferenceData!$Q$377),"")</x:f>
        <x:v>-2.84701</x:v>
      </x:c>
      <x:c r="R377">
        <x:f ca="1">IFERROR(IF(0=LEN(ReferenceData!$R$377),"",ReferenceData!$R$377),"")</x:f>
        <x:v>15.17268</x:v>
      </x:c>
      <x:c r="S377">
        <x:f ca="1">IFERROR(IF(0=LEN(ReferenceData!$S$377),"",ReferenceData!$S$377),"")</x:f>
        <x:v>-55.276766000000002</x:v>
      </x:c>
    </x:row>
    <x:row r="378" spans="1:19" x14ac:dyDescent="0.25">
      <x:c r="A378" t="str">
        <x:f>IFERROR(IF(0=LEN(ReferenceData!$A$378),"",ReferenceData!$A$378),"")</x:f>
        <x:v xml:space="preserve">        iShares MSCI Global Metals &amp; M</x:v>
      </x:c>
      <x:c r="B378" t="str">
        <x:f>IFERROR(IF(0=LEN(ReferenceData!$B$378),"",ReferenceData!$B$378),"")</x:f>
        <x:v>PICK US Equity</x:v>
      </x:c>
      <x:c r="C378" t="str">
        <x:f>IFERROR(IF(0=LEN(ReferenceData!$C$378),"",ReferenceData!$C$378),"")</x:f>
        <x:v/>
      </x:c>
      <x:c r="D378" t="str">
        <x:f>IFERROR(IF(0=LEN(ReferenceData!$D$378),"",ReferenceData!$D$378),"")</x:f>
        <x:v/>
      </x:c>
      <x:c r="E378" t="str">
        <x:f>IFERROR(IF(0=LEN(ReferenceData!$E$378),"",ReferenceData!$E$378),"")</x:f>
        <x:v>Expression</x:v>
      </x:c>
      <x:c r="F378">
        <x:f ca="1">IFERROR(IF(0=LEN(ReferenceData!$F$378),"",ReferenceData!$F$378),"")</x:f>
        <x:v>-30.329311000000001</x:v>
      </x:c>
      <x:c r="G378">
        <x:f ca="1">IFERROR(IF(0=LEN(ReferenceData!$G$378),"",ReferenceData!$G$378),"")</x:f>
        <x:v>-57.624012</x:v>
      </x:c>
      <x:c r="H378">
        <x:f ca="1">IFERROR(IF(0=LEN(ReferenceData!$H$378),"",ReferenceData!$H$378),"")</x:f>
        <x:v>-81.903926999999996</x:v>
      </x:c>
      <x:c r="I378">
        <x:f ca="1">IFERROR(IF(0=LEN(ReferenceData!$I$378),"",ReferenceData!$I$378),"")</x:f>
        <x:v>-67.933570000000003</x:v>
      </x:c>
      <x:c r="J378">
        <x:f ca="1">IFERROR(IF(0=LEN(ReferenceData!$J$378),"",ReferenceData!$J$378),"")</x:f>
        <x:v>27.668305</x:v>
      </x:c>
      <x:c r="K378">
        <x:f ca="1">IFERROR(IF(0=LEN(ReferenceData!$K$378),"",ReferenceData!$K$378),"")</x:f>
        <x:v>146.36716000000001</x:v>
      </x:c>
      <x:c r="L378">
        <x:f ca="1">IFERROR(IF(0=LEN(ReferenceData!$L$378),"",ReferenceData!$L$378),"")</x:f>
        <x:v>-103.55226999999999</x:v>
      </x:c>
      <x:c r="M378">
        <x:f ca="1">IFERROR(IF(0=LEN(ReferenceData!$M$378),"",ReferenceData!$M$378),"")</x:f>
        <x:v>-69.829470000000001</x:v>
      </x:c>
      <x:c r="N378">
        <x:f ca="1">IFERROR(IF(0=LEN(ReferenceData!$N$378),"",ReferenceData!$N$378),"")</x:f>
        <x:v>82.405299999999997</x:v>
      </x:c>
      <x:c r="O378">
        <x:f ca="1">IFERROR(IF(0=LEN(ReferenceData!$O$378),"",ReferenceData!$O$378),"")</x:f>
        <x:v>13.897919999999999</x:v>
      </x:c>
      <x:c r="P378">
        <x:f ca="1">IFERROR(IF(0=LEN(ReferenceData!$P$378),"",ReferenceData!$P$378),"")</x:f>
        <x:v>107.45663500000001</x:v>
      </x:c>
      <x:c r="Q378">
        <x:f ca="1">IFERROR(IF(0=LEN(ReferenceData!$Q$378),"",ReferenceData!$Q$378),"")</x:f>
        <x:v>-2.45547</x:v>
      </x:c>
      <x:c r="R378">
        <x:f ca="1">IFERROR(IF(0=LEN(ReferenceData!$R$378),"",ReferenceData!$R$378),"")</x:f>
        <x:v>0</x:v>
      </x:c>
      <x:c r="S378">
        <x:f ca="1">IFERROR(IF(0=LEN(ReferenceData!$S$378),"",ReferenceData!$S$378),"")</x:f>
        <x:v>0</x:v>
      </x:c>
    </x:row>
    <x:row r="379" spans="1:19" x14ac:dyDescent="0.25">
      <x:c r="A379" t="str">
        <x:f>IFERROR(IF(0=LEN(ReferenceData!$A$379),"",ReferenceData!$A$379),"")</x:f>
        <x:v xml:space="preserve">        iShares Global Materials ETF</x:v>
      </x:c>
      <x:c r="B379" t="str">
        <x:f>IFERROR(IF(0=LEN(ReferenceData!$B$379),"",ReferenceData!$B$379),"")</x:f>
        <x:v>MXI US Equity</x:v>
      </x:c>
      <x:c r="C379" t="str">
        <x:f>IFERROR(IF(0=LEN(ReferenceData!$C$379),"",ReferenceData!$C$379),"")</x:f>
        <x:v/>
      </x:c>
      <x:c r="D379" t="str">
        <x:f>IFERROR(IF(0=LEN(ReferenceData!$D$379),"",ReferenceData!$D$379),"")</x:f>
        <x:v/>
      </x:c>
      <x:c r="E379" t="str">
        <x:f>IFERROR(IF(0=LEN(ReferenceData!$E$379),"",ReferenceData!$E$379),"")</x:f>
        <x:v>Expression</x:v>
      </x:c>
      <x:c r="F379">
        <x:f ca="1">IFERROR(IF(0=LEN(ReferenceData!$F$379),"",ReferenceData!$F$379),"")</x:f>
        <x:v>-4.0522299999999998</x:v>
      </x:c>
      <x:c r="G379">
        <x:f ca="1">IFERROR(IF(0=LEN(ReferenceData!$G$379),"",ReferenceData!$G$379),"")</x:f>
        <x:v>0</x:v>
      </x:c>
      <x:c r="H379">
        <x:f ca="1">IFERROR(IF(0=LEN(ReferenceData!$H$379),"",ReferenceData!$H$379),"")</x:f>
        <x:v>-15.870684000000001</x:v>
      </x:c>
      <x:c r="I379">
        <x:f ca="1">IFERROR(IF(0=LEN(ReferenceData!$I$379),"",ReferenceData!$I$379),"")</x:f>
        <x:v>-4.0945600000000004</x:v>
      </x:c>
      <x:c r="J379">
        <x:f ca="1">IFERROR(IF(0=LEN(ReferenceData!$J$379),"",ReferenceData!$J$379),"")</x:f>
        <x:v>-21.22691</x:v>
      </x:c>
      <x:c r="K379">
        <x:f ca="1">IFERROR(IF(0=LEN(ReferenceData!$K$379),"",ReferenceData!$K$379),"")</x:f>
        <x:v>-20.17239</x:v>
      </x:c>
      <x:c r="L379">
        <x:f ca="1">IFERROR(IF(0=LEN(ReferenceData!$L$379),"",ReferenceData!$L$379),"")</x:f>
        <x:v>-8.1406749999999999</x:v>
      </x:c>
      <x:c r="M379">
        <x:f ca="1">IFERROR(IF(0=LEN(ReferenceData!$M$379),"",ReferenceData!$M$379),"")</x:f>
        <x:v>-12.615245</x:v>
      </x:c>
      <x:c r="N379">
        <x:f ca="1">IFERROR(IF(0=LEN(ReferenceData!$N$379),"",ReferenceData!$N$379),"")</x:f>
        <x:v>8.1946329999999996</x:v>
      </x:c>
      <x:c r="O379">
        <x:f ca="1">IFERROR(IF(0=LEN(ReferenceData!$O$379),"",ReferenceData!$O$379),"")</x:f>
        <x:v>12.570615</x:v>
      </x:c>
      <x:c r="P379">
        <x:f ca="1">IFERROR(IF(0=LEN(ReferenceData!$P$379),"",ReferenceData!$P$379),"")</x:f>
        <x:v>17.320194999999998</x:v>
      </x:c>
      <x:c r="Q379">
        <x:f ca="1">IFERROR(IF(0=LEN(ReferenceData!$Q$379),"",ReferenceData!$Q$379),"")</x:f>
        <x:v>12.01972</x:v>
      </x:c>
      <x:c r="R379">
        <x:f ca="1">IFERROR(IF(0=LEN(ReferenceData!$R$379),"",ReferenceData!$R$379),"")</x:f>
        <x:v>-4.1629449999999997</x:v>
      </x:c>
      <x:c r="S379">
        <x:f ca="1">IFERROR(IF(0=LEN(ReferenceData!$S$379),"",ReferenceData!$S$379),"")</x:f>
        <x:v>-14.169635</x:v>
      </x:c>
    </x:row>
    <x:row r="380" spans="1:19" x14ac:dyDescent="0.25">
      <x:c r="A380" t="str">
        <x:f>IFERROR(IF(0=LEN(ReferenceData!$A$380),"",ReferenceData!$A$380),"")</x:f>
        <x:v xml:space="preserve">        Fidelity MSCI Materials Index</x:v>
      </x:c>
      <x:c r="B380" t="str">
        <x:f>IFERROR(IF(0=LEN(ReferenceData!$B$380),"",ReferenceData!$B$380),"")</x:f>
        <x:v>FMAT US Equity</x:v>
      </x:c>
      <x:c r="C380" t="str">
        <x:f>IFERROR(IF(0=LEN(ReferenceData!$C$380),"",ReferenceData!$C$380),"")</x:f>
        <x:v/>
      </x:c>
      <x:c r="D380" t="str">
        <x:f>IFERROR(IF(0=LEN(ReferenceData!$D$380),"",ReferenceData!$D$380),"")</x:f>
        <x:v/>
      </x:c>
      <x:c r="E380" t="str">
        <x:f>IFERROR(IF(0=LEN(ReferenceData!$E$380),"",ReferenceData!$E$380),"")</x:f>
        <x:v>Expression</x:v>
      </x:c>
      <x:c r="F380">
        <x:f ca="1">IFERROR(IF(0=LEN(ReferenceData!$F$380),"",ReferenceData!$F$380),"")</x:f>
        <x:v>-4.4687950000000001</x:v>
      </x:c>
      <x:c r="G380">
        <x:f ca="1">IFERROR(IF(0=LEN(ReferenceData!$G$380),"",ReferenceData!$G$380),"")</x:f>
        <x:v>-8.7080199999999994</x:v>
      </x:c>
      <x:c r="H380">
        <x:f ca="1">IFERROR(IF(0=LEN(ReferenceData!$H$380),"",ReferenceData!$H$380),"")</x:f>
        <x:v>2.2774800000000002</x:v>
      </x:c>
      <x:c r="I380">
        <x:f ca="1">IFERROR(IF(0=LEN(ReferenceData!$I$380),"",ReferenceData!$I$380),"")</x:f>
        <x:v>4.6656750000000002</x:v>
      </x:c>
      <x:c r="J380">
        <x:f ca="1">IFERROR(IF(0=LEN(ReferenceData!$J$380),"",ReferenceData!$J$380),"")</x:f>
        <x:v>4.6080699999999997</x:v>
      </x:c>
      <x:c r="K380">
        <x:f ca="1">IFERROR(IF(0=LEN(ReferenceData!$K$380),"",ReferenceData!$K$380),"")</x:f>
        <x:v>2.2940700000000001</x:v>
      </x:c>
      <x:c r="L380">
        <x:f ca="1">IFERROR(IF(0=LEN(ReferenceData!$L$380),"",ReferenceData!$L$380),"")</x:f>
        <x:v>-32.759639999999997</x:v>
      </x:c>
      <x:c r="M380">
        <x:f ca="1">IFERROR(IF(0=LEN(ReferenceData!$M$380),"",ReferenceData!$M$380),"")</x:f>
        <x:v>9.0211450000000006</x:v>
      </x:c>
      <x:c r="N380">
        <x:f ca="1">IFERROR(IF(0=LEN(ReferenceData!$N$380),"",ReferenceData!$N$380),"")</x:f>
        <x:v>27.035170000000001</x:v>
      </x:c>
      <x:c r="O380">
        <x:f ca="1">IFERROR(IF(0=LEN(ReferenceData!$O$380),"",ReferenceData!$O$380),"")</x:f>
        <x:v>-2.34544</x:v>
      </x:c>
      <x:c r="P380">
        <x:f ca="1">IFERROR(IF(0=LEN(ReferenceData!$P$380),"",ReferenceData!$P$380),"")</x:f>
        <x:v>0</x:v>
      </x:c>
      <x:c r="Q380">
        <x:f ca="1">IFERROR(IF(0=LEN(ReferenceData!$Q$380),"",ReferenceData!$Q$380),"")</x:f>
        <x:v>4.7652349999999997</x:v>
      </x:c>
      <x:c r="R380">
        <x:f ca="1">IFERROR(IF(0=LEN(ReferenceData!$R$380),"",ReferenceData!$R$380),"")</x:f>
        <x:v>-8.7266700000000004</x:v>
      </x:c>
      <x:c r="S380">
        <x:f ca="1">IFERROR(IF(0=LEN(ReferenceData!$S$380),"",ReferenceData!$S$380),"")</x:f>
        <x:v>-11.855365000000001</x:v>
      </x:c>
    </x:row>
    <x:row r="381" spans="1:19" x14ac:dyDescent="0.25">
      <x:c r="A381" t="str">
        <x:f>IFERROR(IF(0=LEN(ReferenceData!$A$381),"",ReferenceData!$A$381),"")</x:f>
        <x:v xml:space="preserve">        Sprott Gold Miners ETF</x:v>
      </x:c>
      <x:c r="B381" t="str">
        <x:f>IFERROR(IF(0=LEN(ReferenceData!$B$381),"",ReferenceData!$B$381),"")</x:f>
        <x:v>SGDM US Equity</x:v>
      </x:c>
      <x:c r="C381" t="str">
        <x:f>IFERROR(IF(0=LEN(ReferenceData!$C$381),"",ReferenceData!$C$381),"")</x:f>
        <x:v/>
      </x:c>
      <x:c r="D381" t="str">
        <x:f>IFERROR(IF(0=LEN(ReferenceData!$D$381),"",ReferenceData!$D$381),"")</x:f>
        <x:v/>
      </x:c>
      <x:c r="E381" t="str">
        <x:f>IFERROR(IF(0=LEN(ReferenceData!$E$381),"",ReferenceData!$E$381),"")</x:f>
        <x:v>Expression</x:v>
      </x:c>
      <x:c r="F381">
        <x:f ca="1">IFERROR(IF(0=LEN(ReferenceData!$F$381),"",ReferenceData!$F$381),"")</x:f>
        <x:v>0</x:v>
      </x:c>
      <x:c r="G381">
        <x:f ca="1">IFERROR(IF(0=LEN(ReferenceData!$G$381),"",ReferenceData!$G$381),"")</x:f>
        <x:v>-3.579418</x:v>
      </x:c>
      <x:c r="H381">
        <x:f ca="1">IFERROR(IF(0=LEN(ReferenceData!$H$381),"",ReferenceData!$H$381),"")</x:f>
        <x:v>0</x:v>
      </x:c>
      <x:c r="I381">
        <x:f ca="1">IFERROR(IF(0=LEN(ReferenceData!$I$381),"",ReferenceData!$I$381),"")</x:f>
        <x:v>-7.0391209999999997</x:v>
      </x:c>
      <x:c r="J381">
        <x:f ca="1">IFERROR(IF(0=LEN(ReferenceData!$J$381),"",ReferenceData!$J$381),"")</x:f>
        <x:v>1.338632</x:v>
      </x:c>
      <x:c r="K381">
        <x:f ca="1">IFERROR(IF(0=LEN(ReferenceData!$K$381),"",ReferenceData!$K$381),"")</x:f>
        <x:v>-2.564209</x:v>
      </x:c>
      <x:c r="L381">
        <x:f ca="1">IFERROR(IF(0=LEN(ReferenceData!$L$381),"",ReferenceData!$L$381),"")</x:f>
        <x:v>3.08718</x:v>
      </x:c>
      <x:c r="M381">
        <x:f ca="1">IFERROR(IF(0=LEN(ReferenceData!$M$381),"",ReferenceData!$M$381),"")</x:f>
        <x:v>-4.9536530000000001</x:v>
      </x:c>
      <x:c r="N381">
        <x:f ca="1">IFERROR(IF(0=LEN(ReferenceData!$N$381),"",ReferenceData!$N$381),"")</x:f>
        <x:v>15.138855</x:v>
      </x:c>
      <x:c r="O381">
        <x:f ca="1">IFERROR(IF(0=LEN(ReferenceData!$O$381),"",ReferenceData!$O$381),"")</x:f>
        <x:v>-3.1477400000000002</x:v>
      </x:c>
      <x:c r="P381">
        <x:f ca="1">IFERROR(IF(0=LEN(ReferenceData!$P$381),"",ReferenceData!$P$381),"")</x:f>
        <x:v>-4.9330470000000002</x:v>
      </x:c>
      <x:c r="Q381">
        <x:f ca="1">IFERROR(IF(0=LEN(ReferenceData!$Q$381),"",ReferenceData!$Q$381),"")</x:f>
        <x:v>10.792626</x:v>
      </x:c>
      <x:c r="R381">
        <x:f ca="1">IFERROR(IF(0=LEN(ReferenceData!$R$381),"",ReferenceData!$R$381),"")</x:f>
        <x:v>2.3988100000000001</x:v>
      </x:c>
      <x:c r="S381">
        <x:f ca="1">IFERROR(IF(0=LEN(ReferenceData!$S$381),"",ReferenceData!$S$381),"")</x:f>
        <x:v>0</x:v>
      </x:c>
    </x:row>
    <x:row r="382" spans="1:19" x14ac:dyDescent="0.25">
      <x:c r="A382" t="str">
        <x:f>IFERROR(IF(0=LEN(ReferenceData!$A$382),"",ReferenceData!$A$382),"")</x:f>
        <x:v xml:space="preserve">        Invesco S&amp;P 500 Equal Weight M</x:v>
      </x:c>
      <x:c r="B382" t="str">
        <x:f>IFERROR(IF(0=LEN(ReferenceData!$B$382),"",ReferenceData!$B$382),"")</x:f>
        <x:v>RTM US Equity</x:v>
      </x:c>
      <x:c r="C382" t="str">
        <x:f>IFERROR(IF(0=LEN(ReferenceData!$C$382),"",ReferenceData!$C$382),"")</x:f>
        <x:v/>
      </x:c>
      <x:c r="D382" t="str">
        <x:f>IFERROR(IF(0=LEN(ReferenceData!$D$382),"",ReferenceData!$D$382),"")</x:f>
        <x:v/>
      </x:c>
      <x:c r="E382" t="str">
        <x:f>IFERROR(IF(0=LEN(ReferenceData!$E$382),"",ReferenceData!$E$382),"")</x:f>
        <x:v>Expression</x:v>
      </x:c>
      <x:c r="F382">
        <x:f ca="1">IFERROR(IF(0=LEN(ReferenceData!$F$382),"",ReferenceData!$F$382),"")</x:f>
        <x:v>-1.5366770000000001</x:v>
      </x:c>
      <x:c r="G382">
        <x:f ca="1">IFERROR(IF(0=LEN(ReferenceData!$G$382),"",ReferenceData!$G$382),"")</x:f>
        <x:v>-4.5735939999999999</x:v>
      </x:c>
      <x:c r="H382">
        <x:f ca="1">IFERROR(IF(0=LEN(ReferenceData!$H$382),"",ReferenceData!$H$382),"")</x:f>
        <x:v>-1.5891489999999999</x:v>
      </x:c>
      <x:c r="I382">
        <x:f ca="1">IFERROR(IF(0=LEN(ReferenceData!$I$382),"",ReferenceData!$I$382),"")</x:f>
        <x:v>-13.111864000000001</x:v>
      </x:c>
      <x:c r="J382">
        <x:f ca="1">IFERROR(IF(0=LEN(ReferenceData!$J$382),"",ReferenceData!$J$382),"")</x:f>
        <x:v>-6.361167</x:v>
      </x:c>
      <x:c r="K382">
        <x:f ca="1">IFERROR(IF(0=LEN(ReferenceData!$K$382),"",ReferenceData!$K$382),"")</x:f>
        <x:v>-14.225132</x:v>
      </x:c>
      <x:c r="L382" t="str">
        <x:f ca="1">IFERROR(IF(0=LEN(ReferenceData!$L$382),"",ReferenceData!$L$382),"")</x:f>
        <x:v/>
      </x:c>
      <x:c r="M382" t="str">
        <x:f ca="1">IFERROR(IF(0=LEN(ReferenceData!$M$382),"",ReferenceData!$M$382),"")</x:f>
        <x:v/>
      </x:c>
      <x:c r="N382" t="str">
        <x:f ca="1">IFERROR(IF(0=LEN(ReferenceData!$N$382),"",ReferenceData!$N$382),"")</x:f>
        <x:v/>
      </x:c>
      <x:c r="O382" t="str">
        <x:f ca="1">IFERROR(IF(0=LEN(ReferenceData!$O$382),"",ReferenceData!$O$382),"")</x:f>
        <x:v/>
      </x:c>
      <x:c r="P382" t="str">
        <x:f ca="1">IFERROR(IF(0=LEN(ReferenceData!$P$382),"",ReferenceData!$P$382),"")</x:f>
        <x:v/>
      </x:c>
      <x:c r="Q382" t="str">
        <x:f ca="1">IFERROR(IF(0=LEN(ReferenceData!$Q$382),"",ReferenceData!$Q$382),"")</x:f>
        <x:v/>
      </x:c>
      <x:c r="R382" t="str">
        <x:f ca="1">IFERROR(IF(0=LEN(ReferenceData!$R$382),"",ReferenceData!$R$382),"")</x:f>
        <x:v/>
      </x:c>
      <x:c r="S382" t="str">
        <x:f ca="1">IFERROR(IF(0=LEN(ReferenceData!$S$382),"",ReferenceData!$S$382),"")</x:f>
        <x:v/>
      </x:c>
    </x:row>
    <x:row r="383" spans="1:19" x14ac:dyDescent="0.25">
      <x:c r="A383" t="str">
        <x:f>IFERROR(IF(0=LEN(ReferenceData!$A$383),"",ReferenceData!$A$383),"")</x:f>
        <x:v xml:space="preserve">        VanEck Steel ETF</x:v>
      </x:c>
      <x:c r="B383" t="str">
        <x:f>IFERROR(IF(0=LEN(ReferenceData!$B$383),"",ReferenceData!$B$383),"")</x:f>
        <x:v>SLX US Equity</x:v>
      </x:c>
      <x:c r="C383" t="str">
        <x:f>IFERROR(IF(0=LEN(ReferenceData!$C$383),"",ReferenceData!$C$383),"")</x:f>
        <x:v/>
      </x:c>
      <x:c r="D383" t="str">
        <x:f>IFERROR(IF(0=LEN(ReferenceData!$D$383),"",ReferenceData!$D$383),"")</x:f>
        <x:v/>
      </x:c>
      <x:c r="E383" t="str">
        <x:f>IFERROR(IF(0=LEN(ReferenceData!$E$383),"",ReferenceData!$E$383),"")</x:f>
        <x:v>Expression</x:v>
      </x:c>
      <x:c r="F383">
        <x:f ca="1">IFERROR(IF(0=LEN(ReferenceData!$F$383),"",ReferenceData!$F$383),"")</x:f>
        <x:v>1.609229</x:v>
      </x:c>
      <x:c r="G383">
        <x:f ca="1">IFERROR(IF(0=LEN(ReferenceData!$G$383),"",ReferenceData!$G$383),"")</x:f>
        <x:v>-1.526802</x:v>
      </x:c>
      <x:c r="H383">
        <x:f ca="1">IFERROR(IF(0=LEN(ReferenceData!$H$383),"",ReferenceData!$H$383),"")</x:f>
        <x:v>-0.117981</x:v>
      </x:c>
      <x:c r="I383">
        <x:f ca="1">IFERROR(IF(0=LEN(ReferenceData!$I$383),"",ReferenceData!$I$383),"")</x:f>
        <x:v>1.654226</x:v>
      </x:c>
      <x:c r="J383">
        <x:f ca="1">IFERROR(IF(0=LEN(ReferenceData!$J$383),"",ReferenceData!$J$383),"")</x:f>
        <x:v>3.492356</x:v>
      </x:c>
      <x:c r="K383">
        <x:f ca="1">IFERROR(IF(0=LEN(ReferenceData!$K$383),"",ReferenceData!$K$383),"")</x:f>
        <x:v>3.1104959999999999</x:v>
      </x:c>
      <x:c r="L383">
        <x:f ca="1">IFERROR(IF(0=LEN(ReferenceData!$L$383),"",ReferenceData!$L$383),"")</x:f>
        <x:v>-11.495449000000001</x:v>
      </x:c>
      <x:c r="M383">
        <x:f ca="1">IFERROR(IF(0=LEN(ReferenceData!$M$383),"",ReferenceData!$M$383),"")</x:f>
        <x:v>-6.3064169999999997</x:v>
      </x:c>
      <x:c r="N383">
        <x:f ca="1">IFERROR(IF(0=LEN(ReferenceData!$N$383),"",ReferenceData!$N$383),"")</x:f>
        <x:v>-4.2476339999999997</x:v>
      </x:c>
      <x:c r="O383">
        <x:f ca="1">IFERROR(IF(0=LEN(ReferenceData!$O$383),"",ReferenceData!$O$383),"")</x:f>
        <x:v>15.226407999999999</x:v>
      </x:c>
      <x:c r="P383">
        <x:f ca="1">IFERROR(IF(0=LEN(ReferenceData!$P$383),"",ReferenceData!$P$383),"")</x:f>
        <x:v>12.062132999999999</x:v>
      </x:c>
      <x:c r="Q383">
        <x:f ca="1">IFERROR(IF(0=LEN(ReferenceData!$Q$383),"",ReferenceData!$Q$383),"")</x:f>
        <x:v>-0.55896400000000002</x:v>
      </x:c>
      <x:c r="R383">
        <x:f ca="1">IFERROR(IF(0=LEN(ReferenceData!$R$383),"",ReferenceData!$R$383),"")</x:f>
        <x:v>6.5077249999999998</x:v>
      </x:c>
      <x:c r="S383">
        <x:f ca="1">IFERROR(IF(0=LEN(ReferenceData!$S$383),"",ReferenceData!$S$383),"")</x:f>
        <x:v>1.2458180000000001</x:v>
      </x:c>
    </x:row>
    <x:row r="384" spans="1:19" x14ac:dyDescent="0.25">
      <x:c r="A384" t="str">
        <x:f>IFERROR(IF(0=LEN(ReferenceData!$A$384),"",ReferenceData!$A$384),"")</x:f>
        <x:v xml:space="preserve">        Sprott Junior Gold Miners ETF</x:v>
      </x:c>
      <x:c r="B384" t="str">
        <x:f>IFERROR(IF(0=LEN(ReferenceData!$B$384),"",ReferenceData!$B$384),"")</x:f>
        <x:v>SGDJ US Equity</x:v>
      </x:c>
      <x:c r="C384" t="str">
        <x:f>IFERROR(IF(0=LEN(ReferenceData!$C$384),"",ReferenceData!$C$384),"")</x:f>
        <x:v/>
      </x:c>
      <x:c r="D384" t="str">
        <x:f>IFERROR(IF(0=LEN(ReferenceData!$D$384),"",ReferenceData!$D$384),"")</x:f>
        <x:v/>
      </x:c>
      <x:c r="E384" t="str">
        <x:f>IFERROR(IF(0=LEN(ReferenceData!$E$384),"",ReferenceData!$E$384),"")</x:f>
        <x:v>Expression</x:v>
      </x:c>
      <x:c r="F384">
        <x:f ca="1">IFERROR(IF(0=LEN(ReferenceData!$F$384),"",ReferenceData!$F$384),"")</x:f>
        <x:v>0</x:v>
      </x:c>
      <x:c r="G384">
        <x:f ca="1">IFERROR(IF(0=LEN(ReferenceData!$G$384),"",ReferenceData!$G$384),"")</x:f>
        <x:v>0</x:v>
      </x:c>
      <x:c r="H384">
        <x:f ca="1">IFERROR(IF(0=LEN(ReferenceData!$H$384),"",ReferenceData!$H$384),"")</x:f>
        <x:v>0</x:v>
      </x:c>
      <x:c r="I384">
        <x:f ca="1">IFERROR(IF(0=LEN(ReferenceData!$I$384),"",ReferenceData!$I$384),"")</x:f>
        <x:v>0</x:v>
      </x:c>
      <x:c r="J384">
        <x:f ca="1">IFERROR(IF(0=LEN(ReferenceData!$J$384),"",ReferenceData!$J$384),"")</x:f>
        <x:v>0</x:v>
      </x:c>
      <x:c r="K384">
        <x:f ca="1">IFERROR(IF(0=LEN(ReferenceData!$K$384),"",ReferenceData!$K$384),"")</x:f>
        <x:v>0</x:v>
      </x:c>
      <x:c r="L384">
        <x:f ca="1">IFERROR(IF(0=LEN(ReferenceData!$L$384),"",ReferenceData!$L$384),"")</x:f>
        <x:v>0</x:v>
      </x:c>
      <x:c r="M384">
        <x:f ca="1">IFERROR(IF(0=LEN(ReferenceData!$M$384),"",ReferenceData!$M$384),"")</x:f>
        <x:v>1.086659</x:v>
      </x:c>
      <x:c r="N384">
        <x:f ca="1">IFERROR(IF(0=LEN(ReferenceData!$N$384),"",ReferenceData!$N$384),"")</x:f>
        <x:v>0</x:v>
      </x:c>
      <x:c r="O384">
        <x:f ca="1">IFERROR(IF(0=LEN(ReferenceData!$O$384),"",ReferenceData!$O$384),"")</x:f>
        <x:v>-6.8024630000000004</x:v>
      </x:c>
      <x:c r="P384">
        <x:f ca="1">IFERROR(IF(0=LEN(ReferenceData!$P$384),"",ReferenceData!$P$384),"")</x:f>
        <x:v>0.59001400000000004</x:v>
      </x:c>
      <x:c r="Q384">
        <x:f ca="1">IFERROR(IF(0=LEN(ReferenceData!$Q$384),"",ReferenceData!$Q$384),"")</x:f>
        <x:v>0</x:v>
      </x:c>
      <x:c r="R384">
        <x:f ca="1">IFERROR(IF(0=LEN(ReferenceData!$R$384),"",ReferenceData!$R$384),"")</x:f>
        <x:v>0</x:v>
      </x:c>
      <x:c r="S384">
        <x:f ca="1">IFERROR(IF(0=LEN(ReferenceData!$S$384),"",ReferenceData!$S$384),"")</x:f>
        <x:v>0</x:v>
      </x:c>
    </x:row>
    <x:row r="385" spans="1:19" x14ac:dyDescent="0.25">
      <x:c r="A385" t="str">
        <x:f>IFERROR(IF(0=LEN(ReferenceData!$A$385),"",ReferenceData!$A$385),"")</x:f>
        <x:v xml:space="preserve">        Direxion Daily Junior Gold Min</x:v>
      </x:c>
      <x:c r="B385" t="str">
        <x:f>IFERROR(IF(0=LEN(ReferenceData!$B$385),"",ReferenceData!$B$385),"")</x:f>
        <x:v>JDST US Equity</x:v>
      </x:c>
      <x:c r="C385" t="str">
        <x:f>IFERROR(IF(0=LEN(ReferenceData!$C$385),"",ReferenceData!$C$385),"")</x:f>
        <x:v/>
      </x:c>
      <x:c r="D385" t="str">
        <x:f>IFERROR(IF(0=LEN(ReferenceData!$D$385),"",ReferenceData!$D$385),"")</x:f>
        <x:v/>
      </x:c>
      <x:c r="E385" t="str">
        <x:f>IFERROR(IF(0=LEN(ReferenceData!$E$385),"",ReferenceData!$E$385),"")</x:f>
        <x:v>Expression</x:v>
      </x:c>
      <x:c r="F385">
        <x:f ca="1">IFERROR(IF(0=LEN(ReferenceData!$F$385),"",ReferenceData!$F$385),"")</x:f>
        <x:v>-17.719093999999998</x:v>
      </x:c>
      <x:c r="G385">
        <x:f ca="1">IFERROR(IF(0=LEN(ReferenceData!$G$385),"",ReferenceData!$G$385),"")</x:f>
        <x:v>47.474136999999999</x:v>
      </x:c>
      <x:c r="H385">
        <x:f ca="1">IFERROR(IF(0=LEN(ReferenceData!$H$385),"",ReferenceData!$H$385),"")</x:f>
        <x:v>-38.818494000000001</x:v>
      </x:c>
      <x:c r="I385">
        <x:f ca="1">IFERROR(IF(0=LEN(ReferenceData!$I$385),"",ReferenceData!$I$385),"")</x:f>
        <x:v>-11.320727</x:v>
      </x:c>
      <x:c r="J385">
        <x:f ca="1">IFERROR(IF(0=LEN(ReferenceData!$J$385),"",ReferenceData!$J$385),"")</x:f>
        <x:v>-12.114405</x:v>
      </x:c>
      <x:c r="K385">
        <x:f ca="1">IFERROR(IF(0=LEN(ReferenceData!$K$385),"",ReferenceData!$K$385),"")</x:f>
        <x:v>10.203201999999999</x:v>
      </x:c>
      <x:c r="L385">
        <x:f ca="1">IFERROR(IF(0=LEN(ReferenceData!$L$385),"",ReferenceData!$L$385),"")</x:f>
        <x:v>-9.9228740000000002</x:v>
      </x:c>
      <x:c r="M385">
        <x:f ca="1">IFERROR(IF(0=LEN(ReferenceData!$M$385),"",ReferenceData!$M$385),"")</x:f>
        <x:v>22.644888000000002</x:v>
      </x:c>
      <x:c r="N385">
        <x:f ca="1">IFERROR(IF(0=LEN(ReferenceData!$N$385),"",ReferenceData!$N$385),"")</x:f>
        <x:v>32.605203000000003</x:v>
      </x:c>
      <x:c r="O385">
        <x:f ca="1">IFERROR(IF(0=LEN(ReferenceData!$O$385),"",ReferenceData!$O$385),"")</x:f>
        <x:v>-56.074309999999997</x:v>
      </x:c>
      <x:c r="P385">
        <x:f ca="1">IFERROR(IF(0=LEN(ReferenceData!$P$385),"",ReferenceData!$P$385),"")</x:f>
        <x:v>22.431764000000001</x:v>
      </x:c>
      <x:c r="Q385">
        <x:f ca="1">IFERROR(IF(0=LEN(ReferenceData!$Q$385),"",ReferenceData!$Q$385),"")</x:f>
        <x:v>11.054891</x:v>
      </x:c>
      <x:c r="R385">
        <x:f ca="1">IFERROR(IF(0=LEN(ReferenceData!$R$385),"",ReferenceData!$R$385),"")</x:f>
        <x:v>23.680966000000002</x:v>
      </x:c>
      <x:c r="S385">
        <x:f ca="1">IFERROR(IF(0=LEN(ReferenceData!$S$385),"",ReferenceData!$S$385),"")</x:f>
        <x:v>13.495044999999999</x:v>
      </x:c>
    </x:row>
    <x:row r="386" spans="1:19" x14ac:dyDescent="0.25">
      <x:c r="A386" t="str">
        <x:f>IFERROR(IF(0=LEN(ReferenceData!$A$386),"",ReferenceData!$A$386),"")</x:f>
        <x:v xml:space="preserve">        Invesco DWA Basic Materials Mo</x:v>
      </x:c>
      <x:c r="B386" t="str">
        <x:f>IFERROR(IF(0=LEN(ReferenceData!$B$386),"",ReferenceData!$B$386),"")</x:f>
        <x:v>PYZ US Equity</x:v>
      </x:c>
      <x:c r="C386" t="str">
        <x:f>IFERROR(IF(0=LEN(ReferenceData!$C$386),"",ReferenceData!$C$386),"")</x:f>
        <x:v/>
      </x:c>
      <x:c r="D386" t="str">
        <x:f>IFERROR(IF(0=LEN(ReferenceData!$D$386),"",ReferenceData!$D$386),"")</x:f>
        <x:v/>
      </x:c>
      <x:c r="E386" t="str">
        <x:f>IFERROR(IF(0=LEN(ReferenceData!$E$386),"",ReferenceData!$E$386),"")</x:f>
        <x:v>Expression</x:v>
      </x:c>
      <x:c r="F386">
        <x:f ca="1">IFERROR(IF(0=LEN(ReferenceData!$F$386),"",ReferenceData!$F$386),"")</x:f>
        <x:v>-8.4855459999999994</x:v>
      </x:c>
      <x:c r="G386">
        <x:f ca="1">IFERROR(IF(0=LEN(ReferenceData!$G$386),"",ReferenceData!$G$386),"")</x:f>
        <x:v>-31.422385999999999</x:v>
      </x:c>
      <x:c r="H386">
        <x:f ca="1">IFERROR(IF(0=LEN(ReferenceData!$H$386),"",ReferenceData!$H$386),"")</x:f>
        <x:v>-1.615707</x:v>
      </x:c>
      <x:c r="I386">
        <x:f ca="1">IFERROR(IF(0=LEN(ReferenceData!$I$386),"",ReferenceData!$I$386),"")</x:f>
        <x:v>0</x:v>
      </x:c>
      <x:c r="J386">
        <x:f ca="1">IFERROR(IF(0=LEN(ReferenceData!$J$386),"",ReferenceData!$J$386),"")</x:f>
        <x:v>-1.7257629999999999</x:v>
      </x:c>
      <x:c r="K386">
        <x:f ca="1">IFERROR(IF(0=LEN(ReferenceData!$K$386),"",ReferenceData!$K$386),"")</x:f>
        <x:v>-1.546783</x:v>
      </x:c>
      <x:c r="L386">
        <x:f ca="1">IFERROR(IF(0=LEN(ReferenceData!$L$386),"",ReferenceData!$L$386),"")</x:f>
        <x:v>-5.6071109999999997</x:v>
      </x:c>
      <x:c r="M386">
        <x:f ca="1">IFERROR(IF(0=LEN(ReferenceData!$M$386),"",ReferenceData!$M$386),"")</x:f>
        <x:v>0</x:v>
      </x:c>
      <x:c r="N386">
        <x:f ca="1">IFERROR(IF(0=LEN(ReferenceData!$N$386),"",ReferenceData!$N$386),"")</x:f>
        <x:v>-4.6205470000000002</x:v>
      </x:c>
      <x:c r="O386">
        <x:f ca="1">IFERROR(IF(0=LEN(ReferenceData!$O$386),"",ReferenceData!$O$386),"")</x:f>
        <x:v>9.1094460000000002</x:v>
      </x:c>
      <x:c r="P386">
        <x:f ca="1">IFERROR(IF(0=LEN(ReferenceData!$P$386),"",ReferenceData!$P$386),"")</x:f>
        <x:v>0.86173299999999997</x:v>
      </x:c>
      <x:c r="Q386">
        <x:f ca="1">IFERROR(IF(0=LEN(ReferenceData!$Q$386),"",ReferenceData!$Q$386),"")</x:f>
        <x:v>32.598739000000002</x:v>
      </x:c>
      <x:c r="R386">
        <x:f ca="1">IFERROR(IF(0=LEN(ReferenceData!$R$386),"",ReferenceData!$R$386),"")</x:f>
        <x:v>6.7151149999999999</x:v>
      </x:c>
      <x:c r="S386">
        <x:f ca="1">IFERROR(IF(0=LEN(ReferenceData!$S$386),"",ReferenceData!$S$386),"")</x:f>
        <x:v>-2.9510179999999999</x:v>
      </x:c>
    </x:row>
    <x:row r="387" spans="1:19" x14ac:dyDescent="0.25">
      <x:c r="A387" t="str">
        <x:f>IFERROR(IF(0=LEN(ReferenceData!$A$387),"",ReferenceData!$A$387),"")</x:f>
        <x:v xml:space="preserve">        iShares MSCI Global Silver and</x:v>
      </x:c>
      <x:c r="B387" t="str">
        <x:f>IFERROR(IF(0=LEN(ReferenceData!$B$387),"",ReferenceData!$B$387),"")</x:f>
        <x:v>SLVP US Equity</x:v>
      </x:c>
      <x:c r="C387" t="str">
        <x:f>IFERROR(IF(0=LEN(ReferenceData!$C$387),"",ReferenceData!$C$387),"")</x:f>
        <x:v/>
      </x:c>
      <x:c r="D387" t="str">
        <x:f>IFERROR(IF(0=LEN(ReferenceData!$D$387),"",ReferenceData!$D$387),"")</x:f>
        <x:v/>
      </x:c>
      <x:c r="E387" t="str">
        <x:f>IFERROR(IF(0=LEN(ReferenceData!$E$387),"",ReferenceData!$E$387),"")</x:f>
        <x:v>Expression</x:v>
      </x:c>
      <x:c r="F387">
        <x:f ca="1">IFERROR(IF(0=LEN(ReferenceData!$F$387),"",ReferenceData!$F$387),"")</x:f>
        <x:v>0</x:v>
      </x:c>
      <x:c r="G387">
        <x:f ca="1">IFERROR(IF(0=LEN(ReferenceData!$G$387),"",ReferenceData!$G$387),"")</x:f>
        <x:v>0</x:v>
      </x:c>
      <x:c r="H387">
        <x:f ca="1">IFERROR(IF(0=LEN(ReferenceData!$H$387),"",ReferenceData!$H$387),"")</x:f>
        <x:v>0.93083000000000005</x:v>
      </x:c>
      <x:c r="I387">
        <x:f ca="1">IFERROR(IF(0=LEN(ReferenceData!$I$387),"",ReferenceData!$I$387),"")</x:f>
        <x:v>0</x:v>
      </x:c>
      <x:c r="J387">
        <x:f ca="1">IFERROR(IF(0=LEN(ReferenceData!$J$387),"",ReferenceData!$J$387),"")</x:f>
        <x:v>0</x:v>
      </x:c>
      <x:c r="K387">
        <x:f ca="1">IFERROR(IF(0=LEN(ReferenceData!$K$387),"",ReferenceData!$K$387),"")</x:f>
        <x:v>1.8856599999999999</x:v>
      </x:c>
      <x:c r="L387">
        <x:f ca="1">IFERROR(IF(0=LEN(ReferenceData!$L$387),"",ReferenceData!$L$387),"")</x:f>
        <x:v>-4.49864</x:v>
      </x:c>
      <x:c r="M387">
        <x:f ca="1">IFERROR(IF(0=LEN(ReferenceData!$M$387),"",ReferenceData!$M$387),"")</x:f>
        <x:v>-3.5158200000000002</x:v>
      </x:c>
      <x:c r="N387">
        <x:f ca="1">IFERROR(IF(0=LEN(ReferenceData!$N$387),"",ReferenceData!$N$387),"")</x:f>
        <x:v>-2.8619400000000002</x:v>
      </x:c>
      <x:c r="O387">
        <x:f ca="1">IFERROR(IF(0=LEN(ReferenceData!$O$387),"",ReferenceData!$O$387),"")</x:f>
        <x:v>-1.9118599999999999</x:v>
      </x:c>
      <x:c r="P387">
        <x:f ca="1">IFERROR(IF(0=LEN(ReferenceData!$P$387),"",ReferenceData!$P$387),"")</x:f>
        <x:v>0</x:v>
      </x:c>
      <x:c r="Q387">
        <x:f ca="1">IFERROR(IF(0=LEN(ReferenceData!$Q$387),"",ReferenceData!$Q$387),"")</x:f>
        <x:v>6.3490000000000005E-2</x:v>
      </x:c>
      <x:c r="R387">
        <x:f ca="1">IFERROR(IF(0=LEN(ReferenceData!$R$387),"",ReferenceData!$R$387),"")</x:f>
        <x:v>0</x:v>
      </x:c>
      <x:c r="S387">
        <x:f ca="1">IFERROR(IF(0=LEN(ReferenceData!$S$387),"",ReferenceData!$S$387),"")</x:f>
        <x:v>2.7269999999999999</x:v>
      </x:c>
    </x:row>
    <x:row r="388" spans="1:19" x14ac:dyDescent="0.25">
      <x:c r="A388" t="str">
        <x:f>IFERROR(IF(0=LEN(ReferenceData!$A$388),"",ReferenceData!$A$388),"")</x:f>
        <x:v xml:space="preserve">        ETFMG Prime Junior Silver Mine</x:v>
      </x:c>
      <x:c r="B388" t="str">
        <x:f>IFERROR(IF(0=LEN(ReferenceData!$B$388),"",ReferenceData!$B$388),"")</x:f>
        <x:v>SILJ US Equity</x:v>
      </x:c>
      <x:c r="C388" t="str">
        <x:f>IFERROR(IF(0=LEN(ReferenceData!$C$388),"",ReferenceData!$C$388),"")</x:f>
        <x:v/>
      </x:c>
      <x:c r="D388" t="str">
        <x:f>IFERROR(IF(0=LEN(ReferenceData!$D$388),"",ReferenceData!$D$388),"")</x:f>
        <x:v/>
      </x:c>
      <x:c r="E388" t="str">
        <x:f>IFERROR(IF(0=LEN(ReferenceData!$E$388),"",ReferenceData!$E$388),"")</x:f>
        <x:v>Expression</x:v>
      </x:c>
      <x:c r="F388">
        <x:f ca="1">IFERROR(IF(0=LEN(ReferenceData!$F$388),"",ReferenceData!$F$388),"")</x:f>
        <x:v>3.4822799999999998</x:v>
      </x:c>
      <x:c r="G388">
        <x:f ca="1">IFERROR(IF(0=LEN(ReferenceData!$G$388),"",ReferenceData!$G$388),"")</x:f>
        <x:v>7.5105050000000002</x:v>
      </x:c>
      <x:c r="H388">
        <x:f ca="1">IFERROR(IF(0=LEN(ReferenceData!$H$388),"",ReferenceData!$H$388),"")</x:f>
        <x:v>4.2241499999999998</x:v>
      </x:c>
      <x:c r="I388">
        <x:f ca="1">IFERROR(IF(0=LEN(ReferenceData!$I$388),"",ReferenceData!$I$388),"")</x:f>
        <x:v>0.46065</x:v>
      </x:c>
      <x:c r="J388">
        <x:f ca="1">IFERROR(IF(0=LEN(ReferenceData!$J$388),"",ReferenceData!$J$388),"")</x:f>
        <x:v>0</x:v>
      </x:c>
      <x:c r="K388">
        <x:f ca="1">IFERROR(IF(0=LEN(ReferenceData!$K$388),"",ReferenceData!$K$388),"")</x:f>
        <x:v>4.28871</x:v>
      </x:c>
      <x:c r="L388">
        <x:f ca="1">IFERROR(IF(0=LEN(ReferenceData!$L$388),"",ReferenceData!$L$388),"")</x:f>
        <x:v>14.97397</x:v>
      </x:c>
      <x:c r="M388">
        <x:f ca="1">IFERROR(IF(0=LEN(ReferenceData!$M$388),"",ReferenceData!$M$388),"")</x:f>
        <x:v>10.726035</x:v>
      </x:c>
      <x:c r="N388">
        <x:f ca="1">IFERROR(IF(0=LEN(ReferenceData!$N$388),"",ReferenceData!$N$388),"")</x:f>
        <x:v>-0.95438999999999996</x:v>
      </x:c>
      <x:c r="O388">
        <x:f ca="1">IFERROR(IF(0=LEN(ReferenceData!$O$388),"",ReferenceData!$O$388),"")</x:f>
        <x:v>-12.62851</x:v>
      </x:c>
      <x:c r="P388">
        <x:f ca="1">IFERROR(IF(0=LEN(ReferenceData!$P$388),"",ReferenceData!$P$388),"")</x:f>
        <x:v>-6.3203800000000001</x:v>
      </x:c>
      <x:c r="Q388">
        <x:f ca="1">IFERROR(IF(0=LEN(ReferenceData!$Q$388),"",ReferenceData!$Q$388),"")</x:f>
        <x:v>4.0882050000000003</x:v>
      </x:c>
      <x:c r="R388">
        <x:f ca="1">IFERROR(IF(0=LEN(ReferenceData!$R$388),"",ReferenceData!$R$388),"")</x:f>
        <x:v>-1.6212299999999999</x:v>
      </x:c>
      <x:c r="S388">
        <x:f ca="1">IFERROR(IF(0=LEN(ReferenceData!$S$388),"",ReferenceData!$S$388),"")</x:f>
        <x:v>4.7102700000000004</x:v>
      </x:c>
    </x:row>
    <x:row r="389" spans="1:19" x14ac:dyDescent="0.25">
      <x:c r="A389" t="str">
        <x:f>IFERROR(IF(0=LEN(ReferenceData!$A$389),"",ReferenceData!$A$389),"")</x:f>
        <x:v xml:space="preserve">        Invesco S&amp;P SmallCap Materials</x:v>
      </x:c>
      <x:c r="B389" t="str">
        <x:f>IFERROR(IF(0=LEN(ReferenceData!$B$389),"",ReferenceData!$B$389),"")</x:f>
        <x:v>PSCM US Equity</x:v>
      </x:c>
      <x:c r="C389" t="str">
        <x:f>IFERROR(IF(0=LEN(ReferenceData!$C$389),"",ReferenceData!$C$389),"")</x:f>
        <x:v/>
      </x:c>
      <x:c r="D389" t="str">
        <x:f>IFERROR(IF(0=LEN(ReferenceData!$D$389),"",ReferenceData!$D$389),"")</x:f>
        <x:v/>
      </x:c>
      <x:c r="E389" t="str">
        <x:f>IFERROR(IF(0=LEN(ReferenceData!$E$389),"",ReferenceData!$E$389),"")</x:f>
        <x:v>Expression</x:v>
      </x:c>
      <x:c r="F389">
        <x:f ca="1">IFERROR(IF(0=LEN(ReferenceData!$F$389),"",ReferenceData!$F$389),"")</x:f>
        <x:v>-0.65240399999999998</x:v>
      </x:c>
      <x:c r="G389">
        <x:f ca="1">IFERROR(IF(0=LEN(ReferenceData!$G$389),"",ReferenceData!$G$389),"")</x:f>
        <x:v>-1.1905829999999999</x:v>
      </x:c>
      <x:c r="H389">
        <x:f ca="1">IFERROR(IF(0=LEN(ReferenceData!$H$389),"",ReferenceData!$H$389),"")</x:f>
        <x:v>0</x:v>
      </x:c>
      <x:c r="I389">
        <x:f ca="1">IFERROR(IF(0=LEN(ReferenceData!$I$389),"",ReferenceData!$I$389),"")</x:f>
        <x:v>-1.3321670000000001</x:v>
      </x:c>
      <x:c r="J389">
        <x:f ca="1">IFERROR(IF(0=LEN(ReferenceData!$J$389),"",ReferenceData!$J$389),"")</x:f>
        <x:v>-0.69814600000000004</x:v>
      </x:c>
      <x:c r="K389">
        <x:f ca="1">IFERROR(IF(0=LEN(ReferenceData!$K$389),"",ReferenceData!$K$389),"")</x:f>
        <x:v>0.67021900000000001</x:v>
      </x:c>
      <x:c r="L389">
        <x:f ca="1">IFERROR(IF(0=LEN(ReferenceData!$L$389),"",ReferenceData!$L$389),"")</x:f>
        <x:v>-0.61942900000000001</x:v>
      </x:c>
      <x:c r="M389">
        <x:f ca="1">IFERROR(IF(0=LEN(ReferenceData!$M$389),"",ReferenceData!$M$389),"")</x:f>
        <x:v>-3.2840029999999998</x:v>
      </x:c>
      <x:c r="N389">
        <x:f ca="1">IFERROR(IF(0=LEN(ReferenceData!$N$389),"",ReferenceData!$N$389),"")</x:f>
        <x:v>5.4815170000000002</x:v>
      </x:c>
      <x:c r="O389">
        <x:f ca="1">IFERROR(IF(0=LEN(ReferenceData!$O$389),"",ReferenceData!$O$389),"")</x:f>
        <x:v>-0.71653299999999998</x:v>
      </x:c>
      <x:c r="P389">
        <x:f ca="1">IFERROR(IF(0=LEN(ReferenceData!$P$389),"",ReferenceData!$P$389),"")</x:f>
        <x:v>0</x:v>
      </x:c>
      <x:c r="Q389">
        <x:f ca="1">IFERROR(IF(0=LEN(ReferenceData!$Q$389),"",ReferenceData!$Q$389),"")</x:f>
        <x:v>0</x:v>
      </x:c>
      <x:c r="R389">
        <x:f ca="1">IFERROR(IF(0=LEN(ReferenceData!$R$389),"",ReferenceData!$R$389),"")</x:f>
        <x:v>-1.315955</x:v>
      </x:c>
      <x:c r="S389">
        <x:f ca="1">IFERROR(IF(0=LEN(ReferenceData!$S$389),"",ReferenceData!$S$389),"")</x:f>
        <x:v>-1.741541</x:v>
      </x:c>
    </x:row>
    <x:row r="390" spans="1:19" x14ac:dyDescent="0.25">
      <x:c r="A390" t="str">
        <x:f>IFERROR(IF(0=LEN(ReferenceData!$A$390),"",ReferenceData!$A$390),"")</x:f>
        <x:v xml:space="preserve">        ProShares Ultra Materials</x:v>
      </x:c>
      <x:c r="B390" t="str">
        <x:f>IFERROR(IF(0=LEN(ReferenceData!$B$390),"",ReferenceData!$B$390),"")</x:f>
        <x:v>UYM US Equity</x:v>
      </x:c>
      <x:c r="C390" t="str">
        <x:f>IFERROR(IF(0=LEN(ReferenceData!$C$390),"",ReferenceData!$C$390),"")</x:f>
        <x:v/>
      </x:c>
      <x:c r="D390" t="str">
        <x:f>IFERROR(IF(0=LEN(ReferenceData!$D$390),"",ReferenceData!$D$390),"")</x:f>
        <x:v/>
      </x:c>
      <x:c r="E390" t="str">
        <x:f>IFERROR(IF(0=LEN(ReferenceData!$E$390),"",ReferenceData!$E$390),"")</x:f>
        <x:v>Expression</x:v>
      </x:c>
      <x:c r="F390">
        <x:f ca="1">IFERROR(IF(0=LEN(ReferenceData!$F$390),"",ReferenceData!$F$390),"")</x:f>
        <x:v>-1.06304</x:v>
      </x:c>
      <x:c r="G390">
        <x:f ca="1">IFERROR(IF(0=LEN(ReferenceData!$G$390),"",ReferenceData!$G$390),"")</x:f>
        <x:v>-1.998345</x:v>
      </x:c>
      <x:c r="H390">
        <x:f ca="1">IFERROR(IF(0=LEN(ReferenceData!$H$390),"",ReferenceData!$H$390),"")</x:f>
        <x:v>-2.6865929999999998</x:v>
      </x:c>
      <x:c r="I390">
        <x:f ca="1">IFERROR(IF(0=LEN(ReferenceData!$I$390),"",ReferenceData!$I$390),"")</x:f>
        <x:v>8.6970000000000006E-2</x:v>
      </x:c>
      <x:c r="J390">
        <x:f ca="1">IFERROR(IF(0=LEN(ReferenceData!$J$390),"",ReferenceData!$J$390),"")</x:f>
        <x:v>1.881885</x:v>
      </x:c>
      <x:c r="K390">
        <x:f ca="1">IFERROR(IF(0=LEN(ReferenceData!$K$390),"",ReferenceData!$K$390),"")</x:f>
        <x:v>-1.0794379999999999</x:v>
      </x:c>
      <x:c r="L390">
        <x:f ca="1">IFERROR(IF(0=LEN(ReferenceData!$L$390),"",ReferenceData!$L$390),"")</x:f>
        <x:v>-2.0525799999999998</x:v>
      </x:c>
      <x:c r="M390">
        <x:f ca="1">IFERROR(IF(0=LEN(ReferenceData!$M$390),"",ReferenceData!$M$390),"")</x:f>
        <x:v>1.7769520000000001</x:v>
      </x:c>
      <x:c r="N390">
        <x:f ca="1">IFERROR(IF(0=LEN(ReferenceData!$N$390),"",ReferenceData!$N$390),"")</x:f>
        <x:v>-2.5137179999999999</x:v>
      </x:c>
      <x:c r="O390">
        <x:f ca="1">IFERROR(IF(0=LEN(ReferenceData!$O$390),"",ReferenceData!$O$390),"")</x:f>
        <x:v>0</x:v>
      </x:c>
      <x:c r="P390">
        <x:f ca="1">IFERROR(IF(0=LEN(ReferenceData!$P$390),"",ReferenceData!$P$390),"")</x:f>
        <x:v>-0.52847699999999997</x:v>
      </x:c>
      <x:c r="Q390">
        <x:f ca="1">IFERROR(IF(0=LEN(ReferenceData!$Q$390),"",ReferenceData!$Q$390),"")</x:f>
        <x:v>2.660793</x:v>
      </x:c>
      <x:c r="R390">
        <x:f ca="1">IFERROR(IF(0=LEN(ReferenceData!$R$390),"",ReferenceData!$R$390),"")</x:f>
        <x:v>-1.0812999999999999</x:v>
      </x:c>
      <x:c r="S390">
        <x:f ca="1">IFERROR(IF(0=LEN(ReferenceData!$S$390),"",ReferenceData!$S$390),"")</x:f>
        <x:v>0</x:v>
      </x:c>
    </x:row>
    <x:row r="391" spans="1:19" x14ac:dyDescent="0.25">
      <x:c r="A391" t="str">
        <x:f>IFERROR(IF(0=LEN(ReferenceData!$A$391),"",ReferenceData!$A$391),"")</x:f>
        <x:v xml:space="preserve">        VanEck Rare Earth/Strategic Me</x:v>
      </x:c>
      <x:c r="B391" t="str">
        <x:f>IFERROR(IF(0=LEN(ReferenceData!$B$391),"",ReferenceData!$B$391),"")</x:f>
        <x:v>REMX US Equity</x:v>
      </x:c>
      <x:c r="C391" t="str">
        <x:f>IFERROR(IF(0=LEN(ReferenceData!$C$391),"",ReferenceData!$C$391),"")</x:f>
        <x:v/>
      </x:c>
      <x:c r="D391" t="str">
        <x:f>IFERROR(IF(0=LEN(ReferenceData!$D$391),"",ReferenceData!$D$391),"")</x:f>
        <x:v/>
      </x:c>
      <x:c r="E391" t="str">
        <x:f>IFERROR(IF(0=LEN(ReferenceData!$E$391),"",ReferenceData!$E$391),"")</x:f>
        <x:v>Expression</x:v>
      </x:c>
      <x:c r="F391">
        <x:f ca="1">IFERROR(IF(0=LEN(ReferenceData!$F$391),"",ReferenceData!$F$391),"")</x:f>
        <x:v>-14.446527</x:v>
      </x:c>
      <x:c r="G391">
        <x:f ca="1">IFERROR(IF(0=LEN(ReferenceData!$G$391),"",ReferenceData!$G$391),"")</x:f>
        <x:v>-26.807746000000002</x:v>
      </x:c>
      <x:c r="H391">
        <x:f ca="1">IFERROR(IF(0=LEN(ReferenceData!$H$391),"",ReferenceData!$H$391),"")</x:f>
        <x:v>7.124396</x:v>
      </x:c>
      <x:c r="I391">
        <x:f ca="1">IFERROR(IF(0=LEN(ReferenceData!$I$391),"",ReferenceData!$I$391),"")</x:f>
        <x:v>0.70131500000000002</x:v>
      </x:c>
      <x:c r="J391">
        <x:f ca="1">IFERROR(IF(0=LEN(ReferenceData!$J$391),"",ReferenceData!$J$391),"")</x:f>
        <x:v>9.9634E-2</x:v>
      </x:c>
      <x:c r="K391">
        <x:f ca="1">IFERROR(IF(0=LEN(ReferenceData!$K$391),"",ReferenceData!$K$391),"")</x:f>
        <x:v>-1.6784E-2</x:v>
      </x:c>
      <x:c r="L391">
        <x:f ca="1">IFERROR(IF(0=LEN(ReferenceData!$L$391),"",ReferenceData!$L$391),"")</x:f>
        <x:v>-38.103796000000003</x:v>
      </x:c>
      <x:c r="M391">
        <x:f ca="1">IFERROR(IF(0=LEN(ReferenceData!$M$391),"",ReferenceData!$M$391),"")</x:f>
        <x:v>-4.0039509999999998</x:v>
      </x:c>
      <x:c r="N391">
        <x:f ca="1">IFERROR(IF(0=LEN(ReferenceData!$N$391),"",ReferenceData!$N$391),"")</x:f>
        <x:v>19.934545</x:v>
      </x:c>
      <x:c r="O391">
        <x:f ca="1">IFERROR(IF(0=LEN(ReferenceData!$O$391),"",ReferenceData!$O$391),"")</x:f>
        <x:v>-49.646355999999997</x:v>
      </x:c>
      <x:c r="P391">
        <x:f ca="1">IFERROR(IF(0=LEN(ReferenceData!$P$391),"",ReferenceData!$P$391),"")</x:f>
        <x:v>-12.242761</x:v>
      </x:c>
      <x:c r="Q391">
        <x:f ca="1">IFERROR(IF(0=LEN(ReferenceData!$Q$391),"",ReferenceData!$Q$391),"")</x:f>
        <x:v>13.398933</x:v>
      </x:c>
      <x:c r="R391">
        <x:f ca="1">IFERROR(IF(0=LEN(ReferenceData!$R$391),"",ReferenceData!$R$391),"")</x:f>
        <x:v>14.210891999999999</x:v>
      </x:c>
      <x:c r="S391">
        <x:f ca="1">IFERROR(IF(0=LEN(ReferenceData!$S$391),"",ReferenceData!$S$391),"")</x:f>
        <x:v>-33.909998000000002</x:v>
      </x:c>
    </x:row>
    <x:row r="392" spans="1:19" x14ac:dyDescent="0.25">
      <x:c r="A392" t="str">
        <x:f>IFERROR(IF(0=LEN(ReferenceData!$A$392),"",ReferenceData!$A$392),"")</x:f>
        <x:v xml:space="preserve">        Global X Gold Explorers ETF</x:v>
      </x:c>
      <x:c r="B392" t="str">
        <x:f>IFERROR(IF(0=LEN(ReferenceData!$B$392),"",ReferenceData!$B$392),"")</x:f>
        <x:v>GOEX US Equity</x:v>
      </x:c>
      <x:c r="C392" t="str">
        <x:f>IFERROR(IF(0=LEN(ReferenceData!$C$392),"",ReferenceData!$C$392),"")</x:f>
        <x:v/>
      </x:c>
      <x:c r="D392" t="str">
        <x:f>IFERROR(IF(0=LEN(ReferenceData!$D$392),"",ReferenceData!$D$392),"")</x:f>
        <x:v/>
      </x:c>
      <x:c r="E392" t="str">
        <x:f>IFERROR(IF(0=LEN(ReferenceData!$E$392),"",ReferenceData!$E$392),"")</x:f>
        <x:v>Expression</x:v>
      </x:c>
      <x:c r="F392">
        <x:f ca="1">IFERROR(IF(0=LEN(ReferenceData!$F$392),"",ReferenceData!$F$392),"")</x:f>
        <x:v>-0.44719999999999999</x:v>
      </x:c>
      <x:c r="G392">
        <x:f ca="1">IFERROR(IF(0=LEN(ReferenceData!$G$392),"",ReferenceData!$G$392),"")</x:f>
        <x:v>-0.65039999999999998</x:v>
      </x:c>
      <x:c r="H392">
        <x:f ca="1">IFERROR(IF(0=LEN(ReferenceData!$H$392),"",ReferenceData!$H$392),"")</x:f>
        <x:v>0</x:v>
      </x:c>
      <x:c r="I392">
        <x:f ca="1">IFERROR(IF(0=LEN(ReferenceData!$I$392),"",ReferenceData!$I$392),"")</x:f>
        <x:v>-0.72719999999999996</x:v>
      </x:c>
      <x:c r="J392">
        <x:f ca="1">IFERROR(IF(0=LEN(ReferenceData!$J$392),"",ReferenceData!$J$392),"")</x:f>
        <x:v>0</x:v>
      </x:c>
      <x:c r="K392">
        <x:f ca="1">IFERROR(IF(0=LEN(ReferenceData!$K$392),"",ReferenceData!$K$392),"")</x:f>
        <x:v>0</x:v>
      </x:c>
      <x:c r="L392">
        <x:f ca="1">IFERROR(IF(0=LEN(ReferenceData!$L$392),"",ReferenceData!$L$392),"")</x:f>
        <x:v>0</x:v>
      </x:c>
      <x:c r="M392">
        <x:f ca="1">IFERROR(IF(0=LEN(ReferenceData!$M$392),"",ReferenceData!$M$392),"")</x:f>
        <x:v>0</x:v>
      </x:c>
      <x:c r="N392">
        <x:f ca="1">IFERROR(IF(0=LEN(ReferenceData!$N$392),"",ReferenceData!$N$392),"")</x:f>
        <x:v>1.7458</x:v>
      </x:c>
      <x:c r="O392">
        <x:f ca="1">IFERROR(IF(0=LEN(ReferenceData!$O$392),"",ReferenceData!$O$392),"")</x:f>
        <x:v>0</x:v>
      </x:c>
      <x:c r="P392">
        <x:f ca="1">IFERROR(IF(0=LEN(ReferenceData!$P$392),"",ReferenceData!$P$392),"")</x:f>
        <x:v>0.27479999999999999</x:v>
      </x:c>
      <x:c r="Q392">
        <x:f ca="1">IFERROR(IF(0=LEN(ReferenceData!$Q$392),"",ReferenceData!$Q$392),"")</x:f>
        <x:v>0.2485</x:v>
      </x:c>
      <x:c r="R392">
        <x:f ca="1">IFERROR(IF(0=LEN(ReferenceData!$R$392),"",ReferenceData!$R$392),"")</x:f>
        <x:v>0</x:v>
      </x:c>
      <x:c r="S392">
        <x:f ca="1">IFERROR(IF(0=LEN(ReferenceData!$S$392),"",ReferenceData!$S$392),"")</x:f>
        <x:v>0</x:v>
      </x:c>
    </x:row>
    <x:row r="393" spans="1:19" x14ac:dyDescent="0.25">
      <x:c r="A393" t="str">
        <x:f>IFERROR(IF(0=LEN(ReferenceData!$A$393),"",ReferenceData!$A$393),"")</x:f>
        <x:v xml:space="preserve">        Invesco Global Gold and Precio</x:v>
      </x:c>
      <x:c r="B393" t="str">
        <x:f>IFERROR(IF(0=LEN(ReferenceData!$B$393),"",ReferenceData!$B$393),"")</x:f>
        <x:v>PSAU US Equity</x:v>
      </x:c>
      <x:c r="C393" t="str">
        <x:f>IFERROR(IF(0=LEN(ReferenceData!$C$393),"",ReferenceData!$C$393),"")</x:f>
        <x:v/>
      </x:c>
      <x:c r="D393" t="str">
        <x:f>IFERROR(IF(0=LEN(ReferenceData!$D$393),"",ReferenceData!$D$393),"")</x:f>
        <x:v/>
      </x:c>
      <x:c r="E393" t="str">
        <x:f>IFERROR(IF(0=LEN(ReferenceData!$E$393),"",ReferenceData!$E$393),"")</x:f>
        <x:v>Expression</x:v>
      </x:c>
      <x:c r="F393" t="str">
        <x:f ca="1">IFERROR(IF(0=LEN(ReferenceData!$F$393),"",ReferenceData!$F$393),"")</x:f>
        <x:v/>
      </x:c>
      <x:c r="G393" t="str">
        <x:f ca="1">IFERROR(IF(0=LEN(ReferenceData!$G$393),"",ReferenceData!$G$393),"")</x:f>
        <x:v/>
      </x:c>
      <x:c r="H393" t="str">
        <x:f ca="1">IFERROR(IF(0=LEN(ReferenceData!$H$393),"",ReferenceData!$H$393),"")</x:f>
        <x:v/>
      </x:c>
      <x:c r="I393" t="str">
        <x:f ca="1">IFERROR(IF(0=LEN(ReferenceData!$I$393),"",ReferenceData!$I$393),"")</x:f>
        <x:v/>
      </x:c>
      <x:c r="J393" t="str">
        <x:f ca="1">IFERROR(IF(0=LEN(ReferenceData!$J$393),"",ReferenceData!$J$393),"")</x:f>
        <x:v/>
      </x:c>
      <x:c r="K393" t="str">
        <x:f ca="1">IFERROR(IF(0=LEN(ReferenceData!$K$393),"",ReferenceData!$K$393),"")</x:f>
        <x:v/>
      </x:c>
      <x:c r="L393" t="str">
        <x:f ca="1">IFERROR(IF(0=LEN(ReferenceData!$L$393),"",ReferenceData!$L$393),"")</x:f>
        <x:v/>
      </x:c>
      <x:c r="M393" t="str">
        <x:f ca="1">IFERROR(IF(0=LEN(ReferenceData!$M$393),"",ReferenceData!$M$393),"")</x:f>
        <x:v/>
      </x:c>
      <x:c r="N393" t="str">
        <x:f ca="1">IFERROR(IF(0=LEN(ReferenceData!$N$393),"",ReferenceData!$N$393),"")</x:f>
        <x:v/>
      </x:c>
      <x:c r="O393" t="str">
        <x:f ca="1">IFERROR(IF(0=LEN(ReferenceData!$O$393),"",ReferenceData!$O$393),"")</x:f>
        <x:v/>
      </x:c>
      <x:c r="P393" t="str">
        <x:f ca="1">IFERROR(IF(0=LEN(ReferenceData!$P$393),"",ReferenceData!$P$393),"")</x:f>
        <x:v/>
      </x:c>
      <x:c r="Q393" t="str">
        <x:f ca="1">IFERROR(IF(0=LEN(ReferenceData!$Q$393),"",ReferenceData!$Q$393),"")</x:f>
        <x:v/>
      </x:c>
      <x:c r="R393" t="str">
        <x:f ca="1">IFERROR(IF(0=LEN(ReferenceData!$R$393),"",ReferenceData!$R$393),"")</x:f>
        <x:v/>
      </x:c>
      <x:c r="S393" t="str">
        <x:f ca="1">IFERROR(IF(0=LEN(ReferenceData!$S$393),"",ReferenceData!$S$393),"")</x:f>
        <x:v/>
      </x:c>
    </x:row>
    <x:row r="394" spans="1:19" x14ac:dyDescent="0.25">
      <x:c r="A394" t="str">
        <x:f>IFERROR(IF(0=LEN(ReferenceData!$A$394),"",ReferenceData!$A$394),"")</x:f>
        <x:v xml:space="preserve">        Global X Copper Miners ETF</x:v>
      </x:c>
      <x:c r="B394" t="str">
        <x:f>IFERROR(IF(0=LEN(ReferenceData!$B$394),"",ReferenceData!$B$394),"")</x:f>
        <x:v>COPX US Equity</x:v>
      </x:c>
      <x:c r="C394" t="str">
        <x:f>IFERROR(IF(0=LEN(ReferenceData!$C$394),"",ReferenceData!$C$394),"")</x:f>
        <x:v/>
      </x:c>
      <x:c r="D394" t="str">
        <x:f>IFERROR(IF(0=LEN(ReferenceData!$D$394),"",ReferenceData!$D$394),"")</x:f>
        <x:v/>
      </x:c>
      <x:c r="E394" t="str">
        <x:f>IFERROR(IF(0=LEN(ReferenceData!$E$394),"",ReferenceData!$E$394),"")</x:f>
        <x:v>Expression</x:v>
      </x:c>
      <x:c r="F394">
        <x:f ca="1">IFERROR(IF(0=LEN(ReferenceData!$F$394),"",ReferenceData!$F$394),"")</x:f>
        <x:v>-18.0031</x:v>
      </x:c>
      <x:c r="G394">
        <x:f ca="1">IFERROR(IF(0=LEN(ReferenceData!$G$394),"",ReferenceData!$G$394),"")</x:f>
        <x:v>-46.694600000000001</x:v>
      </x:c>
      <x:c r="H394">
        <x:f ca="1">IFERROR(IF(0=LEN(ReferenceData!$H$394),"",ReferenceData!$H$394),"")</x:f>
        <x:v>2.7604000000000002</x:v>
      </x:c>
      <x:c r="I394">
        <x:f ca="1">IFERROR(IF(0=LEN(ReferenceData!$I$394),"",ReferenceData!$I$394),"")</x:f>
        <x:v>111.51439999999999</x:v>
      </x:c>
      <x:c r="J394">
        <x:f ca="1">IFERROR(IF(0=LEN(ReferenceData!$J$394),"",ReferenceData!$J$394),"")</x:f>
        <x:v>-20.790099999999999</x:v>
      </x:c>
      <x:c r="K394">
        <x:f ca="1">IFERROR(IF(0=LEN(ReferenceData!$K$394),"",ReferenceData!$K$394),"")</x:f>
        <x:v>-315.39109999999999</x:v>
      </x:c>
      <x:c r="L394">
        <x:f ca="1">IFERROR(IF(0=LEN(ReferenceData!$L$394),"",ReferenceData!$L$394),"")</x:f>
        <x:v>75.381600000000006</x:v>
      </x:c>
      <x:c r="M394">
        <x:f ca="1">IFERROR(IF(0=LEN(ReferenceData!$M$394),"",ReferenceData!$M$394),"")</x:f>
        <x:v>-151.4452</x:v>
      </x:c>
      <x:c r="N394">
        <x:f ca="1">IFERROR(IF(0=LEN(ReferenceData!$N$394),"",ReferenceData!$N$394),"")</x:f>
        <x:v>3.8675000000000002</x:v>
      </x:c>
      <x:c r="O394">
        <x:f ca="1">IFERROR(IF(0=LEN(ReferenceData!$O$394),"",ReferenceData!$O$394),"")</x:f>
        <x:v>-19.276599999999998</x:v>
      </x:c>
      <x:c r="P394">
        <x:f ca="1">IFERROR(IF(0=LEN(ReferenceData!$P$394),"",ReferenceData!$P$394),"")</x:f>
        <x:v>60.211599999999997</x:v>
      </x:c>
      <x:c r="Q394">
        <x:f ca="1">IFERROR(IF(0=LEN(ReferenceData!$Q$394),"",ReferenceData!$Q$394),"")</x:f>
        <x:v>41.535200000000003</x:v>
      </x:c>
      <x:c r="R394">
        <x:f ca="1">IFERROR(IF(0=LEN(ReferenceData!$R$394),"",ReferenceData!$R$394),"")</x:f>
        <x:v>17.017099999999999</x:v>
      </x:c>
      <x:c r="S394">
        <x:f ca="1">IFERROR(IF(0=LEN(ReferenceData!$S$394),"",ReferenceData!$S$394),"")</x:f>
        <x:v>-18.917000000000002</x:v>
      </x:c>
    </x:row>
    <x:row r="395" spans="1:19" x14ac:dyDescent="0.25">
      <x:c r="A395" t="str">
        <x:f>IFERROR(IF(0=LEN(ReferenceData!$A$395),"",ReferenceData!$A$395),"")</x:f>
        <x:v xml:space="preserve">        John Hancock Multifactor Mater</x:v>
      </x:c>
      <x:c r="B395" t="str">
        <x:f>IFERROR(IF(0=LEN(ReferenceData!$B$395),"",ReferenceData!$B$395),"")</x:f>
        <x:v>JHMA US Equity</x:v>
      </x:c>
      <x:c r="C395" t="str">
        <x:f>IFERROR(IF(0=LEN(ReferenceData!$C$395),"",ReferenceData!$C$395),"")</x:f>
        <x:v/>
      </x:c>
      <x:c r="D395" t="str">
        <x:f>IFERROR(IF(0=LEN(ReferenceData!$D$395),"",ReferenceData!$D$395),"")</x:f>
        <x:v/>
      </x:c>
      <x:c r="E395" t="str">
        <x:f>IFERROR(IF(0=LEN(ReferenceData!$E$395),"",ReferenceData!$E$395),"")</x:f>
        <x:v>Expression</x:v>
      </x:c>
      <x:c r="F395" t="str">
        <x:f ca="1">IFERROR(IF(0=LEN(ReferenceData!$F$395),"",ReferenceData!$F$395),"")</x:f>
        <x:v/>
      </x:c>
      <x:c r="G395" t="str">
        <x:f ca="1">IFERROR(IF(0=LEN(ReferenceData!$G$395),"",ReferenceData!$G$395),"")</x:f>
        <x:v/>
      </x:c>
      <x:c r="H395" t="str">
        <x:f ca="1">IFERROR(IF(0=LEN(ReferenceData!$H$395),"",ReferenceData!$H$395),"")</x:f>
        <x:v/>
      </x:c>
      <x:c r="I395" t="str">
        <x:f ca="1">IFERROR(IF(0=LEN(ReferenceData!$I$395),"",ReferenceData!$I$395),"")</x:f>
        <x:v/>
      </x:c>
      <x:c r="J395" t="str">
        <x:f ca="1">IFERROR(IF(0=LEN(ReferenceData!$J$395),"",ReferenceData!$J$395),"")</x:f>
        <x:v/>
      </x:c>
      <x:c r="K395" t="str">
        <x:f ca="1">IFERROR(IF(0=LEN(ReferenceData!$K$395),"",ReferenceData!$K$395),"")</x:f>
        <x:v/>
      </x:c>
      <x:c r="L395" t="str">
        <x:f ca="1">IFERROR(IF(0=LEN(ReferenceData!$L$395),"",ReferenceData!$L$395),"")</x:f>
        <x:v/>
      </x:c>
      <x:c r="M395" t="str">
        <x:f ca="1">IFERROR(IF(0=LEN(ReferenceData!$M$395),"",ReferenceData!$M$395),"")</x:f>
        <x:v/>
      </x:c>
      <x:c r="N395" t="str">
        <x:f ca="1">IFERROR(IF(0=LEN(ReferenceData!$N$395),"",ReferenceData!$N$395),"")</x:f>
        <x:v/>
      </x:c>
      <x:c r="O395" t="str">
        <x:f ca="1">IFERROR(IF(0=LEN(ReferenceData!$O$395),"",ReferenceData!$O$395),"")</x:f>
        <x:v/>
      </x:c>
      <x:c r="P395" t="str">
        <x:f ca="1">IFERROR(IF(0=LEN(ReferenceData!$P$395),"",ReferenceData!$P$395),"")</x:f>
        <x:v/>
      </x:c>
      <x:c r="Q395" t="str">
        <x:f ca="1">IFERROR(IF(0=LEN(ReferenceData!$Q$395),"",ReferenceData!$Q$395),"")</x:f>
        <x:v/>
      </x:c>
      <x:c r="R395" t="str">
        <x:f ca="1">IFERROR(IF(0=LEN(ReferenceData!$R$395),"",ReferenceData!$R$395),"")</x:f>
        <x:v/>
      </x:c>
      <x:c r="S395">
        <x:f ca="1">IFERROR(IF(0=LEN(ReferenceData!$S$395),"",ReferenceData!$S$395),"")</x:f>
        <x:v>-2.0251039999999998</x:v>
      </x:c>
    </x:row>
    <x:row r="396" spans="1:19" x14ac:dyDescent="0.25">
      <x:c r="A396" t="str">
        <x:f>IFERROR(IF(0=LEN(ReferenceData!$A$396),"",ReferenceData!$A$396),"")</x:f>
        <x:v xml:space="preserve">        Global X Fertilizers/Potash ET</x:v>
      </x:c>
      <x:c r="B396" t="str">
        <x:f>IFERROR(IF(0=LEN(ReferenceData!$B$396),"",ReferenceData!$B$396),"")</x:f>
        <x:v>SOIL US Equity</x:v>
      </x:c>
      <x:c r="C396" t="str">
        <x:f>IFERROR(IF(0=LEN(ReferenceData!$C$396),"",ReferenceData!$C$396),"")</x:f>
        <x:v/>
      </x:c>
      <x:c r="D396" t="str">
        <x:f>IFERROR(IF(0=LEN(ReferenceData!$D$396),"",ReferenceData!$D$396),"")</x:f>
        <x:v/>
      </x:c>
      <x:c r="E396" t="str">
        <x:f>IFERROR(IF(0=LEN(ReferenceData!$E$396),"",ReferenceData!$E$396),"")</x:f>
        <x:v>Expression</x:v>
      </x:c>
      <x:c r="F396" t="str">
        <x:f ca="1">IFERROR(IF(0=LEN(ReferenceData!$F$396),"",ReferenceData!$F$396),"")</x:f>
        <x:v/>
      </x:c>
      <x:c r="G396" t="str">
        <x:f ca="1">IFERROR(IF(0=LEN(ReferenceData!$G$396),"",ReferenceData!$G$396),"")</x:f>
        <x:v/>
      </x:c>
      <x:c r="H396" t="str">
        <x:f ca="1">IFERROR(IF(0=LEN(ReferenceData!$H$396),"",ReferenceData!$H$396),"")</x:f>
        <x:v/>
      </x:c>
      <x:c r="I396" t="str">
        <x:f ca="1">IFERROR(IF(0=LEN(ReferenceData!$I$396),"",ReferenceData!$I$396),"")</x:f>
        <x:v/>
      </x:c>
      <x:c r="J396" t="str">
        <x:f ca="1">IFERROR(IF(0=LEN(ReferenceData!$J$396),"",ReferenceData!$J$396),"")</x:f>
        <x:v/>
      </x:c>
      <x:c r="K396" t="str">
        <x:f ca="1">IFERROR(IF(0=LEN(ReferenceData!$K$396),"",ReferenceData!$K$396),"")</x:f>
        <x:v/>
      </x:c>
      <x:c r="L396" t="str">
        <x:f ca="1">IFERROR(IF(0=LEN(ReferenceData!$L$396),"",ReferenceData!$L$396),"")</x:f>
        <x:v/>
      </x:c>
      <x:c r="M396" t="str">
        <x:f ca="1">IFERROR(IF(0=LEN(ReferenceData!$M$396),"",ReferenceData!$M$396),"")</x:f>
        <x:v/>
      </x:c>
      <x:c r="N396" t="str">
        <x:f ca="1">IFERROR(IF(0=LEN(ReferenceData!$N$396),"",ReferenceData!$N$396),"")</x:f>
        <x:v/>
      </x:c>
      <x:c r="O396" t="str">
        <x:f ca="1">IFERROR(IF(0=LEN(ReferenceData!$O$396),"",ReferenceData!$O$396),"")</x:f>
        <x:v/>
      </x:c>
      <x:c r="P396" t="str">
        <x:f ca="1">IFERROR(IF(0=LEN(ReferenceData!$P$396),"",ReferenceData!$P$396),"")</x:f>
        <x:v/>
      </x:c>
      <x:c r="Q396" t="str">
        <x:f ca="1">IFERROR(IF(0=LEN(ReferenceData!$Q$396),"",ReferenceData!$Q$396),"")</x:f>
        <x:v/>
      </x:c>
      <x:c r="R396" t="str">
        <x:f ca="1">IFERROR(IF(0=LEN(ReferenceData!$R$396),"",ReferenceData!$R$396),"")</x:f>
        <x:v/>
      </x:c>
      <x:c r="S396" t="str">
        <x:f ca="1">IFERROR(IF(0=LEN(ReferenceData!$S$396),"",ReferenceData!$S$396),"")</x:f>
        <x:v/>
      </x:c>
    </x:row>
    <x:row r="397" spans="1:19" x14ac:dyDescent="0.25">
      <x:c r="A397" t="str">
        <x:f>IFERROR(IF(0=LEN(ReferenceData!$A$397),"",ReferenceData!$A$397),"")</x:f>
        <x:v xml:space="preserve">        Proshares Trust-Proshares Ultr</x:v>
      </x:c>
      <x:c r="B397" t="str">
        <x:f>IFERROR(IF(0=LEN(ReferenceData!$B$397),"",ReferenceData!$B$397),"")</x:f>
        <x:v>GDXX US Equity</x:v>
      </x:c>
      <x:c r="C397" t="str">
        <x:f>IFERROR(IF(0=LEN(ReferenceData!$C$397),"",ReferenceData!$C$397),"")</x:f>
        <x:v/>
      </x:c>
      <x:c r="D397" t="str">
        <x:f>IFERROR(IF(0=LEN(ReferenceData!$D$397),"",ReferenceData!$D$397),"")</x:f>
        <x:v/>
      </x:c>
      <x:c r="E397" t="str">
        <x:f>IFERROR(IF(0=LEN(ReferenceData!$E$397),"",ReferenceData!$E$397),"")</x:f>
        <x:v>Expression</x:v>
      </x:c>
      <x:c r="F397" t="str">
        <x:f ca="1">IFERROR(IF(0=LEN(ReferenceData!$F$397),"",ReferenceData!$F$397),"")</x:f>
        <x:v/>
      </x:c>
      <x:c r="G397" t="str">
        <x:f ca="1">IFERROR(IF(0=LEN(ReferenceData!$G$397),"",ReferenceData!$G$397),"")</x:f>
        <x:v/>
      </x:c>
      <x:c r="H397" t="str">
        <x:f ca="1">IFERROR(IF(0=LEN(ReferenceData!$H$397),"",ReferenceData!$H$397),"")</x:f>
        <x:v/>
      </x:c>
      <x:c r="I397" t="str">
        <x:f ca="1">IFERROR(IF(0=LEN(ReferenceData!$I$397),"",ReferenceData!$I$397),"")</x:f>
        <x:v/>
      </x:c>
      <x:c r="J397" t="str">
        <x:f ca="1">IFERROR(IF(0=LEN(ReferenceData!$J$397),"",ReferenceData!$J$397),"")</x:f>
        <x:v/>
      </x:c>
      <x:c r="K397" t="str">
        <x:f ca="1">IFERROR(IF(0=LEN(ReferenceData!$K$397),"",ReferenceData!$K$397),"")</x:f>
        <x:v/>
      </x:c>
      <x:c r="L397" t="str">
        <x:f ca="1">IFERROR(IF(0=LEN(ReferenceData!$L$397),"",ReferenceData!$L$397),"")</x:f>
        <x:v/>
      </x:c>
      <x:c r="M397" t="str">
        <x:f ca="1">IFERROR(IF(0=LEN(ReferenceData!$M$397),"",ReferenceData!$M$397),"")</x:f>
        <x:v/>
      </x:c>
      <x:c r="N397" t="str">
        <x:f ca="1">IFERROR(IF(0=LEN(ReferenceData!$N$397),"",ReferenceData!$N$397),"")</x:f>
        <x:v/>
      </x:c>
      <x:c r="O397" t="str">
        <x:f ca="1">IFERROR(IF(0=LEN(ReferenceData!$O$397),"",ReferenceData!$O$397),"")</x:f>
        <x:v/>
      </x:c>
      <x:c r="P397" t="str">
        <x:f ca="1">IFERROR(IF(0=LEN(ReferenceData!$P$397),"",ReferenceData!$P$397),"")</x:f>
        <x:v/>
      </x:c>
      <x:c r="Q397" t="str">
        <x:f ca="1">IFERROR(IF(0=LEN(ReferenceData!$Q$397),"",ReferenceData!$Q$397),"")</x:f>
        <x:v/>
      </x:c>
      <x:c r="R397" t="str">
        <x:f ca="1">IFERROR(IF(0=LEN(ReferenceData!$R$397),"",ReferenceData!$R$397),"")</x:f>
        <x:v/>
      </x:c>
      <x:c r="S397" t="str">
        <x:f ca="1">IFERROR(IF(0=LEN(ReferenceData!$S$397),"",ReferenceData!$S$397),"")</x:f>
        <x:v/>
      </x:c>
    </x:row>
    <x:row r="398" spans="1:19" x14ac:dyDescent="0.25">
      <x:c r="A398" t="str">
        <x:f>IFERROR(IF(0=LEN(ReferenceData!$A$398),"",ReferenceData!$A$398),"")</x:f>
        <x:v xml:space="preserve">        SPDR S&amp;P International Materia</x:v>
      </x:c>
      <x:c r="B398" t="str">
        <x:f>IFERROR(IF(0=LEN(ReferenceData!$B$398),"",ReferenceData!$B$398),"")</x:f>
        <x:v>IRV US Equity</x:v>
      </x:c>
      <x:c r="C398" t="str">
        <x:f>IFERROR(IF(0=LEN(ReferenceData!$C$398),"",ReferenceData!$C$398),"")</x:f>
        <x:v/>
      </x:c>
      <x:c r="D398" t="str">
        <x:f>IFERROR(IF(0=LEN(ReferenceData!$D$398),"",ReferenceData!$D$398),"")</x:f>
        <x:v/>
      </x:c>
      <x:c r="E398" t="str">
        <x:f>IFERROR(IF(0=LEN(ReferenceData!$E$398),"",ReferenceData!$E$398),"")</x:f>
        <x:v>Expression</x:v>
      </x:c>
      <x:c r="F398" t="str">
        <x:f ca="1">IFERROR(IF(0=LEN(ReferenceData!$F$398),"",ReferenceData!$F$398),"")</x:f>
        <x:v/>
      </x:c>
      <x:c r="G398" t="str">
        <x:f ca="1">IFERROR(IF(0=LEN(ReferenceData!$G$398),"",ReferenceData!$G$398),"")</x:f>
        <x:v/>
      </x:c>
      <x:c r="H398" t="str">
        <x:f ca="1">IFERROR(IF(0=LEN(ReferenceData!$H$398),"",ReferenceData!$H$398),"")</x:f>
        <x:v/>
      </x:c>
      <x:c r="I398" t="str">
        <x:f ca="1">IFERROR(IF(0=LEN(ReferenceData!$I$398),"",ReferenceData!$I$398),"")</x:f>
        <x:v/>
      </x:c>
      <x:c r="J398" t="str">
        <x:f ca="1">IFERROR(IF(0=LEN(ReferenceData!$J$398),"",ReferenceData!$J$398),"")</x:f>
        <x:v/>
      </x:c>
      <x:c r="K398" t="str">
        <x:f ca="1">IFERROR(IF(0=LEN(ReferenceData!$K$398),"",ReferenceData!$K$398),"")</x:f>
        <x:v/>
      </x:c>
      <x:c r="L398" t="str">
        <x:f ca="1">IFERROR(IF(0=LEN(ReferenceData!$L$398),"",ReferenceData!$L$398),"")</x:f>
        <x:v/>
      </x:c>
      <x:c r="M398" t="str">
        <x:f ca="1">IFERROR(IF(0=LEN(ReferenceData!$M$398),"",ReferenceData!$M$398),"")</x:f>
        <x:v/>
      </x:c>
      <x:c r="N398" t="str">
        <x:f ca="1">IFERROR(IF(0=LEN(ReferenceData!$N$398),"",ReferenceData!$N$398),"")</x:f>
        <x:v/>
      </x:c>
      <x:c r="O398" t="str">
        <x:f ca="1">IFERROR(IF(0=LEN(ReferenceData!$O$398),"",ReferenceData!$O$398),"")</x:f>
        <x:v/>
      </x:c>
      <x:c r="P398" t="str">
        <x:f ca="1">IFERROR(IF(0=LEN(ReferenceData!$P$398),"",ReferenceData!$P$398),"")</x:f>
        <x:v/>
      </x:c>
      <x:c r="Q398" t="str">
        <x:f ca="1">IFERROR(IF(0=LEN(ReferenceData!$Q$398),"",ReferenceData!$Q$398),"")</x:f>
        <x:v/>
      </x:c>
      <x:c r="R398" t="str">
        <x:f ca="1">IFERROR(IF(0=LEN(ReferenceData!$R$398),"",ReferenceData!$R$398),"")</x:f>
        <x:v/>
      </x:c>
      <x:c r="S398" t="str">
        <x:f ca="1">IFERROR(IF(0=LEN(ReferenceData!$S$398),"",ReferenceData!$S$398),"")</x:f>
        <x:v/>
      </x:c>
    </x:row>
    <x:row r="399" spans="1:19" x14ac:dyDescent="0.25">
      <x:c r="A399" t="str">
        <x:f>IFERROR(IF(0=LEN(ReferenceData!$A$399),"",ReferenceData!$A$399),"")</x:f>
        <x:v xml:space="preserve">        ProShares UltraShort Materials</x:v>
      </x:c>
      <x:c r="B399" t="str">
        <x:f>IFERROR(IF(0=LEN(ReferenceData!$B$399),"",ReferenceData!$B$399),"")</x:f>
        <x:v>SMN US Equity</x:v>
      </x:c>
      <x:c r="C399" t="str">
        <x:f>IFERROR(IF(0=LEN(ReferenceData!$C$399),"",ReferenceData!$C$399),"")</x:f>
        <x:v/>
      </x:c>
      <x:c r="D399" t="str">
        <x:f>IFERROR(IF(0=LEN(ReferenceData!$D$399),"",ReferenceData!$D$399),"")</x:f>
        <x:v/>
      </x:c>
      <x:c r="E399" t="str">
        <x:f>IFERROR(IF(0=LEN(ReferenceData!$E$399),"",ReferenceData!$E$399),"")</x:f>
        <x:v>Expression</x:v>
      </x:c>
      <x:c r="F399">
        <x:f ca="1">IFERROR(IF(0=LEN(ReferenceData!$F$399),"",ReferenceData!$F$399),"")</x:f>
        <x:v>0</x:v>
      </x:c>
      <x:c r="G399">
        <x:f ca="1">IFERROR(IF(0=LEN(ReferenceData!$G$399),"",ReferenceData!$G$399),"")</x:f>
        <x:v>0.28169699999999998</x:v>
      </x:c>
      <x:c r="H399">
        <x:f ca="1">IFERROR(IF(0=LEN(ReferenceData!$H$399),"",ReferenceData!$H$399),"")</x:f>
        <x:v>-0.228072</x:v>
      </x:c>
      <x:c r="I399">
        <x:f ca="1">IFERROR(IF(0=LEN(ReferenceData!$I$399),"",ReferenceData!$I$399),"")</x:f>
        <x:v>0</x:v>
      </x:c>
      <x:c r="J399">
        <x:f ca="1">IFERROR(IF(0=LEN(ReferenceData!$J$399),"",ReferenceData!$J$399),"")</x:f>
        <x:v>-0.22684299999999999</x:v>
      </x:c>
      <x:c r="K399">
        <x:f ca="1">IFERROR(IF(0=LEN(ReferenceData!$K$399),"",ReferenceData!$K$399),"")</x:f>
        <x:v>0.244003</x:v>
      </x:c>
      <x:c r="L399">
        <x:f ca="1">IFERROR(IF(0=LEN(ReferenceData!$L$399),"",ReferenceData!$L$399),"")</x:f>
        <x:v>-0.26677299999999998</x:v>
      </x:c>
      <x:c r="M399">
        <x:f ca="1">IFERROR(IF(0=LEN(ReferenceData!$M$399),"",ReferenceData!$M$399),"")</x:f>
        <x:v>-8.4250000000000002E-3</x:v>
      </x:c>
      <x:c r="N399">
        <x:f ca="1">IFERROR(IF(0=LEN(ReferenceData!$N$399),"",ReferenceData!$N$399),"")</x:f>
        <x:v>-0.238625</x:v>
      </x:c>
      <x:c r="O399">
        <x:f ca="1">IFERROR(IF(0=LEN(ReferenceData!$O$399),"",ReferenceData!$O$399),"")</x:f>
        <x:v>0</x:v>
      </x:c>
      <x:c r="P399">
        <x:f ca="1">IFERROR(IF(0=LEN(ReferenceData!$P$399),"",ReferenceData!$P$399),"")</x:f>
        <x:v>-0.540215</x:v>
      </x:c>
      <x:c r="Q399">
        <x:f ca="1">IFERROR(IF(0=LEN(ReferenceData!$Q$399),"",ReferenceData!$Q$399),"")</x:f>
        <x:v>0.52325500000000003</x:v>
      </x:c>
      <x:c r="R399">
        <x:f ca="1">IFERROR(IF(0=LEN(ReferenceData!$R$399),"",ReferenceData!$R$399),"")</x:f>
        <x:v>-0.96935000000000004</x:v>
      </x:c>
      <x:c r="S399">
        <x:f ca="1">IFERROR(IF(0=LEN(ReferenceData!$S$399),"",ReferenceData!$S$399),"")</x:f>
        <x:v>-2.0406300000000002</x:v>
      </x:c>
    </x:row>
    <x:row r="400" spans="1:19" x14ac:dyDescent="0.25">
      <x:c r="A400" t="str">
        <x:f>IFERROR(IF(0=LEN(ReferenceData!$A$400),"",ReferenceData!$A$400),"")</x:f>
        <x:v xml:space="preserve">        Proshares Ultra Junior Miners</x:v>
      </x:c>
      <x:c r="B400" t="str">
        <x:f>IFERROR(IF(0=LEN(ReferenceData!$B$400),"",ReferenceData!$B$400),"")</x:f>
        <x:v>GDJJ US Equity</x:v>
      </x:c>
      <x:c r="C400" t="str">
        <x:f>IFERROR(IF(0=LEN(ReferenceData!$C$400),"",ReferenceData!$C$400),"")</x:f>
        <x:v/>
      </x:c>
      <x:c r="D400" t="str">
        <x:f>IFERROR(IF(0=LEN(ReferenceData!$D$400),"",ReferenceData!$D$400),"")</x:f>
        <x:v/>
      </x:c>
      <x:c r="E400" t="str">
        <x:f>IFERROR(IF(0=LEN(ReferenceData!$E$400),"",ReferenceData!$E$400),"")</x:f>
        <x:v>Expression</x:v>
      </x:c>
      <x:c r="F400" t="str">
        <x:f ca="1">IFERROR(IF(0=LEN(ReferenceData!$F$400),"",ReferenceData!$F$400),"")</x:f>
        <x:v/>
      </x:c>
      <x:c r="G400" t="str">
        <x:f ca="1">IFERROR(IF(0=LEN(ReferenceData!$G$400),"",ReferenceData!$G$400),"")</x:f>
        <x:v/>
      </x:c>
      <x:c r="H400" t="str">
        <x:f ca="1">IFERROR(IF(0=LEN(ReferenceData!$H$400),"",ReferenceData!$H$400),"")</x:f>
        <x:v/>
      </x:c>
      <x:c r="I400" t="str">
        <x:f ca="1">IFERROR(IF(0=LEN(ReferenceData!$I$400),"",ReferenceData!$I$400),"")</x:f>
        <x:v/>
      </x:c>
      <x:c r="J400" t="str">
        <x:f ca="1">IFERROR(IF(0=LEN(ReferenceData!$J$400),"",ReferenceData!$J$400),"")</x:f>
        <x:v/>
      </x:c>
      <x:c r="K400" t="str">
        <x:f ca="1">IFERROR(IF(0=LEN(ReferenceData!$K$400),"",ReferenceData!$K$400),"")</x:f>
        <x:v/>
      </x:c>
      <x:c r="L400" t="str">
        <x:f ca="1">IFERROR(IF(0=LEN(ReferenceData!$L$400),"",ReferenceData!$L$400),"")</x:f>
        <x:v/>
      </x:c>
      <x:c r="M400" t="str">
        <x:f ca="1">IFERROR(IF(0=LEN(ReferenceData!$M$400),"",ReferenceData!$M$400),"")</x:f>
        <x:v/>
      </x:c>
      <x:c r="N400" t="str">
        <x:f ca="1">IFERROR(IF(0=LEN(ReferenceData!$N$400),"",ReferenceData!$N$400),"")</x:f>
        <x:v/>
      </x:c>
      <x:c r="O400" t="str">
        <x:f ca="1">IFERROR(IF(0=LEN(ReferenceData!$O$400),"",ReferenceData!$O$400),"")</x:f>
        <x:v/>
      </x:c>
      <x:c r="P400" t="str">
        <x:f ca="1">IFERROR(IF(0=LEN(ReferenceData!$P$400),"",ReferenceData!$P$400),"")</x:f>
        <x:v/>
      </x:c>
      <x:c r="Q400" t="str">
        <x:f ca="1">IFERROR(IF(0=LEN(ReferenceData!$Q$400),"",ReferenceData!$Q$400),"")</x:f>
        <x:v/>
      </x:c>
      <x:c r="R400" t="str">
        <x:f ca="1">IFERROR(IF(0=LEN(ReferenceData!$R$400),"",ReferenceData!$R$400),"")</x:f>
        <x:v/>
      </x:c>
      <x:c r="S400" t="str">
        <x:f ca="1">IFERROR(IF(0=LEN(ReferenceData!$S$400),"",ReferenceData!$S$400),"")</x:f>
        <x:v/>
      </x:c>
    </x:row>
    <x:row r="401" spans="1:19" x14ac:dyDescent="0.25">
      <x:c r="A401" t="str">
        <x:f>IFERROR(IF(0=LEN(ReferenceData!$A$401),"",ReferenceData!$A$401),"")</x:f>
        <x:v xml:space="preserve">        MicroSectors Gold 3X Leveraged</x:v>
      </x:c>
      <x:c r="B401" t="str">
        <x:f>IFERROR(IF(0=LEN(ReferenceData!$B$401),"",ReferenceData!$B$401),"")</x:f>
        <x:v>SHNY US Equity</x:v>
      </x:c>
      <x:c r="C401" t="str">
        <x:f>IFERROR(IF(0=LEN(ReferenceData!$C$401),"",ReferenceData!$C$401),"")</x:f>
        <x:v/>
      </x:c>
      <x:c r="D401" t="str">
        <x:f>IFERROR(IF(0=LEN(ReferenceData!$D$401),"",ReferenceData!$D$401),"")</x:f>
        <x:v/>
      </x:c>
      <x:c r="E401" t="str">
        <x:f>IFERROR(IF(0=LEN(ReferenceData!$E$401),"",ReferenceData!$E$401),"")</x:f>
        <x:v>Expression</x:v>
      </x:c>
      <x:c r="F401">
        <x:f ca="1">IFERROR(IF(0=LEN(ReferenceData!$F$401),"",ReferenceData!$F$401),"")</x:f>
        <x:v>0</x:v>
      </x:c>
      <x:c r="G401">
        <x:f ca="1">IFERROR(IF(0=LEN(ReferenceData!$G$401),"",ReferenceData!$G$401),"")</x:f>
        <x:v>0</x:v>
      </x:c>
      <x:c r="H401">
        <x:f ca="1">IFERROR(IF(0=LEN(ReferenceData!$H$401),"",ReferenceData!$H$401),"")</x:f>
        <x:v>0</x:v>
      </x:c>
      <x:c r="I401">
        <x:f ca="1">IFERROR(IF(0=LEN(ReferenceData!$I$401),"",ReferenceData!$I$401),"")</x:f>
        <x:v>0</x:v>
      </x:c>
      <x:c r="J401">
        <x:f ca="1">IFERROR(IF(0=LEN(ReferenceData!$J$401),"",ReferenceData!$J$401),"")</x:f>
        <x:v>0</x:v>
      </x:c>
      <x:c r="K401">
        <x:f ca="1">IFERROR(IF(0=LEN(ReferenceData!$K$401),"",ReferenceData!$K$401),"")</x:f>
        <x:v>0</x:v>
      </x:c>
      <x:c r="L401">
        <x:f ca="1">IFERROR(IF(0=LEN(ReferenceData!$L$401),"",ReferenceData!$L$401),"")</x:f>
        <x:v>0</x:v>
      </x:c>
      <x:c r="M401">
        <x:f ca="1">IFERROR(IF(0=LEN(ReferenceData!$M$401),"",ReferenceData!$M$401),"")</x:f>
        <x:v>0</x:v>
      </x:c>
      <x:c r="N401">
        <x:f ca="1">IFERROR(IF(0=LEN(ReferenceData!$N$401),"",ReferenceData!$N$401),"")</x:f>
        <x:v>2.3499999999999999E-4</x:v>
      </x:c>
      <x:c r="O401">
        <x:f ca="1">IFERROR(IF(0=LEN(ReferenceData!$O$401),"",ReferenceData!$O$401),"")</x:f>
        <x:v>0</x:v>
      </x:c>
      <x:c r="P401" t="str">
        <x:f ca="1">IFERROR(IF(0=LEN(ReferenceData!$P$401),"",ReferenceData!$P$401),"")</x:f>
        <x:v/>
      </x:c>
      <x:c r="Q401" t="str">
        <x:f ca="1">IFERROR(IF(0=LEN(ReferenceData!$Q$401),"",ReferenceData!$Q$401),"")</x:f>
        <x:v/>
      </x:c>
      <x:c r="R401" t="str">
        <x:f ca="1">IFERROR(IF(0=LEN(ReferenceData!$R$401),"",ReferenceData!$R$401),"")</x:f>
        <x:v/>
      </x:c>
      <x:c r="S401" t="str">
        <x:f ca="1">IFERROR(IF(0=LEN(ReferenceData!$S$401),"",ReferenceData!$S$401),"")</x:f>
        <x:v/>
      </x:c>
    </x:row>
    <x:row r="402" spans="1:19" x14ac:dyDescent="0.25">
      <x:c r="A402" t="str">
        <x:f>IFERROR(IF(0=LEN(ReferenceData!$A$402),"",ReferenceData!$A$402),"")</x:f>
        <x:v xml:space="preserve">        Global X MSCI China Materials</x:v>
      </x:c>
      <x:c r="B402" t="str">
        <x:f>IFERROR(IF(0=LEN(ReferenceData!$B$402),"",ReferenceData!$B$402),"")</x:f>
        <x:v>CHIM US Equity</x:v>
      </x:c>
      <x:c r="C402" t="str">
        <x:f>IFERROR(IF(0=LEN(ReferenceData!$C$402),"",ReferenceData!$C$402),"")</x:f>
        <x:v/>
      </x:c>
      <x:c r="D402" t="str">
        <x:f>IFERROR(IF(0=LEN(ReferenceData!$D$402),"",ReferenceData!$D$402),"")</x:f>
        <x:v/>
      </x:c>
      <x:c r="E402" t="str">
        <x:f>IFERROR(IF(0=LEN(ReferenceData!$E$402),"",ReferenceData!$E$402),"")</x:f>
        <x:v>Expression</x:v>
      </x:c>
      <x:c r="F402">
        <x:f ca="1">IFERROR(IF(0=LEN(ReferenceData!$F$402),"",ReferenceData!$F$402),"")</x:f>
        <x:v>0</x:v>
      </x:c>
      <x:c r="G402">
        <x:f ca="1">IFERROR(IF(0=LEN(ReferenceData!$G$402),"",ReferenceData!$G$402),"")</x:f>
        <x:v>0</x:v>
      </x:c>
      <x:c r="H402">
        <x:f ca="1">IFERROR(IF(0=LEN(ReferenceData!$H$402),"",ReferenceData!$H$402),"")</x:f>
        <x:v>0</x:v>
      </x:c>
      <x:c r="I402">
        <x:f ca="1">IFERROR(IF(0=LEN(ReferenceData!$I$402),"",ReferenceData!$I$402),"")</x:f>
        <x:v>0</x:v>
      </x:c>
      <x:c r="J402">
        <x:f ca="1">IFERROR(IF(0=LEN(ReferenceData!$J$402),"",ReferenceData!$J$402),"")</x:f>
        <x:v>0</x:v>
      </x:c>
      <x:c r="K402">
        <x:f ca="1">IFERROR(IF(0=LEN(ReferenceData!$K$402),"",ReferenceData!$K$402),"")</x:f>
        <x:v>0</x:v>
      </x:c>
      <x:c r="L402">
        <x:f ca="1">IFERROR(IF(0=LEN(ReferenceData!$L$402),"",ReferenceData!$L$402),"")</x:f>
        <x:v>0</x:v>
      </x:c>
      <x:c r="M402">
        <x:f ca="1">IFERROR(IF(0=LEN(ReferenceData!$M$402),"",ReferenceData!$M$402),"")</x:f>
        <x:v>0</x:v>
      </x:c>
      <x:c r="N402">
        <x:f ca="1">IFERROR(IF(0=LEN(ReferenceData!$N$402),"",ReferenceData!$N$402),"")</x:f>
        <x:v>0</x:v>
      </x:c>
      <x:c r="O402">
        <x:f ca="1">IFERROR(IF(0=LEN(ReferenceData!$O$402),"",ReferenceData!$O$402),"")</x:f>
        <x:v>-1.1733</x:v>
      </x:c>
      <x:c r="P402">
        <x:f ca="1">IFERROR(IF(0=LEN(ReferenceData!$P$402),"",ReferenceData!$P$402),"")</x:f>
        <x:v>0.5988</x:v>
      </x:c>
      <x:c r="Q402">
        <x:f ca="1">IFERROR(IF(0=LEN(ReferenceData!$Q$402),"",ReferenceData!$Q$402),"")</x:f>
        <x:v>0.35959999999999998</x:v>
      </x:c>
      <x:c r="R402">
        <x:f ca="1">IFERROR(IF(0=LEN(ReferenceData!$R$402),"",ReferenceData!$R$402),"")</x:f>
        <x:v>0</x:v>
      </x:c>
      <x:c r="S402">
        <x:f ca="1">IFERROR(IF(0=LEN(ReferenceData!$S$402),"",ReferenceData!$S$402),"")</x:f>
        <x:v>0</x:v>
      </x:c>
    </x:row>
    <x:row r="403" spans="1:19" x14ac:dyDescent="0.25">
      <x:c r="A403" t="str">
        <x:f>IFERROR(IF(0=LEN(ReferenceData!$A$403),"",ReferenceData!$A$403),"")</x:f>
        <x:v xml:space="preserve">        iShares Edge MSCI Multifactor</x:v>
      </x:c>
      <x:c r="B403" t="str">
        <x:f>IFERROR(IF(0=LEN(ReferenceData!$B$403),"",ReferenceData!$B$403),"")</x:f>
        <x:v>MATF US Equity</x:v>
      </x:c>
      <x:c r="C403" t="str">
        <x:f>IFERROR(IF(0=LEN(ReferenceData!$C$403),"",ReferenceData!$C$403),"")</x:f>
        <x:v/>
      </x:c>
      <x:c r="D403" t="str">
        <x:f>IFERROR(IF(0=LEN(ReferenceData!$D$403),"",ReferenceData!$D$403),"")</x:f>
        <x:v/>
      </x:c>
      <x:c r="E403" t="str">
        <x:f>IFERROR(IF(0=LEN(ReferenceData!$E$403),"",ReferenceData!$E$403),"")</x:f>
        <x:v>Expression</x:v>
      </x:c>
      <x:c r="F403" t="str">
        <x:f ca="1">IFERROR(IF(0=LEN(ReferenceData!$F$403),"",ReferenceData!$F$403),"")</x:f>
        <x:v/>
      </x:c>
      <x:c r="G403" t="str">
        <x:f ca="1">IFERROR(IF(0=LEN(ReferenceData!$G$403),"",ReferenceData!$G$403),"")</x:f>
        <x:v/>
      </x:c>
      <x:c r="H403" t="str">
        <x:f ca="1">IFERROR(IF(0=LEN(ReferenceData!$H$403),"",ReferenceData!$H$403),"")</x:f>
        <x:v/>
      </x:c>
      <x:c r="I403" t="str">
        <x:f ca="1">IFERROR(IF(0=LEN(ReferenceData!$I$403),"",ReferenceData!$I$403),"")</x:f>
        <x:v/>
      </x:c>
      <x:c r="J403" t="str">
        <x:f ca="1">IFERROR(IF(0=LEN(ReferenceData!$J$403),"",ReferenceData!$J$403),"")</x:f>
        <x:v/>
      </x:c>
      <x:c r="K403" t="str">
        <x:f ca="1">IFERROR(IF(0=LEN(ReferenceData!$K$403),"",ReferenceData!$K$403),"")</x:f>
        <x:v/>
      </x:c>
      <x:c r="L403" t="str">
        <x:f ca="1">IFERROR(IF(0=LEN(ReferenceData!$L$403),"",ReferenceData!$L$403),"")</x:f>
        <x:v/>
      </x:c>
      <x:c r="M403" t="str">
        <x:f ca="1">IFERROR(IF(0=LEN(ReferenceData!$M$403),"",ReferenceData!$M$403),"")</x:f>
        <x:v/>
      </x:c>
      <x:c r="N403" t="str">
        <x:f ca="1">IFERROR(IF(0=LEN(ReferenceData!$N$403),"",ReferenceData!$N$403),"")</x:f>
        <x:v/>
      </x:c>
      <x:c r="O403" t="str">
        <x:f ca="1">IFERROR(IF(0=LEN(ReferenceData!$O$403),"",ReferenceData!$O$403),"")</x:f>
        <x:v/>
      </x:c>
      <x:c r="P403" t="str">
        <x:f ca="1">IFERROR(IF(0=LEN(ReferenceData!$P$403),"",ReferenceData!$P$403),"")</x:f>
        <x:v/>
      </x:c>
      <x:c r="Q403" t="str">
        <x:f ca="1">IFERROR(IF(0=LEN(ReferenceData!$Q$403),"",ReferenceData!$Q$403),"")</x:f>
        <x:v/>
      </x:c>
      <x:c r="R403" t="str">
        <x:f ca="1">IFERROR(IF(0=LEN(ReferenceData!$R$403),"",ReferenceData!$R$403),"")</x:f>
        <x:v/>
      </x:c>
      <x:c r="S403" t="str">
        <x:f ca="1">IFERROR(IF(0=LEN(ReferenceData!$S$403),"",ReferenceData!$S$403),"")</x:f>
        <x:v/>
      </x:c>
    </x:row>
    <x:row r="404" spans="1:19" x14ac:dyDescent="0.25">
      <x:c r="A404" t="str">
        <x:f>IFERROR(IF(0=LEN(ReferenceData!$A$404),"",ReferenceData!$A$404),"")</x:f>
        <x:v xml:space="preserve">        Melt Pharmaceuticals Inc</x:v>
      </x:c>
      <x:c r="B404" t="str">
        <x:f>IFERROR(IF(0=LEN(ReferenceData!$B$404),"",ReferenceData!$B$404),"")</x:f>
        <x:v>MELT US Equity</x:v>
      </x:c>
      <x:c r="C404" t="str">
        <x:f>IFERROR(IF(0=LEN(ReferenceData!$C$404),"",ReferenceData!$C$404),"")</x:f>
        <x:v/>
      </x:c>
      <x:c r="D404" t="str">
        <x:f>IFERROR(IF(0=LEN(ReferenceData!$D$404),"",ReferenceData!$D$404),"")</x:f>
        <x:v/>
      </x:c>
      <x:c r="E404" t="str">
        <x:f>IFERROR(IF(0=LEN(ReferenceData!$E$404),"",ReferenceData!$E$404),"")</x:f>
        <x:v>Expression</x:v>
      </x:c>
      <x:c r="F404" t="str">
        <x:f ca="1">IFERROR(IF(0=LEN(ReferenceData!$F$404),"",ReferenceData!$F$404),"")</x:f>
        <x:v/>
      </x:c>
      <x:c r="G404" t="str">
        <x:f ca="1">IFERROR(IF(0=LEN(ReferenceData!$G$404),"",ReferenceData!$G$404),"")</x:f>
        <x:v/>
      </x:c>
      <x:c r="H404" t="str">
        <x:f ca="1">IFERROR(IF(0=LEN(ReferenceData!$H$404),"",ReferenceData!$H$404),"")</x:f>
        <x:v/>
      </x:c>
      <x:c r="I404" t="str">
        <x:f ca="1">IFERROR(IF(0=LEN(ReferenceData!$I$404),"",ReferenceData!$I$404),"")</x:f>
        <x:v/>
      </x:c>
      <x:c r="J404" t="str">
        <x:f ca="1">IFERROR(IF(0=LEN(ReferenceData!$J$404),"",ReferenceData!$J$404),"")</x:f>
        <x:v/>
      </x:c>
      <x:c r="K404" t="str">
        <x:f ca="1">IFERROR(IF(0=LEN(ReferenceData!$K$404),"",ReferenceData!$K$404),"")</x:f>
        <x:v/>
      </x:c>
      <x:c r="L404" t="str">
        <x:f ca="1">IFERROR(IF(0=LEN(ReferenceData!$L$404),"",ReferenceData!$L$404),"")</x:f>
        <x:v/>
      </x:c>
      <x:c r="M404" t="str">
        <x:f ca="1">IFERROR(IF(0=LEN(ReferenceData!$M$404),"",ReferenceData!$M$404),"")</x:f>
        <x:v/>
      </x:c>
      <x:c r="N404" t="str">
        <x:f ca="1">IFERROR(IF(0=LEN(ReferenceData!$N$404),"",ReferenceData!$N$404),"")</x:f>
        <x:v/>
      </x:c>
      <x:c r="O404" t="str">
        <x:f ca="1">IFERROR(IF(0=LEN(ReferenceData!$O$404),"",ReferenceData!$O$404),"")</x:f>
        <x:v/>
      </x:c>
      <x:c r="P404" t="str">
        <x:f ca="1">IFERROR(IF(0=LEN(ReferenceData!$P$404),"",ReferenceData!$P$404),"")</x:f>
        <x:v/>
      </x:c>
      <x:c r="Q404" t="str">
        <x:f ca="1">IFERROR(IF(0=LEN(ReferenceData!$Q$404),"",ReferenceData!$Q$404),"")</x:f>
        <x:v/>
      </x:c>
      <x:c r="R404" t="str">
        <x:f ca="1">IFERROR(IF(0=LEN(ReferenceData!$R$404),"",ReferenceData!$R$404),"")</x:f>
        <x:v/>
      </x:c>
      <x:c r="S404" t="str">
        <x:f ca="1">IFERROR(IF(0=LEN(ReferenceData!$S$404),"",ReferenceData!$S$404),"")</x:f>
        <x:v/>
      </x:c>
    </x:row>
    <x:row r="405" spans="1:19" x14ac:dyDescent="0.25">
      <x:c r="A405" t="str">
        <x:f>IFERROR(IF(0=LEN(ReferenceData!$A$405),"",ReferenceData!$A$405),"")</x:f>
        <x:v xml:space="preserve">        Proshares Ultrashort Gold Mine</x:v>
      </x:c>
      <x:c r="B405" t="str">
        <x:f>IFERROR(IF(0=LEN(ReferenceData!$B$405),"",ReferenceData!$B$405),"")</x:f>
        <x:v>GDXS US Equity</x:v>
      </x:c>
      <x:c r="C405" t="str">
        <x:f>IFERROR(IF(0=LEN(ReferenceData!$C$405),"",ReferenceData!$C$405),"")</x:f>
        <x:v/>
      </x:c>
      <x:c r="D405" t="str">
        <x:f>IFERROR(IF(0=LEN(ReferenceData!$D$405),"",ReferenceData!$D$405),"")</x:f>
        <x:v/>
      </x:c>
      <x:c r="E405" t="str">
        <x:f>IFERROR(IF(0=LEN(ReferenceData!$E$405),"",ReferenceData!$E$405),"")</x:f>
        <x:v>Expression</x:v>
      </x:c>
      <x:c r="F405" t="str">
        <x:f ca="1">IFERROR(IF(0=LEN(ReferenceData!$F$405),"",ReferenceData!$F$405),"")</x:f>
        <x:v/>
      </x:c>
      <x:c r="G405" t="str">
        <x:f ca="1">IFERROR(IF(0=LEN(ReferenceData!$G$405),"",ReferenceData!$G$405),"")</x:f>
        <x:v/>
      </x:c>
      <x:c r="H405" t="str">
        <x:f ca="1">IFERROR(IF(0=LEN(ReferenceData!$H$405),"",ReferenceData!$H$405),"")</x:f>
        <x:v/>
      </x:c>
      <x:c r="I405" t="str">
        <x:f ca="1">IFERROR(IF(0=LEN(ReferenceData!$I$405),"",ReferenceData!$I$405),"")</x:f>
        <x:v/>
      </x:c>
      <x:c r="J405" t="str">
        <x:f ca="1">IFERROR(IF(0=LEN(ReferenceData!$J$405),"",ReferenceData!$J$405),"")</x:f>
        <x:v/>
      </x:c>
      <x:c r="K405" t="str">
        <x:f ca="1">IFERROR(IF(0=LEN(ReferenceData!$K$405),"",ReferenceData!$K$405),"")</x:f>
        <x:v/>
      </x:c>
      <x:c r="L405" t="str">
        <x:f ca="1">IFERROR(IF(0=LEN(ReferenceData!$L$405),"",ReferenceData!$L$405),"")</x:f>
        <x:v/>
      </x:c>
      <x:c r="M405" t="str">
        <x:f ca="1">IFERROR(IF(0=LEN(ReferenceData!$M$405),"",ReferenceData!$M$405),"")</x:f>
        <x:v/>
      </x:c>
      <x:c r="N405" t="str">
        <x:f ca="1">IFERROR(IF(0=LEN(ReferenceData!$N$405),"",ReferenceData!$N$405),"")</x:f>
        <x:v/>
      </x:c>
      <x:c r="O405" t="str">
        <x:f ca="1">IFERROR(IF(0=LEN(ReferenceData!$O$405),"",ReferenceData!$O$405),"")</x:f>
        <x:v/>
      </x:c>
      <x:c r="P405" t="str">
        <x:f ca="1">IFERROR(IF(0=LEN(ReferenceData!$P$405),"",ReferenceData!$P$405),"")</x:f>
        <x:v/>
      </x:c>
      <x:c r="Q405" t="str">
        <x:f ca="1">IFERROR(IF(0=LEN(ReferenceData!$Q$405),"",ReferenceData!$Q$405),"")</x:f>
        <x:v/>
      </x:c>
      <x:c r="R405" t="str">
        <x:f ca="1">IFERROR(IF(0=LEN(ReferenceData!$R$405),"",ReferenceData!$R$405),"")</x:f>
        <x:v/>
      </x:c>
      <x:c r="S405" t="str">
        <x:f ca="1">IFERROR(IF(0=LEN(ReferenceData!$S$405),"",ReferenceData!$S$405),"")</x:f>
        <x:v/>
      </x:c>
    </x:row>
    <x:row r="406" spans="1:19" x14ac:dyDescent="0.25">
      <x:c r="A406" t="str">
        <x:f>IFERROR(IF(0=LEN(ReferenceData!$A$406),"",ReferenceData!$A$406),"")</x:f>
        <x:v xml:space="preserve">        ProShares Short Basic Material</x:v>
      </x:c>
      <x:c r="B406" t="str">
        <x:f>IFERROR(IF(0=LEN(ReferenceData!$B$406),"",ReferenceData!$B$406),"")</x:f>
        <x:v>SBM US Equity</x:v>
      </x:c>
      <x:c r="C406" t="str">
        <x:f>IFERROR(IF(0=LEN(ReferenceData!$C$406),"",ReferenceData!$C$406),"")</x:f>
        <x:v/>
      </x:c>
      <x:c r="D406" t="str">
        <x:f>IFERROR(IF(0=LEN(ReferenceData!$D$406),"",ReferenceData!$D$406),"")</x:f>
        <x:v/>
      </x:c>
      <x:c r="E406" t="str">
        <x:f>IFERROR(IF(0=LEN(ReferenceData!$E$406),"",ReferenceData!$E$406),"")</x:f>
        <x:v>Expression</x:v>
      </x:c>
      <x:c r="F406" t="str">
        <x:f ca="1">IFERROR(IF(0=LEN(ReferenceData!$F$406),"",ReferenceData!$F$406),"")</x:f>
        <x:v/>
      </x:c>
      <x:c r="G406" t="str">
        <x:f ca="1">IFERROR(IF(0=LEN(ReferenceData!$G$406),"",ReferenceData!$G$406),"")</x:f>
        <x:v/>
      </x:c>
      <x:c r="H406" t="str">
        <x:f ca="1">IFERROR(IF(0=LEN(ReferenceData!$H$406),"",ReferenceData!$H$406),"")</x:f>
        <x:v/>
      </x:c>
      <x:c r="I406" t="str">
        <x:f ca="1">IFERROR(IF(0=LEN(ReferenceData!$I$406),"",ReferenceData!$I$406),"")</x:f>
        <x:v/>
      </x:c>
      <x:c r="J406" t="str">
        <x:f ca="1">IFERROR(IF(0=LEN(ReferenceData!$J$406),"",ReferenceData!$J$406),"")</x:f>
        <x:v/>
      </x:c>
      <x:c r="K406" t="str">
        <x:f ca="1">IFERROR(IF(0=LEN(ReferenceData!$K$406),"",ReferenceData!$K$406),"")</x:f>
        <x:v/>
      </x:c>
      <x:c r="L406" t="str">
        <x:f ca="1">IFERROR(IF(0=LEN(ReferenceData!$L$406),"",ReferenceData!$L$406),"")</x:f>
        <x:v/>
      </x:c>
      <x:c r="M406" t="str">
        <x:f ca="1">IFERROR(IF(0=LEN(ReferenceData!$M$406),"",ReferenceData!$M$406),"")</x:f>
        <x:v/>
      </x:c>
      <x:c r="N406" t="str">
        <x:f ca="1">IFERROR(IF(0=LEN(ReferenceData!$N$406),"",ReferenceData!$N$406),"")</x:f>
        <x:v/>
      </x:c>
      <x:c r="O406" t="str">
        <x:f ca="1">IFERROR(IF(0=LEN(ReferenceData!$O$406),"",ReferenceData!$O$406),"")</x:f>
        <x:v/>
      </x:c>
      <x:c r="P406" t="str">
        <x:f ca="1">IFERROR(IF(0=LEN(ReferenceData!$P$406),"",ReferenceData!$P$406),"")</x:f>
        <x:v/>
      </x:c>
      <x:c r="Q406" t="str">
        <x:f ca="1">IFERROR(IF(0=LEN(ReferenceData!$Q$406),"",ReferenceData!$Q$406),"")</x:f>
        <x:v/>
      </x:c>
      <x:c r="R406" t="str">
        <x:f ca="1">IFERROR(IF(0=LEN(ReferenceData!$R$406),"",ReferenceData!$R$406),"")</x:f>
        <x:v/>
      </x:c>
      <x:c r="S406" t="str">
        <x:f ca="1">IFERROR(IF(0=LEN(ReferenceData!$S$406),"",ReferenceData!$S$406),"")</x:f>
        <x:v/>
      </x:c>
    </x:row>
    <x:row r="407" spans="1:19" x14ac:dyDescent="0.25">
      <x:c r="A407" t="str">
        <x:f>IFERROR(IF(0=LEN(ReferenceData!$A$407),"",ReferenceData!$A$407),"")</x:f>
        <x:v xml:space="preserve">        MicroSectors Gold -3X Inverse</x:v>
      </x:c>
      <x:c r="B407" t="str">
        <x:f>IFERROR(IF(0=LEN(ReferenceData!$B$407),"",ReferenceData!$B$407),"")</x:f>
        <x:v>DULL US Equity</x:v>
      </x:c>
      <x:c r="C407" t="str">
        <x:f>IFERROR(IF(0=LEN(ReferenceData!$C$407),"",ReferenceData!$C$407),"")</x:f>
        <x:v/>
      </x:c>
      <x:c r="D407" t="str">
        <x:f>IFERROR(IF(0=LEN(ReferenceData!$D$407),"",ReferenceData!$D$407),"")</x:f>
        <x:v/>
      </x:c>
      <x:c r="E407" t="str">
        <x:f>IFERROR(IF(0=LEN(ReferenceData!$E$407),"",ReferenceData!$E$407),"")</x:f>
        <x:v>Expression</x:v>
      </x:c>
      <x:c r="F407">
        <x:f ca="1">IFERROR(IF(0=LEN(ReferenceData!$F$407),"",ReferenceData!$F$407),"")</x:f>
        <x:v>0</x:v>
      </x:c>
      <x:c r="G407">
        <x:f ca="1">IFERROR(IF(0=LEN(ReferenceData!$G$407),"",ReferenceData!$G$407),"")</x:f>
        <x:v>0</x:v>
      </x:c>
      <x:c r="H407">
        <x:f ca="1">IFERROR(IF(0=LEN(ReferenceData!$H$407),"",ReferenceData!$H$407),"")</x:f>
        <x:v>0</x:v>
      </x:c>
      <x:c r="I407">
        <x:f ca="1">IFERROR(IF(0=LEN(ReferenceData!$I$407),"",ReferenceData!$I$407),"")</x:f>
        <x:v>0</x:v>
      </x:c>
      <x:c r="J407">
        <x:f ca="1">IFERROR(IF(0=LEN(ReferenceData!$J$407),"",ReferenceData!$J$407),"")</x:f>
        <x:v>0</x:v>
      </x:c>
      <x:c r="K407">
        <x:f ca="1">IFERROR(IF(0=LEN(ReferenceData!$K$407),"",ReferenceData!$K$407),"")</x:f>
        <x:v>0</x:v>
      </x:c>
      <x:c r="L407">
        <x:f ca="1">IFERROR(IF(0=LEN(ReferenceData!$L$407),"",ReferenceData!$L$407),"")</x:f>
        <x:v>0</x:v>
      </x:c>
      <x:c r="M407">
        <x:f ca="1">IFERROR(IF(0=LEN(ReferenceData!$M$407),"",ReferenceData!$M$407),"")</x:f>
        <x:v>0</x:v>
      </x:c>
      <x:c r="N407">
        <x:f ca="1">IFERROR(IF(0=LEN(ReferenceData!$N$407),"",ReferenceData!$N$407),"")</x:f>
        <x:v>0</x:v>
      </x:c>
      <x:c r="O407">
        <x:f ca="1">IFERROR(IF(0=LEN(ReferenceData!$O$407),"",ReferenceData!$O$407),"")</x:f>
        <x:v>0</x:v>
      </x:c>
      <x:c r="P407" t="str">
        <x:f ca="1">IFERROR(IF(0=LEN(ReferenceData!$P$407),"",ReferenceData!$P$407),"")</x:f>
        <x:v/>
      </x:c>
      <x:c r="Q407" t="str">
        <x:f ca="1">IFERROR(IF(0=LEN(ReferenceData!$Q$407),"",ReferenceData!$Q$407),"")</x:f>
        <x:v/>
      </x:c>
      <x:c r="R407" t="str">
        <x:f ca="1">IFERROR(IF(0=LEN(ReferenceData!$R$407),"",ReferenceData!$R$407),"")</x:f>
        <x:v/>
      </x:c>
      <x:c r="S407" t="str">
        <x:f ca="1">IFERROR(IF(0=LEN(ReferenceData!$S$407),"",ReferenceData!$S$407),"")</x:f>
        <x:v/>
      </x:c>
    </x:row>
    <x:row r="408" spans="1:19" x14ac:dyDescent="0.25">
      <x:c r="A408" t="str">
        <x:f>IFERROR(IF(0=LEN(ReferenceData!$A$408),"",ReferenceData!$A$408),"")</x:f>
        <x:v xml:space="preserve">        VelocityShares VIX Medium Term</x:v>
      </x:c>
      <x:c r="B408" t="str">
        <x:f>IFERROR(IF(0=LEN(ReferenceData!$B$408),"",ReferenceData!$B$408),"")</x:f>
        <x:v>VIIZ US Equity</x:v>
      </x:c>
      <x:c r="C408" t="str">
        <x:f>IFERROR(IF(0=LEN(ReferenceData!$C$408),"",ReferenceData!$C$408),"")</x:f>
        <x:v/>
      </x:c>
      <x:c r="D408" t="str">
        <x:f>IFERROR(IF(0=LEN(ReferenceData!$D$408),"",ReferenceData!$D$408),"")</x:f>
        <x:v/>
      </x:c>
      <x:c r="E408" t="str">
        <x:f>IFERROR(IF(0=LEN(ReferenceData!$E$408),"",ReferenceData!$E$408),"")</x:f>
        <x:v>Expression</x:v>
      </x:c>
      <x:c r="F408" t="str">
        <x:f ca="1">IFERROR(IF(0=LEN(ReferenceData!$F$408),"",ReferenceData!$F$408),"")</x:f>
        <x:v/>
      </x:c>
      <x:c r="G408" t="str">
        <x:f ca="1">IFERROR(IF(0=LEN(ReferenceData!$G$408),"",ReferenceData!$G$408),"")</x:f>
        <x:v/>
      </x:c>
      <x:c r="H408" t="str">
        <x:f ca="1">IFERROR(IF(0=LEN(ReferenceData!$H$408),"",ReferenceData!$H$408),"")</x:f>
        <x:v/>
      </x:c>
      <x:c r="I408" t="str">
        <x:f ca="1">IFERROR(IF(0=LEN(ReferenceData!$I$408),"",ReferenceData!$I$408),"")</x:f>
        <x:v/>
      </x:c>
      <x:c r="J408" t="str">
        <x:f ca="1">IFERROR(IF(0=LEN(ReferenceData!$J$408),"",ReferenceData!$J$408),"")</x:f>
        <x:v/>
      </x:c>
      <x:c r="K408" t="str">
        <x:f ca="1">IFERROR(IF(0=LEN(ReferenceData!$K$408),"",ReferenceData!$K$408),"")</x:f>
        <x:v/>
      </x:c>
      <x:c r="L408" t="str">
        <x:f ca="1">IFERROR(IF(0=LEN(ReferenceData!$L$408),"",ReferenceData!$L$408),"")</x:f>
        <x:v/>
      </x:c>
      <x:c r="M408" t="str">
        <x:f ca="1">IFERROR(IF(0=LEN(ReferenceData!$M$408),"",ReferenceData!$M$408),"")</x:f>
        <x:v/>
      </x:c>
      <x:c r="N408" t="str">
        <x:f ca="1">IFERROR(IF(0=LEN(ReferenceData!$N$408),"",ReferenceData!$N$408),"")</x:f>
        <x:v/>
      </x:c>
      <x:c r="O408" t="str">
        <x:f ca="1">IFERROR(IF(0=LEN(ReferenceData!$O$408),"",ReferenceData!$O$408),"")</x:f>
        <x:v/>
      </x:c>
      <x:c r="P408" t="str">
        <x:f ca="1">IFERROR(IF(0=LEN(ReferenceData!$P$408),"",ReferenceData!$P$408),"")</x:f>
        <x:v/>
      </x:c>
      <x:c r="Q408" t="str">
        <x:f ca="1">IFERROR(IF(0=LEN(ReferenceData!$Q$408),"",ReferenceData!$Q$408),"")</x:f>
        <x:v/>
      </x:c>
      <x:c r="R408" t="str">
        <x:f ca="1">IFERROR(IF(0=LEN(ReferenceData!$R$408),"",ReferenceData!$R$408),"")</x:f>
        <x:v/>
      </x:c>
      <x:c r="S408" t="str">
        <x:f ca="1">IFERROR(IF(0=LEN(ReferenceData!$S$408),"",ReferenceData!$S$408),"")</x:f>
        <x:v/>
      </x:c>
    </x:row>
    <x:row r="409" spans="1:19" x14ac:dyDescent="0.25">
      <x:c r="A409" t="str">
        <x:f>IFERROR(IF(0=LEN(ReferenceData!$A$409),"",ReferenceData!$A$409),"")</x:f>
        <x:v xml:space="preserve">        iPath Pure Beta Precious Metal</x:v>
      </x:c>
      <x:c r="B409" t="str">
        <x:f>IFERROR(IF(0=LEN(ReferenceData!$B$409),"",ReferenceData!$B$409),"")</x:f>
        <x:v>1873918D US Equity</x:v>
      </x:c>
      <x:c r="C409" t="str">
        <x:f>IFERROR(IF(0=LEN(ReferenceData!$C$409),"",ReferenceData!$C$409),"")</x:f>
        <x:v/>
      </x:c>
      <x:c r="D409" t="str">
        <x:f>IFERROR(IF(0=LEN(ReferenceData!$D$409),"",ReferenceData!$D$409),"")</x:f>
        <x:v/>
      </x:c>
      <x:c r="E409" t="str">
        <x:f>IFERROR(IF(0=LEN(ReferenceData!$E$409),"",ReferenceData!$E$409),"")</x:f>
        <x:v>Expression</x:v>
      </x:c>
      <x:c r="F409" t="str">
        <x:f ca="1">IFERROR(IF(0=LEN(ReferenceData!$F$409),"",ReferenceData!$F$409),"")</x:f>
        <x:v/>
      </x:c>
      <x:c r="G409" t="str">
        <x:f ca="1">IFERROR(IF(0=LEN(ReferenceData!$G$409),"",ReferenceData!$G$409),"")</x:f>
        <x:v/>
      </x:c>
      <x:c r="H409" t="str">
        <x:f ca="1">IFERROR(IF(0=LEN(ReferenceData!$H$409),"",ReferenceData!$H$409),"")</x:f>
        <x:v/>
      </x:c>
      <x:c r="I409" t="str">
        <x:f ca="1">IFERROR(IF(0=LEN(ReferenceData!$I$409),"",ReferenceData!$I$409),"")</x:f>
        <x:v/>
      </x:c>
      <x:c r="J409" t="str">
        <x:f ca="1">IFERROR(IF(0=LEN(ReferenceData!$J$409),"",ReferenceData!$J$409),"")</x:f>
        <x:v/>
      </x:c>
      <x:c r="K409" t="str">
        <x:f ca="1">IFERROR(IF(0=LEN(ReferenceData!$K$409),"",ReferenceData!$K$409),"")</x:f>
        <x:v/>
      </x:c>
      <x:c r="L409" t="str">
        <x:f ca="1">IFERROR(IF(0=LEN(ReferenceData!$L$409),"",ReferenceData!$L$409),"")</x:f>
        <x:v/>
      </x:c>
      <x:c r="M409" t="str">
        <x:f ca="1">IFERROR(IF(0=LEN(ReferenceData!$M$409),"",ReferenceData!$M$409),"")</x:f>
        <x:v/>
      </x:c>
      <x:c r="N409" t="str">
        <x:f ca="1">IFERROR(IF(0=LEN(ReferenceData!$N$409),"",ReferenceData!$N$409),"")</x:f>
        <x:v/>
      </x:c>
      <x:c r="O409" t="str">
        <x:f ca="1">IFERROR(IF(0=LEN(ReferenceData!$O$409),"",ReferenceData!$O$409),"")</x:f>
        <x:v/>
      </x:c>
      <x:c r="P409" t="str">
        <x:f ca="1">IFERROR(IF(0=LEN(ReferenceData!$P$409),"",ReferenceData!$P$409),"")</x:f>
        <x:v/>
      </x:c>
      <x:c r="Q409" t="str">
        <x:f ca="1">IFERROR(IF(0=LEN(ReferenceData!$Q$409),"",ReferenceData!$Q$409),"")</x:f>
        <x:v/>
      </x:c>
      <x:c r="R409" t="str">
        <x:f ca="1">IFERROR(IF(0=LEN(ReferenceData!$R$409),"",ReferenceData!$R$409),"")</x:f>
        <x:v/>
      </x:c>
      <x:c r="S409" t="str">
        <x:f ca="1">IFERROR(IF(0=LEN(ReferenceData!$S$409),"",ReferenceData!$S$409),"")</x:f>
        <x:v/>
      </x:c>
    </x:row>
    <x:row r="410" spans="1:19" x14ac:dyDescent="0.25">
      <x:c r="A410" t="str">
        <x:f>IFERROR(IF(0=LEN(ReferenceData!$A$410),"",ReferenceData!$A$410),"")</x:f>
        <x:v xml:space="preserve">        Sprott Uranium Miners ETF</x:v>
      </x:c>
      <x:c r="B410" t="str">
        <x:f>IFERROR(IF(0=LEN(ReferenceData!$B$410),"",ReferenceData!$B$410),"")</x:f>
        <x:v>URNM US Equity</x:v>
      </x:c>
      <x:c r="C410" t="str">
        <x:f>IFERROR(IF(0=LEN(ReferenceData!$C$410),"",ReferenceData!$C$410),"")</x:f>
        <x:v/>
      </x:c>
      <x:c r="D410" t="str">
        <x:f>IFERROR(IF(0=LEN(ReferenceData!$D$410),"",ReferenceData!$D$410),"")</x:f>
        <x:v/>
      </x:c>
      <x:c r="E410" t="str">
        <x:f>IFERROR(IF(0=LEN(ReferenceData!$E$410),"",ReferenceData!$E$410),"")</x:f>
        <x:v>Expression</x:v>
      </x:c>
      <x:c r="F410">
        <x:f ca="1">IFERROR(IF(0=LEN(ReferenceData!$F$410),"",ReferenceData!$F$410),"")</x:f>
        <x:v>63.117066999999999</x:v>
      </x:c>
      <x:c r="G410">
        <x:f ca="1">IFERROR(IF(0=LEN(ReferenceData!$G$410),"",ReferenceData!$G$410),"")</x:f>
        <x:v>130.50699</x:v>
      </x:c>
      <x:c r="H410">
        <x:f ca="1">IFERROR(IF(0=LEN(ReferenceData!$H$410),"",ReferenceData!$H$410),"")</x:f>
        <x:v>20.511638000000001</x:v>
      </x:c>
      <x:c r="I410">
        <x:f ca="1">IFERROR(IF(0=LEN(ReferenceData!$I$410),"",ReferenceData!$I$410),"")</x:f>
        <x:v>37.143949999999997</x:v>
      </x:c>
      <x:c r="J410">
        <x:f ca="1">IFERROR(IF(0=LEN(ReferenceData!$J$410),"",ReferenceData!$J$410),"")</x:f>
        <x:v>-4.8310760000000004</x:v>
      </x:c>
      <x:c r="K410">
        <x:f ca="1">IFERROR(IF(0=LEN(ReferenceData!$K$410),"",ReferenceData!$K$410),"")</x:f>
        <x:v>-1.71627</x:v>
      </x:c>
      <x:c r="L410">
        <x:f ca="1">IFERROR(IF(0=LEN(ReferenceData!$L$410),"",ReferenceData!$L$410),"")</x:f>
        <x:v>-14.423543</x:v>
      </x:c>
      <x:c r="M410">
        <x:f ca="1">IFERROR(IF(0=LEN(ReferenceData!$M$410),"",ReferenceData!$M$410),"")</x:f>
        <x:v>17.939091999999999</x:v>
      </x:c>
      <x:c r="N410">
        <x:f ca="1">IFERROR(IF(0=LEN(ReferenceData!$N$410),"",ReferenceData!$N$410),"")</x:f>
        <x:v>11.474237</x:v>
      </x:c>
      <x:c r="O410">
        <x:f ca="1">IFERROR(IF(0=LEN(ReferenceData!$O$410),"",ReferenceData!$O$410),"")</x:f>
        <x:v>25.974187000000001</x:v>
      </x:c>
      <x:c r="P410">
        <x:f ca="1">IFERROR(IF(0=LEN(ReferenceData!$P$410),"",ReferenceData!$P$410),"")</x:f>
        <x:v>2.1638860000000002</x:v>
      </x:c>
      <x:c r="Q410">
        <x:f ca="1">IFERROR(IF(0=LEN(ReferenceData!$Q$410),"",ReferenceData!$Q$410),"")</x:f>
        <x:v>-33.214793</x:v>
      </x:c>
      <x:c r="R410">
        <x:f ca="1">IFERROR(IF(0=LEN(ReferenceData!$R$410),"",ReferenceData!$R$410),"")</x:f>
        <x:v>5.8692159999999998</x:v>
      </x:c>
      <x:c r="S410">
        <x:f ca="1">IFERROR(IF(0=LEN(ReferenceData!$S$410),"",ReferenceData!$S$410),"")</x:f>
        <x:v>-2.9890759999999998</x:v>
      </x:c>
    </x:row>
    <x:row r="411" spans="1:19" x14ac:dyDescent="0.25">
      <x:c r="A411" t="str">
        <x:f>IFERROR(IF(0=LEN(ReferenceData!$A$411),"",ReferenceData!$A$411),"")</x:f>
        <x:v xml:space="preserve">        MicroSectors Gold Miners 3X Le</x:v>
      </x:c>
      <x:c r="B411" t="str">
        <x:f>IFERROR(IF(0=LEN(ReferenceData!$B$411),"",ReferenceData!$B$411),"")</x:f>
        <x:v>GDXU US Equity</x:v>
      </x:c>
      <x:c r="C411" t="str">
        <x:f>IFERROR(IF(0=LEN(ReferenceData!$C$411),"",ReferenceData!$C$411),"")</x:f>
        <x:v/>
      </x:c>
      <x:c r="D411" t="str">
        <x:f>IFERROR(IF(0=LEN(ReferenceData!$D$411),"",ReferenceData!$D$411),"")</x:f>
        <x:v/>
      </x:c>
      <x:c r="E411" t="str">
        <x:f>IFERROR(IF(0=LEN(ReferenceData!$E$411),"",ReferenceData!$E$411),"")</x:f>
        <x:v>Expression</x:v>
      </x:c>
      <x:c r="F411">
        <x:f ca="1">IFERROR(IF(0=LEN(ReferenceData!$F$411),"",ReferenceData!$F$411),"")</x:f>
        <x:v>0</x:v>
      </x:c>
      <x:c r="G411">
        <x:f ca="1">IFERROR(IF(0=LEN(ReferenceData!$G$411),"",ReferenceData!$G$411),"")</x:f>
        <x:v>31.979779000000001</x:v>
      </x:c>
      <x:c r="H411">
        <x:f ca="1">IFERROR(IF(0=LEN(ReferenceData!$H$411),"",ReferenceData!$H$411),"")</x:f>
        <x:v>0</x:v>
      </x:c>
      <x:c r="I411">
        <x:f ca="1">IFERROR(IF(0=LEN(ReferenceData!$I$411),"",ReferenceData!$I$411),"")</x:f>
        <x:v>29.481891000000001</x:v>
      </x:c>
      <x:c r="J411">
        <x:f ca="1">IFERROR(IF(0=LEN(ReferenceData!$J$411),"",ReferenceData!$J$411),"")</x:f>
        <x:v>0</x:v>
      </x:c>
      <x:c r="K411">
        <x:f ca="1">IFERROR(IF(0=LEN(ReferenceData!$K$411),"",ReferenceData!$K$411),"")</x:f>
        <x:v>18.573757000000001</x:v>
      </x:c>
      <x:c r="L411">
        <x:f ca="1">IFERROR(IF(0=LEN(ReferenceData!$L$411),"",ReferenceData!$L$411),"")</x:f>
        <x:v>0</x:v>
      </x:c>
      <x:c r="M411">
        <x:f ca="1">IFERROR(IF(0=LEN(ReferenceData!$M$411),"",ReferenceData!$M$411),"")</x:f>
        <x:v>0</x:v>
      </x:c>
      <x:c r="N411">
        <x:f ca="1">IFERROR(IF(0=LEN(ReferenceData!$N$411),"",ReferenceData!$N$411),"")</x:f>
        <x:v>0</x:v>
      </x:c>
      <x:c r="O411">
        <x:f ca="1">IFERROR(IF(0=LEN(ReferenceData!$O$411),"",ReferenceData!$O$411),"")</x:f>
        <x:v>0</x:v>
      </x:c>
      <x:c r="P411">
        <x:f ca="1">IFERROR(IF(0=LEN(ReferenceData!$P$411),"",ReferenceData!$P$411),"")</x:f>
        <x:v>0</x:v>
      </x:c>
      <x:c r="Q411">
        <x:f ca="1">IFERROR(IF(0=LEN(ReferenceData!$Q$411),"",ReferenceData!$Q$411),"")</x:f>
        <x:v>0</x:v>
      </x:c>
      <x:c r="R411">
        <x:f ca="1">IFERROR(IF(0=LEN(ReferenceData!$R$411),"",ReferenceData!$R$411),"")</x:f>
        <x:v>0</x:v>
      </x:c>
      <x:c r="S411">
        <x:f ca="1">IFERROR(IF(0=LEN(ReferenceData!$S$411),"",ReferenceData!$S$411),"")</x:f>
        <x:v>0</x:v>
      </x:c>
    </x:row>
    <x:row r="412" spans="1:19" x14ac:dyDescent="0.25">
      <x:c r="A412" t="str">
        <x:f>IFERROR(IF(0=LEN(ReferenceData!$A$412),"",ReferenceData!$A$412),"")</x:f>
        <x:v xml:space="preserve">        Amplify Pure Junior Gold Miner</x:v>
      </x:c>
      <x:c r="B412" t="str">
        <x:f>IFERROR(IF(0=LEN(ReferenceData!$B$412),"",ReferenceData!$B$412),"")</x:f>
        <x:v>JGLD US Equity</x:v>
      </x:c>
      <x:c r="C412" t="str">
        <x:f>IFERROR(IF(0=LEN(ReferenceData!$C$412),"",ReferenceData!$C$412),"")</x:f>
        <x:v/>
      </x:c>
      <x:c r="D412" t="str">
        <x:f>IFERROR(IF(0=LEN(ReferenceData!$D$412),"",ReferenceData!$D$412),"")</x:f>
        <x:v/>
      </x:c>
      <x:c r="E412" t="str">
        <x:f>IFERROR(IF(0=LEN(ReferenceData!$E$412),"",ReferenceData!$E$412),"")</x:f>
        <x:v>Expression</x:v>
      </x:c>
      <x:c r="F412" t="str">
        <x:f ca="1">IFERROR(IF(0=LEN(ReferenceData!$F$412),"",ReferenceData!$F$412),"")</x:f>
        <x:v/>
      </x:c>
      <x:c r="G412" t="str">
        <x:f ca="1">IFERROR(IF(0=LEN(ReferenceData!$G$412),"",ReferenceData!$G$412),"")</x:f>
        <x:v/>
      </x:c>
      <x:c r="H412" t="str">
        <x:f ca="1">IFERROR(IF(0=LEN(ReferenceData!$H$412),"",ReferenceData!$H$412),"")</x:f>
        <x:v/>
      </x:c>
      <x:c r="I412" t="str">
        <x:f ca="1">IFERROR(IF(0=LEN(ReferenceData!$I$412),"",ReferenceData!$I$412),"")</x:f>
        <x:v/>
      </x:c>
      <x:c r="J412" t="str">
        <x:f ca="1">IFERROR(IF(0=LEN(ReferenceData!$J$412),"",ReferenceData!$J$412),"")</x:f>
        <x:v/>
      </x:c>
      <x:c r="K412" t="str">
        <x:f ca="1">IFERROR(IF(0=LEN(ReferenceData!$K$412),"",ReferenceData!$K$412),"")</x:f>
        <x:v/>
      </x:c>
      <x:c r="L412" t="str">
        <x:f ca="1">IFERROR(IF(0=LEN(ReferenceData!$L$412),"",ReferenceData!$L$412),"")</x:f>
        <x:v/>
      </x:c>
      <x:c r="M412" t="str">
        <x:f ca="1">IFERROR(IF(0=LEN(ReferenceData!$M$412),"",ReferenceData!$M$412),"")</x:f>
        <x:v/>
      </x:c>
      <x:c r="N412" t="str">
        <x:f ca="1">IFERROR(IF(0=LEN(ReferenceData!$N$412),"",ReferenceData!$N$412),"")</x:f>
        <x:v/>
      </x:c>
      <x:c r="O412" t="str">
        <x:f ca="1">IFERROR(IF(0=LEN(ReferenceData!$O$412),"",ReferenceData!$O$412),"")</x:f>
        <x:v/>
      </x:c>
      <x:c r="P412" t="str">
        <x:f ca="1">IFERROR(IF(0=LEN(ReferenceData!$P$412),"",ReferenceData!$P$412),"")</x:f>
        <x:v/>
      </x:c>
      <x:c r="Q412" t="str">
        <x:f ca="1">IFERROR(IF(0=LEN(ReferenceData!$Q$412),"",ReferenceData!$Q$412),"")</x:f>
        <x:v/>
      </x:c>
      <x:c r="R412" t="str">
        <x:f ca="1">IFERROR(IF(0=LEN(ReferenceData!$R$412),"",ReferenceData!$R$412),"")</x:f>
        <x:v/>
      </x:c>
      <x:c r="S412">
        <x:f ca="1">IFERROR(IF(0=LEN(ReferenceData!$S$412),"",ReferenceData!$S$412),"")</x:f>
        <x:v>0</x:v>
      </x:c>
    </x:row>
    <x:row r="413" spans="1:19" x14ac:dyDescent="0.25">
      <x:c r="A413" t="str">
        <x:f>IFERROR(IF(0=LEN(ReferenceData!$A$413),"",ReferenceData!$A$413),"")</x:f>
        <x:v xml:space="preserve">        MicroSectors Gold Miners -3X I</x:v>
      </x:c>
      <x:c r="B413" t="str">
        <x:f>IFERROR(IF(0=LEN(ReferenceData!$B$413),"",ReferenceData!$B$413),"")</x:f>
        <x:v>GDXD US Equity</x:v>
      </x:c>
      <x:c r="C413" t="str">
        <x:f>IFERROR(IF(0=LEN(ReferenceData!$C$413),"",ReferenceData!$C$413),"")</x:f>
        <x:v/>
      </x:c>
      <x:c r="D413" t="str">
        <x:f>IFERROR(IF(0=LEN(ReferenceData!$D$413),"",ReferenceData!$D$413),"")</x:f>
        <x:v/>
      </x:c>
      <x:c r="E413" t="str">
        <x:f>IFERROR(IF(0=LEN(ReferenceData!$E$413),"",ReferenceData!$E$413),"")</x:f>
        <x:v>Expression</x:v>
      </x:c>
      <x:c r="F413">
        <x:f ca="1">IFERROR(IF(0=LEN(ReferenceData!$F$413),"",ReferenceData!$F$413),"")</x:f>
        <x:v>0</x:v>
      </x:c>
      <x:c r="G413">
        <x:f ca="1">IFERROR(IF(0=LEN(ReferenceData!$G$413),"",ReferenceData!$G$413),"")</x:f>
        <x:v>0</x:v>
      </x:c>
      <x:c r="H413">
        <x:f ca="1">IFERROR(IF(0=LEN(ReferenceData!$H$413),"",ReferenceData!$H$413),"")</x:f>
        <x:v>0</x:v>
      </x:c>
      <x:c r="I413">
        <x:f ca="1">IFERROR(IF(0=LEN(ReferenceData!$I$413),"",ReferenceData!$I$413),"")</x:f>
        <x:v>0</x:v>
      </x:c>
      <x:c r="J413">
        <x:f ca="1">IFERROR(IF(0=LEN(ReferenceData!$J$413),"",ReferenceData!$J$413),"")</x:f>
        <x:v>0</x:v>
      </x:c>
      <x:c r="K413">
        <x:f ca="1">IFERROR(IF(0=LEN(ReferenceData!$K$413),"",ReferenceData!$K$413),"")</x:f>
        <x:v>0</x:v>
      </x:c>
      <x:c r="L413">
        <x:f ca="1">IFERROR(IF(0=LEN(ReferenceData!$L$413),"",ReferenceData!$L$413),"")</x:f>
        <x:v>0</x:v>
      </x:c>
      <x:c r="M413">
        <x:f ca="1">IFERROR(IF(0=LEN(ReferenceData!$M$413),"",ReferenceData!$M$413),"")</x:f>
        <x:v>23.018488999999999</x:v>
      </x:c>
      <x:c r="N413">
        <x:f ca="1">IFERROR(IF(0=LEN(ReferenceData!$N$413),"",ReferenceData!$N$413),"")</x:f>
        <x:v>0</x:v>
      </x:c>
      <x:c r="O413">
        <x:f ca="1">IFERROR(IF(0=LEN(ReferenceData!$O$413),"",ReferenceData!$O$413),"")</x:f>
        <x:v>3.315569</x:v>
      </x:c>
      <x:c r="P413">
        <x:f ca="1">IFERROR(IF(0=LEN(ReferenceData!$P$413),"",ReferenceData!$P$413),"")</x:f>
        <x:v>10.224368</x:v>
      </x:c>
      <x:c r="Q413">
        <x:f ca="1">IFERROR(IF(0=LEN(ReferenceData!$Q$413),"",ReferenceData!$Q$413),"")</x:f>
        <x:v>4.1297699999999997</x:v>
      </x:c>
      <x:c r="R413">
        <x:f ca="1">IFERROR(IF(0=LEN(ReferenceData!$R$413),"",ReferenceData!$R$413),"")</x:f>
        <x:v>11.468522999999999</x:v>
      </x:c>
      <x:c r="S413">
        <x:f ca="1">IFERROR(IF(0=LEN(ReferenceData!$S$413),"",ReferenceData!$S$413),"")</x:f>
        <x:v>0</x:v>
      </x:c>
    </x:row>
    <x:row r="414" spans="1:19" x14ac:dyDescent="0.25">
      <x:c r="A414" t="str">
        <x:f>IFERROR(IF(0=LEN(ReferenceData!$A$414),"",ReferenceData!$A$414),"")</x:f>
        <x:v xml:space="preserve">        ETFMG Prime 2x Daily Junior Si</x:v>
      </x:c>
      <x:c r="B414" t="str">
        <x:f>IFERROR(IF(0=LEN(ReferenceData!$B$414),"",ReferenceData!$B$414),"")</x:f>
        <x:v>SILX US Equity</x:v>
      </x:c>
      <x:c r="C414" t="str">
        <x:f>IFERROR(IF(0=LEN(ReferenceData!$C$414),"",ReferenceData!$C$414),"")</x:f>
        <x:v/>
      </x:c>
      <x:c r="D414" t="str">
        <x:f>IFERROR(IF(0=LEN(ReferenceData!$D$414),"",ReferenceData!$D$414),"")</x:f>
        <x:v/>
      </x:c>
      <x:c r="E414" t="str">
        <x:f>IFERROR(IF(0=LEN(ReferenceData!$E$414),"",ReferenceData!$E$414),"")</x:f>
        <x:v>Expression</x:v>
      </x:c>
      <x:c r="F414" t="str">
        <x:f ca="1">IFERROR(IF(0=LEN(ReferenceData!$F$414),"",ReferenceData!$F$414),"")</x:f>
        <x:v/>
      </x:c>
      <x:c r="G414" t="str">
        <x:f ca="1">IFERROR(IF(0=LEN(ReferenceData!$G$414),"",ReferenceData!$G$414),"")</x:f>
        <x:v/>
      </x:c>
      <x:c r="H414" t="str">
        <x:f ca="1">IFERROR(IF(0=LEN(ReferenceData!$H$414),"",ReferenceData!$H$414),"")</x:f>
        <x:v/>
      </x:c>
      <x:c r="I414" t="str">
        <x:f ca="1">IFERROR(IF(0=LEN(ReferenceData!$I$414),"",ReferenceData!$I$414),"")</x:f>
        <x:v/>
      </x:c>
      <x:c r="J414">
        <x:f ca="1">IFERROR(IF(0=LEN(ReferenceData!$J$414),"",ReferenceData!$J$414),"")</x:f>
        <x:v>-7.0351999999999998E-2</x:v>
      </x:c>
      <x:c r="K414">
        <x:f ca="1">IFERROR(IF(0=LEN(ReferenceData!$K$414),"",ReferenceData!$K$414),"")</x:f>
        <x:v>0.193494</x:v>
      </x:c>
      <x:c r="L414">
        <x:f ca="1">IFERROR(IF(0=LEN(ReferenceData!$L$414),"",ReferenceData!$L$414),"")</x:f>
        <x:v>1.3812869999999999</x:v>
      </x:c>
      <x:c r="M414">
        <x:f ca="1">IFERROR(IF(0=LEN(ReferenceData!$M$414),"",ReferenceData!$M$414),"")</x:f>
        <x:v>0.31268000000000001</x:v>
      </x:c>
      <x:c r="N414">
        <x:f ca="1">IFERROR(IF(0=LEN(ReferenceData!$N$414),"",ReferenceData!$N$414),"")</x:f>
        <x:v>0.75896300000000005</x:v>
      </x:c>
      <x:c r="O414">
        <x:f ca="1">IFERROR(IF(0=LEN(ReferenceData!$O$414),"",ReferenceData!$O$414),"")</x:f>
        <x:v>1.3088690000000001</x:v>
      </x:c>
      <x:c r="P414">
        <x:f ca="1">IFERROR(IF(0=LEN(ReferenceData!$P$414),"",ReferenceData!$P$414),"")</x:f>
        <x:v>0.17771999999999999</x:v>
      </x:c>
      <x:c r="Q414">
        <x:f ca="1">IFERROR(IF(0=LEN(ReferenceData!$Q$414),"",ReferenceData!$Q$414),"")</x:f>
        <x:v>0.57545199999999996</x:v>
      </x:c>
      <x:c r="R414">
        <x:f ca="1">IFERROR(IF(0=LEN(ReferenceData!$R$414),"",ReferenceData!$R$414),"")</x:f>
        <x:v>0.180782</x:v>
      </x:c>
      <x:c r="S414">
        <x:f ca="1">IFERROR(IF(0=LEN(ReferenceData!$S$414),"",ReferenceData!$S$414),"")</x:f>
        <x:v>0.19800999999999999</x:v>
      </x:c>
    </x:row>
    <x:row r="415" spans="1:19" x14ac:dyDescent="0.25">
      <x:c r="A415" t="str">
        <x:f>IFERROR(IF(0=LEN(ReferenceData!$A$415),"",ReferenceData!$A$415),"")</x:f>
        <x:v xml:space="preserve">        ETFMG Prime 2x Daily Inverse J</x:v>
      </x:c>
      <x:c r="B415" t="str">
        <x:f>IFERROR(IF(0=LEN(ReferenceData!$B$415),"",ReferenceData!$B$415),"")</x:f>
        <x:v>SINV US Equity</x:v>
      </x:c>
      <x:c r="C415" t="str">
        <x:f>IFERROR(IF(0=LEN(ReferenceData!$C$415),"",ReferenceData!$C$415),"")</x:f>
        <x:v/>
      </x:c>
      <x:c r="D415" t="str">
        <x:f>IFERROR(IF(0=LEN(ReferenceData!$D$415),"",ReferenceData!$D$415),"")</x:f>
        <x:v/>
      </x:c>
      <x:c r="E415" t="str">
        <x:f>IFERROR(IF(0=LEN(ReferenceData!$E$415),"",ReferenceData!$E$415),"")</x:f>
        <x:v>Expression</x:v>
      </x:c>
      <x:c r="F415" t="str">
        <x:f ca="1">IFERROR(IF(0=LEN(ReferenceData!$F$415),"",ReferenceData!$F$415),"")</x:f>
        <x:v/>
      </x:c>
      <x:c r="G415" t="str">
        <x:f ca="1">IFERROR(IF(0=LEN(ReferenceData!$G$415),"",ReferenceData!$G$415),"")</x:f>
        <x:v/>
      </x:c>
      <x:c r="H415" t="str">
        <x:f ca="1">IFERROR(IF(0=LEN(ReferenceData!$H$415),"",ReferenceData!$H$415),"")</x:f>
        <x:v/>
      </x:c>
      <x:c r="I415" t="str">
        <x:f ca="1">IFERROR(IF(0=LEN(ReferenceData!$I$415),"",ReferenceData!$I$415),"")</x:f>
        <x:v/>
      </x:c>
      <x:c r="J415" t="str">
        <x:f ca="1">IFERROR(IF(0=LEN(ReferenceData!$J$415),"",ReferenceData!$J$415),"")</x:f>
        <x:v/>
      </x:c>
      <x:c r="K415" t="str">
        <x:f ca="1">IFERROR(IF(0=LEN(ReferenceData!$K$415),"",ReferenceData!$K$415),"")</x:f>
        <x:v/>
      </x:c>
      <x:c r="L415" t="str">
        <x:f ca="1">IFERROR(IF(0=LEN(ReferenceData!$L$415),"",ReferenceData!$L$415),"")</x:f>
        <x:v/>
      </x:c>
      <x:c r="M415" t="str">
        <x:f ca="1">IFERROR(IF(0=LEN(ReferenceData!$M$415),"",ReferenceData!$M$415),"")</x:f>
        <x:v/>
      </x:c>
      <x:c r="N415" t="str">
        <x:f ca="1">IFERROR(IF(0=LEN(ReferenceData!$N$415),"",ReferenceData!$N$415),"")</x:f>
        <x:v/>
      </x:c>
      <x:c r="O415" t="str">
        <x:f ca="1">IFERROR(IF(0=LEN(ReferenceData!$O$415),"",ReferenceData!$O$415),"")</x:f>
        <x:v/>
      </x:c>
      <x:c r="P415" t="str">
        <x:f ca="1">IFERROR(IF(0=LEN(ReferenceData!$P$415),"",ReferenceData!$P$415),"")</x:f>
        <x:v/>
      </x:c>
      <x:c r="Q415" t="str">
        <x:f ca="1">IFERROR(IF(0=LEN(ReferenceData!$Q$415),"",ReferenceData!$Q$415),"")</x:f>
        <x:v/>
      </x:c>
      <x:c r="R415" t="str">
        <x:f ca="1">IFERROR(IF(0=LEN(ReferenceData!$R$415),"",ReferenceData!$R$415),"")</x:f>
        <x:v/>
      </x:c>
      <x:c r="S415" t="str">
        <x:f ca="1">IFERROR(IF(0=LEN(ReferenceData!$S$415),"",ReferenceData!$S$415),"")</x:f>
        <x:v/>
      </x:c>
    </x:row>
    <x:row r="416" spans="1:19" x14ac:dyDescent="0.25">
      <x:c r="A416" t="str">
        <x:f>IFERROR(IF(0=LEN(ReferenceData!$A$416),"",ReferenceData!$A$416),"")</x:f>
        <x:v xml:space="preserve">        Proshares Smart Materials ETF</x:v>
      </x:c>
      <x:c r="B416" t="str">
        <x:f>IFERROR(IF(0=LEN(ReferenceData!$B$416),"",ReferenceData!$B$416),"")</x:f>
        <x:v>TINT US Equity</x:v>
      </x:c>
      <x:c r="C416" t="str">
        <x:f>IFERROR(IF(0=LEN(ReferenceData!$C$416),"",ReferenceData!$C$416),"")</x:f>
        <x:v/>
      </x:c>
      <x:c r="D416" t="str">
        <x:f>IFERROR(IF(0=LEN(ReferenceData!$D$416),"",ReferenceData!$D$416),"")</x:f>
        <x:v/>
      </x:c>
      <x:c r="E416" t="str">
        <x:f>IFERROR(IF(0=LEN(ReferenceData!$E$416),"",ReferenceData!$E$416),"")</x:f>
        <x:v>Expression</x:v>
      </x:c>
      <x:c r="F416">
        <x:f ca="1">IFERROR(IF(0=LEN(ReferenceData!$F$416),"",ReferenceData!$F$416),"")</x:f>
        <x:v>0</x:v>
      </x:c>
      <x:c r="G416">
        <x:f ca="1">IFERROR(IF(0=LEN(ReferenceData!$G$416),"",ReferenceData!$G$416),"")</x:f>
        <x:v>0</x:v>
      </x:c>
      <x:c r="H416">
        <x:f ca="1">IFERROR(IF(0=LEN(ReferenceData!$H$416),"",ReferenceData!$H$416),"")</x:f>
        <x:v>0</x:v>
      </x:c>
      <x:c r="I416">
        <x:f ca="1">IFERROR(IF(0=LEN(ReferenceData!$I$416),"",ReferenceData!$I$416),"")</x:f>
        <x:v>0</x:v>
      </x:c>
      <x:c r="J416">
        <x:f ca="1">IFERROR(IF(0=LEN(ReferenceData!$J$416),"",ReferenceData!$J$416),"")</x:f>
        <x:v>0</x:v>
      </x:c>
      <x:c r="K416">
        <x:f ca="1">IFERROR(IF(0=LEN(ReferenceData!$K$416),"",ReferenceData!$K$416),"")</x:f>
        <x:v>0</x:v>
      </x:c>
      <x:c r="L416">
        <x:f ca="1">IFERROR(IF(0=LEN(ReferenceData!$L$416),"",ReferenceData!$L$416),"")</x:f>
        <x:v>0</x:v>
      </x:c>
      <x:c r="M416">
        <x:f ca="1">IFERROR(IF(0=LEN(ReferenceData!$M$416),"",ReferenceData!$M$416),"")</x:f>
        <x:v>0</x:v>
      </x:c>
      <x:c r="N416">
        <x:f ca="1">IFERROR(IF(0=LEN(ReferenceData!$N$416),"",ReferenceData!$N$416),"")</x:f>
        <x:v>0</x:v>
      </x:c>
      <x:c r="O416">
        <x:f ca="1">IFERROR(IF(0=LEN(ReferenceData!$O$416),"",ReferenceData!$O$416),"")</x:f>
        <x:v>0</x:v>
      </x:c>
      <x:c r="P416">
        <x:f ca="1">IFERROR(IF(0=LEN(ReferenceData!$P$416),"",ReferenceData!$P$416),"")</x:f>
        <x:v>0</x:v>
      </x:c>
      <x:c r="Q416">
        <x:f ca="1">IFERROR(IF(0=LEN(ReferenceData!$Q$416),"",ReferenceData!$Q$416),"")</x:f>
        <x:v>0</x:v>
      </x:c>
      <x:c r="R416">
        <x:f ca="1">IFERROR(IF(0=LEN(ReferenceData!$R$416),"",ReferenceData!$R$416),"")</x:f>
        <x:v>0</x:v>
      </x:c>
      <x:c r="S416">
        <x:f ca="1">IFERROR(IF(0=LEN(ReferenceData!$S$416),"",ReferenceData!$S$416),"")</x:f>
        <x:v>0</x:v>
      </x:c>
    </x:row>
    <x:row r="417" spans="1:19" x14ac:dyDescent="0.25">
      <x:c r="A417" t="str">
        <x:f>IFERROR(IF(0=LEN(ReferenceData!$A$417),"",ReferenceData!$A$417),"")</x:f>
        <x:v xml:space="preserve">        VanEck Green Metals ETF</x:v>
      </x:c>
      <x:c r="B417" t="str">
        <x:f>IFERROR(IF(0=LEN(ReferenceData!$B$417),"",ReferenceData!$B$417),"")</x:f>
        <x:v>GMET US Equity</x:v>
      </x:c>
      <x:c r="C417" t="str">
        <x:f>IFERROR(IF(0=LEN(ReferenceData!$C$417),"",ReferenceData!$C$417),"")</x:f>
        <x:v/>
      </x:c>
      <x:c r="D417" t="str">
        <x:f>IFERROR(IF(0=LEN(ReferenceData!$D$417),"",ReferenceData!$D$417),"")</x:f>
        <x:v/>
      </x:c>
      <x:c r="E417" t="str">
        <x:f>IFERROR(IF(0=LEN(ReferenceData!$E$417),"",ReferenceData!$E$417),"")</x:f>
        <x:v>Expression</x:v>
      </x:c>
      <x:c r="F417">
        <x:f ca="1">IFERROR(IF(0=LEN(ReferenceData!$F$417),"",ReferenceData!$F$417),"")</x:f>
        <x:v>0</x:v>
      </x:c>
      <x:c r="G417">
        <x:f ca="1">IFERROR(IF(0=LEN(ReferenceData!$G$417),"",ReferenceData!$G$417),"")</x:f>
        <x:v>2.4077289999999998</x:v>
      </x:c>
      <x:c r="H417">
        <x:f ca="1">IFERROR(IF(0=LEN(ReferenceData!$H$417),"",ReferenceData!$H$417),"")</x:f>
        <x:v>0</x:v>
      </x:c>
      <x:c r="I417">
        <x:f ca="1">IFERROR(IF(0=LEN(ReferenceData!$I$417),"",ReferenceData!$I$417),"")</x:f>
        <x:v>2.6043970000000001</x:v>
      </x:c>
      <x:c r="J417">
        <x:f ca="1">IFERROR(IF(0=LEN(ReferenceData!$J$417),"",ReferenceData!$J$417),"")</x:f>
        <x:v>0</x:v>
      </x:c>
      <x:c r="K417">
        <x:f ca="1">IFERROR(IF(0=LEN(ReferenceData!$K$417),"",ReferenceData!$K$417),"")</x:f>
        <x:v>0</x:v>
      </x:c>
      <x:c r="L417">
        <x:f ca="1">IFERROR(IF(0=LEN(ReferenceData!$L$417),"",ReferenceData!$L$417),"")</x:f>
        <x:v>0</x:v>
      </x:c>
      <x:c r="M417">
        <x:f ca="1">IFERROR(IF(0=LEN(ReferenceData!$M$417),"",ReferenceData!$M$417),"")</x:f>
        <x:v>0</x:v>
      </x:c>
      <x:c r="N417">
        <x:f ca="1">IFERROR(IF(0=LEN(ReferenceData!$N$417),"",ReferenceData!$N$417),"")</x:f>
        <x:v>0</x:v>
      </x:c>
      <x:c r="O417">
        <x:f ca="1">IFERROR(IF(0=LEN(ReferenceData!$O$417),"",ReferenceData!$O$417),"")</x:f>
        <x:v>3.2648779999999999</x:v>
      </x:c>
      <x:c r="P417">
        <x:f ca="1">IFERROR(IF(0=LEN(ReferenceData!$P$417),"",ReferenceData!$P$417),"")</x:f>
        <x:v>0</x:v>
      </x:c>
      <x:c r="Q417">
        <x:f ca="1">IFERROR(IF(0=LEN(ReferenceData!$Q$417),"",ReferenceData!$Q$417),"")</x:f>
        <x:v>0</x:v>
      </x:c>
      <x:c r="R417">
        <x:f ca="1">IFERROR(IF(0=LEN(ReferenceData!$R$417),"",ReferenceData!$R$417),"")</x:f>
        <x:v>0</x:v>
      </x:c>
      <x:c r="S417">
        <x:f ca="1">IFERROR(IF(0=LEN(ReferenceData!$S$417),"",ReferenceData!$S$417),"")</x:f>
        <x:v>1.33792</x:v>
      </x:c>
    </x:row>
    <x:row r="418" spans="1:19" x14ac:dyDescent="0.25">
      <x:c r="A418" t="str">
        <x:f>IFERROR(IF(0=LEN(ReferenceData!$A$418),"",ReferenceData!$A$418),"")</x:f>
        <x:v xml:space="preserve">        Global X Funds-Global X Disrup</x:v>
      </x:c>
      <x:c r="B418" t="str">
        <x:f>IFERROR(IF(0=LEN(ReferenceData!$B$418),"",ReferenceData!$B$418),"")</x:f>
        <x:v>DMAT US Equity</x:v>
      </x:c>
      <x:c r="C418" t="str">
        <x:f>IFERROR(IF(0=LEN(ReferenceData!$C$418),"",ReferenceData!$C$418),"")</x:f>
        <x:v/>
      </x:c>
      <x:c r="D418" t="str">
        <x:f>IFERROR(IF(0=LEN(ReferenceData!$D$418),"",ReferenceData!$D$418),"")</x:f>
        <x:v/>
      </x:c>
      <x:c r="E418" t="str">
        <x:f>IFERROR(IF(0=LEN(ReferenceData!$E$418),"",ReferenceData!$E$418),"")</x:f>
        <x:v>Expression</x:v>
      </x:c>
      <x:c r="F418">
        <x:f ca="1">IFERROR(IF(0=LEN(ReferenceData!$F$418),"",ReferenceData!$F$418),"")</x:f>
        <x:v>0</x:v>
      </x:c>
      <x:c r="G418">
        <x:f ca="1">IFERROR(IF(0=LEN(ReferenceData!$G$418),"",ReferenceData!$G$418),"")</x:f>
        <x:v>0</x:v>
      </x:c>
      <x:c r="H418">
        <x:f ca="1">IFERROR(IF(0=LEN(ReferenceData!$H$418),"",ReferenceData!$H$418),"")</x:f>
        <x:v>4.2300000000000004</x:v>
      </x:c>
      <x:c r="I418">
        <x:f ca="1">IFERROR(IF(0=LEN(ReferenceData!$I$418),"",ReferenceData!$I$418),"")</x:f>
        <x:v>0</x:v>
      </x:c>
      <x:c r="J418">
        <x:f ca="1">IFERROR(IF(0=LEN(ReferenceData!$J$418),"",ReferenceData!$J$418),"")</x:f>
        <x:v>0</x:v>
      </x:c>
      <x:c r="K418">
        <x:f ca="1">IFERROR(IF(0=LEN(ReferenceData!$K$418),"",ReferenceData!$K$418),"")</x:f>
        <x:v>0</x:v>
      </x:c>
      <x:c r="L418">
        <x:f ca="1">IFERROR(IF(0=LEN(ReferenceData!$L$418),"",ReferenceData!$L$418),"")</x:f>
        <x:v>0</x:v>
      </x:c>
      <x:c r="M418">
        <x:f ca="1">IFERROR(IF(0=LEN(ReferenceData!$M$418),"",ReferenceData!$M$418),"")</x:f>
        <x:v>0.37719999999999998</x:v>
      </x:c>
      <x:c r="N418">
        <x:f ca="1">IFERROR(IF(0=LEN(ReferenceData!$N$418),"",ReferenceData!$N$418),"")</x:f>
        <x:v>0.57150000000000001</x:v>
      </x:c>
      <x:c r="O418">
        <x:f ca="1">IFERROR(IF(0=LEN(ReferenceData!$O$418),"",ReferenceData!$O$418),"")</x:f>
        <x:v>-0.43180000000000002</x:v>
      </x:c>
      <x:c r="P418">
        <x:f ca="1">IFERROR(IF(0=LEN(ReferenceData!$P$418),"",ReferenceData!$P$418),"")</x:f>
        <x:v>0.9</x:v>
      </x:c>
      <x:c r="Q418">
        <x:f ca="1">IFERROR(IF(0=LEN(ReferenceData!$Q$418),"",ReferenceData!$Q$418),"")</x:f>
        <x:v>0.63239999999999996</x:v>
      </x:c>
      <x:c r="R418">
        <x:f ca="1">IFERROR(IF(0=LEN(ReferenceData!$R$418),"",ReferenceData!$R$418),"")</x:f>
        <x:v>0</x:v>
      </x:c>
      <x:c r="S418">
        <x:f ca="1">IFERROR(IF(0=LEN(ReferenceData!$S$418),"",ReferenceData!$S$418),"")</x:f>
        <x:v>0</x:v>
      </x:c>
    </x:row>
    <x:row r="419" spans="1:19" x14ac:dyDescent="0.25">
      <x:c r="A419" t="str">
        <x:f>IFERROR(IF(0=LEN(ReferenceData!$A$419),"",ReferenceData!$A$419),"")</x:f>
        <x:v xml:space="preserve">        Energy &amp; Minerals Group EV Sol</x:v>
      </x:c>
      <x:c r="B419" t="str">
        <x:f>IFERROR(IF(0=LEN(ReferenceData!$B$419),"",ReferenceData!$B$419),"")</x:f>
        <x:v>CHRG US Equity</x:v>
      </x:c>
      <x:c r="C419" t="str">
        <x:f>IFERROR(IF(0=LEN(ReferenceData!$C$419),"",ReferenceData!$C$419),"")</x:f>
        <x:v/>
      </x:c>
      <x:c r="D419" t="str">
        <x:f>IFERROR(IF(0=LEN(ReferenceData!$D$419),"",ReferenceData!$D$419),"")</x:f>
        <x:v/>
      </x:c>
      <x:c r="E419" t="str">
        <x:f>IFERROR(IF(0=LEN(ReferenceData!$E$419),"",ReferenceData!$E$419),"")</x:f>
        <x:v>Expression</x:v>
      </x:c>
      <x:c r="F419">
        <x:f ca="1">IFERROR(IF(0=LEN(ReferenceData!$F$419),"",ReferenceData!$F$419),"")</x:f>
        <x:v>0</x:v>
      </x:c>
      <x:c r="G419">
        <x:f ca="1">IFERROR(IF(0=LEN(ReferenceData!$G$419),"",ReferenceData!$G$419),"")</x:f>
        <x:v>0</x:v>
      </x:c>
      <x:c r="H419">
        <x:f ca="1">IFERROR(IF(0=LEN(ReferenceData!$H$419),"",ReferenceData!$H$419),"")</x:f>
        <x:v>0</x:v>
      </x:c>
      <x:c r="I419">
        <x:f ca="1">IFERROR(IF(0=LEN(ReferenceData!$I$419),"",ReferenceData!$I$419),"")</x:f>
        <x:v>0</x:v>
      </x:c>
      <x:c r="J419">
        <x:f ca="1">IFERROR(IF(0=LEN(ReferenceData!$J$419),"",ReferenceData!$J$419),"")</x:f>
        <x:v>0</x:v>
      </x:c>
      <x:c r="K419">
        <x:f ca="1">IFERROR(IF(0=LEN(ReferenceData!$K$419),"",ReferenceData!$K$419),"")</x:f>
        <x:v>0</x:v>
      </x:c>
      <x:c r="L419">
        <x:f ca="1">IFERROR(IF(0=LEN(ReferenceData!$L$419),"",ReferenceData!$L$419),"")</x:f>
        <x:v>0</x:v>
      </x:c>
      <x:c r="M419">
        <x:f ca="1">IFERROR(IF(0=LEN(ReferenceData!$M$419),"",ReferenceData!$M$419),"")</x:f>
        <x:v>0</x:v>
      </x:c>
      <x:c r="N419">
        <x:f ca="1">IFERROR(IF(0=LEN(ReferenceData!$N$419),"",ReferenceData!$N$419),"")</x:f>
        <x:v>0</x:v>
      </x:c>
      <x:c r="O419">
        <x:f ca="1">IFERROR(IF(0=LEN(ReferenceData!$O$419),"",ReferenceData!$O$419),"")</x:f>
        <x:v>0</x:v>
      </x:c>
      <x:c r="P419">
        <x:f ca="1">IFERROR(IF(0=LEN(ReferenceData!$P$419),"",ReferenceData!$P$419),"")</x:f>
        <x:v>-1.9102600000000001</x:v>
      </x:c>
      <x:c r="Q419" t="str">
        <x:f ca="1">IFERROR(IF(0=LEN(ReferenceData!$Q$419),"",ReferenceData!$Q$419),"")</x:f>
        <x:v/>
      </x:c>
      <x:c r="R419" t="str">
        <x:f ca="1">IFERROR(IF(0=LEN(ReferenceData!$R$419),"",ReferenceData!$R$419),"")</x:f>
        <x:v/>
      </x:c>
      <x:c r="S419" t="str">
        <x:f ca="1">IFERROR(IF(0=LEN(ReferenceData!$S$419),"",ReferenceData!$S$419),"")</x:f>
        <x:v/>
      </x:c>
    </x:row>
    <x:row r="420" spans="1:19" x14ac:dyDescent="0.25">
      <x:c r="A420" t="str">
        <x:f>IFERROR(IF(0=LEN(ReferenceData!$A$420),"",ReferenceData!$A$420),"")</x:f>
        <x:v xml:space="preserve">        Sprott Junior Copper Miners ET</x:v>
      </x:c>
      <x:c r="B420" t="str">
        <x:f>IFERROR(IF(0=LEN(ReferenceData!$B$420),"",ReferenceData!$B$420),"")</x:f>
        <x:v>COPJ US Equity</x:v>
      </x:c>
      <x:c r="C420" t="str">
        <x:f>IFERROR(IF(0=LEN(ReferenceData!$C$420),"",ReferenceData!$C$420),"")</x:f>
        <x:v/>
      </x:c>
      <x:c r="D420" t="str">
        <x:f>IFERROR(IF(0=LEN(ReferenceData!$D$420),"",ReferenceData!$D$420),"")</x:f>
        <x:v/>
      </x:c>
      <x:c r="E420" t="str">
        <x:f>IFERROR(IF(0=LEN(ReferenceData!$E$420),"",ReferenceData!$E$420),"")</x:f>
        <x:v>Expression</x:v>
      </x:c>
      <x:c r="F420">
        <x:f ca="1">IFERROR(IF(0=LEN(ReferenceData!$F$420),"",ReferenceData!$F$420),"")</x:f>
        <x:v>0.17004</x:v>
      </x:c>
      <x:c r="G420">
        <x:f ca="1">IFERROR(IF(0=LEN(ReferenceData!$G$420),"",ReferenceData!$G$420),"")</x:f>
        <x:v>0.16872100000000001</x:v>
      </x:c>
      <x:c r="H420">
        <x:f ca="1">IFERROR(IF(0=LEN(ReferenceData!$H$420),"",ReferenceData!$H$420),"")</x:f>
        <x:v>0.35298099999999999</x:v>
      </x:c>
      <x:c r="I420">
        <x:f ca="1">IFERROR(IF(0=LEN(ReferenceData!$I$420),"",ReferenceData!$I$420),"")</x:f>
        <x:v>0.80964199999999997</x:v>
      </x:c>
      <x:c r="J420">
        <x:f ca="1">IFERROR(IF(0=LEN(ReferenceData!$J$420),"",ReferenceData!$J$420),"")</x:f>
        <x:v>0</x:v>
      </x:c>
      <x:c r="K420">
        <x:f ca="1">IFERROR(IF(0=LEN(ReferenceData!$K$420),"",ReferenceData!$K$420),"")</x:f>
        <x:v>0.19240399999999999</x:v>
      </x:c>
      <x:c r="L420">
        <x:f ca="1">IFERROR(IF(0=LEN(ReferenceData!$L$420),"",ReferenceData!$L$420),"")</x:f>
        <x:v>0</x:v>
      </x:c>
      <x:c r="M420">
        <x:f ca="1">IFERROR(IF(0=LEN(ReferenceData!$M$420),"",ReferenceData!$M$420),"")</x:f>
        <x:v>0.59646999999999994</x:v>
      </x:c>
      <x:c r="N420">
        <x:f ca="1">IFERROR(IF(0=LEN(ReferenceData!$N$420),"",ReferenceData!$N$420),"")</x:f>
        <x:v>0</x:v>
      </x:c>
      <x:c r="O420">
        <x:f ca="1">IFERROR(IF(0=LEN(ReferenceData!$O$420),"",ReferenceData!$O$420),"")</x:f>
        <x:v>-2.0000000000000002E-5</x:v>
      </x:c>
      <x:c r="P420" t="str">
        <x:f ca="1">IFERROR(IF(0=LEN(ReferenceData!$P$420),"",ReferenceData!$P$420),"")</x:f>
        <x:v/>
      </x:c>
      <x:c r="Q420" t="str">
        <x:f ca="1">IFERROR(IF(0=LEN(ReferenceData!$Q$420),"",ReferenceData!$Q$420),"")</x:f>
        <x:v/>
      </x:c>
      <x:c r="R420" t="str">
        <x:f ca="1">IFERROR(IF(0=LEN(ReferenceData!$R$420),"",ReferenceData!$R$420),"")</x:f>
        <x:v/>
      </x:c>
      <x:c r="S420" t="str">
        <x:f ca="1">IFERROR(IF(0=LEN(ReferenceData!$S$420),"",ReferenceData!$S$420),"")</x:f>
        <x:v/>
      </x:c>
    </x:row>
    <x:row r="421" spans="1:19" x14ac:dyDescent="0.25">
      <x:c r="A421" t="str">
        <x:f>IFERROR(IF(0=LEN(ReferenceData!$A$421),"",ReferenceData!$A$421),"")</x:f>
        <x:v xml:space="preserve">        Optica Rare Earth &amp; Critical M</x:v>
      </x:c>
      <x:c r="B421" t="str">
        <x:f>IFERROR(IF(0=LEN(ReferenceData!$B$421),"",ReferenceData!$B$421),"")</x:f>
        <x:v>CRIT US Equity</x:v>
      </x:c>
      <x:c r="C421" t="str">
        <x:f>IFERROR(IF(0=LEN(ReferenceData!$C$421),"",ReferenceData!$C$421),"")</x:f>
        <x:v/>
      </x:c>
      <x:c r="D421" t="str">
        <x:f>IFERROR(IF(0=LEN(ReferenceData!$D$421),"",ReferenceData!$D$421),"")</x:f>
        <x:v/>
      </x:c>
      <x:c r="E421" t="str">
        <x:f>IFERROR(IF(0=LEN(ReferenceData!$E$421),"",ReferenceData!$E$421),"")</x:f>
        <x:v>Expression</x:v>
      </x:c>
      <x:c r="F421">
        <x:f ca="1">IFERROR(IF(0=LEN(ReferenceData!$F$421),"",ReferenceData!$F$421),"")</x:f>
        <x:v>0</x:v>
      </x:c>
      <x:c r="G421">
        <x:f ca="1">IFERROR(IF(0=LEN(ReferenceData!$G$421),"",ReferenceData!$G$421),"")</x:f>
        <x:v>0</x:v>
      </x:c>
      <x:c r="H421">
        <x:f ca="1">IFERROR(IF(0=LEN(ReferenceData!$H$421),"",ReferenceData!$H$421),"")</x:f>
        <x:v>0</x:v>
      </x:c>
      <x:c r="I421">
        <x:f ca="1">IFERROR(IF(0=LEN(ReferenceData!$I$421),"",ReferenceData!$I$421),"")</x:f>
        <x:v>0</x:v>
      </x:c>
      <x:c r="J421">
        <x:f ca="1">IFERROR(IF(0=LEN(ReferenceData!$J$421),"",ReferenceData!$J$421),"")</x:f>
        <x:v>0</x:v>
      </x:c>
      <x:c r="K421">
        <x:f ca="1">IFERROR(IF(0=LEN(ReferenceData!$K$421),"",ReferenceData!$K$421),"")</x:f>
        <x:v>0</x:v>
      </x:c>
      <x:c r="L421">
        <x:f ca="1">IFERROR(IF(0=LEN(ReferenceData!$L$421),"",ReferenceData!$L$421),"")</x:f>
        <x:v>0</x:v>
      </x:c>
      <x:c r="M421">
        <x:f ca="1">IFERROR(IF(0=LEN(ReferenceData!$M$421),"",ReferenceData!$M$421),"")</x:f>
        <x:v>0.3886</x:v>
      </x:c>
      <x:c r="N421">
        <x:f ca="1">IFERROR(IF(0=LEN(ReferenceData!$N$421),"",ReferenceData!$N$421),"")</x:f>
        <x:v>-0.2087</x:v>
      </x:c>
      <x:c r="O421">
        <x:f ca="1">IFERROR(IF(0=LEN(ReferenceData!$O$421),"",ReferenceData!$O$421),"")</x:f>
        <x:v>0.40920000000000001</x:v>
      </x:c>
      <x:c r="P421">
        <x:f ca="1">IFERROR(IF(0=LEN(ReferenceData!$P$421),"",ReferenceData!$P$421),"")</x:f>
        <x:v>-0.47799999999999998</x:v>
      </x:c>
      <x:c r="Q421">
        <x:f ca="1">IFERROR(IF(0=LEN(ReferenceData!$Q$421),"",ReferenceData!$Q$421),"")</x:f>
        <x:v>0</x:v>
      </x:c>
      <x:c r="R421">
        <x:f ca="1">IFERROR(IF(0=LEN(ReferenceData!$R$421),"",ReferenceData!$R$421),"")</x:f>
        <x:v>0</x:v>
      </x:c>
      <x:c r="S421">
        <x:f ca="1">IFERROR(IF(0=LEN(ReferenceData!$S$421),"",ReferenceData!$S$421),"")</x:f>
        <x:v>0</x:v>
      </x:c>
    </x:row>
    <x:row r="422" spans="1:19" x14ac:dyDescent="0.25">
      <x:c r="A422" t="str">
        <x:f>IFERROR(IF(0=LEN(ReferenceData!$A$422),"",ReferenceData!$A$422),"")</x:f>
        <x:v xml:space="preserve">        Proshares S&amp;P Global Core Batt</x:v>
      </x:c>
      <x:c r="B422" t="str">
        <x:f>IFERROR(IF(0=LEN(ReferenceData!$B$422),"",ReferenceData!$B$422),"")</x:f>
        <x:v>ION US Equity</x:v>
      </x:c>
      <x:c r="C422" t="str">
        <x:f>IFERROR(IF(0=LEN(ReferenceData!$C$422),"",ReferenceData!$C$422),"")</x:f>
        <x:v/>
      </x:c>
      <x:c r="D422" t="str">
        <x:f>IFERROR(IF(0=LEN(ReferenceData!$D$422),"",ReferenceData!$D$422),"")</x:f>
        <x:v/>
      </x:c>
      <x:c r="E422" t="str">
        <x:f>IFERROR(IF(0=LEN(ReferenceData!$E$422),"",ReferenceData!$E$422),"")</x:f>
        <x:v>Expression</x:v>
      </x:c>
      <x:c r="F422">
        <x:f ca="1">IFERROR(IF(0=LEN(ReferenceData!$F$422),"",ReferenceData!$F$422),"")</x:f>
        <x:v>0</x:v>
      </x:c>
      <x:c r="G422">
        <x:f ca="1">IFERROR(IF(0=LEN(ReferenceData!$G$422),"",ReferenceData!$G$422),"")</x:f>
        <x:v>0</x:v>
      </x:c>
      <x:c r="H422">
        <x:f ca="1">IFERROR(IF(0=LEN(ReferenceData!$H$422),"",ReferenceData!$H$422),"")</x:f>
        <x:v>0</x:v>
      </x:c>
      <x:c r="I422">
        <x:f ca="1">IFERROR(IF(0=LEN(ReferenceData!$I$422),"",ReferenceData!$I$422),"")</x:f>
        <x:v>0</x:v>
      </x:c>
      <x:c r="J422">
        <x:f ca="1">IFERROR(IF(0=LEN(ReferenceData!$J$422),"",ReferenceData!$J$422),"")</x:f>
        <x:v>0</x:v>
      </x:c>
      <x:c r="K422">
        <x:f ca="1">IFERROR(IF(0=LEN(ReferenceData!$K$422),"",ReferenceData!$K$422),"")</x:f>
        <x:v>0</x:v>
      </x:c>
      <x:c r="L422">
        <x:f ca="1">IFERROR(IF(0=LEN(ReferenceData!$L$422),"",ReferenceData!$L$422),"")</x:f>
        <x:v>0</x:v>
      </x:c>
      <x:c r="M422">
        <x:f ca="1">IFERROR(IF(0=LEN(ReferenceData!$M$422),"",ReferenceData!$M$422),"")</x:f>
        <x:v>0</x:v>
      </x:c>
      <x:c r="N422">
        <x:f ca="1">IFERROR(IF(0=LEN(ReferenceData!$N$422),"",ReferenceData!$N$422),"")</x:f>
        <x:v>-0.902335</x:v>
      </x:c>
      <x:c r="O422">
        <x:f ca="1">IFERROR(IF(0=LEN(ReferenceData!$O$422),"",ReferenceData!$O$422),"")</x:f>
        <x:v>0</x:v>
      </x:c>
      <x:c r="P422">
        <x:f ca="1">IFERROR(IF(0=LEN(ReferenceData!$P$422),"",ReferenceData!$P$422),"")</x:f>
        <x:v>0</x:v>
      </x:c>
      <x:c r="Q422">
        <x:f ca="1">IFERROR(IF(0=LEN(ReferenceData!$Q$422),"",ReferenceData!$Q$422),"")</x:f>
        <x:v>0</x:v>
      </x:c>
      <x:c r="R422" t="str">
        <x:f ca="1">IFERROR(IF(0=LEN(ReferenceData!$R$422),"",ReferenceData!$R$422),"")</x:f>
        <x:v/>
      </x:c>
      <x:c r="S422" t="str">
        <x:f ca="1">IFERROR(IF(0=LEN(ReferenceData!$S$422),"",ReferenceData!$S$422),"")</x:f>
        <x:v/>
      </x:c>
    </x:row>
    <x:row r="423" spans="1:19" x14ac:dyDescent="0.25">
      <x:c r="A423" t="str">
        <x:f>IFERROR(IF(0=LEN(ReferenceData!$A$423),"",ReferenceData!$A$423),"")</x:f>
        <x:v xml:space="preserve">        Sprott Lithium Miners ETF</x:v>
      </x:c>
      <x:c r="B423" t="str">
        <x:f>IFERROR(IF(0=LEN(ReferenceData!$B$423),"",ReferenceData!$B$423),"")</x:f>
        <x:v>LITP US Equity</x:v>
      </x:c>
      <x:c r="C423" t="str">
        <x:f>IFERROR(IF(0=LEN(ReferenceData!$C$423),"",ReferenceData!$C$423),"")</x:f>
        <x:v/>
      </x:c>
      <x:c r="D423" t="str">
        <x:f>IFERROR(IF(0=LEN(ReferenceData!$D$423),"",ReferenceData!$D$423),"")</x:f>
        <x:v/>
      </x:c>
      <x:c r="E423" t="str">
        <x:f>IFERROR(IF(0=LEN(ReferenceData!$E$423),"",ReferenceData!$E$423),"")</x:f>
        <x:v>Expression</x:v>
      </x:c>
      <x:c r="F423">
        <x:f ca="1">IFERROR(IF(0=LEN(ReferenceData!$F$423),"",ReferenceData!$F$423),"")</x:f>
        <x:v>0</x:v>
      </x:c>
      <x:c r="G423">
        <x:f ca="1">IFERROR(IF(0=LEN(ReferenceData!$G$423),"",ReferenceData!$G$423),"")</x:f>
        <x:v>0.40024999999999999</x:v>
      </x:c>
      <x:c r="H423">
        <x:f ca="1">IFERROR(IF(0=LEN(ReferenceData!$H$423),"",ReferenceData!$H$423),"")</x:f>
        <x:v>0.30627700000000002</x:v>
      </x:c>
      <x:c r="I423">
        <x:f ca="1">IFERROR(IF(0=LEN(ReferenceData!$I$423),"",ReferenceData!$I$423),"")</x:f>
        <x:v>0.63241000000000003</x:v>
      </x:c>
      <x:c r="J423">
        <x:f ca="1">IFERROR(IF(0=LEN(ReferenceData!$J$423),"",ReferenceData!$J$423),"")</x:f>
        <x:v>1.171603</x:v>
      </x:c>
      <x:c r="K423">
        <x:f ca="1">IFERROR(IF(0=LEN(ReferenceData!$K$423),"",ReferenceData!$K$423),"")</x:f>
        <x:v>-0.21252599999999999</x:v>
      </x:c>
      <x:c r="L423">
        <x:f ca="1">IFERROR(IF(0=LEN(ReferenceData!$L$423),"",ReferenceData!$L$423),"")</x:f>
        <x:v>-2.0434060000000001</x:v>
      </x:c>
      <x:c r="M423">
        <x:f ca="1">IFERROR(IF(0=LEN(ReferenceData!$M$423),"",ReferenceData!$M$423),"")</x:f>
        <x:v>0</x:v>
      </x:c>
      <x:c r="N423">
        <x:f ca="1">IFERROR(IF(0=LEN(ReferenceData!$N$423),"",ReferenceData!$N$423),"")</x:f>
        <x:v>2.306076</x:v>
      </x:c>
      <x:c r="O423">
        <x:f ca="1">IFERROR(IF(0=LEN(ReferenceData!$O$423),"",ReferenceData!$O$423),"")</x:f>
        <x:v>0.95410200000000001</x:v>
      </x:c>
      <x:c r="P423" t="str">
        <x:f ca="1">IFERROR(IF(0=LEN(ReferenceData!$P$423),"",ReferenceData!$P$423),"")</x:f>
        <x:v/>
      </x:c>
      <x:c r="Q423" t="str">
        <x:f ca="1">IFERROR(IF(0=LEN(ReferenceData!$Q$423),"",ReferenceData!$Q$423),"")</x:f>
        <x:v/>
      </x:c>
      <x:c r="R423" t="str">
        <x:f ca="1">IFERROR(IF(0=LEN(ReferenceData!$R$423),"",ReferenceData!$R$423),"")</x:f>
        <x:v/>
      </x:c>
      <x:c r="S423" t="str">
        <x:f ca="1">IFERROR(IF(0=LEN(ReferenceData!$S$423),"",ReferenceData!$S$423),"")</x:f>
        <x:v/>
      </x:c>
    </x:row>
    <x:row r="424" spans="1:19" x14ac:dyDescent="0.25">
      <x:c r="A424" t="str">
        <x:f>IFERROR(IF(0=LEN(ReferenceData!$A$424),"",ReferenceData!$A$424),"")</x:f>
        <x:v xml:space="preserve">        Amplify Natural Resources Divi</x:v>
      </x:c>
      <x:c r="B424" t="str">
        <x:f>IFERROR(IF(0=LEN(ReferenceData!$B$424),"",ReferenceData!$B$424),"")</x:f>
        <x:v>NDIV US Equity</x:v>
      </x:c>
      <x:c r="C424" t="str">
        <x:f>IFERROR(IF(0=LEN(ReferenceData!$C$424),"",ReferenceData!$C$424),"")</x:f>
        <x:v/>
      </x:c>
      <x:c r="D424" t="str">
        <x:f>IFERROR(IF(0=LEN(ReferenceData!$D$424),"",ReferenceData!$D$424),"")</x:f>
        <x:v/>
      </x:c>
      <x:c r="E424" t="str">
        <x:f>IFERROR(IF(0=LEN(ReferenceData!$E$424),"",ReferenceData!$E$424),"")</x:f>
        <x:v>Expression</x:v>
      </x:c>
      <x:c r="F424">
        <x:f ca="1">IFERROR(IF(0=LEN(ReferenceData!$F$424),"",ReferenceData!$F$424),"")</x:f>
        <x:v>0</x:v>
      </x:c>
      <x:c r="G424">
        <x:f ca="1">IFERROR(IF(0=LEN(ReferenceData!$G$424),"",ReferenceData!$G$424),"")</x:f>
        <x:v>0.64176999999999995</x:v>
      </x:c>
      <x:c r="H424">
        <x:f ca="1">IFERROR(IF(0=LEN(ReferenceData!$H$424),"",ReferenceData!$H$424),"")</x:f>
        <x:v>0.67190499999999997</x:v>
      </x:c>
      <x:c r="I424">
        <x:f ca="1">IFERROR(IF(0=LEN(ReferenceData!$I$424),"",ReferenceData!$I$424),"")</x:f>
        <x:v>0.66242199999999996</x:v>
      </x:c>
      <x:c r="J424">
        <x:f ca="1">IFERROR(IF(0=LEN(ReferenceData!$J$424),"",ReferenceData!$J$424),"")</x:f>
        <x:v>0</x:v>
      </x:c>
      <x:c r="K424">
        <x:f ca="1">IFERROR(IF(0=LEN(ReferenceData!$K$424),"",ReferenceData!$K$424),"")</x:f>
        <x:v>0.62924999999999998</x:v>
      </x:c>
      <x:c r="L424">
        <x:f ca="1">IFERROR(IF(0=LEN(ReferenceData!$L$424),"",ReferenceData!$L$424),"")</x:f>
        <x:v>2.748E-3</x:v>
      </x:c>
      <x:c r="M424">
        <x:f ca="1">IFERROR(IF(0=LEN(ReferenceData!$M$424),"",ReferenceData!$M$424),"")</x:f>
        <x:v>0.63835200000000003</x:v>
      </x:c>
      <x:c r="N424">
        <x:f ca="1">IFERROR(IF(0=LEN(ReferenceData!$N$424),"",ReferenceData!$N$424),"")</x:f>
        <x:v>0</x:v>
      </x:c>
      <x:c r="O424">
        <x:f ca="1">IFERROR(IF(0=LEN(ReferenceData!$O$424),"",ReferenceData!$O$424),"")</x:f>
        <x:v>2.7160899999999999</x:v>
      </x:c>
      <x:c r="P424">
        <x:f ca="1">IFERROR(IF(0=LEN(ReferenceData!$P$424),"",ReferenceData!$P$424),"")</x:f>
        <x:v>0</x:v>
      </x:c>
      <x:c r="Q424">
        <x:f ca="1">IFERROR(IF(0=LEN(ReferenceData!$Q$424),"",ReferenceData!$Q$424),"")</x:f>
        <x:v>1.280265</x:v>
      </x:c>
      <x:c r="R424">
        <x:f ca="1">IFERROR(IF(0=LEN(ReferenceData!$R$424),"",ReferenceData!$R$424),"")</x:f>
        <x:v>0</x:v>
      </x:c>
      <x:c r="S424">
        <x:f ca="1">IFERROR(IF(0=LEN(ReferenceData!$S$424),"",ReferenceData!$S$424),"")</x:f>
        <x:v>0.59943000000000002</x:v>
      </x:c>
    </x:row>
    <x:row r="425" spans="1:19" x14ac:dyDescent="0.25">
      <x:c r="A425" t="str">
        <x:f>IFERROR(IF(0=LEN(ReferenceData!$A$425),"",ReferenceData!$A$425),"")</x:f>
        <x:v xml:space="preserve">        Sprott Nickel Miners ETF</x:v>
      </x:c>
      <x:c r="B425" t="str">
        <x:f>IFERROR(IF(0=LEN(ReferenceData!$B$425),"",ReferenceData!$B$425),"")</x:f>
        <x:v>NIKL US Equity</x:v>
      </x:c>
      <x:c r="C425" t="str">
        <x:f>IFERROR(IF(0=LEN(ReferenceData!$C$425),"",ReferenceData!$C$425),"")</x:f>
        <x:v/>
      </x:c>
      <x:c r="D425" t="str">
        <x:f>IFERROR(IF(0=LEN(ReferenceData!$D$425),"",ReferenceData!$D$425),"")</x:f>
        <x:v/>
      </x:c>
      <x:c r="E425" t="str">
        <x:f>IFERROR(IF(0=LEN(ReferenceData!$E$425),"",ReferenceData!$E$425),"")</x:f>
        <x:v>Expression</x:v>
      </x:c>
      <x:c r="F425">
        <x:f ca="1">IFERROR(IF(0=LEN(ReferenceData!$F$425),"",ReferenceData!$F$425),"")</x:f>
        <x:v>0</x:v>
      </x:c>
      <x:c r="G425">
        <x:f ca="1">IFERROR(IF(0=LEN(ReferenceData!$G$425),"",ReferenceData!$G$425),"")</x:f>
        <x:v>0</x:v>
      </x:c>
      <x:c r="H425">
        <x:f ca="1">IFERROR(IF(0=LEN(ReferenceData!$H$425),"",ReferenceData!$H$425),"")</x:f>
        <x:v>0</x:v>
      </x:c>
      <x:c r="I425">
        <x:f ca="1">IFERROR(IF(0=LEN(ReferenceData!$I$425),"",ReferenceData!$I$425),"")</x:f>
        <x:v>0</x:v>
      </x:c>
      <x:c r="J425">
        <x:f ca="1">IFERROR(IF(0=LEN(ReferenceData!$J$425),"",ReferenceData!$J$425),"")</x:f>
        <x:v>0</x:v>
      </x:c>
      <x:c r="K425">
        <x:f ca="1">IFERROR(IF(0=LEN(ReferenceData!$K$425),"",ReferenceData!$K$425),"")</x:f>
        <x:v>0</x:v>
      </x:c>
      <x:c r="L425">
        <x:f ca="1">IFERROR(IF(0=LEN(ReferenceData!$L$425),"",ReferenceData!$L$425),"")</x:f>
        <x:v>0.198629</x:v>
      </x:c>
      <x:c r="M425">
        <x:f ca="1">IFERROR(IF(0=LEN(ReferenceData!$M$425),"",ReferenceData!$M$425),"")</x:f>
        <x:v>0</x:v>
      </x:c>
      <x:c r="N425">
        <x:f ca="1">IFERROR(IF(0=LEN(ReferenceData!$N$425),"",ReferenceData!$N$425),"")</x:f>
        <x:v>0</x:v>
      </x:c>
      <x:c r="O425" t="str">
        <x:f ca="1">IFERROR(IF(0=LEN(ReferenceData!$O$425),"",ReferenceData!$O$425),"")</x:f>
        <x:v/>
      </x:c>
      <x:c r="P425" t="str">
        <x:f ca="1">IFERROR(IF(0=LEN(ReferenceData!$P$425),"",ReferenceData!$P$425),"")</x:f>
        <x:v/>
      </x:c>
      <x:c r="Q425" t="str">
        <x:f ca="1">IFERROR(IF(0=LEN(ReferenceData!$Q$425),"",ReferenceData!$Q$425),"")</x:f>
        <x:v/>
      </x:c>
      <x:c r="R425" t="str">
        <x:f ca="1">IFERROR(IF(0=LEN(ReferenceData!$R$425),"",ReferenceData!$R$425),"")</x:f>
        <x:v/>
      </x:c>
      <x:c r="S425" t="str">
        <x:f ca="1">IFERROR(IF(0=LEN(ReferenceData!$S$425),"",ReferenceData!$S$425),"")</x:f>
        <x:v/>
      </x:c>
    </x:row>
    <x:row r="426" spans="1:19" x14ac:dyDescent="0.25">
      <x:c r="A426" t="str">
        <x:f>IFERROR(IF(0=LEN(ReferenceData!$A$426),"",ReferenceData!$A$426),"")</x:f>
        <x:v xml:space="preserve">        Sprott Energy Transition Mater</x:v>
      </x:c>
      <x:c r="B426" t="str">
        <x:f>IFERROR(IF(0=LEN(ReferenceData!$B$426),"",ReferenceData!$B$426),"")</x:f>
        <x:v>SETM US Equity</x:v>
      </x:c>
      <x:c r="C426" t="str">
        <x:f>IFERROR(IF(0=LEN(ReferenceData!$C$426),"",ReferenceData!$C$426),"")</x:f>
        <x:v/>
      </x:c>
      <x:c r="D426" t="str">
        <x:f>IFERROR(IF(0=LEN(ReferenceData!$D$426),"",ReferenceData!$D$426),"")</x:f>
        <x:v/>
      </x:c>
      <x:c r="E426" t="str">
        <x:f>IFERROR(IF(0=LEN(ReferenceData!$E$426),"",ReferenceData!$E$426),"")</x:f>
        <x:v>Expression</x:v>
      </x:c>
      <x:c r="F426">
        <x:f ca="1">IFERROR(IF(0=LEN(ReferenceData!$F$426),"",ReferenceData!$F$426),"")</x:f>
        <x:v>1.333515</x:v>
      </x:c>
      <x:c r="G426">
        <x:f ca="1">IFERROR(IF(0=LEN(ReferenceData!$G$426),"",ReferenceData!$G$426),"")</x:f>
        <x:v>0</x:v>
      </x:c>
      <x:c r="H426">
        <x:f ca="1">IFERROR(IF(0=LEN(ReferenceData!$H$426),"",ReferenceData!$H$426),"")</x:f>
        <x:v>1.272537</x:v>
      </x:c>
      <x:c r="I426">
        <x:f ca="1">IFERROR(IF(0=LEN(ReferenceData!$I$426),"",ReferenceData!$I$426),"")</x:f>
        <x:v>1.9459090000000001</x:v>
      </x:c>
      <x:c r="J426">
        <x:f ca="1">IFERROR(IF(0=LEN(ReferenceData!$J$426),"",ReferenceData!$J$426),"")</x:f>
        <x:v>0.87820799999999999</x:v>
      </x:c>
      <x:c r="K426">
        <x:f ca="1">IFERROR(IF(0=LEN(ReferenceData!$K$426),"",ReferenceData!$K$426),"")</x:f>
        <x:v>1.801804</x:v>
      </x:c>
      <x:c r="L426">
        <x:f ca="1">IFERROR(IF(0=LEN(ReferenceData!$L$426),"",ReferenceData!$L$426),"")</x:f>
        <x:v>-1.3373440000000001</x:v>
      </x:c>
      <x:c r="M426">
        <x:f ca="1">IFERROR(IF(0=LEN(ReferenceData!$M$426),"",ReferenceData!$M$426),"")</x:f>
        <x:v>0</x:v>
      </x:c>
      <x:c r="N426">
        <x:f ca="1">IFERROR(IF(0=LEN(ReferenceData!$N$426),"",ReferenceData!$N$426),"")</x:f>
        <x:v>3.1959749999999998</x:v>
      </x:c>
      <x:c r="O426">
        <x:f ca="1">IFERROR(IF(0=LEN(ReferenceData!$O$426),"",ReferenceData!$O$426),"")</x:f>
        <x:v>2.1341139999999998</x:v>
      </x:c>
      <x:c r="P426" t="str">
        <x:f ca="1">IFERROR(IF(0=LEN(ReferenceData!$P$426),"",ReferenceData!$P$426),"")</x:f>
        <x:v/>
      </x:c>
      <x:c r="Q426" t="str">
        <x:f ca="1">IFERROR(IF(0=LEN(ReferenceData!$Q$426),"",ReferenceData!$Q$426),"")</x:f>
        <x:v/>
      </x:c>
      <x:c r="R426" t="str">
        <x:f ca="1">IFERROR(IF(0=LEN(ReferenceData!$R$426),"",ReferenceData!$R$426),"")</x:f>
        <x:v/>
      </x:c>
      <x:c r="S426" t="str">
        <x:f ca="1">IFERROR(IF(0=LEN(ReferenceData!$S$426),"",ReferenceData!$S$426),"")</x:f>
        <x:v/>
      </x:c>
    </x:row>
    <x:row r="427" spans="1:19" x14ac:dyDescent="0.25">
      <x:c r="A427" t="str">
        <x:f>IFERROR(IF(0=LEN(ReferenceData!$A$427),"",ReferenceData!$A$427),"")</x:f>
        <x:v xml:space="preserve">        Sprott Junior Uranium Miners E</x:v>
      </x:c>
      <x:c r="B427" t="str">
        <x:f>IFERROR(IF(0=LEN(ReferenceData!$B$427),"",ReferenceData!$B$427),"")</x:f>
        <x:v>URNJ US Equity</x:v>
      </x:c>
      <x:c r="C427" t="str">
        <x:f>IFERROR(IF(0=LEN(ReferenceData!$C$427),"",ReferenceData!$C$427),"")</x:f>
        <x:v/>
      </x:c>
      <x:c r="D427" t="str">
        <x:f>IFERROR(IF(0=LEN(ReferenceData!$D$427),"",ReferenceData!$D$427),"")</x:f>
        <x:v/>
      </x:c>
      <x:c r="E427" t="str">
        <x:f>IFERROR(IF(0=LEN(ReferenceData!$E$427),"",ReferenceData!$E$427),"")</x:f>
        <x:v>Expression</x:v>
      </x:c>
      <x:c r="F427">
        <x:f ca="1">IFERROR(IF(0=LEN(ReferenceData!$F$427),"",ReferenceData!$F$427),"")</x:f>
        <x:v>4.6951359999999998</x:v>
      </x:c>
      <x:c r="G427">
        <x:f ca="1">IFERROR(IF(0=LEN(ReferenceData!$G$427),"",ReferenceData!$G$427),"")</x:f>
        <x:v>13.456592000000001</x:v>
      </x:c>
      <x:c r="H427">
        <x:f ca="1">IFERROR(IF(0=LEN(ReferenceData!$H$427),"",ReferenceData!$H$427),"")</x:f>
        <x:v>86.266773000000001</x:v>
      </x:c>
      <x:c r="I427">
        <x:f ca="1">IFERROR(IF(0=LEN(ReferenceData!$I$427),"",ReferenceData!$I$427),"")</x:f>
        <x:v>13.754047999999999</x:v>
      </x:c>
      <x:c r="J427">
        <x:f ca="1">IFERROR(IF(0=LEN(ReferenceData!$J$427),"",ReferenceData!$J$427),"")</x:f>
        <x:v>0</x:v>
      </x:c>
      <x:c r="K427">
        <x:f ca="1">IFERROR(IF(0=LEN(ReferenceData!$K$427),"",ReferenceData!$K$427),"")</x:f>
        <x:v>8.6509520000000002</x:v>
      </x:c>
      <x:c r="L427">
        <x:f ca="1">IFERROR(IF(0=LEN(ReferenceData!$L$427),"",ReferenceData!$L$427),"")</x:f>
        <x:v>6.3803330000000003</x:v>
      </x:c>
      <x:c r="M427">
        <x:f ca="1">IFERROR(IF(0=LEN(ReferenceData!$M$427),"",ReferenceData!$M$427),"")</x:f>
        <x:v>0.30149199999999998</x:v>
      </x:c>
      <x:c r="N427">
        <x:f ca="1">IFERROR(IF(0=LEN(ReferenceData!$N$427),"",ReferenceData!$N$427),"")</x:f>
        <x:v>4.8076819999999998</x:v>
      </x:c>
      <x:c r="O427">
        <x:f ca="1">IFERROR(IF(0=LEN(ReferenceData!$O$427),"",ReferenceData!$O$427),"")</x:f>
        <x:v>12.875555</x:v>
      </x:c>
      <x:c r="P427" t="str">
        <x:f ca="1">IFERROR(IF(0=LEN(ReferenceData!$P$427),"",ReferenceData!$P$427),"")</x:f>
        <x:v/>
      </x:c>
      <x:c r="Q427" t="str">
        <x:f ca="1">IFERROR(IF(0=LEN(ReferenceData!$Q$427),"",ReferenceData!$Q$427),"")</x:f>
        <x:v/>
      </x:c>
      <x:c r="R427" t="str">
        <x:f ca="1">IFERROR(IF(0=LEN(ReferenceData!$R$427),"",ReferenceData!$R$427),"")</x:f>
        <x:v/>
      </x:c>
      <x:c r="S427" t="str">
        <x:f ca="1">IFERROR(IF(0=LEN(ReferenceData!$S$427),"",ReferenceData!$S$427),"")</x:f>
        <x:v/>
      </x:c>
    </x:row>
    <x:row r="428" spans="1:19" x14ac:dyDescent="0.25">
      <x:c r="A428" t="str">
        <x:f>IFERROR(IF(0=LEN(ReferenceData!$A$428),"",ReferenceData!$A$428),"")</x:f>
        <x:v xml:space="preserve">    Real Estate</x:v>
      </x:c>
      <x:c r="B428" t="str">
        <x:f>IFERROR(IF(0=LEN(ReferenceData!$B$428),"",ReferenceData!$B$428),"")</x:f>
        <x:v/>
      </x:c>
      <x:c r="C428" t="str">
        <x:f>IFERROR(IF(0=LEN(ReferenceData!$C$428),"",ReferenceData!$C$428),"")</x:f>
        <x:v/>
      </x:c>
      <x:c r="D428" t="str">
        <x:f>IFERROR(IF(0=LEN(ReferenceData!$D$428),"",ReferenceData!$D$428),"")</x:f>
        <x:v/>
      </x:c>
      <x:c r="E428" t="str">
        <x:f>IFERROR(IF(0=LEN(ReferenceData!$E$428),"",ReferenceData!$E$428),"")</x:f>
        <x:v>Sum</x:v>
      </x:c>
      <x:c r="F428">
        <x:f ca="1">IFERROR(IF(0=LEN(ReferenceData!$F$428),"",ReferenceData!$F$428),"")</x:f>
        <x:v>115.54005199999996</x:v>
      </x:c>
      <x:c r="G428">
        <x:f ca="1">IFERROR(IF(0=LEN(ReferenceData!$G$428),"",ReferenceData!$G$428),"")</x:f>
        <x:v>100.50697799999995</x:v>
      </x:c>
      <x:c r="H428">
        <x:f ca="1">IFERROR(IF(0=LEN(ReferenceData!$H$428),"",ReferenceData!$H$428),"")</x:f>
        <x:v>-127.94413999999998</x:v>
      </x:c>
      <x:c r="I428">
        <x:f ca="1">IFERROR(IF(0=LEN(ReferenceData!$I$428),"",ReferenceData!$I$428),"")</x:f>
        <x:v>-278.13324600000004</x:v>
      </x:c>
      <x:c r="J428">
        <x:f ca="1">IFERROR(IF(0=LEN(ReferenceData!$J$428),"",ReferenceData!$J$428),"")</x:f>
        <x:v>861.98260699999992</x:v>
      </x:c>
      <x:c r="K428">
        <x:f ca="1">IFERROR(IF(0=LEN(ReferenceData!$K$428),"",ReferenceData!$K$428),"")</x:f>
        <x:v>237.423878</x:v>
      </x:c>
      <x:c r="L428">
        <x:f ca="1">IFERROR(IF(0=LEN(ReferenceData!$L$428),"",ReferenceData!$L$428),"")</x:f>
        <x:v>-572.65690900000004</x:v>
      </x:c>
      <x:c r="M428">
        <x:f ca="1">IFERROR(IF(0=LEN(ReferenceData!$M$428),"",ReferenceData!$M$428),"")</x:f>
        <x:v>-919.45608399999992</x:v>
      </x:c>
      <x:c r="N428">
        <x:f ca="1">IFERROR(IF(0=LEN(ReferenceData!$N$428),"",ReferenceData!$N$428),"")</x:f>
        <x:v>-983.9827370000005</x:v>
      </x:c>
      <x:c r="O428">
        <x:f ca="1">IFERROR(IF(0=LEN(ReferenceData!$O$428),"",ReferenceData!$O$428),"")</x:f>
        <x:v>-962.7949209999997</x:v>
      </x:c>
      <x:c r="P428">
        <x:f ca="1">IFERROR(IF(0=LEN(ReferenceData!$P$428),"",ReferenceData!$P$428),"")</x:f>
        <x:v>-433.952741</x:v>
      </x:c>
      <x:c r="Q428">
        <x:f ca="1">IFERROR(IF(0=LEN(ReferenceData!$Q$428),"",ReferenceData!$Q$428),"")</x:f>
        <x:v>618.36642500000016</x:v>
      </x:c>
      <x:c r="R428">
        <x:f ca="1">IFERROR(IF(0=LEN(ReferenceData!$R$428),"",ReferenceData!$R$428),"")</x:f>
        <x:v>133.12127900000004</x:v>
      </x:c>
      <x:c r="S428">
        <x:f ca="1">IFERROR(IF(0=LEN(ReferenceData!$S$428),"",ReferenceData!$S$428),"")</x:f>
        <x:v>-377.19703200000015</x:v>
      </x:c>
    </x:row>
    <x:row r="429" spans="1:19" x14ac:dyDescent="0.25">
      <x:c r="A429" t="str">
        <x:f>IFERROR(IF(0=LEN(ReferenceData!$A$429),"",ReferenceData!$A$429),"")</x:f>
        <x:v xml:space="preserve">        Vanguard Real Estate ETF</x:v>
      </x:c>
      <x:c r="B429" t="str">
        <x:f>IFERROR(IF(0=LEN(ReferenceData!$B$429),"",ReferenceData!$B$429),"")</x:f>
        <x:v>VNQ US Equity</x:v>
      </x:c>
      <x:c r="C429" t="str">
        <x:f>IFERROR(IF(0=LEN(ReferenceData!$C$429),"",ReferenceData!$C$429),"")</x:f>
        <x:v/>
      </x:c>
      <x:c r="D429" t="str">
        <x:f>IFERROR(IF(0=LEN(ReferenceData!$D$429),"",ReferenceData!$D$429),"")</x:f>
        <x:v/>
      </x:c>
      <x:c r="E429" t="str">
        <x:f>IFERROR(IF(0=LEN(ReferenceData!$E$429),"",ReferenceData!$E$429),"")</x:f>
        <x:v>Expression</x:v>
      </x:c>
      <x:c r="F429">
        <x:f ca="1">IFERROR(IF(0=LEN(ReferenceData!$F$429),"",ReferenceData!$F$429),"")</x:f>
        <x:v>-205.13541699999999</x:v>
      </x:c>
      <x:c r="G429">
        <x:f ca="1">IFERROR(IF(0=LEN(ReferenceData!$G$429),"",ReferenceData!$G$429),"")</x:f>
        <x:v>-350.12151899999998</x:v>
      </x:c>
      <x:c r="H429">
        <x:f ca="1">IFERROR(IF(0=LEN(ReferenceData!$H$429),"",ReferenceData!$H$429),"")</x:f>
        <x:v>-164.588584</x:v>
      </x:c>
      <x:c r="I429">
        <x:f ca="1">IFERROR(IF(0=LEN(ReferenceData!$I$429),"",ReferenceData!$I$429),"")</x:f>
        <x:v>-209.63917900000001</x:v>
      </x:c>
      <x:c r="J429">
        <x:f ca="1">IFERROR(IF(0=LEN(ReferenceData!$J$429),"",ReferenceData!$J$429),"")</x:f>
        <x:v>804.19608200000005</x:v>
      </x:c>
      <x:c r="K429">
        <x:f ca="1">IFERROR(IF(0=LEN(ReferenceData!$K$429),"",ReferenceData!$K$429),"")</x:f>
        <x:v>-7.936763</x:v>
      </x:c>
      <x:c r="L429">
        <x:f ca="1">IFERROR(IF(0=LEN(ReferenceData!$L$429),"",ReferenceData!$L$429),"")</x:f>
        <x:v>-577.31890999999996</x:v>
      </x:c>
      <x:c r="M429">
        <x:f ca="1">IFERROR(IF(0=LEN(ReferenceData!$M$429),"",ReferenceData!$M$429),"")</x:f>
        <x:v>-150.57380900000001</x:v>
      </x:c>
      <x:c r="N429">
        <x:f ca="1">IFERROR(IF(0=LEN(ReferenceData!$N$429),"",ReferenceData!$N$429),"")</x:f>
        <x:v>-554.43321700000001</x:v>
      </x:c>
      <x:c r="O429">
        <x:f ca="1">IFERROR(IF(0=LEN(ReferenceData!$O$429),"",ReferenceData!$O$429),"")</x:f>
        <x:v>-244.63625099999999</x:v>
      </x:c>
      <x:c r="P429">
        <x:f ca="1">IFERROR(IF(0=LEN(ReferenceData!$P$429),"",ReferenceData!$P$429),"")</x:f>
        <x:v>14.857986</x:v>
      </x:c>
      <x:c r="Q429">
        <x:f ca="1">IFERROR(IF(0=LEN(ReferenceData!$Q$429),"",ReferenceData!$Q$429),"")</x:f>
        <x:v>-431.38185299999998</x:v>
      </x:c>
      <x:c r="R429">
        <x:f ca="1">IFERROR(IF(0=LEN(ReferenceData!$R$429),"",ReferenceData!$R$429),"")</x:f>
        <x:v>275.97811000000002</x:v>
      </x:c>
      <x:c r="S429">
        <x:f ca="1">IFERROR(IF(0=LEN(ReferenceData!$S$429),"",ReferenceData!$S$429),"")</x:f>
        <x:v>-397.59391900000003</x:v>
      </x:c>
    </x:row>
    <x:row r="430" spans="1:19" x14ac:dyDescent="0.25">
      <x:c r="A430" t="str">
        <x:f>IFERROR(IF(0=LEN(ReferenceData!$A$430),"",ReferenceData!$A$430),"")</x:f>
        <x:v xml:space="preserve">        iShares U.S. Real Estate ETF</x:v>
      </x:c>
      <x:c r="B430" t="str">
        <x:f>IFERROR(IF(0=LEN(ReferenceData!$B$430),"",ReferenceData!$B$430),"")</x:f>
        <x:v>IYR US Equity</x:v>
      </x:c>
      <x:c r="C430" t="str">
        <x:f>IFERROR(IF(0=LEN(ReferenceData!$C$430),"",ReferenceData!$C$430),"")</x:f>
        <x:v/>
      </x:c>
      <x:c r="D430" t="str">
        <x:f>IFERROR(IF(0=LEN(ReferenceData!$D$430),"",ReferenceData!$D$430),"")</x:f>
        <x:v/>
      </x:c>
      <x:c r="E430" t="str">
        <x:f>IFERROR(IF(0=LEN(ReferenceData!$E$430),"",ReferenceData!$E$430),"")</x:f>
        <x:v>Expression</x:v>
      </x:c>
      <x:c r="F430">
        <x:f ca="1">IFERROR(IF(0=LEN(ReferenceData!$F$430),"",ReferenceData!$F$430),"")</x:f>
        <x:v>72.233469999999997</x:v>
      </x:c>
      <x:c r="G430">
        <x:f ca="1">IFERROR(IF(0=LEN(ReferenceData!$G$430),"",ReferenceData!$G$430),"")</x:f>
        <x:v>26.529287</x:v>
      </x:c>
      <x:c r="H430">
        <x:f ca="1">IFERROR(IF(0=LEN(ReferenceData!$H$430),"",ReferenceData!$H$430),"")</x:f>
        <x:v>-57.980252999999998</x:v>
      </x:c>
      <x:c r="I430">
        <x:f ca="1">IFERROR(IF(0=LEN(ReferenceData!$I$430),"",ReferenceData!$I$430),"")</x:f>
        <x:v>99.340490000000003</x:v>
      </x:c>
      <x:c r="J430">
        <x:f ca="1">IFERROR(IF(0=LEN(ReferenceData!$J$430),"",ReferenceData!$J$430),"")</x:f>
        <x:v>-56.392004999999997</x:v>
      </x:c>
      <x:c r="K430">
        <x:f ca="1">IFERROR(IF(0=LEN(ReferenceData!$K$430),"",ReferenceData!$K$430),"")</x:f>
        <x:v>-229.58998</x:v>
      </x:c>
      <x:c r="L430">
        <x:f ca="1">IFERROR(IF(0=LEN(ReferenceData!$L$430),"",ReferenceData!$L$430),"")</x:f>
        <x:v>212.98005000000001</x:v>
      </x:c>
      <x:c r="M430">
        <x:f ca="1">IFERROR(IF(0=LEN(ReferenceData!$M$430),"",ReferenceData!$M$430),"")</x:f>
        <x:v>-409.33882999999997</x:v>
      </x:c>
      <x:c r="N430">
        <x:f ca="1">IFERROR(IF(0=LEN(ReferenceData!$N$430),"",ReferenceData!$N$430),"")</x:f>
        <x:v>-102.17034</x:v>
      </x:c>
      <x:c r="O430">
        <x:f ca="1">IFERROR(IF(0=LEN(ReferenceData!$O$430),"",ReferenceData!$O$430),"")</x:f>
        <x:v>-262.47557499999999</x:v>
      </x:c>
      <x:c r="P430">
        <x:f ca="1">IFERROR(IF(0=LEN(ReferenceData!$P$430),"",ReferenceData!$P$430),"")</x:f>
        <x:v>-267.42567500000001</x:v>
      </x:c>
      <x:c r="Q430">
        <x:f ca="1">IFERROR(IF(0=LEN(ReferenceData!$Q$430),"",ReferenceData!$Q$430),"")</x:f>
        <x:v>740.67580499999997</x:v>
      </x:c>
      <x:c r="R430">
        <x:f ca="1">IFERROR(IF(0=LEN(ReferenceData!$R$430),"",ReferenceData!$R$430),"")</x:f>
        <x:v>-370.00024999999999</x:v>
      </x:c>
      <x:c r="S430">
        <x:f ca="1">IFERROR(IF(0=LEN(ReferenceData!$S$430),"",ReferenceData!$S$430),"")</x:f>
        <x:v>24.31439</x:v>
      </x:c>
    </x:row>
    <x:row r="431" spans="1:19" x14ac:dyDescent="0.25">
      <x:c r="A431" t="str">
        <x:f>IFERROR(IF(0=LEN(ReferenceData!$A$431),"",ReferenceData!$A$431),"")</x:f>
        <x:v xml:space="preserve">        Vanguard Global ex-U.S. Real E</x:v>
      </x:c>
      <x:c r="B431" t="str">
        <x:f>IFERROR(IF(0=LEN(ReferenceData!$B$431),"",ReferenceData!$B$431),"")</x:f>
        <x:v>VNQI US Equity</x:v>
      </x:c>
      <x:c r="C431" t="str">
        <x:f>IFERROR(IF(0=LEN(ReferenceData!$C$431),"",ReferenceData!$C$431),"")</x:f>
        <x:v/>
      </x:c>
      <x:c r="D431" t="str">
        <x:f>IFERROR(IF(0=LEN(ReferenceData!$D$431),"",ReferenceData!$D$431),"")</x:f>
        <x:v/>
      </x:c>
      <x:c r="E431" t="str">
        <x:f>IFERROR(IF(0=LEN(ReferenceData!$E$431),"",ReferenceData!$E$431),"")</x:f>
        <x:v>Expression</x:v>
      </x:c>
      <x:c r="F431">
        <x:f ca="1">IFERROR(IF(0=LEN(ReferenceData!$F$431),"",ReferenceData!$F$431),"")</x:f>
        <x:v>11.665798000000001</x:v>
      </x:c>
      <x:c r="G431">
        <x:f ca="1">IFERROR(IF(0=LEN(ReferenceData!$G$431),"",ReferenceData!$G$431),"")</x:f>
        <x:v>-15.718</x:v>
      </x:c>
      <x:c r="H431">
        <x:f ca="1">IFERROR(IF(0=LEN(ReferenceData!$H$431),"",ReferenceData!$H$431),"")</x:f>
        <x:v>-48.564754000000001</x:v>
      </x:c>
      <x:c r="I431">
        <x:f ca="1">IFERROR(IF(0=LEN(ReferenceData!$I$431),"",ReferenceData!$I$431),"")</x:f>
        <x:v>1.0666020000000001</x:v>
      </x:c>
      <x:c r="J431">
        <x:f ca="1">IFERROR(IF(0=LEN(ReferenceData!$J$431),"",ReferenceData!$J$431),"")</x:f>
        <x:v>8.6255310000000005</x:v>
      </x:c>
      <x:c r="K431">
        <x:f ca="1">IFERROR(IF(0=LEN(ReferenceData!$K$431),"",ReferenceData!$K$431),"")</x:f>
        <x:v>-35.858164000000002</x:v>
      </x:c>
      <x:c r="L431">
        <x:f ca="1">IFERROR(IF(0=LEN(ReferenceData!$L$431),"",ReferenceData!$L$431),"")</x:f>
        <x:v>-24.710346000000001</x:v>
      </x:c>
      <x:c r="M431">
        <x:f ca="1">IFERROR(IF(0=LEN(ReferenceData!$M$431),"",ReferenceData!$M$431),"")</x:f>
        <x:v>-8.2879719999999999</x:v>
      </x:c>
      <x:c r="N431">
        <x:f ca="1">IFERROR(IF(0=LEN(ReferenceData!$N$431),"",ReferenceData!$N$431),"")</x:f>
        <x:v>-8.2017129999999998</x:v>
      </x:c>
      <x:c r="O431">
        <x:f ca="1">IFERROR(IF(0=LEN(ReferenceData!$O$431),"",ReferenceData!$O$431),"")</x:f>
        <x:v>1.0329E-2</x:v>
      </x:c>
      <x:c r="P431">
        <x:f ca="1">IFERROR(IF(0=LEN(ReferenceData!$P$431),"",ReferenceData!$P$431),"")</x:f>
        <x:v>-41.780817999999996</x:v>
      </x:c>
      <x:c r="Q431">
        <x:f ca="1">IFERROR(IF(0=LEN(ReferenceData!$Q$431),"",ReferenceData!$Q$431),"")</x:f>
        <x:v>12.675354</x:v>
      </x:c>
      <x:c r="R431">
        <x:f ca="1">IFERROR(IF(0=LEN(ReferenceData!$R$431),"",ReferenceData!$R$431),"")</x:f>
        <x:v>3.9391000000000002E-2</x:v>
      </x:c>
      <x:c r="S431">
        <x:f ca="1">IFERROR(IF(0=LEN(ReferenceData!$S$431),"",ReferenceData!$S$431),"")</x:f>
        <x:v>-33.637146000000001</x:v>
      </x:c>
    </x:row>
    <x:row r="432" spans="1:19" x14ac:dyDescent="0.25">
      <x:c r="A432" t="str">
        <x:f>IFERROR(IF(0=LEN(ReferenceData!$A$432),"",ReferenceData!$A$432),"")</x:f>
        <x:v xml:space="preserve">        SPDR Dow Jones International R</x:v>
      </x:c>
      <x:c r="B432" t="str">
        <x:f>IFERROR(IF(0=LEN(ReferenceData!$B$432),"",ReferenceData!$B$432),"")</x:f>
        <x:v>RWX US Equity</x:v>
      </x:c>
      <x:c r="C432" t="str">
        <x:f>IFERROR(IF(0=LEN(ReferenceData!$C$432),"",ReferenceData!$C$432),"")</x:f>
        <x:v/>
      </x:c>
      <x:c r="D432" t="str">
        <x:f>IFERROR(IF(0=LEN(ReferenceData!$D$432),"",ReferenceData!$D$432),"")</x:f>
        <x:v/>
      </x:c>
      <x:c r="E432" t="str">
        <x:f>IFERROR(IF(0=LEN(ReferenceData!$E$432),"",ReferenceData!$E$432),"")</x:f>
        <x:v>Expression</x:v>
      </x:c>
      <x:c r="F432">
        <x:f ca="1">IFERROR(IF(0=LEN(ReferenceData!$F$432),"",ReferenceData!$F$432),"")</x:f>
        <x:v>-10.784106</x:v>
      </x:c>
      <x:c r="G432">
        <x:f ca="1">IFERROR(IF(0=LEN(ReferenceData!$G$432),"",ReferenceData!$G$432),"")</x:f>
        <x:v>0</x:v>
      </x:c>
      <x:c r="H432">
        <x:f ca="1">IFERROR(IF(0=LEN(ReferenceData!$H$432),"",ReferenceData!$H$432),"")</x:f>
        <x:v>-5.0053280000000004</x:v>
      </x:c>
      <x:c r="I432">
        <x:f ca="1">IFERROR(IF(0=LEN(ReferenceData!$I$432),"",ReferenceData!$I$432),"")</x:f>
        <x:v>0</x:v>
      </x:c>
      <x:c r="J432">
        <x:f ca="1">IFERROR(IF(0=LEN(ReferenceData!$J$432),"",ReferenceData!$J$432),"")</x:f>
        <x:v>-10.321103000000001</x:v>
      </x:c>
      <x:c r="K432">
        <x:f ca="1">IFERROR(IF(0=LEN(ReferenceData!$K$432),"",ReferenceData!$K$432),"")</x:f>
        <x:v>-61.785659000000003</x:v>
      </x:c>
      <x:c r="L432">
        <x:f ca="1">IFERROR(IF(0=LEN(ReferenceData!$L$432),"",ReferenceData!$L$432),"")</x:f>
        <x:v>0.112916</x:v>
      </x:c>
      <x:c r="M432">
        <x:f ca="1">IFERROR(IF(0=LEN(ReferenceData!$M$432),"",ReferenceData!$M$432),"")</x:f>
        <x:v>-26.781590999999999</x:v>
      </x:c>
      <x:c r="N432">
        <x:f ca="1">IFERROR(IF(0=LEN(ReferenceData!$N$432),"",ReferenceData!$N$432),"")</x:f>
        <x:v>-15.661379</x:v>
      </x:c>
      <x:c r="O432">
        <x:f ca="1">IFERROR(IF(0=LEN(ReferenceData!$O$432),"",ReferenceData!$O$432),"")</x:f>
        <x:v>-2.8268409999999999</x:v>
      </x:c>
      <x:c r="P432">
        <x:f ca="1">IFERROR(IF(0=LEN(ReferenceData!$P$432),"",ReferenceData!$P$432),"")</x:f>
        <x:v>11.292137</x:v>
      </x:c>
      <x:c r="Q432">
        <x:f ca="1">IFERROR(IF(0=LEN(ReferenceData!$Q$432),"",ReferenceData!$Q$432),"")</x:f>
        <x:v>-25.623037</x:v>
      </x:c>
      <x:c r="R432">
        <x:f ca="1">IFERROR(IF(0=LEN(ReferenceData!$R$432),"",ReferenceData!$R$432),"")</x:f>
        <x:v>-10.226115999999999</x:v>
      </x:c>
      <x:c r="S432">
        <x:f ca="1">IFERROR(IF(0=LEN(ReferenceData!$S$432),"",ReferenceData!$S$432),"")</x:f>
        <x:v>-11.668048000000001</x:v>
      </x:c>
    </x:row>
    <x:row r="433" spans="1:19" x14ac:dyDescent="0.25">
      <x:c r="A433" t="str">
        <x:f>IFERROR(IF(0=LEN(ReferenceData!$A$433),"",ReferenceData!$A$433),"")</x:f>
        <x:v xml:space="preserve">        Schwab U.S. REIT ETF</x:v>
      </x:c>
      <x:c r="B433" t="str">
        <x:f>IFERROR(IF(0=LEN(ReferenceData!$B$433),"",ReferenceData!$B$433),"")</x:f>
        <x:v>SCHH US Equity</x:v>
      </x:c>
      <x:c r="C433" t="str">
        <x:f>IFERROR(IF(0=LEN(ReferenceData!$C$433),"",ReferenceData!$C$433),"")</x:f>
        <x:v/>
      </x:c>
      <x:c r="D433" t="str">
        <x:f>IFERROR(IF(0=LEN(ReferenceData!$D$433),"",ReferenceData!$D$433),"")</x:f>
        <x:v/>
      </x:c>
      <x:c r="E433" t="str">
        <x:f>IFERROR(IF(0=LEN(ReferenceData!$E$433),"",ReferenceData!$E$433),"")</x:f>
        <x:v>Expression</x:v>
      </x:c>
      <x:c r="F433">
        <x:f ca="1">IFERROR(IF(0=LEN(ReferenceData!$F$433),"",ReferenceData!$F$433),"")</x:f>
        <x:v>32.997160999999998</x:v>
      </x:c>
      <x:c r="G433">
        <x:f ca="1">IFERROR(IF(0=LEN(ReferenceData!$G$433),"",ReferenceData!$G$433),"")</x:f>
        <x:v>188.24644499999999</x:v>
      </x:c>
      <x:c r="H433">
        <x:f ca="1">IFERROR(IF(0=LEN(ReferenceData!$H$433),"",ReferenceData!$H$433),"")</x:f>
        <x:v>68.134906000000001</x:v>
      </x:c>
      <x:c r="I433">
        <x:f ca="1">IFERROR(IF(0=LEN(ReferenceData!$I$433),"",ReferenceData!$I$433),"")</x:f>
        <x:v>6.4909290000000004</x:v>
      </x:c>
      <x:c r="J433">
        <x:f ca="1">IFERROR(IF(0=LEN(ReferenceData!$J$433),"",ReferenceData!$J$433),"")</x:f>
        <x:v>38.386218999999997</x:v>
      </x:c>
      <x:c r="K433">
        <x:f ca="1">IFERROR(IF(0=LEN(ReferenceData!$K$433),"",ReferenceData!$K$433),"")</x:f>
        <x:v>64.240517999999994</x:v>
      </x:c>
      <x:c r="L433">
        <x:f ca="1">IFERROR(IF(0=LEN(ReferenceData!$L$433),"",ReferenceData!$L$433),"")</x:f>
        <x:v>14.700944</x:v>
      </x:c>
      <x:c r="M433">
        <x:f ca="1">IFERROR(IF(0=LEN(ReferenceData!$M$433),"",ReferenceData!$M$433),"")</x:f>
        <x:v>11.569402999999999</x:v>
      </x:c>
      <x:c r="N433">
        <x:f ca="1">IFERROR(IF(0=LEN(ReferenceData!$N$433),"",ReferenceData!$N$433),"")</x:f>
        <x:v>116.408694</x:v>
      </x:c>
      <x:c r="O433">
        <x:f ca="1">IFERROR(IF(0=LEN(ReferenceData!$O$433),"",ReferenceData!$O$433),"")</x:f>
        <x:v>0.15910099999999999</x:v>
      </x:c>
      <x:c r="P433">
        <x:f ca="1">IFERROR(IF(0=LEN(ReferenceData!$P$433),"",ReferenceData!$P$433),"")</x:f>
        <x:v>-7.9348159999999996</x:v>
      </x:c>
      <x:c r="Q433">
        <x:f ca="1">IFERROR(IF(0=LEN(ReferenceData!$Q$433),"",ReferenceData!$Q$433),"")</x:f>
        <x:v>30.461493000000001</x:v>
      </x:c>
      <x:c r="R433">
        <x:f ca="1">IFERROR(IF(0=LEN(ReferenceData!$R$433),"",ReferenceData!$R$433),"")</x:f>
        <x:v>101.081596</x:v>
      </x:c>
      <x:c r="S433">
        <x:f ca="1">IFERROR(IF(0=LEN(ReferenceData!$S$433),"",ReferenceData!$S$433),"")</x:f>
        <x:v>83.967982000000006</x:v>
      </x:c>
    </x:row>
    <x:row r="434" spans="1:19" x14ac:dyDescent="0.25">
      <x:c r="A434" t="str">
        <x:f>IFERROR(IF(0=LEN(ReferenceData!$A$434),"",ReferenceData!$A$434),"")</x:f>
        <x:v xml:space="preserve">        iShares Cohen &amp; Steers REIT ET</x:v>
      </x:c>
      <x:c r="B434" t="str">
        <x:f>IFERROR(IF(0=LEN(ReferenceData!$B$434),"",ReferenceData!$B$434),"")</x:f>
        <x:v>ICF US Equity</x:v>
      </x:c>
      <x:c r="C434" t="str">
        <x:f>IFERROR(IF(0=LEN(ReferenceData!$C$434),"",ReferenceData!$C$434),"")</x:f>
        <x:v/>
      </x:c>
      <x:c r="D434" t="str">
        <x:f>IFERROR(IF(0=LEN(ReferenceData!$D$434),"",ReferenceData!$D$434),"")</x:f>
        <x:v/>
      </x:c>
      <x:c r="E434" t="str">
        <x:f>IFERROR(IF(0=LEN(ReferenceData!$E$434),"",ReferenceData!$E$434),"")</x:f>
        <x:v>Expression</x:v>
      </x:c>
      <x:c r="F434">
        <x:f ca="1">IFERROR(IF(0=LEN(ReferenceData!$F$434),"",ReferenceData!$F$434),"")</x:f>
        <x:v>-2.5458590000000001</x:v>
      </x:c>
      <x:c r="G434">
        <x:f ca="1">IFERROR(IF(0=LEN(ReferenceData!$G$434),"",ReferenceData!$G$434),"")</x:f>
        <x:v>-141.99731199999999</x:v>
      </x:c>
      <x:c r="H434">
        <x:f ca="1">IFERROR(IF(0=LEN(ReferenceData!$H$434),"",ReferenceData!$H$434),"")</x:f>
        <x:v>-7.955349</x:v>
      </x:c>
      <x:c r="I434">
        <x:f ca="1">IFERROR(IF(0=LEN(ReferenceData!$I$434),"",ReferenceData!$I$434),"")</x:f>
        <x:v>-11.03542</x:v>
      </x:c>
      <x:c r="J434">
        <x:f ca="1">IFERROR(IF(0=LEN(ReferenceData!$J$434),"",ReferenceData!$J$434),"")</x:f>
        <x:v>-16.898140000000001</x:v>
      </x:c>
      <x:c r="K434">
        <x:f ca="1">IFERROR(IF(0=LEN(ReferenceData!$K$434),"",ReferenceData!$K$434),"")</x:f>
        <x:v>-13.753819999999999</x:v>
      </x:c>
      <x:c r="L434">
        <x:f ca="1">IFERROR(IF(0=LEN(ReferenceData!$L$434),"",ReferenceData!$L$434),"")</x:f>
        <x:v>-18.707825</x:v>
      </x:c>
      <x:c r="M434">
        <x:f ca="1">IFERROR(IF(0=LEN(ReferenceData!$M$434),"",ReferenceData!$M$434),"")</x:f>
        <x:v>-11.075735</x:v>
      </x:c>
      <x:c r="N434">
        <x:f ca="1">IFERROR(IF(0=LEN(ReferenceData!$N$434),"",ReferenceData!$N$434),"")</x:f>
        <x:v>-5.6082999999999998</x:v>
      </x:c>
      <x:c r="O434">
        <x:f ca="1">IFERROR(IF(0=LEN(ReferenceData!$O$434),"",ReferenceData!$O$434),"")</x:f>
        <x:v>-11.487</x:v>
      </x:c>
      <x:c r="P434">
        <x:f ca="1">IFERROR(IF(0=LEN(ReferenceData!$P$434),"",ReferenceData!$P$434),"")</x:f>
        <x:v>33.561664999999998</x:v>
      </x:c>
      <x:c r="Q434">
        <x:f ca="1">IFERROR(IF(0=LEN(ReferenceData!$Q$434),"",ReferenceData!$Q$434),"")</x:f>
        <x:v>41.76858</x:v>
      </x:c>
      <x:c r="R434">
        <x:f ca="1">IFERROR(IF(0=LEN(ReferenceData!$R$434),"",ReferenceData!$R$434),"")</x:f>
        <x:v>3.0043600000000001</x:v>
      </x:c>
      <x:c r="S434">
        <x:f ca="1">IFERROR(IF(0=LEN(ReferenceData!$S$434),"",ReferenceData!$S$434),"")</x:f>
        <x:v>-63.127090000000003</x:v>
      </x:c>
    </x:row>
    <x:row r="435" spans="1:19" x14ac:dyDescent="0.25">
      <x:c r="A435" t="str">
        <x:f>IFERROR(IF(0=LEN(ReferenceData!$A$435),"",ReferenceData!$A$435),"")</x:f>
        <x:v xml:space="preserve">        SPDR Dow Jones REIT ETF</x:v>
      </x:c>
      <x:c r="B435" t="str">
        <x:f>IFERROR(IF(0=LEN(ReferenceData!$B$435),"",ReferenceData!$B$435),"")</x:f>
        <x:v>RWR US Equity</x:v>
      </x:c>
      <x:c r="C435" t="str">
        <x:f>IFERROR(IF(0=LEN(ReferenceData!$C$435),"",ReferenceData!$C$435),"")</x:f>
        <x:v/>
      </x:c>
      <x:c r="D435" t="str">
        <x:f>IFERROR(IF(0=LEN(ReferenceData!$D$435),"",ReferenceData!$D$435),"")</x:f>
        <x:v/>
      </x:c>
      <x:c r="E435" t="str">
        <x:f>IFERROR(IF(0=LEN(ReferenceData!$E$435),"",ReferenceData!$E$435),"")</x:f>
        <x:v>Expression</x:v>
      </x:c>
      <x:c r="F435">
        <x:f ca="1">IFERROR(IF(0=LEN(ReferenceData!$F$435),"",ReferenceData!$F$435),"")</x:f>
        <x:v>-17.242971000000001</x:v>
      </x:c>
      <x:c r="G435">
        <x:f ca="1">IFERROR(IF(0=LEN(ReferenceData!$G$435),"",ReferenceData!$G$435),"")</x:f>
        <x:v>7.8419020000000002</x:v>
      </x:c>
      <x:c r="H435">
        <x:f ca="1">IFERROR(IF(0=LEN(ReferenceData!$H$435),"",ReferenceData!$H$435),"")</x:f>
        <x:v>4.4563119999999996</x:v>
      </x:c>
      <x:c r="I435">
        <x:f ca="1">IFERROR(IF(0=LEN(ReferenceData!$I$435),"",ReferenceData!$I$435),"")</x:f>
        <x:v>11.642383000000001</x:v>
      </x:c>
      <x:c r="J435">
        <x:f ca="1">IFERROR(IF(0=LEN(ReferenceData!$J$435),"",ReferenceData!$J$435),"")</x:f>
        <x:v>1.2977700000000001</x:v>
      </x:c>
      <x:c r="K435">
        <x:f ca="1">IFERROR(IF(0=LEN(ReferenceData!$K$435),"",ReferenceData!$K$435),"")</x:f>
        <x:v>18.482284</x:v>
      </x:c>
      <x:c r="L435">
        <x:f ca="1">IFERROR(IF(0=LEN(ReferenceData!$L$435),"",ReferenceData!$L$435),"")</x:f>
        <x:v>-98.699520000000007</x:v>
      </x:c>
      <x:c r="M435">
        <x:f ca="1">IFERROR(IF(0=LEN(ReferenceData!$M$435),"",ReferenceData!$M$435),"")</x:f>
        <x:v>-52.950690999999999</x:v>
      </x:c>
      <x:c r="N435">
        <x:f ca="1">IFERROR(IF(0=LEN(ReferenceData!$N$435),"",ReferenceData!$N$435),"")</x:f>
        <x:v>-59.197637</x:v>
      </x:c>
      <x:c r="O435">
        <x:f ca="1">IFERROR(IF(0=LEN(ReferenceData!$O$435),"",ReferenceData!$O$435),"")</x:f>
        <x:v>6.2012239999999998</x:v>
      </x:c>
      <x:c r="P435">
        <x:f ca="1">IFERROR(IF(0=LEN(ReferenceData!$P$435),"",ReferenceData!$P$435),"")</x:f>
        <x:v>-26.031583999999999</x:v>
      </x:c>
      <x:c r="Q435">
        <x:f ca="1">IFERROR(IF(0=LEN(ReferenceData!$Q$435),"",ReferenceData!$Q$435),"")</x:f>
        <x:v>-6.2683150000000003</x:v>
      </x:c>
      <x:c r="R435">
        <x:f ca="1">IFERROR(IF(0=LEN(ReferenceData!$R$435),"",ReferenceData!$R$435),"")</x:f>
        <x:v>-6.25284</x:v>
      </x:c>
      <x:c r="S435">
        <x:f ca="1">IFERROR(IF(0=LEN(ReferenceData!$S$435),"",ReferenceData!$S$435),"")</x:f>
        <x:v>5.1635910000000003</x:v>
      </x:c>
    </x:row>
    <x:row r="436" spans="1:19" x14ac:dyDescent="0.25">
      <x:c r="A436" t="str">
        <x:f>IFERROR(IF(0=LEN(ReferenceData!$A$436),"",ReferenceData!$A$436),"")</x:f>
        <x:v xml:space="preserve">        SPDR Dow Jones Global Real Est</x:v>
      </x:c>
      <x:c r="B436" t="str">
        <x:f>IFERROR(IF(0=LEN(ReferenceData!$B$436),"",ReferenceData!$B$436),"")</x:f>
        <x:v>RWO US Equity</x:v>
      </x:c>
      <x:c r="C436" t="str">
        <x:f>IFERROR(IF(0=LEN(ReferenceData!$C$436),"",ReferenceData!$C$436),"")</x:f>
        <x:v/>
      </x:c>
      <x:c r="D436" t="str">
        <x:f>IFERROR(IF(0=LEN(ReferenceData!$D$436),"",ReferenceData!$D$436),"")</x:f>
        <x:v/>
      </x:c>
      <x:c r="E436" t="str">
        <x:f>IFERROR(IF(0=LEN(ReferenceData!$E$436),"",ReferenceData!$E$436),"")</x:f>
        <x:v>Expression</x:v>
      </x:c>
      <x:c r="F436">
        <x:f ca="1">IFERROR(IF(0=LEN(ReferenceData!$F$436),"",ReferenceData!$F$436),"")</x:f>
        <x:v>0</x:v>
      </x:c>
      <x:c r="G436">
        <x:f ca="1">IFERROR(IF(0=LEN(ReferenceData!$G$436),"",ReferenceData!$G$436),"")</x:f>
        <x:v>3.7123979999999999</x:v>
      </x:c>
      <x:c r="H436">
        <x:f ca="1">IFERROR(IF(0=LEN(ReferenceData!$H$436),"",ReferenceData!$H$436),"")</x:f>
        <x:v>-9.6382200000000005</x:v>
      </x:c>
      <x:c r="I436">
        <x:f ca="1">IFERROR(IF(0=LEN(ReferenceData!$I$436),"",ReferenceData!$I$436),"")</x:f>
        <x:v>-14.517979</x:v>
      </x:c>
      <x:c r="J436">
        <x:f ca="1">IFERROR(IF(0=LEN(ReferenceData!$J$436),"",ReferenceData!$J$436),"")</x:f>
        <x:v>-10.88325</x:v>
      </x:c>
      <x:c r="K436">
        <x:f ca="1">IFERROR(IF(0=LEN(ReferenceData!$K$436),"",ReferenceData!$K$436),"")</x:f>
        <x:v>-12.228165000000001</x:v>
      </x:c>
      <x:c r="L436">
        <x:f ca="1">IFERROR(IF(0=LEN(ReferenceData!$L$436),"",ReferenceData!$L$436),"")</x:f>
        <x:v>-22.866230000000002</x:v>
      </x:c>
      <x:c r="M436">
        <x:f ca="1">IFERROR(IF(0=LEN(ReferenceData!$M$436),"",ReferenceData!$M$436),"")</x:f>
        <x:v>14.390293</x:v>
      </x:c>
      <x:c r="N436">
        <x:f ca="1">IFERROR(IF(0=LEN(ReferenceData!$N$436),"",ReferenceData!$N$436),"")</x:f>
        <x:v>2.0217200000000002</x:v>
      </x:c>
      <x:c r="O436">
        <x:f ca="1">IFERROR(IF(0=LEN(ReferenceData!$O$436),"",ReferenceData!$O$436),"")</x:f>
        <x:v>20.024542</x:v>
      </x:c>
      <x:c r="P436">
        <x:f ca="1">IFERROR(IF(0=LEN(ReferenceData!$P$436),"",ReferenceData!$P$436),"")</x:f>
        <x:v>22.742946</x:v>
      </x:c>
      <x:c r="Q436">
        <x:f ca="1">IFERROR(IF(0=LEN(ReferenceData!$Q$436),"",ReferenceData!$Q$436),"")</x:f>
        <x:v>19.050422999999999</x:v>
      </x:c>
      <x:c r="R436">
        <x:f ca="1">IFERROR(IF(0=LEN(ReferenceData!$R$436),"",ReferenceData!$R$436),"")</x:f>
        <x:v>16.154506999999999</x:v>
      </x:c>
      <x:c r="S436">
        <x:f ca="1">IFERROR(IF(0=LEN(ReferenceData!$S$436),"",ReferenceData!$S$436),"")</x:f>
        <x:v>34.600130999999998</x:v>
      </x:c>
    </x:row>
    <x:row r="437" spans="1:19" x14ac:dyDescent="0.25">
      <x:c r="A437" t="str">
        <x:f>IFERROR(IF(0=LEN(ReferenceData!$A$437),"",ReferenceData!$A$437),"")</x:f>
        <x:v xml:space="preserve">        Real Estate Select Sector SPDR</x:v>
      </x:c>
      <x:c r="B437" t="str">
        <x:f>IFERROR(IF(0=LEN(ReferenceData!$B$437),"",ReferenceData!$B$437),"")</x:f>
        <x:v>XLRE US Equity</x:v>
      </x:c>
      <x:c r="C437" t="str">
        <x:f>IFERROR(IF(0=LEN(ReferenceData!$C$437),"",ReferenceData!$C$437),"")</x:f>
        <x:v/>
      </x:c>
      <x:c r="D437" t="str">
        <x:f>IFERROR(IF(0=LEN(ReferenceData!$D$437),"",ReferenceData!$D$437),"")</x:f>
        <x:v/>
      </x:c>
      <x:c r="E437" t="str">
        <x:f>IFERROR(IF(0=LEN(ReferenceData!$E$437),"",ReferenceData!$E$437),"")</x:f>
        <x:v>Expression</x:v>
      </x:c>
      <x:c r="F437">
        <x:f ca="1">IFERROR(IF(0=LEN(ReferenceData!$F$437),"",ReferenceData!$F$437),"")</x:f>
        <x:v>124.17433699999999</x:v>
      </x:c>
      <x:c r="G437">
        <x:f ca="1">IFERROR(IF(0=LEN(ReferenceData!$G$437),"",ReferenceData!$G$437),"")</x:f>
        <x:v>148.94129899999999</x:v>
      </x:c>
      <x:c r="H437">
        <x:f ca="1">IFERROR(IF(0=LEN(ReferenceData!$H$437),"",ReferenceData!$H$437),"")</x:f>
        <x:v>-48.212465999999999</x:v>
      </x:c>
      <x:c r="I437">
        <x:f ca="1">IFERROR(IF(0=LEN(ReferenceData!$I$437),"",ReferenceData!$I$437),"")</x:f>
        <x:v>-104.761585</x:v>
      </x:c>
      <x:c r="J437">
        <x:f ca="1">IFERROR(IF(0=LEN(ReferenceData!$J$437),"",ReferenceData!$J$437),"")</x:f>
        <x:v>36.215651000000001</x:v>
      </x:c>
      <x:c r="K437">
        <x:f ca="1">IFERROR(IF(0=LEN(ReferenceData!$K$437),"",ReferenceData!$K$437),"")</x:f>
        <x:v>187.64095</x:v>
      </x:c>
      <x:c r="L437">
        <x:f ca="1">IFERROR(IF(0=LEN(ReferenceData!$L$437),"",ReferenceData!$L$437),"")</x:f>
        <x:v>-73.196347000000003</x:v>
      </x:c>
      <x:c r="M437">
        <x:f ca="1">IFERROR(IF(0=LEN(ReferenceData!$M$437),"",ReferenceData!$M$437),"")</x:f>
        <x:v>-152.04084700000001</x:v>
      </x:c>
      <x:c r="N437">
        <x:f ca="1">IFERROR(IF(0=LEN(ReferenceData!$N$437),"",ReferenceData!$N$437),"")</x:f>
        <x:v>-100.611603</x:v>
      </x:c>
      <x:c r="O437">
        <x:f ca="1">IFERROR(IF(0=LEN(ReferenceData!$O$437),"",ReferenceData!$O$437),"")</x:f>
        <x:v>-152.222623</x:v>
      </x:c>
      <x:c r="P437">
        <x:f ca="1">IFERROR(IF(0=LEN(ReferenceData!$P$437),"",ReferenceData!$P$437),"")</x:f>
        <x:v>-82.429107999999999</x:v>
      </x:c>
      <x:c r="Q437">
        <x:f ca="1">IFERROR(IF(0=LEN(ReferenceData!$Q$437),"",ReferenceData!$Q$437),"")</x:f>
        <x:v>150.54834500000001</x:v>
      </x:c>
      <x:c r="R437">
        <x:f ca="1">IFERROR(IF(0=LEN(ReferenceData!$R$437),"",ReferenceData!$R$437),"")</x:f>
        <x:v>8.0744520000000009</x:v>
      </x:c>
      <x:c r="S437">
        <x:f ca="1">IFERROR(IF(0=LEN(ReferenceData!$S$437),"",ReferenceData!$S$437),"")</x:f>
        <x:v>24.980156000000001</x:v>
      </x:c>
    </x:row>
    <x:row r="438" spans="1:19" x14ac:dyDescent="0.25">
      <x:c r="A438" t="str">
        <x:f>IFERROR(IF(0=LEN(ReferenceData!$A$438),"",ReferenceData!$A$438),"")</x:f>
        <x:v xml:space="preserve">        VanEck Inflation Allocation ET</x:v>
      </x:c>
      <x:c r="B438" t="str">
        <x:f>IFERROR(IF(0=LEN(ReferenceData!$B$438),"",ReferenceData!$B$438),"")</x:f>
        <x:v>RAAX US Equity</x:v>
      </x:c>
      <x:c r="C438" t="str">
        <x:f>IFERROR(IF(0=LEN(ReferenceData!$C$438),"",ReferenceData!$C$438),"")</x:f>
        <x:v/>
      </x:c>
      <x:c r="D438" t="str">
        <x:f>IFERROR(IF(0=LEN(ReferenceData!$D$438),"",ReferenceData!$D$438),"")</x:f>
        <x:v/>
      </x:c>
      <x:c r="E438" t="str">
        <x:f>IFERROR(IF(0=LEN(ReferenceData!$E$438),"",ReferenceData!$E$438),"")</x:f>
        <x:v>Expression</x:v>
      </x:c>
      <x:c r="F438">
        <x:f ca="1">IFERROR(IF(0=LEN(ReferenceData!$F$438),"",ReferenceData!$F$438),"")</x:f>
        <x:v>16.742633999999999</x:v>
      </x:c>
      <x:c r="G438">
        <x:f ca="1">IFERROR(IF(0=LEN(ReferenceData!$G$438),"",ReferenceData!$G$438),"")</x:f>
        <x:v>1.9086749999999999</x:v>
      </x:c>
      <x:c r="H438">
        <x:f ca="1">IFERROR(IF(0=LEN(ReferenceData!$H$438),"",ReferenceData!$H$438),"")</x:f>
        <x:v>1.943381</x:v>
      </x:c>
      <x:c r="I438">
        <x:f ca="1">IFERROR(IF(0=LEN(ReferenceData!$I$438),"",ReferenceData!$I$438),"")</x:f>
        <x:v>-2.5954389999999998</x:v>
      </x:c>
      <x:c r="J438">
        <x:f ca="1">IFERROR(IF(0=LEN(ReferenceData!$J$438),"",ReferenceData!$J$438),"")</x:f>
        <x:v>-6.993538</x:v>
      </x:c>
      <x:c r="K438">
        <x:f ca="1">IFERROR(IF(0=LEN(ReferenceData!$K$438),"",ReferenceData!$K$438),"")</x:f>
        <x:v>-8.0744170000000004</x:v>
      </x:c>
      <x:c r="L438">
        <x:f ca="1">IFERROR(IF(0=LEN(ReferenceData!$L$438),"",ReferenceData!$L$438),"")</x:f>
        <x:v>-16.231634</x:v>
      </x:c>
      <x:c r="M438">
        <x:f ca="1">IFERROR(IF(0=LEN(ReferenceData!$M$438),"",ReferenceData!$M$438),"")</x:f>
        <x:v>0.65793299999999999</x:v>
      </x:c>
      <x:c r="N438">
        <x:f ca="1">IFERROR(IF(0=LEN(ReferenceData!$N$438),"",ReferenceData!$N$438),"")</x:f>
        <x:v>-8.0431650000000001</x:v>
      </x:c>
      <x:c r="O438">
        <x:f ca="1">IFERROR(IF(0=LEN(ReferenceData!$O$438),"",ReferenceData!$O$438),"")</x:f>
        <x:v>-2.5437449999999999</x:v>
      </x:c>
      <x:c r="P438">
        <x:f ca="1">IFERROR(IF(0=LEN(ReferenceData!$P$438),"",ReferenceData!$P$438),"")</x:f>
        <x:v>-7.83507</x:v>
      </x:c>
      <x:c r="Q438">
        <x:f ca="1">IFERROR(IF(0=LEN(ReferenceData!$Q$438),"",ReferenceData!$Q$438),"")</x:f>
        <x:v>-1.8797550000000001</x:v>
      </x:c>
      <x:c r="R438">
        <x:f ca="1">IFERROR(IF(0=LEN(ReferenceData!$R$438),"",ReferenceData!$R$438),"")</x:f>
        <x:v>1.9255800000000001</x:v>
      </x:c>
      <x:c r="S438">
        <x:f ca="1">IFERROR(IF(0=LEN(ReferenceData!$S$438),"",ReferenceData!$S$438),"")</x:f>
        <x:v>-4.7398899999999999</x:v>
      </x:c>
    </x:row>
    <x:row r="439" spans="1:19" x14ac:dyDescent="0.25">
      <x:c r="A439" t="str">
        <x:f>IFERROR(IF(0=LEN(ReferenceData!$A$439),"",ReferenceData!$A$439),"")</x:f>
        <x:v xml:space="preserve">        iShares Mortgage Real Estate E</x:v>
      </x:c>
      <x:c r="B439" t="str">
        <x:f>IFERROR(IF(0=LEN(ReferenceData!$B$439),"",ReferenceData!$B$439),"")</x:f>
        <x:v>REM US Equity</x:v>
      </x:c>
      <x:c r="C439" t="str">
        <x:f>IFERROR(IF(0=LEN(ReferenceData!$C$439),"",ReferenceData!$C$439),"")</x:f>
        <x:v/>
      </x:c>
      <x:c r="D439" t="str">
        <x:f>IFERROR(IF(0=LEN(ReferenceData!$D$439),"",ReferenceData!$D$439),"")</x:f>
        <x:v/>
      </x:c>
      <x:c r="E439" t="str">
        <x:f>IFERROR(IF(0=LEN(ReferenceData!$E$439),"",ReferenceData!$E$439),"")</x:f>
        <x:v>Expression</x:v>
      </x:c>
      <x:c r="F439">
        <x:f ca="1">IFERROR(IF(0=LEN(ReferenceData!$F$439),"",ReferenceData!$F$439),"")</x:f>
        <x:v>-2.1939639999999998</x:v>
      </x:c>
      <x:c r="G439">
        <x:f ca="1">IFERROR(IF(0=LEN(ReferenceData!$G$439),"",ReferenceData!$G$439),"")</x:f>
        <x:v>-24.367792999999999</x:v>
      </x:c>
      <x:c r="H439">
        <x:f ca="1">IFERROR(IF(0=LEN(ReferenceData!$H$439),"",ReferenceData!$H$439),"")</x:f>
        <x:v>4.4623030000000004</x:v>
      </x:c>
      <x:c r="I439">
        <x:f ca="1">IFERROR(IF(0=LEN(ReferenceData!$I$439),"",ReferenceData!$I$439),"")</x:f>
        <x:v>-28.993625000000002</x:v>
      </x:c>
      <x:c r="J439">
        <x:f ca="1">IFERROR(IF(0=LEN(ReferenceData!$J$439),"",ReferenceData!$J$439),"")</x:f>
        <x:v>31.656700000000001</x:v>
      </x:c>
      <x:c r="K439">
        <x:f ca="1">IFERROR(IF(0=LEN(ReferenceData!$K$439),"",ReferenceData!$K$439),"")</x:f>
        <x:v>14.64077</x:v>
      </x:c>
      <x:c r="L439">
        <x:f ca="1">IFERROR(IF(0=LEN(ReferenceData!$L$439),"",ReferenceData!$L$439),"")</x:f>
        <x:v>-3.1573500000000001</x:v>
      </x:c>
      <x:c r="M439">
        <x:f ca="1">IFERROR(IF(0=LEN(ReferenceData!$M$439),"",ReferenceData!$M$439),"")</x:f>
        <x:v>-20.611305000000002</x:v>
      </x:c>
      <x:c r="N439">
        <x:f ca="1">IFERROR(IF(0=LEN(ReferenceData!$N$439),"",ReferenceData!$N$439),"")</x:f>
        <x:v>-21.321390000000001</x:v>
      </x:c>
      <x:c r="O439">
        <x:f ca="1">IFERROR(IF(0=LEN(ReferenceData!$O$439),"",ReferenceData!$O$439),"")</x:f>
        <x:v>25.906455000000001</x:v>
      </x:c>
      <x:c r="P439">
        <x:f ca="1">IFERROR(IF(0=LEN(ReferenceData!$P$439),"",ReferenceData!$P$439),"")</x:f>
        <x:v>-6.4258550000000003</x:v>
      </x:c>
      <x:c r="Q439">
        <x:f ca="1">IFERROR(IF(0=LEN(ReferenceData!$Q$439),"",ReferenceData!$Q$439),"")</x:f>
        <x:v>3.76492</x:v>
      </x:c>
      <x:c r="R439">
        <x:f ca="1">IFERROR(IF(0=LEN(ReferenceData!$R$439),"",ReferenceData!$R$439),"")</x:f>
        <x:v>15.305429999999999</x:v>
      </x:c>
      <x:c r="S439">
        <x:f ca="1">IFERROR(IF(0=LEN(ReferenceData!$S$439),"",ReferenceData!$S$439),"")</x:f>
        <x:v>6.9718049999999998</x:v>
      </x:c>
    </x:row>
    <x:row r="440" spans="1:19" x14ac:dyDescent="0.25">
      <x:c r="A440" t="str">
        <x:f>IFERROR(IF(0=LEN(ReferenceData!$A$440),"",ReferenceData!$A$440),"")</x:f>
        <x:v xml:space="preserve">        iShares International Develope</x:v>
      </x:c>
      <x:c r="B440" t="str">
        <x:f>IFERROR(IF(0=LEN(ReferenceData!$B$440),"",ReferenceData!$B$440),"")</x:f>
        <x:v>IFGL US Equity</x:v>
      </x:c>
      <x:c r="C440" t="str">
        <x:f>IFERROR(IF(0=LEN(ReferenceData!$C$440),"",ReferenceData!$C$440),"")</x:f>
        <x:v/>
      </x:c>
      <x:c r="D440" t="str">
        <x:f>IFERROR(IF(0=LEN(ReferenceData!$D$440),"",ReferenceData!$D$440),"")</x:f>
        <x:v/>
      </x:c>
      <x:c r="E440" t="str">
        <x:f>IFERROR(IF(0=LEN(ReferenceData!$E$440),"",ReferenceData!$E$440),"")</x:f>
        <x:v>Expression</x:v>
      </x:c>
      <x:c r="F440">
        <x:f ca="1">IFERROR(IF(0=LEN(ReferenceData!$F$440),"",ReferenceData!$F$440),"")</x:f>
        <x:v>-1.9266840000000001</x:v>
      </x:c>
      <x:c r="G440">
        <x:f ca="1">IFERROR(IF(0=LEN(ReferenceData!$G$440),"",ReferenceData!$G$440),"")</x:f>
        <x:v>0</x:v>
      </x:c>
      <x:c r="H440">
        <x:f ca="1">IFERROR(IF(0=LEN(ReferenceData!$H$440),"",ReferenceData!$H$440),"")</x:f>
        <x:v>-5.9916900000000002</x:v>
      </x:c>
      <x:c r="I440">
        <x:f ca="1">IFERROR(IF(0=LEN(ReferenceData!$I$440),"",ReferenceData!$I$440),"")</x:f>
        <x:v>-2.0061900000000001</x:v>
      </x:c>
      <x:c r="J440">
        <x:f ca="1">IFERROR(IF(0=LEN(ReferenceData!$J$440),"",ReferenceData!$J$440),"")</x:f>
        <x:v>0</x:v>
      </x:c>
      <x:c r="K440">
        <x:f ca="1">IFERROR(IF(0=LEN(ReferenceData!$K$440),"",ReferenceData!$K$440),"")</x:f>
        <x:v>-1.97953</x:v>
      </x:c>
      <x:c r="L440">
        <x:f ca="1">IFERROR(IF(0=LEN(ReferenceData!$L$440),"",ReferenceData!$L$440),"")</x:f>
        <x:v>-6.2946</x:v>
      </x:c>
      <x:c r="M440">
        <x:f ca="1">IFERROR(IF(0=LEN(ReferenceData!$M$440),"",ReferenceData!$M$440),"")</x:f>
        <x:v>0</x:v>
      </x:c>
      <x:c r="N440">
        <x:f ca="1">IFERROR(IF(0=LEN(ReferenceData!$N$440),"",ReferenceData!$N$440),"")</x:f>
        <x:v>0</x:v>
      </x:c>
      <x:c r="O440">
        <x:f ca="1">IFERROR(IF(0=LEN(ReferenceData!$O$440),"",ReferenceData!$O$440),"")</x:f>
        <x:v>0</x:v>
      </x:c>
      <x:c r="P440">
        <x:f ca="1">IFERROR(IF(0=LEN(ReferenceData!$P$440),"",ReferenceData!$P$440),"")</x:f>
        <x:v>0</x:v>
      </x:c>
      <x:c r="Q440">
        <x:f ca="1">IFERROR(IF(0=LEN(ReferenceData!$Q$440),"",ReferenceData!$Q$440),"")</x:f>
        <x:v>-25.170200000000001</x:v>
      </x:c>
      <x:c r="R440">
        <x:f ca="1">IFERROR(IF(0=LEN(ReferenceData!$R$440),"",ReferenceData!$R$440),"")</x:f>
        <x:v>0</x:v>
      </x:c>
      <x:c r="S440">
        <x:f ca="1">IFERROR(IF(0=LEN(ReferenceData!$S$440),"",ReferenceData!$S$440),"")</x:f>
        <x:v>-1.93658</x:v>
      </x:c>
    </x:row>
    <x:row r="441" spans="1:19" x14ac:dyDescent="0.25">
      <x:c r="A441" t="str">
        <x:f>IFERROR(IF(0=LEN(ReferenceData!$A$441),"",ReferenceData!$A$441),"")</x:f>
        <x:v xml:space="preserve">        iShares Residential and Multis</x:v>
      </x:c>
      <x:c r="B441" t="str">
        <x:f>IFERROR(IF(0=LEN(ReferenceData!$B$441),"",ReferenceData!$B$441),"")</x:f>
        <x:v>REZ US Equity</x:v>
      </x:c>
      <x:c r="C441" t="str">
        <x:f>IFERROR(IF(0=LEN(ReferenceData!$C$441),"",ReferenceData!$C$441),"")</x:f>
        <x:v/>
      </x:c>
      <x:c r="D441" t="str">
        <x:f>IFERROR(IF(0=LEN(ReferenceData!$D$441),"",ReferenceData!$D$441),"")</x:f>
        <x:v/>
      </x:c>
      <x:c r="E441" t="str">
        <x:f>IFERROR(IF(0=LEN(ReferenceData!$E$441),"",ReferenceData!$E$441),"")</x:f>
        <x:v>Expression</x:v>
      </x:c>
      <x:c r="F441">
        <x:f ca="1">IFERROR(IF(0=LEN(ReferenceData!$F$441),"",ReferenceData!$F$441),"")</x:f>
        <x:v>-3.2064550000000001</x:v>
      </x:c>
      <x:c r="G441">
        <x:f ca="1">IFERROR(IF(0=LEN(ReferenceData!$G$441),"",ReferenceData!$G$441),"")</x:f>
        <x:v>-3.7501069999999999</x:v>
      </x:c>
      <x:c r="H441">
        <x:f ca="1">IFERROR(IF(0=LEN(ReferenceData!$H$441),"",ReferenceData!$H$441),"")</x:f>
        <x:v>6.6733989999999999</x:v>
      </x:c>
      <x:c r="I441">
        <x:f ca="1">IFERROR(IF(0=LEN(ReferenceData!$I$441),"",ReferenceData!$I$441),"")</x:f>
        <x:v>-14.095789999999999</x:v>
      </x:c>
      <x:c r="J441">
        <x:f ca="1">IFERROR(IF(0=LEN(ReferenceData!$J$441),"",ReferenceData!$J$441),"")</x:f>
        <x:v>-3.6897449999999998</x:v>
      </x:c>
      <x:c r="K441">
        <x:f ca="1">IFERROR(IF(0=LEN(ReferenceData!$K$441),"",ReferenceData!$K$441),"")</x:f>
        <x:v>7.2260400000000002</x:v>
      </x:c>
      <x:c r="L441">
        <x:f ca="1">IFERROR(IF(0=LEN(ReferenceData!$L$441),"",ReferenceData!$L$441),"")</x:f>
        <x:v>-3.5236450000000001</x:v>
      </x:c>
      <x:c r="M441">
        <x:f ca="1">IFERROR(IF(0=LEN(ReferenceData!$M$441),"",ReferenceData!$M$441),"")</x:f>
        <x:v>1.6840000000000001E-2</x:v>
      </x:c>
      <x:c r="N441">
        <x:f ca="1">IFERROR(IF(0=LEN(ReferenceData!$N$441),"",ReferenceData!$N$441),"")</x:f>
        <x:v>-17.263480000000001</x:v>
      </x:c>
      <x:c r="O441">
        <x:f ca="1">IFERROR(IF(0=LEN(ReferenceData!$O$441),"",ReferenceData!$O$441),"")</x:f>
        <x:v>-14.89082</x:v>
      </x:c>
      <x:c r="P441">
        <x:f ca="1">IFERROR(IF(0=LEN(ReferenceData!$P$441),"",ReferenceData!$P$441),"")</x:f>
        <x:v>-3.4034300000000002</x:v>
      </x:c>
      <x:c r="Q441">
        <x:f ca="1">IFERROR(IF(0=LEN(ReferenceData!$Q$441),"",ReferenceData!$Q$441),"")</x:f>
        <x:v>-17.071615000000001</x:v>
      </x:c>
      <x:c r="R441">
        <x:f ca="1">IFERROR(IF(0=LEN(ReferenceData!$R$441),"",ReferenceData!$R$441),"")</x:f>
        <x:v>0.36792999999999998</x:v>
      </x:c>
      <x:c r="S441">
        <x:f ca="1">IFERROR(IF(0=LEN(ReferenceData!$S$441),"",ReferenceData!$S$441),"")</x:f>
        <x:v>-6.5902750000000001</x:v>
      </x:c>
    </x:row>
    <x:row r="442" spans="1:19" x14ac:dyDescent="0.25">
      <x:c r="A442" t="str">
        <x:f>IFERROR(IF(0=LEN(ReferenceData!$A$442),"",ReferenceData!$A$442),"")</x:f>
        <x:v xml:space="preserve">        iShares Global REIT ETF</x:v>
      </x:c>
      <x:c r="B442" t="str">
        <x:f>IFERROR(IF(0=LEN(ReferenceData!$B$442),"",ReferenceData!$B$442),"")</x:f>
        <x:v>REET US Equity</x:v>
      </x:c>
      <x:c r="C442" t="str">
        <x:f>IFERROR(IF(0=LEN(ReferenceData!$C$442),"",ReferenceData!$C$442),"")</x:f>
        <x:v/>
      </x:c>
      <x:c r="D442" t="str">
        <x:f>IFERROR(IF(0=LEN(ReferenceData!$D$442),"",ReferenceData!$D$442),"")</x:f>
        <x:v/>
      </x:c>
      <x:c r="E442" t="str">
        <x:f>IFERROR(IF(0=LEN(ReferenceData!$E$442),"",ReferenceData!$E$442),"")</x:f>
        <x:v>Expression</x:v>
      </x:c>
      <x:c r="F442">
        <x:f ca="1">IFERROR(IF(0=LEN(ReferenceData!$F$442),"",ReferenceData!$F$442),"")</x:f>
        <x:v>4.3699199999999996</x:v>
      </x:c>
      <x:c r="G442">
        <x:f ca="1">IFERROR(IF(0=LEN(ReferenceData!$G$442),"",ReferenceData!$G$442),"")</x:f>
        <x:v>68.820700000000002</x:v>
      </x:c>
      <x:c r="H442">
        <x:f ca="1">IFERROR(IF(0=LEN(ReferenceData!$H$442),"",ReferenceData!$H$442),"")</x:f>
        <x:v>29.603535000000001</x:v>
      </x:c>
      <x:c r="I442">
        <x:f ca="1">IFERROR(IF(0=LEN(ReferenceData!$I$442),"",ReferenceData!$I$442),"")</x:f>
        <x:v>1.5163800000000001</x:v>
      </x:c>
      <x:c r="J442">
        <x:f ca="1">IFERROR(IF(0=LEN(ReferenceData!$J$442),"",ReferenceData!$J$442),"")</x:f>
        <x:v>49.766374999999996</x:v>
      </x:c>
      <x:c r="K442">
        <x:f ca="1">IFERROR(IF(0=LEN(ReferenceData!$K$442),"",ReferenceData!$K$442),"")</x:f>
        <x:v>44.568460000000002</x:v>
      </x:c>
      <x:c r="L442">
        <x:f ca="1">IFERROR(IF(0=LEN(ReferenceData!$L$442),"",ReferenceData!$L$442),"")</x:f>
        <x:v>99.504114999999999</x:v>
      </x:c>
      <x:c r="M442">
        <x:f ca="1">IFERROR(IF(0=LEN(ReferenceData!$M$442),"",ReferenceData!$M$442),"")</x:f>
        <x:v>-19.470894999999999</x:v>
      </x:c>
      <x:c r="N442">
        <x:f ca="1">IFERROR(IF(0=LEN(ReferenceData!$N$442),"",ReferenceData!$N$442),"")</x:f>
        <x:v>5.199605</x:v>
      </x:c>
      <x:c r="O442">
        <x:f ca="1">IFERROR(IF(0=LEN(ReferenceData!$O$442),"",ReferenceData!$O$442),"")</x:f>
        <x:v>-8.2965750000000007</x:v>
      </x:c>
      <x:c r="P442">
        <x:f ca="1">IFERROR(IF(0=LEN(ReferenceData!$P$442),"",ReferenceData!$P$442),"")</x:f>
        <x:v>4.8238599999999998</x:v>
      </x:c>
      <x:c r="Q442">
        <x:f ca="1">IFERROR(IF(0=LEN(ReferenceData!$Q$442),"",ReferenceData!$Q$442),"")</x:f>
        <x:v>43.871859999999998</x:v>
      </x:c>
      <x:c r="R442">
        <x:f ca="1">IFERROR(IF(0=LEN(ReferenceData!$R$442),"",ReferenceData!$R$442),"")</x:f>
        <x:v>113.18643</x:v>
      </x:c>
      <x:c r="S442">
        <x:f ca="1">IFERROR(IF(0=LEN(ReferenceData!$S$442),"",ReferenceData!$S$442),"")</x:f>
        <x:v>77.205534999999998</x:v>
      </x:c>
    </x:row>
    <x:row r="443" spans="1:19" x14ac:dyDescent="0.25">
      <x:c r="A443" t="str">
        <x:f>IFERROR(IF(0=LEN(ReferenceData!$A$443),"",ReferenceData!$A$443),"")</x:f>
        <x:v xml:space="preserve">        Invesco KBW Premium Yield Equi</x:v>
      </x:c>
      <x:c r="B443" t="str">
        <x:f>IFERROR(IF(0=LEN(ReferenceData!$B$443),"",ReferenceData!$B$443),"")</x:f>
        <x:v>KBWY US Equity</x:v>
      </x:c>
      <x:c r="C443" t="str">
        <x:f>IFERROR(IF(0=LEN(ReferenceData!$C$443),"",ReferenceData!$C$443),"")</x:f>
        <x:v/>
      </x:c>
      <x:c r="D443" t="str">
        <x:f>IFERROR(IF(0=LEN(ReferenceData!$D$443),"",ReferenceData!$D$443),"")</x:f>
        <x:v/>
      </x:c>
      <x:c r="E443" t="str">
        <x:f>IFERROR(IF(0=LEN(ReferenceData!$E$443),"",ReferenceData!$E$443),"")</x:f>
        <x:v>Expression</x:v>
      </x:c>
      <x:c r="F443">
        <x:f ca="1">IFERROR(IF(0=LEN(ReferenceData!$F$443),"",ReferenceData!$F$443),"")</x:f>
        <x:v>0.96504900000000005</x:v>
      </x:c>
      <x:c r="G443">
        <x:f ca="1">IFERROR(IF(0=LEN(ReferenceData!$G$443),"",ReferenceData!$G$443),"")</x:f>
        <x:v>-9.4199120000000001</x:v>
      </x:c>
      <x:c r="H443">
        <x:f ca="1">IFERROR(IF(0=LEN(ReferenceData!$H$443),"",ReferenceData!$H$443),"")</x:f>
        <x:v>0</x:v>
      </x:c>
      <x:c r="I443">
        <x:f ca="1">IFERROR(IF(0=LEN(ReferenceData!$I$443),"",ReferenceData!$I$443),"")</x:f>
        <x:v>-6.2231480000000001</x:v>
      </x:c>
      <x:c r="J443">
        <x:f ca="1">IFERROR(IF(0=LEN(ReferenceData!$J$443),"",ReferenceData!$J$443),"")</x:f>
        <x:v>0</x:v>
      </x:c>
      <x:c r="K443">
        <x:f ca="1">IFERROR(IF(0=LEN(ReferenceData!$K$443),"",ReferenceData!$K$443),"")</x:f>
        <x:v>11.988747</x:v>
      </x:c>
      <x:c r="L443">
        <x:f ca="1">IFERROR(IF(0=LEN(ReferenceData!$L$443),"",ReferenceData!$L$443),"")</x:f>
        <x:v>-2.353675</x:v>
      </x:c>
      <x:c r="M443">
        <x:f ca="1">IFERROR(IF(0=LEN(ReferenceData!$M$443),"",ReferenceData!$M$443),"")</x:f>
        <x:v>-14.554176</x:v>
      </x:c>
      <x:c r="N443">
        <x:f ca="1">IFERROR(IF(0=LEN(ReferenceData!$N$443),"",ReferenceData!$N$443),"")</x:f>
        <x:v>1.615812</x:v>
      </x:c>
      <x:c r="O443">
        <x:f ca="1">IFERROR(IF(0=LEN(ReferenceData!$O$443),"",ReferenceData!$O$443),"")</x:f>
        <x:v>-7.8093880000000002</x:v>
      </x:c>
      <x:c r="P443">
        <x:f ca="1">IFERROR(IF(0=LEN(ReferenceData!$P$443),"",ReferenceData!$P$443),"")</x:f>
        <x:v>7.9741650000000002</x:v>
      </x:c>
      <x:c r="Q443">
        <x:f ca="1">IFERROR(IF(0=LEN(ReferenceData!$Q$443),"",ReferenceData!$Q$443),"")</x:f>
        <x:v>-1.60154</x:v>
      </x:c>
      <x:c r="R443">
        <x:f ca="1">IFERROR(IF(0=LEN(ReferenceData!$R$443),"",ReferenceData!$R$443),"")</x:f>
        <x:v>5.7844329999999999</x:v>
      </x:c>
      <x:c r="S443">
        <x:f ca="1">IFERROR(IF(0=LEN(ReferenceData!$S$443),"",ReferenceData!$S$443),"")</x:f>
        <x:v>-4.3993890000000002</x:v>
      </x:c>
    </x:row>
    <x:row r="444" spans="1:19" x14ac:dyDescent="0.25">
      <x:c r="A444" t="str">
        <x:f>IFERROR(IF(0=LEN(ReferenceData!$A$444),"",ReferenceData!$A$444),"")</x:f>
        <x:v xml:space="preserve">        ETRACS Monthly Pay 2xLeveraged</x:v>
      </x:c>
      <x:c r="B444" t="str">
        <x:f>IFERROR(IF(0=LEN(ReferenceData!$B$444),"",ReferenceData!$B$444),"")</x:f>
        <x:v>MORL US Equity</x:v>
      </x:c>
      <x:c r="C444" t="str">
        <x:f>IFERROR(IF(0=LEN(ReferenceData!$C$444),"",ReferenceData!$C$444),"")</x:f>
        <x:v/>
      </x:c>
      <x:c r="D444" t="str">
        <x:f>IFERROR(IF(0=LEN(ReferenceData!$D$444),"",ReferenceData!$D$444),"")</x:f>
        <x:v/>
      </x:c>
      <x:c r="E444" t="str">
        <x:f>IFERROR(IF(0=LEN(ReferenceData!$E$444),"",ReferenceData!$E$444),"")</x:f>
        <x:v>Expression</x:v>
      </x:c>
      <x:c r="F444" t="str">
        <x:f ca="1">IFERROR(IF(0=LEN(ReferenceData!$F$444),"",ReferenceData!$F$444),"")</x:f>
        <x:v/>
      </x:c>
      <x:c r="G444" t="str">
        <x:f ca="1">IFERROR(IF(0=LEN(ReferenceData!$G$444),"",ReferenceData!$G$444),"")</x:f>
        <x:v/>
      </x:c>
      <x:c r="H444" t="str">
        <x:f ca="1">IFERROR(IF(0=LEN(ReferenceData!$H$444),"",ReferenceData!$H$444),"")</x:f>
        <x:v/>
      </x:c>
      <x:c r="I444" t="str">
        <x:f ca="1">IFERROR(IF(0=LEN(ReferenceData!$I$444),"",ReferenceData!$I$444),"")</x:f>
        <x:v/>
      </x:c>
      <x:c r="J444" t="str">
        <x:f ca="1">IFERROR(IF(0=LEN(ReferenceData!$J$444),"",ReferenceData!$J$444),"")</x:f>
        <x:v/>
      </x:c>
      <x:c r="K444" t="str">
        <x:f ca="1">IFERROR(IF(0=LEN(ReferenceData!$K$444),"",ReferenceData!$K$444),"")</x:f>
        <x:v/>
      </x:c>
      <x:c r="L444" t="str">
        <x:f ca="1">IFERROR(IF(0=LEN(ReferenceData!$L$444),"",ReferenceData!$L$444),"")</x:f>
        <x:v/>
      </x:c>
      <x:c r="M444" t="str">
        <x:f ca="1">IFERROR(IF(0=LEN(ReferenceData!$M$444),"",ReferenceData!$M$444),"")</x:f>
        <x:v/>
      </x:c>
      <x:c r="N444" t="str">
        <x:f ca="1">IFERROR(IF(0=LEN(ReferenceData!$N$444),"",ReferenceData!$N$444),"")</x:f>
        <x:v/>
      </x:c>
      <x:c r="O444" t="str">
        <x:f ca="1">IFERROR(IF(0=LEN(ReferenceData!$O$444),"",ReferenceData!$O$444),"")</x:f>
        <x:v/>
      </x:c>
      <x:c r="P444" t="str">
        <x:f ca="1">IFERROR(IF(0=LEN(ReferenceData!$P$444),"",ReferenceData!$P$444),"")</x:f>
        <x:v/>
      </x:c>
      <x:c r="Q444" t="str">
        <x:f ca="1">IFERROR(IF(0=LEN(ReferenceData!$Q$444),"",ReferenceData!$Q$444),"")</x:f>
        <x:v/>
      </x:c>
      <x:c r="R444" t="str">
        <x:f ca="1">IFERROR(IF(0=LEN(ReferenceData!$R$444),"",ReferenceData!$R$444),"")</x:f>
        <x:v/>
      </x:c>
      <x:c r="S444" t="str">
        <x:f ca="1">IFERROR(IF(0=LEN(ReferenceData!$S$444),"",ReferenceData!$S$444),"")</x:f>
        <x:v/>
      </x:c>
    </x:row>
    <x:row r="445" spans="1:19" x14ac:dyDescent="0.25">
      <x:c r="A445" t="str">
        <x:f>IFERROR(IF(0=LEN(ReferenceData!$A$445),"",ReferenceData!$A$445),"")</x:f>
        <x:v xml:space="preserve">        Fidelity MSCI Real Estate Inde</x:v>
      </x:c>
      <x:c r="B445" t="str">
        <x:f>IFERROR(IF(0=LEN(ReferenceData!$B$445),"",ReferenceData!$B$445),"")</x:f>
        <x:v>FREL US Equity</x:v>
      </x:c>
      <x:c r="C445" t="str">
        <x:f>IFERROR(IF(0=LEN(ReferenceData!$C$445),"",ReferenceData!$C$445),"")</x:f>
        <x:v/>
      </x:c>
      <x:c r="D445" t="str">
        <x:f>IFERROR(IF(0=LEN(ReferenceData!$D$445),"",ReferenceData!$D$445),"")</x:f>
        <x:v/>
      </x:c>
      <x:c r="E445" t="str">
        <x:f>IFERROR(IF(0=LEN(ReferenceData!$E$445),"",ReferenceData!$E$445),"")</x:f>
        <x:v>Expression</x:v>
      </x:c>
      <x:c r="F445">
        <x:f ca="1">IFERROR(IF(0=LEN(ReferenceData!$F$445),"",ReferenceData!$F$445),"")</x:f>
        <x:v>-28.691230000000001</x:v>
      </x:c>
      <x:c r="G445">
        <x:f ca="1">IFERROR(IF(0=LEN(ReferenceData!$G$445),"",ReferenceData!$G$445),"")</x:f>
        <x:v>-5.48712</x:v>
      </x:c>
      <x:c r="H445">
        <x:f ca="1">IFERROR(IF(0=LEN(ReferenceData!$H$445),"",ReferenceData!$H$445),"")</x:f>
        <x:v>-10.513605</x:v>
      </x:c>
      <x:c r="I445">
        <x:f ca="1">IFERROR(IF(0=LEN(ReferenceData!$I$445),"",ReferenceData!$I$445),"")</x:f>
        <x:v>-1.2987899999999999</x:v>
      </x:c>
      <x:c r="J445">
        <x:f ca="1">IFERROR(IF(0=LEN(ReferenceData!$J$445),"",ReferenceData!$J$445),"")</x:f>
        <x:v>-8.9573350000000005</x:v>
      </x:c>
      <x:c r="K445">
        <x:f ca="1">IFERROR(IF(0=LEN(ReferenceData!$K$445),"",ReferenceData!$K$445),"")</x:f>
        <x:v>-35.934525000000001</x:v>
      </x:c>
      <x:c r="L445">
        <x:f ca="1">IFERROR(IF(0=LEN(ReferenceData!$L$445),"",ReferenceData!$L$445),"")</x:f>
        <x:v>-53.405929999999998</x:v>
      </x:c>
      <x:c r="M445">
        <x:f ca="1">IFERROR(IF(0=LEN(ReferenceData!$M$445),"",ReferenceData!$M$445),"")</x:f>
        <x:v>-59.242539999999998</x:v>
      </x:c>
      <x:c r="N445">
        <x:f ca="1">IFERROR(IF(0=LEN(ReferenceData!$N$445),"",ReferenceData!$N$445),"")</x:f>
        <x:v>-249.99963</x:v>
      </x:c>
      <x:c r="O445">
        <x:f ca="1">IFERROR(IF(0=LEN(ReferenceData!$O$445),"",ReferenceData!$O$445),"")</x:f>
        <x:v>-24.244820000000001</x:v>
      </x:c>
      <x:c r="P445">
        <x:f ca="1">IFERROR(IF(0=LEN(ReferenceData!$P$445),"",ReferenceData!$P$445),"")</x:f>
        <x:v>-13.07084</x:v>
      </x:c>
      <x:c r="Q445">
        <x:f ca="1">IFERROR(IF(0=LEN(ReferenceData!$Q$445),"",ReferenceData!$Q$445),"")</x:f>
        <x:v>-24.311859999999999</x:v>
      </x:c>
      <x:c r="R445">
        <x:f ca="1">IFERROR(IF(0=LEN(ReferenceData!$R$445),"",ReferenceData!$R$445),"")</x:f>
        <x:v>-10.205875000000001</x:v>
      </x:c>
      <x:c r="S445">
        <x:f ca="1">IFERROR(IF(0=LEN(ReferenceData!$S$445),"",ReferenceData!$S$445),"")</x:f>
        <x:v>-22.835795000000001</x:v>
      </x:c>
    </x:row>
    <x:row r="446" spans="1:19" x14ac:dyDescent="0.25">
      <x:c r="A446" t="str">
        <x:f>IFERROR(IF(0=LEN(ReferenceData!$A$446),"",ReferenceData!$A$446),"")</x:f>
        <x:v xml:space="preserve">        FlexShares Global Quality Real</x:v>
      </x:c>
      <x:c r="B446" t="str">
        <x:f>IFERROR(IF(0=LEN(ReferenceData!$B$446),"",ReferenceData!$B$446),"")</x:f>
        <x:v>GQRE US Equity</x:v>
      </x:c>
      <x:c r="C446" t="str">
        <x:f>IFERROR(IF(0=LEN(ReferenceData!$C$446),"",ReferenceData!$C$446),"")</x:f>
        <x:v/>
      </x:c>
      <x:c r="D446" t="str">
        <x:f>IFERROR(IF(0=LEN(ReferenceData!$D$446),"",ReferenceData!$D$446),"")</x:f>
        <x:v/>
      </x:c>
      <x:c r="E446" t="str">
        <x:f>IFERROR(IF(0=LEN(ReferenceData!$E$446),"",ReferenceData!$E$446),"")</x:f>
        <x:v>Expression</x:v>
      </x:c>
      <x:c r="F446">
        <x:f ca="1">IFERROR(IF(0=LEN(ReferenceData!$F$446),"",ReferenceData!$F$446),"")</x:f>
        <x:v>14.95786</x:v>
      </x:c>
      <x:c r="G446">
        <x:f ca="1">IFERROR(IF(0=LEN(ReferenceData!$G$446),"",ReferenceData!$G$446),"")</x:f>
        <x:v>-25.634115000000001</x:v>
      </x:c>
      <x:c r="H446">
        <x:f ca="1">IFERROR(IF(0=LEN(ReferenceData!$H$446),"",ReferenceData!$H$446),"")</x:f>
        <x:v>0</x:v>
      </x:c>
      <x:c r="I446">
        <x:f ca="1">IFERROR(IF(0=LEN(ReferenceData!$I$446),"",ReferenceData!$I$446),"")</x:f>
        <x:v>-5.1804300000000003</x:v>
      </x:c>
      <x:c r="J446">
        <x:f ca="1">IFERROR(IF(0=LEN(ReferenceData!$J$446),"",ReferenceData!$J$446),"")</x:f>
        <x:v>0</x:v>
      </x:c>
      <x:c r="K446">
        <x:f ca="1">IFERROR(IF(0=LEN(ReferenceData!$K$446),"",ReferenceData!$K$446),"")</x:f>
        <x:v>-5.2254100000000001</x:v>
      </x:c>
      <x:c r="L446">
        <x:f ca="1">IFERROR(IF(0=LEN(ReferenceData!$L$446),"",ReferenceData!$L$446),"")</x:f>
        <x:v>-7.8371750000000002</x:v>
      </x:c>
      <x:c r="M446">
        <x:f ca="1">IFERROR(IF(0=LEN(ReferenceData!$M$446),"",ReferenceData!$M$446),"")</x:f>
        <x:v>-2.64466</x:v>
      </x:c>
      <x:c r="N446">
        <x:f ca="1">IFERROR(IF(0=LEN(ReferenceData!$N$446),"",ReferenceData!$N$446),"")</x:f>
        <x:v>-8.128425</x:v>
      </x:c>
      <x:c r="O446">
        <x:f ca="1">IFERROR(IF(0=LEN(ReferenceData!$O$446),"",ReferenceData!$O$446),"")</x:f>
        <x:v>5.4600900000000001</x:v>
      </x:c>
      <x:c r="P446">
        <x:f ca="1">IFERROR(IF(0=LEN(ReferenceData!$P$446),"",ReferenceData!$P$446),"")</x:f>
        <x:v>-2.8137850000000002</x:v>
      </x:c>
      <x:c r="Q446">
        <x:f ca="1">IFERROR(IF(0=LEN(ReferenceData!$Q$446),"",ReferenceData!$Q$446),"")</x:f>
        <x:v>-2.6264400000000001</x:v>
      </x:c>
      <x:c r="R446">
        <x:f ca="1">IFERROR(IF(0=LEN(ReferenceData!$R$446),"",ReferenceData!$R$446),"")</x:f>
        <x:v>1.5925000000000002E-2</x:v>
      </x:c>
      <x:c r="S446">
        <x:f ca="1">IFERROR(IF(0=LEN(ReferenceData!$S$446),"",ReferenceData!$S$446),"")</x:f>
        <x:v>-2.4799099999999998</x:v>
      </x:c>
    </x:row>
    <x:row r="447" spans="1:19" x14ac:dyDescent="0.25">
      <x:c r="A447" t="str">
        <x:f>IFERROR(IF(0=LEN(ReferenceData!$A$447),"",ReferenceData!$A$447),"")</x:f>
        <x:v xml:space="preserve">        First Trust S&amp;P REIT Index Fun</x:v>
      </x:c>
      <x:c r="B447" t="str">
        <x:f>IFERROR(IF(0=LEN(ReferenceData!$B$447),"",ReferenceData!$B$447),"")</x:f>
        <x:v>FRI US Equity</x:v>
      </x:c>
      <x:c r="C447" t="str">
        <x:f>IFERROR(IF(0=LEN(ReferenceData!$C$447),"",ReferenceData!$C$447),"")</x:f>
        <x:v/>
      </x:c>
      <x:c r="D447" t="str">
        <x:f>IFERROR(IF(0=LEN(ReferenceData!$D$447),"",ReferenceData!$D$447),"")</x:f>
        <x:v/>
      </x:c>
      <x:c r="E447" t="str">
        <x:f>IFERROR(IF(0=LEN(ReferenceData!$E$447),"",ReferenceData!$E$447),"")</x:f>
        <x:v>Expression</x:v>
      </x:c>
      <x:c r="F447">
        <x:f ca="1">IFERROR(IF(0=LEN(ReferenceData!$F$447),"",ReferenceData!$F$447),"")</x:f>
        <x:v>-2.2361249999999999</x:v>
      </x:c>
      <x:c r="G447">
        <x:f ca="1">IFERROR(IF(0=LEN(ReferenceData!$G$447),"",ReferenceData!$G$447),"")</x:f>
        <x:v>-3.3938470000000001</x:v>
      </x:c>
      <x:c r="H447">
        <x:f ca="1">IFERROR(IF(0=LEN(ReferenceData!$H$447),"",ReferenceData!$H$447),"")</x:f>
        <x:v>-2.3211240000000002</x:v>
      </x:c>
      <x:c r="I447">
        <x:f ca="1">IFERROR(IF(0=LEN(ReferenceData!$I$447),"",ReferenceData!$I$447),"")</x:f>
        <x:v>3.7685</x:v>
      </x:c>
      <x:c r="J447">
        <x:f ca="1">IFERROR(IF(0=LEN(ReferenceData!$J$447),"",ReferenceData!$J$447),"")</x:f>
        <x:v>3.8085</x:v>
      </x:c>
      <x:c r="K447">
        <x:f ca="1">IFERROR(IF(0=LEN(ReferenceData!$K$447),"",ReferenceData!$K$447),"")</x:f>
        <x:v>-3.6724999999999999</x:v>
      </x:c>
      <x:c r="L447">
        <x:f ca="1">IFERROR(IF(0=LEN(ReferenceData!$L$447),"",ReferenceData!$L$447),"")</x:f>
        <x:v>-4.8514999999999997</x:v>
      </x:c>
      <x:c r="M447">
        <x:f ca="1">IFERROR(IF(0=LEN(ReferenceData!$M$447),"",ReferenceData!$M$447),"")</x:f>
        <x:v>-2.4E-2</x:v>
      </x:c>
      <x:c r="N447">
        <x:f ca="1">IFERROR(IF(0=LEN(ReferenceData!$N$447),"",ReferenceData!$N$447),"")</x:f>
        <x:v>0</x:v>
      </x:c>
      <x:c r="O447">
        <x:f ca="1">IFERROR(IF(0=LEN(ReferenceData!$O$447),"",ReferenceData!$O$447),"")</x:f>
        <x:v>-1.3045</x:v>
      </x:c>
      <x:c r="P447">
        <x:f ca="1">IFERROR(IF(0=LEN(ReferenceData!$P$447),"",ReferenceData!$P$447),"")</x:f>
        <x:v>-8.8230000000000004</x:v>
      </x:c>
      <x:c r="Q447">
        <x:f ca="1">IFERROR(IF(0=LEN(ReferenceData!$Q$447),"",ReferenceData!$Q$447),"")</x:f>
        <x:v>-4.7856430000000003</x:v>
      </x:c>
      <x:c r="R447">
        <x:f ca="1">IFERROR(IF(0=LEN(ReferenceData!$R$447),"",ReferenceData!$R$447),"")</x:f>
        <x:v>-7.4914230000000002</x:v>
      </x:c>
      <x:c r="S447">
        <x:f ca="1">IFERROR(IF(0=LEN(ReferenceData!$S$447),"",ReferenceData!$S$447),"")</x:f>
        <x:v>-15.356688</x:v>
      </x:c>
    </x:row>
    <x:row r="448" spans="1:19" x14ac:dyDescent="0.25">
      <x:c r="A448" t="str">
        <x:f>IFERROR(IF(0=LEN(ReferenceData!$A$448),"",ReferenceData!$A$448),"")</x:f>
        <x:v xml:space="preserve">        ProShares Ultra Real Estate</x:v>
      </x:c>
      <x:c r="B448" t="str">
        <x:f>IFERROR(IF(0=LEN(ReferenceData!$B$448),"",ReferenceData!$B$448),"")</x:f>
        <x:v>URE US Equity</x:v>
      </x:c>
      <x:c r="C448" t="str">
        <x:f>IFERROR(IF(0=LEN(ReferenceData!$C$448),"",ReferenceData!$C$448),"")</x:f>
        <x:v/>
      </x:c>
      <x:c r="D448" t="str">
        <x:f>IFERROR(IF(0=LEN(ReferenceData!$D$448),"",ReferenceData!$D$448),"")</x:f>
        <x:v/>
      </x:c>
      <x:c r="E448" t="str">
        <x:f>IFERROR(IF(0=LEN(ReferenceData!$E$448),"",ReferenceData!$E$448),"")</x:f>
        <x:v>Expression</x:v>
      </x:c>
      <x:c r="F448">
        <x:f ca="1">IFERROR(IF(0=LEN(ReferenceData!$F$448),"",ReferenceData!$F$448),"")</x:f>
        <x:v>0</x:v>
      </x:c>
      <x:c r="G448">
        <x:f ca="1">IFERROR(IF(0=LEN(ReferenceData!$G$448),"",ReferenceData!$G$448),"")</x:f>
        <x:v>0</x:v>
      </x:c>
      <x:c r="H448">
        <x:f ca="1">IFERROR(IF(0=LEN(ReferenceData!$H$448),"",ReferenceData!$H$448),"")</x:f>
        <x:v>0</x:v>
      </x:c>
      <x:c r="I448">
        <x:f ca="1">IFERROR(IF(0=LEN(ReferenceData!$I$448),"",ReferenceData!$I$448),"")</x:f>
        <x:v>0</x:v>
      </x:c>
      <x:c r="J448">
        <x:f ca="1">IFERROR(IF(0=LEN(ReferenceData!$J$448),"",ReferenceData!$J$448),"")</x:f>
        <x:v>-1.457657</x:v>
      </x:c>
      <x:c r="K448">
        <x:f ca="1">IFERROR(IF(0=LEN(ReferenceData!$K$448),"",ReferenceData!$K$448),"")</x:f>
        <x:v>-1.4533180000000001</x:v>
      </x:c>
      <x:c r="L448">
        <x:f ca="1">IFERROR(IF(0=LEN(ReferenceData!$L$448),"",ReferenceData!$L$448),"")</x:f>
        <x:v>0</x:v>
      </x:c>
      <x:c r="M448">
        <x:f ca="1">IFERROR(IF(0=LEN(ReferenceData!$M$448),"",ReferenceData!$M$448),"")</x:f>
        <x:v>0</x:v>
      </x:c>
      <x:c r="N448">
        <x:f ca="1">IFERROR(IF(0=LEN(ReferenceData!$N$448),"",ReferenceData!$N$448),"")</x:f>
        <x:v>-8.4644999999999998E-2</x:v>
      </x:c>
      <x:c r="O448">
        <x:f ca="1">IFERROR(IF(0=LEN(ReferenceData!$O$448),"",ReferenceData!$O$448),"")</x:f>
        <x:v>0</x:v>
      </x:c>
      <x:c r="P448">
        <x:f ca="1">IFERROR(IF(0=LEN(ReferenceData!$P$448),"",ReferenceData!$P$448),"")</x:f>
        <x:v>-1.6304369999999999</x:v>
      </x:c>
      <x:c r="Q448">
        <x:f ca="1">IFERROR(IF(0=LEN(ReferenceData!$Q$448),"",ReferenceData!$Q$448),"")</x:f>
        <x:v>0</x:v>
      </x:c>
      <x:c r="R448">
        <x:f ca="1">IFERROR(IF(0=LEN(ReferenceData!$R$448),"",ReferenceData!$R$448),"")</x:f>
        <x:v>0</x:v>
      </x:c>
      <x:c r="S448">
        <x:f ca="1">IFERROR(IF(0=LEN(ReferenceData!$S$448),"",ReferenceData!$S$448),"")</x:f>
        <x:v>-1.3984019999999999</x:v>
      </x:c>
    </x:row>
    <x:row r="449" spans="1:19" x14ac:dyDescent="0.25">
      <x:c r="A449" t="str">
        <x:f>IFERROR(IF(0=LEN(ReferenceData!$A$449),"",ReferenceData!$A$449),"")</x:f>
        <x:v xml:space="preserve">        VanEck Mortgage REIT Income ET</x:v>
      </x:c>
      <x:c r="B449" t="str">
        <x:f>IFERROR(IF(0=LEN(ReferenceData!$B$449),"",ReferenceData!$B$449),"")</x:f>
        <x:v>MORT US Equity</x:v>
      </x:c>
      <x:c r="C449" t="str">
        <x:f>IFERROR(IF(0=LEN(ReferenceData!$C$449),"",ReferenceData!$C$449),"")</x:f>
        <x:v/>
      </x:c>
      <x:c r="D449" t="str">
        <x:f>IFERROR(IF(0=LEN(ReferenceData!$D$449),"",ReferenceData!$D$449),"")</x:f>
        <x:v/>
      </x:c>
      <x:c r="E449" t="str">
        <x:f>IFERROR(IF(0=LEN(ReferenceData!$E$449),"",ReferenceData!$E$449),"")</x:f>
        <x:v>Expression</x:v>
      </x:c>
      <x:c r="F449">
        <x:f ca="1">IFERROR(IF(0=LEN(ReferenceData!$F$449),"",ReferenceData!$F$449),"")</x:f>
        <x:v>0</x:v>
      </x:c>
      <x:c r="G449">
        <x:f ca="1">IFERROR(IF(0=LEN(ReferenceData!$G$449),"",ReferenceData!$G$449),"")</x:f>
        <x:v>6.2390499999999998</x:v>
      </x:c>
      <x:c r="H449">
        <x:f ca="1">IFERROR(IF(0=LEN(ReferenceData!$H$449),"",ReferenceData!$H$449),"")</x:f>
        <x:v>1.1284149999999999</x:v>
      </x:c>
      <x:c r="I449">
        <x:f ca="1">IFERROR(IF(0=LEN(ReferenceData!$I$449),"",ReferenceData!$I$449),"")</x:f>
        <x:v>2.3303999999999998E-2</x:v>
      </x:c>
      <x:c r="J449">
        <x:f ca="1">IFERROR(IF(0=LEN(ReferenceData!$J$449),"",ReferenceData!$J$449),"")</x:f>
        <x:v>3.0188459999999999</x:v>
      </x:c>
      <x:c r="K449">
        <x:f ca="1">IFERROR(IF(0=LEN(ReferenceData!$K$449),"",ReferenceData!$K$449),"")</x:f>
        <x:v>5.2343970000000004</x:v>
      </x:c>
      <x:c r="L449">
        <x:f ca="1">IFERROR(IF(0=LEN(ReferenceData!$L$449),"",ReferenceData!$L$449),"")</x:f>
        <x:v>3.1398009999999998</x:v>
      </x:c>
      <x:c r="M449">
        <x:f ca="1">IFERROR(IF(0=LEN(ReferenceData!$M$449),"",ReferenceData!$M$449),"")</x:f>
        <x:v>24.640986999999999</x:v>
      </x:c>
      <x:c r="N449">
        <x:f ca="1">IFERROR(IF(0=LEN(ReferenceData!$N$449),"",ReferenceData!$N$449),"")</x:f>
        <x:v>1.012006</x:v>
      </x:c>
      <x:c r="O449">
        <x:f ca="1">IFERROR(IF(0=LEN(ReferenceData!$O$449),"",ReferenceData!$O$449),"")</x:f>
        <x:v>7.2278010000000004</x:v>
      </x:c>
      <x:c r="P449">
        <x:f ca="1">IFERROR(IF(0=LEN(ReferenceData!$P$449),"",ReferenceData!$P$449),"")</x:f>
        <x:v>3.5849709999999999</x:v>
      </x:c>
      <x:c r="Q449">
        <x:f ca="1">IFERROR(IF(0=LEN(ReferenceData!$Q$449),"",ReferenceData!$Q$449),"")</x:f>
        <x:v>5.6350179999999996</x:v>
      </x:c>
      <x:c r="R449">
        <x:f ca="1">IFERROR(IF(0=LEN(ReferenceData!$R$449),"",ReferenceData!$R$449),"")</x:f>
        <x:v>3.7770980000000001</x:v>
      </x:c>
      <x:c r="S449">
        <x:f ca="1">IFERROR(IF(0=LEN(ReferenceData!$S$449),"",ReferenceData!$S$449),"")</x:f>
        <x:v>3.8635229999999998</x:v>
      </x:c>
    </x:row>
    <x:row r="450" spans="1:19" x14ac:dyDescent="0.25">
      <x:c r="A450" t="str">
        <x:f>IFERROR(IF(0=LEN(ReferenceData!$A$450),"",ReferenceData!$A$450),"")</x:f>
        <x:v xml:space="preserve">        iShares International Develope</x:v>
      </x:c>
      <x:c r="B450" t="str">
        <x:f>IFERROR(IF(0=LEN(ReferenceData!$B$450),"",ReferenceData!$B$450),"")</x:f>
        <x:v>WPS US Equity</x:v>
      </x:c>
      <x:c r="C450" t="str">
        <x:f>IFERROR(IF(0=LEN(ReferenceData!$C$450),"",ReferenceData!$C$450),"")</x:f>
        <x:v/>
      </x:c>
      <x:c r="D450" t="str">
        <x:f>IFERROR(IF(0=LEN(ReferenceData!$D$450),"",ReferenceData!$D$450),"")</x:f>
        <x:v/>
      </x:c>
      <x:c r="E450" t="str">
        <x:f>IFERROR(IF(0=LEN(ReferenceData!$E$450),"",ReferenceData!$E$450),"")</x:f>
        <x:v>Expression</x:v>
      </x:c>
      <x:c r="F450">
        <x:f ca="1">IFERROR(IF(0=LEN(ReferenceData!$F$450),"",ReferenceData!$F$450),"")</x:f>
        <x:v>-2.513884</x:v>
      </x:c>
      <x:c r="G450">
        <x:f ca="1">IFERROR(IF(0=LEN(ReferenceData!$G$450),"",ReferenceData!$G$450),"")</x:f>
        <x:v>0</x:v>
      </x:c>
      <x:c r="H450">
        <x:f ca="1">IFERROR(IF(0=LEN(ReferenceData!$H$450),"",ReferenceData!$H$450),"")</x:f>
        <x:v>0</x:v>
      </x:c>
      <x:c r="I450">
        <x:f ca="1">IFERROR(IF(0=LEN(ReferenceData!$I$450),"",ReferenceData!$I$450),"")</x:f>
        <x:v>0</x:v>
      </x:c>
      <x:c r="J450">
        <x:f ca="1">IFERROR(IF(0=LEN(ReferenceData!$J$450),"",ReferenceData!$J$450),"")</x:f>
        <x:v>-2.6133299999999999</x:v>
      </x:c>
      <x:c r="K450">
        <x:f ca="1">IFERROR(IF(0=LEN(ReferenceData!$K$450),"",ReferenceData!$K$450),"")</x:f>
        <x:v>0</x:v>
      </x:c>
      <x:c r="L450">
        <x:f ca="1">IFERROR(IF(0=LEN(ReferenceData!$L$450),"",ReferenceData!$L$450),"")</x:f>
        <x:v>0</x:v>
      </x:c>
      <x:c r="M450">
        <x:f ca="1">IFERROR(IF(0=LEN(ReferenceData!$M$450),"",ReferenceData!$M$450),"")</x:f>
        <x:v>0</x:v>
      </x:c>
      <x:c r="N450">
        <x:f ca="1">IFERROR(IF(0=LEN(ReferenceData!$N$450),"",ReferenceData!$N$450),"")</x:f>
        <x:v>0</x:v>
      </x:c>
      <x:c r="O450">
        <x:f ca="1">IFERROR(IF(0=LEN(ReferenceData!$O$450),"",ReferenceData!$O$450),"")</x:f>
        <x:v>0</x:v>
      </x:c>
      <x:c r="P450">
        <x:f ca="1">IFERROR(IF(0=LEN(ReferenceData!$P$450),"",ReferenceData!$P$450),"")</x:f>
        <x:v>-2.9533</x:v>
      </x:c>
      <x:c r="Q450">
        <x:f ca="1">IFERROR(IF(0=LEN(ReferenceData!$Q$450),"",ReferenceData!$Q$450),"")</x:f>
        <x:v>0</x:v>
      </x:c>
      <x:c r="R450">
        <x:f ca="1">IFERROR(IF(0=LEN(ReferenceData!$R$450),"",ReferenceData!$R$450),"")</x:f>
        <x:v>0</x:v>
      </x:c>
      <x:c r="S450">
        <x:f ca="1">IFERROR(IF(0=LEN(ReferenceData!$S$450),"",ReferenceData!$S$450),"")</x:f>
        <x:v>0</x:v>
      </x:c>
    </x:row>
    <x:row r="451" spans="1:19" x14ac:dyDescent="0.25">
      <x:c r="A451" t="str">
        <x:f>IFERROR(IF(0=LEN(ReferenceData!$A$451),"",ReferenceData!$A$451),"")</x:f>
        <x:v xml:space="preserve">        iShares Core US REIT ETF</x:v>
      </x:c>
      <x:c r="B451" t="str">
        <x:f>IFERROR(IF(0=LEN(ReferenceData!$B$451),"",ReferenceData!$B$451),"")</x:f>
        <x:v>USRT US Equity</x:v>
      </x:c>
      <x:c r="C451" t="str">
        <x:f>IFERROR(IF(0=LEN(ReferenceData!$C$451),"",ReferenceData!$C$451),"")</x:f>
        <x:v/>
      </x:c>
      <x:c r="D451" t="str">
        <x:f>IFERROR(IF(0=LEN(ReferenceData!$D$451),"",ReferenceData!$D$451),"")</x:f>
        <x:v/>
      </x:c>
      <x:c r="E451" t="str">
        <x:f>IFERROR(IF(0=LEN(ReferenceData!$E$451),"",ReferenceData!$E$451),"")</x:f>
        <x:v>Expression</x:v>
      </x:c>
      <x:c r="F451">
        <x:f ca="1">IFERROR(IF(0=LEN(ReferenceData!$F$451),"",ReferenceData!$F$451),"")</x:f>
        <x:v>14.178777999999999</x:v>
      </x:c>
      <x:c r="G451">
        <x:f ca="1">IFERROR(IF(0=LEN(ReferenceData!$G$451),"",ReferenceData!$G$451),"")</x:f>
        <x:v>71.857983000000004</x:v>
      </x:c>
      <x:c r="H451">
        <x:f ca="1">IFERROR(IF(0=LEN(ReferenceData!$H$451),"",ReferenceData!$H$451),"")</x:f>
        <x:v>22.441163</x:v>
      </x:c>
      <x:c r="I451">
        <x:f ca="1">IFERROR(IF(0=LEN(ReferenceData!$I$451),"",ReferenceData!$I$451),"")</x:f>
        <x:v>-91.334919999999997</x:v>
      </x:c>
      <x:c r="J451">
        <x:f ca="1">IFERROR(IF(0=LEN(ReferenceData!$J$451),"",ReferenceData!$J$451),"")</x:f>
        <x:v>18.350415000000002</x:v>
      </x:c>
      <x:c r="K451">
        <x:f ca="1">IFERROR(IF(0=LEN(ReferenceData!$K$451),"",ReferenceData!$K$451),"")</x:f>
        <x:v>175.98016999999999</x:v>
      </x:c>
      <x:c r="L451">
        <x:f ca="1">IFERROR(IF(0=LEN(ReferenceData!$L$451),"",ReferenceData!$L$451),"")</x:f>
        <x:v>-14.90619</x:v>
      </x:c>
      <x:c r="M451">
        <x:f ca="1">IFERROR(IF(0=LEN(ReferenceData!$M$451),"",ReferenceData!$M$451),"")</x:f>
        <x:v>-7.4539200000000001</x:v>
      </x:c>
      <x:c r="N451">
        <x:f ca="1">IFERROR(IF(0=LEN(ReferenceData!$N$451),"",ReferenceData!$N$451),"")</x:f>
        <x:v>-45.281165000000001</x:v>
      </x:c>
      <x:c r="O451">
        <x:f ca="1">IFERROR(IF(0=LEN(ReferenceData!$O$451),"",ReferenceData!$O$451),"")</x:f>
        <x:v>30.759264999999999</x:v>
      </x:c>
      <x:c r="P451">
        <x:f ca="1">IFERROR(IF(0=LEN(ReferenceData!$P$451),"",ReferenceData!$P$451),"")</x:f>
        <x:v>-33.874944999999997</x:v>
      </x:c>
      <x:c r="Q451">
        <x:f ca="1">IFERROR(IF(0=LEN(ReferenceData!$Q$451),"",ReferenceData!$Q$451),"")</x:f>
        <x:v>48.463380000000001</x:v>
      </x:c>
      <x:c r="R451">
        <x:f ca="1">IFERROR(IF(0=LEN(ReferenceData!$R$451),"",ReferenceData!$R$451),"")</x:f>
        <x:v>-28.037984999999999</x:v>
      </x:c>
      <x:c r="S451">
        <x:f ca="1">IFERROR(IF(0=LEN(ReferenceData!$S$451),"",ReferenceData!$S$451),"")</x:f>
        <x:v>42.805340000000001</x:v>
      </x:c>
    </x:row>
    <x:row r="452" spans="1:19" x14ac:dyDescent="0.25">
      <x:c r="A452" t="str">
        <x:f>IFERROR(IF(0=LEN(ReferenceData!$A$452),"",ReferenceData!$A$452),"")</x:f>
        <x:v xml:space="preserve">        IQ CBRE NextGen Real Estate ET</x:v>
      </x:c>
      <x:c r="B452" t="str">
        <x:f>IFERROR(IF(0=LEN(ReferenceData!$B$452),"",ReferenceData!$B$452),"")</x:f>
        <x:v>ROOF US Equity</x:v>
      </x:c>
      <x:c r="C452" t="str">
        <x:f>IFERROR(IF(0=LEN(ReferenceData!$C$452),"",ReferenceData!$C$452),"")</x:f>
        <x:v/>
      </x:c>
      <x:c r="D452" t="str">
        <x:f>IFERROR(IF(0=LEN(ReferenceData!$D$452),"",ReferenceData!$D$452),"")</x:f>
        <x:v/>
      </x:c>
      <x:c r="E452" t="str">
        <x:f>IFERROR(IF(0=LEN(ReferenceData!$E$452),"",ReferenceData!$E$452),"")</x:f>
        <x:v>Expression</x:v>
      </x:c>
      <x:c r="F452">
        <x:f ca="1">IFERROR(IF(0=LEN(ReferenceData!$F$452),"",ReferenceData!$F$452),"")</x:f>
        <x:v>0</x:v>
      </x:c>
      <x:c r="G452">
        <x:f ca="1">IFERROR(IF(0=LEN(ReferenceData!$G$452),"",ReferenceData!$G$452),"")</x:f>
        <x:v>-0.86795599999999995</x:v>
      </x:c>
      <x:c r="H452">
        <x:f ca="1">IFERROR(IF(0=LEN(ReferenceData!$H$452),"",ReferenceData!$H$452),"")</x:f>
        <x:v>0</x:v>
      </x:c>
      <x:c r="I452">
        <x:f ca="1">IFERROR(IF(0=LEN(ReferenceData!$I$452),"",ReferenceData!$I$452),"")</x:f>
        <x:v>-0.48486400000000002</x:v>
      </x:c>
      <x:c r="J452">
        <x:f ca="1">IFERROR(IF(0=LEN(ReferenceData!$J$452),"",ReferenceData!$J$452),"")</x:f>
        <x:v>0</x:v>
      </x:c>
      <x:c r="K452">
        <x:f ca="1">IFERROR(IF(0=LEN(ReferenceData!$K$452),"",ReferenceData!$K$452),"")</x:f>
        <x:v>-2.926688</x:v>
      </x:c>
      <x:c r="L452">
        <x:f ca="1">IFERROR(IF(0=LEN(ReferenceData!$L$452),"",ReferenceData!$L$452),"")</x:f>
        <x:v>0</x:v>
      </x:c>
      <x:c r="M452">
        <x:f ca="1">IFERROR(IF(0=LEN(ReferenceData!$M$452),"",ReferenceData!$M$452),"")</x:f>
        <x:v>-0.96680200000000005</x:v>
      </x:c>
      <x:c r="N452">
        <x:f ca="1">IFERROR(IF(0=LEN(ReferenceData!$N$452),"",ReferenceData!$N$452),"")</x:f>
        <x:v>-1.862517</x:v>
      </x:c>
      <x:c r="O452">
        <x:f ca="1">IFERROR(IF(0=LEN(ReferenceData!$O$452),"",ReferenceData!$O$452),"")</x:f>
        <x:v>-0.98002299999999998</x:v>
      </x:c>
      <x:c r="P452">
        <x:f ca="1">IFERROR(IF(0=LEN(ReferenceData!$P$452),"",ReferenceData!$P$452),"")</x:f>
        <x:v>-1.0288090000000001</x:v>
      </x:c>
      <x:c r="Q452">
        <x:f ca="1">IFERROR(IF(0=LEN(ReferenceData!$Q$452),"",ReferenceData!$Q$452),"")</x:f>
        <x:v>0</x:v>
      </x:c>
      <x:c r="R452">
        <x:f ca="1">IFERROR(IF(0=LEN(ReferenceData!$R$452),"",ReferenceData!$R$452),"")</x:f>
        <x:v>0</x:v>
      </x:c>
      <x:c r="S452">
        <x:f ca="1">IFERROR(IF(0=LEN(ReferenceData!$S$452),"",ReferenceData!$S$452),"")</x:f>
        <x:v>-1.8093980000000001</x:v>
      </x:c>
    </x:row>
    <x:row r="453" spans="1:19" x14ac:dyDescent="0.25">
      <x:c r="A453" t="str">
        <x:f>IFERROR(IF(0=LEN(ReferenceData!$A$453),"",ReferenceData!$A$453),"")</x:f>
        <x:v xml:space="preserve">        WisdomTree New Economy Real Es</x:v>
      </x:c>
      <x:c r="B453" t="str">
        <x:f>IFERROR(IF(0=LEN(ReferenceData!$B$453),"",ReferenceData!$B$453),"")</x:f>
        <x:v>DRW US Equity</x:v>
      </x:c>
      <x:c r="C453" t="str">
        <x:f>IFERROR(IF(0=LEN(ReferenceData!$C$453),"",ReferenceData!$C$453),"")</x:f>
        <x:v/>
      </x:c>
      <x:c r="D453" t="str">
        <x:f>IFERROR(IF(0=LEN(ReferenceData!$D$453),"",ReferenceData!$D$453),"")</x:f>
        <x:v/>
      </x:c>
      <x:c r="E453" t="str">
        <x:f>IFERROR(IF(0=LEN(ReferenceData!$E$453),"",ReferenceData!$E$453),"")</x:f>
        <x:v>Expression</x:v>
      </x:c>
      <x:c r="F453">
        <x:f ca="1">IFERROR(IF(0=LEN(ReferenceData!$F$453),"",ReferenceData!$F$453),"")</x:f>
        <x:v>0</x:v>
      </x:c>
      <x:c r="G453">
        <x:f ca="1">IFERROR(IF(0=LEN(ReferenceData!$G$453),"",ReferenceData!$G$453),"")</x:f>
        <x:v>-0.73824299999999998</x:v>
      </x:c>
      <x:c r="H453">
        <x:f ca="1">IFERROR(IF(0=LEN(ReferenceData!$H$453),"",ReferenceData!$H$453),"")</x:f>
        <x:v>-0.84201400000000004</x:v>
      </x:c>
      <x:c r="I453">
        <x:f ca="1">IFERROR(IF(0=LEN(ReferenceData!$I$453),"",ReferenceData!$I$453),"")</x:f>
        <x:v>-0.85887800000000003</x:v>
      </x:c>
      <x:c r="J453">
        <x:f ca="1">IFERROR(IF(0=LEN(ReferenceData!$J$453),"",ReferenceData!$J$453),"")</x:f>
        <x:v>-0.87355099999999997</x:v>
      </x:c>
      <x:c r="K453">
        <x:f ca="1">IFERROR(IF(0=LEN(ReferenceData!$K$453),"",ReferenceData!$K$453),"")</x:f>
        <x:v>0</x:v>
      </x:c>
      <x:c r="L453">
        <x:f ca="1">IFERROR(IF(0=LEN(ReferenceData!$L$453),"",ReferenceData!$L$453),"")</x:f>
        <x:v>-1.646485</x:v>
      </x:c>
      <x:c r="M453">
        <x:f ca="1">IFERROR(IF(0=LEN(ReferenceData!$M$453),"",ReferenceData!$M$453),"")</x:f>
        <x:v>0</x:v>
      </x:c>
      <x:c r="N453">
        <x:f ca="1">IFERROR(IF(0=LEN(ReferenceData!$N$453),"",ReferenceData!$N$453),"")</x:f>
        <x:v>0</x:v>
      </x:c>
      <x:c r="O453">
        <x:f ca="1">IFERROR(IF(0=LEN(ReferenceData!$O$453),"",ReferenceData!$O$453),"")</x:f>
        <x:v>-1.8589929999999999</x:v>
      </x:c>
      <x:c r="P453">
        <x:f ca="1">IFERROR(IF(0=LEN(ReferenceData!$P$453),"",ReferenceData!$P$453),"")</x:f>
        <x:v>-2.7288589999999999</x:v>
      </x:c>
      <x:c r="Q453">
        <x:f ca="1">IFERROR(IF(0=LEN(ReferenceData!$Q$453),"",ReferenceData!$Q$453),"")</x:f>
        <x:v>-2.4912860000000001</x:v>
      </x:c>
      <x:c r="R453">
        <x:f ca="1">IFERROR(IF(0=LEN(ReferenceData!$R$453),"",ReferenceData!$R$453),"")</x:f>
        <x:v>-0.79524300000000003</x:v>
      </x:c>
      <x:c r="S453">
        <x:f ca="1">IFERROR(IF(0=LEN(ReferenceData!$S$453),"",ReferenceData!$S$453),"")</x:f>
        <x:v>0</x:v>
      </x:c>
    </x:row>
    <x:row r="454" spans="1:19" x14ac:dyDescent="0.25">
      <x:c r="A454" t="str">
        <x:f>IFERROR(IF(0=LEN(ReferenceData!$A$454),"",ReferenceData!$A$454),"")</x:f>
        <x:v xml:space="preserve">        ALPS REIT Dividend Dogs ETF</x:v>
      </x:c>
      <x:c r="B454" t="str">
        <x:f>IFERROR(IF(0=LEN(ReferenceData!$B$454),"",ReferenceData!$B$454),"")</x:f>
        <x:v>RDOG US Equity</x:v>
      </x:c>
      <x:c r="C454" t="str">
        <x:f>IFERROR(IF(0=LEN(ReferenceData!$C$454),"",ReferenceData!$C$454),"")</x:f>
        <x:v/>
      </x:c>
      <x:c r="D454" t="str">
        <x:f>IFERROR(IF(0=LEN(ReferenceData!$D$454),"",ReferenceData!$D$454),"")</x:f>
        <x:v/>
      </x:c>
      <x:c r="E454" t="str">
        <x:f>IFERROR(IF(0=LEN(ReferenceData!$E$454),"",ReferenceData!$E$454),"")</x:f>
        <x:v>Expression</x:v>
      </x:c>
      <x:c r="F454">
        <x:f ca="1">IFERROR(IF(0=LEN(ReferenceData!$F$454),"",ReferenceData!$F$454),"")</x:f>
        <x:v>0</x:v>
      </x:c>
      <x:c r="G454">
        <x:f ca="1">IFERROR(IF(0=LEN(ReferenceData!$G$454),"",ReferenceData!$G$454),"")</x:f>
        <x:v>0</x:v>
      </x:c>
      <x:c r="H454">
        <x:f ca="1">IFERROR(IF(0=LEN(ReferenceData!$H$454),"",ReferenceData!$H$454),"")</x:f>
        <x:v>-0.83596099999999995</x:v>
      </x:c>
      <x:c r="I454">
        <x:f ca="1">IFERROR(IF(0=LEN(ReferenceData!$I$454),"",ReferenceData!$I$454),"")</x:f>
        <x:v>-0.92547000000000001</x:v>
      </x:c>
      <x:c r="J454">
        <x:f ca="1">IFERROR(IF(0=LEN(ReferenceData!$J$454),"",ReferenceData!$J$454),"")</x:f>
        <x:v>-1.849515</x:v>
      </x:c>
      <x:c r="K454">
        <x:f ca="1">IFERROR(IF(0=LEN(ReferenceData!$K$454),"",ReferenceData!$K$454),"")</x:f>
        <x:v>0</x:v>
      </x:c>
      <x:c r="L454">
        <x:f ca="1">IFERROR(IF(0=LEN(ReferenceData!$L$454),"",ReferenceData!$L$454),"")</x:f>
        <x:v>0</x:v>
      </x:c>
      <x:c r="M454">
        <x:f ca="1">IFERROR(IF(0=LEN(ReferenceData!$M$454),"",ReferenceData!$M$454),"")</x:f>
        <x:v>-1.7641910000000001</x:v>
      </x:c>
      <x:c r="N454">
        <x:f ca="1">IFERROR(IF(0=LEN(ReferenceData!$N$454),"",ReferenceData!$N$454),"")</x:f>
        <x:v>0</x:v>
      </x:c>
      <x:c r="O454">
        <x:f ca="1">IFERROR(IF(0=LEN(ReferenceData!$O$454),"",ReferenceData!$O$454),"")</x:f>
        <x:v>-1.0694250000000001</x:v>
      </x:c>
      <x:c r="P454">
        <x:f ca="1">IFERROR(IF(0=LEN(ReferenceData!$P$454),"",ReferenceData!$P$454),"")</x:f>
        <x:v>0</x:v>
      </x:c>
      <x:c r="Q454">
        <x:f ca="1">IFERROR(IF(0=LEN(ReferenceData!$Q$454),"",ReferenceData!$Q$454),"")</x:f>
        <x:v>0</x:v>
      </x:c>
      <x:c r="R454">
        <x:f ca="1">IFERROR(IF(0=LEN(ReferenceData!$R$454),"",ReferenceData!$R$454),"")</x:f>
        <x:v>-1.025156</x:v>
      </x:c>
      <x:c r="S454">
        <x:f ca="1">IFERROR(IF(0=LEN(ReferenceData!$S$454),"",ReferenceData!$S$454),"")</x:f>
        <x:v>0</x:v>
      </x:c>
    </x:row>
    <x:row r="455" spans="1:19" x14ac:dyDescent="0.25">
      <x:c r="A455" t="str">
        <x:f>IFERROR(IF(0=LEN(ReferenceData!$A$455),"",ReferenceData!$A$455),"")</x:f>
        <x:v xml:space="preserve">        Direxion Daily Real Estate Bul</x:v>
      </x:c>
      <x:c r="B455" t="str">
        <x:f>IFERROR(IF(0=LEN(ReferenceData!$B$455),"",ReferenceData!$B$455),"")</x:f>
        <x:v>DRN US Equity</x:v>
      </x:c>
      <x:c r="C455" t="str">
        <x:f>IFERROR(IF(0=LEN(ReferenceData!$C$455),"",ReferenceData!$C$455),"")</x:f>
        <x:v/>
      </x:c>
      <x:c r="D455" t="str">
        <x:f>IFERROR(IF(0=LEN(ReferenceData!$D$455),"",ReferenceData!$D$455),"")</x:f>
        <x:v/>
      </x:c>
      <x:c r="E455" t="str">
        <x:f>IFERROR(IF(0=LEN(ReferenceData!$E$455),"",ReferenceData!$E$455),"")</x:f>
        <x:v>Expression</x:v>
      </x:c>
      <x:c r="F455">
        <x:f ca="1">IFERROR(IF(0=LEN(ReferenceData!$F$455),"",ReferenceData!$F$455),"")</x:f>
        <x:v>-3.2895759999999998</x:v>
      </x:c>
      <x:c r="G455">
        <x:f ca="1">IFERROR(IF(0=LEN(ReferenceData!$G$455),"",ReferenceData!$G$455),"")</x:f>
        <x:v>4.708685</x:v>
      </x:c>
      <x:c r="H455">
        <x:f ca="1">IFERROR(IF(0=LEN(ReferenceData!$H$455),"",ReferenceData!$H$455),"")</x:f>
        <x:v>5.187881</x:v>
      </x:c>
      <x:c r="I455">
        <x:f ca="1">IFERROR(IF(0=LEN(ReferenceData!$I$455),"",ReferenceData!$I$455),"")</x:f>
        <x:v>1.299086</x:v>
      </x:c>
      <x:c r="J455">
        <x:f ca="1">IFERROR(IF(0=LEN(ReferenceData!$J$455),"",ReferenceData!$J$455),"")</x:f>
        <x:v>5.0502120000000001</x:v>
      </x:c>
      <x:c r="K455">
        <x:f ca="1">IFERROR(IF(0=LEN(ReferenceData!$K$455),"",ReferenceData!$K$455),"")</x:f>
        <x:v>-1.479652</x:v>
      </x:c>
      <x:c r="L455">
        <x:f ca="1">IFERROR(IF(0=LEN(ReferenceData!$L$455),"",ReferenceData!$L$455),"")</x:f>
        <x:v>1.7833540000000001</x:v>
      </x:c>
      <x:c r="M455">
        <x:f ca="1">IFERROR(IF(0=LEN(ReferenceData!$M$455),"",ReferenceData!$M$455),"")</x:f>
        <x:v>-3.74105</x:v>
      </x:c>
      <x:c r="N455">
        <x:f ca="1">IFERROR(IF(0=LEN(ReferenceData!$N$455),"",ReferenceData!$N$455),"")</x:f>
        <x:v>6.9189410000000002</x:v>
      </x:c>
      <x:c r="O455">
        <x:f ca="1">IFERROR(IF(0=LEN(ReferenceData!$O$455),"",ReferenceData!$O$455),"")</x:f>
        <x:v>-0.68291599999999997</x:v>
      </x:c>
      <x:c r="P455">
        <x:f ca="1">IFERROR(IF(0=LEN(ReferenceData!$P$455),"",ReferenceData!$P$455),"")</x:f>
        <x:v>1.1951099999999999</x:v>
      </x:c>
      <x:c r="Q455">
        <x:f ca="1">IFERROR(IF(0=LEN(ReferenceData!$Q$455),"",ReferenceData!$Q$455),"")</x:f>
        <x:v>-0.15939200000000001</x:v>
      </x:c>
      <x:c r="R455">
        <x:f ca="1">IFERROR(IF(0=LEN(ReferenceData!$R$455),"",ReferenceData!$R$455),"")</x:f>
        <x:v>-2.109591</x:v>
      </x:c>
      <x:c r="S455">
        <x:f ca="1">IFERROR(IF(0=LEN(ReferenceData!$S$455),"",ReferenceData!$S$455),"")</x:f>
        <x:v>7.0295230000000002</x:v>
      </x:c>
    </x:row>
    <x:row r="456" spans="1:19" x14ac:dyDescent="0.25">
      <x:c r="A456" t="str">
        <x:f>IFERROR(IF(0=LEN(ReferenceData!$A$456),"",ReferenceData!$A$456),"")</x:f>
        <x:v xml:space="preserve">        First Trust Alerian Disruptive</x:v>
      </x:c>
      <x:c r="B456" t="str">
        <x:f>IFERROR(IF(0=LEN(ReferenceData!$B$456),"",ReferenceData!$B$456),"")</x:f>
        <x:v>FFR US Equity</x:v>
      </x:c>
      <x:c r="C456" t="str">
        <x:f>IFERROR(IF(0=LEN(ReferenceData!$C$456),"",ReferenceData!$C$456),"")</x:f>
        <x:v/>
      </x:c>
      <x:c r="D456" t="str">
        <x:f>IFERROR(IF(0=LEN(ReferenceData!$D$456),"",ReferenceData!$D$456),"")</x:f>
        <x:v/>
      </x:c>
      <x:c r="E456" t="str">
        <x:f>IFERROR(IF(0=LEN(ReferenceData!$E$456),"",ReferenceData!$E$456),"")</x:f>
        <x:v>Expression</x:v>
      </x:c>
      <x:c r="F456">
        <x:f ca="1">IFERROR(IF(0=LEN(ReferenceData!$F$456),"",ReferenceData!$F$456),"")</x:f>
        <x:v>0</x:v>
      </x:c>
      <x:c r="G456">
        <x:f ca="1">IFERROR(IF(0=LEN(ReferenceData!$G$456),"",ReferenceData!$G$456),"")</x:f>
        <x:v>0</x:v>
      </x:c>
      <x:c r="H456">
        <x:f ca="1">IFERROR(IF(0=LEN(ReferenceData!$H$456),"",ReferenceData!$H$456),"")</x:f>
        <x:v>0</x:v>
      </x:c>
      <x:c r="I456">
        <x:f ca="1">IFERROR(IF(0=LEN(ReferenceData!$I$456),"",ReferenceData!$I$456),"")</x:f>
        <x:v>0</x:v>
      </x:c>
      <x:c r="J456">
        <x:f ca="1">IFERROR(IF(0=LEN(ReferenceData!$J$456),"",ReferenceData!$J$456),"")</x:f>
        <x:v>-2.0274999999999999</x:v>
      </x:c>
      <x:c r="K456">
        <x:f ca="1">IFERROR(IF(0=LEN(ReferenceData!$K$456),"",ReferenceData!$K$456),"")</x:f>
        <x:v>-1.9664999999999999</x:v>
      </x:c>
      <x:c r="L456">
        <x:f ca="1">IFERROR(IF(0=LEN(ReferenceData!$L$456),"",ReferenceData!$L$456),"")</x:f>
        <x:v>0</x:v>
      </x:c>
      <x:c r="M456">
        <x:f ca="1">IFERROR(IF(0=LEN(ReferenceData!$M$456),"",ReferenceData!$M$456),"")</x:f>
        <x:v>0</x:v>
      </x:c>
      <x:c r="N456">
        <x:f ca="1">IFERROR(IF(0=LEN(ReferenceData!$N$456),"",ReferenceData!$N$456),"")</x:f>
        <x:v>0</x:v>
      </x:c>
      <x:c r="O456">
        <x:f ca="1">IFERROR(IF(0=LEN(ReferenceData!$O$456),"",ReferenceData!$O$456),"")</x:f>
        <x:v>0</x:v>
      </x:c>
      <x:c r="P456">
        <x:f ca="1">IFERROR(IF(0=LEN(ReferenceData!$P$456),"",ReferenceData!$P$456),"")</x:f>
        <x:v>0</x:v>
      </x:c>
      <x:c r="Q456">
        <x:f ca="1">IFERROR(IF(0=LEN(ReferenceData!$Q$456),"",ReferenceData!$Q$456),"")</x:f>
        <x:v>0</x:v>
      </x:c>
      <x:c r="R456">
        <x:f ca="1">IFERROR(IF(0=LEN(ReferenceData!$R$456),"",ReferenceData!$R$456),"")</x:f>
        <x:v>0</x:v>
      </x:c>
      <x:c r="S456">
        <x:f ca="1">IFERROR(IF(0=LEN(ReferenceData!$S$456),"",ReferenceData!$S$456),"")</x:f>
        <x:v>0</x:v>
      </x:c>
    </x:row>
    <x:row r="457" spans="1:19" x14ac:dyDescent="0.25">
      <x:c r="A457" t="str">
        <x:f>IFERROR(IF(0=LEN(ReferenceData!$A$457),"",ReferenceData!$A$457),"")</x:f>
        <x:v xml:space="preserve">        Invesco China Real Estate ETF</x:v>
      </x:c>
      <x:c r="B457" t="str">
        <x:f>IFERROR(IF(0=LEN(ReferenceData!$B$457),"",ReferenceData!$B$457),"")</x:f>
        <x:v>TAO US Equity</x:v>
      </x:c>
      <x:c r="C457" t="str">
        <x:f>IFERROR(IF(0=LEN(ReferenceData!$C$457),"",ReferenceData!$C$457),"")</x:f>
        <x:v/>
      </x:c>
      <x:c r="D457" t="str">
        <x:f>IFERROR(IF(0=LEN(ReferenceData!$D$457),"",ReferenceData!$D$457),"")</x:f>
        <x:v/>
      </x:c>
      <x:c r="E457" t="str">
        <x:f>IFERROR(IF(0=LEN(ReferenceData!$E$457),"",ReferenceData!$E$457),"")</x:f>
        <x:v>Expression</x:v>
      </x:c>
      <x:c r="F457" t="str">
        <x:f ca="1">IFERROR(IF(0=LEN(ReferenceData!$F$457),"",ReferenceData!$F$457),"")</x:f>
        <x:v/>
      </x:c>
      <x:c r="G457" t="str">
        <x:f ca="1">IFERROR(IF(0=LEN(ReferenceData!$G$457),"",ReferenceData!$G$457),"")</x:f>
        <x:v/>
      </x:c>
      <x:c r="H457" t="str">
        <x:f ca="1">IFERROR(IF(0=LEN(ReferenceData!$H$457),"",ReferenceData!$H$457),"")</x:f>
        <x:v/>
      </x:c>
      <x:c r="I457" t="str">
        <x:f ca="1">IFERROR(IF(0=LEN(ReferenceData!$I$457),"",ReferenceData!$I$457),"")</x:f>
        <x:v/>
      </x:c>
      <x:c r="J457" t="str">
        <x:f ca="1">IFERROR(IF(0=LEN(ReferenceData!$J$457),"",ReferenceData!$J$457),"")</x:f>
        <x:v/>
      </x:c>
      <x:c r="K457" t="str">
        <x:f ca="1">IFERROR(IF(0=LEN(ReferenceData!$K$457),"",ReferenceData!$K$457),"")</x:f>
        <x:v/>
      </x:c>
      <x:c r="L457" t="str">
        <x:f ca="1">IFERROR(IF(0=LEN(ReferenceData!$L$457),"",ReferenceData!$L$457),"")</x:f>
        <x:v/>
      </x:c>
      <x:c r="M457" t="str">
        <x:f ca="1">IFERROR(IF(0=LEN(ReferenceData!$M$457),"",ReferenceData!$M$457),"")</x:f>
        <x:v/>
      </x:c>
      <x:c r="N457" t="str">
        <x:f ca="1">IFERROR(IF(0=LEN(ReferenceData!$N$457),"",ReferenceData!$N$457),"")</x:f>
        <x:v/>
      </x:c>
      <x:c r="O457" t="str">
        <x:f ca="1">IFERROR(IF(0=LEN(ReferenceData!$O$457),"",ReferenceData!$O$457),"")</x:f>
        <x:v/>
      </x:c>
      <x:c r="P457" t="str">
        <x:f ca="1">IFERROR(IF(0=LEN(ReferenceData!$P$457),"",ReferenceData!$P$457),"")</x:f>
        <x:v/>
      </x:c>
      <x:c r="Q457" t="str">
        <x:f ca="1">IFERROR(IF(0=LEN(ReferenceData!$Q$457),"",ReferenceData!$Q$457),"")</x:f>
        <x:v/>
      </x:c>
      <x:c r="R457" t="str">
        <x:f ca="1">IFERROR(IF(0=LEN(ReferenceData!$R$457),"",ReferenceData!$R$457),"")</x:f>
        <x:v/>
      </x:c>
      <x:c r="S457" t="str">
        <x:f ca="1">IFERROR(IF(0=LEN(ReferenceData!$S$457),"",ReferenceData!$S$457),"")</x:f>
        <x:v/>
      </x:c>
    </x:row>
    <x:row r="458" spans="1:19" x14ac:dyDescent="0.25">
      <x:c r="A458" t="str">
        <x:f>IFERROR(IF(0=LEN(ReferenceData!$A$458),"",ReferenceData!$A$458),"")</x:f>
        <x:v xml:space="preserve">        iShares Europe Developed Real</x:v>
      </x:c>
      <x:c r="B458" t="str">
        <x:f>IFERROR(IF(0=LEN(ReferenceData!$B$458),"",ReferenceData!$B$458),"")</x:f>
        <x:v>IFEU US Equity</x:v>
      </x:c>
      <x:c r="C458" t="str">
        <x:f>IFERROR(IF(0=LEN(ReferenceData!$C$458),"",ReferenceData!$C$458),"")</x:f>
        <x:v/>
      </x:c>
      <x:c r="D458" t="str">
        <x:f>IFERROR(IF(0=LEN(ReferenceData!$D$458),"",ReferenceData!$D$458),"")</x:f>
        <x:v/>
      </x:c>
      <x:c r="E458" t="str">
        <x:f>IFERROR(IF(0=LEN(ReferenceData!$E$458),"",ReferenceData!$E$458),"")</x:f>
        <x:v>Expression</x:v>
      </x:c>
      <x:c r="F458" t="str">
        <x:f ca="1">IFERROR(IF(0=LEN(ReferenceData!$F$458),"",ReferenceData!$F$458),"")</x:f>
        <x:v/>
      </x:c>
      <x:c r="G458" t="str">
        <x:f ca="1">IFERROR(IF(0=LEN(ReferenceData!$G$458),"",ReferenceData!$G$458),"")</x:f>
        <x:v/>
      </x:c>
      <x:c r="H458" t="str">
        <x:f ca="1">IFERROR(IF(0=LEN(ReferenceData!$H$458),"",ReferenceData!$H$458),"")</x:f>
        <x:v/>
      </x:c>
      <x:c r="I458" t="str">
        <x:f ca="1">IFERROR(IF(0=LEN(ReferenceData!$I$458),"",ReferenceData!$I$458),"")</x:f>
        <x:v/>
      </x:c>
      <x:c r="J458" t="str">
        <x:f ca="1">IFERROR(IF(0=LEN(ReferenceData!$J$458),"",ReferenceData!$J$458),"")</x:f>
        <x:v/>
      </x:c>
      <x:c r="K458" t="str">
        <x:f ca="1">IFERROR(IF(0=LEN(ReferenceData!$K$458),"",ReferenceData!$K$458),"")</x:f>
        <x:v/>
      </x:c>
      <x:c r="L458" t="str">
        <x:f ca="1">IFERROR(IF(0=LEN(ReferenceData!$L$458),"",ReferenceData!$L$458),"")</x:f>
        <x:v/>
      </x:c>
      <x:c r="M458" t="str">
        <x:f ca="1">IFERROR(IF(0=LEN(ReferenceData!$M$458),"",ReferenceData!$M$458),"")</x:f>
        <x:v/>
      </x:c>
      <x:c r="N458" t="str">
        <x:f ca="1">IFERROR(IF(0=LEN(ReferenceData!$N$458),"",ReferenceData!$N$458),"")</x:f>
        <x:v/>
      </x:c>
      <x:c r="O458" t="str">
        <x:f ca="1">IFERROR(IF(0=LEN(ReferenceData!$O$458),"",ReferenceData!$O$458),"")</x:f>
        <x:v/>
      </x:c>
      <x:c r="P458" t="str">
        <x:f ca="1">IFERROR(IF(0=LEN(ReferenceData!$P$458),"",ReferenceData!$P$458),"")</x:f>
        <x:v/>
      </x:c>
      <x:c r="Q458" t="str">
        <x:f ca="1">IFERROR(IF(0=LEN(ReferenceData!$Q$458),"",ReferenceData!$Q$458),"")</x:f>
        <x:v/>
      </x:c>
      <x:c r="R458" t="str">
        <x:f ca="1">IFERROR(IF(0=LEN(ReferenceData!$R$458),"",ReferenceData!$R$458),"")</x:f>
        <x:v/>
      </x:c>
      <x:c r="S458" t="str">
        <x:f ca="1">IFERROR(IF(0=LEN(ReferenceData!$S$458),"",ReferenceData!$S$458),"")</x:f>
        <x:v/>
      </x:c>
    </x:row>
    <x:row r="459" spans="1:19" x14ac:dyDescent="0.25">
      <x:c r="A459" t="str">
        <x:f>IFERROR(IF(0=LEN(ReferenceData!$A$459),"",ReferenceData!$A$459),"")</x:f>
        <x:v xml:space="preserve">        Global X SuperDividend REIT ET</x:v>
      </x:c>
      <x:c r="B459" t="str">
        <x:f>IFERROR(IF(0=LEN(ReferenceData!$B$459),"",ReferenceData!$B$459),"")</x:f>
        <x:v>SRET US Equity</x:v>
      </x:c>
      <x:c r="C459" t="str">
        <x:f>IFERROR(IF(0=LEN(ReferenceData!$C$459),"",ReferenceData!$C$459),"")</x:f>
        <x:v/>
      </x:c>
      <x:c r="D459" t="str">
        <x:f>IFERROR(IF(0=LEN(ReferenceData!$D$459),"",ReferenceData!$D$459),"")</x:f>
        <x:v/>
      </x:c>
      <x:c r="E459" t="str">
        <x:f>IFERROR(IF(0=LEN(ReferenceData!$E$459),"",ReferenceData!$E$459),"")</x:f>
        <x:v>Expression</x:v>
      </x:c>
      <x:c r="F459">
        <x:f ca="1">IFERROR(IF(0=LEN(ReferenceData!$F$459),"",ReferenceData!$F$459),"")</x:f>
        <x:v>0</x:v>
      </x:c>
      <x:c r="G459">
        <x:f ca="1">IFERROR(IF(0=LEN(ReferenceData!$G$459),"",ReferenceData!$G$459),"")</x:f>
        <x:v>4.1445999999999996</x:v>
      </x:c>
      <x:c r="H459">
        <x:f ca="1">IFERROR(IF(0=LEN(ReferenceData!$H$459),"",ReferenceData!$H$459),"")</x:f>
        <x:v>0</x:v>
      </x:c>
      <x:c r="I459">
        <x:f ca="1">IFERROR(IF(0=LEN(ReferenceData!$I$459),"",ReferenceData!$I$459),"")</x:f>
        <x:v>-6.7084000000000001</x:v>
      </x:c>
      <x:c r="J459">
        <x:f ca="1">IFERROR(IF(0=LEN(ReferenceData!$J$459),"",ReferenceData!$J$459),"")</x:f>
        <x:v>-2.3048000000000002</x:v>
      </x:c>
      <x:c r="K459">
        <x:f ca="1">IFERROR(IF(0=LEN(ReferenceData!$K$459),"",ReferenceData!$K$459),"")</x:f>
        <x:v>-8.4179999999999993</x:v>
      </x:c>
      <x:c r="L459">
        <x:f ca="1">IFERROR(IF(0=LEN(ReferenceData!$L$459),"",ReferenceData!$L$459),"")</x:f>
        <x:v>-3.6360000000000001</x:v>
      </x:c>
      <x:c r="M459">
        <x:f ca="1">IFERROR(IF(0=LEN(ReferenceData!$M$459),"",ReferenceData!$M$459),"")</x:f>
        <x:v>-4.3033000000000001</x:v>
      </x:c>
      <x:c r="N459">
        <x:f ca="1">IFERROR(IF(0=LEN(ReferenceData!$N$459),"",ReferenceData!$N$459),"")</x:f>
        <x:v>-4.6045999999999996</x:v>
      </x:c>
      <x:c r="O459">
        <x:f ca="1">IFERROR(IF(0=LEN(ReferenceData!$O$459),"",ReferenceData!$O$459),"")</x:f>
        <x:v>0</x:v>
      </x:c>
      <x:c r="P459">
        <x:f ca="1">IFERROR(IF(0=LEN(ReferenceData!$P$459),"",ReferenceData!$P$459),"")</x:f>
        <x:v>2.4289640000000001</x:v>
      </x:c>
      <x:c r="Q459">
        <x:f ca="1">IFERROR(IF(0=LEN(ReferenceData!$Q$459),"",ReferenceData!$Q$459),"")</x:f>
        <x:v>-5.8614170000000003</x:v>
      </x:c>
      <x:c r="R459">
        <x:f ca="1">IFERROR(IF(0=LEN(ReferenceData!$R$459),"",ReferenceData!$R$459),"")</x:f>
        <x:v>-5.2114000000000003</x:v>
      </x:c>
      <x:c r="S459">
        <x:f ca="1">IFERROR(IF(0=LEN(ReferenceData!$S$459),"",ReferenceData!$S$459),"")</x:f>
        <x:v>-1.6975</x:v>
      </x:c>
    </x:row>
    <x:row r="460" spans="1:19" x14ac:dyDescent="0.25">
      <x:c r="A460" t="str">
        <x:f>IFERROR(IF(0=LEN(ReferenceData!$A$460),"",ReferenceData!$A$460),"")</x:f>
        <x:v xml:space="preserve">        ProShares UltraShort Real Esta</x:v>
      </x:c>
      <x:c r="B460" t="str">
        <x:f>IFERROR(IF(0=LEN(ReferenceData!$B$460),"",ReferenceData!$B$460),"")</x:f>
        <x:v>SRS US Equity</x:v>
      </x:c>
      <x:c r="C460" t="str">
        <x:f>IFERROR(IF(0=LEN(ReferenceData!$C$460),"",ReferenceData!$C$460),"")</x:f>
        <x:v/>
      </x:c>
      <x:c r="D460" t="str">
        <x:f>IFERROR(IF(0=LEN(ReferenceData!$D$460),"",ReferenceData!$D$460),"")</x:f>
        <x:v/>
      </x:c>
      <x:c r="E460" t="str">
        <x:f>IFERROR(IF(0=LEN(ReferenceData!$E$460),"",ReferenceData!$E$460),"")</x:f>
        <x:v>Expression</x:v>
      </x:c>
      <x:c r="F460">
        <x:f ca="1">IFERROR(IF(0=LEN(ReferenceData!$F$460),"",ReferenceData!$F$460),"")</x:f>
        <x:v>-3.4058449999999998</x:v>
      </x:c>
      <x:c r="G460">
        <x:f ca="1">IFERROR(IF(0=LEN(ReferenceData!$G$460),"",ReferenceData!$G$460),"")</x:f>
        <x:v>-7.4564279999999998</x:v>
      </x:c>
      <x:c r="H460">
        <x:f ca="1">IFERROR(IF(0=LEN(ReferenceData!$H$460),"",ReferenceData!$H$460),"")</x:f>
        <x:v>0</x:v>
      </x:c>
      <x:c r="I460">
        <x:f ca="1">IFERROR(IF(0=LEN(ReferenceData!$I$460),"",ReferenceData!$I$460),"")</x:f>
        <x:v>-0.47379700000000002</x:v>
      </x:c>
      <x:c r="J460">
        <x:f ca="1">IFERROR(IF(0=LEN(ReferenceData!$J$460),"",ReferenceData!$J$460),"")</x:f>
        <x:v>-0.41578700000000002</x:v>
      </x:c>
      <x:c r="K460">
        <x:f ca="1">IFERROR(IF(0=LEN(ReferenceData!$K$460),"",ReferenceData!$K$460),"")</x:f>
        <x:v>-2.17564</x:v>
      </x:c>
      <x:c r="L460">
        <x:f ca="1">IFERROR(IF(0=LEN(ReferenceData!$L$460),"",ReferenceData!$L$460),"")</x:f>
        <x:v>3.6893150000000001</x:v>
      </x:c>
      <x:c r="M460">
        <x:f ca="1">IFERROR(IF(0=LEN(ReferenceData!$M$460),"",ReferenceData!$M$460),"")</x:f>
        <x:v>1.8519999999999998E-2</x:v>
      </x:c>
      <x:c r="N460">
        <x:f ca="1">IFERROR(IF(0=LEN(ReferenceData!$N$460),"",ReferenceData!$N$460),"")</x:f>
        <x:v>-3.7819799999999999</x:v>
      </x:c>
      <x:c r="O460">
        <x:f ca="1">IFERROR(IF(0=LEN(ReferenceData!$O$460),"",ReferenceData!$O$460),"")</x:f>
        <x:v>-2.2458450000000001</x:v>
      </x:c>
      <x:c r="P460">
        <x:f ca="1">IFERROR(IF(0=LEN(ReferenceData!$P$460),"",ReferenceData!$P$460),"")</x:f>
        <x:v>-2.1535299999999999</x:v>
      </x:c>
      <x:c r="Q460">
        <x:f ca="1">IFERROR(IF(0=LEN(ReferenceData!$Q$460),"",ReferenceData!$Q$460),"")</x:f>
        <x:v>6.2578800000000001</x:v>
      </x:c>
      <x:c r="R460">
        <x:f ca="1">IFERROR(IF(0=LEN(ReferenceData!$R$460),"",ReferenceData!$R$460),"")</x:f>
        <x:v>-0.96264000000000005</x:v>
      </x:c>
      <x:c r="S460">
        <x:f ca="1">IFERROR(IF(0=LEN(ReferenceData!$S$460),"",ReferenceData!$S$460),"")</x:f>
        <x:v>-12.18544</x:v>
      </x:c>
    </x:row>
    <x:row r="461" spans="1:19" x14ac:dyDescent="0.25">
      <x:c r="A461" t="str">
        <x:f>IFERROR(IF(0=LEN(ReferenceData!$A$461),"",ReferenceData!$A$461),"")</x:f>
        <x:v xml:space="preserve">        X-Links Monthly Pay 2x Leverag</x:v>
      </x:c>
      <x:c r="B461" t="str">
        <x:f>IFERROR(IF(0=LEN(ReferenceData!$B$461),"",ReferenceData!$B$461),"")</x:f>
        <x:v>REML US Equity</x:v>
      </x:c>
      <x:c r="C461" t="str">
        <x:f>IFERROR(IF(0=LEN(ReferenceData!$C$461),"",ReferenceData!$C$461),"")</x:f>
        <x:v/>
      </x:c>
      <x:c r="D461" t="str">
        <x:f>IFERROR(IF(0=LEN(ReferenceData!$D$461),"",ReferenceData!$D$461),"")</x:f>
        <x:v/>
      </x:c>
      <x:c r="E461" t="str">
        <x:f>IFERROR(IF(0=LEN(ReferenceData!$E$461),"",ReferenceData!$E$461),"")</x:f>
        <x:v>Expression</x:v>
      </x:c>
      <x:c r="F461" t="str">
        <x:f ca="1">IFERROR(IF(0=LEN(ReferenceData!$F$461),"",ReferenceData!$F$461),"")</x:f>
        <x:v/>
      </x:c>
      <x:c r="G461" t="str">
        <x:f ca="1">IFERROR(IF(0=LEN(ReferenceData!$G$461),"",ReferenceData!$G$461),"")</x:f>
        <x:v/>
      </x:c>
      <x:c r="H461" t="str">
        <x:f ca="1">IFERROR(IF(0=LEN(ReferenceData!$H$461),"",ReferenceData!$H$461),"")</x:f>
        <x:v/>
      </x:c>
      <x:c r="I461" t="str">
        <x:f ca="1">IFERROR(IF(0=LEN(ReferenceData!$I$461),"",ReferenceData!$I$461),"")</x:f>
        <x:v/>
      </x:c>
      <x:c r="J461" t="str">
        <x:f ca="1">IFERROR(IF(0=LEN(ReferenceData!$J$461),"",ReferenceData!$J$461),"")</x:f>
        <x:v/>
      </x:c>
      <x:c r="K461" t="str">
        <x:f ca="1">IFERROR(IF(0=LEN(ReferenceData!$K$461),"",ReferenceData!$K$461),"")</x:f>
        <x:v/>
      </x:c>
      <x:c r="L461" t="str">
        <x:f ca="1">IFERROR(IF(0=LEN(ReferenceData!$L$461),"",ReferenceData!$L$461),"")</x:f>
        <x:v/>
      </x:c>
      <x:c r="M461" t="str">
        <x:f ca="1">IFERROR(IF(0=LEN(ReferenceData!$M$461),"",ReferenceData!$M$461),"")</x:f>
        <x:v/>
      </x:c>
      <x:c r="N461" t="str">
        <x:f ca="1">IFERROR(IF(0=LEN(ReferenceData!$N$461),"",ReferenceData!$N$461),"")</x:f>
        <x:v/>
      </x:c>
      <x:c r="O461" t="str">
        <x:f ca="1">IFERROR(IF(0=LEN(ReferenceData!$O$461),"",ReferenceData!$O$461),"")</x:f>
        <x:v/>
      </x:c>
      <x:c r="P461" t="str">
        <x:f ca="1">IFERROR(IF(0=LEN(ReferenceData!$P$461),"",ReferenceData!$P$461),"")</x:f>
        <x:v/>
      </x:c>
      <x:c r="Q461" t="str">
        <x:f ca="1">IFERROR(IF(0=LEN(ReferenceData!$Q$461),"",ReferenceData!$Q$461),"")</x:f>
        <x:v/>
      </x:c>
      <x:c r="R461" t="str">
        <x:f ca="1">IFERROR(IF(0=LEN(ReferenceData!$R$461),"",ReferenceData!$R$461),"")</x:f>
        <x:v/>
      </x:c>
      <x:c r="S461" t="str">
        <x:f ca="1">IFERROR(IF(0=LEN(ReferenceData!$S$461),"",ReferenceData!$S$461),"")</x:f>
        <x:v/>
      </x:c>
    </x:row>
    <x:row r="462" spans="1:19" x14ac:dyDescent="0.25">
      <x:c r="A462" t="str">
        <x:f>IFERROR(IF(0=LEN(ReferenceData!$A$462),"",ReferenceData!$A$462),"")</x:f>
        <x:v xml:space="preserve">        Invesco Active US Real Estate</x:v>
      </x:c>
      <x:c r="B462" t="str">
        <x:f>IFERROR(IF(0=LEN(ReferenceData!$B$462),"",ReferenceData!$B$462),"")</x:f>
        <x:v>PSR US Equity</x:v>
      </x:c>
      <x:c r="C462" t="str">
        <x:f>IFERROR(IF(0=LEN(ReferenceData!$C$462),"",ReferenceData!$C$462),"")</x:f>
        <x:v/>
      </x:c>
      <x:c r="D462" t="str">
        <x:f>IFERROR(IF(0=LEN(ReferenceData!$D$462),"",ReferenceData!$D$462),"")</x:f>
        <x:v/>
      </x:c>
      <x:c r="E462" t="str">
        <x:f>IFERROR(IF(0=LEN(ReferenceData!$E$462),"",ReferenceData!$E$462),"")</x:f>
        <x:v>Expression</x:v>
      </x:c>
      <x:c r="F462">
        <x:f ca="1">IFERROR(IF(0=LEN(ReferenceData!$F$462),"",ReferenceData!$F$462),"")</x:f>
        <x:v>1.003711</x:v>
      </x:c>
      <x:c r="G462">
        <x:f ca="1">IFERROR(IF(0=LEN(ReferenceData!$G$462),"",ReferenceData!$G$462),"")</x:f>
        <x:v>-3.7983099999999999</x:v>
      </x:c>
      <x:c r="H462">
        <x:f ca="1">IFERROR(IF(0=LEN(ReferenceData!$H$462),"",ReferenceData!$H$462),"")</x:f>
        <x:v>-2.5388950000000001</x:v>
      </x:c>
      <x:c r="I462">
        <x:f ca="1">IFERROR(IF(0=LEN(ReferenceData!$I$462),"",ReferenceData!$I$462),"")</x:f>
        <x:v>-5.149546</x:v>
      </x:c>
      <x:c r="J462">
        <x:f ca="1">IFERROR(IF(0=LEN(ReferenceData!$J$462),"",ReferenceData!$J$462),"")</x:f>
        <x:v>-6.1771140000000004</x:v>
      </x:c>
      <x:c r="K462">
        <x:f ca="1">IFERROR(IF(0=LEN(ReferenceData!$K$462),"",ReferenceData!$K$462),"")</x:f>
        <x:v>-2.6001409999999998</x:v>
      </x:c>
      <x:c r="L462">
        <x:f ca="1">IFERROR(IF(0=LEN(ReferenceData!$L$462),"",ReferenceData!$L$462),"")</x:f>
        <x:v>-2.4223490000000001</x:v>
      </x:c>
      <x:c r="M462">
        <x:f ca="1">IFERROR(IF(0=LEN(ReferenceData!$M$462),"",ReferenceData!$M$462),"")</x:f>
        <x:v>-2.6246619999999998</x:v>
      </x:c>
      <x:c r="N462">
        <x:f ca="1">IFERROR(IF(0=LEN(ReferenceData!$N$462),"",ReferenceData!$N$462),"")</x:f>
        <x:v>3.397E-2</x:v>
      </x:c>
      <x:c r="O462">
        <x:f ca="1">IFERROR(IF(0=LEN(ReferenceData!$O$462),"",ReferenceData!$O$462),"")</x:f>
        <x:v>-3.8032750000000002</x:v>
      </x:c>
      <x:c r="P462">
        <x:f ca="1">IFERROR(IF(0=LEN(ReferenceData!$P$462),"",ReferenceData!$P$462),"")</x:f>
        <x:v>-16.447707000000001</x:v>
      </x:c>
      <x:c r="Q462">
        <x:f ca="1">IFERROR(IF(0=LEN(ReferenceData!$Q$462),"",ReferenceData!$Q$462),"")</x:f>
        <x:v>18.383752000000001</x:v>
      </x:c>
      <x:c r="R462">
        <x:f ca="1">IFERROR(IF(0=LEN(ReferenceData!$R$462),"",ReferenceData!$R$462),"")</x:f>
        <x:v>10.829539</x:v>
      </x:c>
      <x:c r="S462">
        <x:f ca="1">IFERROR(IF(0=LEN(ReferenceData!$S$462),"",ReferenceData!$S$462),"")</x:f>
        <x:v>-0.14488300000000001</x:v>
      </x:c>
    </x:row>
    <x:row r="463" spans="1:19" x14ac:dyDescent="0.25">
      <x:c r="A463" t="str">
        <x:f>IFERROR(IF(0=LEN(ReferenceData!$A$463),"",ReferenceData!$A$463),"")</x:f>
        <x:v xml:space="preserve">        Invesco S&amp;P 500 Equal Weight R</x:v>
      </x:c>
      <x:c r="B463" t="str">
        <x:f>IFERROR(IF(0=LEN(ReferenceData!$B$463),"",ReferenceData!$B$463),"")</x:f>
        <x:v>EWRE US Equity</x:v>
      </x:c>
      <x:c r="C463" t="str">
        <x:f>IFERROR(IF(0=LEN(ReferenceData!$C$463),"",ReferenceData!$C$463),"")</x:f>
        <x:v/>
      </x:c>
      <x:c r="D463" t="str">
        <x:f>IFERROR(IF(0=LEN(ReferenceData!$D$463),"",ReferenceData!$D$463),"")</x:f>
        <x:v/>
      </x:c>
      <x:c r="E463" t="str">
        <x:f>IFERROR(IF(0=LEN(ReferenceData!$E$463),"",ReferenceData!$E$463),"")</x:f>
        <x:v>Expression</x:v>
      </x:c>
      <x:c r="F463">
        <x:f ca="1">IFERROR(IF(0=LEN(ReferenceData!$F$463),"",ReferenceData!$F$463),"")</x:f>
        <x:v>3.5008189999999999</x:v>
      </x:c>
      <x:c r="G463">
        <x:f ca="1">IFERROR(IF(0=LEN(ReferenceData!$G$463),"",ReferenceData!$G$463),"")</x:f>
        <x:v>2.178407</x:v>
      </x:c>
      <x:c r="H463">
        <x:f ca="1">IFERROR(IF(0=LEN(ReferenceData!$H$463),"",ReferenceData!$H$463),"")</x:f>
        <x:v>-11.996857</x:v>
      </x:c>
      <x:c r="I463">
        <x:f ca="1">IFERROR(IF(0=LEN(ReferenceData!$I$463),"",ReferenceData!$I$463),"")</x:f>
        <x:v>0.356018</x:v>
      </x:c>
      <x:c r="J463">
        <x:f ca="1">IFERROR(IF(0=LEN(ReferenceData!$J$463),"",ReferenceData!$J$463),"")</x:f>
        <x:v>-5.4480000000000001E-2</x:v>
      </x:c>
      <x:c r="K463">
        <x:f ca="1">IFERROR(IF(0=LEN(ReferenceData!$K$463),"",ReferenceData!$K$463),"")</x:f>
        <x:v>-4.6684910000000004</x:v>
      </x:c>
      <x:c r="L463" t="str">
        <x:f ca="1">IFERROR(IF(0=LEN(ReferenceData!$L$463),"",ReferenceData!$L$463),"")</x:f>
        <x:v/>
      </x:c>
      <x:c r="M463" t="str">
        <x:f ca="1">IFERROR(IF(0=LEN(ReferenceData!$M$463),"",ReferenceData!$M$463),"")</x:f>
        <x:v/>
      </x:c>
      <x:c r="N463" t="str">
        <x:f ca="1">IFERROR(IF(0=LEN(ReferenceData!$N$463),"",ReferenceData!$N$463),"")</x:f>
        <x:v/>
      </x:c>
      <x:c r="O463" t="str">
        <x:f ca="1">IFERROR(IF(0=LEN(ReferenceData!$O$463),"",ReferenceData!$O$463),"")</x:f>
        <x:v/>
      </x:c>
      <x:c r="P463" t="str">
        <x:f ca="1">IFERROR(IF(0=LEN(ReferenceData!$P$463),"",ReferenceData!$P$463),"")</x:f>
        <x:v/>
      </x:c>
      <x:c r="Q463" t="str">
        <x:f ca="1">IFERROR(IF(0=LEN(ReferenceData!$Q$463),"",ReferenceData!$Q$463),"")</x:f>
        <x:v/>
      </x:c>
      <x:c r="R463" t="str">
        <x:f ca="1">IFERROR(IF(0=LEN(ReferenceData!$R$463),"",ReferenceData!$R$463),"")</x:f>
        <x:v/>
      </x:c>
      <x:c r="S463" t="str">
        <x:f ca="1">IFERROR(IF(0=LEN(ReferenceData!$S$463),"",ReferenceData!$S$463),"")</x:f>
        <x:v/>
      </x:c>
    </x:row>
    <x:row r="464" spans="1:19" x14ac:dyDescent="0.25">
      <x:c r="A464" t="str">
        <x:f>IFERROR(IF(0=LEN(ReferenceData!$A$464),"",ReferenceData!$A$464),"")</x:f>
        <x:v xml:space="preserve">        Invesco Wilshire US REIT ETF</x:v>
      </x:c>
      <x:c r="B464" t="str">
        <x:f>IFERROR(IF(0=LEN(ReferenceData!$B$464),"",ReferenceData!$B$464),"")</x:f>
        <x:v>WREI US Equity</x:v>
      </x:c>
      <x:c r="C464" t="str">
        <x:f>IFERROR(IF(0=LEN(ReferenceData!$C$464),"",ReferenceData!$C$464),"")</x:f>
        <x:v/>
      </x:c>
      <x:c r="D464" t="str">
        <x:f>IFERROR(IF(0=LEN(ReferenceData!$D$464),"",ReferenceData!$D$464),"")</x:f>
        <x:v/>
      </x:c>
      <x:c r="E464" t="str">
        <x:f>IFERROR(IF(0=LEN(ReferenceData!$E$464),"",ReferenceData!$E$464),"")</x:f>
        <x:v>Expression</x:v>
      </x:c>
      <x:c r="F464" t="str">
        <x:f ca="1">IFERROR(IF(0=LEN(ReferenceData!$F$464),"",ReferenceData!$F$464),"")</x:f>
        <x:v/>
      </x:c>
      <x:c r="G464" t="str">
        <x:f ca="1">IFERROR(IF(0=LEN(ReferenceData!$G$464),"",ReferenceData!$G$464),"")</x:f>
        <x:v/>
      </x:c>
      <x:c r="H464" t="str">
        <x:f ca="1">IFERROR(IF(0=LEN(ReferenceData!$H$464),"",ReferenceData!$H$464),"")</x:f>
        <x:v/>
      </x:c>
      <x:c r="I464" t="str">
        <x:f ca="1">IFERROR(IF(0=LEN(ReferenceData!$I$464),"",ReferenceData!$I$464),"")</x:f>
        <x:v/>
      </x:c>
      <x:c r="J464" t="str">
        <x:f ca="1">IFERROR(IF(0=LEN(ReferenceData!$J$464),"",ReferenceData!$J$464),"")</x:f>
        <x:v/>
      </x:c>
      <x:c r="K464" t="str">
        <x:f ca="1">IFERROR(IF(0=LEN(ReferenceData!$K$464),"",ReferenceData!$K$464),"")</x:f>
        <x:v/>
      </x:c>
      <x:c r="L464" t="str">
        <x:f ca="1">IFERROR(IF(0=LEN(ReferenceData!$L$464),"",ReferenceData!$L$464),"")</x:f>
        <x:v/>
      </x:c>
      <x:c r="M464" t="str">
        <x:f ca="1">IFERROR(IF(0=LEN(ReferenceData!$M$464),"",ReferenceData!$M$464),"")</x:f>
        <x:v/>
      </x:c>
      <x:c r="N464" t="str">
        <x:f ca="1">IFERROR(IF(0=LEN(ReferenceData!$N$464),"",ReferenceData!$N$464),"")</x:f>
        <x:v/>
      </x:c>
      <x:c r="O464" t="str">
        <x:f ca="1">IFERROR(IF(0=LEN(ReferenceData!$O$464),"",ReferenceData!$O$464),"")</x:f>
        <x:v/>
      </x:c>
      <x:c r="P464" t="str">
        <x:f ca="1">IFERROR(IF(0=LEN(ReferenceData!$P$464),"",ReferenceData!$P$464),"")</x:f>
        <x:v/>
      </x:c>
      <x:c r="Q464" t="str">
        <x:f ca="1">IFERROR(IF(0=LEN(ReferenceData!$Q$464),"",ReferenceData!$Q$464),"")</x:f>
        <x:v/>
      </x:c>
      <x:c r="R464" t="str">
        <x:f ca="1">IFERROR(IF(0=LEN(ReferenceData!$R$464),"",ReferenceData!$R$464),"")</x:f>
        <x:v/>
      </x:c>
      <x:c r="S464" t="str">
        <x:f ca="1">IFERROR(IF(0=LEN(ReferenceData!$S$464),"",ReferenceData!$S$464),"")</x:f>
        <x:v/>
      </x:c>
    </x:row>
    <x:row r="465" spans="1:19" x14ac:dyDescent="0.25">
      <x:c r="A465" t="str">
        <x:f>IFERROR(IF(0=LEN(ReferenceData!$A$465),"",ReferenceData!$A$465),"")</x:f>
        <x:v xml:space="preserve">        ETRACS Monthly Pay 2xLeveraged</x:v>
      </x:c>
      <x:c r="B465" t="str">
        <x:f>IFERROR(IF(0=LEN(ReferenceData!$B$465),"",ReferenceData!$B$465),"")</x:f>
        <x:v>MRRL US Equity</x:v>
      </x:c>
      <x:c r="C465" t="str">
        <x:f>IFERROR(IF(0=LEN(ReferenceData!$C$465),"",ReferenceData!$C$465),"")</x:f>
        <x:v/>
      </x:c>
      <x:c r="D465" t="str">
        <x:f>IFERROR(IF(0=LEN(ReferenceData!$D$465),"",ReferenceData!$D$465),"")</x:f>
        <x:v/>
      </x:c>
      <x:c r="E465" t="str">
        <x:f>IFERROR(IF(0=LEN(ReferenceData!$E$465),"",ReferenceData!$E$465),"")</x:f>
        <x:v>Expression</x:v>
      </x:c>
      <x:c r="F465" t="str">
        <x:f ca="1">IFERROR(IF(0=LEN(ReferenceData!$F$465),"",ReferenceData!$F$465),"")</x:f>
        <x:v/>
      </x:c>
      <x:c r="G465" t="str">
        <x:f ca="1">IFERROR(IF(0=LEN(ReferenceData!$G$465),"",ReferenceData!$G$465),"")</x:f>
        <x:v/>
      </x:c>
      <x:c r="H465" t="str">
        <x:f ca="1">IFERROR(IF(0=LEN(ReferenceData!$H$465),"",ReferenceData!$H$465),"")</x:f>
        <x:v/>
      </x:c>
      <x:c r="I465" t="str">
        <x:f ca="1">IFERROR(IF(0=LEN(ReferenceData!$I$465),"",ReferenceData!$I$465),"")</x:f>
        <x:v/>
      </x:c>
      <x:c r="J465" t="str">
        <x:f ca="1">IFERROR(IF(0=LEN(ReferenceData!$J$465),"",ReferenceData!$J$465),"")</x:f>
        <x:v/>
      </x:c>
      <x:c r="K465" t="str">
        <x:f ca="1">IFERROR(IF(0=LEN(ReferenceData!$K$465),"",ReferenceData!$K$465),"")</x:f>
        <x:v/>
      </x:c>
      <x:c r="L465" t="str">
        <x:f ca="1">IFERROR(IF(0=LEN(ReferenceData!$L$465),"",ReferenceData!$L$465),"")</x:f>
        <x:v/>
      </x:c>
      <x:c r="M465" t="str">
        <x:f ca="1">IFERROR(IF(0=LEN(ReferenceData!$M$465),"",ReferenceData!$M$465),"")</x:f>
        <x:v/>
      </x:c>
      <x:c r="N465" t="str">
        <x:f ca="1">IFERROR(IF(0=LEN(ReferenceData!$N$465),"",ReferenceData!$N$465),"")</x:f>
        <x:v/>
      </x:c>
      <x:c r="O465" t="str">
        <x:f ca="1">IFERROR(IF(0=LEN(ReferenceData!$O$465),"",ReferenceData!$O$465),"")</x:f>
        <x:v/>
      </x:c>
      <x:c r="P465" t="str">
        <x:f ca="1">IFERROR(IF(0=LEN(ReferenceData!$P$465),"",ReferenceData!$P$465),"")</x:f>
        <x:v/>
      </x:c>
      <x:c r="Q465" t="str">
        <x:f ca="1">IFERROR(IF(0=LEN(ReferenceData!$Q$465),"",ReferenceData!$Q$465),"")</x:f>
        <x:v/>
      </x:c>
      <x:c r="R465" t="str">
        <x:f ca="1">IFERROR(IF(0=LEN(ReferenceData!$R$465),"",ReferenceData!$R$465),"")</x:f>
        <x:v/>
      </x:c>
      <x:c r="S465" t="str">
        <x:f ca="1">IFERROR(IF(0=LEN(ReferenceData!$S$465),"",ReferenceData!$S$465),"")</x:f>
        <x:v/>
      </x:c>
    </x:row>
    <x:row r="466" spans="1:19" x14ac:dyDescent="0.25">
      <x:c r="A466" t="str">
        <x:f>IFERROR(IF(0=LEN(ReferenceData!$A$466),"",ReferenceData!$A$466),"")</x:f>
        <x:v xml:space="preserve">        Direxion Daily Real Estate Bea</x:v>
      </x:c>
      <x:c r="B466" t="str">
        <x:f>IFERROR(IF(0=LEN(ReferenceData!$B$466),"",ReferenceData!$B$466),"")</x:f>
        <x:v>DRV US Equity</x:v>
      </x:c>
      <x:c r="C466" t="str">
        <x:f>IFERROR(IF(0=LEN(ReferenceData!$C$466),"",ReferenceData!$C$466),"")</x:f>
        <x:v/>
      </x:c>
      <x:c r="D466" t="str">
        <x:f>IFERROR(IF(0=LEN(ReferenceData!$D$466),"",ReferenceData!$D$466),"")</x:f>
        <x:v/>
      </x:c>
      <x:c r="E466" t="str">
        <x:f>IFERROR(IF(0=LEN(ReferenceData!$E$466),"",ReferenceData!$E$466),"")</x:f>
        <x:v>Expression</x:v>
      </x:c>
      <x:c r="F466">
        <x:f ca="1">IFERROR(IF(0=LEN(ReferenceData!$F$466),"",ReferenceData!$F$466),"")</x:f>
        <x:v>6.350835</x:v>
      </x:c>
      <x:c r="G466">
        <x:f ca="1">IFERROR(IF(0=LEN(ReferenceData!$G$466),"",ReferenceData!$G$466),"")</x:f>
        <x:v>-23.005015</x:v>
      </x:c>
      <x:c r="H466">
        <x:f ca="1">IFERROR(IF(0=LEN(ReferenceData!$H$466),"",ReferenceData!$H$466),"")</x:f>
        <x:v>-2.1067779999999998</x:v>
      </x:c>
      <x:c r="I466">
        <x:f ca="1">IFERROR(IF(0=LEN(ReferenceData!$I$466),"",ReferenceData!$I$466),"")</x:f>
        <x:v>-6.7385489999999999</x:v>
      </x:c>
      <x:c r="J466">
        <x:f ca="1">IFERROR(IF(0=LEN(ReferenceData!$J$466),"",ReferenceData!$J$466),"")</x:f>
        <x:v>-6.6134050000000002</x:v>
      </x:c>
      <x:c r="K466">
        <x:f ca="1">IFERROR(IF(0=LEN(ReferenceData!$K$466),"",ReferenceData!$K$466),"")</x:f>
        <x:v>-7.8153600000000001</x:v>
      </x:c>
      <x:c r="L466">
        <x:f ca="1">IFERROR(IF(0=LEN(ReferenceData!$L$466),"",ReferenceData!$L$466),"")</x:f>
        <x:v>-24.155266000000001</x:v>
      </x:c>
      <x:c r="M466">
        <x:f ca="1">IFERROR(IF(0=LEN(ReferenceData!$M$466),"",ReferenceData!$M$466),"")</x:f>
        <x:v>17.343731999999999</x:v>
      </x:c>
      <x:c r="N466">
        <x:f ca="1">IFERROR(IF(0=LEN(ReferenceData!$N$466),"",ReferenceData!$N$466),"")</x:f>
        <x:v>-32.435068999999999</x:v>
      </x:c>
      <x:c r="O466">
        <x:f ca="1">IFERROR(IF(0=LEN(ReferenceData!$O$466),"",ReferenceData!$O$466),"")</x:f>
        <x:v>-8.1504250000000003</x:v>
      </x:c>
      <x:c r="P466">
        <x:f ca="1">IFERROR(IF(0=LEN(ReferenceData!$P$466),"",ReferenceData!$P$466),"")</x:f>
        <x:v>14.637833000000001</x:v>
      </x:c>
      <x:c r="Q466">
        <x:f ca="1">IFERROR(IF(0=LEN(ReferenceData!$Q$466),"",ReferenceData!$Q$466),"")</x:f>
        <x:v>-2.6464029999999998</x:v>
      </x:c>
      <x:c r="R466">
        <x:f ca="1">IFERROR(IF(0=LEN(ReferenceData!$R$466),"",ReferenceData!$R$466),"")</x:f>
        <x:v>19.875644999999999</x:v>
      </x:c>
      <x:c r="S466">
        <x:f ca="1">IFERROR(IF(0=LEN(ReferenceData!$S$466),"",ReferenceData!$S$466),"")</x:f>
        <x:v>25.709440000000001</x:v>
      </x:c>
    </x:row>
    <x:row r="467" spans="1:19" x14ac:dyDescent="0.25">
      <x:c r="A467" t="str">
        <x:f>IFERROR(IF(0=LEN(ReferenceData!$A$467),"",ReferenceData!$A$467),"")</x:f>
        <x:v xml:space="preserve">        ProShares Short Real Estate</x:v>
      </x:c>
      <x:c r="B467" t="str">
        <x:f>IFERROR(IF(0=LEN(ReferenceData!$B$467),"",ReferenceData!$B$467),"")</x:f>
        <x:v>REK US Equity</x:v>
      </x:c>
      <x:c r="C467" t="str">
        <x:f>IFERROR(IF(0=LEN(ReferenceData!$C$467),"",ReferenceData!$C$467),"")</x:f>
        <x:v/>
      </x:c>
      <x:c r="D467" t="str">
        <x:f>IFERROR(IF(0=LEN(ReferenceData!$D$467),"",ReferenceData!$D$467),"")</x:f>
        <x:v/>
      </x:c>
      <x:c r="E467" t="str">
        <x:f>IFERROR(IF(0=LEN(ReferenceData!$E$467),"",ReferenceData!$E$467),"")</x:f>
        <x:v>Expression</x:v>
      </x:c>
      <x:c r="F467">
        <x:f ca="1">IFERROR(IF(0=LEN(ReferenceData!$F$467),"",ReferenceData!$F$467),"")</x:f>
        <x:v>-7.5088350000000004</x:v>
      </x:c>
      <x:c r="G467">
        <x:f ca="1">IFERROR(IF(0=LEN(ReferenceData!$G$467),"",ReferenceData!$G$467),"")</x:f>
        <x:v>4.6395799999999996</x:v>
      </x:c>
      <x:c r="H467">
        <x:f ca="1">IFERROR(IF(0=LEN(ReferenceData!$H$467),"",ReferenceData!$H$467),"")</x:f>
        <x:v>1.572435</x:v>
      </x:c>
      <x:c r="I467">
        <x:f ca="1">IFERROR(IF(0=LEN(ReferenceData!$I$467),"",ReferenceData!$I$467),"")</x:f>
        <x:v>-1.0314049999999999</x:v>
      </x:c>
      <x:c r="J467">
        <x:f ca="1">IFERROR(IF(0=LEN(ReferenceData!$J$467),"",ReferenceData!$J$467),"")</x:f>
        <x:v>-10.21866</x:v>
      </x:c>
      <x:c r="K467">
        <x:f ca="1">IFERROR(IF(0=LEN(ReferenceData!$K$467),"",ReferenceData!$K$467),"")</x:f>
        <x:v>-3.011755</x:v>
      </x:c>
      <x:c r="L467">
        <x:f ca="1">IFERROR(IF(0=LEN(ReferenceData!$L$467),"",ReferenceData!$L$467),"")</x:f>
        <x:v>9.2163649999999997</x:v>
      </x:c>
      <x:c r="M467">
        <x:f ca="1">IFERROR(IF(0=LEN(ReferenceData!$M$467),"",ReferenceData!$M$467),"")</x:f>
        <x:v>-2.0330599999999999</x:v>
      </x:c>
      <x:c r="N467">
        <x:f ca="1">IFERROR(IF(0=LEN(ReferenceData!$N$467),"",ReferenceData!$N$467),"")</x:f>
        <x:v>6.1467749999999999</x:v>
      </x:c>
      <x:c r="O467">
        <x:f ca="1">IFERROR(IF(0=LEN(ReferenceData!$O$467),"",ReferenceData!$O$467),"")</x:f>
        <x:v>-5.58826</x:v>
      </x:c>
      <x:c r="P467">
        <x:f ca="1">IFERROR(IF(0=LEN(ReferenceData!$P$467),"",ReferenceData!$P$467),"")</x:f>
        <x:v>-17.896239999999999</x:v>
      </x:c>
      <x:c r="Q467">
        <x:f ca="1">IFERROR(IF(0=LEN(ReferenceData!$Q$467),"",ReferenceData!$Q$467),"")</x:f>
        <x:v>1.029085</x:v>
      </x:c>
      <x:c r="R467">
        <x:f ca="1">IFERROR(IF(0=LEN(ReferenceData!$R$467),"",ReferenceData!$R$467),"")</x:f>
        <x:v>-3.1180949999999998</x:v>
      </x:c>
      <x:c r="S467">
        <x:f ca="1">IFERROR(IF(0=LEN(ReferenceData!$S$467),"",ReferenceData!$S$467),"")</x:f>
        <x:v>-0.91135500000000003</x:v>
      </x:c>
    </x:row>
    <x:row r="468" spans="1:19" x14ac:dyDescent="0.25">
      <x:c r="A468" t="str">
        <x:f>IFERROR(IF(0=LEN(ReferenceData!$A$468),"",ReferenceData!$A$468),"")</x:f>
        <x:v xml:space="preserve">        Infracap REIT Preferred ETF</x:v>
      </x:c>
      <x:c r="B468" t="str">
        <x:f>IFERROR(IF(0=LEN(ReferenceData!$B$468),"",ReferenceData!$B$468),"")</x:f>
        <x:v>PFFR US Equity</x:v>
      </x:c>
      <x:c r="C468" t="str">
        <x:f>IFERROR(IF(0=LEN(ReferenceData!$C$468),"",ReferenceData!$C$468),"")</x:f>
        <x:v/>
      </x:c>
      <x:c r="D468" t="str">
        <x:f>IFERROR(IF(0=LEN(ReferenceData!$D$468),"",ReferenceData!$D$468),"")</x:f>
        <x:v/>
      </x:c>
      <x:c r="E468" t="str">
        <x:f>IFERROR(IF(0=LEN(ReferenceData!$E$468),"",ReferenceData!$E$468),"")</x:f>
        <x:v>Expression</x:v>
      </x:c>
      <x:c r="F468">
        <x:f ca="1">IFERROR(IF(0=LEN(ReferenceData!$F$468),"",ReferenceData!$F$468),"")</x:f>
        <x:v>0</x:v>
      </x:c>
      <x:c r="G468">
        <x:f ca="1">IFERROR(IF(0=LEN(ReferenceData!$G$468),"",ReferenceData!$G$468),"")</x:f>
        <x:v>0</x:v>
      </x:c>
      <x:c r="H468">
        <x:f ca="1">IFERROR(IF(0=LEN(ReferenceData!$H$468),"",ReferenceData!$H$468),"")</x:f>
        <x:v>-1.737233</x:v>
      </x:c>
      <x:c r="I468">
        <x:f ca="1">IFERROR(IF(0=LEN(ReferenceData!$I$468),"",ReferenceData!$I$468),"")</x:f>
        <x:v>0.867479</x:v>
      </x:c>
      <x:c r="J468">
        <x:f ca="1">IFERROR(IF(0=LEN(ReferenceData!$J$468),"",ReferenceData!$J$468),"")</x:f>
        <x:v>0</x:v>
      </x:c>
      <x:c r="K468">
        <x:f ca="1">IFERROR(IF(0=LEN(ReferenceData!$K$468),"",ReferenceData!$K$468),"")</x:f>
        <x:v>-0.84133899999999995</x:v>
      </x:c>
      <x:c r="L468">
        <x:f ca="1">IFERROR(IF(0=LEN(ReferenceData!$L$468),"",ReferenceData!$L$468),"")</x:f>
        <x:v>-0.83387199999999995</x:v>
      </x:c>
      <x:c r="M468">
        <x:f ca="1">IFERROR(IF(0=LEN(ReferenceData!$M$468),"",ReferenceData!$M$468),"")</x:f>
        <x:v>-0.863626</x:v>
      </x:c>
      <x:c r="N468">
        <x:f ca="1">IFERROR(IF(0=LEN(ReferenceData!$N$468),"",ReferenceData!$N$468),"")</x:f>
        <x:v>0</x:v>
      </x:c>
      <x:c r="O468">
        <x:f ca="1">IFERROR(IF(0=LEN(ReferenceData!$O$468),"",ReferenceData!$O$468),"")</x:f>
        <x:v>4.607005</x:v>
      </x:c>
      <x:c r="P468">
        <x:f ca="1">IFERROR(IF(0=LEN(ReferenceData!$P$468),"",ReferenceData!$P$468),"")</x:f>
        <x:v>1.856214</x:v>
      </x:c>
      <x:c r="Q468">
        <x:f ca="1">IFERROR(IF(0=LEN(ReferenceData!$Q$468),"",ReferenceData!$Q$468),"")</x:f>
        <x:v>-0.82575200000000004</x:v>
      </x:c>
      <x:c r="R468">
        <x:f ca="1">IFERROR(IF(0=LEN(ReferenceData!$R$468),"",ReferenceData!$R$468),"")</x:f>
        <x:v>0.84915499999999999</x:v>
      </x:c>
      <x:c r="S468">
        <x:f ca="1">IFERROR(IF(0=LEN(ReferenceData!$S$468),"",ReferenceData!$S$468),"")</x:f>
        <x:v>0</x:v>
      </x:c>
    </x:row>
    <x:row r="469" spans="1:19" x14ac:dyDescent="0.25">
      <x:c r="A469" t="str">
        <x:f>IFERROR(IF(0=LEN(ReferenceData!$A$469),"",ReferenceData!$A$469),"")</x:f>
        <x:v xml:space="preserve">        Hartford Multifactor REIT ETF</x:v>
      </x:c>
      <x:c r="B469" t="str">
        <x:f>IFERROR(IF(0=LEN(ReferenceData!$B$469),"",ReferenceData!$B$469),"")</x:f>
        <x:v>RORE US Equity</x:v>
      </x:c>
      <x:c r="C469" t="str">
        <x:f>IFERROR(IF(0=LEN(ReferenceData!$C$469),"",ReferenceData!$C$469),"")</x:f>
        <x:v/>
      </x:c>
      <x:c r="D469" t="str">
        <x:f>IFERROR(IF(0=LEN(ReferenceData!$D$469),"",ReferenceData!$D$469),"")</x:f>
        <x:v/>
      </x:c>
      <x:c r="E469" t="str">
        <x:f>IFERROR(IF(0=LEN(ReferenceData!$E$469),"",ReferenceData!$E$469),"")</x:f>
        <x:v>Expression</x:v>
      </x:c>
      <x:c r="F469" t="str">
        <x:f ca="1">IFERROR(IF(0=LEN(ReferenceData!$F$469),"",ReferenceData!$F$469),"")</x:f>
        <x:v/>
      </x:c>
      <x:c r="G469" t="str">
        <x:f ca="1">IFERROR(IF(0=LEN(ReferenceData!$G$469),"",ReferenceData!$G$469),"")</x:f>
        <x:v/>
      </x:c>
      <x:c r="H469" t="str">
        <x:f ca="1">IFERROR(IF(0=LEN(ReferenceData!$H$469),"",ReferenceData!$H$469),"")</x:f>
        <x:v/>
      </x:c>
      <x:c r="I469" t="str">
        <x:f ca="1">IFERROR(IF(0=LEN(ReferenceData!$I$469),"",ReferenceData!$I$469),"")</x:f>
        <x:v/>
      </x:c>
      <x:c r="J469" t="str">
        <x:f ca="1">IFERROR(IF(0=LEN(ReferenceData!$J$469),"",ReferenceData!$J$469),"")</x:f>
        <x:v/>
      </x:c>
      <x:c r="K469" t="str">
        <x:f ca="1">IFERROR(IF(0=LEN(ReferenceData!$K$469),"",ReferenceData!$K$469),"")</x:f>
        <x:v/>
      </x:c>
      <x:c r="L469" t="str">
        <x:f ca="1">IFERROR(IF(0=LEN(ReferenceData!$L$469),"",ReferenceData!$L$469),"")</x:f>
        <x:v/>
      </x:c>
      <x:c r="M469" t="str">
        <x:f ca="1">IFERROR(IF(0=LEN(ReferenceData!$M$469),"",ReferenceData!$M$469),"")</x:f>
        <x:v/>
      </x:c>
      <x:c r="N469" t="str">
        <x:f ca="1">IFERROR(IF(0=LEN(ReferenceData!$N$469),"",ReferenceData!$N$469),"")</x:f>
        <x:v/>
      </x:c>
      <x:c r="O469" t="str">
        <x:f ca="1">IFERROR(IF(0=LEN(ReferenceData!$O$469),"",ReferenceData!$O$469),"")</x:f>
        <x:v/>
      </x:c>
      <x:c r="P469" t="str">
        <x:f ca="1">IFERROR(IF(0=LEN(ReferenceData!$P$469),"",ReferenceData!$P$469),"")</x:f>
        <x:v/>
      </x:c>
      <x:c r="Q469" t="str">
        <x:f ca="1">IFERROR(IF(0=LEN(ReferenceData!$Q$469),"",ReferenceData!$Q$469),"")</x:f>
        <x:v/>
      </x:c>
      <x:c r="R469" t="str">
        <x:f ca="1">IFERROR(IF(0=LEN(ReferenceData!$R$469),"",ReferenceData!$R$469),"")</x:f>
        <x:v/>
      </x:c>
      <x:c r="S469" t="str">
        <x:f ca="1">IFERROR(IF(0=LEN(ReferenceData!$S$469),"",ReferenceData!$S$469),"")</x:f>
        <x:v/>
      </x:c>
    </x:row>
    <x:row r="470" spans="1:19" x14ac:dyDescent="0.25">
      <x:c r="A470" t="str">
        <x:f>IFERROR(IF(0=LEN(ReferenceData!$A$470),"",ReferenceData!$A$470),"")</x:f>
        <x:v xml:space="preserve">        Nuveen Short-Term REIT ETF</x:v>
      </x:c>
      <x:c r="B470" t="str">
        <x:f>IFERROR(IF(0=LEN(ReferenceData!$B$470),"",ReferenceData!$B$470),"")</x:f>
        <x:v>NURE US Equity</x:v>
      </x:c>
      <x:c r="C470" t="str">
        <x:f>IFERROR(IF(0=LEN(ReferenceData!$C$470),"",ReferenceData!$C$470),"")</x:f>
        <x:v/>
      </x:c>
      <x:c r="D470" t="str">
        <x:f>IFERROR(IF(0=LEN(ReferenceData!$D$470),"",ReferenceData!$D$470),"")</x:f>
        <x:v/>
      </x:c>
      <x:c r="E470" t="str">
        <x:f>IFERROR(IF(0=LEN(ReferenceData!$E$470),"",ReferenceData!$E$470),"")</x:f>
        <x:v>Expression</x:v>
      </x:c>
      <x:c r="F470">
        <x:f ca="1">IFERROR(IF(0=LEN(ReferenceData!$F$470),"",ReferenceData!$F$470),"")</x:f>
        <x:v>1.32609</x:v>
      </x:c>
      <x:c r="G470">
        <x:f ca="1">IFERROR(IF(0=LEN(ReferenceData!$G$470),"",ReferenceData!$G$470),"")</x:f>
        <x:v>-1.3689199999999999</x:v>
      </x:c>
      <x:c r="H470">
        <x:f ca="1">IFERROR(IF(0=LEN(ReferenceData!$H$470),"",ReferenceData!$H$470),"")</x:f>
        <x:v>-2.8022450000000001</x:v>
      </x:c>
      <x:c r="I470">
        <x:f ca="1">IFERROR(IF(0=LEN(ReferenceData!$I$470),"",ReferenceData!$I$470),"")</x:f>
        <x:v>2.9405100000000002</x:v>
      </x:c>
      <x:c r="J470">
        <x:f ca="1">IFERROR(IF(0=LEN(ReferenceData!$J$470),"",ReferenceData!$J$470),"")</x:f>
        <x:v>0</x:v>
      </x:c>
      <x:c r="K470">
        <x:f ca="1">IFERROR(IF(0=LEN(ReferenceData!$K$470),"",ReferenceData!$K$470),"")</x:f>
        <x:v>-3.0150350000000001</x:v>
      </x:c>
      <x:c r="L470">
        <x:f ca="1">IFERROR(IF(0=LEN(ReferenceData!$L$470),"",ReferenceData!$L$470),"")</x:f>
        <x:v>2.9258899999999999</x:v>
      </x:c>
      <x:c r="M470">
        <x:f ca="1">IFERROR(IF(0=LEN(ReferenceData!$M$470),"",ReferenceData!$M$470),"")</x:f>
        <x:v>-2.9817499999999999</x:v>
      </x:c>
      <x:c r="N470">
        <x:f ca="1">IFERROR(IF(0=LEN(ReferenceData!$N$470),"",ReferenceData!$N$470),"")</x:f>
        <x:v>-4.3908899999999997</x:v>
      </x:c>
      <x:c r="O470">
        <x:f ca="1">IFERROR(IF(0=LEN(ReferenceData!$O$470),"",ReferenceData!$O$470),"")</x:f>
        <x:v>-1.9810000000000001E-2</x:v>
      </x:c>
      <x:c r="P470">
        <x:f ca="1">IFERROR(IF(0=LEN(ReferenceData!$P$470),"",ReferenceData!$P$470),"")</x:f>
        <x:v>-10.742509999999999</x:v>
      </x:c>
      <x:c r="Q470">
        <x:f ca="1">IFERROR(IF(0=LEN(ReferenceData!$Q$470),"",ReferenceData!$Q$470),"")</x:f>
        <x:v>-19.353045000000002</x:v>
      </x:c>
      <x:c r="R470">
        <x:f ca="1">IFERROR(IF(0=LEN(ReferenceData!$R$470),"",ReferenceData!$R$470),"")</x:f>
        <x:v>-13.044715</x:v>
      </x:c>
      <x:c r="S470">
        <x:f ca="1">IFERROR(IF(0=LEN(ReferenceData!$S$470),"",ReferenceData!$S$470),"")</x:f>
        <x:v>0</x:v>
      </x:c>
    </x:row>
    <x:row r="471" spans="1:19" x14ac:dyDescent="0.25">
      <x:c r="A471" t="str">
        <x:f>IFERROR(IF(0=LEN(ReferenceData!$A$471),"",ReferenceData!$A$471),"")</x:f>
        <x:v xml:space="preserve">        WisdomTree Japan Hedged Real E</x:v>
      </x:c>
      <x:c r="B471" t="str">
        <x:f>IFERROR(IF(0=LEN(ReferenceData!$B$471),"",ReferenceData!$B$471),"")</x:f>
        <x:v>DXJR US Equity</x:v>
      </x:c>
      <x:c r="C471" t="str">
        <x:f>IFERROR(IF(0=LEN(ReferenceData!$C$471),"",ReferenceData!$C$471),"")</x:f>
        <x:v/>
      </x:c>
      <x:c r="D471" t="str">
        <x:f>IFERROR(IF(0=LEN(ReferenceData!$D$471),"",ReferenceData!$D$471),"")</x:f>
        <x:v/>
      </x:c>
      <x:c r="E471" t="str">
        <x:f>IFERROR(IF(0=LEN(ReferenceData!$E$471),"",ReferenceData!$E$471),"")</x:f>
        <x:v>Expression</x:v>
      </x:c>
      <x:c r="F471" t="str">
        <x:f ca="1">IFERROR(IF(0=LEN(ReferenceData!$F$471),"",ReferenceData!$F$471),"")</x:f>
        <x:v/>
      </x:c>
      <x:c r="G471" t="str">
        <x:f ca="1">IFERROR(IF(0=LEN(ReferenceData!$G$471),"",ReferenceData!$G$471),"")</x:f>
        <x:v/>
      </x:c>
      <x:c r="H471" t="str">
        <x:f ca="1">IFERROR(IF(0=LEN(ReferenceData!$H$471),"",ReferenceData!$H$471),"")</x:f>
        <x:v/>
      </x:c>
      <x:c r="I471" t="str">
        <x:f ca="1">IFERROR(IF(0=LEN(ReferenceData!$I$471),"",ReferenceData!$I$471),"")</x:f>
        <x:v/>
      </x:c>
      <x:c r="J471" t="str">
        <x:f ca="1">IFERROR(IF(0=LEN(ReferenceData!$J$471),"",ReferenceData!$J$471),"")</x:f>
        <x:v/>
      </x:c>
      <x:c r="K471" t="str">
        <x:f ca="1">IFERROR(IF(0=LEN(ReferenceData!$K$471),"",ReferenceData!$K$471),"")</x:f>
        <x:v/>
      </x:c>
      <x:c r="L471" t="str">
        <x:f ca="1">IFERROR(IF(0=LEN(ReferenceData!$L$471),"",ReferenceData!$L$471),"")</x:f>
        <x:v/>
      </x:c>
      <x:c r="M471" t="str">
        <x:f ca="1">IFERROR(IF(0=LEN(ReferenceData!$M$471),"",ReferenceData!$M$471),"")</x:f>
        <x:v/>
      </x:c>
      <x:c r="N471" t="str">
        <x:f ca="1">IFERROR(IF(0=LEN(ReferenceData!$N$471),"",ReferenceData!$N$471),"")</x:f>
        <x:v/>
      </x:c>
      <x:c r="O471" t="str">
        <x:f ca="1">IFERROR(IF(0=LEN(ReferenceData!$O$471),"",ReferenceData!$O$471),"")</x:f>
        <x:v/>
      </x:c>
      <x:c r="P471" t="str">
        <x:f ca="1">IFERROR(IF(0=LEN(ReferenceData!$P$471),"",ReferenceData!$P$471),"")</x:f>
        <x:v/>
      </x:c>
      <x:c r="Q471" t="str">
        <x:f ca="1">IFERROR(IF(0=LEN(ReferenceData!$Q$471),"",ReferenceData!$Q$471),"")</x:f>
        <x:v/>
      </x:c>
      <x:c r="R471" t="str">
        <x:f ca="1">IFERROR(IF(0=LEN(ReferenceData!$R$471),"",ReferenceData!$R$471),"")</x:f>
        <x:v/>
      </x:c>
      <x:c r="S471" t="str">
        <x:f ca="1">IFERROR(IF(0=LEN(ReferenceData!$S$471),"",ReferenceData!$S$471),"")</x:f>
        <x:v/>
      </x:c>
    </x:row>
    <x:row r="472" spans="1:19" x14ac:dyDescent="0.25">
      <x:c r="A472" t="str">
        <x:f>IFERROR(IF(0=LEN(ReferenceData!$A$472),"",ReferenceData!$A$472),"")</x:f>
        <x:v xml:space="preserve">        WisdomTree Global ex-U.S. Hedg</x:v>
      </x:c>
      <x:c r="B472" t="str">
        <x:f>IFERROR(IF(0=LEN(ReferenceData!$B$472),"",ReferenceData!$B$472),"")</x:f>
        <x:v>HDRW US Equity</x:v>
      </x:c>
      <x:c r="C472" t="str">
        <x:f>IFERROR(IF(0=LEN(ReferenceData!$C$472),"",ReferenceData!$C$472),"")</x:f>
        <x:v/>
      </x:c>
      <x:c r="D472" t="str">
        <x:f>IFERROR(IF(0=LEN(ReferenceData!$D$472),"",ReferenceData!$D$472),"")</x:f>
        <x:v/>
      </x:c>
      <x:c r="E472" t="str">
        <x:f>IFERROR(IF(0=LEN(ReferenceData!$E$472),"",ReferenceData!$E$472),"")</x:f>
        <x:v>Expression</x:v>
      </x:c>
      <x:c r="F472" t="str">
        <x:f ca="1">IFERROR(IF(0=LEN(ReferenceData!$F$472),"",ReferenceData!$F$472),"")</x:f>
        <x:v/>
      </x:c>
      <x:c r="G472" t="str">
        <x:f ca="1">IFERROR(IF(0=LEN(ReferenceData!$G$472),"",ReferenceData!$G$472),"")</x:f>
        <x:v/>
      </x:c>
      <x:c r="H472" t="str">
        <x:f ca="1">IFERROR(IF(0=LEN(ReferenceData!$H$472),"",ReferenceData!$H$472),"")</x:f>
        <x:v/>
      </x:c>
      <x:c r="I472" t="str">
        <x:f ca="1">IFERROR(IF(0=LEN(ReferenceData!$I$472),"",ReferenceData!$I$472),"")</x:f>
        <x:v/>
      </x:c>
      <x:c r="J472" t="str">
        <x:f ca="1">IFERROR(IF(0=LEN(ReferenceData!$J$472),"",ReferenceData!$J$472),"")</x:f>
        <x:v/>
      </x:c>
      <x:c r="K472" t="str">
        <x:f ca="1">IFERROR(IF(0=LEN(ReferenceData!$K$472),"",ReferenceData!$K$472),"")</x:f>
        <x:v/>
      </x:c>
      <x:c r="L472" t="str">
        <x:f ca="1">IFERROR(IF(0=LEN(ReferenceData!$L$472),"",ReferenceData!$L$472),"")</x:f>
        <x:v/>
      </x:c>
      <x:c r="M472" t="str">
        <x:f ca="1">IFERROR(IF(0=LEN(ReferenceData!$M$472),"",ReferenceData!$M$472),"")</x:f>
        <x:v/>
      </x:c>
      <x:c r="N472" t="str">
        <x:f ca="1">IFERROR(IF(0=LEN(ReferenceData!$N$472),"",ReferenceData!$N$472),"")</x:f>
        <x:v/>
      </x:c>
      <x:c r="O472" t="str">
        <x:f ca="1">IFERROR(IF(0=LEN(ReferenceData!$O$472),"",ReferenceData!$O$472),"")</x:f>
        <x:v/>
      </x:c>
      <x:c r="P472" t="str">
        <x:f ca="1">IFERROR(IF(0=LEN(ReferenceData!$P$472),"",ReferenceData!$P$472),"")</x:f>
        <x:v/>
      </x:c>
      <x:c r="Q472" t="str">
        <x:f ca="1">IFERROR(IF(0=LEN(ReferenceData!$Q$472),"",ReferenceData!$Q$472),"")</x:f>
        <x:v/>
      </x:c>
      <x:c r="R472" t="str">
        <x:f ca="1">IFERROR(IF(0=LEN(ReferenceData!$R$472),"",ReferenceData!$R$472),"")</x:f>
        <x:v/>
      </x:c>
      <x:c r="S472" t="str">
        <x:f ca="1">IFERROR(IF(0=LEN(ReferenceData!$S$472),"",ReferenceData!$S$472),"")</x:f>
        <x:v/>
      </x:c>
    </x:row>
    <x:row r="473" spans="1:19" x14ac:dyDescent="0.25">
      <x:c r="A473" t="str">
        <x:f>IFERROR(IF(0=LEN(ReferenceData!$A$473),"",ReferenceData!$A$473),"")</x:f>
        <x:v xml:space="preserve">        Prime Medicine Inc</x:v>
      </x:c>
      <x:c r="B473" t="str">
        <x:f>IFERROR(IF(0=LEN(ReferenceData!$B$473),"",ReferenceData!$B$473),"")</x:f>
        <x:v>PRME US Equity</x:v>
      </x:c>
      <x:c r="C473" t="str">
        <x:f>IFERROR(IF(0=LEN(ReferenceData!$C$473),"",ReferenceData!$C$473),"")</x:f>
        <x:v/>
      </x:c>
      <x:c r="D473" t="str">
        <x:f>IFERROR(IF(0=LEN(ReferenceData!$D$473),"",ReferenceData!$D$473),"")</x:f>
        <x:v/>
      </x:c>
      <x:c r="E473" t="str">
        <x:f>IFERROR(IF(0=LEN(ReferenceData!$E$473),"",ReferenceData!$E$473),"")</x:f>
        <x:v>Expression</x:v>
      </x:c>
      <x:c r="F473" t="str">
        <x:f ca="1">IFERROR(IF(0=LEN(ReferenceData!$F$473),"",ReferenceData!$F$473),"")</x:f>
        <x:v/>
      </x:c>
      <x:c r="G473" t="str">
        <x:f ca="1">IFERROR(IF(0=LEN(ReferenceData!$G$473),"",ReferenceData!$G$473),"")</x:f>
        <x:v/>
      </x:c>
      <x:c r="H473" t="str">
        <x:f ca="1">IFERROR(IF(0=LEN(ReferenceData!$H$473),"",ReferenceData!$H$473),"")</x:f>
        <x:v/>
      </x:c>
      <x:c r="I473" t="str">
        <x:f ca="1">IFERROR(IF(0=LEN(ReferenceData!$I$473),"",ReferenceData!$I$473),"")</x:f>
        <x:v/>
      </x:c>
      <x:c r="J473" t="str">
        <x:f ca="1">IFERROR(IF(0=LEN(ReferenceData!$J$473),"",ReferenceData!$J$473),"")</x:f>
        <x:v/>
      </x:c>
      <x:c r="K473" t="str">
        <x:f ca="1">IFERROR(IF(0=LEN(ReferenceData!$K$473),"",ReferenceData!$K$473),"")</x:f>
        <x:v/>
      </x:c>
      <x:c r="L473" t="str">
        <x:f ca="1">IFERROR(IF(0=LEN(ReferenceData!$L$473),"",ReferenceData!$L$473),"")</x:f>
        <x:v/>
      </x:c>
      <x:c r="M473" t="str">
        <x:f ca="1">IFERROR(IF(0=LEN(ReferenceData!$M$473),"",ReferenceData!$M$473),"")</x:f>
        <x:v/>
      </x:c>
      <x:c r="N473" t="str">
        <x:f ca="1">IFERROR(IF(0=LEN(ReferenceData!$N$473),"",ReferenceData!$N$473),"")</x:f>
        <x:v/>
      </x:c>
      <x:c r="O473" t="str">
        <x:f ca="1">IFERROR(IF(0=LEN(ReferenceData!$O$473),"",ReferenceData!$O$473),"")</x:f>
        <x:v/>
      </x:c>
      <x:c r="P473" t="str">
        <x:f ca="1">IFERROR(IF(0=LEN(ReferenceData!$P$473),"",ReferenceData!$P$473),"")</x:f>
        <x:v/>
      </x:c>
      <x:c r="Q473" t="str">
        <x:f ca="1">IFERROR(IF(0=LEN(ReferenceData!$Q$473),"",ReferenceData!$Q$473),"")</x:f>
        <x:v/>
      </x:c>
      <x:c r="R473" t="str">
        <x:f ca="1">IFERROR(IF(0=LEN(ReferenceData!$R$473),"",ReferenceData!$R$473),"")</x:f>
        <x:v/>
      </x:c>
      <x:c r="S473" t="str">
        <x:f ca="1">IFERROR(IF(0=LEN(ReferenceData!$S$473),"",ReferenceData!$S$473),"")</x:f>
        <x:v/>
      </x:c>
    </x:row>
    <x:row r="474" spans="1:19" x14ac:dyDescent="0.25">
      <x:c r="A474" t="str">
        <x:f>IFERROR(IF(0=LEN(ReferenceData!$A$474),"",ReferenceData!$A$474),"")</x:f>
        <x:v xml:space="preserve">        US Diversified Real Estate ETF</x:v>
      </x:c>
      <x:c r="B474" t="str">
        <x:f>IFERROR(IF(0=LEN(ReferenceData!$B$474),"",ReferenceData!$B$474),"")</x:f>
        <x:v>PPTY US Equity</x:v>
      </x:c>
      <x:c r="C474" t="str">
        <x:f>IFERROR(IF(0=LEN(ReferenceData!$C$474),"",ReferenceData!$C$474),"")</x:f>
        <x:v/>
      </x:c>
      <x:c r="D474" t="str">
        <x:f>IFERROR(IF(0=LEN(ReferenceData!$D$474),"",ReferenceData!$D$474),"")</x:f>
        <x:v/>
      </x:c>
      <x:c r="E474" t="str">
        <x:f>IFERROR(IF(0=LEN(ReferenceData!$E$474),"",ReferenceData!$E$474),"")</x:f>
        <x:v>Expression</x:v>
      </x:c>
      <x:c r="F474">
        <x:f ca="1">IFERROR(IF(0=LEN(ReferenceData!$F$474),"",ReferenceData!$F$474),"")</x:f>
        <x:v>0</x:v>
      </x:c>
      <x:c r="G474">
        <x:f ca="1">IFERROR(IF(0=LEN(ReferenceData!$G$474),"",ReferenceData!$G$474),"")</x:f>
        <x:v>1.33551</x:v>
      </x:c>
      <x:c r="H474">
        <x:f ca="1">IFERROR(IF(0=LEN(ReferenceData!$H$474),"",ReferenceData!$H$474),"")</x:f>
        <x:v>0</x:v>
      </x:c>
      <x:c r="I474">
        <x:f ca="1">IFERROR(IF(0=LEN(ReferenceData!$I$474),"",ReferenceData!$I$474),"")</x:f>
        <x:v>0</x:v>
      </x:c>
      <x:c r="J474">
        <x:f ca="1">IFERROR(IF(0=LEN(ReferenceData!$J$474),"",ReferenceData!$J$474),"")</x:f>
        <x:v>0</x:v>
      </x:c>
      <x:c r="K474">
        <x:f ca="1">IFERROR(IF(0=LEN(ReferenceData!$K$474),"",ReferenceData!$K$474),"")</x:f>
        <x:v>0</x:v>
      </x:c>
      <x:c r="L474">
        <x:f ca="1">IFERROR(IF(0=LEN(ReferenceData!$L$474),"",ReferenceData!$L$474),"")</x:f>
        <x:v>0</x:v>
      </x:c>
      <x:c r="M474">
        <x:f ca="1">IFERROR(IF(0=LEN(ReferenceData!$M$474),"",ReferenceData!$M$474),"")</x:f>
        <x:v>2.77732</x:v>
      </x:c>
      <x:c r="N474">
        <x:f ca="1">IFERROR(IF(0=LEN(ReferenceData!$N$474),"",ReferenceData!$N$474),"")</x:f>
        <x:v>-9.2314999999999994E-2</x:v>
      </x:c>
      <x:c r="O474">
        <x:f ca="1">IFERROR(IF(0=LEN(ReferenceData!$O$474),"",ReferenceData!$O$474),"")</x:f>
        <x:v>0</x:v>
      </x:c>
      <x:c r="P474">
        <x:f ca="1">IFERROR(IF(0=LEN(ReferenceData!$P$474),"",ReferenceData!$P$474),"")</x:f>
        <x:v>1.470955</x:v>
      </x:c>
      <x:c r="Q474">
        <x:f ca="1">IFERROR(IF(0=LEN(ReferenceData!$Q$474),"",ReferenceData!$Q$474),"")</x:f>
        <x:v>0</x:v>
      </x:c>
      <x:c r="R474">
        <x:f ca="1">IFERROR(IF(0=LEN(ReferenceData!$R$474),"",ReferenceData!$R$474),"")</x:f>
        <x:v>-1.389195</x:v>
      </x:c>
      <x:c r="S474">
        <x:f ca="1">IFERROR(IF(0=LEN(ReferenceData!$S$474),"",ReferenceData!$S$474),"")</x:f>
        <x:v>2.733295</x:v>
      </x:c>
    </x:row>
    <x:row r="475" spans="1:19" x14ac:dyDescent="0.25">
      <x:c r="A475" t="str">
        <x:f>IFERROR(IF(0=LEN(ReferenceData!$A$475),"",ReferenceData!$A$475),"")</x:f>
        <x:v xml:space="preserve">        JPMorgan BetaBuilders MSCI US</x:v>
      </x:c>
      <x:c r="B475" t="str">
        <x:f>IFERROR(IF(0=LEN(ReferenceData!$B$475),"",ReferenceData!$B$475),"")</x:f>
        <x:v>BBRE US Equity</x:v>
      </x:c>
      <x:c r="C475" t="str">
        <x:f>IFERROR(IF(0=LEN(ReferenceData!$C$475),"",ReferenceData!$C$475),"")</x:f>
        <x:v/>
      </x:c>
      <x:c r="D475" t="str">
        <x:f>IFERROR(IF(0=LEN(ReferenceData!$D$475),"",ReferenceData!$D$475),"")</x:f>
        <x:v/>
      </x:c>
      <x:c r="E475" t="str">
        <x:f>IFERROR(IF(0=LEN(ReferenceData!$E$475),"",ReferenceData!$E$475),"")</x:f>
        <x:v>Expression</x:v>
      </x:c>
      <x:c r="F475">
        <x:f ca="1">IFERROR(IF(0=LEN(ReferenceData!$F$475),"",ReferenceData!$F$475),"")</x:f>
        <x:v>-3.8028550000000001</x:v>
      </x:c>
      <x:c r="G475">
        <x:f ca="1">IFERROR(IF(0=LEN(ReferenceData!$G$475),"",ReferenceData!$G$475),"")</x:f>
        <x:v>37.745113000000003</x:v>
      </x:c>
      <x:c r="H475">
        <x:f ca="1">IFERROR(IF(0=LEN(ReferenceData!$H$475),"",ReferenceData!$H$475),"")</x:f>
        <x:v>37.542017999999999</x:v>
      </x:c>
      <x:c r="I475">
        <x:f ca="1">IFERROR(IF(0=LEN(ReferenceData!$I$475),"",ReferenceData!$I$475),"")</x:f>
        <x:v>16.735973000000001</x:v>
      </x:c>
      <x:c r="J475">
        <x:f ca="1">IFERROR(IF(0=LEN(ReferenceData!$J$475),"",ReferenceData!$J$475),"")</x:f>
        <x:v>-13.076916000000001</x:v>
      </x:c>
      <x:c r="K475">
        <x:f ca="1">IFERROR(IF(0=LEN(ReferenceData!$K$475),"",ReferenceData!$K$475),"")</x:f>
        <x:v>-6.4805599999999997</x:v>
      </x:c>
      <x:c r="L475">
        <x:f ca="1">IFERROR(IF(0=LEN(ReferenceData!$L$475),"",ReferenceData!$L$475),"")</x:f>
        <x:v>-8.193873</x:v>
      </x:c>
      <x:c r="M475">
        <x:f ca="1">IFERROR(IF(0=LEN(ReferenceData!$M$475),"",ReferenceData!$M$475),"")</x:f>
        <x:v>-30.867652</x:v>
      </x:c>
      <x:c r="N475">
        <x:f ca="1">IFERROR(IF(0=LEN(ReferenceData!$N$475),"",ReferenceData!$N$475),"")</x:f>
        <x:v>59.608351999999996</x:v>
      </x:c>
      <x:c r="O475">
        <x:f ca="1">IFERROR(IF(0=LEN(ReferenceData!$O$475),"",ReferenceData!$O$475),"")</x:f>
        <x:v>-156.79729599999999</x:v>
      </x:c>
      <x:c r="P475">
        <x:f ca="1">IFERROR(IF(0=LEN(ReferenceData!$P$475),"",ReferenceData!$P$475),"")</x:f>
        <x:v>-0.50727100000000003</x:v>
      </x:c>
      <x:c r="Q475">
        <x:f ca="1">IFERROR(IF(0=LEN(ReferenceData!$Q$475),"",ReferenceData!$Q$475),"")</x:f>
        <x:v>-99.022784000000001</x:v>
      </x:c>
      <x:c r="R475">
        <x:f ca="1">IFERROR(IF(0=LEN(ReferenceData!$R$475),"",ReferenceData!$R$475),"")</x:f>
        <x:v>-6.5942759999999998</x:v>
      </x:c>
      <x:c r="S475">
        <x:f ca="1">IFERROR(IF(0=LEN(ReferenceData!$S$475),"",ReferenceData!$S$475),"")</x:f>
        <x:v>11.657446</x:v>
      </x:c>
    </x:row>
    <x:row r="476" spans="1:19" x14ac:dyDescent="0.25">
      <x:c r="A476" t="str">
        <x:f>IFERROR(IF(0=LEN(ReferenceData!$A$476),"",ReferenceData!$A$476),"")</x:f>
        <x:v xml:space="preserve">        Pacer Industrial Real Estate E</x:v>
      </x:c>
      <x:c r="B476" t="str">
        <x:f>IFERROR(IF(0=LEN(ReferenceData!$B$476),"",ReferenceData!$B$476),"")</x:f>
        <x:v>INDS US Equity</x:v>
      </x:c>
      <x:c r="C476" t="str">
        <x:f>IFERROR(IF(0=LEN(ReferenceData!$C$476),"",ReferenceData!$C$476),"")</x:f>
        <x:v/>
      </x:c>
      <x:c r="D476" t="str">
        <x:f>IFERROR(IF(0=LEN(ReferenceData!$D$476),"",ReferenceData!$D$476),"")</x:f>
        <x:v/>
      </x:c>
      <x:c r="E476" t="str">
        <x:f>IFERROR(IF(0=LEN(ReferenceData!$E$476),"",ReferenceData!$E$476),"")</x:f>
        <x:v>Expression</x:v>
      </x:c>
      <x:c r="F476">
        <x:f ca="1">IFERROR(IF(0=LEN(ReferenceData!$F$476),"",ReferenceData!$F$476),"")</x:f>
        <x:v>0</x:v>
      </x:c>
      <x:c r="G476">
        <x:f ca="1">IFERROR(IF(0=LEN(ReferenceData!$G$476),"",ReferenceData!$G$476),"")</x:f>
        <x:v>-1.6335949999999999</x:v>
      </x:c>
      <x:c r="H476">
        <x:f ca="1">IFERROR(IF(0=LEN(ReferenceData!$H$476),"",ReferenceData!$H$476),"")</x:f>
        <x:v>0</x:v>
      </x:c>
      <x:c r="I476">
        <x:f ca="1">IFERROR(IF(0=LEN(ReferenceData!$I$476),"",ReferenceData!$I$476),"")</x:f>
        <x:v>-7.6790750000000001</x:v>
      </x:c>
      <x:c r="J476">
        <x:f ca="1">IFERROR(IF(0=LEN(ReferenceData!$J$476),"",ReferenceData!$J$476),"")</x:f>
        <x:v>0</x:v>
      </x:c>
      <x:c r="K476">
        <x:f ca="1">IFERROR(IF(0=LEN(ReferenceData!$K$476),"",ReferenceData!$K$476),"")</x:f>
        <x:v>9.9465500000000002</x:v>
      </x:c>
      <x:c r="L476">
        <x:f ca="1">IFERROR(IF(0=LEN(ReferenceData!$L$476),"",ReferenceData!$L$476),"")</x:f>
        <x:v>-4.1116900000000003</x:v>
      </x:c>
      <x:c r="M476">
        <x:f ca="1">IFERROR(IF(0=LEN(ReferenceData!$M$476),"",ReferenceData!$M$476),"")</x:f>
        <x:v>2.1202399999999999</x:v>
      </x:c>
      <x:c r="N476">
        <x:f ca="1">IFERROR(IF(0=LEN(ReferenceData!$N$476),"",ReferenceData!$N$476),"")</x:f>
        <x:v>0</x:v>
      </x:c>
      <x:c r="O476">
        <x:f ca="1">IFERROR(IF(0=LEN(ReferenceData!$O$476),"",ReferenceData!$O$476),"")</x:f>
        <x:v>-6.0747600000000004</x:v>
      </x:c>
      <x:c r="P476">
        <x:f ca="1">IFERROR(IF(0=LEN(ReferenceData!$P$476),"",ReferenceData!$P$476),"")</x:f>
        <x:v>-9.421735</x:v>
      </x:c>
      <x:c r="Q476">
        <x:f ca="1">IFERROR(IF(0=LEN(ReferenceData!$Q$476),"",ReferenceData!$Q$476),"")</x:f>
        <x:v>-5.7992400000000002</x:v>
      </x:c>
      <x:c r="R476">
        <x:f ca="1">IFERROR(IF(0=LEN(ReferenceData!$R$476),"",ReferenceData!$R$476),"")</x:f>
        <x:v>5.7885049999999998</x:v>
      </x:c>
      <x:c r="S476">
        <x:f ca="1">IFERROR(IF(0=LEN(ReferenceData!$S$476),"",ReferenceData!$S$476),"")</x:f>
        <x:v>-18.033725</x:v>
      </x:c>
    </x:row>
    <x:row r="477" spans="1:19" x14ac:dyDescent="0.25">
      <x:c r="A477" t="str">
        <x:f>IFERROR(IF(0=LEN(ReferenceData!$A$477),"",ReferenceData!$A$477),"")</x:f>
        <x:v xml:space="preserve">        Necessity Retail REIT Inc/The</x:v>
      </x:c>
      <x:c r="B477" t="str">
        <x:f>IFERROR(IF(0=LEN(ReferenceData!$B$477),"",ReferenceData!$B$477),"")</x:f>
        <x:v>RTL US Equity</x:v>
      </x:c>
      <x:c r="C477" t="str">
        <x:f>IFERROR(IF(0=LEN(ReferenceData!$C$477),"",ReferenceData!$C$477),"")</x:f>
        <x:v/>
      </x:c>
      <x:c r="D477" t="str">
        <x:f>IFERROR(IF(0=LEN(ReferenceData!$D$477),"",ReferenceData!$D$477),"")</x:f>
        <x:v/>
      </x:c>
      <x:c r="E477" t="str">
        <x:f>IFERROR(IF(0=LEN(ReferenceData!$E$477),"",ReferenceData!$E$477),"")</x:f>
        <x:v>Expression</x:v>
      </x:c>
      <x:c r="F477" t="str">
        <x:f ca="1">IFERROR(IF(0=LEN(ReferenceData!$F$477),"",ReferenceData!$F$477),"")</x:f>
        <x:v/>
      </x:c>
      <x:c r="G477" t="str">
        <x:f ca="1">IFERROR(IF(0=LEN(ReferenceData!$G$477),"",ReferenceData!$G$477),"")</x:f>
        <x:v/>
      </x:c>
      <x:c r="H477" t="str">
        <x:f ca="1">IFERROR(IF(0=LEN(ReferenceData!$H$477),"",ReferenceData!$H$477),"")</x:f>
        <x:v/>
      </x:c>
      <x:c r="I477" t="str">
        <x:f ca="1">IFERROR(IF(0=LEN(ReferenceData!$I$477),"",ReferenceData!$I$477),"")</x:f>
        <x:v/>
      </x:c>
      <x:c r="J477" t="str">
        <x:f ca="1">IFERROR(IF(0=LEN(ReferenceData!$J$477),"",ReferenceData!$J$477),"")</x:f>
        <x:v/>
      </x:c>
      <x:c r="K477" t="str">
        <x:f ca="1">IFERROR(IF(0=LEN(ReferenceData!$K$477),"",ReferenceData!$K$477),"")</x:f>
        <x:v/>
      </x:c>
      <x:c r="L477" t="str">
        <x:f ca="1">IFERROR(IF(0=LEN(ReferenceData!$L$477),"",ReferenceData!$L$477),"")</x:f>
        <x:v/>
      </x:c>
      <x:c r="M477" t="str">
        <x:f ca="1">IFERROR(IF(0=LEN(ReferenceData!$M$477),"",ReferenceData!$M$477),"")</x:f>
        <x:v/>
      </x:c>
      <x:c r="N477" t="str">
        <x:f ca="1">IFERROR(IF(0=LEN(ReferenceData!$N$477),"",ReferenceData!$N$477),"")</x:f>
        <x:v/>
      </x:c>
      <x:c r="O477" t="str">
        <x:f ca="1">IFERROR(IF(0=LEN(ReferenceData!$O$477),"",ReferenceData!$O$477),"")</x:f>
        <x:v/>
      </x:c>
      <x:c r="P477" t="str">
        <x:f ca="1">IFERROR(IF(0=LEN(ReferenceData!$P$477),"",ReferenceData!$P$477),"")</x:f>
        <x:v/>
      </x:c>
      <x:c r="Q477" t="str">
        <x:f ca="1">IFERROR(IF(0=LEN(ReferenceData!$Q$477),"",ReferenceData!$Q$477),"")</x:f>
        <x:v/>
      </x:c>
      <x:c r="R477" t="str">
        <x:f ca="1">IFERROR(IF(0=LEN(ReferenceData!$R$477),"",ReferenceData!$R$477),"")</x:f>
        <x:v/>
      </x:c>
      <x:c r="S477" t="str">
        <x:f ca="1">IFERROR(IF(0=LEN(ReferenceData!$S$477),"",ReferenceData!$S$477),"")</x:f>
        <x:v/>
      </x:c>
    </x:row>
    <x:row r="478" spans="1:19" x14ac:dyDescent="0.25">
      <x:c r="A478" t="str">
        <x:f>IFERROR(IF(0=LEN(ReferenceData!$A$478),"",ReferenceData!$A$478),"")</x:f>
        <x:v xml:space="preserve">        Pacer Data &amp; Infrastructure Re</x:v>
      </x:c>
      <x:c r="B478" t="str">
        <x:f>IFERROR(IF(0=LEN(ReferenceData!$B$478),"",ReferenceData!$B$478),"")</x:f>
        <x:v>SRVR US Equity</x:v>
      </x:c>
      <x:c r="C478" t="str">
        <x:f>IFERROR(IF(0=LEN(ReferenceData!$C$478),"",ReferenceData!$C$478),"")</x:f>
        <x:v/>
      </x:c>
      <x:c r="D478" t="str">
        <x:f>IFERROR(IF(0=LEN(ReferenceData!$D$478),"",ReferenceData!$D$478),"")</x:f>
        <x:v/>
      </x:c>
      <x:c r="E478" t="str">
        <x:f>IFERROR(IF(0=LEN(ReferenceData!$E$478),"",ReferenceData!$E$478),"")</x:f>
        <x:v>Expression</x:v>
      </x:c>
      <x:c r="F478">
        <x:f ca="1">IFERROR(IF(0=LEN(ReferenceData!$F$478),"",ReferenceData!$F$478),"")</x:f>
        <x:v>-7.8743850000000002</x:v>
      </x:c>
      <x:c r="G478">
        <x:f ca="1">IFERROR(IF(0=LEN(ReferenceData!$G$478),"",ReferenceData!$G$478),"")</x:f>
        <x:v>-38.225630000000002</x:v>
      </x:c>
      <x:c r="H478">
        <x:f ca="1">IFERROR(IF(0=LEN(ReferenceData!$H$478),"",ReferenceData!$H$478),"")</x:f>
        <x:v>-13.857239999999999</x:v>
      </x:c>
      <x:c r="I478">
        <x:f ca="1">IFERROR(IF(0=LEN(ReferenceData!$I$478),"",ReferenceData!$I$478),"")</x:f>
        <x:v>-12.744475</x:v>
      </x:c>
      <x:c r="J478">
        <x:f ca="1">IFERROR(IF(0=LEN(ReferenceData!$J$478),"",ReferenceData!$J$478),"")</x:f>
        <x:v>-11.798584999999999</x:v>
      </x:c>
      <x:c r="K478">
        <x:f ca="1">IFERROR(IF(0=LEN(ReferenceData!$K$478),"",ReferenceData!$K$478),"")</x:f>
        <x:v>-37.391345000000001</x:v>
      </x:c>
      <x:c r="L478">
        <x:f ca="1">IFERROR(IF(0=LEN(ReferenceData!$L$478),"",ReferenceData!$L$478),"")</x:f>
        <x:v>-48.341540000000002</x:v>
      </x:c>
      <x:c r="M478">
        <x:f ca="1">IFERROR(IF(0=LEN(ReferenceData!$M$478),"",ReferenceData!$M$478),"")</x:f>
        <x:v>-37.294454999999999</x:v>
      </x:c>
      <x:c r="N478">
        <x:f ca="1">IFERROR(IF(0=LEN(ReferenceData!$N$478),"",ReferenceData!$N$478),"")</x:f>
        <x:v>-21.770885</x:v>
      </x:c>
      <x:c r="O478">
        <x:f ca="1">IFERROR(IF(0=LEN(ReferenceData!$O$478),"",ReferenceData!$O$478),"")</x:f>
        <x:v>-7.7391100000000002</x:v>
      </x:c>
      <x:c r="P478">
        <x:f ca="1">IFERROR(IF(0=LEN(ReferenceData!$P$478),"",ReferenceData!$P$478),"")</x:f>
        <x:v>-117.02924</x:v>
      </x:c>
      <x:c r="Q478">
        <x:f ca="1">IFERROR(IF(0=LEN(ReferenceData!$Q$478),"",ReferenceData!$Q$478),"")</x:f>
        <x:v>-40.087699999999998</x:v>
      </x:c>
      <x:c r="R478">
        <x:f ca="1">IFERROR(IF(0=LEN(ReferenceData!$R$478),"",ReferenceData!$R$478),"")</x:f>
        <x:v>-29.373535</x:v>
      </x:c>
      <x:c r="S478">
        <x:f ca="1">IFERROR(IF(0=LEN(ReferenceData!$S$478),"",ReferenceData!$S$478),"")</x:f>
        <x:v>-38.325209999999998</x:v>
      </x:c>
    </x:row>
    <x:row r="479" spans="1:19" x14ac:dyDescent="0.25">
      <x:c r="A479" t="str">
        <x:f>IFERROR(IF(0=LEN(ReferenceData!$A$479),"",ReferenceData!$A$479),"")</x:f>
        <x:v xml:space="preserve">        Global X MSCI China Real Estat</x:v>
      </x:c>
      <x:c r="B479" t="str">
        <x:f>IFERROR(IF(0=LEN(ReferenceData!$B$479),"",ReferenceData!$B$479),"")</x:f>
        <x:v>CHIR US Equity</x:v>
      </x:c>
      <x:c r="C479" t="str">
        <x:f>IFERROR(IF(0=LEN(ReferenceData!$C$479),"",ReferenceData!$C$479),"")</x:f>
        <x:v/>
      </x:c>
      <x:c r="D479" t="str">
        <x:f>IFERROR(IF(0=LEN(ReferenceData!$D$479),"",ReferenceData!$D$479),"")</x:f>
        <x:v/>
      </x:c>
      <x:c r="E479" t="str">
        <x:f>IFERROR(IF(0=LEN(ReferenceData!$E$479),"",ReferenceData!$E$479),"")</x:f>
        <x:v>Expression</x:v>
      </x:c>
      <x:c r="F479">
        <x:f ca="1">IFERROR(IF(0=LEN(ReferenceData!$F$479),"",ReferenceData!$F$479),"")</x:f>
        <x:v>0</x:v>
      </x:c>
      <x:c r="G479">
        <x:f ca="1">IFERROR(IF(0=LEN(ReferenceData!$G$479),"",ReferenceData!$G$479),"")</x:f>
        <x:v>0.47460000000000002</x:v>
      </x:c>
      <x:c r="H479">
        <x:f ca="1">IFERROR(IF(0=LEN(ReferenceData!$H$479),"",ReferenceData!$H$479),"")</x:f>
        <x:v>0.9002</x:v>
      </x:c>
      <x:c r="I479">
        <x:f ca="1">IFERROR(IF(0=LEN(ReferenceData!$I$479),"",ReferenceData!$I$479),"")</x:f>
        <x:v>-2.4400000000000002E-2</x:v>
      </x:c>
      <x:c r="J479">
        <x:f ca="1">IFERROR(IF(0=LEN(ReferenceData!$J$479),"",ReferenceData!$J$479),"")</x:f>
        <x:v>0.34379999999999999</x:v>
      </x:c>
      <x:c r="K479">
        <x:f ca="1">IFERROR(IF(0=LEN(ReferenceData!$K$479),"",ReferenceData!$K$479),"")</x:f>
        <x:v>0.35539999999999999</x:v>
      </x:c>
      <x:c r="L479">
        <x:f ca="1">IFERROR(IF(0=LEN(ReferenceData!$L$479),"",ReferenceData!$L$479),"")</x:f>
        <x:v>-0.18790000000000001</x:v>
      </x:c>
      <x:c r="M479">
        <x:f ca="1">IFERROR(IF(0=LEN(ReferenceData!$M$479),"",ReferenceData!$M$479),"")</x:f>
        <x:v>0.85019999999999996</x:v>
      </x:c>
      <x:c r="N479">
        <x:f ca="1">IFERROR(IF(0=LEN(ReferenceData!$N$479),"",ReferenceData!$N$479),"")</x:f>
        <x:v>0</x:v>
      </x:c>
      <x:c r="O479">
        <x:f ca="1">IFERROR(IF(0=LEN(ReferenceData!$O$479),"",ReferenceData!$O$479),"")</x:f>
        <x:v>0</x:v>
      </x:c>
      <x:c r="P479">
        <x:f ca="1">IFERROR(IF(0=LEN(ReferenceData!$P$479),"",ReferenceData!$P$479),"")</x:f>
        <x:v>-2.9269999999999999E-3</x:v>
      </x:c>
      <x:c r="Q479">
        <x:f ca="1">IFERROR(IF(0=LEN(ReferenceData!$Q$479),"",ReferenceData!$Q$479),"")</x:f>
        <x:v>0.21610699999999999</x:v>
      </x:c>
      <x:c r="R479">
        <x:f ca="1">IFERROR(IF(0=LEN(ReferenceData!$R$479),"",ReferenceData!$R$479),"")</x:f>
        <x:v>0</x:v>
      </x:c>
      <x:c r="S479">
        <x:f ca="1">IFERROR(IF(0=LEN(ReferenceData!$S$479),"",ReferenceData!$S$479),"")</x:f>
        <x:v>0</x:v>
      </x:c>
    </x:row>
    <x:row r="480" spans="1:19" x14ac:dyDescent="0.25">
      <x:c r="A480" t="str">
        <x:f>IFERROR(IF(0=LEN(ReferenceData!$A$480),"",ReferenceData!$A$480),"")</x:f>
        <x:v xml:space="preserve">        Hoya Capital Housing ETF</x:v>
      </x:c>
      <x:c r="B480" t="str">
        <x:f>IFERROR(IF(0=LEN(ReferenceData!$B$480),"",ReferenceData!$B$480),"")</x:f>
        <x:v>HOMZ US Equity</x:v>
      </x:c>
      <x:c r="C480" t="str">
        <x:f>IFERROR(IF(0=LEN(ReferenceData!$C$480),"",ReferenceData!$C$480),"")</x:f>
        <x:v/>
      </x:c>
      <x:c r="D480" t="str">
        <x:f>IFERROR(IF(0=LEN(ReferenceData!$D$480),"",ReferenceData!$D$480),"")</x:f>
        <x:v/>
      </x:c>
      <x:c r="E480" t="str">
        <x:f>IFERROR(IF(0=LEN(ReferenceData!$E$480),"",ReferenceData!$E$480),"")</x:f>
        <x:v>Expression</x:v>
      </x:c>
      <x:c r="F480">
        <x:f ca="1">IFERROR(IF(0=LEN(ReferenceData!$F$480),"",ReferenceData!$F$480),"")</x:f>
        <x:v>0</x:v>
      </x:c>
      <x:c r="G480">
        <x:f ca="1">IFERROR(IF(0=LEN(ReferenceData!$G$480),"",ReferenceData!$G$480),"")</x:f>
        <x:v>0</x:v>
      </x:c>
      <x:c r="H480">
        <x:f ca="1">IFERROR(IF(0=LEN(ReferenceData!$H$480),"",ReferenceData!$H$480),"")</x:f>
        <x:v>0</x:v>
      </x:c>
      <x:c r="I480">
        <x:f ca="1">IFERROR(IF(0=LEN(ReferenceData!$I$480),"",ReferenceData!$I$480),"")</x:f>
        <x:v>0</x:v>
      </x:c>
      <x:c r="J480">
        <x:f ca="1">IFERROR(IF(0=LEN(ReferenceData!$J$480),"",ReferenceData!$J$480),"")</x:f>
        <x:v>0</x:v>
      </x:c>
      <x:c r="K480">
        <x:f ca="1">IFERROR(IF(0=LEN(ReferenceData!$K$480),"",ReferenceData!$K$480),"")</x:f>
        <x:v>0</x:v>
      </x:c>
      <x:c r="L480">
        <x:f ca="1">IFERROR(IF(0=LEN(ReferenceData!$L$480),"",ReferenceData!$L$480),"")</x:f>
        <x:v>-0.88917000000000002</x:v>
      </x:c>
      <x:c r="M480">
        <x:f ca="1">IFERROR(IF(0=LEN(ReferenceData!$M$480),"",ReferenceData!$M$480),"")</x:f>
        <x:v>0</x:v>
      </x:c>
      <x:c r="N480">
        <x:f ca="1">IFERROR(IF(0=LEN(ReferenceData!$N$480),"",ReferenceData!$N$480),"")</x:f>
        <x:v>-0.82481300000000002</x:v>
      </x:c>
      <x:c r="O480">
        <x:f ca="1">IFERROR(IF(0=LEN(ReferenceData!$O$480),"",ReferenceData!$O$480),"")</x:f>
        <x:v>0</x:v>
      </x:c>
      <x:c r="P480">
        <x:f ca="1">IFERROR(IF(0=LEN(ReferenceData!$P$480),"",ReferenceData!$P$480),"")</x:f>
        <x:v>0</x:v>
      </x:c>
      <x:c r="Q480">
        <x:f ca="1">IFERROR(IF(0=LEN(ReferenceData!$Q$480),"",ReferenceData!$Q$480),"")</x:f>
        <x:v>-1.6190599999999999</x:v>
      </x:c>
      <x:c r="R480">
        <x:f ca="1">IFERROR(IF(0=LEN(ReferenceData!$R$480),"",ReferenceData!$R$480),"")</x:f>
        <x:v>-0.83614500000000003</x:v>
      </x:c>
      <x:c r="S480">
        <x:f ca="1">IFERROR(IF(0=LEN(ReferenceData!$S$480),"",ReferenceData!$S$480),"")</x:f>
        <x:v>-0.78667799999999999</x:v>
      </x:c>
    </x:row>
    <x:row r="481" spans="1:19" x14ac:dyDescent="0.25">
      <x:c r="A481" t="str">
        <x:f>IFERROR(IF(0=LEN(ReferenceData!$A$481),"",ReferenceData!$A$481),"")</x:f>
        <x:v xml:space="preserve">        NETLease Corporate Real Estate</x:v>
      </x:c>
      <x:c r="B481" t="str">
        <x:f>IFERROR(IF(0=LEN(ReferenceData!$B$481),"",ReferenceData!$B$481),"")</x:f>
        <x:v>NETL US Equity</x:v>
      </x:c>
      <x:c r="C481" t="str">
        <x:f>IFERROR(IF(0=LEN(ReferenceData!$C$481),"",ReferenceData!$C$481),"")</x:f>
        <x:v/>
      </x:c>
      <x:c r="D481" t="str">
        <x:f>IFERROR(IF(0=LEN(ReferenceData!$D$481),"",ReferenceData!$D$481),"")</x:f>
        <x:v/>
      </x:c>
      <x:c r="E481" t="str">
        <x:f>IFERROR(IF(0=LEN(ReferenceData!$E$481),"",ReferenceData!$E$481),"")</x:f>
        <x:v>Expression</x:v>
      </x:c>
      <x:c r="F481">
        <x:f ca="1">IFERROR(IF(0=LEN(ReferenceData!$F$481),"",ReferenceData!$F$481),"")</x:f>
        <x:v>-9.5602180000000008</x:v>
      </x:c>
      <x:c r="G481">
        <x:f ca="1">IFERROR(IF(0=LEN(ReferenceData!$G$481),"",ReferenceData!$G$481),"")</x:f>
        <x:v>-2.0949300000000002</x:v>
      </x:c>
      <x:c r="H481">
        <x:f ca="1">IFERROR(IF(0=LEN(ReferenceData!$H$481),"",ReferenceData!$H$481),"")</x:f>
        <x:v>-5.2786619999999997</x:v>
      </x:c>
      <x:c r="I481">
        <x:f ca="1">IFERROR(IF(0=LEN(ReferenceData!$I$481),"",ReferenceData!$I$481),"")</x:f>
        <x:v>-2.324735</x:v>
      </x:c>
      <x:c r="J481">
        <x:f ca="1">IFERROR(IF(0=LEN(ReferenceData!$J$481),"",ReferenceData!$J$481),"")</x:f>
        <x:v>-0.61880000000000002</x:v>
      </x:c>
      <x:c r="K481">
        <x:f ca="1">IFERROR(IF(0=LEN(ReferenceData!$K$481),"",ReferenceData!$K$481),"")</x:f>
        <x:v>-5.5372380000000003</x:v>
      </x:c>
      <x:c r="L481">
        <x:f ca="1">IFERROR(IF(0=LEN(ReferenceData!$L$481),"",ReferenceData!$L$481),"")</x:f>
        <x:v>-0.60733199999999998</x:v>
      </x:c>
      <x:c r="M481">
        <x:f ca="1">IFERROR(IF(0=LEN(ReferenceData!$M$481),"",ReferenceData!$M$481),"")</x:f>
        <x:v>1.22472</x:v>
      </x:c>
      <x:c r="N481">
        <x:f ca="1">IFERROR(IF(0=LEN(ReferenceData!$N$481),"",ReferenceData!$N$481),"")</x:f>
        <x:v>0.54075700000000004</x:v>
      </x:c>
      <x:c r="O481">
        <x:f ca="1">IFERROR(IF(0=LEN(ReferenceData!$O$481),"",ReferenceData!$O$481),"")</x:f>
        <x:v>0.64688199999999996</x:v>
      </x:c>
      <x:c r="P481">
        <x:f ca="1">IFERROR(IF(0=LEN(ReferenceData!$P$481),"",ReferenceData!$P$481),"")</x:f>
        <x:v>3.935565</x:v>
      </x:c>
      <x:c r="Q481">
        <x:f ca="1">IFERROR(IF(0=LEN(ReferenceData!$Q$481),"",ReferenceData!$Q$481),"")</x:f>
        <x:v>-3.2291650000000001</x:v>
      </x:c>
      <x:c r="R481">
        <x:f ca="1">IFERROR(IF(0=LEN(ReferenceData!$R$481),"",ReferenceData!$R$481),"")</x:f>
        <x:v>5.7312950000000003</x:v>
      </x:c>
      <x:c r="S481">
        <x:f ca="1">IFERROR(IF(0=LEN(ReferenceData!$S$481),"",ReferenceData!$S$481),"")</x:f>
        <x:v>-11.150556999999999</x:v>
      </x:c>
    </x:row>
    <x:row r="482" spans="1:19" x14ac:dyDescent="0.25">
      <x:c r="A482" t="str">
        <x:f>IFERROR(IF(0=LEN(ReferenceData!$A$482),"",ReferenceData!$A$482),"")</x:f>
        <x:v xml:space="preserve">        Virtus Real Asset Income ETF</x:v>
      </x:c>
      <x:c r="B482" t="str">
        <x:f>IFERROR(IF(0=LEN(ReferenceData!$B$482),"",ReferenceData!$B$482),"")</x:f>
        <x:v>VRAI US Equity</x:v>
      </x:c>
      <x:c r="C482" t="str">
        <x:f>IFERROR(IF(0=LEN(ReferenceData!$C$482),"",ReferenceData!$C$482),"")</x:f>
        <x:v/>
      </x:c>
      <x:c r="D482" t="str">
        <x:f>IFERROR(IF(0=LEN(ReferenceData!$D$482),"",ReferenceData!$D$482),"")</x:f>
        <x:v/>
      </x:c>
      <x:c r="E482" t="str">
        <x:f>IFERROR(IF(0=LEN(ReferenceData!$E$482),"",ReferenceData!$E$482),"")</x:f>
        <x:v>Expression</x:v>
      </x:c>
      <x:c r="F482">
        <x:f ca="1">IFERROR(IF(0=LEN(ReferenceData!$F$482),"",ReferenceData!$F$482),"")</x:f>
        <x:v>0</x:v>
      </x:c>
      <x:c r="G482">
        <x:f ca="1">IFERROR(IF(0=LEN(ReferenceData!$G$482),"",ReferenceData!$G$482),"")</x:f>
        <x:v>0</x:v>
      </x:c>
      <x:c r="H482">
        <x:f ca="1">IFERROR(IF(0=LEN(ReferenceData!$H$482),"",ReferenceData!$H$482),"")</x:f>
        <x:v>-1.129413</x:v>
      </x:c>
      <x:c r="I482">
        <x:f ca="1">IFERROR(IF(0=LEN(ReferenceData!$I$482),"",ReferenceData!$I$482),"")</x:f>
        <x:v>0</x:v>
      </x:c>
      <x:c r="J482">
        <x:f ca="1">IFERROR(IF(0=LEN(ReferenceData!$J$482),"",ReferenceData!$J$482),"")</x:f>
        <x:v>-1.2040040000000001</x:v>
      </x:c>
      <x:c r="K482">
        <x:f ca="1">IFERROR(IF(0=LEN(ReferenceData!$K$482),"",ReferenceData!$K$482),"")</x:f>
        <x:v>-1.1961390000000001</x:v>
      </x:c>
      <x:c r="L482">
        <x:f ca="1">IFERROR(IF(0=LEN(ReferenceData!$L$482),"",ReferenceData!$L$482),"")</x:f>
        <x:v>0</x:v>
      </x:c>
      <x:c r="M482">
        <x:f ca="1">IFERROR(IF(0=LEN(ReferenceData!$M$482),"",ReferenceData!$M$482),"")</x:f>
        <x:v>-4.7405660000000003</x:v>
      </x:c>
      <x:c r="N482">
        <x:f ca="1">IFERROR(IF(0=LEN(ReferenceData!$N$482),"",ReferenceData!$N$482),"")</x:f>
        <x:v>0</x:v>
      </x:c>
      <x:c r="O482">
        <x:f ca="1">IFERROR(IF(0=LEN(ReferenceData!$O$482),"",ReferenceData!$O$482),"")</x:f>
        <x:v>-9.55992</x:v>
      </x:c>
      <x:c r="P482">
        <x:f ca="1">IFERROR(IF(0=LEN(ReferenceData!$P$482),"",ReferenceData!$P$482),"")</x:f>
        <x:v>-1.1841600000000001</x:v>
      </x:c>
      <x:c r="Q482">
        <x:f ca="1">IFERROR(IF(0=LEN(ReferenceData!$Q$482),"",ReferenceData!$Q$482),"")</x:f>
        <x:v>-6.028797</x:v>
      </x:c>
      <x:c r="R482">
        <x:f ca="1">IFERROR(IF(0=LEN(ReferenceData!$R$482),"",ReferenceData!$R$482),"")</x:f>
        <x:v>-2.4405730000000001</x:v>
      </x:c>
      <x:c r="S482">
        <x:f ca="1">IFERROR(IF(0=LEN(ReferenceData!$S$482),"",ReferenceData!$S$482),"")</x:f>
        <x:v>-78.624025000000003</x:v>
      </x:c>
    </x:row>
    <x:row r="483" spans="1:19" x14ac:dyDescent="0.25">
      <x:c r="A483" t="str">
        <x:f>IFERROR(IF(0=LEN(ReferenceData!$A$483),"",ReferenceData!$A$483),"")</x:f>
        <x:v xml:space="preserve">        Fidelity Real Estate Investmen</x:v>
      </x:c>
      <x:c r="B483" t="str">
        <x:f>IFERROR(IF(0=LEN(ReferenceData!$B$483),"",ReferenceData!$B$483),"")</x:f>
        <x:v>FPRO US Equity</x:v>
      </x:c>
      <x:c r="C483" t="str">
        <x:f>IFERROR(IF(0=LEN(ReferenceData!$C$483),"",ReferenceData!$C$483),"")</x:f>
        <x:v/>
      </x:c>
      <x:c r="D483" t="str">
        <x:f>IFERROR(IF(0=LEN(ReferenceData!$D$483),"",ReferenceData!$D$483),"")</x:f>
        <x:v/>
      </x:c>
      <x:c r="E483" t="str">
        <x:f>IFERROR(IF(0=LEN(ReferenceData!$E$483),"",ReferenceData!$E$483),"")</x:f>
        <x:v>Expression</x:v>
      </x:c>
      <x:c r="F483">
        <x:f ca="1">IFERROR(IF(0=LEN(ReferenceData!$F$483),"",ReferenceData!$F$483),"")</x:f>
        <x:v>0</x:v>
      </x:c>
      <x:c r="G483">
        <x:f ca="1">IFERROR(IF(0=LEN(ReferenceData!$G$483),"",ReferenceData!$G$483),"")</x:f>
        <x:v>0</x:v>
      </x:c>
      <x:c r="H483">
        <x:f ca="1">IFERROR(IF(0=LEN(ReferenceData!$H$483),"",ReferenceData!$H$483),"")</x:f>
        <x:v>0</x:v>
      </x:c>
      <x:c r="I483">
        <x:f ca="1">IFERROR(IF(0=LEN(ReferenceData!$I$483),"",ReferenceData!$I$483),"")</x:f>
        <x:v>-0.51185800000000004</x:v>
      </x:c>
      <x:c r="J483">
        <x:f ca="1">IFERROR(IF(0=LEN(ReferenceData!$J$483),"",ReferenceData!$J$483),"")</x:f>
        <x:v>0</x:v>
      </x:c>
      <x:c r="K483">
        <x:f ca="1">IFERROR(IF(0=LEN(ReferenceData!$K$483),"",ReferenceData!$K$483),"")</x:f>
        <x:v>0</x:v>
      </x:c>
      <x:c r="L483">
        <x:f ca="1">IFERROR(IF(0=LEN(ReferenceData!$L$483),"",ReferenceData!$L$483),"")</x:f>
        <x:v>-0.51074399999999998</x:v>
      </x:c>
      <x:c r="M483">
        <x:f ca="1">IFERROR(IF(0=LEN(ReferenceData!$M$483),"",ReferenceData!$M$483),"")</x:f>
        <x:v>0</x:v>
      </x:c>
      <x:c r="N483">
        <x:f ca="1">IFERROR(IF(0=LEN(ReferenceData!$N$483),"",ReferenceData!$N$483),"")</x:f>
        <x:v>-0.51430200000000004</x:v>
      </x:c>
      <x:c r="O483">
        <x:f ca="1">IFERROR(IF(0=LEN(ReferenceData!$O$483),"",ReferenceData!$O$483),"")</x:f>
        <x:v>0</x:v>
      </x:c>
      <x:c r="P483">
        <x:f ca="1">IFERROR(IF(0=LEN(ReferenceData!$P$483),"",ReferenceData!$P$483),"")</x:f>
        <x:v>-0.51448000000000005</x:v>
      </x:c>
      <x:c r="Q483">
        <x:f ca="1">IFERROR(IF(0=LEN(ReferenceData!$Q$483),"",ReferenceData!$Q$483),"")</x:f>
        <x:v>-0.507606</x:v>
      </x:c>
      <x:c r="R483">
        <x:f ca="1">IFERROR(IF(0=LEN(ReferenceData!$R$483),"",ReferenceData!$R$483),"")</x:f>
        <x:v>1.7743999999999999E-2</x:v>
      </x:c>
      <x:c r="S483">
        <x:f ca="1">IFERROR(IF(0=LEN(ReferenceData!$S$483),"",ReferenceData!$S$483),"")</x:f>
        <x:v>0</x:v>
      </x:c>
    </x:row>
    <x:row r="484" spans="1:19" x14ac:dyDescent="0.25">
      <x:c r="A484" t="str">
        <x:f>IFERROR(IF(0=LEN(ReferenceData!$A$484),"",ReferenceData!$A$484),"")</x:f>
        <x:v xml:space="preserve">        Janus Henderson U.S. Real Esta</x:v>
      </x:c>
      <x:c r="B484" t="str">
        <x:f>IFERROR(IF(0=LEN(ReferenceData!$B$484),"",ReferenceData!$B$484),"")</x:f>
        <x:v>JRE US Equity</x:v>
      </x:c>
      <x:c r="C484" t="str">
        <x:f>IFERROR(IF(0=LEN(ReferenceData!$C$484),"",ReferenceData!$C$484),"")</x:f>
        <x:v/>
      </x:c>
      <x:c r="D484" t="str">
        <x:f>IFERROR(IF(0=LEN(ReferenceData!$D$484),"",ReferenceData!$D$484),"")</x:f>
        <x:v/>
      </x:c>
      <x:c r="E484" t="str">
        <x:f>IFERROR(IF(0=LEN(ReferenceData!$E$484),"",ReferenceData!$E$484),"")</x:f>
        <x:v>Expression</x:v>
      </x:c>
      <x:c r="F484">
        <x:f ca="1">IFERROR(IF(0=LEN(ReferenceData!$F$484),"",ReferenceData!$F$484),"")</x:f>
        <x:v>1.044</x:v>
      </x:c>
      <x:c r="G484">
        <x:f ca="1">IFERROR(IF(0=LEN(ReferenceData!$G$484),"",ReferenceData!$G$484),"")</x:f>
        <x:v>0</x:v>
      </x:c>
      <x:c r="H484">
        <x:f ca="1">IFERROR(IF(0=LEN(ReferenceData!$H$484),"",ReferenceData!$H$484),"")</x:f>
        <x:v>0</x:v>
      </x:c>
      <x:c r="I484">
        <x:f ca="1">IFERROR(IF(0=LEN(ReferenceData!$I$484),"",ReferenceData!$I$484),"")</x:f>
        <x:v>0</x:v>
      </x:c>
      <x:c r="J484">
        <x:f ca="1">IFERROR(IF(0=LEN(ReferenceData!$J$484),"",ReferenceData!$J$484),"")</x:f>
        <x:v>-0.5585</x:v>
      </x:c>
      <x:c r="K484">
        <x:f ca="1">IFERROR(IF(0=LEN(ReferenceData!$K$484),"",ReferenceData!$K$484),"")</x:f>
        <x:v>0</x:v>
      </x:c>
      <x:c r="L484">
        <x:f ca="1">IFERROR(IF(0=LEN(ReferenceData!$L$484),"",ReferenceData!$L$484),"")</x:f>
        <x:v>0</x:v>
      </x:c>
      <x:c r="M484">
        <x:f ca="1">IFERROR(IF(0=LEN(ReferenceData!$M$484),"",ReferenceData!$M$484),"")</x:f>
        <x:v>0</x:v>
      </x:c>
      <x:c r="N484">
        <x:f ca="1">IFERROR(IF(0=LEN(ReferenceData!$N$484),"",ReferenceData!$N$484),"")</x:f>
        <x:v>0</x:v>
      </x:c>
      <x:c r="O484">
        <x:f ca="1">IFERROR(IF(0=LEN(ReferenceData!$O$484),"",ReferenceData!$O$484),"")</x:f>
        <x:v>0</x:v>
      </x:c>
      <x:c r="P484">
        <x:f ca="1">IFERROR(IF(0=LEN(ReferenceData!$P$484),"",ReferenceData!$P$484),"")</x:f>
        <x:v>2.1890000000000001</x:v>
      </x:c>
      <x:c r="Q484">
        <x:f ca="1">IFERROR(IF(0=LEN(ReferenceData!$Q$484),"",ReferenceData!$Q$484),"")</x:f>
        <x:v>0</x:v>
      </x:c>
      <x:c r="R484">
        <x:f ca="1">IFERROR(IF(0=LEN(ReferenceData!$R$484),"",ReferenceData!$R$484),"")</x:f>
        <x:v>0</x:v>
      </x:c>
      <x:c r="S484">
        <x:f ca="1">IFERROR(IF(0=LEN(ReferenceData!$S$484),"",ReferenceData!$S$484),"")</x:f>
        <x:v>0</x:v>
      </x:c>
    </x:row>
    <x:row r="485" spans="1:19" x14ac:dyDescent="0.25">
      <x:c r="A485" t="str">
        <x:f>IFERROR(IF(0=LEN(ReferenceData!$A$485),"",ReferenceData!$A$485),"")</x:f>
        <x:v xml:space="preserve">        ETRACS Monthly Pay 1.5X Levera</x:v>
      </x:c>
      <x:c r="B485" t="str">
        <x:f>IFERROR(IF(0=LEN(ReferenceData!$B$485),"",ReferenceData!$B$485),"")</x:f>
        <x:v>MVRL US Equity</x:v>
      </x:c>
      <x:c r="C485" t="str">
        <x:f>IFERROR(IF(0=LEN(ReferenceData!$C$485),"",ReferenceData!$C$485),"")</x:f>
        <x:v/>
      </x:c>
      <x:c r="D485" t="str">
        <x:f>IFERROR(IF(0=LEN(ReferenceData!$D$485),"",ReferenceData!$D$485),"")</x:f>
        <x:v/>
      </x:c>
      <x:c r="E485" t="str">
        <x:f>IFERROR(IF(0=LEN(ReferenceData!$E$485),"",ReferenceData!$E$485),"")</x:f>
        <x:v>Expression</x:v>
      </x:c>
      <x:c r="F485">
        <x:f ca="1">IFERROR(IF(0=LEN(ReferenceData!$F$485),"",ReferenceData!$F$485),"")</x:f>
        <x:v>0</x:v>
      </x:c>
      <x:c r="G485">
        <x:f ca="1">IFERROR(IF(0=LEN(ReferenceData!$G$485),"",ReferenceData!$G$485),"")</x:f>
        <x:v>0</x:v>
      </x:c>
      <x:c r="H485">
        <x:f ca="1">IFERROR(IF(0=LEN(ReferenceData!$H$485),"",ReferenceData!$H$485),"")</x:f>
        <x:v>0</x:v>
      </x:c>
      <x:c r="I485">
        <x:f ca="1">IFERROR(IF(0=LEN(ReferenceData!$I$485),"",ReferenceData!$I$485),"")</x:f>
        <x:v>0</x:v>
      </x:c>
      <x:c r="J485">
        <x:f ca="1">IFERROR(IF(0=LEN(ReferenceData!$J$485),"",ReferenceData!$J$485),"")</x:f>
        <x:v>0</x:v>
      </x:c>
      <x:c r="K485">
        <x:f ca="1">IFERROR(IF(0=LEN(ReferenceData!$K$485),"",ReferenceData!$K$485),"")</x:f>
        <x:v>0</x:v>
      </x:c>
      <x:c r="L485">
        <x:f ca="1">IFERROR(IF(0=LEN(ReferenceData!$L$485),"",ReferenceData!$L$485),"")</x:f>
        <x:v>0</x:v>
      </x:c>
      <x:c r="M485">
        <x:f ca="1">IFERROR(IF(0=LEN(ReferenceData!$M$485),"",ReferenceData!$M$485),"")</x:f>
        <x:v>0</x:v>
      </x:c>
      <x:c r="N485">
        <x:f ca="1">IFERROR(IF(0=LEN(ReferenceData!$N$485),"",ReferenceData!$N$485),"")</x:f>
        <x:v>0</x:v>
      </x:c>
      <x:c r="O485">
        <x:f ca="1">IFERROR(IF(0=LEN(ReferenceData!$O$485),"",ReferenceData!$O$485),"")</x:f>
        <x:v>0</x:v>
      </x:c>
      <x:c r="P485">
        <x:f ca="1">IFERROR(IF(0=LEN(ReferenceData!$P$485),"",ReferenceData!$P$485),"")</x:f>
        <x:v>0</x:v>
      </x:c>
      <x:c r="Q485">
        <x:f ca="1">IFERROR(IF(0=LEN(ReferenceData!$Q$485),"",ReferenceData!$Q$485),"")</x:f>
        <x:v>0</x:v>
      </x:c>
      <x:c r="R485">
        <x:f ca="1">IFERROR(IF(0=LEN(ReferenceData!$R$485),"",ReferenceData!$R$485),"")</x:f>
        <x:v>0</x:v>
      </x:c>
      <x:c r="S485">
        <x:f ca="1">IFERROR(IF(0=LEN(ReferenceData!$S$485),"",ReferenceData!$S$485),"")</x:f>
        <x:v>0</x:v>
      </x:c>
    </x:row>
    <x:row r="486" spans="1:19" x14ac:dyDescent="0.25">
      <x:c r="A486" t="str">
        <x:f>IFERROR(IF(0=LEN(ReferenceData!$A$486),"",ReferenceData!$A$486),"")</x:f>
        <x:v xml:space="preserve">        Emles Real Estate Credit ETF</x:v>
      </x:c>
      <x:c r="B486" t="str">
        <x:f>IFERROR(IF(0=LEN(ReferenceData!$B$486),"",ReferenceData!$B$486),"")</x:f>
        <x:v>REC US Equity</x:v>
      </x:c>
      <x:c r="C486" t="str">
        <x:f>IFERROR(IF(0=LEN(ReferenceData!$C$486),"",ReferenceData!$C$486),"")</x:f>
        <x:v/>
      </x:c>
      <x:c r="D486" t="str">
        <x:f>IFERROR(IF(0=LEN(ReferenceData!$D$486),"",ReferenceData!$D$486),"")</x:f>
        <x:v/>
      </x:c>
      <x:c r="E486" t="str">
        <x:f>IFERROR(IF(0=LEN(ReferenceData!$E$486),"",ReferenceData!$E$486),"")</x:f>
        <x:v>Expression</x:v>
      </x:c>
      <x:c r="F486" t="str">
        <x:f ca="1">IFERROR(IF(0=LEN(ReferenceData!$F$486),"",ReferenceData!$F$486),"")</x:f>
        <x:v/>
      </x:c>
      <x:c r="G486" t="str">
        <x:f ca="1">IFERROR(IF(0=LEN(ReferenceData!$G$486),"",ReferenceData!$G$486),"")</x:f>
        <x:v/>
      </x:c>
      <x:c r="H486" t="str">
        <x:f ca="1">IFERROR(IF(0=LEN(ReferenceData!$H$486),"",ReferenceData!$H$486),"")</x:f>
        <x:v/>
      </x:c>
      <x:c r="I486" t="str">
        <x:f ca="1">IFERROR(IF(0=LEN(ReferenceData!$I$486),"",ReferenceData!$I$486),"")</x:f>
        <x:v/>
      </x:c>
      <x:c r="J486" t="str">
        <x:f ca="1">IFERROR(IF(0=LEN(ReferenceData!$J$486),"",ReferenceData!$J$486),"")</x:f>
        <x:v/>
      </x:c>
      <x:c r="K486" t="str">
        <x:f ca="1">IFERROR(IF(0=LEN(ReferenceData!$K$486),"",ReferenceData!$K$486),"")</x:f>
        <x:v/>
      </x:c>
      <x:c r="L486" t="str">
        <x:f ca="1">IFERROR(IF(0=LEN(ReferenceData!$L$486),"",ReferenceData!$L$486),"")</x:f>
        <x:v/>
      </x:c>
      <x:c r="M486" t="str">
        <x:f ca="1">IFERROR(IF(0=LEN(ReferenceData!$M$486),"",ReferenceData!$M$486),"")</x:f>
        <x:v/>
      </x:c>
      <x:c r="N486" t="str">
        <x:f ca="1">IFERROR(IF(0=LEN(ReferenceData!$N$486),"",ReferenceData!$N$486),"")</x:f>
        <x:v/>
      </x:c>
      <x:c r="O486" t="str">
        <x:f ca="1">IFERROR(IF(0=LEN(ReferenceData!$O$486),"",ReferenceData!$O$486),"")</x:f>
        <x:v/>
      </x:c>
      <x:c r="P486" t="str">
        <x:f ca="1">IFERROR(IF(0=LEN(ReferenceData!$P$486),"",ReferenceData!$P$486),"")</x:f>
        <x:v/>
      </x:c>
      <x:c r="Q486" t="str">
        <x:f ca="1">IFERROR(IF(0=LEN(ReferenceData!$Q$486),"",ReferenceData!$Q$486),"")</x:f>
        <x:v/>
      </x:c>
      <x:c r="R486" t="str">
        <x:f ca="1">IFERROR(IF(0=LEN(ReferenceData!$R$486),"",ReferenceData!$R$486),"")</x:f>
        <x:v/>
      </x:c>
      <x:c r="S486">
        <x:f ca="1">IFERROR(IF(0=LEN(ReferenceData!$S$486),"",ReferenceData!$S$486),"")</x:f>
        <x:v>-2.0548700000000002</x:v>
      </x:c>
    </x:row>
    <x:row r="487" spans="1:19" x14ac:dyDescent="0.25">
      <x:c r="A487" t="str">
        <x:f>IFERROR(IF(0=LEN(ReferenceData!$A$487),"",ReferenceData!$A$487),"")</x:f>
        <x:v xml:space="preserve">        Alps Active REIT ETF</x:v>
      </x:c>
      <x:c r="B487" t="str">
        <x:f>IFERROR(IF(0=LEN(ReferenceData!$B$487),"",ReferenceData!$B$487),"")</x:f>
        <x:v>REIT US Equity</x:v>
      </x:c>
      <x:c r="C487" t="str">
        <x:f>IFERROR(IF(0=LEN(ReferenceData!$C$487),"",ReferenceData!$C$487),"")</x:f>
        <x:v/>
      </x:c>
      <x:c r="D487" t="str">
        <x:f>IFERROR(IF(0=LEN(ReferenceData!$D$487),"",ReferenceData!$D$487),"")</x:f>
        <x:v/>
      </x:c>
      <x:c r="E487" t="str">
        <x:f>IFERROR(IF(0=LEN(ReferenceData!$E$487),"",ReferenceData!$E$487),"")</x:f>
        <x:v>Expression</x:v>
      </x:c>
      <x:c r="F487">
        <x:f ca="1">IFERROR(IF(0=LEN(ReferenceData!$F$487),"",ReferenceData!$F$487),"")</x:f>
        <x:v>0</x:v>
      </x:c>
      <x:c r="G487">
        <x:f ca="1">IFERROR(IF(0=LEN(ReferenceData!$G$487),"",ReferenceData!$G$487),"")</x:f>
        <x:v>0</x:v>
      </x:c>
      <x:c r="H487">
        <x:f ca="1">IFERROR(IF(0=LEN(ReferenceData!$H$487),"",ReferenceData!$H$487),"")</x:f>
        <x:v>0</x:v>
      </x:c>
      <x:c r="I487">
        <x:f ca="1">IFERROR(IF(0=LEN(ReferenceData!$I$487),"",ReferenceData!$I$487),"")</x:f>
        <x:v>0.48333100000000001</x:v>
      </x:c>
      <x:c r="J487">
        <x:f ca="1">IFERROR(IF(0=LEN(ReferenceData!$J$487),"",ReferenceData!$J$487),"")</x:f>
        <x:v>-0.37782199999999999</x:v>
      </x:c>
      <x:c r="K487">
        <x:f ca="1">IFERROR(IF(0=LEN(ReferenceData!$K$487),"",ReferenceData!$K$487),"")</x:f>
        <x:v>-0.24676600000000001</x:v>
      </x:c>
      <x:c r="L487">
        <x:f ca="1">IFERROR(IF(0=LEN(ReferenceData!$L$487),"",ReferenceData!$L$487),"")</x:f>
        <x:v>-0.36330899999999999</x:v>
      </x:c>
      <x:c r="M487">
        <x:f ca="1">IFERROR(IF(0=LEN(ReferenceData!$M$487),"",ReferenceData!$M$487),"")</x:f>
        <x:v>0</x:v>
      </x:c>
      <x:c r="N487">
        <x:f ca="1">IFERROR(IF(0=LEN(ReferenceData!$N$487),"",ReferenceData!$N$487),"")</x:f>
        <x:v>0.61666100000000001</x:v>
      </x:c>
      <x:c r="O487">
        <x:f ca="1">IFERROR(IF(0=LEN(ReferenceData!$O$487),"",ReferenceData!$O$487),"")</x:f>
        <x:v>0</x:v>
      </x:c>
      <x:c r="P487">
        <x:f ca="1">IFERROR(IF(0=LEN(ReferenceData!$P$487),"",ReferenceData!$P$487),"")</x:f>
        <x:v>0.127361</x:v>
      </x:c>
      <x:c r="Q487">
        <x:f ca="1">IFERROR(IF(0=LEN(ReferenceData!$Q$487),"",ReferenceData!$Q$487),"")</x:f>
        <x:v>0</x:v>
      </x:c>
      <x:c r="R487">
        <x:f ca="1">IFERROR(IF(0=LEN(ReferenceData!$R$487),"",ReferenceData!$R$487),"")</x:f>
        <x:v>0.354126</x:v>
      </x:c>
      <x:c r="S487">
        <x:f ca="1">IFERROR(IF(0=LEN(ReferenceData!$S$487),"",ReferenceData!$S$487),"")</x:f>
        <x:v>-0.11905</x:v>
      </x:c>
    </x:row>
    <x:row r="488" spans="1:19" x14ac:dyDescent="0.25">
      <x:c r="A488" t="str">
        <x:f>IFERROR(IF(0=LEN(ReferenceData!$A$488),"",ReferenceData!$A$488),"")</x:f>
        <x:v xml:space="preserve">        SP Funds S&amp;P Global Reit Shari</x:v>
      </x:c>
      <x:c r="B488" t="str">
        <x:f>IFERROR(IF(0=LEN(ReferenceData!$B$488),"",ReferenceData!$B$488),"")</x:f>
        <x:v>SPRE US Equity</x:v>
      </x:c>
      <x:c r="C488" t="str">
        <x:f>IFERROR(IF(0=LEN(ReferenceData!$C$488),"",ReferenceData!$C$488),"")</x:f>
        <x:v/>
      </x:c>
      <x:c r="D488" t="str">
        <x:f>IFERROR(IF(0=LEN(ReferenceData!$D$488),"",ReferenceData!$D$488),"")</x:f>
        <x:v/>
      </x:c>
      <x:c r="E488" t="str">
        <x:f>IFERROR(IF(0=LEN(ReferenceData!$E$488),"",ReferenceData!$E$488),"")</x:f>
        <x:v>Expression</x:v>
      </x:c>
      <x:c r="F488">
        <x:f ca="1">IFERROR(IF(0=LEN(ReferenceData!$F$488),"",ReferenceData!$F$488),"")</x:f>
        <x:v>0.87917500000000004</x:v>
      </x:c>
      <x:c r="G488">
        <x:f ca="1">IFERROR(IF(0=LEN(ReferenceData!$G$488),"",ReferenceData!$G$488),"")</x:f>
        <x:v>0.88360499999999997</x:v>
      </x:c>
      <x:c r="H488">
        <x:f ca="1">IFERROR(IF(0=LEN(ReferenceData!$H$488),"",ReferenceData!$H$488),"")</x:f>
        <x:v>1.8876850000000001</x:v>
      </x:c>
      <x:c r="I488">
        <x:f ca="1">IFERROR(IF(0=LEN(ReferenceData!$I$488),"",ReferenceData!$I$488),"")</x:f>
        <x:v>0</x:v>
      </x:c>
      <x:c r="J488">
        <x:f ca="1">IFERROR(IF(0=LEN(ReferenceData!$J$488),"",ReferenceData!$J$488),"")</x:f>
        <x:v>-2.9051499999999999</x:v>
      </x:c>
      <x:c r="K488">
        <x:f ca="1">IFERROR(IF(0=LEN(ReferenceData!$K$488),"",ReferenceData!$K$488),"")</x:f>
        <x:v>19.89358</x:v>
      </x:c>
      <x:c r="L488">
        <x:f ca="1">IFERROR(IF(0=LEN(ReferenceData!$L$488),"",ReferenceData!$L$488),"")</x:f>
        <x:v>4.3373980000000003</x:v>
      </x:c>
      <x:c r="M488">
        <x:f ca="1">IFERROR(IF(0=LEN(ReferenceData!$M$488),"",ReferenceData!$M$488),"")</x:f>
        <x:v>1.473368</x:v>
      </x:c>
      <x:c r="N488">
        <x:f ca="1">IFERROR(IF(0=LEN(ReferenceData!$N$488),"",ReferenceData!$N$488),"")</x:f>
        <x:v>2.942752</x:v>
      </x:c>
      <x:c r="O488">
        <x:f ca="1">IFERROR(IF(0=LEN(ReferenceData!$O$488),"",ReferenceData!$O$488),"")</x:f>
        <x:v>5.7220170000000001</x:v>
      </x:c>
      <x:c r="P488">
        <x:f ca="1">IFERROR(IF(0=LEN(ReferenceData!$P$488),"",ReferenceData!$P$488),"")</x:f>
        <x:v>3.0737549999999998</x:v>
      </x:c>
      <x:c r="Q488">
        <x:f ca="1">IFERROR(IF(0=LEN(ReferenceData!$Q$488),"",ReferenceData!$Q$488),"")</x:f>
        <x:v>3.0363600000000002</x:v>
      </x:c>
      <x:c r="R488">
        <x:f ca="1">IFERROR(IF(0=LEN(ReferenceData!$R$488),"",ReferenceData!$R$488),"")</x:f>
        <x:v>5.7406800000000002</x:v>
      </x:c>
      <x:c r="S488">
        <x:f ca="1">IFERROR(IF(0=LEN(ReferenceData!$S$488),"",ReferenceData!$S$488),"")</x:f>
        <x:v>2.7662849999999999</x:v>
      </x:c>
    </x:row>
    <x:row r="489" spans="1:19" x14ac:dyDescent="0.25">
      <x:c r="A489" t="str">
        <x:f>IFERROR(IF(0=LEN(ReferenceData!$A$489),"",ReferenceData!$A$489),"")</x:f>
        <x:v xml:space="preserve">        Cambria Global Real Estate ETF</x:v>
      </x:c>
      <x:c r="B489" t="str">
        <x:f>IFERROR(IF(0=LEN(ReferenceData!$B$489),"",ReferenceData!$B$489),"")</x:f>
        <x:v>BLDG US Equity</x:v>
      </x:c>
      <x:c r="C489" t="str">
        <x:f>IFERROR(IF(0=LEN(ReferenceData!$C$489),"",ReferenceData!$C$489),"")</x:f>
        <x:v/>
      </x:c>
      <x:c r="D489" t="str">
        <x:f>IFERROR(IF(0=LEN(ReferenceData!$D$489),"",ReferenceData!$D$489),"")</x:f>
        <x:v/>
      </x:c>
      <x:c r="E489" t="str">
        <x:f>IFERROR(IF(0=LEN(ReferenceData!$E$489),"",ReferenceData!$E$489),"")</x:f>
        <x:v>Expression</x:v>
      </x:c>
      <x:c r="F489">
        <x:f ca="1">IFERROR(IF(0=LEN(ReferenceData!$F$489),"",ReferenceData!$F$489),"")</x:f>
        <x:v>0</x:v>
      </x:c>
      <x:c r="G489">
        <x:f ca="1">IFERROR(IF(0=LEN(ReferenceData!$G$489),"",ReferenceData!$G$489),"")</x:f>
        <x:v>0</x:v>
      </x:c>
      <x:c r="H489">
        <x:f ca="1">IFERROR(IF(0=LEN(ReferenceData!$H$489),"",ReferenceData!$H$489),"")</x:f>
        <x:v>0</x:v>
      </x:c>
      <x:c r="I489">
        <x:f ca="1">IFERROR(IF(0=LEN(ReferenceData!$I$489),"",ReferenceData!$I$489),"")</x:f>
        <x:v>0</x:v>
      </x:c>
      <x:c r="J489">
        <x:f ca="1">IFERROR(IF(0=LEN(ReferenceData!$J$489),"",ReferenceData!$J$489),"")</x:f>
        <x:v>0</x:v>
      </x:c>
      <x:c r="K489">
        <x:f ca="1">IFERROR(IF(0=LEN(ReferenceData!$K$489),"",ReferenceData!$K$489),"")</x:f>
        <x:v>-3.7244999999999999</x:v>
      </x:c>
      <x:c r="L489">
        <x:f ca="1">IFERROR(IF(0=LEN(ReferenceData!$L$489),"",ReferenceData!$L$489),"")</x:f>
        <x:v>1.1970000000000001</x:v>
      </x:c>
      <x:c r="M489">
        <x:f ca="1">IFERROR(IF(0=LEN(ReferenceData!$M$489),"",ReferenceData!$M$489),"")</x:f>
        <x:v>0</x:v>
      </x:c>
      <x:c r="N489">
        <x:f ca="1">IFERROR(IF(0=LEN(ReferenceData!$N$489),"",ReferenceData!$N$489),"")</x:f>
        <x:v>1.2585</x:v>
      </x:c>
      <x:c r="O489">
        <x:f ca="1">IFERROR(IF(0=LEN(ReferenceData!$O$489),"",ReferenceData!$O$489),"")</x:f>
        <x:v>0</x:v>
      </x:c>
      <x:c r="P489">
        <x:f ca="1">IFERROR(IF(0=LEN(ReferenceData!$P$489),"",ReferenceData!$P$489),"")</x:f>
        <x:v>2.6105</x:v>
      </x:c>
      <x:c r="Q489">
        <x:f ca="1">IFERROR(IF(0=LEN(ReferenceData!$Q$489),"",ReferenceData!$Q$489),"")</x:f>
        <x:v>2.6</x:v>
      </x:c>
      <x:c r="R489">
        <x:f ca="1">IFERROR(IF(0=LEN(ReferenceData!$R$489),"",ReferenceData!$R$489),"")</x:f>
        <x:v>0</x:v>
      </x:c>
      <x:c r="S489">
        <x:f ca="1">IFERROR(IF(0=LEN(ReferenceData!$S$489),"",ReferenceData!$S$489),"")</x:f>
        <x:v>-4.6559999999999997</x:v>
      </x:c>
    </x:row>
    <x:row r="490" spans="1:19" x14ac:dyDescent="0.25">
      <x:c r="A490" t="str">
        <x:f>IFERROR(IF(0=LEN(ReferenceData!$A$490),"",ReferenceData!$A$490),"")</x:f>
        <x:v xml:space="preserve">        Global X Data Center REITs &amp; D</x:v>
      </x:c>
      <x:c r="B490" t="str">
        <x:f>IFERROR(IF(0=LEN(ReferenceData!$B$490),"",ReferenceData!$B$490),"")</x:f>
        <x:v>VPN US Equity</x:v>
      </x:c>
      <x:c r="C490" t="str">
        <x:f>IFERROR(IF(0=LEN(ReferenceData!$C$490),"",ReferenceData!$C$490),"")</x:f>
        <x:v/>
      </x:c>
      <x:c r="D490" t="str">
        <x:f>IFERROR(IF(0=LEN(ReferenceData!$D$490),"",ReferenceData!$D$490),"")</x:f>
        <x:v/>
      </x:c>
      <x:c r="E490" t="str">
        <x:f>IFERROR(IF(0=LEN(ReferenceData!$E$490),"",ReferenceData!$E$490),"")</x:f>
        <x:v>Expression</x:v>
      </x:c>
      <x:c r="F490">
        <x:f ca="1">IFERROR(IF(0=LEN(ReferenceData!$F$490),"",ReferenceData!$F$490),"")</x:f>
        <x:v>0</x:v>
      </x:c>
      <x:c r="G490">
        <x:f ca="1">IFERROR(IF(0=LEN(ReferenceData!$G$490),"",ReferenceData!$G$490),"")</x:f>
        <x:v>0.98</x:v>
      </x:c>
      <x:c r="H490">
        <x:f ca="1">IFERROR(IF(0=LEN(ReferenceData!$H$490),"",ReferenceData!$H$490),"")</x:f>
        <x:v>0.91449999999999998</x:v>
      </x:c>
      <x:c r="I490">
        <x:f ca="1">IFERROR(IF(0=LEN(ReferenceData!$I$490),"",ReferenceData!$I$490),"")</x:f>
        <x:v>0.51800000000000002</x:v>
      </x:c>
      <x:c r="J490">
        <x:f ca="1">IFERROR(IF(0=LEN(ReferenceData!$J$490),"",ReferenceData!$J$490),"")</x:f>
        <x:v>0.14130000000000001</x:v>
      </x:c>
      <x:c r="K490">
        <x:f ca="1">IFERROR(IF(0=LEN(ReferenceData!$K$490),"",ReferenceData!$K$490),"")</x:f>
        <x:v>-0.53720000000000001</x:v>
      </x:c>
      <x:c r="L490">
        <x:f ca="1">IFERROR(IF(0=LEN(ReferenceData!$L$490),"",ReferenceData!$L$490),"")</x:f>
        <x:v>0</x:v>
      </x:c>
      <x:c r="M490">
        <x:f ca="1">IFERROR(IF(0=LEN(ReferenceData!$M$490),"",ReferenceData!$M$490),"")</x:f>
        <x:v>-1.5696000000000001</x:v>
      </x:c>
      <x:c r="N490">
        <x:f ca="1">IFERROR(IF(0=LEN(ReferenceData!$N$490),"",ReferenceData!$N$490),"")</x:f>
        <x:v>-13.403</x:v>
      </x:c>
      <x:c r="O490">
        <x:f ca="1">IFERROR(IF(0=LEN(ReferenceData!$O$490),"",ReferenceData!$O$490),"")</x:f>
        <x:v>-14.4253</x:v>
      </x:c>
      <x:c r="P490">
        <x:f ca="1">IFERROR(IF(0=LEN(ReferenceData!$P$490),"",ReferenceData!$P$490),"")</x:f>
        <x:v>-2.0695999999999999</x:v>
      </x:c>
      <x:c r="Q490">
        <x:f ca="1">IFERROR(IF(0=LEN(ReferenceData!$Q$490),"",ReferenceData!$Q$490),"")</x:f>
        <x:v>0</x:v>
      </x:c>
      <x:c r="R490">
        <x:f ca="1">IFERROR(IF(0=LEN(ReferenceData!$R$490),"",ReferenceData!$R$490),"")</x:f>
        <x:v>0</x:v>
      </x:c>
      <x:c r="S490">
        <x:f ca="1">IFERROR(IF(0=LEN(ReferenceData!$S$490),"",ReferenceData!$S$490),"")</x:f>
        <x:v>-5.8056999999999999</x:v>
      </x:c>
    </x:row>
    <x:row r="491" spans="1:19" x14ac:dyDescent="0.25">
      <x:c r="A491" t="str">
        <x:f>IFERROR(IF(0=LEN(ReferenceData!$A$491),"",ReferenceData!$A$491),"")</x:f>
        <x:v xml:space="preserve">        ETFMG Real Estate Tech ETF</x:v>
      </x:c>
      <x:c r="B491" t="str">
        <x:f>IFERROR(IF(0=LEN(ReferenceData!$B$491),"",ReferenceData!$B$491),"")</x:f>
        <x:v>HHH US Equity</x:v>
      </x:c>
      <x:c r="C491" t="str">
        <x:f>IFERROR(IF(0=LEN(ReferenceData!$C$491),"",ReferenceData!$C$491),"")</x:f>
        <x:v/>
      </x:c>
      <x:c r="D491" t="str">
        <x:f>IFERROR(IF(0=LEN(ReferenceData!$D$491),"",ReferenceData!$D$491),"")</x:f>
        <x:v/>
      </x:c>
      <x:c r="E491" t="str">
        <x:f>IFERROR(IF(0=LEN(ReferenceData!$E$491),"",ReferenceData!$E$491),"")</x:f>
        <x:v>Expression</x:v>
      </x:c>
      <x:c r="F491" t="str">
        <x:f ca="1">IFERROR(IF(0=LEN(ReferenceData!$F$491),"",ReferenceData!$F$491),"")</x:f>
        <x:v/>
      </x:c>
      <x:c r="G491" t="str">
        <x:f ca="1">IFERROR(IF(0=LEN(ReferenceData!$G$491),"",ReferenceData!$G$491),"")</x:f>
        <x:v/>
      </x:c>
      <x:c r="H491" t="str">
        <x:f ca="1">IFERROR(IF(0=LEN(ReferenceData!$H$491),"",ReferenceData!$H$491),"")</x:f>
        <x:v/>
      </x:c>
      <x:c r="I491" t="str">
        <x:f ca="1">IFERROR(IF(0=LEN(ReferenceData!$I$491),"",ReferenceData!$I$491),"")</x:f>
        <x:v/>
      </x:c>
      <x:c r="J491" t="str">
        <x:f ca="1">IFERROR(IF(0=LEN(ReferenceData!$J$491),"",ReferenceData!$J$491),"")</x:f>
        <x:v/>
      </x:c>
      <x:c r="K491" t="str">
        <x:f ca="1">IFERROR(IF(0=LEN(ReferenceData!$K$491),"",ReferenceData!$K$491),"")</x:f>
        <x:v/>
      </x:c>
      <x:c r="L491" t="str">
        <x:f ca="1">IFERROR(IF(0=LEN(ReferenceData!$L$491),"",ReferenceData!$L$491),"")</x:f>
        <x:v/>
      </x:c>
      <x:c r="M491" t="str">
        <x:f ca="1">IFERROR(IF(0=LEN(ReferenceData!$M$491),"",ReferenceData!$M$491),"")</x:f>
        <x:v/>
      </x:c>
      <x:c r="N491" t="str">
        <x:f ca="1">IFERROR(IF(0=LEN(ReferenceData!$N$491),"",ReferenceData!$N$491),"")</x:f>
        <x:v/>
      </x:c>
      <x:c r="O491" t="str">
        <x:f ca="1">IFERROR(IF(0=LEN(ReferenceData!$O$491),"",ReferenceData!$O$491),"")</x:f>
        <x:v/>
      </x:c>
      <x:c r="P491" t="str">
        <x:f ca="1">IFERROR(IF(0=LEN(ReferenceData!$P$491),"",ReferenceData!$P$491),"")</x:f>
        <x:v/>
      </x:c>
      <x:c r="Q491" t="str">
        <x:f ca="1">IFERROR(IF(0=LEN(ReferenceData!$Q$491),"",ReferenceData!$Q$491),"")</x:f>
        <x:v/>
      </x:c>
      <x:c r="R491" t="str">
        <x:f ca="1">IFERROR(IF(0=LEN(ReferenceData!$R$491),"",ReferenceData!$R$491),"")</x:f>
        <x:v/>
      </x:c>
      <x:c r="S491" t="str">
        <x:f ca="1">IFERROR(IF(0=LEN(ReferenceData!$S$491),"",ReferenceData!$S$491),"")</x:f>
        <x:v/>
      </x:c>
    </x:row>
    <x:row r="492" spans="1:19" x14ac:dyDescent="0.25">
      <x:c r="A492" t="str">
        <x:f>IFERROR(IF(0=LEN(ReferenceData!$A$492),"",ReferenceData!$A$492),"")</x:f>
        <x:v xml:space="preserve">        Goldman Sachs Future Real Esta</x:v>
      </x:c>
      <x:c r="B492" t="str">
        <x:f>IFERROR(IF(0=LEN(ReferenceData!$B$492),"",ReferenceData!$B$492),"")</x:f>
        <x:v>GREI US Equity</x:v>
      </x:c>
      <x:c r="C492" t="str">
        <x:f>IFERROR(IF(0=LEN(ReferenceData!$C$492),"",ReferenceData!$C$492),"")</x:f>
        <x:v/>
      </x:c>
      <x:c r="D492" t="str">
        <x:f>IFERROR(IF(0=LEN(ReferenceData!$D$492),"",ReferenceData!$D$492),"")</x:f>
        <x:v/>
      </x:c>
      <x:c r="E492" t="str">
        <x:f>IFERROR(IF(0=LEN(ReferenceData!$E$492),"",ReferenceData!$E$492),"")</x:f>
        <x:v>Expression</x:v>
      </x:c>
      <x:c r="F492">
        <x:f ca="1">IFERROR(IF(0=LEN(ReferenceData!$F$492),"",ReferenceData!$F$492),"")</x:f>
        <x:v>0</x:v>
      </x:c>
      <x:c r="G492">
        <x:f ca="1">IFERROR(IF(0=LEN(ReferenceData!$G$492),"",ReferenceData!$G$492),"")</x:f>
        <x:v>-0.74622999999999995</x:v>
      </x:c>
      <x:c r="H492">
        <x:f ca="1">IFERROR(IF(0=LEN(ReferenceData!$H$492),"",ReferenceData!$H$492),"")</x:f>
        <x:v>0</x:v>
      </x:c>
      <x:c r="I492">
        <x:f ca="1">IFERROR(IF(0=LEN(ReferenceData!$I$492),"",ReferenceData!$I$492),"")</x:f>
        <x:v>0</x:v>
      </x:c>
      <x:c r="J492">
        <x:f ca="1">IFERROR(IF(0=LEN(ReferenceData!$J$492),"",ReferenceData!$J$492),"")</x:f>
        <x:v>0</x:v>
      </x:c>
      <x:c r="K492">
        <x:f ca="1">IFERROR(IF(0=LEN(ReferenceData!$K$492),"",ReferenceData!$K$492),"")</x:f>
        <x:v>0</x:v>
      </x:c>
      <x:c r="L492">
        <x:f ca="1">IFERROR(IF(0=LEN(ReferenceData!$L$492),"",ReferenceData!$L$492),"")</x:f>
        <x:v>0</x:v>
      </x:c>
      <x:c r="M492">
        <x:f ca="1">IFERROR(IF(0=LEN(ReferenceData!$M$492),"",ReferenceData!$M$492),"")</x:f>
        <x:v>0</x:v>
      </x:c>
      <x:c r="N492">
        <x:f ca="1">IFERROR(IF(0=LEN(ReferenceData!$N$492),"",ReferenceData!$N$492),"")</x:f>
        <x:v>0</x:v>
      </x:c>
      <x:c r="O492">
        <x:f ca="1">IFERROR(IF(0=LEN(ReferenceData!$O$492),"",ReferenceData!$O$492),"")</x:f>
        <x:v>0</x:v>
      </x:c>
      <x:c r="P492">
        <x:f ca="1">IFERROR(IF(0=LEN(ReferenceData!$P$492),"",ReferenceData!$P$492),"")</x:f>
        <x:v>0</x:v>
      </x:c>
      <x:c r="Q492">
        <x:f ca="1">IFERROR(IF(0=LEN(ReferenceData!$Q$492),"",ReferenceData!$Q$492),"")</x:f>
        <x:v>0.825515</x:v>
      </x:c>
      <x:c r="R492">
        <x:f ca="1">IFERROR(IF(0=LEN(ReferenceData!$R$492),"",ReferenceData!$R$492),"")</x:f>
        <x:v>0.80272299999999996</x:v>
      </x:c>
      <x:c r="S492">
        <x:f ca="1">IFERROR(IF(0=LEN(ReferenceData!$S$492),"",ReferenceData!$S$492),"")</x:f>
        <x:v>0</x:v>
      </x:c>
    </x:row>
    <x:row r="493" spans="1:19" x14ac:dyDescent="0.25">
      <x:c r="A493" t="str">
        <x:f>IFERROR(IF(0=LEN(ReferenceData!$A$493),"",ReferenceData!$A$493),"")</x:f>
        <x:v xml:space="preserve">        Dimensional US Real Estate ETF</x:v>
      </x:c>
      <x:c r="B493" t="str">
        <x:f>IFERROR(IF(0=LEN(ReferenceData!$B$493),"",ReferenceData!$B$493),"")</x:f>
        <x:v>DFAR US Equity</x:v>
      </x:c>
      <x:c r="C493" t="str">
        <x:f>IFERROR(IF(0=LEN(ReferenceData!$C$493),"",ReferenceData!$C$493),"")</x:f>
        <x:v/>
      </x:c>
      <x:c r="D493" t="str">
        <x:f>IFERROR(IF(0=LEN(ReferenceData!$D$493),"",ReferenceData!$D$493),"")</x:f>
        <x:v/>
      </x:c>
      <x:c r="E493" t="str">
        <x:f>IFERROR(IF(0=LEN(ReferenceData!$E$493),"",ReferenceData!$E$493),"")</x:f>
        <x:v>Expression</x:v>
      </x:c>
      <x:c r="F493">
        <x:f ca="1">IFERROR(IF(0=LEN(ReferenceData!$F$493),"",ReferenceData!$F$493),"")</x:f>
        <x:v>12.007975</x:v>
      </x:c>
      <x:c r="G493">
        <x:f ca="1">IFERROR(IF(0=LEN(ReferenceData!$G$493),"",ReferenceData!$G$493),"")</x:f>
        <x:v>21.805785</x:v>
      </x:c>
      <x:c r="H493">
        <x:f ca="1">IFERROR(IF(0=LEN(ReferenceData!$H$493),"",ReferenceData!$H$493),"")</x:f>
        <x:v>17.212070000000001</x:v>
      </x:c>
      <x:c r="I493">
        <x:f ca="1">IFERROR(IF(0=LEN(ReferenceData!$I$493),"",ReferenceData!$I$493),"")</x:f>
        <x:v>20.113434999999999</x:v>
      </x:c>
      <x:c r="J493">
        <x:f ca="1">IFERROR(IF(0=LEN(ReferenceData!$J$493),"",ReferenceData!$J$493),"")</x:f>
        <x:v>24.165984999999999</x:v>
      </x:c>
      <x:c r="K493">
        <x:f ca="1">IFERROR(IF(0=LEN(ReferenceData!$K$493),"",ReferenceData!$K$493),"")</x:f>
        <x:v>16.916029999999999</x:v>
      </x:c>
      <x:c r="L493">
        <x:f ca="1">IFERROR(IF(0=LEN(ReferenceData!$L$493),"",ReferenceData!$L$493),"")</x:f>
        <x:v>46.178604999999997</x:v>
      </x:c>
      <x:c r="M493">
        <x:f ca="1">IFERROR(IF(0=LEN(ReferenceData!$M$493),"",ReferenceData!$M$493),"")</x:f>
        <x:v>34.977710000000002</x:v>
      </x:c>
      <x:c r="N493">
        <x:f ca="1">IFERROR(IF(0=LEN(ReferenceData!$N$493),"",ReferenceData!$N$493),"")</x:f>
        <x:v>13.801155</x:v>
      </x:c>
      <x:c r="O493">
        <x:f ca="1">IFERROR(IF(0=LEN(ReferenceData!$O$493),"",ReferenceData!$O$493),"")</x:f>
        <x:v>36.458055000000002</x:v>
      </x:c>
      <x:c r="P493">
        <x:f ca="1">IFERROR(IF(0=LEN(ReferenceData!$P$493),"",ReferenceData!$P$493),"")</x:f>
        <x:v>71.006699999999995</x:v>
      </x:c>
      <x:c r="Q493">
        <x:f ca="1">IFERROR(IF(0=LEN(ReferenceData!$Q$493),"",ReferenceData!$Q$493),"")</x:f>
        <x:v>105.68890500000001</x:v>
      </x:c>
      <x:c r="R493">
        <x:f ca="1">IFERROR(IF(0=LEN(ReferenceData!$R$493),"",ReferenceData!$R$493),"")</x:f>
        <x:v>59.084575000000001</x:v>
      </x:c>
      <x:c r="S493">
        <x:f ca="1">IFERROR(IF(0=LEN(ReferenceData!$S$493),"",ReferenceData!$S$493),"")</x:f>
        <x:v>50.373184999999999</x:v>
      </x:c>
    </x:row>
    <x:row r="494" spans="1:19" x14ac:dyDescent="0.25">
      <x:c r="A494" t="str">
        <x:f>IFERROR(IF(0=LEN(ReferenceData!$A$494),"",ReferenceData!$A$494),"")</x:f>
        <x:v xml:space="preserve">        Kelly Residential &amp; Apartment</x:v>
      </x:c>
      <x:c r="B494" t="str">
        <x:f>IFERROR(IF(0=LEN(ReferenceData!$B$494),"",ReferenceData!$B$494),"")</x:f>
        <x:v>RESI US Equity</x:v>
      </x:c>
      <x:c r="C494" t="str">
        <x:f>IFERROR(IF(0=LEN(ReferenceData!$C$494),"",ReferenceData!$C$494),"")</x:f>
        <x:v/>
      </x:c>
      <x:c r="D494" t="str">
        <x:f>IFERROR(IF(0=LEN(ReferenceData!$D$494),"",ReferenceData!$D$494),"")</x:f>
        <x:v/>
      </x:c>
      <x:c r="E494" t="str">
        <x:f>IFERROR(IF(0=LEN(ReferenceData!$E$494),"",ReferenceData!$E$494),"")</x:f>
        <x:v>Expression</x:v>
      </x:c>
      <x:c r="F494">
        <x:f ca="1">IFERROR(IF(0=LEN(ReferenceData!$F$494),"",ReferenceData!$F$494),"")</x:f>
        <x:v>0.24054800000000001</x:v>
      </x:c>
      <x:c r="G494">
        <x:f ca="1">IFERROR(IF(0=LEN(ReferenceData!$G$494),"",ReferenceData!$G$494),"")</x:f>
        <x:v>0</x:v>
      </x:c>
      <x:c r="H494">
        <x:f ca="1">IFERROR(IF(0=LEN(ReferenceData!$H$494),"",ReferenceData!$H$494),"")</x:f>
        <x:v>0</x:v>
      </x:c>
      <x:c r="I494">
        <x:f ca="1">IFERROR(IF(0=LEN(ReferenceData!$I$494),"",ReferenceData!$I$494),"")</x:f>
        <x:v>0</x:v>
      </x:c>
      <x:c r="J494">
        <x:f ca="1">IFERROR(IF(0=LEN(ReferenceData!$J$494),"",ReferenceData!$J$494),"")</x:f>
        <x:v>0.27463500000000002</x:v>
      </x:c>
      <x:c r="K494">
        <x:f ca="1">IFERROR(IF(0=LEN(ReferenceData!$K$494),"",ReferenceData!$K$494),"")</x:f>
        <x:v>0</x:v>
      </x:c>
      <x:c r="L494">
        <x:f ca="1">IFERROR(IF(0=LEN(ReferenceData!$L$494),"",ReferenceData!$L$494),"")</x:f>
        <x:v>0</x:v>
      </x:c>
      <x:c r="M494">
        <x:f ca="1">IFERROR(IF(0=LEN(ReferenceData!$M$494),"",ReferenceData!$M$494),"")</x:f>
        <x:v>0</x:v>
      </x:c>
      <x:c r="N494">
        <x:f ca="1">IFERROR(IF(0=LEN(ReferenceData!$N$494),"",ReferenceData!$N$494),"")</x:f>
        <x:v>0</x:v>
      </x:c>
      <x:c r="O494">
        <x:f ca="1">IFERROR(IF(0=LEN(ReferenceData!$O$494),"",ReferenceData!$O$494),"")</x:f>
        <x:v>0</x:v>
      </x:c>
      <x:c r="P494">
        <x:f ca="1">IFERROR(IF(0=LEN(ReferenceData!$P$494),"",ReferenceData!$P$494),"")</x:f>
        <x:v>0.27123799999999998</x:v>
      </x:c>
      <x:c r="Q494">
        <x:f ca="1">IFERROR(IF(0=LEN(ReferenceData!$Q$494),"",ReferenceData!$Q$494),"")</x:f>
        <x:v>0</x:v>
      </x:c>
      <x:c r="R494">
        <x:f ca="1">IFERROR(IF(0=LEN(ReferenceData!$R$494),"",ReferenceData!$R$494),"")</x:f>
        <x:v>0</x:v>
      </x:c>
      <x:c r="S494">
        <x:f ca="1">IFERROR(IF(0=LEN(ReferenceData!$S$494),"",ReferenceData!$S$494),"")</x:f>
        <x:v>0</x:v>
      </x:c>
    </x:row>
    <x:row r="495" spans="1:19" x14ac:dyDescent="0.25">
      <x:c r="A495" t="str">
        <x:f>IFERROR(IF(0=LEN(ReferenceData!$A$495),"",ReferenceData!$A$495),"")</x:f>
        <x:v xml:space="preserve">        Residential REIT Income ETF</x:v>
      </x:c>
      <x:c r="B495" t="str">
        <x:f>IFERROR(IF(0=LEN(ReferenceData!$B$495),"",ReferenceData!$B$495),"")</x:f>
        <x:v>HAUS US Equity</x:v>
      </x:c>
      <x:c r="C495" t="str">
        <x:f>IFERROR(IF(0=LEN(ReferenceData!$C$495),"",ReferenceData!$C$495),"")</x:f>
        <x:v/>
      </x:c>
      <x:c r="D495" t="str">
        <x:f>IFERROR(IF(0=LEN(ReferenceData!$D$495),"",ReferenceData!$D$495),"")</x:f>
        <x:v/>
      </x:c>
      <x:c r="E495" t="str">
        <x:f>IFERROR(IF(0=LEN(ReferenceData!$E$495),"",ReferenceData!$E$495),"")</x:f>
        <x:v>Expression</x:v>
      </x:c>
      <x:c r="F495">
        <x:f ca="1">IFERROR(IF(0=LEN(ReferenceData!$F$495),"",ReferenceData!$F$495),"")</x:f>
        <x:v>0</x:v>
      </x:c>
      <x:c r="G495">
        <x:f ca="1">IFERROR(IF(0=LEN(ReferenceData!$G$495),"",ReferenceData!$G$495),"")</x:f>
        <x:v>-1.3443830000000001</x:v>
      </x:c>
      <x:c r="H495">
        <x:f ca="1">IFERROR(IF(0=LEN(ReferenceData!$H$495),"",ReferenceData!$H$495),"")</x:f>
        <x:v>0</x:v>
      </x:c>
      <x:c r="I495">
        <x:f ca="1">IFERROR(IF(0=LEN(ReferenceData!$I$495),"",ReferenceData!$I$495),"")</x:f>
        <x:v>0</x:v>
      </x:c>
      <x:c r="J495">
        <x:f ca="1">IFERROR(IF(0=LEN(ReferenceData!$J$495),"",ReferenceData!$J$495),"")</x:f>
        <x:v>0</x:v>
      </x:c>
      <x:c r="K495">
        <x:f ca="1">IFERROR(IF(0=LEN(ReferenceData!$K$495),"",ReferenceData!$K$495),"")</x:f>
        <x:v>0.32562200000000002</x:v>
      </x:c>
      <x:c r="L495">
        <x:f ca="1">IFERROR(IF(0=LEN(ReferenceData!$L$495),"",ReferenceData!$L$495),"")</x:f>
        <x:v>-0.464754</x:v>
      </x:c>
      <x:c r="M495">
        <x:f ca="1">IFERROR(IF(0=LEN(ReferenceData!$M$495),"",ReferenceData!$M$495),"")</x:f>
        <x:v>0</x:v>
      </x:c>
      <x:c r="N495">
        <x:f ca="1">IFERROR(IF(0=LEN(ReferenceData!$N$495),"",ReferenceData!$N$495),"")</x:f>
        <x:v>0.64707199999999998</x:v>
      </x:c>
      <x:c r="O495">
        <x:f ca="1">IFERROR(IF(0=LEN(ReferenceData!$O$495),"",ReferenceData!$O$495),"")</x:f>
        <x:v>0</x:v>
      </x:c>
      <x:c r="P495">
        <x:f ca="1">IFERROR(IF(0=LEN(ReferenceData!$P$495),"",ReferenceData!$P$495),"")</x:f>
        <x:v>0</x:v>
      </x:c>
      <x:c r="Q495">
        <x:f ca="1">IFERROR(IF(0=LEN(ReferenceData!$Q$495),"",ReferenceData!$Q$495),"")</x:f>
        <x:v>0</x:v>
      </x:c>
      <x:c r="R495">
        <x:f ca="1">IFERROR(IF(0=LEN(ReferenceData!$R$495),"",ReferenceData!$R$495),"")</x:f>
        <x:v>0</x:v>
      </x:c>
      <x:c r="S495">
        <x:f ca="1">IFERROR(IF(0=LEN(ReferenceData!$S$495),"",ReferenceData!$S$495),"")</x:f>
        <x:v>0.76704000000000006</x:v>
      </x:c>
    </x:row>
    <x:row r="496" spans="1:19" x14ac:dyDescent="0.25">
      <x:c r="A496" t="str">
        <x:f>IFERROR(IF(0=LEN(ReferenceData!$A$496),"",ReferenceData!$A$496),"")</x:f>
        <x:v xml:space="preserve">        Principal Real Estate Active O</x:v>
      </x:c>
      <x:c r="B496" t="str">
        <x:f>IFERROR(IF(0=LEN(ReferenceData!$B$496),"",ReferenceData!$B$496),"")</x:f>
        <x:v>BYRE US Equity</x:v>
      </x:c>
      <x:c r="C496" t="str">
        <x:f>IFERROR(IF(0=LEN(ReferenceData!$C$496),"",ReferenceData!$C$496),"")</x:f>
        <x:v/>
      </x:c>
      <x:c r="D496" t="str">
        <x:f>IFERROR(IF(0=LEN(ReferenceData!$D$496),"",ReferenceData!$D$496),"")</x:f>
        <x:v/>
      </x:c>
      <x:c r="E496" t="str">
        <x:f>IFERROR(IF(0=LEN(ReferenceData!$E$496),"",ReferenceData!$E$496),"")</x:f>
        <x:v>Expression</x:v>
      </x:c>
      <x:c r="F496">
        <x:f ca="1">IFERROR(IF(0=LEN(ReferenceData!$F$496),"",ReferenceData!$F$496),"")</x:f>
        <x:v>0</x:v>
      </x:c>
      <x:c r="G496">
        <x:f ca="1">IFERROR(IF(0=LEN(ReferenceData!$G$496),"",ReferenceData!$G$496),"")</x:f>
        <x:v>2.8808050000000001</x:v>
      </x:c>
      <x:c r="H496">
        <x:f ca="1">IFERROR(IF(0=LEN(ReferenceData!$H$496),"",ReferenceData!$H$496),"")</x:f>
        <x:v>0</x:v>
      </x:c>
      <x:c r="I496">
        <x:f ca="1">IFERROR(IF(0=LEN(ReferenceData!$I$496),"",ReferenceData!$I$496),"")</x:f>
        <x:v>0</x:v>
      </x:c>
      <x:c r="J496">
        <x:f ca="1">IFERROR(IF(0=LEN(ReferenceData!$J$496),"",ReferenceData!$J$496),"")</x:f>
        <x:v>0</x:v>
      </x:c>
      <x:c r="K496">
        <x:f ca="1">IFERROR(IF(0=LEN(ReferenceData!$K$496),"",ReferenceData!$K$496),"")</x:f>
        <x:v>0</x:v>
      </x:c>
      <x:c r="L496">
        <x:f ca="1">IFERROR(IF(0=LEN(ReferenceData!$L$496),"",ReferenceData!$L$496),"")</x:f>
        <x:v>0.43684000000000001</x:v>
      </x:c>
      <x:c r="M496">
        <x:f ca="1">IFERROR(IF(0=LEN(ReferenceData!$M$496),"",ReferenceData!$M$496),"")</x:f>
        <x:v>0</x:v>
      </x:c>
      <x:c r="N496">
        <x:f ca="1">IFERROR(IF(0=LEN(ReferenceData!$N$496),"",ReferenceData!$N$496),"")</x:f>
        <x:v>0</x:v>
      </x:c>
      <x:c r="O496">
        <x:f ca="1">IFERROR(IF(0=LEN(ReferenceData!$O$496),"",ReferenceData!$O$496),"")</x:f>
        <x:v>0</x:v>
      </x:c>
      <x:c r="P496">
        <x:f ca="1">IFERROR(IF(0=LEN(ReferenceData!$P$496),"",ReferenceData!$P$496),"")</x:f>
        <x:v>0</x:v>
      </x:c>
      <x:c r="Q496">
        <x:f ca="1">IFERROR(IF(0=LEN(ReferenceData!$Q$496),"",ReferenceData!$Q$496),"")</x:f>
        <x:v>0</x:v>
      </x:c>
      <x:c r="R496">
        <x:f ca="1">IFERROR(IF(0=LEN(ReferenceData!$R$496),"",ReferenceData!$R$496),"")</x:f>
        <x:v>0</x:v>
      </x:c>
      <x:c r="S496">
        <x:f ca="1">IFERROR(IF(0=LEN(ReferenceData!$S$496),"",ReferenceData!$S$496),"")</x:f>
        <x:v>0</x:v>
      </x:c>
    </x:row>
    <x:row r="497" spans="1:19" x14ac:dyDescent="0.25">
      <x:c r="A497" t="str">
        <x:f>IFERROR(IF(0=LEN(ReferenceData!$A$497),"",ReferenceData!$A$497),"")</x:f>
        <x:v xml:space="preserve">        Dimensional Global Real Estate</x:v>
      </x:c>
      <x:c r="B497" t="str">
        <x:f>IFERROR(IF(0=LEN(ReferenceData!$B$497),"",ReferenceData!$B$497),"")</x:f>
        <x:v>DFGR US Equity</x:v>
      </x:c>
      <x:c r="C497" t="str">
        <x:f>IFERROR(IF(0=LEN(ReferenceData!$C$497),"",ReferenceData!$C$497),"")</x:f>
        <x:v/>
      </x:c>
      <x:c r="D497" t="str">
        <x:f>IFERROR(IF(0=LEN(ReferenceData!$D$497),"",ReferenceData!$D$497),"")</x:f>
        <x:v/>
      </x:c>
      <x:c r="E497" t="str">
        <x:f>IFERROR(IF(0=LEN(ReferenceData!$E$497),"",ReferenceData!$E$497),"")</x:f>
        <x:v>Expression</x:v>
      </x:c>
      <x:c r="F497">
        <x:f ca="1">IFERROR(IF(0=LEN(ReferenceData!$F$497),"",ReferenceData!$F$497),"")</x:f>
        <x:v>111.769425</x:v>
      </x:c>
      <x:c r="G497">
        <x:f ca="1">IFERROR(IF(0=LEN(ReferenceData!$G$497),"",ReferenceData!$G$497),"")</x:f>
        <x:v>151.06944999999999</x:v>
      </x:c>
      <x:c r="H497">
        <x:f ca="1">IFERROR(IF(0=LEN(ReferenceData!$H$497),"",ReferenceData!$H$497),"")</x:f>
        <x:v>72.861064999999996</x:v>
      </x:c>
      <x:c r="I497">
        <x:f ca="1">IFERROR(IF(0=LEN(ReferenceData!$I$497),"",ReferenceData!$I$497),"")</x:f>
        <x:v>93.098115000000007</x:v>
      </x:c>
      <x:c r="J497">
        <x:f ca="1">IFERROR(IF(0=LEN(ReferenceData!$J$497),"",ReferenceData!$J$497),"")</x:f>
        <x:v>76.263064999999997</x:v>
      </x:c>
      <x:c r="K497">
        <x:f ca="1">IFERROR(IF(0=LEN(ReferenceData!$K$497),"",ReferenceData!$K$497),"")</x:f>
        <x:v>201.70558</x:v>
      </x:c>
      <x:c r="L497">
        <x:f ca="1">IFERROR(IF(0=LEN(ReferenceData!$L$497),"",ReferenceData!$L$497),"")</x:f>
        <x:v>63.090060000000001</x:v>
      </x:c>
      <x:c r="M497">
        <x:f ca="1">IFERROR(IF(0=LEN(ReferenceData!$M$497),"",ReferenceData!$M$497),"")</x:f>
        <x:v>53.948345000000003</x:v>
      </x:c>
      <x:c r="N497">
        <x:f ca="1">IFERROR(IF(0=LEN(ReferenceData!$N$497),"",ReferenceData!$N$497),"")</x:f>
        <x:v>77.985709999999997</x:v>
      </x:c>
      <x:c r="O497">
        <x:f ca="1">IFERROR(IF(0=LEN(ReferenceData!$O$497),"",ReferenceData!$O$497),"")</x:f>
        <x:v>35.431789999999999</x:v>
      </x:c>
      <x:c r="P497">
        <x:f ca="1">IFERROR(IF(0=LEN(ReferenceData!$P$497),"",ReferenceData!$P$497),"")</x:f>
        <x:v>45.084294999999997</x:v>
      </x:c>
      <x:c r="Q497">
        <x:f ca="1">IFERROR(IF(0=LEN(ReferenceData!$Q$497),"",ReferenceData!$Q$497),"")</x:f>
        <x:v>203.514375</x:v>
      </x:c>
      <x:c r="R497" t="str">
        <x:f ca="1">IFERROR(IF(0=LEN(ReferenceData!$R$497),"",ReferenceData!$R$497),"")</x:f>
        <x:v/>
      </x:c>
      <x:c r="S497" t="str">
        <x:f ca="1">IFERROR(IF(0=LEN(ReferenceData!$S$497),"",ReferenceData!$S$497),"")</x:f>
        <x:v/>
      </x:c>
    </x:row>
    <x:row r="498" spans="1:19" x14ac:dyDescent="0.25">
      <x:c r="A498" t="str">
        <x:f>IFERROR(IF(0=LEN(ReferenceData!$A$498),"",ReferenceData!$A$498),"")</x:f>
        <x:v xml:space="preserve">        iShares Environmentally Aware</x:v>
      </x:c>
      <x:c r="B498" t="str">
        <x:f>IFERROR(IF(0=LEN(ReferenceData!$B$498),"",ReferenceData!$B$498),"")</x:f>
        <x:v>ERET US Equity</x:v>
      </x:c>
      <x:c r="C498" t="str">
        <x:f>IFERROR(IF(0=LEN(ReferenceData!$C$498),"",ReferenceData!$C$498),"")</x:f>
        <x:v/>
      </x:c>
      <x:c r="D498" t="str">
        <x:f>IFERROR(IF(0=LEN(ReferenceData!$D$498),"",ReferenceData!$D$498),"")</x:f>
        <x:v/>
      </x:c>
      <x:c r="E498" t="str">
        <x:f>IFERROR(IF(0=LEN(ReferenceData!$E$498),"",ReferenceData!$E$498),"")</x:f>
        <x:v>Expression</x:v>
      </x:c>
      <x:c r="F498">
        <x:f ca="1">IFERROR(IF(0=LEN(ReferenceData!$F$498),"",ReferenceData!$F$498),"")</x:f>
        <x:v>0</x:v>
      </x:c>
      <x:c r="G498">
        <x:f ca="1">IFERROR(IF(0=LEN(ReferenceData!$G$498),"",ReferenceData!$G$498),"")</x:f>
        <x:v>0</x:v>
      </x:c>
      <x:c r="H498">
        <x:f ca="1">IFERROR(IF(0=LEN(ReferenceData!$H$498),"",ReferenceData!$H$498),"")</x:f>
        <x:v>0</x:v>
      </x:c>
      <x:c r="I498">
        <x:f ca="1">IFERROR(IF(0=LEN(ReferenceData!$I$498),"",ReferenceData!$I$498),"")</x:f>
        <x:v>0</x:v>
      </x:c>
      <x:c r="J498">
        <x:f ca="1">IFERROR(IF(0=LEN(ReferenceData!$J$498),"",ReferenceData!$J$498),"")</x:f>
        <x:v>0</x:v>
      </x:c>
      <x:c r="K498">
        <x:f ca="1">IFERROR(IF(0=LEN(ReferenceData!$K$498),"",ReferenceData!$K$498),"")</x:f>
        <x:v>0</x:v>
      </x:c>
      <x:c r="L498">
        <x:f ca="1">IFERROR(IF(0=LEN(ReferenceData!$L$498),"",ReferenceData!$L$498),"")</x:f>
        <x:v>0</x:v>
      </x:c>
      <x:c r="M498">
        <x:f ca="1">IFERROR(IF(0=LEN(ReferenceData!$M$498),"",ReferenceData!$M$498),"")</x:f>
        <x:v>0</x:v>
      </x:c>
      <x:c r="N498">
        <x:f ca="1">IFERROR(IF(0=LEN(ReferenceData!$N$498),"",ReferenceData!$N$498),"")</x:f>
        <x:v>0</x:v>
      </x:c>
      <x:c r="O498">
        <x:f ca="1">IFERROR(IF(0=LEN(ReferenceData!$O$498),"",ReferenceData!$O$498),"")</x:f>
        <x:v>0</x:v>
      </x:c>
      <x:c r="P498">
        <x:f ca="1">IFERROR(IF(0=LEN(ReferenceData!$P$498),"",ReferenceData!$P$498),"")</x:f>
        <x:v>0</x:v>
      </x:c>
      <x:c r="Q498">
        <x:f ca="1">IFERROR(IF(0=LEN(ReferenceData!$Q$498),"",ReferenceData!$Q$498),"")</x:f>
        <x:v>0</x:v>
      </x:c>
      <x:c r="R498">
        <x:f ca="1">IFERROR(IF(0=LEN(ReferenceData!$R$498),"",ReferenceData!$R$498),"")</x:f>
        <x:v>0</x:v>
      </x:c>
      <x:c r="S498" t="str">
        <x:f ca="1">IFERROR(IF(0=LEN(ReferenceData!$S$498),"",ReferenceData!$S$498),"")</x:f>
        <x:v/>
      </x:c>
    </x:row>
    <x:row r="499" spans="1:19" x14ac:dyDescent="0.25">
      <x:c r="A499" t="str">
        <x:f>IFERROR(IF(0=LEN(ReferenceData!$A$499),"",ReferenceData!$A$499),"")</x:f>
        <x:v xml:space="preserve">        JPMorgan Realty Income ETF</x:v>
      </x:c>
      <x:c r="B499" t="str">
        <x:f>IFERROR(IF(0=LEN(ReferenceData!$B$499),"",ReferenceData!$B$499),"")</x:f>
        <x:v>JPRE US Equity</x:v>
      </x:c>
      <x:c r="C499" t="str">
        <x:f>IFERROR(IF(0=LEN(ReferenceData!$C$499),"",ReferenceData!$C$499),"")</x:f>
        <x:v/>
      </x:c>
      <x:c r="D499" t="str">
        <x:f>IFERROR(IF(0=LEN(ReferenceData!$D$499),"",ReferenceData!$D$499),"")</x:f>
        <x:v/>
      </x:c>
      <x:c r="E499" t="str">
        <x:f>IFERROR(IF(0=LEN(ReferenceData!$E$499),"",ReferenceData!$E$499),"")</x:f>
        <x:v>Expression</x:v>
      </x:c>
      <x:c r="F499">
        <x:f ca="1">IFERROR(IF(0=LEN(ReferenceData!$F$499),"",ReferenceData!$F$499),"")</x:f>
        <x:v>-2.9491239999999999</x:v>
      </x:c>
      <x:c r="G499">
        <x:f ca="1">IFERROR(IF(0=LEN(ReferenceData!$G$499),"",ReferenceData!$G$499),"")</x:f>
        <x:v>4.7324640000000002</x:v>
      </x:c>
      <x:c r="H499">
        <x:f ca="1">IFERROR(IF(0=LEN(ReferenceData!$H$499),"",ReferenceData!$H$499),"")</x:f>
        <x:v>-0.96873699999999996</x:v>
      </x:c>
      <x:c r="I499">
        <x:f ca="1">IFERROR(IF(0=LEN(ReferenceData!$I$499),"",ReferenceData!$I$499),"")</x:f>
        <x:v>-1.0558339999999999</x:v>
      </x:c>
      <x:c r="J499">
        <x:f ca="1">IFERROR(IF(0=LEN(ReferenceData!$J$499),"",ReferenceData!$J$499),"")</x:f>
        <x:v>-60.297787</x:v>
      </x:c>
      <x:c r="K499">
        <x:f ca="1">IFERROR(IF(0=LEN(ReferenceData!$K$499),"",ReferenceData!$K$499),"")</x:f>
        <x:v>-30.196619999999999</x:v>
      </x:c>
      <x:c r="L499">
        <x:f ca="1">IFERROR(IF(0=LEN(ReferenceData!$L$499),"",ReferenceData!$L$499),"")</x:f>
        <x:v>-11.524400999999999</x:v>
      </x:c>
      <x:c r="M499">
        <x:f ca="1">IFERROR(IF(0=LEN(ReferenceData!$M$499),"",ReferenceData!$M$499),"")</x:f>
        <x:v>-56.664009999999998</x:v>
      </x:c>
      <x:c r="N499">
        <x:f ca="1">IFERROR(IF(0=LEN(ReferenceData!$N$499),"",ReferenceData!$N$499),"")</x:f>
        <x:v>-1.054759</x:v>
      </x:c>
      <x:c r="O499">
        <x:f ca="1">IFERROR(IF(0=LEN(ReferenceData!$O$499),"",ReferenceData!$O$499),"")</x:f>
        <x:v>-189.67598100000001</x:v>
      </x:c>
      <x:c r="P499">
        <x:f ca="1">IFERROR(IF(0=LEN(ReferenceData!$P$499),"",ReferenceData!$P$499),"")</x:f>
        <x:v>5.48177</x:v>
      </x:c>
      <x:c r="Q499">
        <x:f ca="1">IFERROR(IF(0=LEN(ReferenceData!$Q$499),"",ReferenceData!$Q$499),"")</x:f>
        <x:v>-91.748827000000006</x:v>
      </x:c>
      <x:c r="R499">
        <x:f ca="1">IFERROR(IF(0=LEN(ReferenceData!$R$499),"",ReferenceData!$R$499),"")</x:f>
        <x:v>-21.532896999999998</x:v>
      </x:c>
      <x:c r="S499">
        <x:f ca="1">IFERROR(IF(0=LEN(ReferenceData!$S$499),"",ReferenceData!$S$499),"")</x:f>
        <x:v>-40.038176</x:v>
      </x:c>
    </x:row>
    <x:row r="500" spans="1:19" x14ac:dyDescent="0.25">
      <x:c r="A500" t="str">
        <x:f>IFERROR(IF(0=LEN(ReferenceData!$A$500),"",ReferenceData!$A$500),"")</x:f>
        <x:v xml:space="preserve">    Technology</x:v>
      </x:c>
      <x:c r="B500" t="str">
        <x:f>IFERROR(IF(0=LEN(ReferenceData!$B$500),"",ReferenceData!$B$500),"")</x:f>
        <x:v/>
      </x:c>
      <x:c r="C500" t="str">
        <x:f>IFERROR(IF(0=LEN(ReferenceData!$C$500),"",ReferenceData!$C$500),"")</x:f>
        <x:v/>
      </x:c>
      <x:c r="D500" t="str">
        <x:f>IFERROR(IF(0=LEN(ReferenceData!$D$500),"",ReferenceData!$D$500),"")</x:f>
        <x:v/>
      </x:c>
      <x:c r="E500" t="str">
        <x:f>IFERROR(IF(0=LEN(ReferenceData!$E$500),"",ReferenceData!$E$500),"")</x:f>
        <x:v>Sum</x:v>
      </x:c>
      <x:c r="F500">
        <x:f ca="1">IFERROR(IF(0=LEN(ReferenceData!$F$500),"",ReferenceData!$F$500),"")</x:f>
        <x:v>3320.9199069999995</x:v>
      </x:c>
      <x:c r="G500">
        <x:f ca="1">IFERROR(IF(0=LEN(ReferenceData!$G$500),"",ReferenceData!$G$500),"")</x:f>
        <x:v>374.90881899999988</x:v>
      </x:c>
      <x:c r="H500">
        <x:f ca="1">IFERROR(IF(0=LEN(ReferenceData!$H$500),"",ReferenceData!$H$500),"")</x:f>
        <x:v>-1414.4891690000002</x:v>
      </x:c>
      <x:c r="I500">
        <x:f ca="1">IFERROR(IF(0=LEN(ReferenceData!$I$500),"",ReferenceData!$I$500),"")</x:f>
        <x:v>3934.4433919999997</x:v>
      </x:c>
      <x:c r="J500">
        <x:f ca="1">IFERROR(IF(0=LEN(ReferenceData!$J$500),"",ReferenceData!$J$500),"")</x:f>
        <x:v>-1400.023005</x:v>
      </x:c>
      <x:c r="K500">
        <x:f ca="1">IFERROR(IF(0=LEN(ReferenceData!$K$500),"",ReferenceData!$K$500),"")</x:f>
        <x:v>-6814.1153049999994</x:v>
      </x:c>
      <x:c r="L500">
        <x:f ca="1">IFERROR(IF(0=LEN(ReferenceData!$L$500),"",ReferenceData!$L$500),"")</x:f>
        <x:v>8693.3788079999995</x:v>
      </x:c>
      <x:c r="M500">
        <x:f ca="1">IFERROR(IF(0=LEN(ReferenceData!$M$500),"",ReferenceData!$M$500),"")</x:f>
        <x:v>-1037.1504049999996</x:v>
      </x:c>
      <x:c r="N500">
        <x:f ca="1">IFERROR(IF(0=LEN(ReferenceData!$N$500),"",ReferenceData!$N$500),"")</x:f>
        <x:v>1127.6503279999997</x:v>
      </x:c>
      <x:c r="O500">
        <x:f ca="1">IFERROR(IF(0=LEN(ReferenceData!$O$500),"",ReferenceData!$O$500),"")</x:f>
        <x:v>-390.31772600000011</x:v>
      </x:c>
      <x:c r="P500">
        <x:f ca="1">IFERROR(IF(0=LEN(ReferenceData!$P$500),"",ReferenceData!$P$500),"")</x:f>
        <x:v>-886.67436899999973</x:v>
      </x:c>
      <x:c r="Q500">
        <x:f ca="1">IFERROR(IF(0=LEN(ReferenceData!$Q$500),"",ReferenceData!$Q$500),"")</x:f>
        <x:v>-684.88823400000001</x:v>
      </x:c>
      <x:c r="R500">
        <x:f ca="1">IFERROR(IF(0=LEN(ReferenceData!$R$500),"",ReferenceData!$R$500),"")</x:f>
        <x:v>370.62646899999993</x:v>
      </x:c>
      <x:c r="S500">
        <x:f ca="1">IFERROR(IF(0=LEN(ReferenceData!$S$500),"",ReferenceData!$S$500),"")</x:f>
        <x:v>3000.4454810000007</x:v>
      </x:c>
    </x:row>
    <x:row r="501" spans="1:19" x14ac:dyDescent="0.25">
      <x:c r="A501" t="str">
        <x:f>IFERROR(IF(0=LEN(ReferenceData!$A$501),"",ReferenceData!$A$501),"")</x:f>
        <x:v xml:space="preserve">        Tech Broad</x:v>
      </x:c>
      <x:c r="B501" t="str">
        <x:f>IFERROR(IF(0=LEN(ReferenceData!$B$501),"",ReferenceData!$B$501),"")</x:f>
        <x:v/>
      </x:c>
      <x:c r="C501" t="str">
        <x:f>IFERROR(IF(0=LEN(ReferenceData!$C$501),"",ReferenceData!$C$501),"")</x:f>
        <x:v/>
      </x:c>
      <x:c r="D501" t="str">
        <x:f>IFERROR(IF(0=LEN(ReferenceData!$D$501),"",ReferenceData!$D$501),"")</x:f>
        <x:v/>
      </x:c>
      <x:c r="E501" t="str">
        <x:f>IFERROR(IF(0=LEN(ReferenceData!$E$501),"",ReferenceData!$E$501),"")</x:f>
        <x:v>Sum</x:v>
      </x:c>
      <x:c r="F501">
        <x:f ca="1">IFERROR(IF(0=LEN(ReferenceData!$F$501),"",ReferenceData!$F$501),"")</x:f>
        <x:v>2987.9889999999996</x:v>
      </x:c>
      <x:c r="G501">
        <x:f ca="1">IFERROR(IF(0=LEN(ReferenceData!$G$501),"",ReferenceData!$G$501),"")</x:f>
        <x:v>-29.02271300000006</x:v>
      </x:c>
      <x:c r="H501">
        <x:f ca="1">IFERROR(IF(0=LEN(ReferenceData!$H$501),"",ReferenceData!$H$501),"")</x:f>
        <x:v>-1393.3859970000001</x:v>
      </x:c>
      <x:c r="I501">
        <x:f ca="1">IFERROR(IF(0=LEN(ReferenceData!$I$501),"",ReferenceData!$I$501),"")</x:f>
        <x:v>3094.4008469999994</x:v>
      </x:c>
      <x:c r="J501">
        <x:f ca="1">IFERROR(IF(0=LEN(ReferenceData!$J$501),"",ReferenceData!$J$501),"")</x:f>
        <x:v>-1967.2812689999998</x:v>
      </x:c>
      <x:c r="K501">
        <x:f ca="1">IFERROR(IF(0=LEN(ReferenceData!$K$501),"",ReferenceData!$K$501),"")</x:f>
        <x:v>-6222.2568919999994</x:v>
      </x:c>
      <x:c r="L501">
        <x:f ca="1">IFERROR(IF(0=LEN(ReferenceData!$L$501),"",ReferenceData!$L$501),"")</x:f>
        <x:v>8400.0633379999999</x:v>
      </x:c>
      <x:c r="M501">
        <x:f ca="1">IFERROR(IF(0=LEN(ReferenceData!$M$501),"",ReferenceData!$M$501),"")</x:f>
        <x:v>-956.97536099999968</x:v>
      </x:c>
      <x:c r="N501">
        <x:f ca="1">IFERROR(IF(0=LEN(ReferenceData!$N$501),"",ReferenceData!$N$501),"")</x:f>
        <x:v>366.18275399999999</x:v>
      </x:c>
      <x:c r="O501">
        <x:f ca="1">IFERROR(IF(0=LEN(ReferenceData!$O$501),"",ReferenceData!$O$501),"")</x:f>
        <x:v>-579.6640440000001</x:v>
      </x:c>
      <x:c r="P501">
        <x:f ca="1">IFERROR(IF(0=LEN(ReferenceData!$P$501),"",ReferenceData!$P$501),"")</x:f>
        <x:v>-1408.1065319999998</x:v>
      </x:c>
      <x:c r="Q501">
        <x:f ca="1">IFERROR(IF(0=LEN(ReferenceData!$Q$501),"",ReferenceData!$Q$501),"")</x:f>
        <x:v>-190.52051299999999</x:v>
      </x:c>
      <x:c r="R501">
        <x:f ca="1">IFERROR(IF(0=LEN(ReferenceData!$R$501),"",ReferenceData!$R$501),"")</x:f>
        <x:v>156.29254199999997</x:v>
      </x:c>
      <x:c r="S501">
        <x:f ca="1">IFERROR(IF(0=LEN(ReferenceData!$S$501),"",ReferenceData!$S$501),"")</x:f>
        <x:v>2459.3497340000008</x:v>
      </x:c>
    </x:row>
    <x:row r="502" spans="1:19" x14ac:dyDescent="0.25">
      <x:c r="A502" t="str">
        <x:f>IFERROR(IF(0=LEN(ReferenceData!$A$502),"",ReferenceData!$A$502),"")</x:f>
        <x:v xml:space="preserve">            Technology Select Sector SPDR</x:v>
      </x:c>
      <x:c r="B502" t="str">
        <x:f>IFERROR(IF(0=LEN(ReferenceData!$B$502),"",ReferenceData!$B$502),"")</x:f>
        <x:v>XLK US Equity</x:v>
      </x:c>
      <x:c r="C502" t="str">
        <x:f>IFERROR(IF(0=LEN(ReferenceData!$C$502),"",ReferenceData!$C$502),"")</x:f>
        <x:v/>
      </x:c>
      <x:c r="D502" t="str">
        <x:f>IFERROR(IF(0=LEN(ReferenceData!$D$502),"",ReferenceData!$D$502),"")</x:f>
        <x:v/>
      </x:c>
      <x:c r="E502" t="str">
        <x:f>IFERROR(IF(0=LEN(ReferenceData!$E$502),"",ReferenceData!$E$502),"")</x:f>
        <x:v>Expression</x:v>
      </x:c>
      <x:c r="F502">
        <x:f ca="1">IFERROR(IF(0=LEN(ReferenceData!$F$502),"",ReferenceData!$F$502),"")</x:f>
        <x:v>1634.8931990000001</x:v>
      </x:c>
      <x:c r="G502">
        <x:f ca="1">IFERROR(IF(0=LEN(ReferenceData!$G$502),"",ReferenceData!$G$502),"")</x:f>
        <x:v>-311.942744</x:v>
      </x:c>
      <x:c r="H502">
        <x:f ca="1">IFERROR(IF(0=LEN(ReferenceData!$H$502),"",ReferenceData!$H$502),"")</x:f>
        <x:v>27.306643000000001</x:v>
      </x:c>
      <x:c r="I502">
        <x:f ca="1">IFERROR(IF(0=LEN(ReferenceData!$I$502),"",ReferenceData!$I$502),"")</x:f>
        <x:v>286.64942400000001</x:v>
      </x:c>
      <x:c r="J502">
        <x:f ca="1">IFERROR(IF(0=LEN(ReferenceData!$J$502),"",ReferenceData!$J$502),"")</x:f>
        <x:v>227.417518</x:v>
      </x:c>
      <x:c r="K502">
        <x:f ca="1">IFERROR(IF(0=LEN(ReferenceData!$K$502),"",ReferenceData!$K$502),"")</x:f>
        <x:v>88.138509999999997</x:v>
      </x:c>
      <x:c r="L502">
        <x:f ca="1">IFERROR(IF(0=LEN(ReferenceData!$L$502),"",ReferenceData!$L$502),"")</x:f>
        <x:v>22.059684000000001</x:v>
      </x:c>
      <x:c r="M502">
        <x:f ca="1">IFERROR(IF(0=LEN(ReferenceData!$M$502),"",ReferenceData!$M$502),"")</x:f>
        <x:v>-243.86457999999999</x:v>
      </x:c>
      <x:c r="N502">
        <x:f ca="1">IFERROR(IF(0=LEN(ReferenceData!$N$502),"",ReferenceData!$N$502),"")</x:f>
        <x:v>-722.94885599999998</x:v>
      </x:c>
      <x:c r="O502">
        <x:f ca="1">IFERROR(IF(0=LEN(ReferenceData!$O$502),"",ReferenceData!$O$502),"")</x:f>
        <x:v>-806.67982800000004</x:v>
      </x:c>
      <x:c r="P502">
        <x:f ca="1">IFERROR(IF(0=LEN(ReferenceData!$P$502),"",ReferenceData!$P$502),"")</x:f>
        <x:v>-892.26749600000005</x:v>
      </x:c>
      <x:c r="Q502">
        <x:f ca="1">IFERROR(IF(0=LEN(ReferenceData!$Q$502),"",ReferenceData!$Q$502),"")</x:f>
        <x:v>324.33725600000002</x:v>
      </x:c>
      <x:c r="R502">
        <x:f ca="1">IFERROR(IF(0=LEN(ReferenceData!$R$502),"",ReferenceData!$R$502),"")</x:f>
        <x:v>215.72319899999999</x:v>
      </x:c>
      <x:c r="S502">
        <x:f ca="1">IFERROR(IF(0=LEN(ReferenceData!$S$502),"",ReferenceData!$S$502),"")</x:f>
        <x:v>196.40255500000001</x:v>
      </x:c>
    </x:row>
    <x:row r="503" spans="1:19" x14ac:dyDescent="0.25">
      <x:c r="A503" t="str">
        <x:f>IFERROR(IF(0=LEN(ReferenceData!$A$503),"",ReferenceData!$A$503),"")</x:f>
        <x:v xml:space="preserve">            Vanguard Information Technolog</x:v>
      </x:c>
      <x:c r="B503" t="str">
        <x:f>IFERROR(IF(0=LEN(ReferenceData!$B$503),"",ReferenceData!$B$503),"")</x:f>
        <x:v>VGT US Equity</x:v>
      </x:c>
      <x:c r="C503" t="str">
        <x:f>IFERROR(IF(0=LEN(ReferenceData!$C$503),"",ReferenceData!$C$503),"")</x:f>
        <x:v/>
      </x:c>
      <x:c r="D503" t="str">
        <x:f>IFERROR(IF(0=LEN(ReferenceData!$D$503),"",ReferenceData!$D$503),"")</x:f>
        <x:v/>
      </x:c>
      <x:c r="E503" t="str">
        <x:f>IFERROR(IF(0=LEN(ReferenceData!$E$503),"",ReferenceData!$E$503),"")</x:f>
        <x:v>Expression</x:v>
      </x:c>
      <x:c r="F503">
        <x:f ca="1">IFERROR(IF(0=LEN(ReferenceData!$F$503),"",ReferenceData!$F$503),"")</x:f>
        <x:v>236.19236100000001</x:v>
      </x:c>
      <x:c r="G503">
        <x:f ca="1">IFERROR(IF(0=LEN(ReferenceData!$G$503),"",ReferenceData!$G$503),"")</x:f>
        <x:v>-88.496543000000003</x:v>
      </x:c>
      <x:c r="H503">
        <x:f ca="1">IFERROR(IF(0=LEN(ReferenceData!$H$503),"",ReferenceData!$H$503),"")</x:f>
        <x:v>-2541.7703609999999</x:v>
      </x:c>
      <x:c r="I503">
        <x:f ca="1">IFERROR(IF(0=LEN(ReferenceData!$I$503),"",ReferenceData!$I$503),"")</x:f>
        <x:v>2908.8389160000002</x:v>
      </x:c>
      <x:c r="J503">
        <x:f ca="1">IFERROR(IF(0=LEN(ReferenceData!$J$503),"",ReferenceData!$J$503),"")</x:f>
        <x:v>-803.59525299999996</x:v>
      </x:c>
      <x:c r="K503">
        <x:f ca="1">IFERROR(IF(0=LEN(ReferenceData!$K$503),"",ReferenceData!$K$503),"")</x:f>
        <x:v>-6741.4647930000001</x:v>
      </x:c>
      <x:c r="L503">
        <x:f ca="1">IFERROR(IF(0=LEN(ReferenceData!$L$503),"",ReferenceData!$L$503),"")</x:f>
        <x:v>7201.9255059999996</x:v>
      </x:c>
      <x:c r="M503">
        <x:f ca="1">IFERROR(IF(0=LEN(ReferenceData!$M$503),"",ReferenceData!$M$503),"")</x:f>
        <x:v>-802.34894499999996</x:v>
      </x:c>
      <x:c r="N503">
        <x:f ca="1">IFERROR(IF(0=LEN(ReferenceData!$N$503),"",ReferenceData!$N$503),"")</x:f>
        <x:v>225.840903</x:v>
      </x:c>
      <x:c r="O503">
        <x:f ca="1">IFERROR(IF(0=LEN(ReferenceData!$O$503),"",ReferenceData!$O$503),"")</x:f>
        <x:v>-125.313463</x:v>
      </x:c>
      <x:c r="P503">
        <x:f ca="1">IFERROR(IF(0=LEN(ReferenceData!$P$503),"",ReferenceData!$P$503),"")</x:f>
        <x:v>-538.43991600000004</x:v>
      </x:c>
      <x:c r="Q503">
        <x:f ca="1">IFERROR(IF(0=LEN(ReferenceData!$Q$503),"",ReferenceData!$Q$503),"")</x:f>
        <x:v>-1.2408699999999999</x:v>
      </x:c>
      <x:c r="R503">
        <x:f ca="1">IFERROR(IF(0=LEN(ReferenceData!$R$503),"",ReferenceData!$R$503),"")</x:f>
        <x:v>674.05271900000002</x:v>
      </x:c>
      <x:c r="S503">
        <x:f ca="1">IFERROR(IF(0=LEN(ReferenceData!$S$503),"",ReferenceData!$S$503),"")</x:f>
        <x:v>40.835109000000003</x:v>
      </x:c>
    </x:row>
    <x:row r="504" spans="1:19" x14ac:dyDescent="0.25">
      <x:c r="A504" t="str">
        <x:f>IFERROR(IF(0=LEN(ReferenceData!$A$504),"",ReferenceData!$A$504),"")</x:f>
        <x:v xml:space="preserve">            iShares US Technology ETF</x:v>
      </x:c>
      <x:c r="B504" t="str">
        <x:f>IFERROR(IF(0=LEN(ReferenceData!$B$504),"",ReferenceData!$B$504),"")</x:f>
        <x:v>IYW US Equity</x:v>
      </x:c>
      <x:c r="C504" t="str">
        <x:f>IFERROR(IF(0=LEN(ReferenceData!$C$504),"",ReferenceData!$C$504),"")</x:f>
        <x:v/>
      </x:c>
      <x:c r="D504" t="str">
        <x:f>IFERROR(IF(0=LEN(ReferenceData!$D$504),"",ReferenceData!$D$504),"")</x:f>
        <x:v/>
      </x:c>
      <x:c r="E504" t="str">
        <x:f>IFERROR(IF(0=LEN(ReferenceData!$E$504),"",ReferenceData!$E$504),"")</x:f>
        <x:v>Expression</x:v>
      </x:c>
      <x:c r="F504">
        <x:f ca="1">IFERROR(IF(0=LEN(ReferenceData!$F$504),"",ReferenceData!$F$504),"")</x:f>
        <x:v>171.01893699999999</x:v>
      </x:c>
      <x:c r="G504">
        <x:f ca="1">IFERROR(IF(0=LEN(ReferenceData!$G$504),"",ReferenceData!$G$504),"")</x:f>
        <x:v>870.56003299999998</x:v>
      </x:c>
      <x:c r="H504">
        <x:f ca="1">IFERROR(IF(0=LEN(ReferenceData!$H$504),"",ReferenceData!$H$504),"")</x:f>
        <x:v>12.437379999999999</x:v>
      </x:c>
      <x:c r="I504">
        <x:f ca="1">IFERROR(IF(0=LEN(ReferenceData!$I$504),"",ReferenceData!$I$504),"")</x:f>
        <x:v>-24.167760000000001</x:v>
      </x:c>
      <x:c r="J504">
        <x:f ca="1">IFERROR(IF(0=LEN(ReferenceData!$J$504),"",ReferenceData!$J$504),"")</x:f>
        <x:v>-1620.034085</x:v>
      </x:c>
      <x:c r="K504">
        <x:f ca="1">IFERROR(IF(0=LEN(ReferenceData!$K$504),"",ReferenceData!$K$504),"")</x:f>
        <x:v>76.074155000000005</x:v>
      </x:c>
      <x:c r="L504">
        <x:f ca="1">IFERROR(IF(0=LEN(ReferenceData!$L$504),"",ReferenceData!$L$504),"")</x:f>
        <x:v>312.223275</x:v>
      </x:c>
      <x:c r="M504">
        <x:f ca="1">IFERROR(IF(0=LEN(ReferenceData!$M$504),"",ReferenceData!$M$504),"")</x:f>
        <x:v>22.888850000000001</x:v>
      </x:c>
      <x:c r="N504">
        <x:f ca="1">IFERROR(IF(0=LEN(ReferenceData!$N$504),"",ReferenceData!$N$504),"")</x:f>
        <x:v>644.76810499999999</x:v>
      </x:c>
      <x:c r="O504">
        <x:f ca="1">IFERROR(IF(0=LEN(ReferenceData!$O$504),"",ReferenceData!$O$504),"")</x:f>
        <x:v>1.063545</x:v>
      </x:c>
      <x:c r="P504">
        <x:f ca="1">IFERROR(IF(0=LEN(ReferenceData!$P$504),"",ReferenceData!$P$504),"")</x:f>
        <x:v>65.410835000000006</x:v>
      </x:c>
      <x:c r="Q504">
        <x:f ca="1">IFERROR(IF(0=LEN(ReferenceData!$Q$504),"",ReferenceData!$Q$504),"")</x:f>
        <x:v>-51.885925</x:v>
      </x:c>
      <x:c r="R504">
        <x:f ca="1">IFERROR(IF(0=LEN(ReferenceData!$R$504),"",ReferenceData!$R$504),"")</x:f>
        <x:v>53.887740000000001</x:v>
      </x:c>
      <x:c r="S504">
        <x:f ca="1">IFERROR(IF(0=LEN(ReferenceData!$S$504),"",ReferenceData!$S$504),"")</x:f>
        <x:v>2025.26983</x:v>
      </x:c>
    </x:row>
    <x:row r="505" spans="1:19" x14ac:dyDescent="0.25">
      <x:c r="A505" t="str">
        <x:f>IFERROR(IF(0=LEN(ReferenceData!$A$505),"",ReferenceData!$A$505),"")</x:f>
        <x:v xml:space="preserve">            First Trust NASDAQ-100 Technol</x:v>
      </x:c>
      <x:c r="B505" t="str">
        <x:f>IFERROR(IF(0=LEN(ReferenceData!$B$505),"",ReferenceData!$B$505),"")</x:f>
        <x:v>QTEC US Equity</x:v>
      </x:c>
      <x:c r="C505" t="str">
        <x:f>IFERROR(IF(0=LEN(ReferenceData!$C$505),"",ReferenceData!$C$505),"")</x:f>
        <x:v/>
      </x:c>
      <x:c r="D505" t="str">
        <x:f>IFERROR(IF(0=LEN(ReferenceData!$D$505),"",ReferenceData!$D$505),"")</x:f>
        <x:v/>
      </x:c>
      <x:c r="E505" t="str">
        <x:f>IFERROR(IF(0=LEN(ReferenceData!$E$505),"",ReferenceData!$E$505),"")</x:f>
        <x:v>Expression</x:v>
      </x:c>
      <x:c r="F505">
        <x:f ca="1">IFERROR(IF(0=LEN(ReferenceData!$F$505),"",ReferenceData!$F$505),"")</x:f>
        <x:v>-51.106603999999997</x:v>
      </x:c>
      <x:c r="G505">
        <x:f ca="1">IFERROR(IF(0=LEN(ReferenceData!$G$505),"",ReferenceData!$G$505),"")</x:f>
        <x:v>44.674407000000002</x:v>
      </x:c>
      <x:c r="H505">
        <x:f ca="1">IFERROR(IF(0=LEN(ReferenceData!$H$505),"",ReferenceData!$H$505),"")</x:f>
        <x:v>954.77619000000004</x:v>
      </x:c>
      <x:c r="I505">
        <x:f ca="1">IFERROR(IF(0=LEN(ReferenceData!$I$505),"",ReferenceData!$I$505),"")</x:f>
        <x:v>-7.4726270000000001</x:v>
      </x:c>
      <x:c r="J505">
        <x:f ca="1">IFERROR(IF(0=LEN(ReferenceData!$J$505),"",ReferenceData!$J$505),"")</x:f>
        <x:v>0.108</x:v>
      </x:c>
      <x:c r="K505">
        <x:f ca="1">IFERROR(IF(0=LEN(ReferenceData!$K$505),"",ReferenceData!$K$505),"")</x:f>
        <x:v>51.174500000000002</x:v>
      </x:c>
      <x:c r="L505">
        <x:f ca="1">IFERROR(IF(0=LEN(ReferenceData!$L$505),"",ReferenceData!$L$505),"")</x:f>
        <x:v>34.307499999999997</x:v>
      </x:c>
      <x:c r="M505">
        <x:f ca="1">IFERROR(IF(0=LEN(ReferenceData!$M$505),"",ReferenceData!$M$505),"")</x:f>
        <x:v>3.2500000000000001E-2</x:v>
      </x:c>
      <x:c r="N505">
        <x:f ca="1">IFERROR(IF(0=LEN(ReferenceData!$N$505),"",ReferenceData!$N$505),"")</x:f>
        <x:v>-18.405000000000001</x:v>
      </x:c>
      <x:c r="O505">
        <x:f ca="1">IFERROR(IF(0=LEN(ReferenceData!$O$505),"",ReferenceData!$O$505),"")</x:f>
        <x:v>7.5499999999999998E-2</x:v>
      </x:c>
      <x:c r="P505">
        <x:f ca="1">IFERROR(IF(0=LEN(ReferenceData!$P$505),"",ReferenceData!$P$505),"")</x:f>
        <x:v>-22.117038000000001</x:v>
      </x:c>
      <x:c r="Q505">
        <x:f ca="1">IFERROR(IF(0=LEN(ReferenceData!$Q$505),"",ReferenceData!$Q$505),"")</x:f>
        <x:v>-47.729303999999999</x:v>
      </x:c>
      <x:c r="R505">
        <x:f ca="1">IFERROR(IF(0=LEN(ReferenceData!$R$505),"",ReferenceData!$R$505),"")</x:f>
        <x:v>4.9627270000000001</x:v>
      </x:c>
      <x:c r="S505">
        <x:f ca="1">IFERROR(IF(0=LEN(ReferenceData!$S$505),"",ReferenceData!$S$505),"")</x:f>
        <x:v>-31.484911</x:v>
      </x:c>
    </x:row>
    <x:row r="506" spans="1:19" x14ac:dyDescent="0.25">
      <x:c r="A506" t="str">
        <x:f>IFERROR(IF(0=LEN(ReferenceData!$A$506),"",ReferenceData!$A$506),"")</x:f>
        <x:v xml:space="preserve">            Invesco S&amp;P 500 Equal Weight T</x:v>
      </x:c>
      <x:c r="B506" t="str">
        <x:f>IFERROR(IF(0=LEN(ReferenceData!$B$506),"",ReferenceData!$B$506),"")</x:f>
        <x:v>RYT US Equity</x:v>
      </x:c>
      <x:c r="C506" t="str">
        <x:f>IFERROR(IF(0=LEN(ReferenceData!$C$506),"",ReferenceData!$C$506),"")</x:f>
        <x:v/>
      </x:c>
      <x:c r="D506" t="str">
        <x:f>IFERROR(IF(0=LEN(ReferenceData!$D$506),"",ReferenceData!$D$506),"")</x:f>
        <x:v/>
      </x:c>
      <x:c r="E506" t="str">
        <x:f>IFERROR(IF(0=LEN(ReferenceData!$E$506),"",ReferenceData!$E$506),"")</x:f>
        <x:v>Expression</x:v>
      </x:c>
      <x:c r="F506">
        <x:f ca="1">IFERROR(IF(0=LEN(ReferenceData!$F$506),"",ReferenceData!$F$506),"")</x:f>
        <x:v>-0.61930499999999999</x:v>
      </x:c>
      <x:c r="G506">
        <x:f ca="1">IFERROR(IF(0=LEN(ReferenceData!$G$506),"",ReferenceData!$G$506),"")</x:f>
        <x:v>4.7025129999999997</x:v>
      </x:c>
      <x:c r="H506">
        <x:f ca="1">IFERROR(IF(0=LEN(ReferenceData!$H$506),"",ReferenceData!$H$506),"")</x:f>
        <x:v>116.55010799999999</x:v>
      </x:c>
      <x:c r="I506">
        <x:f ca="1">IFERROR(IF(0=LEN(ReferenceData!$I$506),"",ReferenceData!$I$506),"")</x:f>
        <x:v>-27.301825000000001</x:v>
      </x:c>
      <x:c r="J506">
        <x:f ca="1">IFERROR(IF(0=LEN(ReferenceData!$J$506),"",ReferenceData!$J$506),"")</x:f>
        <x:v>9.4755559999999992</x:v>
      </x:c>
      <x:c r="K506">
        <x:f ca="1">IFERROR(IF(0=LEN(ReferenceData!$K$506),"",ReferenceData!$K$506),"")</x:f>
        <x:v>16.853297999999999</x:v>
      </x:c>
      <x:c r="L506">
        <x:f ca="1">IFERROR(IF(0=LEN(ReferenceData!$L$506),"",ReferenceData!$L$506),"")</x:f>
        <x:v>225.81776300000001</x:v>
      </x:c>
      <x:c r="M506">
        <x:f ca="1">IFERROR(IF(0=LEN(ReferenceData!$M$506),"",ReferenceData!$M$506),"")</x:f>
        <x:v>13.52755</x:v>
      </x:c>
      <x:c r="N506">
        <x:f ca="1">IFERROR(IF(0=LEN(ReferenceData!$N$506),"",ReferenceData!$N$506),"")</x:f>
        <x:v>5.0385450000000001</x:v>
      </x:c>
      <x:c r="O506">
        <x:f ca="1">IFERROR(IF(0=LEN(ReferenceData!$O$506),"",ReferenceData!$O$506),"")</x:f>
        <x:v>183.763521</x:v>
      </x:c>
      <x:c r="P506">
        <x:f ca="1">IFERROR(IF(0=LEN(ReferenceData!$P$506),"",ReferenceData!$P$506),"")</x:f>
        <x:v>97.378480999999994</x:v>
      </x:c>
      <x:c r="Q506">
        <x:f ca="1">IFERROR(IF(0=LEN(ReferenceData!$Q$506),"",ReferenceData!$Q$506),"")</x:f>
        <x:v>44.480471000000001</x:v>
      </x:c>
      <x:c r="R506">
        <x:f ca="1">IFERROR(IF(0=LEN(ReferenceData!$R$506),"",ReferenceData!$R$506),"")</x:f>
        <x:v>24.397662</x:v>
      </x:c>
      <x:c r="S506">
        <x:f ca="1">IFERROR(IF(0=LEN(ReferenceData!$S$506),"",ReferenceData!$S$506),"")</x:f>
        <x:v>51.215645000000002</x:v>
      </x:c>
    </x:row>
    <x:row r="507" spans="1:19" x14ac:dyDescent="0.25">
      <x:c r="A507" t="str">
        <x:f>IFERROR(IF(0=LEN(ReferenceData!$A$507),"",ReferenceData!$A$507),"")</x:f>
        <x:v xml:space="preserve">            iShares Expanded Tech Sector E</x:v>
      </x:c>
      <x:c r="B507" t="str">
        <x:f>IFERROR(IF(0=LEN(ReferenceData!$B$507),"",ReferenceData!$B$507),"")</x:f>
        <x:v>IGM US Equity</x:v>
      </x:c>
      <x:c r="C507" t="str">
        <x:f>IFERROR(IF(0=LEN(ReferenceData!$C$507),"",ReferenceData!$C$507),"")</x:f>
        <x:v/>
      </x:c>
      <x:c r="D507" t="str">
        <x:f>IFERROR(IF(0=LEN(ReferenceData!$D$507),"",ReferenceData!$D$507),"")</x:f>
        <x:v/>
      </x:c>
      <x:c r="E507" t="str">
        <x:f>IFERROR(IF(0=LEN(ReferenceData!$E$507),"",ReferenceData!$E$507),"")</x:f>
        <x:v>Expression</x:v>
      </x:c>
      <x:c r="F507">
        <x:f ca="1">IFERROR(IF(0=LEN(ReferenceData!$F$507),"",ReferenceData!$F$507),"")</x:f>
        <x:v>17.751707</x:v>
      </x:c>
      <x:c r="G507">
        <x:f ca="1">IFERROR(IF(0=LEN(ReferenceData!$G$507),"",ReferenceData!$G$507),"")</x:f>
        <x:v>19.331510000000002</x:v>
      </x:c>
      <x:c r="H507">
        <x:f ca="1">IFERROR(IF(0=LEN(ReferenceData!$H$507),"",ReferenceData!$H$507),"")</x:f>
        <x:v>0</x:v>
      </x:c>
      <x:c r="I507">
        <x:f ca="1">IFERROR(IF(0=LEN(ReferenceData!$I$507),"",ReferenceData!$I$507),"")</x:f>
        <x:v>0.25566499999999998</x:v>
      </x:c>
      <x:c r="J507">
        <x:f ca="1">IFERROR(IF(0=LEN(ReferenceData!$J$507),"",ReferenceData!$J$507),"")</x:f>
        <x:v>20.551034999999999</x:v>
      </x:c>
      <x:c r="K507">
        <x:f ca="1">IFERROR(IF(0=LEN(ReferenceData!$K$507),"",ReferenceData!$K$507),"")</x:f>
        <x:v>-96.624319999999997</x:v>
      </x:c>
      <x:c r="L507">
        <x:f ca="1">IFERROR(IF(0=LEN(ReferenceData!$L$507),"",ReferenceData!$L$507),"")</x:f>
        <x:v>35.289285</x:v>
      </x:c>
      <x:c r="M507">
        <x:f ca="1">IFERROR(IF(0=LEN(ReferenceData!$M$507),"",ReferenceData!$M$507),"")</x:f>
        <x:v>0.26861000000000002</x:v>
      </x:c>
      <x:c r="N507">
        <x:f ca="1">IFERROR(IF(0=LEN(ReferenceData!$N$507),"",ReferenceData!$N$507),"")</x:f>
        <x:v>63.005535000000002</x:v>
      </x:c>
      <x:c r="O507">
        <x:f ca="1">IFERROR(IF(0=LEN(ReferenceData!$O$507),"",ReferenceData!$O$507),"")</x:f>
        <x:v>-0.31858500000000001</x:v>
      </x:c>
      <x:c r="P507">
        <x:f ca="1">IFERROR(IF(0=LEN(ReferenceData!$P$507),"",ReferenceData!$P$507),"")</x:f>
        <x:v>-43.633960000000002</x:v>
      </x:c>
      <x:c r="Q507">
        <x:f ca="1">IFERROR(IF(0=LEN(ReferenceData!$Q$507),"",ReferenceData!$Q$507),"")</x:f>
        <x:v>-100.693505</x:v>
      </x:c>
      <x:c r="R507">
        <x:f ca="1">IFERROR(IF(0=LEN(ReferenceData!$R$507),"",ReferenceData!$R$507),"")</x:f>
        <x:v>-410.12391500000001</x:v>
      </x:c>
      <x:c r="S507">
        <x:f ca="1">IFERROR(IF(0=LEN(ReferenceData!$S$507),"",ReferenceData!$S$507),"")</x:f>
        <x:v>-14.113635</x:v>
      </x:c>
    </x:row>
    <x:row r="508" spans="1:19" x14ac:dyDescent="0.25">
      <x:c r="A508" t="str">
        <x:f>IFERROR(IF(0=LEN(ReferenceData!$A$508),"",ReferenceData!$A$508),"")</x:f>
        <x:v xml:space="preserve">            iShares Global Tech ETF</x:v>
      </x:c>
      <x:c r="B508" t="str">
        <x:f>IFERROR(IF(0=LEN(ReferenceData!$B$508),"",ReferenceData!$B$508),"")</x:f>
        <x:v>IXN US Equity</x:v>
      </x:c>
      <x:c r="C508" t="str">
        <x:f>IFERROR(IF(0=LEN(ReferenceData!$C$508),"",ReferenceData!$C$508),"")</x:f>
        <x:v/>
      </x:c>
      <x:c r="D508" t="str">
        <x:f>IFERROR(IF(0=LEN(ReferenceData!$D$508),"",ReferenceData!$D$508),"")</x:f>
        <x:v/>
      </x:c>
      <x:c r="E508" t="str">
        <x:f>IFERROR(IF(0=LEN(ReferenceData!$E$508),"",ReferenceData!$E$508),"")</x:f>
        <x:v>Expression</x:v>
      </x:c>
      <x:c r="F508">
        <x:f ca="1">IFERROR(IF(0=LEN(ReferenceData!$F$508),"",ReferenceData!$F$508),"")</x:f>
        <x:v>3.357091</x:v>
      </x:c>
      <x:c r="G508">
        <x:f ca="1">IFERROR(IF(0=LEN(ReferenceData!$G$508),"",ReferenceData!$G$508),"")</x:f>
        <x:v>-8.5452750000000002</x:v>
      </x:c>
      <x:c r="H508">
        <x:f ca="1">IFERROR(IF(0=LEN(ReferenceData!$H$508),"",ReferenceData!$H$508),"")</x:f>
        <x:v>8.9892350000000008</x:v>
      </x:c>
      <x:c r="I508">
        <x:f ca="1">IFERROR(IF(0=LEN(ReferenceData!$I$508),"",ReferenceData!$I$508),"")</x:f>
        <x:v>-49.183574999999998</x:v>
      </x:c>
      <x:c r="J508">
        <x:f ca="1">IFERROR(IF(0=LEN(ReferenceData!$J$508),"",ReferenceData!$J$508),"")</x:f>
        <x:v>-6.0694699999999999</x:v>
      </x:c>
      <x:c r="K508">
        <x:f ca="1">IFERROR(IF(0=LEN(ReferenceData!$K$508),"",ReferenceData!$K$508),"")</x:f>
        <x:v>109.12497500000001</x:v>
      </x:c>
      <x:c r="L508">
        <x:f ca="1">IFERROR(IF(0=LEN(ReferenceData!$L$508),"",ReferenceData!$L$508),"")</x:f>
        <x:v>-5.4613800000000001</x:v>
      </x:c>
      <x:c r="M508">
        <x:f ca="1">IFERROR(IF(0=LEN(ReferenceData!$M$508),"",ReferenceData!$M$508),"")</x:f>
        <x:v>-29.020019999999999</x:v>
      </x:c>
      <x:c r="N508">
        <x:f ca="1">IFERROR(IF(0=LEN(ReferenceData!$N$508),"",ReferenceData!$N$508),"")</x:f>
        <x:v>0.28659499999999999</x:v>
      </x:c>
      <x:c r="O508">
        <x:f ca="1">IFERROR(IF(0=LEN(ReferenceData!$O$508),"",ReferenceData!$O$508),"")</x:f>
        <x:v>-14.92371</x:v>
      </x:c>
      <x:c r="P508">
        <x:f ca="1">IFERROR(IF(0=LEN(ReferenceData!$P$508),"",ReferenceData!$P$508),"")</x:f>
        <x:v>-78.062205000000006</x:v>
      </x:c>
      <x:c r="Q508">
        <x:f ca="1">IFERROR(IF(0=LEN(ReferenceData!$Q$508),"",ReferenceData!$Q$508),"")</x:f>
        <x:v>-26.733844999999999</x:v>
      </x:c>
      <x:c r="R508">
        <x:f ca="1">IFERROR(IF(0=LEN(ReferenceData!$R$508),"",ReferenceData!$R$508),"")</x:f>
        <x:v>-23.18777</x:v>
      </x:c>
      <x:c r="S508">
        <x:f ca="1">IFERROR(IF(0=LEN(ReferenceData!$S$508),"",ReferenceData!$S$508),"")</x:f>
        <x:v>-183.665685</x:v>
      </x:c>
    </x:row>
    <x:row r="509" spans="1:19" x14ac:dyDescent="0.25">
      <x:c r="A509" t="str">
        <x:f>IFERROR(IF(0=LEN(ReferenceData!$A$509),"",ReferenceData!$A$509),"")</x:f>
        <x:v xml:space="preserve">            iShares Expanded Tech-Software</x:v>
      </x:c>
      <x:c r="B509" t="str">
        <x:f>IFERROR(IF(0=LEN(ReferenceData!$B$509),"",ReferenceData!$B$509),"")</x:f>
        <x:v>IGV US Equity</x:v>
      </x:c>
      <x:c r="C509" t="str">
        <x:f>IFERROR(IF(0=LEN(ReferenceData!$C$509),"",ReferenceData!$C$509),"")</x:f>
        <x:v/>
      </x:c>
      <x:c r="D509" t="str">
        <x:f>IFERROR(IF(0=LEN(ReferenceData!$D$509),"",ReferenceData!$D$509),"")</x:f>
        <x:v/>
      </x:c>
      <x:c r="E509" t="str">
        <x:f>IFERROR(IF(0=LEN(ReferenceData!$E$509),"",ReferenceData!$E$509),"")</x:f>
        <x:v>Expression</x:v>
      </x:c>
      <x:c r="F509">
        <x:f ca="1">IFERROR(IF(0=LEN(ReferenceData!$F$509),"",ReferenceData!$F$509),"")</x:f>
        <x:v>875.09703400000001</x:v>
      </x:c>
      <x:c r="G509">
        <x:f ca="1">IFERROR(IF(0=LEN(ReferenceData!$G$509),"",ReferenceData!$G$509),"")</x:f>
        <x:v>-452.54424299999999</x:v>
      </x:c>
      <x:c r="H509">
        <x:f ca="1">IFERROR(IF(0=LEN(ReferenceData!$H$509),"",ReferenceData!$H$509),"")</x:f>
        <x:v>2.3186650000000002</x:v>
      </x:c>
      <x:c r="I509">
        <x:f ca="1">IFERROR(IF(0=LEN(ReferenceData!$I$509),"",ReferenceData!$I$509),"")</x:f>
        <x:v>-103.99834</x:v>
      </x:c>
      <x:c r="J509">
        <x:f ca="1">IFERROR(IF(0=LEN(ReferenceData!$J$509),"",ReferenceData!$J$509),"")</x:f>
        <x:v>167.36479</x:v>
      </x:c>
      <x:c r="K509">
        <x:f ca="1">IFERROR(IF(0=LEN(ReferenceData!$K$509),"",ReferenceData!$K$509),"")</x:f>
        <x:v>-109.69421</x:v>
      </x:c>
      <x:c r="L509">
        <x:f ca="1">IFERROR(IF(0=LEN(ReferenceData!$L$509),"",ReferenceData!$L$509),"")</x:f>
        <x:v>440.99338499999999</x:v>
      </x:c>
      <x:c r="M509">
        <x:f ca="1">IFERROR(IF(0=LEN(ReferenceData!$M$509),"",ReferenceData!$M$509),"")</x:f>
        <x:v>-103.08879</x:v>
      </x:c>
      <x:c r="N509">
        <x:f ca="1">IFERROR(IF(0=LEN(ReferenceData!$N$509),"",ReferenceData!$N$509),"")</x:f>
        <x:v>213.947935</x:v>
      </x:c>
      <x:c r="O509">
        <x:f ca="1">IFERROR(IF(0=LEN(ReferenceData!$O$509),"",ReferenceData!$O$509),"")</x:f>
        <x:v>79.713234999999997</x:v>
      </x:c>
      <x:c r="P509">
        <x:f ca="1">IFERROR(IF(0=LEN(ReferenceData!$P$509),"",ReferenceData!$P$509),"")</x:f>
        <x:v>-91.506249999999994</x:v>
      </x:c>
      <x:c r="Q509">
        <x:f ca="1">IFERROR(IF(0=LEN(ReferenceData!$Q$509),"",ReferenceData!$Q$509),"")</x:f>
        <x:v>-237.25222500000001</x:v>
      </x:c>
      <x:c r="R509">
        <x:f ca="1">IFERROR(IF(0=LEN(ReferenceData!$R$509),"",ReferenceData!$R$509),"")</x:f>
        <x:v>-463.51916</x:v>
      </x:c>
      <x:c r="S509">
        <x:f ca="1">IFERROR(IF(0=LEN(ReferenceData!$S$509),"",ReferenceData!$S$509),"")</x:f>
        <x:v>409.13799</x:v>
      </x:c>
    </x:row>
    <x:row r="510" spans="1:19" x14ac:dyDescent="0.25">
      <x:c r="A510" t="str">
        <x:f>IFERROR(IF(0=LEN(ReferenceData!$A$510),"",ReferenceData!$A$510),"")</x:f>
        <x:v xml:space="preserve">            Fidelity MSCI Information Tech</x:v>
      </x:c>
      <x:c r="B510" t="str">
        <x:f>IFERROR(IF(0=LEN(ReferenceData!$B$510),"",ReferenceData!$B$510),"")</x:f>
        <x:v>FTEC US Equity</x:v>
      </x:c>
      <x:c r="C510" t="str">
        <x:f>IFERROR(IF(0=LEN(ReferenceData!$C$510),"",ReferenceData!$C$510),"")</x:f>
        <x:v/>
      </x:c>
      <x:c r="D510" t="str">
        <x:f>IFERROR(IF(0=LEN(ReferenceData!$D$510),"",ReferenceData!$D$510),"")</x:f>
        <x:v/>
      </x:c>
      <x:c r="E510" t="str">
        <x:f>IFERROR(IF(0=LEN(ReferenceData!$E$510),"",ReferenceData!$E$510),"")</x:f>
        <x:v>Expression</x:v>
      </x:c>
      <x:c r="F510">
        <x:f ca="1">IFERROR(IF(0=LEN(ReferenceData!$F$510),"",ReferenceData!$F$510),"")</x:f>
        <x:v>45.793725000000002</x:v>
      </x:c>
      <x:c r="G510">
        <x:f ca="1">IFERROR(IF(0=LEN(ReferenceData!$G$510),"",ReferenceData!$G$510),"")</x:f>
        <x:v>31.373925</x:v>
      </x:c>
      <x:c r="H510">
        <x:f ca="1">IFERROR(IF(0=LEN(ReferenceData!$H$510),"",ReferenceData!$H$510),"")</x:f>
        <x:v>25.818335000000001</x:v>
      </x:c>
      <x:c r="I510">
        <x:f ca="1">IFERROR(IF(0=LEN(ReferenceData!$I$510),"",ReferenceData!$I$510),"")</x:f>
        <x:v>1.342435</x:v>
      </x:c>
      <x:c r="J510">
        <x:f ca="1">IFERROR(IF(0=LEN(ReferenceData!$J$510),"",ReferenceData!$J$510),"")</x:f>
        <x:v>73.105545000000006</x:v>
      </x:c>
      <x:c r="K510">
        <x:f ca="1">IFERROR(IF(0=LEN(ReferenceData!$K$510),"",ReferenceData!$K$510),"")</x:f>
        <x:v>171.08821</x:v>
      </x:c>
      <x:c r="L510">
        <x:f ca="1">IFERROR(IF(0=LEN(ReferenceData!$L$510),"",ReferenceData!$L$510),"")</x:f>
        <x:v>107.10107499999999</x:v>
      </x:c>
      <x:c r="M510">
        <x:f ca="1">IFERROR(IF(0=LEN(ReferenceData!$M$510),"",ReferenceData!$M$510),"")</x:f>
        <x:v>5.7442900000000003</x:v>
      </x:c>
      <x:c r="N510">
        <x:f ca="1">IFERROR(IF(0=LEN(ReferenceData!$N$510),"",ReferenceData!$N$510),"")</x:f>
        <x:v>-24.8385</x:v>
      </x:c>
      <x:c r="O510">
        <x:f ca="1">IFERROR(IF(0=LEN(ReferenceData!$O$510),"",ReferenceData!$O$510),"")</x:f>
        <x:v>79.945184999999995</x:v>
      </x:c>
      <x:c r="P510">
        <x:f ca="1">IFERROR(IF(0=LEN(ReferenceData!$P$510),"",ReferenceData!$P$510),"")</x:f>
        <x:v>39.089165000000001</x:v>
      </x:c>
      <x:c r="Q510">
        <x:f ca="1">IFERROR(IF(0=LEN(ReferenceData!$Q$510),"",ReferenceData!$Q$510),"")</x:f>
        <x:v>-14.36894</x:v>
      </x:c>
      <x:c r="R510">
        <x:f ca="1">IFERROR(IF(0=LEN(ReferenceData!$R$510),"",ReferenceData!$R$510),"")</x:f>
        <x:v>-5.1497650000000004</x:v>
      </x:c>
      <x:c r="S510">
        <x:f ca="1">IFERROR(IF(0=LEN(ReferenceData!$S$510),"",ReferenceData!$S$510),"")</x:f>
        <x:v>0.67564999999999997</x:v>
      </x:c>
    </x:row>
    <x:row r="511" spans="1:19" x14ac:dyDescent="0.25">
      <x:c r="A511" t="str">
        <x:f>IFERROR(IF(0=LEN(ReferenceData!$A$511),"",ReferenceData!$A$511),"")</x:f>
        <x:v xml:space="preserve">            First Trust NASDAQ Technology</x:v>
      </x:c>
      <x:c r="B511" t="str">
        <x:f>IFERROR(IF(0=LEN(ReferenceData!$B$511),"",ReferenceData!$B$511),"")</x:f>
        <x:v>TDIV US Equity</x:v>
      </x:c>
      <x:c r="C511" t="str">
        <x:f>IFERROR(IF(0=LEN(ReferenceData!$C$511),"",ReferenceData!$C$511),"")</x:f>
        <x:v/>
      </x:c>
      <x:c r="D511" t="str">
        <x:f>IFERROR(IF(0=LEN(ReferenceData!$D$511),"",ReferenceData!$D$511),"")</x:f>
        <x:v/>
      </x:c>
      <x:c r="E511" t="str">
        <x:f>IFERROR(IF(0=LEN(ReferenceData!$E$511),"",ReferenceData!$E$511),"")</x:f>
        <x:v>Expression</x:v>
      </x:c>
      <x:c r="F511">
        <x:f ca="1">IFERROR(IF(0=LEN(ReferenceData!$F$511),"",ReferenceData!$F$511),"")</x:f>
        <x:v>0.117494</x:v>
      </x:c>
      <x:c r="G511">
        <x:f ca="1">IFERROR(IF(0=LEN(ReferenceData!$G$511),"",ReferenceData!$G$511),"")</x:f>
        <x:v>5.5804879999999999</x:v>
      </x:c>
      <x:c r="H511">
        <x:f ca="1">IFERROR(IF(0=LEN(ReferenceData!$H$511),"",ReferenceData!$H$511),"")</x:f>
        <x:v>26.234172999999998</x:v>
      </x:c>
      <x:c r="I511">
        <x:f ca="1">IFERROR(IF(0=LEN(ReferenceData!$I$511),"",ReferenceData!$I$511),"")</x:f>
        <x:v>6.0921620000000001</x:v>
      </x:c>
      <x:c r="J511">
        <x:f ca="1">IFERROR(IF(0=LEN(ReferenceData!$J$511),"",ReferenceData!$J$511),"")</x:f>
        <x:v>26.471477</x:v>
      </x:c>
      <x:c r="K511">
        <x:f ca="1">IFERROR(IF(0=LEN(ReferenceData!$K$511),"",ReferenceData!$K$511),"")</x:f>
        <x:v>17.32573</x:v>
      </x:c>
      <x:c r="L511">
        <x:f ca="1">IFERROR(IF(0=LEN(ReferenceData!$L$511),"",ReferenceData!$L$511),"")</x:f>
        <x:v>8.2813940000000006</x:v>
      </x:c>
      <x:c r="M511">
        <x:f ca="1">IFERROR(IF(0=LEN(ReferenceData!$M$511),"",ReferenceData!$M$511),"")</x:f>
        <x:v>58.841880000000003</x:v>
      </x:c>
      <x:c r="N511">
        <x:f ca="1">IFERROR(IF(0=LEN(ReferenceData!$N$511),"",ReferenceData!$N$511),"")</x:f>
        <x:v>21.282698</x:v>
      </x:c>
      <x:c r="O511">
        <x:f ca="1">IFERROR(IF(0=LEN(ReferenceData!$O$511),"",ReferenceData!$O$511),"")</x:f>
        <x:v>-7.7301999999999996E-2</x:v>
      </x:c>
      <x:c r="P511">
        <x:f ca="1">IFERROR(IF(0=LEN(ReferenceData!$P$511),"",ReferenceData!$P$511),"")</x:f>
        <x:v>-11.686771999999999</x:v>
      </x:c>
      <x:c r="Q511">
        <x:f ca="1">IFERROR(IF(0=LEN(ReferenceData!$Q$511),"",ReferenceData!$Q$511),"")</x:f>
        <x:v>-17.988748999999999</x:v>
      </x:c>
      <x:c r="R511">
        <x:f ca="1">IFERROR(IF(0=LEN(ReferenceData!$R$511),"",ReferenceData!$R$511),"")</x:f>
        <x:v>-7.0796659999999996</x:v>
      </x:c>
      <x:c r="S511">
        <x:f ca="1">IFERROR(IF(0=LEN(ReferenceData!$S$511),"",ReferenceData!$S$511),"")</x:f>
        <x:v>-15.935827</x:v>
      </x:c>
    </x:row>
    <x:row r="512" spans="1:19" x14ac:dyDescent="0.25">
      <x:c r="A512" t="str">
        <x:f>IFERROR(IF(0=LEN(ReferenceData!$A$512),"",ReferenceData!$A$512),"")</x:f>
        <x:v xml:space="preserve">            SPDR NYSE Technology ETF</x:v>
      </x:c>
      <x:c r="B512" t="str">
        <x:f>IFERROR(IF(0=LEN(ReferenceData!$B$512),"",ReferenceData!$B$512),"")</x:f>
        <x:v>XNTK US Equity</x:v>
      </x:c>
      <x:c r="C512" t="str">
        <x:f>IFERROR(IF(0=LEN(ReferenceData!$C$512),"",ReferenceData!$C$512),"")</x:f>
        <x:v/>
      </x:c>
      <x:c r="D512" t="str">
        <x:f>IFERROR(IF(0=LEN(ReferenceData!$D$512),"",ReferenceData!$D$512),"")</x:f>
        <x:v/>
      </x:c>
      <x:c r="E512" t="str">
        <x:f>IFERROR(IF(0=LEN(ReferenceData!$E$512),"",ReferenceData!$E$512),"")</x:f>
        <x:v>Expression</x:v>
      </x:c>
      <x:c r="F512">
        <x:f ca="1">IFERROR(IF(0=LEN(ReferenceData!$F$512),"",ReferenceData!$F$512),"")</x:f>
        <x:v>1.4618439999999999</x:v>
      </x:c>
      <x:c r="G512">
        <x:f ca="1">IFERROR(IF(0=LEN(ReferenceData!$G$512),"",ReferenceData!$G$512),"")</x:f>
        <x:v>-2.6554479999999998</x:v>
      </x:c>
      <x:c r="H512">
        <x:f ca="1">IFERROR(IF(0=LEN(ReferenceData!$H$512),"",ReferenceData!$H$512),"")</x:f>
        <x:v>-9.8588450000000005</x:v>
      </x:c>
      <x:c r="I512">
        <x:f ca="1">IFERROR(IF(0=LEN(ReferenceData!$I$512),"",ReferenceData!$I$512),"")</x:f>
        <x:v>21.243511000000002</x:v>
      </x:c>
      <x:c r="J512">
        <x:f ca="1">IFERROR(IF(0=LEN(ReferenceData!$J$512),"",ReferenceData!$J$512),"")</x:f>
        <x:v>4.3647299999999998</x:v>
      </x:c>
      <x:c r="K512">
        <x:f ca="1">IFERROR(IF(0=LEN(ReferenceData!$K$512),"",ReferenceData!$K$512),"")</x:f>
        <x:v>16.390037</x:v>
      </x:c>
      <x:c r="L512">
        <x:f ca="1">IFERROR(IF(0=LEN(ReferenceData!$L$512),"",ReferenceData!$L$512),"")</x:f>
        <x:v>3.7472629999999998</x:v>
      </x:c>
      <x:c r="M512">
        <x:f ca="1">IFERROR(IF(0=LEN(ReferenceData!$M$512),"",ReferenceData!$M$512),"")</x:f>
        <x:v>-7.0821500000000004</x:v>
      </x:c>
      <x:c r="N512">
        <x:f ca="1">IFERROR(IF(0=LEN(ReferenceData!$N$512),"",ReferenceData!$N$512),"")</x:f>
        <x:v>3.4128970000000001</x:v>
      </x:c>
      <x:c r="O512">
        <x:f ca="1">IFERROR(IF(0=LEN(ReferenceData!$O$512),"",ReferenceData!$O$512),"")</x:f>
        <x:v>-6.9953609999999999</x:v>
      </x:c>
      <x:c r="P512">
        <x:f ca="1">IFERROR(IF(0=LEN(ReferenceData!$P$512),"",ReferenceData!$P$512),"")</x:f>
        <x:v>-4.1774269999999998</x:v>
      </x:c>
      <x:c r="Q512">
        <x:f ca="1">IFERROR(IF(0=LEN(ReferenceData!$Q$512),"",ReferenceData!$Q$512),"")</x:f>
        <x:v>-2.0226030000000002</x:v>
      </x:c>
      <x:c r="R512">
        <x:f ca="1">IFERROR(IF(0=LEN(ReferenceData!$R$512),"",ReferenceData!$R$512),"")</x:f>
        <x:v>-0.28266999999999998</x:v>
      </x:c>
      <x:c r="S512">
        <x:f ca="1">IFERROR(IF(0=LEN(ReferenceData!$S$512),"",ReferenceData!$S$512),"")</x:f>
        <x:v>7.001881</x:v>
      </x:c>
    </x:row>
    <x:row r="513" spans="1:19" x14ac:dyDescent="0.25">
      <x:c r="A513" t="str">
        <x:f>IFERROR(IF(0=LEN(ReferenceData!$A$513),"",ReferenceData!$A$513),"")</x:f>
        <x:v xml:space="preserve">            First Trust Technology AlphaDE</x:v>
      </x:c>
      <x:c r="B513" t="str">
        <x:f>IFERROR(IF(0=LEN(ReferenceData!$B$513),"",ReferenceData!$B$513),"")</x:f>
        <x:v>FXL US Equity</x:v>
      </x:c>
      <x:c r="C513" t="str">
        <x:f>IFERROR(IF(0=LEN(ReferenceData!$C$513),"",ReferenceData!$C$513),"")</x:f>
        <x:v/>
      </x:c>
      <x:c r="D513" t="str">
        <x:f>IFERROR(IF(0=LEN(ReferenceData!$D$513),"",ReferenceData!$D$513),"")</x:f>
        <x:v/>
      </x:c>
      <x:c r="E513" t="str">
        <x:f>IFERROR(IF(0=LEN(ReferenceData!$E$513),"",ReferenceData!$E$513),"")</x:f>
        <x:v>Expression</x:v>
      </x:c>
      <x:c r="F513">
        <x:f ca="1">IFERROR(IF(0=LEN(ReferenceData!$F$513),"",ReferenceData!$F$513),"")</x:f>
        <x:v>54.883712000000003</x:v>
      </x:c>
      <x:c r="G513">
        <x:f ca="1">IFERROR(IF(0=LEN(ReferenceData!$G$513),"",ReferenceData!$G$513),"")</x:f>
        <x:v>-11.164937</x:v>
      </x:c>
      <x:c r="H513">
        <x:f ca="1">IFERROR(IF(0=LEN(ReferenceData!$H$513),"",ReferenceData!$H$513),"")</x:f>
        <x:v>-5.4888320000000004</x:v>
      </x:c>
      <x:c r="I513">
        <x:f ca="1">IFERROR(IF(0=LEN(ReferenceData!$I$513),"",ReferenceData!$I$513),"")</x:f>
        <x:v>17.235042</x:v>
      </x:c>
      <x:c r="J513">
        <x:f ca="1">IFERROR(IF(0=LEN(ReferenceData!$J$513),"",ReferenceData!$J$513),"")</x:f>
        <x:v>0</x:v>
      </x:c>
      <x:c r="K513">
        <x:f ca="1">IFERROR(IF(0=LEN(ReferenceData!$K$513),"",ReferenceData!$K$513),"")</x:f>
        <x:v>-5.3959999999999999</x:v>
      </x:c>
      <x:c r="L513">
        <x:f ca="1">IFERROR(IF(0=LEN(ReferenceData!$L$513),"",ReferenceData!$L$513),"")</x:f>
        <x:v>-0.47899999999999998</x:v>
      </x:c>
      <x:c r="M513">
        <x:f ca="1">IFERROR(IF(0=LEN(ReferenceData!$M$513),"",ReferenceData!$M$513),"")</x:f>
        <x:v>15.7645</x:v>
      </x:c>
      <x:c r="N513">
        <x:f ca="1">IFERROR(IF(0=LEN(ReferenceData!$N$513),"",ReferenceData!$N$513),"")</x:f>
        <x:v>0.23899999999999999</x:v>
      </x:c>
      <x:c r="O513">
        <x:f ca="1">IFERROR(IF(0=LEN(ReferenceData!$O$513),"",ReferenceData!$O$513),"")</x:f>
        <x:v>-15.701000000000001</x:v>
      </x:c>
      <x:c r="P513">
        <x:f ca="1">IFERROR(IF(0=LEN(ReferenceData!$P$513),"",ReferenceData!$P$513),"")</x:f>
        <x:v>-24.015028999999998</x:v>
      </x:c>
      <x:c r="Q513">
        <x:f ca="1">IFERROR(IF(0=LEN(ReferenceData!$Q$513),"",ReferenceData!$Q$513),"")</x:f>
        <x:v>-18.696413</x:v>
      </x:c>
      <x:c r="R513">
        <x:f ca="1">IFERROR(IF(0=LEN(ReferenceData!$R$513),"",ReferenceData!$R$513),"")</x:f>
        <x:v>-18.04466</x:v>
      </x:c>
      <x:c r="S513">
        <x:f ca="1">IFERROR(IF(0=LEN(ReferenceData!$S$513),"",ReferenceData!$S$513),"")</x:f>
        <x:v>12.872463</x:v>
      </x:c>
    </x:row>
    <x:row r="514" spans="1:19" x14ac:dyDescent="0.25">
      <x:c r="A514" t="str">
        <x:f>IFERROR(IF(0=LEN(ReferenceData!$A$514),"",ReferenceData!$A$514),"")</x:f>
        <x:v xml:space="preserve">            Invesco S&amp;P SmallCap Informati</x:v>
      </x:c>
      <x:c r="B514" t="str">
        <x:f>IFERROR(IF(0=LEN(ReferenceData!$B$514),"",ReferenceData!$B$514),"")</x:f>
        <x:v>PSCT US Equity</x:v>
      </x:c>
      <x:c r="C514" t="str">
        <x:f>IFERROR(IF(0=LEN(ReferenceData!$C$514),"",ReferenceData!$C$514),"")</x:f>
        <x:v/>
      </x:c>
      <x:c r="D514" t="str">
        <x:f>IFERROR(IF(0=LEN(ReferenceData!$D$514),"",ReferenceData!$D$514),"")</x:f>
        <x:v/>
      </x:c>
      <x:c r="E514" t="str">
        <x:f>IFERROR(IF(0=LEN(ReferenceData!$E$514),"",ReferenceData!$E$514),"")</x:f>
        <x:v>Expression</x:v>
      </x:c>
      <x:c r="F514">
        <x:f ca="1">IFERROR(IF(0=LEN(ReferenceData!$F$514),"",ReferenceData!$F$514),"")</x:f>
        <x:v>-1.2429939999999999</x:v>
      </x:c>
      <x:c r="G514">
        <x:f ca="1">IFERROR(IF(0=LEN(ReferenceData!$G$514),"",ReferenceData!$G$514),"")</x:f>
        <x:v>-4.2562490000000004</x:v>
      </x:c>
      <x:c r="H514">
        <x:f ca="1">IFERROR(IF(0=LEN(ReferenceData!$H$514),"",ReferenceData!$H$514),"")</x:f>
        <x:v>-0.87393900000000002</x:v>
      </x:c>
      <x:c r="I514">
        <x:f ca="1">IFERROR(IF(0=LEN(ReferenceData!$I$514),"",ReferenceData!$I$514),"")</x:f>
        <x:v>1.7930000000000001E-3</x:v>
      </x:c>
      <x:c r="J514">
        <x:f ca="1">IFERROR(IF(0=LEN(ReferenceData!$J$514),"",ReferenceData!$J$514),"")</x:f>
        <x:v>0</x:v>
      </x:c>
      <x:c r="K514">
        <x:f ca="1">IFERROR(IF(0=LEN(ReferenceData!$K$514),"",ReferenceData!$K$514),"")</x:f>
        <x:v>0</x:v>
      </x:c>
      <x:c r="L514">
        <x:f ca="1">IFERROR(IF(0=LEN(ReferenceData!$L$514),"",ReferenceData!$L$514),"")</x:f>
        <x:v>-3.786543</x:v>
      </x:c>
      <x:c r="M514">
        <x:f ca="1">IFERROR(IF(0=LEN(ReferenceData!$M$514),"",ReferenceData!$M$514),"")</x:f>
        <x:v>-2.4890340000000002</x:v>
      </x:c>
      <x:c r="N514">
        <x:f ca="1">IFERROR(IF(0=LEN(ReferenceData!$N$514),"",ReferenceData!$N$514),"")</x:f>
        <x:v>1.224234</x:v>
      </x:c>
      <x:c r="O514">
        <x:f ca="1">IFERROR(IF(0=LEN(ReferenceData!$O$514),"",ReferenceData!$O$514),"")</x:f>
        <x:v>-2.6493910000000001</x:v>
      </x:c>
      <x:c r="P514">
        <x:f ca="1">IFERROR(IF(0=LEN(ReferenceData!$P$514),"",ReferenceData!$P$514),"")</x:f>
        <x:v>-2.5744539999999998</x:v>
      </x:c>
      <x:c r="Q514">
        <x:f ca="1">IFERROR(IF(0=LEN(ReferenceData!$Q$514),"",ReferenceData!$Q$514),"")</x:f>
        <x:v>-2.4537710000000001</x:v>
      </x:c>
      <x:c r="R514">
        <x:f ca="1">IFERROR(IF(0=LEN(ReferenceData!$R$514),"",ReferenceData!$R$514),"")</x:f>
        <x:v>-1.2583040000000001</x:v>
      </x:c>
      <x:c r="S514">
        <x:f ca="1">IFERROR(IF(0=LEN(ReferenceData!$S$514),"",ReferenceData!$S$514),"")</x:f>
        <x:v>-76.856082000000001</x:v>
      </x:c>
    </x:row>
    <x:row r="515" spans="1:19" x14ac:dyDescent="0.25">
      <x:c r="A515" t="str">
        <x:f>IFERROR(IF(0=LEN(ReferenceData!$A$515),"",ReferenceData!$A$515),"")</x:f>
        <x:v xml:space="preserve">            Direxion Daily Technology Bull</x:v>
      </x:c>
      <x:c r="B515" t="str">
        <x:f>IFERROR(IF(0=LEN(ReferenceData!$B$515),"",ReferenceData!$B$515),"")</x:f>
        <x:v>TECL US Equity</x:v>
      </x:c>
      <x:c r="C515" t="str">
        <x:f>IFERROR(IF(0=LEN(ReferenceData!$C$515),"",ReferenceData!$C$515),"")</x:f>
        <x:v/>
      </x:c>
      <x:c r="D515" t="str">
        <x:f>IFERROR(IF(0=LEN(ReferenceData!$D$515),"",ReferenceData!$D$515),"")</x:f>
        <x:v/>
      </x:c>
      <x:c r="E515" t="str">
        <x:f>IFERROR(IF(0=LEN(ReferenceData!$E$515),"",ReferenceData!$E$515),"")</x:f>
        <x:v>Expression</x:v>
      </x:c>
      <x:c r="F515">
        <x:f ca="1">IFERROR(IF(0=LEN(ReferenceData!$F$515),"",ReferenceData!$F$515),"")</x:f>
        <x:v>-76.228652999999994</x:v>
      </x:c>
      <x:c r="G515">
        <x:f ca="1">IFERROR(IF(0=LEN(ReferenceData!$G$515),"",ReferenceData!$G$515),"")</x:f>
        <x:v>-9.3710000000000004</x:v>
      </x:c>
      <x:c r="H515">
        <x:f ca="1">IFERROR(IF(0=LEN(ReferenceData!$H$515),"",ReferenceData!$H$515),"")</x:f>
        <x:v>45.634884</x:v>
      </x:c>
      <x:c r="I515">
        <x:f ca="1">IFERROR(IF(0=LEN(ReferenceData!$I$515),"",ReferenceData!$I$515),"")</x:f>
        <x:v>-23.680216000000001</x:v>
      </x:c>
      <x:c r="J515">
        <x:f ca="1">IFERROR(IF(0=LEN(ReferenceData!$J$515),"",ReferenceData!$J$515),"")</x:f>
        <x:v>-31.57405</x:v>
      </x:c>
      <x:c r="K515">
        <x:f ca="1">IFERROR(IF(0=LEN(ReferenceData!$K$515),"",ReferenceData!$K$515),"")</x:f>
        <x:v>-7.1566910000000004</x:v>
      </x:c>
      <x:c r="L515">
        <x:f ca="1">IFERROR(IF(0=LEN(ReferenceData!$L$515),"",ReferenceData!$L$515),"")</x:f>
        <x:v>-67.492506000000006</x:v>
      </x:c>
      <x:c r="M515">
        <x:f ca="1">IFERROR(IF(0=LEN(ReferenceData!$M$515),"",ReferenceData!$M$515),"")</x:f>
        <x:v>-12.443619</x:v>
      </x:c>
      <x:c r="N515">
        <x:f ca="1">IFERROR(IF(0=LEN(ReferenceData!$N$515),"",ReferenceData!$N$515),"")</x:f>
        <x:v>-18.354223000000001</x:v>
      </x:c>
      <x:c r="O515">
        <x:f ca="1">IFERROR(IF(0=LEN(ReferenceData!$O$515),"",ReferenceData!$O$515),"")</x:f>
        <x:v>-44.143169</x:v>
      </x:c>
      <x:c r="P515">
        <x:f ca="1">IFERROR(IF(0=LEN(ReferenceData!$P$515),"",ReferenceData!$P$515),"")</x:f>
        <x:v>-22.524583</x:v>
      </x:c>
      <x:c r="Q515">
        <x:f ca="1">IFERROR(IF(0=LEN(ReferenceData!$Q$515),"",ReferenceData!$Q$515),"")</x:f>
        <x:v>-15.954208</x:v>
      </x:c>
      <x:c r="R515">
        <x:f ca="1">IFERROR(IF(0=LEN(ReferenceData!$R$515),"",ReferenceData!$R$515),"")</x:f>
        <x:v>11.220195</x:v>
      </x:c>
      <x:c r="S515">
        <x:f ca="1">IFERROR(IF(0=LEN(ReferenceData!$S$515),"",ReferenceData!$S$515),"")</x:f>
        <x:v>78.190076000000005</x:v>
      </x:c>
    </x:row>
    <x:row r="516" spans="1:19" x14ac:dyDescent="0.25">
      <x:c r="A516" t="str">
        <x:f>IFERROR(IF(0=LEN(ReferenceData!$A$516),"",ReferenceData!$A$516),"")</x:f>
        <x:v xml:space="preserve">            ProShares Ultra Technology</x:v>
      </x:c>
      <x:c r="B516" t="str">
        <x:f>IFERROR(IF(0=LEN(ReferenceData!$B$516),"",ReferenceData!$B$516),"")</x:f>
        <x:v>ROM US Equity</x:v>
      </x:c>
      <x:c r="C516" t="str">
        <x:f>IFERROR(IF(0=LEN(ReferenceData!$C$516),"",ReferenceData!$C$516),"")</x:f>
        <x:v/>
      </x:c>
      <x:c r="D516" t="str">
        <x:f>IFERROR(IF(0=LEN(ReferenceData!$D$516),"",ReferenceData!$D$516),"")</x:f>
        <x:v/>
      </x:c>
      <x:c r="E516" t="str">
        <x:f>IFERROR(IF(0=LEN(ReferenceData!$E$516),"",ReferenceData!$E$516),"")</x:f>
        <x:v>Expression</x:v>
      </x:c>
      <x:c r="F516">
        <x:f ca="1">IFERROR(IF(0=LEN(ReferenceData!$F$516),"",ReferenceData!$F$516),"")</x:f>
        <x:v>14.733746</x:v>
      </x:c>
      <x:c r="G516">
        <x:f ca="1">IFERROR(IF(0=LEN(ReferenceData!$G$516),"",ReferenceData!$G$516),"")</x:f>
        <x:v>-45.341318999999999</x:v>
      </x:c>
      <x:c r="H516">
        <x:f ca="1">IFERROR(IF(0=LEN(ReferenceData!$H$516),"",ReferenceData!$H$516),"")</x:f>
        <x:v>-4.4055999999999997</x:v>
      </x:c>
      <x:c r="I516">
        <x:f ca="1">IFERROR(IF(0=LEN(ReferenceData!$I$516),"",ReferenceData!$I$516),"")</x:f>
        <x:v>-6.1967569999999998</x:v>
      </x:c>
      <x:c r="J516">
        <x:f ca="1">IFERROR(IF(0=LEN(ReferenceData!$J$516),"",ReferenceData!$J$516),"")</x:f>
        <x:v>-8.4234449999999992</x:v>
      </x:c>
      <x:c r="K516">
        <x:f ca="1">IFERROR(IF(0=LEN(ReferenceData!$K$516),"",ReferenceData!$K$516),"")</x:f>
        <x:v>-34.334406999999999</x:v>
      </x:c>
      <x:c r="L516">
        <x:f ca="1">IFERROR(IF(0=LEN(ReferenceData!$L$516),"",ReferenceData!$L$516),"")</x:f>
        <x:v>25.078569999999999</x:v>
      </x:c>
      <x:c r="M516">
        <x:f ca="1">IFERROR(IF(0=LEN(ReferenceData!$M$516),"",ReferenceData!$M$516),"")</x:f>
        <x:v>25.133099999999999</x:v>
      </x:c>
      <x:c r="N516">
        <x:f ca="1">IFERROR(IF(0=LEN(ReferenceData!$N$516),"",ReferenceData!$N$516),"")</x:f>
        <x:v>21.847355</x:v>
      </x:c>
      <x:c r="O516">
        <x:f ca="1">IFERROR(IF(0=LEN(ReferenceData!$O$516),"",ReferenceData!$O$516),"")</x:f>
        <x:v>4.9017730000000004</x:v>
      </x:c>
      <x:c r="P516">
        <x:f ca="1">IFERROR(IF(0=LEN(ReferenceData!$P$516),"",ReferenceData!$P$516),"")</x:f>
        <x:v>-5.472982</x:v>
      </x:c>
      <x:c r="Q516">
        <x:f ca="1">IFERROR(IF(0=LEN(ReferenceData!$Q$516),"",ReferenceData!$Q$516),"")</x:f>
        <x:v>-4.6865880000000004</x:v>
      </x:c>
      <x:c r="R516">
        <x:f ca="1">IFERROR(IF(0=LEN(ReferenceData!$R$516),"",ReferenceData!$R$516),"")</x:f>
        <x:v>-8.6007619999999996</x:v>
      </x:c>
      <x:c r="S516">
        <x:f ca="1">IFERROR(IF(0=LEN(ReferenceData!$S$516),"",ReferenceData!$S$516),"")</x:f>
        <x:v>-13.574192</x:v>
      </x:c>
    </x:row>
    <x:row r="517" spans="1:19" x14ac:dyDescent="0.25">
      <x:c r="A517" t="str">
        <x:f>IFERROR(IF(0=LEN(ReferenceData!$A$517),"",ReferenceData!$A$517),"")</x:f>
        <x:v xml:space="preserve">            Invesco DWA Technology Momentu</x:v>
      </x:c>
      <x:c r="B517" t="str">
        <x:f>IFERROR(IF(0=LEN(ReferenceData!$B$517),"",ReferenceData!$B$517),"")</x:f>
        <x:v>PTF US Equity</x:v>
      </x:c>
      <x:c r="C517" t="str">
        <x:f>IFERROR(IF(0=LEN(ReferenceData!$C$517),"",ReferenceData!$C$517),"")</x:f>
        <x:v/>
      </x:c>
      <x:c r="D517" t="str">
        <x:f>IFERROR(IF(0=LEN(ReferenceData!$D$517),"",ReferenceData!$D$517),"")</x:f>
        <x:v/>
      </x:c>
      <x:c r="E517" t="str">
        <x:f>IFERROR(IF(0=LEN(ReferenceData!$E$517),"",ReferenceData!$E$517),"")</x:f>
        <x:v>Expression</x:v>
      </x:c>
      <x:c r="F517">
        <x:f ca="1">IFERROR(IF(0=LEN(ReferenceData!$F$517),"",ReferenceData!$F$517),"")</x:f>
        <x:v>5.5084090000000003</x:v>
      </x:c>
      <x:c r="G517">
        <x:f ca="1">IFERROR(IF(0=LEN(ReferenceData!$G$517),"",ReferenceData!$G$517),"")</x:f>
        <x:v>-1.7397149999999999</x:v>
      </x:c>
      <x:c r="H517">
        <x:f ca="1">IFERROR(IF(0=LEN(ReferenceData!$H$517),"",ReferenceData!$H$517),"")</x:f>
        <x:v>-1.831494</x:v>
      </x:c>
      <x:c r="I517">
        <x:f ca="1">IFERROR(IF(0=LEN(ReferenceData!$I$517),"",ReferenceData!$I$517),"")</x:f>
        <x:v>49.245306999999997</x:v>
      </x:c>
      <x:c r="J517">
        <x:f ca="1">IFERROR(IF(0=LEN(ReferenceData!$J$517),"",ReferenceData!$J$517),"")</x:f>
        <x:v>11.572697</x:v>
      </x:c>
      <x:c r="K517">
        <x:f ca="1">IFERROR(IF(0=LEN(ReferenceData!$K$517),"",ReferenceData!$K$517),"")</x:f>
        <x:v>2.7760020000000001</x:v>
      </x:c>
      <x:c r="L517">
        <x:f ca="1">IFERROR(IF(0=LEN(ReferenceData!$L$517),"",ReferenceData!$L$517),"")</x:f>
        <x:v>-4.0411339999999996</x:v>
      </x:c>
      <x:c r="M517">
        <x:f ca="1">IFERROR(IF(0=LEN(ReferenceData!$M$517),"",ReferenceData!$M$517),"")</x:f>
        <x:v>29.376850999999998</x:v>
      </x:c>
      <x:c r="N517">
        <x:f ca="1">IFERROR(IF(0=LEN(ReferenceData!$N$517),"",ReferenceData!$N$517),"")</x:f>
        <x:v>-7.5178700000000003</x:v>
      </x:c>
      <x:c r="O517">
        <x:f ca="1">IFERROR(IF(0=LEN(ReferenceData!$O$517),"",ReferenceData!$O$517),"")</x:f>
        <x:v>-2.4984250000000001</x:v>
      </x:c>
      <x:c r="P517">
        <x:f ca="1">IFERROR(IF(0=LEN(ReferenceData!$P$517),"",ReferenceData!$P$517),"")</x:f>
        <x:v>-1.1812039999999999</x:v>
      </x:c>
      <x:c r="Q517">
        <x:f ca="1">IFERROR(IF(0=LEN(ReferenceData!$Q$517),"",ReferenceData!$Q$517),"")</x:f>
        <x:v>-2.2989419999999998</x:v>
      </x:c>
      <x:c r="R517">
        <x:f ca="1">IFERROR(IF(0=LEN(ReferenceData!$R$517),"",ReferenceData!$R$517),"")</x:f>
        <x:v>3.693057</x:v>
      </x:c>
      <x:c r="S517">
        <x:f ca="1">IFERROR(IF(0=LEN(ReferenceData!$S$517),"",ReferenceData!$S$517),"")</x:f>
        <x:v>12.745934</x:v>
      </x:c>
    </x:row>
    <x:row r="518" spans="1:19" x14ac:dyDescent="0.25">
      <x:c r="A518" t="str">
        <x:f>IFERROR(IF(0=LEN(ReferenceData!$A$518),"",ReferenceData!$A$518),"")</x:f>
        <x:v xml:space="preserve">            Invesco Dynamic Software ETF</x:v>
      </x:c>
      <x:c r="B518" t="str">
        <x:f>IFERROR(IF(0=LEN(ReferenceData!$B$518),"",ReferenceData!$B$518),"")</x:f>
        <x:v>PSJ US Equity</x:v>
      </x:c>
      <x:c r="C518" t="str">
        <x:f>IFERROR(IF(0=LEN(ReferenceData!$C$518),"",ReferenceData!$C$518),"")</x:f>
        <x:v/>
      </x:c>
      <x:c r="D518" t="str">
        <x:f>IFERROR(IF(0=LEN(ReferenceData!$D$518),"",ReferenceData!$D$518),"")</x:f>
        <x:v/>
      </x:c>
      <x:c r="E518" t="str">
        <x:f>IFERROR(IF(0=LEN(ReferenceData!$E$518),"",ReferenceData!$E$518),"")</x:f>
        <x:v>Expression</x:v>
      </x:c>
      <x:c r="F518">
        <x:f ca="1">IFERROR(IF(0=LEN(ReferenceData!$F$518),"",ReferenceData!$F$518),"")</x:f>
        <x:v>-2.062805</x:v>
      </x:c>
      <x:c r="G518">
        <x:f ca="1">IFERROR(IF(0=LEN(ReferenceData!$G$518),"",ReferenceData!$G$518),"")</x:f>
        <x:v>-3.729635</x:v>
      </x:c>
      <x:c r="H518">
        <x:f ca="1">IFERROR(IF(0=LEN(ReferenceData!$H$518),"",ReferenceData!$H$518),"")</x:f>
        <x:v>-4.3539779999999997</x:v>
      </x:c>
      <x:c r="I518">
        <x:f ca="1">IFERROR(IF(0=LEN(ReferenceData!$I$518),"",ReferenceData!$I$518),"")</x:f>
        <x:v>-1.9767950000000001</x:v>
      </x:c>
      <x:c r="J518" t="str">
        <x:f ca="1">IFERROR(IF(0=LEN(ReferenceData!$J$518),"",ReferenceData!$J$518),"")</x:f>
        <x:v/>
      </x:c>
      <x:c r="K518" t="str">
        <x:f ca="1">IFERROR(IF(0=LEN(ReferenceData!$K$518),"",ReferenceData!$K$518),"")</x:f>
        <x:v/>
      </x:c>
      <x:c r="L518" t="str">
        <x:f ca="1">IFERROR(IF(0=LEN(ReferenceData!$L$518),"",ReferenceData!$L$518),"")</x:f>
        <x:v/>
      </x:c>
      <x:c r="M518" t="str">
        <x:f ca="1">IFERROR(IF(0=LEN(ReferenceData!$M$518),"",ReferenceData!$M$518),"")</x:f>
        <x:v/>
      </x:c>
      <x:c r="N518" t="str">
        <x:f ca="1">IFERROR(IF(0=LEN(ReferenceData!$N$518),"",ReferenceData!$N$518),"")</x:f>
        <x:v/>
      </x:c>
      <x:c r="O518" t="str">
        <x:f ca="1">IFERROR(IF(0=LEN(ReferenceData!$O$518),"",ReferenceData!$O$518),"")</x:f>
        <x:v/>
      </x:c>
      <x:c r="P518" t="str">
        <x:f ca="1">IFERROR(IF(0=LEN(ReferenceData!$P$518),"",ReferenceData!$P$518),"")</x:f>
        <x:v/>
      </x:c>
      <x:c r="Q518" t="str">
        <x:f ca="1">IFERROR(IF(0=LEN(ReferenceData!$Q$518),"",ReferenceData!$Q$518),"")</x:f>
        <x:v/>
      </x:c>
      <x:c r="R518" t="str">
        <x:f ca="1">IFERROR(IF(0=LEN(ReferenceData!$R$518),"",ReferenceData!$R$518),"")</x:f>
        <x:v/>
      </x:c>
      <x:c r="S518" t="str">
        <x:f ca="1">IFERROR(IF(0=LEN(ReferenceData!$S$518),"",ReferenceData!$S$518),"")</x:f>
        <x:v/>
      </x:c>
    </x:row>
    <x:row r="519" spans="1:19" x14ac:dyDescent="0.25">
      <x:c r="A519" t="str">
        <x:f>IFERROR(IF(0=LEN(ReferenceData!$A$519),"",ReferenceData!$A$519),"")</x:f>
        <x:v xml:space="preserve">            Invesco China Technology ETF</x:v>
      </x:c>
      <x:c r="B519" t="str">
        <x:f>IFERROR(IF(0=LEN(ReferenceData!$B$519),"",ReferenceData!$B$519),"")</x:f>
        <x:v>CQQQ US Equity</x:v>
      </x:c>
      <x:c r="C519" t="str">
        <x:f>IFERROR(IF(0=LEN(ReferenceData!$C$519),"",ReferenceData!$C$519),"")</x:f>
        <x:v/>
      </x:c>
      <x:c r="D519" t="str">
        <x:f>IFERROR(IF(0=LEN(ReferenceData!$D$519),"",ReferenceData!$D$519),"")</x:f>
        <x:v/>
      </x:c>
      <x:c r="E519" t="str">
        <x:f>IFERROR(IF(0=LEN(ReferenceData!$E$519),"",ReferenceData!$E$519),"")</x:f>
        <x:v>Expression</x:v>
      </x:c>
      <x:c r="F519">
        <x:f ca="1">IFERROR(IF(0=LEN(ReferenceData!$F$519),"",ReferenceData!$F$519),"")</x:f>
        <x:v>-10.986741</x:v>
      </x:c>
      <x:c r="G519">
        <x:f ca="1">IFERROR(IF(0=LEN(ReferenceData!$G$519),"",ReferenceData!$G$519),"")</x:f>
        <x:v>-26.066534999999998</x:v>
      </x:c>
      <x:c r="H519">
        <x:f ca="1">IFERROR(IF(0=LEN(ReferenceData!$H$519),"",ReferenceData!$H$519),"")</x:f>
        <x:v>-7.3886159999999999</x:v>
      </x:c>
      <x:c r="I519">
        <x:f ca="1">IFERROR(IF(0=LEN(ReferenceData!$I$519),"",ReferenceData!$I$519),"")</x:f>
        <x:v>-5.7300079999999998</x:v>
      </x:c>
      <x:c r="J519">
        <x:f ca="1">IFERROR(IF(0=LEN(ReferenceData!$J$519),"",ReferenceData!$J$519),"")</x:f>
        <x:v>0</x:v>
      </x:c>
      <x:c r="K519">
        <x:f ca="1">IFERROR(IF(0=LEN(ReferenceData!$K$519),"",ReferenceData!$K$519),"")</x:f>
        <x:v>0</x:v>
      </x:c>
      <x:c r="L519">
        <x:f ca="1">IFERROR(IF(0=LEN(ReferenceData!$L$519),"",ReferenceData!$L$519),"")</x:f>
        <x:v>-2.075971</x:v>
      </x:c>
      <x:c r="M519">
        <x:f ca="1">IFERROR(IF(0=LEN(ReferenceData!$M$519),"",ReferenceData!$M$519),"")</x:f>
        <x:v>-9.2597930000000002</x:v>
      </x:c>
      <x:c r="N519">
        <x:f ca="1">IFERROR(IF(0=LEN(ReferenceData!$N$519),"",ReferenceData!$N$519),"")</x:f>
        <x:v>-35.156516000000003</x:v>
      </x:c>
      <x:c r="O519">
        <x:f ca="1">IFERROR(IF(0=LEN(ReferenceData!$O$519),"",ReferenceData!$O$519),"")</x:f>
        <x:v>-9.4684620000000006</x:v>
      </x:c>
      <x:c r="P519">
        <x:f ca="1">IFERROR(IF(0=LEN(ReferenceData!$P$519),"",ReferenceData!$P$519),"")</x:f>
        <x:v>46.578268999999999</x:v>
      </x:c>
      <x:c r="Q519">
        <x:f ca="1">IFERROR(IF(0=LEN(ReferenceData!$Q$519),"",ReferenceData!$Q$519),"")</x:f>
        <x:v>24.066946000000002</x:v>
      </x:c>
      <x:c r="R519">
        <x:f ca="1">IFERROR(IF(0=LEN(ReferenceData!$R$519),"",ReferenceData!$R$519),"")</x:f>
        <x:v>-51.572606999999998</x:v>
      </x:c>
      <x:c r="S519">
        <x:f ca="1">IFERROR(IF(0=LEN(ReferenceData!$S$519),"",ReferenceData!$S$519),"")</x:f>
        <x:v>-20.283543000000002</x:v>
      </x:c>
    </x:row>
    <x:row r="520" spans="1:19" x14ac:dyDescent="0.25">
      <x:c r="A520" t="str">
        <x:f>IFERROR(IF(0=LEN(ReferenceData!$A$520),"",ReferenceData!$A$520),"")</x:f>
        <x:v xml:space="preserve">            iShares North American Tech-Mu</x:v>
      </x:c>
      <x:c r="B520" t="str">
        <x:f>IFERROR(IF(0=LEN(ReferenceData!$B$520),"",ReferenceData!$B$520),"")</x:f>
        <x:v>IGN US Equity</x:v>
      </x:c>
      <x:c r="C520" t="str">
        <x:f>IFERROR(IF(0=LEN(ReferenceData!$C$520),"",ReferenceData!$C$520),"")</x:f>
        <x:v/>
      </x:c>
      <x:c r="D520" t="str">
        <x:f>IFERROR(IF(0=LEN(ReferenceData!$D$520),"",ReferenceData!$D$520),"")</x:f>
        <x:v/>
      </x:c>
      <x:c r="E520" t="str">
        <x:f>IFERROR(IF(0=LEN(ReferenceData!$E$520),"",ReferenceData!$E$520),"")</x:f>
        <x:v>Expression</x:v>
      </x:c>
      <x:c r="F520">
        <x:f ca="1">IFERROR(IF(0=LEN(ReferenceData!$F$520),"",ReferenceData!$F$520),"")</x:f>
        <x:v>0</x:v>
      </x:c>
      <x:c r="G520">
        <x:f ca="1">IFERROR(IF(0=LEN(ReferenceData!$G$520),"",ReferenceData!$G$520),"")</x:f>
        <x:v>-2.9587910000000002</x:v>
      </x:c>
      <x:c r="H520">
        <x:f ca="1">IFERROR(IF(0=LEN(ReferenceData!$H$520),"",ReferenceData!$H$520),"")</x:f>
        <x:v>0</x:v>
      </x:c>
      <x:c r="I520">
        <x:f ca="1">IFERROR(IF(0=LEN(ReferenceData!$I$520),"",ReferenceData!$I$520),"")</x:f>
        <x:v>-6.6609449999999999</x:v>
      </x:c>
      <x:c r="J520">
        <x:f ca="1">IFERROR(IF(0=LEN(ReferenceData!$J$520),"",ReferenceData!$J$520),"")</x:f>
        <x:v>-3.4904350000000002</x:v>
      </x:c>
      <x:c r="K520">
        <x:f ca="1">IFERROR(IF(0=LEN(ReferenceData!$K$520),"",ReferenceData!$K$520),"")</x:f>
        <x:v>-20.43207</x:v>
      </x:c>
      <x:c r="L520">
        <x:f ca="1">IFERROR(IF(0=LEN(ReferenceData!$L$520),"",ReferenceData!$L$520),"")</x:f>
        <x:v>-6.3465749999999996</x:v>
      </x:c>
      <x:c r="M520">
        <x:f ca="1">IFERROR(IF(0=LEN(ReferenceData!$M$520),"",ReferenceData!$M$520),"")</x:f>
        <x:v>-6.4108400000000003</x:v>
      </x:c>
      <x:c r="N520">
        <x:f ca="1">IFERROR(IF(0=LEN(ReferenceData!$N$520),"",ReferenceData!$N$520),"")</x:f>
        <x:v>-3.49708</x:v>
      </x:c>
      <x:c r="O520">
        <x:f ca="1">IFERROR(IF(0=LEN(ReferenceData!$O$520),"",ReferenceData!$O$520),"")</x:f>
        <x:v>-6.9539900000000001</x:v>
      </x:c>
      <x:c r="P520">
        <x:f ca="1">IFERROR(IF(0=LEN(ReferenceData!$P$520),"",ReferenceData!$P$520),"")</x:f>
        <x:v>0</x:v>
      </x:c>
      <x:c r="Q520">
        <x:f ca="1">IFERROR(IF(0=LEN(ReferenceData!$Q$520),"",ReferenceData!$Q$520),"")</x:f>
        <x:v>0</x:v>
      </x:c>
      <x:c r="R520">
        <x:f ca="1">IFERROR(IF(0=LEN(ReferenceData!$R$520),"",ReferenceData!$R$520),"")</x:f>
        <x:v>10.480740000000001</x:v>
      </x:c>
      <x:c r="S520">
        <x:f ca="1">IFERROR(IF(0=LEN(ReferenceData!$S$520),"",ReferenceData!$S$520),"")</x:f>
        <x:v>-3.2888600000000001</x:v>
      </x:c>
    </x:row>
    <x:row r="521" spans="1:19" x14ac:dyDescent="0.25">
      <x:c r="A521" t="str">
        <x:f>IFERROR(IF(0=LEN(ReferenceData!$A$521),"",ReferenceData!$A$521),"")</x:f>
        <x:v xml:space="preserve">            SPDR S&amp;P Software &amp; Services E</x:v>
      </x:c>
      <x:c r="B521" t="str">
        <x:f>IFERROR(IF(0=LEN(ReferenceData!$B$521),"",ReferenceData!$B$521),"")</x:f>
        <x:v>XSW US Equity</x:v>
      </x:c>
      <x:c r="C521" t="str">
        <x:f>IFERROR(IF(0=LEN(ReferenceData!$C$521),"",ReferenceData!$C$521),"")</x:f>
        <x:v/>
      </x:c>
      <x:c r="D521" t="str">
        <x:f>IFERROR(IF(0=LEN(ReferenceData!$D$521),"",ReferenceData!$D$521),"")</x:f>
        <x:v/>
      </x:c>
      <x:c r="E521" t="str">
        <x:f>IFERROR(IF(0=LEN(ReferenceData!$E$521),"",ReferenceData!$E$521),"")</x:f>
        <x:v>Expression</x:v>
      </x:c>
      <x:c r="F521">
        <x:f ca="1">IFERROR(IF(0=LEN(ReferenceData!$F$521),"",ReferenceData!$F$521),"")</x:f>
        <x:v>-8.1170000000000006E-2</x:v>
      </x:c>
      <x:c r="G521">
        <x:f ca="1">IFERROR(IF(0=LEN(ReferenceData!$G$521),"",ReferenceData!$G$521),"")</x:f>
        <x:v>-2.2900179999999999</x:v>
      </x:c>
      <x:c r="H521">
        <x:f ca="1">IFERROR(IF(0=LEN(ReferenceData!$H$521),"",ReferenceData!$H$521),"")</x:f>
        <x:v>-2.185432</x:v>
      </x:c>
      <x:c r="I521">
        <x:f ca="1">IFERROR(IF(0=LEN(ReferenceData!$I$521),"",ReferenceData!$I$521),"")</x:f>
        <x:v>-0.89861199999999997</x:v>
      </x:c>
      <x:c r="J521">
        <x:f ca="1">IFERROR(IF(0=LEN(ReferenceData!$J$521),"",ReferenceData!$J$521),"")</x:f>
        <x:v>5.5189190000000004</x:v>
      </x:c>
      <x:c r="K521">
        <x:f ca="1">IFERROR(IF(0=LEN(ReferenceData!$K$521),"",ReferenceData!$K$521),"")</x:f>
        <x:v>49.285238</x:v>
      </x:c>
      <x:c r="L521">
        <x:f ca="1">IFERROR(IF(0=LEN(ReferenceData!$L$521),"",ReferenceData!$L$521),"")</x:f>
        <x:v>5.9875999999999999E-2</x:v>
      </x:c>
      <x:c r="M521">
        <x:f ca="1">IFERROR(IF(0=LEN(ReferenceData!$M$521),"",ReferenceData!$M$521),"")</x:f>
        <x:v>-4.5680170000000002</x:v>
      </x:c>
      <x:c r="N521">
        <x:f ca="1">IFERROR(IF(0=LEN(ReferenceData!$N$521),"",ReferenceData!$N$521),"")</x:f>
        <x:v>10.826214999999999</x:v>
      </x:c>
      <x:c r="O521">
        <x:f ca="1">IFERROR(IF(0=LEN(ReferenceData!$O$521),"",ReferenceData!$O$521),"")</x:f>
        <x:v>2.61551</x:v>
      </x:c>
      <x:c r="P521">
        <x:f ca="1">IFERROR(IF(0=LEN(ReferenceData!$P$521),"",ReferenceData!$P$521),"")</x:f>
        <x:v>0</x:v>
      </x:c>
      <x:c r="Q521">
        <x:f ca="1">IFERROR(IF(0=LEN(ReferenceData!$Q$521),"",ReferenceData!$Q$521),"")</x:f>
        <x:v>6.5917250000000003</x:v>
      </x:c>
      <x:c r="R521">
        <x:f ca="1">IFERROR(IF(0=LEN(ReferenceData!$R$521),"",ReferenceData!$R$521),"")</x:f>
        <x:v>-6.4500190000000002</x:v>
      </x:c>
      <x:c r="S521">
        <x:f ca="1">IFERROR(IF(0=LEN(ReferenceData!$S$521),"",ReferenceData!$S$521),"")</x:f>
        <x:v>1.1528430000000001</x:v>
      </x:c>
    </x:row>
    <x:row r="522" spans="1:19" x14ac:dyDescent="0.25">
      <x:c r="A522" t="str">
        <x:f>IFERROR(IF(0=LEN(ReferenceData!$A$522),"",ReferenceData!$A$522),"")</x:f>
        <x:v xml:space="preserve">            SPDR S&amp;P International Technol</x:v>
      </x:c>
      <x:c r="B522" t="str">
        <x:f>IFERROR(IF(0=LEN(ReferenceData!$B$522),"",ReferenceData!$B$522),"")</x:f>
        <x:v>IPK US Equity</x:v>
      </x:c>
      <x:c r="C522" t="str">
        <x:f>IFERROR(IF(0=LEN(ReferenceData!$C$522),"",ReferenceData!$C$522),"")</x:f>
        <x:v/>
      </x:c>
      <x:c r="D522" t="str">
        <x:f>IFERROR(IF(0=LEN(ReferenceData!$D$522),"",ReferenceData!$D$522),"")</x:f>
        <x:v/>
      </x:c>
      <x:c r="E522" t="str">
        <x:f>IFERROR(IF(0=LEN(ReferenceData!$E$522),"",ReferenceData!$E$522),"")</x:f>
        <x:v>Expression</x:v>
      </x:c>
      <x:c r="F522" t="str">
        <x:f ca="1">IFERROR(IF(0=LEN(ReferenceData!$F$522),"",ReferenceData!$F$522),"")</x:f>
        <x:v/>
      </x:c>
      <x:c r="G522" t="str">
        <x:f ca="1">IFERROR(IF(0=LEN(ReferenceData!$G$522),"",ReferenceData!$G$522),"")</x:f>
        <x:v/>
      </x:c>
      <x:c r="H522" t="str">
        <x:f ca="1">IFERROR(IF(0=LEN(ReferenceData!$H$522),"",ReferenceData!$H$522),"")</x:f>
        <x:v/>
      </x:c>
      <x:c r="I522" t="str">
        <x:f ca="1">IFERROR(IF(0=LEN(ReferenceData!$I$522),"",ReferenceData!$I$522),"")</x:f>
        <x:v/>
      </x:c>
      <x:c r="J522" t="str">
        <x:f ca="1">IFERROR(IF(0=LEN(ReferenceData!$J$522),"",ReferenceData!$J$522),"")</x:f>
        <x:v/>
      </x:c>
      <x:c r="K522" t="str">
        <x:f ca="1">IFERROR(IF(0=LEN(ReferenceData!$K$522),"",ReferenceData!$K$522),"")</x:f>
        <x:v/>
      </x:c>
      <x:c r="L522" t="str">
        <x:f ca="1">IFERROR(IF(0=LEN(ReferenceData!$L$522),"",ReferenceData!$L$522),"")</x:f>
        <x:v/>
      </x:c>
      <x:c r="M522" t="str">
        <x:f ca="1">IFERROR(IF(0=LEN(ReferenceData!$M$522),"",ReferenceData!$M$522),"")</x:f>
        <x:v/>
      </x:c>
      <x:c r="N522" t="str">
        <x:f ca="1">IFERROR(IF(0=LEN(ReferenceData!$N$522),"",ReferenceData!$N$522),"")</x:f>
        <x:v/>
      </x:c>
      <x:c r="O522" t="str">
        <x:f ca="1">IFERROR(IF(0=LEN(ReferenceData!$O$522),"",ReferenceData!$O$522),"")</x:f>
        <x:v/>
      </x:c>
      <x:c r="P522" t="str">
        <x:f ca="1">IFERROR(IF(0=LEN(ReferenceData!$P$522),"",ReferenceData!$P$522),"")</x:f>
        <x:v/>
      </x:c>
      <x:c r="Q522" t="str">
        <x:f ca="1">IFERROR(IF(0=LEN(ReferenceData!$Q$522),"",ReferenceData!$Q$522),"")</x:f>
        <x:v/>
      </x:c>
      <x:c r="R522" t="str">
        <x:f ca="1">IFERROR(IF(0=LEN(ReferenceData!$R$522),"",ReferenceData!$R$522),"")</x:f>
        <x:v/>
      </x:c>
      <x:c r="S522" t="str">
        <x:f ca="1">IFERROR(IF(0=LEN(ReferenceData!$S$522),"",ReferenceData!$S$522),"")</x:f>
        <x:v/>
      </x:c>
    </x:row>
    <x:row r="523" spans="1:19" x14ac:dyDescent="0.25">
      <x:c r="A523" t="str">
        <x:f>IFERROR(IF(0=LEN(ReferenceData!$A$523),"",ReferenceData!$A$523),"")</x:f>
        <x:v xml:space="preserve">            John Hancock Multi-Factor Tech</x:v>
      </x:c>
      <x:c r="B523" t="str">
        <x:f>IFERROR(IF(0=LEN(ReferenceData!$B$523),"",ReferenceData!$B$523),"")</x:f>
        <x:v>JHMT US Equity</x:v>
      </x:c>
      <x:c r="C523" t="str">
        <x:f>IFERROR(IF(0=LEN(ReferenceData!$C$523),"",ReferenceData!$C$523),"")</x:f>
        <x:v/>
      </x:c>
      <x:c r="D523" t="str">
        <x:f>IFERROR(IF(0=LEN(ReferenceData!$D$523),"",ReferenceData!$D$523),"")</x:f>
        <x:v/>
      </x:c>
      <x:c r="E523" t="str">
        <x:f>IFERROR(IF(0=LEN(ReferenceData!$E$523),"",ReferenceData!$E$523),"")</x:f>
        <x:v>Expression</x:v>
      </x:c>
      <x:c r="F523" t="str">
        <x:f ca="1">IFERROR(IF(0=LEN(ReferenceData!$F$523),"",ReferenceData!$F$523),"")</x:f>
        <x:v/>
      </x:c>
      <x:c r="G523" t="str">
        <x:f ca="1">IFERROR(IF(0=LEN(ReferenceData!$G$523),"",ReferenceData!$G$523),"")</x:f>
        <x:v/>
      </x:c>
      <x:c r="H523" t="str">
        <x:f ca="1">IFERROR(IF(0=LEN(ReferenceData!$H$523),"",ReferenceData!$H$523),"")</x:f>
        <x:v/>
      </x:c>
      <x:c r="I523" t="str">
        <x:f ca="1">IFERROR(IF(0=LEN(ReferenceData!$I$523),"",ReferenceData!$I$523),"")</x:f>
        <x:v/>
      </x:c>
      <x:c r="J523" t="str">
        <x:f ca="1">IFERROR(IF(0=LEN(ReferenceData!$J$523),"",ReferenceData!$J$523),"")</x:f>
        <x:v/>
      </x:c>
      <x:c r="K523" t="str">
        <x:f ca="1">IFERROR(IF(0=LEN(ReferenceData!$K$523),"",ReferenceData!$K$523),"")</x:f>
        <x:v/>
      </x:c>
      <x:c r="L523" t="str">
        <x:f ca="1">IFERROR(IF(0=LEN(ReferenceData!$L$523),"",ReferenceData!$L$523),"")</x:f>
        <x:v/>
      </x:c>
      <x:c r="M523" t="str">
        <x:f ca="1">IFERROR(IF(0=LEN(ReferenceData!$M$523),"",ReferenceData!$M$523),"")</x:f>
        <x:v/>
      </x:c>
      <x:c r="N523" t="str">
        <x:f ca="1">IFERROR(IF(0=LEN(ReferenceData!$N$523),"",ReferenceData!$N$523),"")</x:f>
        <x:v/>
      </x:c>
      <x:c r="O523" t="str">
        <x:f ca="1">IFERROR(IF(0=LEN(ReferenceData!$O$523),"",ReferenceData!$O$523),"")</x:f>
        <x:v/>
      </x:c>
      <x:c r="P523" t="str">
        <x:f ca="1">IFERROR(IF(0=LEN(ReferenceData!$P$523),"",ReferenceData!$P$523),"")</x:f>
        <x:v/>
      </x:c>
      <x:c r="Q523" t="str">
        <x:f ca="1">IFERROR(IF(0=LEN(ReferenceData!$Q$523),"",ReferenceData!$Q$523),"")</x:f>
        <x:v/>
      </x:c>
      <x:c r="R523" t="str">
        <x:f ca="1">IFERROR(IF(0=LEN(ReferenceData!$R$523),"",ReferenceData!$R$523),"")</x:f>
        <x:v/>
      </x:c>
      <x:c r="S523">
        <x:f ca="1">IFERROR(IF(0=LEN(ReferenceData!$S$523),"",ReferenceData!$S$523),"")</x:f>
        <x:v>-18.831389000000001</x:v>
      </x:c>
    </x:row>
    <x:row r="524" spans="1:19" x14ac:dyDescent="0.25">
      <x:c r="A524" t="str">
        <x:f>IFERROR(IF(0=LEN(ReferenceData!$A$524),"",ReferenceData!$A$524),"")</x:f>
        <x:v xml:space="preserve">            BlueStar Israel Technology ETF</x:v>
      </x:c>
      <x:c r="B524" t="str">
        <x:f>IFERROR(IF(0=LEN(ReferenceData!$B$524),"",ReferenceData!$B$524),"")</x:f>
        <x:v>ITEQ US Equity</x:v>
      </x:c>
      <x:c r="C524" t="str">
        <x:f>IFERROR(IF(0=LEN(ReferenceData!$C$524),"",ReferenceData!$C$524),"")</x:f>
        <x:v/>
      </x:c>
      <x:c r="D524" t="str">
        <x:f>IFERROR(IF(0=LEN(ReferenceData!$D$524),"",ReferenceData!$D$524),"")</x:f>
        <x:v/>
      </x:c>
      <x:c r="E524" t="str">
        <x:f>IFERROR(IF(0=LEN(ReferenceData!$E$524),"",ReferenceData!$E$524),"")</x:f>
        <x:v>Expression</x:v>
      </x:c>
      <x:c r="F524">
        <x:f ca="1">IFERROR(IF(0=LEN(ReferenceData!$F$524),"",ReferenceData!$F$524),"")</x:f>
        <x:v>0</x:v>
      </x:c>
      <x:c r="G524">
        <x:f ca="1">IFERROR(IF(0=LEN(ReferenceData!$G$524),"",ReferenceData!$G$524),"")</x:f>
        <x:v>-5.6765850000000002</x:v>
      </x:c>
      <x:c r="H524">
        <x:f ca="1">IFERROR(IF(0=LEN(ReferenceData!$H$524),"",ReferenceData!$H$524),"")</x:f>
        <x:v>0</x:v>
      </x:c>
      <x:c r="I524">
        <x:f ca="1">IFERROR(IF(0=LEN(ReferenceData!$I$524),"",ReferenceData!$I$524),"")</x:f>
        <x:v>0</x:v>
      </x:c>
      <x:c r="J524">
        <x:f ca="1">IFERROR(IF(0=LEN(ReferenceData!$J$524),"",ReferenceData!$J$524),"")</x:f>
        <x:v>0</x:v>
      </x:c>
      <x:c r="K524">
        <x:f ca="1">IFERROR(IF(0=LEN(ReferenceData!$K$524),"",ReferenceData!$K$524),"")</x:f>
        <x:v>-2.3853200000000001</x:v>
      </x:c>
      <x:c r="L524">
        <x:f ca="1">IFERROR(IF(0=LEN(ReferenceData!$L$524),"",ReferenceData!$L$524),"")</x:f>
        <x:v>-2.2460249999999999</x:v>
      </x:c>
      <x:c r="M524">
        <x:f ca="1">IFERROR(IF(0=LEN(ReferenceData!$M$524),"",ReferenceData!$M$524),"")</x:f>
        <x:v>0</x:v>
      </x:c>
      <x:c r="N524">
        <x:f ca="1">IFERROR(IF(0=LEN(ReferenceData!$N$524),"",ReferenceData!$N$524),"")</x:f>
        <x:v>-6.8571150000000003</x:v>
      </x:c>
      <x:c r="O524">
        <x:f ca="1">IFERROR(IF(0=LEN(ReferenceData!$O$524),"",ReferenceData!$O$524),"")</x:f>
        <x:v>0</x:v>
      </x:c>
      <x:c r="P524">
        <x:f ca="1">IFERROR(IF(0=LEN(ReferenceData!$P$524),"",ReferenceData!$P$524),"")</x:f>
        <x:v>-4.5643000000000002</x:v>
      </x:c>
      <x:c r="Q524">
        <x:f ca="1">IFERROR(IF(0=LEN(ReferenceData!$Q$524),"",ReferenceData!$Q$524),"")</x:f>
        <x:v>-4.5045349999999997</x:v>
      </x:c>
      <x:c r="R524">
        <x:f ca="1">IFERROR(IF(0=LEN(ReferenceData!$R$524),"",ReferenceData!$R$524),"")</x:f>
        <x:v>0</x:v>
      </x:c>
      <x:c r="S524">
        <x:f ca="1">IFERROR(IF(0=LEN(ReferenceData!$S$524),"",ReferenceData!$S$524),"")</x:f>
        <x:v>-2.1524200000000002</x:v>
      </x:c>
    </x:row>
    <x:row r="525" spans="1:19" x14ac:dyDescent="0.25">
      <x:c r="A525" t="str">
        <x:f>IFERROR(IF(0=LEN(ReferenceData!$A$525),"",ReferenceData!$A$525),"")</x:f>
        <x:v xml:space="preserve">            Direxion Daily Technology Bear</x:v>
      </x:c>
      <x:c r="B525" t="str">
        <x:f>IFERROR(IF(0=LEN(ReferenceData!$B$525),"",ReferenceData!$B$525),"")</x:f>
        <x:v>TECS US Equity</x:v>
      </x:c>
      <x:c r="C525" t="str">
        <x:f>IFERROR(IF(0=LEN(ReferenceData!$C$525),"",ReferenceData!$C$525),"")</x:f>
        <x:v/>
      </x:c>
      <x:c r="D525" t="str">
        <x:f>IFERROR(IF(0=LEN(ReferenceData!$D$525),"",ReferenceData!$D$525),"")</x:f>
        <x:v/>
      </x:c>
      <x:c r="E525" t="str">
        <x:f>IFERROR(IF(0=LEN(ReferenceData!$E$525),"",ReferenceData!$E$525),"")</x:f>
        <x:v>Expression</x:v>
      </x:c>
      <x:c r="F525">
        <x:f ca="1">IFERROR(IF(0=LEN(ReferenceData!$F$525),"",ReferenceData!$F$525),"")</x:f>
        <x:v>38.251202999999997</x:v>
      </x:c>
      <x:c r="G525">
        <x:f ca="1">IFERROR(IF(0=LEN(ReferenceData!$G$525),"",ReferenceData!$G$525),"")</x:f>
        <x:v>-32.722315999999999</x:v>
      </x:c>
      <x:c r="H525">
        <x:f ca="1">IFERROR(IF(0=LEN(ReferenceData!$H$525),"",ReferenceData!$H$525),"")</x:f>
        <x:v>-36.654378000000001</x:v>
      </x:c>
      <x:c r="I525">
        <x:f ca="1">IFERROR(IF(0=LEN(ReferenceData!$I$525),"",ReferenceData!$I$525),"")</x:f>
        <x:v>40.973920999999997</x:v>
      </x:c>
      <x:c r="J525">
        <x:f ca="1">IFERROR(IF(0=LEN(ReferenceData!$J$525),"",ReferenceData!$J$525),"")</x:f>
        <x:v>0.176174</x:v>
      </x:c>
      <x:c r="K525">
        <x:f ca="1">IFERROR(IF(0=LEN(ReferenceData!$K$525),"",ReferenceData!$K$525),"")</x:f>
        <x:v>11.736345999999999</x:v>
      </x:c>
      <x:c r="L525">
        <x:f ca="1">IFERROR(IF(0=LEN(ReferenceData!$L$525),"",ReferenceData!$L$525),"")</x:f>
        <x:v>21.667608000000001</x:v>
      </x:c>
      <x:c r="M525">
        <x:f ca="1">IFERROR(IF(0=LEN(ReferenceData!$M$525),"",ReferenceData!$M$525),"")</x:f>
        <x:v>16.866834000000001</x:v>
      </x:c>
      <x:c r="N525">
        <x:f ca="1">IFERROR(IF(0=LEN(ReferenceData!$N$525),"",ReferenceData!$N$525),"")</x:f>
        <x:v>-10.350125999999999</x:v>
      </x:c>
      <x:c r="O525">
        <x:f ca="1">IFERROR(IF(0=LEN(ReferenceData!$O$525),"",ReferenceData!$O$525),"")</x:f>
        <x:v>28.668574</x:v>
      </x:c>
      <x:c r="P525">
        <x:f ca="1">IFERROR(IF(0=LEN(ReferenceData!$P$525),"",ReferenceData!$P$525),"")</x:f>
        <x:v>33.670625999999999</x:v>
      </x:c>
      <x:c r="Q525">
        <x:f ca="1">IFERROR(IF(0=LEN(ReferenceData!$Q$525),"",ReferenceData!$Q$525),"")</x:f>
        <x:v>-14.350528000000001</x:v>
      </x:c>
      <x:c r="R525">
        <x:f ca="1">IFERROR(IF(0=LEN(ReferenceData!$R$525),"",ReferenceData!$R$525),"")</x:f>
        <x:v>34.723477000000003</x:v>
      </x:c>
      <x:c r="S525">
        <x:f ca="1">IFERROR(IF(0=LEN(ReferenceData!$S$525),"",ReferenceData!$S$525),"")</x:f>
        <x:v>-38.854823000000003</x:v>
      </x:c>
    </x:row>
    <x:row r="526" spans="1:19" x14ac:dyDescent="0.25">
      <x:c r="A526" t="str">
        <x:f>IFERROR(IF(0=LEN(ReferenceData!$A$526),"",ReferenceData!$A$526),"")</x:f>
        <x:v xml:space="preserve">            iShares Edge MSCI Multifactor</x:v>
      </x:c>
      <x:c r="B526" t="str">
        <x:f>IFERROR(IF(0=LEN(ReferenceData!$B$526),"",ReferenceData!$B$526),"")</x:f>
        <x:v>TCHF US Equity</x:v>
      </x:c>
      <x:c r="C526" t="str">
        <x:f>IFERROR(IF(0=LEN(ReferenceData!$C$526),"",ReferenceData!$C$526),"")</x:f>
        <x:v/>
      </x:c>
      <x:c r="D526" t="str">
        <x:f>IFERROR(IF(0=LEN(ReferenceData!$D$526),"",ReferenceData!$D$526),"")</x:f>
        <x:v/>
      </x:c>
      <x:c r="E526" t="str">
        <x:f>IFERROR(IF(0=LEN(ReferenceData!$E$526),"",ReferenceData!$E$526),"")</x:f>
        <x:v>Expression</x:v>
      </x:c>
      <x:c r="F526" t="str">
        <x:f ca="1">IFERROR(IF(0=LEN(ReferenceData!$F$526),"",ReferenceData!$F$526),"")</x:f>
        <x:v/>
      </x:c>
      <x:c r="G526" t="str">
        <x:f ca="1">IFERROR(IF(0=LEN(ReferenceData!$G$526),"",ReferenceData!$G$526),"")</x:f>
        <x:v/>
      </x:c>
      <x:c r="H526" t="str">
        <x:f ca="1">IFERROR(IF(0=LEN(ReferenceData!$H$526),"",ReferenceData!$H$526),"")</x:f>
        <x:v/>
      </x:c>
      <x:c r="I526" t="str">
        <x:f ca="1">IFERROR(IF(0=LEN(ReferenceData!$I$526),"",ReferenceData!$I$526),"")</x:f>
        <x:v/>
      </x:c>
      <x:c r="J526" t="str">
        <x:f ca="1">IFERROR(IF(0=LEN(ReferenceData!$J$526),"",ReferenceData!$J$526),"")</x:f>
        <x:v/>
      </x:c>
      <x:c r="K526" t="str">
        <x:f ca="1">IFERROR(IF(0=LEN(ReferenceData!$K$526),"",ReferenceData!$K$526),"")</x:f>
        <x:v/>
      </x:c>
      <x:c r="L526" t="str">
        <x:f ca="1">IFERROR(IF(0=LEN(ReferenceData!$L$526),"",ReferenceData!$L$526),"")</x:f>
        <x:v/>
      </x:c>
      <x:c r="M526" t="str">
        <x:f ca="1">IFERROR(IF(0=LEN(ReferenceData!$M$526),"",ReferenceData!$M$526),"")</x:f>
        <x:v/>
      </x:c>
      <x:c r="N526" t="str">
        <x:f ca="1">IFERROR(IF(0=LEN(ReferenceData!$N$526),"",ReferenceData!$N$526),"")</x:f>
        <x:v/>
      </x:c>
      <x:c r="O526" t="str">
        <x:f ca="1">IFERROR(IF(0=LEN(ReferenceData!$O$526),"",ReferenceData!$O$526),"")</x:f>
        <x:v/>
      </x:c>
      <x:c r="P526" t="str">
        <x:f ca="1">IFERROR(IF(0=LEN(ReferenceData!$P$526),"",ReferenceData!$P$526),"")</x:f>
        <x:v/>
      </x:c>
      <x:c r="Q526" t="str">
        <x:f ca="1">IFERROR(IF(0=LEN(ReferenceData!$Q$526),"",ReferenceData!$Q$526),"")</x:f>
        <x:v/>
      </x:c>
      <x:c r="R526" t="str">
        <x:f ca="1">IFERROR(IF(0=LEN(ReferenceData!$R$526),"",ReferenceData!$R$526),"")</x:f>
        <x:v/>
      </x:c>
      <x:c r="S526" t="str">
        <x:f ca="1">IFERROR(IF(0=LEN(ReferenceData!$S$526),"",ReferenceData!$S$526),"")</x:f>
        <x:v/>
      </x:c>
    </x:row>
    <x:row r="527" spans="1:19" x14ac:dyDescent="0.25">
      <x:c r="A527" t="str">
        <x:f>IFERROR(IF(0=LEN(ReferenceData!$A$527),"",ReferenceData!$A$527),"")</x:f>
        <x:v xml:space="preserve">            PureFunds ISE Big Data ETF</x:v>
      </x:c>
      <x:c r="B527" t="str">
        <x:f>IFERROR(IF(0=LEN(ReferenceData!$B$527),"",ReferenceData!$B$527),"")</x:f>
        <x:v>BIGD US Equity</x:v>
      </x:c>
      <x:c r="C527" t="str">
        <x:f>IFERROR(IF(0=LEN(ReferenceData!$C$527),"",ReferenceData!$C$527),"")</x:f>
        <x:v/>
      </x:c>
      <x:c r="D527" t="str">
        <x:f>IFERROR(IF(0=LEN(ReferenceData!$D$527),"",ReferenceData!$D$527),"")</x:f>
        <x:v/>
      </x:c>
      <x:c r="E527" t="str">
        <x:f>IFERROR(IF(0=LEN(ReferenceData!$E$527),"",ReferenceData!$E$527),"")</x:f>
        <x:v>Expression</x:v>
      </x:c>
      <x:c r="F527" t="str">
        <x:f ca="1">IFERROR(IF(0=LEN(ReferenceData!$F$527),"",ReferenceData!$F$527),"")</x:f>
        <x:v/>
      </x:c>
      <x:c r="G527" t="str">
        <x:f ca="1">IFERROR(IF(0=LEN(ReferenceData!$G$527),"",ReferenceData!$G$527),"")</x:f>
        <x:v/>
      </x:c>
      <x:c r="H527" t="str">
        <x:f ca="1">IFERROR(IF(0=LEN(ReferenceData!$H$527),"",ReferenceData!$H$527),"")</x:f>
        <x:v/>
      </x:c>
      <x:c r="I527" t="str">
        <x:f ca="1">IFERROR(IF(0=LEN(ReferenceData!$I$527),"",ReferenceData!$I$527),"")</x:f>
        <x:v/>
      </x:c>
      <x:c r="J527" t="str">
        <x:f ca="1">IFERROR(IF(0=LEN(ReferenceData!$J$527),"",ReferenceData!$J$527),"")</x:f>
        <x:v/>
      </x:c>
      <x:c r="K527" t="str">
        <x:f ca="1">IFERROR(IF(0=LEN(ReferenceData!$K$527),"",ReferenceData!$K$527),"")</x:f>
        <x:v/>
      </x:c>
      <x:c r="L527" t="str">
        <x:f ca="1">IFERROR(IF(0=LEN(ReferenceData!$L$527),"",ReferenceData!$L$527),"")</x:f>
        <x:v/>
      </x:c>
      <x:c r="M527" t="str">
        <x:f ca="1">IFERROR(IF(0=LEN(ReferenceData!$M$527),"",ReferenceData!$M$527),"")</x:f>
        <x:v/>
      </x:c>
      <x:c r="N527" t="str">
        <x:f ca="1">IFERROR(IF(0=LEN(ReferenceData!$N$527),"",ReferenceData!$N$527),"")</x:f>
        <x:v/>
      </x:c>
      <x:c r="O527" t="str">
        <x:f ca="1">IFERROR(IF(0=LEN(ReferenceData!$O$527),"",ReferenceData!$O$527),"")</x:f>
        <x:v/>
      </x:c>
      <x:c r="P527" t="str">
        <x:f ca="1">IFERROR(IF(0=LEN(ReferenceData!$P$527),"",ReferenceData!$P$527),"")</x:f>
        <x:v/>
      </x:c>
      <x:c r="Q527" t="str">
        <x:f ca="1">IFERROR(IF(0=LEN(ReferenceData!$Q$527),"",ReferenceData!$Q$527),"")</x:f>
        <x:v/>
      </x:c>
      <x:c r="R527" t="str">
        <x:f ca="1">IFERROR(IF(0=LEN(ReferenceData!$R$527),"",ReferenceData!$R$527),"")</x:f>
        <x:v/>
      </x:c>
      <x:c r="S527" t="str">
        <x:f ca="1">IFERROR(IF(0=LEN(ReferenceData!$S$527),"",ReferenceData!$S$527),"")</x:f>
        <x:v/>
      </x:c>
    </x:row>
    <x:row r="528" spans="1:19" x14ac:dyDescent="0.25">
      <x:c r="A528" t="str">
        <x:f>IFERROR(IF(0=LEN(ReferenceData!$A$528),"",ReferenceData!$A$528),"")</x:f>
        <x:v xml:space="preserve">            ProShares UltraShort Technolog</x:v>
      </x:c>
      <x:c r="B528" t="str">
        <x:f>IFERROR(IF(0=LEN(ReferenceData!$B$528),"",ReferenceData!$B$528),"")</x:f>
        <x:v>REW US Equity</x:v>
      </x:c>
      <x:c r="C528" t="str">
        <x:f>IFERROR(IF(0=LEN(ReferenceData!$C$528),"",ReferenceData!$C$528),"")</x:f>
        <x:v/>
      </x:c>
      <x:c r="D528" t="str">
        <x:f>IFERROR(IF(0=LEN(ReferenceData!$D$528),"",ReferenceData!$D$528),"")</x:f>
        <x:v/>
      </x:c>
      <x:c r="E528" t="str">
        <x:f>IFERROR(IF(0=LEN(ReferenceData!$E$528),"",ReferenceData!$E$528),"")</x:f>
        <x:v>Expression</x:v>
      </x:c>
      <x:c r="F528">
        <x:f ca="1">IFERROR(IF(0=LEN(ReferenceData!$F$528),"",ReferenceData!$F$528),"")</x:f>
        <x:v>-0.205259</x:v>
      </x:c>
      <x:c r="G528">
        <x:f ca="1">IFERROR(IF(0=LEN(ReferenceData!$G$528),"",ReferenceData!$G$528),"")</x:f>
        <x:v>-0.35104200000000002</x:v>
      </x:c>
      <x:c r="H528">
        <x:f ca="1">IFERROR(IF(0=LEN(ReferenceData!$H$528),"",ReferenceData!$H$528),"")</x:f>
        <x:v>1.14977</x:v>
      </x:c>
      <x:c r="I528">
        <x:f ca="1">IFERROR(IF(0=LEN(ReferenceData!$I$528),"",ReferenceData!$I$528),"")</x:f>
        <x:v>-1.584835</x:v>
      </x:c>
      <x:c r="J528">
        <x:f ca="1">IFERROR(IF(0=LEN(ReferenceData!$J$528),"",ReferenceData!$J$528),"")</x:f>
        <x:v>1.4798789999999999</x:v>
      </x:c>
      <x:c r="K528">
        <x:f ca="1">IFERROR(IF(0=LEN(ReferenceData!$K$528),"",ReferenceData!$K$528),"")</x:f>
        <x:v>-0.74550099999999997</x:v>
      </x:c>
      <x:c r="L528">
        <x:f ca="1">IFERROR(IF(0=LEN(ReferenceData!$L$528),"",ReferenceData!$L$528),"")</x:f>
        <x:v>6.0350000000000004E-3</x:v>
      </x:c>
      <x:c r="M528">
        <x:f ca="1">IFERROR(IF(0=LEN(ReferenceData!$M$528),"",ReferenceData!$M$528),"")</x:f>
        <x:v>4.3449999999999999E-3</x:v>
      </x:c>
      <x:c r="N528">
        <x:f ca="1">IFERROR(IF(0=LEN(ReferenceData!$N$528),"",ReferenceData!$N$528),"")</x:f>
        <x:v>-6.1770000000000002E-3</x:v>
      </x:c>
      <x:c r="O528">
        <x:f ca="1">IFERROR(IF(0=LEN(ReferenceData!$O$528),"",ReferenceData!$O$528),"")</x:f>
        <x:v>-0.77677499999999999</x:v>
      </x:c>
      <x:c r="P528">
        <x:f ca="1">IFERROR(IF(0=LEN(ReferenceData!$P$528),"",ReferenceData!$P$528),"")</x:f>
        <x:v>-2.6903250000000001</x:v>
      </x:c>
      <x:c r="Q528">
        <x:f ca="1">IFERROR(IF(0=LEN(ReferenceData!$Q$528),"",ReferenceData!$Q$528),"")</x:f>
        <x:v>0.16814200000000001</x:v>
      </x:c>
      <x:c r="R528">
        <x:f ca="1">IFERROR(IF(0=LEN(ReferenceData!$R$528),"",ReferenceData!$R$528),"")</x:f>
        <x:v>3.4977149999999999</x:v>
      </x:c>
      <x:c r="S528">
        <x:f ca="1">IFERROR(IF(0=LEN(ReferenceData!$S$528),"",ReferenceData!$S$528),"")</x:f>
        <x:v>-5.0195670000000003</x:v>
      </x:c>
    </x:row>
    <x:row r="529" spans="1:19" x14ac:dyDescent="0.25">
      <x:c r="A529" t="str">
        <x:f>IFERROR(IF(0=LEN(ReferenceData!$A$529),"",ReferenceData!$A$529),"")</x:f>
        <x:v xml:space="preserve">            First Trust Indxx Metaverse ET</x:v>
      </x:c>
      <x:c r="B529" t="str">
        <x:f>IFERROR(IF(0=LEN(ReferenceData!$B$529),"",ReferenceData!$B$529),"")</x:f>
        <x:v>ARVR US Equity</x:v>
      </x:c>
      <x:c r="C529" t="str">
        <x:f>IFERROR(IF(0=LEN(ReferenceData!$C$529),"",ReferenceData!$C$529),"")</x:f>
        <x:v/>
      </x:c>
      <x:c r="D529" t="str">
        <x:f>IFERROR(IF(0=LEN(ReferenceData!$D$529),"",ReferenceData!$D$529),"")</x:f>
        <x:v/>
      </x:c>
      <x:c r="E529" t="str">
        <x:f>IFERROR(IF(0=LEN(ReferenceData!$E$529),"",ReferenceData!$E$529),"")</x:f>
        <x:v>Expression</x:v>
      </x:c>
      <x:c r="F529">
        <x:f ca="1">IFERROR(IF(0=LEN(ReferenceData!$F$529),"",ReferenceData!$F$529),"")</x:f>
        <x:v>0</x:v>
      </x:c>
      <x:c r="G529">
        <x:f ca="1">IFERROR(IF(0=LEN(ReferenceData!$G$529),"",ReferenceData!$G$529),"")</x:f>
        <x:v>0</x:v>
      </x:c>
      <x:c r="H529">
        <x:f ca="1">IFERROR(IF(0=LEN(ReferenceData!$H$529),"",ReferenceData!$H$529),"")</x:f>
        <x:v>0</x:v>
      </x:c>
      <x:c r="I529">
        <x:f ca="1">IFERROR(IF(0=LEN(ReferenceData!$I$529),"",ReferenceData!$I$529),"")</x:f>
        <x:v>0</x:v>
      </x:c>
      <x:c r="J529">
        <x:f ca="1">IFERROR(IF(0=LEN(ReferenceData!$J$529),"",ReferenceData!$J$529),"")</x:f>
        <x:v>0</x:v>
      </x:c>
      <x:c r="K529">
        <x:f ca="1">IFERROR(IF(0=LEN(ReferenceData!$K$529),"",ReferenceData!$K$529),"")</x:f>
        <x:v>0</x:v>
      </x:c>
      <x:c r="L529">
        <x:f ca="1">IFERROR(IF(0=LEN(ReferenceData!$L$529),"",ReferenceData!$L$529),"")</x:f>
        <x:v>0</x:v>
      </x:c>
      <x:c r="M529">
        <x:f ca="1">IFERROR(IF(0=LEN(ReferenceData!$M$529),"",ReferenceData!$M$529),"")</x:f>
        <x:v>0</x:v>
      </x:c>
      <x:c r="N529">
        <x:f ca="1">IFERROR(IF(0=LEN(ReferenceData!$N$529),"",ReferenceData!$N$529),"")</x:f>
        <x:v>0</x:v>
      </x:c>
      <x:c r="O529">
        <x:f ca="1">IFERROR(IF(0=LEN(ReferenceData!$O$529),"",ReferenceData!$O$529),"")</x:f>
        <x:v>0</x:v>
      </x:c>
      <x:c r="P529">
        <x:f ca="1">IFERROR(IF(0=LEN(ReferenceData!$P$529),"",ReferenceData!$P$529),"")</x:f>
        <x:v>0</x:v>
      </x:c>
      <x:c r="Q529">
        <x:f ca="1">IFERROR(IF(0=LEN(ReferenceData!$Q$529),"",ReferenceData!$Q$529),"")</x:f>
        <x:v>0</x:v>
      </x:c>
      <x:c r="R529">
        <x:f ca="1">IFERROR(IF(0=LEN(ReferenceData!$R$529),"",ReferenceData!$R$529),"")</x:f>
        <x:v>0</x:v>
      </x:c>
      <x:c r="S529">
        <x:f ca="1">IFERROR(IF(0=LEN(ReferenceData!$S$529),"",ReferenceData!$S$529),"")</x:f>
        <x:v>0</x:v>
      </x:c>
    </x:row>
    <x:row r="530" spans="1:19" x14ac:dyDescent="0.25">
      <x:c r="A530" t="str">
        <x:f>IFERROR(IF(0=LEN(ReferenceData!$A$530),"",ReferenceData!$A$530),"")</x:f>
        <x:v xml:space="preserve">            Elkhorn S&amp;P MidCap Information</x:v>
      </x:c>
      <x:c r="B530" t="str">
        <x:f>IFERROR(IF(0=LEN(ReferenceData!$B$530),"",ReferenceData!$B$530),"")</x:f>
        <x:v>XK US Equity</x:v>
      </x:c>
      <x:c r="C530" t="str">
        <x:f>IFERROR(IF(0=LEN(ReferenceData!$C$530),"",ReferenceData!$C$530),"")</x:f>
        <x:v/>
      </x:c>
      <x:c r="D530" t="str">
        <x:f>IFERROR(IF(0=LEN(ReferenceData!$D$530),"",ReferenceData!$D$530),"")</x:f>
        <x:v/>
      </x:c>
      <x:c r="E530" t="str">
        <x:f>IFERROR(IF(0=LEN(ReferenceData!$E$530),"",ReferenceData!$E$530),"")</x:f>
        <x:v>Expression</x:v>
      </x:c>
      <x:c r="F530" t="str">
        <x:f ca="1">IFERROR(IF(0=LEN(ReferenceData!$F$530),"",ReferenceData!$F$530),"")</x:f>
        <x:v/>
      </x:c>
      <x:c r="G530" t="str">
        <x:f ca="1">IFERROR(IF(0=LEN(ReferenceData!$G$530),"",ReferenceData!$G$530),"")</x:f>
        <x:v/>
      </x:c>
      <x:c r="H530" t="str">
        <x:f ca="1">IFERROR(IF(0=LEN(ReferenceData!$H$530),"",ReferenceData!$H$530),"")</x:f>
        <x:v/>
      </x:c>
      <x:c r="I530" t="str">
        <x:f ca="1">IFERROR(IF(0=LEN(ReferenceData!$I$530),"",ReferenceData!$I$530),"")</x:f>
        <x:v/>
      </x:c>
      <x:c r="J530" t="str">
        <x:f ca="1">IFERROR(IF(0=LEN(ReferenceData!$J$530),"",ReferenceData!$J$530),"")</x:f>
        <x:v/>
      </x:c>
      <x:c r="K530" t="str">
        <x:f ca="1">IFERROR(IF(0=LEN(ReferenceData!$K$530),"",ReferenceData!$K$530),"")</x:f>
        <x:v/>
      </x:c>
      <x:c r="L530" t="str">
        <x:f ca="1">IFERROR(IF(0=LEN(ReferenceData!$L$530),"",ReferenceData!$L$530),"")</x:f>
        <x:v/>
      </x:c>
      <x:c r="M530" t="str">
        <x:f ca="1">IFERROR(IF(0=LEN(ReferenceData!$M$530),"",ReferenceData!$M$530),"")</x:f>
        <x:v/>
      </x:c>
      <x:c r="N530" t="str">
        <x:f ca="1">IFERROR(IF(0=LEN(ReferenceData!$N$530),"",ReferenceData!$N$530),"")</x:f>
        <x:v/>
      </x:c>
      <x:c r="O530" t="str">
        <x:f ca="1">IFERROR(IF(0=LEN(ReferenceData!$O$530),"",ReferenceData!$O$530),"")</x:f>
        <x:v/>
      </x:c>
      <x:c r="P530" t="str">
        <x:f ca="1">IFERROR(IF(0=LEN(ReferenceData!$P$530),"",ReferenceData!$P$530),"")</x:f>
        <x:v/>
      </x:c>
      <x:c r="Q530" t="str">
        <x:f ca="1">IFERROR(IF(0=LEN(ReferenceData!$Q$530),"",ReferenceData!$Q$530),"")</x:f>
        <x:v/>
      </x:c>
      <x:c r="R530" t="str">
        <x:f ca="1">IFERROR(IF(0=LEN(ReferenceData!$R$530),"",ReferenceData!$R$530),"")</x:f>
        <x:v/>
      </x:c>
      <x:c r="S530" t="str">
        <x:f ca="1">IFERROR(IF(0=LEN(ReferenceData!$S$530),"",ReferenceData!$S$530),"")</x:f>
        <x:v/>
      </x:c>
    </x:row>
    <x:row r="531" spans="1:19" x14ac:dyDescent="0.25">
      <x:c r="A531" t="str">
        <x:f>IFERROR(IF(0=LEN(ReferenceData!$A$531),"",ReferenceData!$A$531),"")</x:f>
        <x:v xml:space="preserve">            Direxion Shares Etf Trust-Dire</x:v>
      </x:c>
      <x:c r="B531" t="str">
        <x:f>IFERROR(IF(0=LEN(ReferenceData!$B$531),"",ReferenceData!$B$531),"")</x:f>
        <x:v>TECZ US Equity</x:v>
      </x:c>
      <x:c r="C531" t="str">
        <x:f>IFERROR(IF(0=LEN(ReferenceData!$C$531),"",ReferenceData!$C$531),"")</x:f>
        <x:v/>
      </x:c>
      <x:c r="D531" t="str">
        <x:f>IFERROR(IF(0=LEN(ReferenceData!$D$531),"",ReferenceData!$D$531),"")</x:f>
        <x:v/>
      </x:c>
      <x:c r="E531" t="str">
        <x:f>IFERROR(IF(0=LEN(ReferenceData!$E$531),"",ReferenceData!$E$531),"")</x:f>
        <x:v>Expression</x:v>
      </x:c>
      <x:c r="F531" t="str">
        <x:f ca="1">IFERROR(IF(0=LEN(ReferenceData!$F$531),"",ReferenceData!$F$531),"")</x:f>
        <x:v/>
      </x:c>
      <x:c r="G531" t="str">
        <x:f ca="1">IFERROR(IF(0=LEN(ReferenceData!$G$531),"",ReferenceData!$G$531),"")</x:f>
        <x:v/>
      </x:c>
      <x:c r="H531" t="str">
        <x:f ca="1">IFERROR(IF(0=LEN(ReferenceData!$H$531),"",ReferenceData!$H$531),"")</x:f>
        <x:v/>
      </x:c>
      <x:c r="I531" t="str">
        <x:f ca="1">IFERROR(IF(0=LEN(ReferenceData!$I$531),"",ReferenceData!$I$531),"")</x:f>
        <x:v/>
      </x:c>
      <x:c r="J531" t="str">
        <x:f ca="1">IFERROR(IF(0=LEN(ReferenceData!$J$531),"",ReferenceData!$J$531),"")</x:f>
        <x:v/>
      </x:c>
      <x:c r="K531" t="str">
        <x:f ca="1">IFERROR(IF(0=LEN(ReferenceData!$K$531),"",ReferenceData!$K$531),"")</x:f>
        <x:v/>
      </x:c>
      <x:c r="L531" t="str">
        <x:f ca="1">IFERROR(IF(0=LEN(ReferenceData!$L$531),"",ReferenceData!$L$531),"")</x:f>
        <x:v/>
      </x:c>
      <x:c r="M531" t="str">
        <x:f ca="1">IFERROR(IF(0=LEN(ReferenceData!$M$531),"",ReferenceData!$M$531),"")</x:f>
        <x:v/>
      </x:c>
      <x:c r="N531" t="str">
        <x:f ca="1">IFERROR(IF(0=LEN(ReferenceData!$N$531),"",ReferenceData!$N$531),"")</x:f>
        <x:v/>
      </x:c>
      <x:c r="O531" t="str">
        <x:f ca="1">IFERROR(IF(0=LEN(ReferenceData!$O$531),"",ReferenceData!$O$531),"")</x:f>
        <x:v/>
      </x:c>
      <x:c r="P531" t="str">
        <x:f ca="1">IFERROR(IF(0=LEN(ReferenceData!$P$531),"",ReferenceData!$P$531),"")</x:f>
        <x:v/>
      </x:c>
      <x:c r="Q531" t="str">
        <x:f ca="1">IFERROR(IF(0=LEN(ReferenceData!$Q$531),"",ReferenceData!$Q$531),"")</x:f>
        <x:v/>
      </x:c>
      <x:c r="R531" t="str">
        <x:f ca="1">IFERROR(IF(0=LEN(ReferenceData!$R$531),"",ReferenceData!$R$531),"")</x:f>
        <x:v/>
      </x:c>
      <x:c r="S531" t="str">
        <x:f ca="1">IFERROR(IF(0=LEN(ReferenceData!$S$531),"",ReferenceData!$S$531),"")</x:f>
        <x:v/>
      </x:c>
    </x:row>
    <x:row r="532" spans="1:19" x14ac:dyDescent="0.25">
      <x:c r="A532" t="str">
        <x:f>IFERROR(IF(0=LEN(ReferenceData!$A$532),"",ReferenceData!$A$532),"")</x:f>
        <x:v xml:space="preserve">            KraneShares Emerging Markets C</x:v>
      </x:c>
      <x:c r="B532" t="str">
        <x:f>IFERROR(IF(0=LEN(ReferenceData!$B$532),"",ReferenceData!$B$532),"")</x:f>
        <x:v>KEMQ US Equity</x:v>
      </x:c>
      <x:c r="C532" t="str">
        <x:f>IFERROR(IF(0=LEN(ReferenceData!$C$532),"",ReferenceData!$C$532),"")</x:f>
        <x:v/>
      </x:c>
      <x:c r="D532" t="str">
        <x:f>IFERROR(IF(0=LEN(ReferenceData!$D$532),"",ReferenceData!$D$532),"")</x:f>
        <x:v/>
      </x:c>
      <x:c r="E532" t="str">
        <x:f>IFERROR(IF(0=LEN(ReferenceData!$E$532),"",ReferenceData!$E$532),"")</x:f>
        <x:v>Expression</x:v>
      </x:c>
      <x:c r="F532">
        <x:f ca="1">IFERROR(IF(0=LEN(ReferenceData!$F$532),"",ReferenceData!$F$532),"")</x:f>
        <x:v>-0.68500000000000005</x:v>
      </x:c>
      <x:c r="G532">
        <x:f ca="1">IFERROR(IF(0=LEN(ReferenceData!$G$532),"",ReferenceData!$G$532),"")</x:f>
        <x:v>0</x:v>
      </x:c>
      <x:c r="H532">
        <x:f ca="1">IFERROR(IF(0=LEN(ReferenceData!$H$532),"",ReferenceData!$H$532),"")</x:f>
        <x:v>0</x:v>
      </x:c>
      <x:c r="I532">
        <x:f ca="1">IFERROR(IF(0=LEN(ReferenceData!$I$532),"",ReferenceData!$I$532),"")</x:f>
        <x:v>0</x:v>
      </x:c>
      <x:c r="J532">
        <x:f ca="1">IFERROR(IF(0=LEN(ReferenceData!$J$532),"",ReferenceData!$J$532),"")</x:f>
        <x:v>-1.597</x:v>
      </x:c>
      <x:c r="K532">
        <x:f ca="1">IFERROR(IF(0=LEN(ReferenceData!$K$532),"",ReferenceData!$K$532),"")</x:f>
        <x:v>0</x:v>
      </x:c>
      <x:c r="L532">
        <x:f ca="1">IFERROR(IF(0=LEN(ReferenceData!$L$532),"",ReferenceData!$L$532),"")</x:f>
        <x:v>-16.061</x:v>
      </x:c>
      <x:c r="M532">
        <x:f ca="1">IFERROR(IF(0=LEN(ReferenceData!$M$532),"",ReferenceData!$M$532),"")</x:f>
        <x:v>0</x:v>
      </x:c>
      <x:c r="N532">
        <x:f ca="1">IFERROR(IF(0=LEN(ReferenceData!$N$532),"",ReferenceData!$N$532),"")</x:f>
        <x:v>0</x:v>
      </x:c>
      <x:c r="O532">
        <x:f ca="1">IFERROR(IF(0=LEN(ReferenceData!$O$532),"",ReferenceData!$O$532),"")</x:f>
        <x:v>0</x:v>
      </x:c>
      <x:c r="P532">
        <x:f ca="1">IFERROR(IF(0=LEN(ReferenceData!$P$532),"",ReferenceData!$P$532),"")</x:f>
        <x:v>-1.591</x:v>
      </x:c>
      <x:c r="Q532">
        <x:f ca="1">IFERROR(IF(0=LEN(ReferenceData!$Q$532),"",ReferenceData!$Q$532),"")</x:f>
        <x:v>-2.2334999999999998</x:v>
      </x:c>
      <x:c r="R532">
        <x:f ca="1">IFERROR(IF(0=LEN(ReferenceData!$R$532),"",ReferenceData!$R$532),"")</x:f>
        <x:v>-0.61399999999999999</x:v>
      </x:c>
      <x:c r="S532">
        <x:f ca="1">IFERROR(IF(0=LEN(ReferenceData!$S$532),"",ReferenceData!$S$532),"")</x:f>
        <x:v>0</x:v>
      </x:c>
    </x:row>
    <x:row r="533" spans="1:19" x14ac:dyDescent="0.25">
      <x:c r="A533" t="str">
        <x:f>IFERROR(IF(0=LEN(ReferenceData!$A$533),"",ReferenceData!$A$533),"")</x:f>
        <x:v xml:space="preserve">            iShares U.S. Tech Independence</x:v>
      </x:c>
      <x:c r="B533" t="str">
        <x:f>IFERROR(IF(0=LEN(ReferenceData!$B$533),"",ReferenceData!$B$533),"")</x:f>
        <x:v>IETC US Equity</x:v>
      </x:c>
      <x:c r="C533" t="str">
        <x:f>IFERROR(IF(0=LEN(ReferenceData!$C$533),"",ReferenceData!$C$533),"")</x:f>
        <x:v/>
      </x:c>
      <x:c r="D533" t="str">
        <x:f>IFERROR(IF(0=LEN(ReferenceData!$D$533),"",ReferenceData!$D$533),"")</x:f>
        <x:v/>
      </x:c>
      <x:c r="E533" t="str">
        <x:f>IFERROR(IF(0=LEN(ReferenceData!$E$533),"",ReferenceData!$E$533),"")</x:f>
        <x:v>Expression</x:v>
      </x:c>
      <x:c r="F533">
        <x:f ca="1">IFERROR(IF(0=LEN(ReferenceData!$F$533),"",ReferenceData!$F$533),"")</x:f>
        <x:v>0</x:v>
      </x:c>
      <x:c r="G533">
        <x:f ca="1">IFERROR(IF(0=LEN(ReferenceData!$G$533),"",ReferenceData!$G$533),"")</x:f>
        <x:v>2.6763750000000002</x:v>
      </x:c>
      <x:c r="H533">
        <x:f ca="1">IFERROR(IF(0=LEN(ReferenceData!$H$533),"",ReferenceData!$H$533),"")</x:f>
        <x:v>-2.803105</x:v>
      </x:c>
      <x:c r="I533">
        <x:f ca="1">IFERROR(IF(0=LEN(ReferenceData!$I$533),"",ReferenceData!$I$533),"")</x:f>
        <x:v>2.7266849999999998</x:v>
      </x:c>
      <x:c r="J533">
        <x:f ca="1">IFERROR(IF(0=LEN(ReferenceData!$J$533),"",ReferenceData!$J$533),"")</x:f>
        <x:v>0</x:v>
      </x:c>
      <x:c r="K533">
        <x:f ca="1">IFERROR(IF(0=LEN(ReferenceData!$K$533),"",ReferenceData!$K$533),"")</x:f>
        <x:v>2.5979199999999998</x:v>
      </x:c>
      <x:c r="L533">
        <x:f ca="1">IFERROR(IF(0=LEN(ReferenceData!$L$533),"",ReferenceData!$L$533),"")</x:f>
        <x:v>0</x:v>
      </x:c>
      <x:c r="M533">
        <x:f ca="1">IFERROR(IF(0=LEN(ReferenceData!$M$533),"",ReferenceData!$M$533),"")</x:f>
        <x:v>0</x:v>
      </x:c>
      <x:c r="N533">
        <x:f ca="1">IFERROR(IF(0=LEN(ReferenceData!$N$533),"",ReferenceData!$N$533),"")</x:f>
        <x:v>0</x:v>
      </x:c>
      <x:c r="O533">
        <x:f ca="1">IFERROR(IF(0=LEN(ReferenceData!$O$533),"",ReferenceData!$O$533),"")</x:f>
        <x:v>-2.2662849999999999</x:v>
      </x:c>
      <x:c r="P533">
        <x:f ca="1">IFERROR(IF(0=LEN(ReferenceData!$P$533),"",ReferenceData!$P$533),"")</x:f>
        <x:v>0</x:v>
      </x:c>
      <x:c r="Q533">
        <x:f ca="1">IFERROR(IF(0=LEN(ReferenceData!$Q$533),"",ReferenceData!$Q$533),"")</x:f>
        <x:v>-15.36436</x:v>
      </x:c>
      <x:c r="R533">
        <x:f ca="1">IFERROR(IF(0=LEN(ReferenceData!$R$533),"",ReferenceData!$R$533),"")</x:f>
        <x:v>36.430495000000001</x:v>
      </x:c>
      <x:c r="S533">
        <x:f ca="1">IFERROR(IF(0=LEN(ReferenceData!$S$533),"",ReferenceData!$S$533),"")</x:f>
        <x:v>-5.9204049999999997</x:v>
      </x:c>
    </x:row>
    <x:row r="534" spans="1:19" x14ac:dyDescent="0.25">
      <x:c r="A534" t="str">
        <x:f>IFERROR(IF(0=LEN(ReferenceData!$A$534),"",ReferenceData!$A$534),"")</x:f>
        <x:v xml:space="preserve">            MicroSectors FANG+ Index 3X Le</x:v>
      </x:c>
      <x:c r="B534" t="str">
        <x:f>IFERROR(IF(0=LEN(ReferenceData!$B$534),"",ReferenceData!$B$534),"")</x:f>
        <x:v>FNGU US Equity</x:v>
      </x:c>
      <x:c r="C534" t="str">
        <x:f>IFERROR(IF(0=LEN(ReferenceData!$C$534),"",ReferenceData!$C$534),"")</x:f>
        <x:v/>
      </x:c>
      <x:c r="D534" t="str">
        <x:f>IFERROR(IF(0=LEN(ReferenceData!$D$534),"",ReferenceData!$D$534),"")</x:f>
        <x:v/>
      </x:c>
      <x:c r="E534" t="str">
        <x:f>IFERROR(IF(0=LEN(ReferenceData!$E$534),"",ReferenceData!$E$534),"")</x:f>
        <x:v>Expression</x:v>
      </x:c>
      <x:c r="F534">
        <x:f ca="1">IFERROR(IF(0=LEN(ReferenceData!$F$534),"",ReferenceData!$F$534),"")</x:f>
        <x:v>0</x:v>
      </x:c>
      <x:c r="G534">
        <x:f ca="1">IFERROR(IF(0=LEN(ReferenceData!$G$534),"",ReferenceData!$G$534),"")</x:f>
        <x:v>0</x:v>
      </x:c>
      <x:c r="H534">
        <x:f ca="1">IFERROR(IF(0=LEN(ReferenceData!$H$534),"",ReferenceData!$H$534),"")</x:f>
        <x:v>0</x:v>
      </x:c>
      <x:c r="I534">
        <x:f ca="1">IFERROR(IF(0=LEN(ReferenceData!$I$534),"",ReferenceData!$I$534),"")</x:f>
        <x:v>0</x:v>
      </x:c>
      <x:c r="J534">
        <x:f ca="1">IFERROR(IF(0=LEN(ReferenceData!$J$534),"",ReferenceData!$J$534),"")</x:f>
        <x:v>0</x:v>
      </x:c>
      <x:c r="K534">
        <x:f ca="1">IFERROR(IF(0=LEN(ReferenceData!$K$534),"",ReferenceData!$K$534),"")</x:f>
        <x:v>0</x:v>
      </x:c>
      <x:c r="L534">
        <x:f ca="1">IFERROR(IF(0=LEN(ReferenceData!$L$534),"",ReferenceData!$L$534),"")</x:f>
        <x:v>0</x:v>
      </x:c>
      <x:c r="M534">
        <x:f ca="1">IFERROR(IF(0=LEN(ReferenceData!$M$534),"",ReferenceData!$M$534),"")</x:f>
        <x:v>0</x:v>
      </x:c>
      <x:c r="N534">
        <x:f ca="1">IFERROR(IF(0=LEN(ReferenceData!$N$534),"",ReferenceData!$N$534),"")</x:f>
        <x:v>0</x:v>
      </x:c>
      <x:c r="O534">
        <x:f ca="1">IFERROR(IF(0=LEN(ReferenceData!$O$534),"",ReferenceData!$O$534),"")</x:f>
        <x:v>0</x:v>
      </x:c>
      <x:c r="P534">
        <x:f ca="1">IFERROR(IF(0=LEN(ReferenceData!$P$534),"",ReferenceData!$P$534),"")</x:f>
        <x:v>49.917281000000003</x:v>
      </x:c>
      <x:c r="Q534">
        <x:f ca="1">IFERROR(IF(0=LEN(ReferenceData!$Q$534),"",ReferenceData!$Q$534),"")</x:f>
        <x:v>0</x:v>
      </x:c>
      <x:c r="R534">
        <x:f ca="1">IFERROR(IF(0=LEN(ReferenceData!$R$534),"",ReferenceData!$R$534),"")</x:f>
        <x:v>79.425095999999996</x:v>
      </x:c>
      <x:c r="S534">
        <x:f ca="1">IFERROR(IF(0=LEN(ReferenceData!$S$534),"",ReferenceData!$S$534),"")</x:f>
        <x:v>56.804434000000001</x:v>
      </x:c>
    </x:row>
    <x:row r="535" spans="1:19" x14ac:dyDescent="0.25">
      <x:c r="A535" t="str">
        <x:f>IFERROR(IF(0=LEN(ReferenceData!$A$535),"",ReferenceData!$A$535),"")</x:f>
        <x:v xml:space="preserve">            MicroSectors FANG+ Index -3X I</x:v>
      </x:c>
      <x:c r="B535" t="str">
        <x:f>IFERROR(IF(0=LEN(ReferenceData!$B$535),"",ReferenceData!$B$535),"")</x:f>
        <x:v>FNGD US Equity</x:v>
      </x:c>
      <x:c r="C535" t="str">
        <x:f>IFERROR(IF(0=LEN(ReferenceData!$C$535),"",ReferenceData!$C$535),"")</x:f>
        <x:v/>
      </x:c>
      <x:c r="D535" t="str">
        <x:f>IFERROR(IF(0=LEN(ReferenceData!$D$535),"",ReferenceData!$D$535),"")</x:f>
        <x:v/>
      </x:c>
      <x:c r="E535" t="str">
        <x:f>IFERROR(IF(0=LEN(ReferenceData!$E$535),"",ReferenceData!$E$535),"")</x:f>
        <x:v>Expression</x:v>
      </x:c>
      <x:c r="F535">
        <x:f ca="1">IFERROR(IF(0=LEN(ReferenceData!$F$535),"",ReferenceData!$F$535),"")</x:f>
        <x:v>0</x:v>
      </x:c>
      <x:c r="G535">
        <x:f ca="1">IFERROR(IF(0=LEN(ReferenceData!$G$535),"",ReferenceData!$G$535),"")</x:f>
        <x:v>0</x:v>
      </x:c>
      <x:c r="H535">
        <x:f ca="1">IFERROR(IF(0=LEN(ReferenceData!$H$535),"",ReferenceData!$H$535),"")</x:f>
        <x:v>0</x:v>
      </x:c>
      <x:c r="I535">
        <x:f ca="1">IFERROR(IF(0=LEN(ReferenceData!$I$535),"",ReferenceData!$I$535),"")</x:f>
        <x:v>0</x:v>
      </x:c>
      <x:c r="J535">
        <x:f ca="1">IFERROR(IF(0=LEN(ReferenceData!$J$535),"",ReferenceData!$J$535),"")</x:f>
        <x:v>36.812835</x:v>
      </x:c>
      <x:c r="K535">
        <x:f ca="1">IFERROR(IF(0=LEN(ReferenceData!$K$535),"",ReferenceData!$K$535),"")</x:f>
        <x:v>68.453247000000005</x:v>
      </x:c>
      <x:c r="L535">
        <x:f ca="1">IFERROR(IF(0=LEN(ReferenceData!$L$535),"",ReferenceData!$L$535),"")</x:f>
        <x:v>71.547945999999996</x:v>
      </x:c>
      <x:c r="M535">
        <x:f ca="1">IFERROR(IF(0=LEN(ReferenceData!$M$535),"",ReferenceData!$M$535),"")</x:f>
        <x:v>58.001727000000002</x:v>
      </x:c>
      <x:c r="N535">
        <x:f ca="1">IFERROR(IF(0=LEN(ReferenceData!$N$535),"",ReferenceData!$N$535),"")</x:f>
        <x:v>0</x:v>
      </x:c>
      <x:c r="O535">
        <x:f ca="1">IFERROR(IF(0=LEN(ReferenceData!$O$535),"",ReferenceData!$O$535),"")</x:f>
        <x:v>71.877253999999994</x:v>
      </x:c>
      <x:c r="P535">
        <x:f ca="1">IFERROR(IF(0=LEN(ReferenceData!$P$535),"",ReferenceData!$P$535),"")</x:f>
        <x:v>17.792748</x:v>
      </x:c>
      <x:c r="Q535">
        <x:f ca="1">IFERROR(IF(0=LEN(ReferenceData!$Q$535),"",ReferenceData!$Q$535),"")</x:f>
        <x:v>0</x:v>
      </x:c>
      <x:c r="R535">
        <x:f ca="1">IFERROR(IF(0=LEN(ReferenceData!$R$535),"",ReferenceData!$R$535),"")</x:f>
        <x:v>0</x:v>
      </x:c>
      <x:c r="S535">
        <x:f ca="1">IFERROR(IF(0=LEN(ReferenceData!$S$535),"",ReferenceData!$S$535),"")</x:f>
        <x:v>0</x:v>
      </x:c>
    </x:row>
    <x:row r="536" spans="1:19" x14ac:dyDescent="0.25">
      <x:c r="A536" t="str">
        <x:f>IFERROR(IF(0=LEN(ReferenceData!$A$536),"",ReferenceData!$A$536),"")</x:f>
        <x:v xml:space="preserve">            MicroSectors FANG Index 2X Lev</x:v>
      </x:c>
      <x:c r="B536" t="str">
        <x:f>IFERROR(IF(0=LEN(ReferenceData!$B$536),"",ReferenceData!$B$536),"")</x:f>
        <x:v>FNGO US Equity</x:v>
      </x:c>
      <x:c r="C536" t="str">
        <x:f>IFERROR(IF(0=LEN(ReferenceData!$C$536),"",ReferenceData!$C$536),"")</x:f>
        <x:v/>
      </x:c>
      <x:c r="D536" t="str">
        <x:f>IFERROR(IF(0=LEN(ReferenceData!$D$536),"",ReferenceData!$D$536),"")</x:f>
        <x:v/>
      </x:c>
      <x:c r="E536" t="str">
        <x:f>IFERROR(IF(0=LEN(ReferenceData!$E$536),"",ReferenceData!$E$536),"")</x:f>
        <x:v>Expression</x:v>
      </x:c>
      <x:c r="F536">
        <x:f ca="1">IFERROR(IF(0=LEN(ReferenceData!$F$536),"",ReferenceData!$F$536),"")</x:f>
        <x:v>0</x:v>
      </x:c>
      <x:c r="G536">
        <x:f ca="1">IFERROR(IF(0=LEN(ReferenceData!$G$536),"",ReferenceData!$G$536),"")</x:f>
        <x:v>0</x:v>
      </x:c>
      <x:c r="H536">
        <x:f ca="1">IFERROR(IF(0=LEN(ReferenceData!$H$536),"",ReferenceData!$H$536),"")</x:f>
        <x:v>0</x:v>
      </x:c>
      <x:c r="I536">
        <x:f ca="1">IFERROR(IF(0=LEN(ReferenceData!$I$536),"",ReferenceData!$I$536),"")</x:f>
        <x:v>0</x:v>
      </x:c>
      <x:c r="J536">
        <x:f ca="1">IFERROR(IF(0=LEN(ReferenceData!$J$536),"",ReferenceData!$J$536),"")</x:f>
        <x:v>0</x:v>
      </x:c>
      <x:c r="K536">
        <x:f ca="1">IFERROR(IF(0=LEN(ReferenceData!$K$536),"",ReferenceData!$K$536),"")</x:f>
        <x:v>0</x:v>
      </x:c>
      <x:c r="L536">
        <x:f ca="1">IFERROR(IF(0=LEN(ReferenceData!$L$536),"",ReferenceData!$L$536),"")</x:f>
        <x:v>0</x:v>
      </x:c>
      <x:c r="M536">
        <x:f ca="1">IFERROR(IF(0=LEN(ReferenceData!$M$536),"",ReferenceData!$M$536),"")</x:f>
        <x:v>0</x:v>
      </x:c>
      <x:c r="N536">
        <x:f ca="1">IFERROR(IF(0=LEN(ReferenceData!$N$536),"",ReferenceData!$N$536),"")</x:f>
        <x:v>0</x:v>
      </x:c>
      <x:c r="O536">
        <x:f ca="1">IFERROR(IF(0=LEN(ReferenceData!$O$536),"",ReferenceData!$O$536),"")</x:f>
        <x:v>0</x:v>
      </x:c>
      <x:c r="P536">
        <x:f ca="1">IFERROR(IF(0=LEN(ReferenceData!$P$536),"",ReferenceData!$P$536),"")</x:f>
        <x:v>0</x:v>
      </x:c>
      <x:c r="Q536">
        <x:f ca="1">IFERROR(IF(0=LEN(ReferenceData!$Q$536),"",ReferenceData!$Q$536),"")</x:f>
        <x:v>0</x:v>
      </x:c>
      <x:c r="R536">
        <x:f ca="1">IFERROR(IF(0=LEN(ReferenceData!$R$536),"",ReferenceData!$R$536),"")</x:f>
        <x:v>0</x:v>
      </x:c>
      <x:c r="S536">
        <x:f ca="1">IFERROR(IF(0=LEN(ReferenceData!$S$536),"",ReferenceData!$S$536),"")</x:f>
        <x:v>0</x:v>
      </x:c>
    </x:row>
    <x:row r="537" spans="1:19" x14ac:dyDescent="0.25">
      <x:c r="A537" t="str">
        <x:f>IFERROR(IF(0=LEN(ReferenceData!$A$537),"",ReferenceData!$A$537),"")</x:f>
        <x:v xml:space="preserve">            MicroSectors FANG Index 2X Inv</x:v>
      </x:c>
      <x:c r="B537" t="str">
        <x:f>IFERROR(IF(0=LEN(ReferenceData!$B$537),"",ReferenceData!$B$537),"")</x:f>
        <x:v>FNGZ US Equity</x:v>
      </x:c>
      <x:c r="C537" t="str">
        <x:f>IFERROR(IF(0=LEN(ReferenceData!$C$537),"",ReferenceData!$C$537),"")</x:f>
        <x:v/>
      </x:c>
      <x:c r="D537" t="str">
        <x:f>IFERROR(IF(0=LEN(ReferenceData!$D$537),"",ReferenceData!$D$537),"")</x:f>
        <x:v/>
      </x:c>
      <x:c r="E537" t="str">
        <x:f>IFERROR(IF(0=LEN(ReferenceData!$E$537),"",ReferenceData!$E$537),"")</x:f>
        <x:v>Expression</x:v>
      </x:c>
      <x:c r="F537" t="str">
        <x:f ca="1">IFERROR(IF(0=LEN(ReferenceData!$F$537),"",ReferenceData!$F$537),"")</x:f>
        <x:v/>
      </x:c>
      <x:c r="G537" t="str">
        <x:f ca="1">IFERROR(IF(0=LEN(ReferenceData!$G$537),"",ReferenceData!$G$537),"")</x:f>
        <x:v/>
      </x:c>
      <x:c r="H537" t="str">
        <x:f ca="1">IFERROR(IF(0=LEN(ReferenceData!$H$537),"",ReferenceData!$H$537),"")</x:f>
        <x:v/>
      </x:c>
      <x:c r="I537" t="str">
        <x:f ca="1">IFERROR(IF(0=LEN(ReferenceData!$I$537),"",ReferenceData!$I$537),"")</x:f>
        <x:v/>
      </x:c>
      <x:c r="J537" t="str">
        <x:f ca="1">IFERROR(IF(0=LEN(ReferenceData!$J$537),"",ReferenceData!$J$537),"")</x:f>
        <x:v/>
      </x:c>
      <x:c r="K537" t="str">
        <x:f ca="1">IFERROR(IF(0=LEN(ReferenceData!$K$537),"",ReferenceData!$K$537),"")</x:f>
        <x:v/>
      </x:c>
      <x:c r="L537" t="str">
        <x:f ca="1">IFERROR(IF(0=LEN(ReferenceData!$L$537),"",ReferenceData!$L$537),"")</x:f>
        <x:v/>
      </x:c>
      <x:c r="M537" t="str">
        <x:f ca="1">IFERROR(IF(0=LEN(ReferenceData!$M$537),"",ReferenceData!$M$537),"")</x:f>
        <x:v/>
      </x:c>
      <x:c r="N537" t="str">
        <x:f ca="1">IFERROR(IF(0=LEN(ReferenceData!$N$537),"",ReferenceData!$N$537),"")</x:f>
        <x:v/>
      </x:c>
      <x:c r="O537" t="str">
        <x:f ca="1">IFERROR(IF(0=LEN(ReferenceData!$O$537),"",ReferenceData!$O$537),"")</x:f>
        <x:v/>
      </x:c>
      <x:c r="P537" t="str">
        <x:f ca="1">IFERROR(IF(0=LEN(ReferenceData!$P$537),"",ReferenceData!$P$537),"")</x:f>
        <x:v/>
      </x:c>
      <x:c r="Q537" t="str">
        <x:f ca="1">IFERROR(IF(0=LEN(ReferenceData!$Q$537),"",ReferenceData!$Q$537),"")</x:f>
        <x:v/>
      </x:c>
      <x:c r="R537" t="str">
        <x:f ca="1">IFERROR(IF(0=LEN(ReferenceData!$R$537),"",ReferenceData!$R$537),"")</x:f>
        <x:v/>
      </x:c>
      <x:c r="S537" t="str">
        <x:f ca="1">IFERROR(IF(0=LEN(ReferenceData!$S$537),"",ReferenceData!$S$537),"")</x:f>
        <x:v/>
      </x:c>
    </x:row>
    <x:row r="538" spans="1:19" x14ac:dyDescent="0.25">
      <x:c r="A538" t="str">
        <x:f>IFERROR(IF(0=LEN(ReferenceData!$A$538),"",ReferenceData!$A$538),"")</x:f>
        <x:v xml:space="preserve">            MicroSectors FANG Index Invers</x:v>
      </x:c>
      <x:c r="B538" t="str">
        <x:f>IFERROR(IF(0=LEN(ReferenceData!$B$538),"",ReferenceData!$B$538),"")</x:f>
        <x:v>GNAF US Equity</x:v>
      </x:c>
      <x:c r="C538" t="str">
        <x:f>IFERROR(IF(0=LEN(ReferenceData!$C$538),"",ReferenceData!$C$538),"")</x:f>
        <x:v/>
      </x:c>
      <x:c r="D538" t="str">
        <x:f>IFERROR(IF(0=LEN(ReferenceData!$D$538),"",ReferenceData!$D$538),"")</x:f>
        <x:v/>
      </x:c>
      <x:c r="E538" t="str">
        <x:f>IFERROR(IF(0=LEN(ReferenceData!$E$538),"",ReferenceData!$E$538),"")</x:f>
        <x:v>Expression</x:v>
      </x:c>
      <x:c r="F538" t="str">
        <x:f ca="1">IFERROR(IF(0=LEN(ReferenceData!$F$538),"",ReferenceData!$F$538),"")</x:f>
        <x:v/>
      </x:c>
      <x:c r="G538" t="str">
        <x:f ca="1">IFERROR(IF(0=LEN(ReferenceData!$G$538),"",ReferenceData!$G$538),"")</x:f>
        <x:v/>
      </x:c>
      <x:c r="H538" t="str">
        <x:f ca="1">IFERROR(IF(0=LEN(ReferenceData!$H$538),"",ReferenceData!$H$538),"")</x:f>
        <x:v/>
      </x:c>
      <x:c r="I538" t="str">
        <x:f ca="1">IFERROR(IF(0=LEN(ReferenceData!$I$538),"",ReferenceData!$I$538),"")</x:f>
        <x:v/>
      </x:c>
      <x:c r="J538" t="str">
        <x:f ca="1">IFERROR(IF(0=LEN(ReferenceData!$J$538),"",ReferenceData!$J$538),"")</x:f>
        <x:v/>
      </x:c>
      <x:c r="K538" t="str">
        <x:f ca="1">IFERROR(IF(0=LEN(ReferenceData!$K$538),"",ReferenceData!$K$538),"")</x:f>
        <x:v/>
      </x:c>
      <x:c r="L538" t="str">
        <x:f ca="1">IFERROR(IF(0=LEN(ReferenceData!$L$538),"",ReferenceData!$L$538),"")</x:f>
        <x:v/>
      </x:c>
      <x:c r="M538" t="str">
        <x:f ca="1">IFERROR(IF(0=LEN(ReferenceData!$M$538),"",ReferenceData!$M$538),"")</x:f>
        <x:v/>
      </x:c>
      <x:c r="N538" t="str">
        <x:f ca="1">IFERROR(IF(0=LEN(ReferenceData!$N$538),"",ReferenceData!$N$538),"")</x:f>
        <x:v/>
      </x:c>
      <x:c r="O538" t="str">
        <x:f ca="1">IFERROR(IF(0=LEN(ReferenceData!$O$538),"",ReferenceData!$O$538),"")</x:f>
        <x:v/>
      </x:c>
      <x:c r="P538" t="str">
        <x:f ca="1">IFERROR(IF(0=LEN(ReferenceData!$P$538),"",ReferenceData!$P$538),"")</x:f>
        <x:v/>
      </x:c>
      <x:c r="Q538" t="str">
        <x:f ca="1">IFERROR(IF(0=LEN(ReferenceData!$Q$538),"",ReferenceData!$Q$538),"")</x:f>
        <x:v/>
      </x:c>
      <x:c r="R538" t="str">
        <x:f ca="1">IFERROR(IF(0=LEN(ReferenceData!$R$538),"",ReferenceData!$R$538),"")</x:f>
        <x:v/>
      </x:c>
      <x:c r="S538" t="str">
        <x:f ca="1">IFERROR(IF(0=LEN(ReferenceData!$S$538),"",ReferenceData!$S$538),"")</x:f>
        <x:v/>
      </x:c>
    </x:row>
    <x:row r="539" spans="1:19" x14ac:dyDescent="0.25">
      <x:c r="A539" t="str">
        <x:f>IFERROR(IF(0=LEN(ReferenceData!$A$539),"",ReferenceData!$A$539),"")</x:f>
        <x:v xml:space="preserve">            ProShares S&amp;P Technology Divid</x:v>
      </x:c>
      <x:c r="B539" t="str">
        <x:f>IFERROR(IF(0=LEN(ReferenceData!$B$539),"",ReferenceData!$B$539),"")</x:f>
        <x:v>TDV US Equity</x:v>
      </x:c>
      <x:c r="C539" t="str">
        <x:f>IFERROR(IF(0=LEN(ReferenceData!$C$539),"",ReferenceData!$C$539),"")</x:f>
        <x:v/>
      </x:c>
      <x:c r="D539" t="str">
        <x:f>IFERROR(IF(0=LEN(ReferenceData!$D$539),"",ReferenceData!$D$539),"")</x:f>
        <x:v/>
      </x:c>
      <x:c r="E539" t="str">
        <x:f>IFERROR(IF(0=LEN(ReferenceData!$E$539),"",ReferenceData!$E$539),"")</x:f>
        <x:v>Expression</x:v>
      </x:c>
      <x:c r="F539">
        <x:f ca="1">IFERROR(IF(0=LEN(ReferenceData!$F$539),"",ReferenceData!$F$539),"")</x:f>
        <x:v>3.7261299999999999</x:v>
      </x:c>
      <x:c r="G539">
        <x:f ca="1">IFERROR(IF(0=LEN(ReferenceData!$G$539),"",ReferenceData!$G$539),"")</x:f>
        <x:v>7.4143100000000004</x:v>
      </x:c>
      <x:c r="H539">
        <x:f ca="1">IFERROR(IF(0=LEN(ReferenceData!$H$539),"",ReferenceData!$H$539),"")</x:f>
        <x:v>2.5844550000000002</x:v>
      </x:c>
      <x:c r="I539">
        <x:f ca="1">IFERROR(IF(0=LEN(ReferenceData!$I$539),"",ReferenceData!$I$539),"")</x:f>
        <x:v>14.437315999999999</x:v>
      </x:c>
      <x:c r="J539">
        <x:f ca="1">IFERROR(IF(0=LEN(ReferenceData!$J$539),"",ReferenceData!$J$539),"")</x:f>
        <x:v>12.095122</x:v>
      </x:c>
      <x:c r="K539">
        <x:f ca="1">IFERROR(IF(0=LEN(ReferenceData!$K$539),"",ReferenceData!$K$539),"")</x:f>
        <x:v>2.6740430000000002</x:v>
      </x:c>
      <x:c r="L539">
        <x:f ca="1">IFERROR(IF(0=LEN(ReferenceData!$L$539),"",ReferenceData!$L$539),"")</x:f>
        <x:v>16.36768</x:v>
      </x:c>
      <x:c r="M539">
        <x:f ca="1">IFERROR(IF(0=LEN(ReferenceData!$M$539),"",ReferenceData!$M$539),"")</x:f>
        <x:v>16.186178000000002</x:v>
      </x:c>
      <x:c r="N539">
        <x:f ca="1">IFERROR(IF(0=LEN(ReferenceData!$N$539),"",ReferenceData!$N$539),"")</x:f>
        <x:v>7.5765849999999997</x:v>
      </x:c>
      <x:c r="O539">
        <x:f ca="1">IFERROR(IF(0=LEN(ReferenceData!$O$539),"",ReferenceData!$O$539),"")</x:f>
        <x:v>6.5948440000000002</x:v>
      </x:c>
      <x:c r="P539">
        <x:f ca="1">IFERROR(IF(0=LEN(ReferenceData!$P$539),"",ReferenceData!$P$539),"")</x:f>
        <x:v>2.335753</x:v>
      </x:c>
      <x:c r="Q539">
        <x:f ca="1">IFERROR(IF(0=LEN(ReferenceData!$Q$539),"",ReferenceData!$Q$539),"")</x:f>
        <x:v>-5.9512289999999997</x:v>
      </x:c>
      <x:c r="R539">
        <x:f ca="1">IFERROR(IF(0=LEN(ReferenceData!$R$539),"",ReferenceData!$R$539),"")</x:f>
        <x:v>2.2673179999999999</x:v>
      </x:c>
      <x:c r="S539">
        <x:f ca="1">IFERROR(IF(0=LEN(ReferenceData!$S$539),"",ReferenceData!$S$539),"")</x:f>
        <x:v>4.6841080000000002</x:v>
      </x:c>
    </x:row>
    <x:row r="540" spans="1:19" x14ac:dyDescent="0.25">
      <x:c r="A540" t="str">
        <x:f>IFERROR(IF(0=LEN(ReferenceData!$A$540),"",ReferenceData!$A$540),"")</x:f>
        <x:v xml:space="preserve">            WisdomTree Growth Leaders Fund</x:v>
      </x:c>
      <x:c r="B540" t="str">
        <x:f>IFERROR(IF(0=LEN(ReferenceData!$B$540),"",ReferenceData!$B$540),"")</x:f>
        <x:v>PLAT US Equity</x:v>
      </x:c>
      <x:c r="C540" t="str">
        <x:f>IFERROR(IF(0=LEN(ReferenceData!$C$540),"",ReferenceData!$C$540),"")</x:f>
        <x:v/>
      </x:c>
      <x:c r="D540" t="str">
        <x:f>IFERROR(IF(0=LEN(ReferenceData!$D$540),"",ReferenceData!$D$540),"")</x:f>
        <x:v/>
      </x:c>
      <x:c r="E540" t="str">
        <x:f>IFERROR(IF(0=LEN(ReferenceData!$E$540),"",ReferenceData!$E$540),"")</x:f>
        <x:v>Expression</x:v>
      </x:c>
      <x:c r="F540" t="str">
        <x:f ca="1">IFERROR(IF(0=LEN(ReferenceData!$F$540),"",ReferenceData!$F$540),"")</x:f>
        <x:v/>
      </x:c>
      <x:c r="G540">
        <x:f ca="1">IFERROR(IF(0=LEN(ReferenceData!$G$540),"",ReferenceData!$G$540),"")</x:f>
        <x:v>-2.1903009999999998</x:v>
      </x:c>
      <x:c r="H540">
        <x:f ca="1">IFERROR(IF(0=LEN(ReferenceData!$H$540),"",ReferenceData!$H$540),"")</x:f>
        <x:v>-1.3223910000000001</x:v>
      </x:c>
      <x:c r="I540">
        <x:f ca="1">IFERROR(IF(0=LEN(ReferenceData!$I$540),"",ReferenceData!$I$540),"")</x:f>
        <x:v>0</x:v>
      </x:c>
      <x:c r="J540">
        <x:f ca="1">IFERROR(IF(0=LEN(ReferenceData!$J$540),"",ReferenceData!$J$540),"")</x:f>
        <x:v>0</x:v>
      </x:c>
      <x:c r="K540">
        <x:f ca="1">IFERROR(IF(0=LEN(ReferenceData!$K$540),"",ReferenceData!$K$540),"")</x:f>
        <x:v>0</x:v>
      </x:c>
      <x:c r="L540">
        <x:f ca="1">IFERROR(IF(0=LEN(ReferenceData!$L$540),"",ReferenceData!$L$540),"")</x:f>
        <x:v>0</x:v>
      </x:c>
      <x:c r="M540">
        <x:f ca="1">IFERROR(IF(0=LEN(ReferenceData!$M$540),"",ReferenceData!$M$540),"")</x:f>
        <x:v>0</x:v>
      </x:c>
      <x:c r="N540">
        <x:f ca="1">IFERROR(IF(0=LEN(ReferenceData!$N$540),"",ReferenceData!$N$540),"")</x:f>
        <x:v>0</x:v>
      </x:c>
      <x:c r="O540">
        <x:f ca="1">IFERROR(IF(0=LEN(ReferenceData!$O$540),"",ReferenceData!$O$540),"")</x:f>
        <x:v>0.81361600000000001</x:v>
      </x:c>
      <x:c r="P540">
        <x:f ca="1">IFERROR(IF(0=LEN(ReferenceData!$P$540),"",ReferenceData!$P$540),"")</x:f>
        <x:v>0</x:v>
      </x:c>
      <x:c r="Q540">
        <x:f ca="1">IFERROR(IF(0=LEN(ReferenceData!$Q$540),"",ReferenceData!$Q$540),"")</x:f>
        <x:v>-0.98200200000000004</x:v>
      </x:c>
      <x:c r="R540">
        <x:f ca="1">IFERROR(IF(0=LEN(ReferenceData!$R$540),"",ReferenceData!$R$540),"")</x:f>
        <x:v>0</x:v>
      </x:c>
      <x:c r="S540">
        <x:f ca="1">IFERROR(IF(0=LEN(ReferenceData!$S$540),"",ReferenceData!$S$540),"")</x:f>
        <x:v>0</x:v>
      </x:c>
    </x:row>
    <x:row r="541" spans="1:19" x14ac:dyDescent="0.25">
      <x:c r="A541" t="str">
        <x:f>IFERROR(IF(0=LEN(ReferenceData!$A$541),"",ReferenceData!$A$541),"")</x:f>
        <x:v xml:space="preserve">            iShares US Tech Breakthrough M</x:v>
      </x:c>
      <x:c r="B541" t="str">
        <x:f>IFERROR(IF(0=LEN(ReferenceData!$B$541),"",ReferenceData!$B$541),"")</x:f>
        <x:v>TECB US Equity</x:v>
      </x:c>
      <x:c r="C541" t="str">
        <x:f>IFERROR(IF(0=LEN(ReferenceData!$C$541),"",ReferenceData!$C$541),"")</x:f>
        <x:v/>
      </x:c>
      <x:c r="D541" t="str">
        <x:f>IFERROR(IF(0=LEN(ReferenceData!$D$541),"",ReferenceData!$D$541),"")</x:f>
        <x:v/>
      </x:c>
      <x:c r="E541" t="str">
        <x:f>IFERROR(IF(0=LEN(ReferenceData!$E$541),"",ReferenceData!$E$541),"")</x:f>
        <x:v>Expression</x:v>
      </x:c>
      <x:c r="F541">
        <x:f ca="1">IFERROR(IF(0=LEN(ReferenceData!$F$541),"",ReferenceData!$F$541),"")</x:f>
        <x:v>-9.0779870000000003</x:v>
      </x:c>
      <x:c r="G541">
        <x:f ca="1">IFERROR(IF(0=LEN(ReferenceData!$G$541),"",ReferenceData!$G$541),"")</x:f>
        <x:v>-3.6692779999999998</x:v>
      </x:c>
      <x:c r="H541">
        <x:f ca="1">IFERROR(IF(0=LEN(ReferenceData!$H$541),"",ReferenceData!$H$541),"")</x:f>
        <x:v>0</x:v>
      </x:c>
      <x:c r="I541">
        <x:f ca="1">IFERROR(IF(0=LEN(ReferenceData!$I$541),"",ReferenceData!$I$541),"")</x:f>
        <x:v>1.886865</x:v>
      </x:c>
      <x:c r="J541">
        <x:f ca="1">IFERROR(IF(0=LEN(ReferenceData!$J$541),"",ReferenceData!$J$541),"")</x:f>
        <x:v>-90.692570000000003</x:v>
      </x:c>
      <x:c r="K541">
        <x:f ca="1">IFERROR(IF(0=LEN(ReferenceData!$K$541),"",ReferenceData!$K$541),"")</x:f>
        <x:v>5.3154450000000004</x:v>
      </x:c>
      <x:c r="L541">
        <x:f ca="1">IFERROR(IF(0=LEN(ReferenceData!$L$541),"",ReferenceData!$L$541),"")</x:f>
        <x:v>-20.38607</x:v>
      </x:c>
      <x:c r="M541">
        <x:f ca="1">IFERROR(IF(0=LEN(ReferenceData!$M$541),"",ReferenceData!$M$541),"")</x:f>
        <x:v>0</x:v>
      </x:c>
      <x:c r="N541">
        <x:f ca="1">IFERROR(IF(0=LEN(ReferenceData!$N$541),"",ReferenceData!$N$541),"")</x:f>
        <x:v>-4.7341850000000001</x:v>
      </x:c>
      <x:c r="O541">
        <x:f ca="1">IFERROR(IF(0=LEN(ReferenceData!$O$541),"",ReferenceData!$O$541),"")</x:f>
        <x:v>0</x:v>
      </x:c>
      <x:c r="P541">
        <x:f ca="1">IFERROR(IF(0=LEN(ReferenceData!$P$541),"",ReferenceData!$P$541),"")</x:f>
        <x:v>-1.51258</x:v>
      </x:c>
      <x:c r="Q541">
        <x:f ca="1">IFERROR(IF(0=LEN(ReferenceData!$Q$541),"",ReferenceData!$Q$541),"")</x:f>
        <x:v>-1.4620599999999999</x:v>
      </x:c>
      <x:c r="R541">
        <x:f ca="1">IFERROR(IF(0=LEN(ReferenceData!$R$541),"",ReferenceData!$R$541),"")</x:f>
        <x:v>0</x:v>
      </x:c>
      <x:c r="S541">
        <x:f ca="1">IFERROR(IF(0=LEN(ReferenceData!$S$541),"",ReferenceData!$S$541),"")</x:f>
        <x:v>-2.6249600000000002</x:v>
      </x:c>
    </x:row>
    <x:row r="542" spans="1:19" x14ac:dyDescent="0.25">
      <x:c r="A542" t="str">
        <x:f>IFERROR(IF(0=LEN(ReferenceData!$A$542),"",ReferenceData!$A$542),"")</x:f>
        <x:v xml:space="preserve">            MicroSectors FANG+ ETNs</x:v>
      </x:c>
      <x:c r="B542" t="str">
        <x:f>IFERROR(IF(0=LEN(ReferenceData!$B$542),"",ReferenceData!$B$542),"")</x:f>
        <x:v>FNGS US Equity</x:v>
      </x:c>
      <x:c r="C542" t="str">
        <x:f>IFERROR(IF(0=LEN(ReferenceData!$C$542),"",ReferenceData!$C$542),"")</x:f>
        <x:v/>
      </x:c>
      <x:c r="D542" t="str">
        <x:f>IFERROR(IF(0=LEN(ReferenceData!$D$542),"",ReferenceData!$D$542),"")</x:f>
        <x:v/>
      </x:c>
      <x:c r="E542" t="str">
        <x:f>IFERROR(IF(0=LEN(ReferenceData!$E$542),"",ReferenceData!$E$542),"")</x:f>
        <x:v>Expression</x:v>
      </x:c>
      <x:c r="F542">
        <x:f ca="1">IFERROR(IF(0=LEN(ReferenceData!$F$542),"",ReferenceData!$F$542),"")</x:f>
        <x:v>17.714295</x:v>
      </x:c>
      <x:c r="G542">
        <x:f ca="1">IFERROR(IF(0=LEN(ReferenceData!$G$542),"",ReferenceData!$G$542),"")</x:f>
        <x:v>0</x:v>
      </x:c>
      <x:c r="H542">
        <x:f ca="1">IFERROR(IF(0=LEN(ReferenceData!$H$542),"",ReferenceData!$H$542),"")</x:f>
        <x:v>0</x:v>
      </x:c>
      <x:c r="I542">
        <x:f ca="1">IFERROR(IF(0=LEN(ReferenceData!$I$542),"",ReferenceData!$I$542),"")</x:f>
        <x:v>0</x:v>
      </x:c>
      <x:c r="J542">
        <x:f ca="1">IFERROR(IF(0=LEN(ReferenceData!$J$542),"",ReferenceData!$J$542),"")</x:f>
        <x:v>0</x:v>
      </x:c>
      <x:c r="K542">
        <x:f ca="1">IFERROR(IF(0=LEN(ReferenceData!$K$542),"",ReferenceData!$K$542),"")</x:f>
        <x:v>52.669012000000002</x:v>
      </x:c>
      <x:c r="L542">
        <x:f ca="1">IFERROR(IF(0=LEN(ReferenceData!$L$542),"",ReferenceData!$L$542),"")</x:f>
        <x:v>0</x:v>
      </x:c>
      <x:c r="M542">
        <x:f ca="1">IFERROR(IF(0=LEN(ReferenceData!$M$542),"",ReferenceData!$M$542),"")</x:f>
        <x:v>0</x:v>
      </x:c>
      <x:c r="N542">
        <x:f ca="1">IFERROR(IF(0=LEN(ReferenceData!$N$542),"",ReferenceData!$N$542),"")</x:f>
        <x:v>0</x:v>
      </x:c>
      <x:c r="O542">
        <x:f ca="1">IFERROR(IF(0=LEN(ReferenceData!$O$542),"",ReferenceData!$O$542),"")</x:f>
        <x:v>0</x:v>
      </x:c>
      <x:c r="P542">
        <x:f ca="1">IFERROR(IF(0=LEN(ReferenceData!$P$542),"",ReferenceData!$P$542),"")</x:f>
        <x:v>0</x:v>
      </x:c>
      <x:c r="Q542">
        <x:f ca="1">IFERROR(IF(0=LEN(ReferenceData!$Q$542),"",ReferenceData!$Q$542),"")</x:f>
        <x:v>0</x:v>
      </x:c>
      <x:c r="R542">
        <x:f ca="1">IFERROR(IF(0=LEN(ReferenceData!$R$542),"",ReferenceData!$R$542),"")</x:f>
        <x:v>0</x:v>
      </x:c>
      <x:c r="S542">
        <x:f ca="1">IFERROR(IF(0=LEN(ReferenceData!$S$542),"",ReferenceData!$S$542),"")</x:f>
        <x:v>0</x:v>
      </x:c>
    </x:row>
    <x:row r="543" spans="1:19" x14ac:dyDescent="0.25">
      <x:c r="A543" t="str">
        <x:f>IFERROR(IF(0=LEN(ReferenceData!$A$543),"",ReferenceData!$A$543),"")</x:f>
        <x:v xml:space="preserve">            First Trust Expanded Technolog</x:v>
      </x:c>
      <x:c r="B543" t="str">
        <x:f>IFERROR(IF(0=LEN(ReferenceData!$B$543),"",ReferenceData!$B$543),"")</x:f>
        <x:v>XPND US Equity</x:v>
      </x:c>
      <x:c r="C543" t="str">
        <x:f>IFERROR(IF(0=LEN(ReferenceData!$C$543),"",ReferenceData!$C$543),"")</x:f>
        <x:v/>
      </x:c>
      <x:c r="D543" t="str">
        <x:f>IFERROR(IF(0=LEN(ReferenceData!$D$543),"",ReferenceData!$D$543),"")</x:f>
        <x:v/>
      </x:c>
      <x:c r="E543" t="str">
        <x:f>IFERROR(IF(0=LEN(ReferenceData!$E$543),"",ReferenceData!$E$543),"")</x:f>
        <x:v>Expression</x:v>
      </x:c>
      <x:c r="F543">
        <x:f ca="1">IFERROR(IF(0=LEN(ReferenceData!$F$543),"",ReferenceData!$F$543),"")</x:f>
        <x:v>3.3811200000000001</x:v>
      </x:c>
      <x:c r="G543">
        <x:f ca="1">IFERROR(IF(0=LEN(ReferenceData!$G$543),"",ReferenceData!$G$543),"")</x:f>
        <x:v>0</x:v>
      </x:c>
      <x:c r="H543">
        <x:f ca="1">IFERROR(IF(0=LEN(ReferenceData!$H$543),"",ReferenceData!$H$543),"")</x:f>
        <x:v>0</x:v>
      </x:c>
      <x:c r="I543">
        <x:f ca="1">IFERROR(IF(0=LEN(ReferenceData!$I$543),"",ReferenceData!$I$543),"")</x:f>
        <x:v>0</x:v>
      </x:c>
      <x:c r="J543">
        <x:f ca="1">IFERROR(IF(0=LEN(ReferenceData!$J$543),"",ReferenceData!$J$543),"")</x:f>
        <x:v>0</x:v>
      </x:c>
      <x:c r="K543">
        <x:f ca="1">IFERROR(IF(0=LEN(ReferenceData!$K$543),"",ReferenceData!$K$543),"")</x:f>
        <x:v>-2.0234999999999999</x:v>
      </x:c>
      <x:c r="L543">
        <x:f ca="1">IFERROR(IF(0=LEN(ReferenceData!$L$543),"",ReferenceData!$L$543),"")</x:f>
        <x:v>0.98499999999999999</x:v>
      </x:c>
      <x:c r="M543">
        <x:f ca="1">IFERROR(IF(0=LEN(ReferenceData!$M$543),"",ReferenceData!$M$543),"")</x:f>
        <x:v>0</x:v>
      </x:c>
      <x:c r="N543">
        <x:f ca="1">IFERROR(IF(0=LEN(ReferenceData!$N$543),"",ReferenceData!$N$543),"")</x:f>
        <x:v>0</x:v>
      </x:c>
      <x:c r="O543">
        <x:f ca="1">IFERROR(IF(0=LEN(ReferenceData!$O$543),"",ReferenceData!$O$543),"")</x:f>
        <x:v>0</x:v>
      </x:c>
      <x:c r="P543">
        <x:f ca="1">IFERROR(IF(0=LEN(ReferenceData!$P$543),"",ReferenceData!$P$543),"")</x:f>
        <x:v>-11.323</x:v>
      </x:c>
      <x:c r="Q543">
        <x:f ca="1">IFERROR(IF(0=LEN(ReferenceData!$Q$543),"",ReferenceData!$Q$543),"")</x:f>
        <x:v>-0.80355100000000002</x:v>
      </x:c>
      <x:c r="R543">
        <x:f ca="1">IFERROR(IF(0=LEN(ReferenceData!$R$543),"",ReferenceData!$R$543),"")</x:f>
        <x:v>0</x:v>
      </x:c>
      <x:c r="S543">
        <x:f ca="1">IFERROR(IF(0=LEN(ReferenceData!$S$543),"",ReferenceData!$S$543),"")</x:f>
        <x:v>2.3462350000000001</x:v>
      </x:c>
    </x:row>
    <x:row r="544" spans="1:19" x14ac:dyDescent="0.25">
      <x:c r="A544" t="str">
        <x:f>IFERROR(IF(0=LEN(ReferenceData!$A$544),"",ReferenceData!$A$544),"")</x:f>
        <x:v xml:space="preserve">            KraneShares Hang Seng TECH Ind</x:v>
      </x:c>
      <x:c r="B544" t="str">
        <x:f>IFERROR(IF(0=LEN(ReferenceData!$B$544),"",ReferenceData!$B$544),"")</x:f>
        <x:v>KTEC US Equity</x:v>
      </x:c>
      <x:c r="C544" t="str">
        <x:f>IFERROR(IF(0=LEN(ReferenceData!$C$544),"",ReferenceData!$C$544),"")</x:f>
        <x:v/>
      </x:c>
      <x:c r="D544" t="str">
        <x:f>IFERROR(IF(0=LEN(ReferenceData!$D$544),"",ReferenceData!$D$544),"")</x:f>
        <x:v/>
      </x:c>
      <x:c r="E544" t="str">
        <x:f>IFERROR(IF(0=LEN(ReferenceData!$E$544),"",ReferenceData!$E$544),"")</x:f>
        <x:v>Expression</x:v>
      </x:c>
      <x:c r="F544">
        <x:f ca="1">IFERROR(IF(0=LEN(ReferenceData!$F$544),"",ReferenceData!$F$544),"")</x:f>
        <x:v>0</x:v>
      </x:c>
      <x:c r="G544">
        <x:f ca="1">IFERROR(IF(0=LEN(ReferenceData!$G$544),"",ReferenceData!$G$544),"")</x:f>
        <x:v>-0.59</x:v>
      </x:c>
      <x:c r="H544">
        <x:f ca="1">IFERROR(IF(0=LEN(ReferenceData!$H$544),"",ReferenceData!$H$544),"")</x:f>
        <x:v>0</x:v>
      </x:c>
      <x:c r="I544">
        <x:f ca="1">IFERROR(IF(0=LEN(ReferenceData!$I$544),"",ReferenceData!$I$544),"")</x:f>
        <x:v>0</x:v>
      </x:c>
      <x:c r="J544">
        <x:f ca="1">IFERROR(IF(0=LEN(ReferenceData!$J$544),"",ReferenceData!$J$544),"")</x:f>
        <x:v>0</x:v>
      </x:c>
      <x:c r="K544">
        <x:f ca="1">IFERROR(IF(0=LEN(ReferenceData!$K$544),"",ReferenceData!$K$544),"")</x:f>
        <x:v>0</x:v>
      </x:c>
      <x:c r="L544">
        <x:f ca="1">IFERROR(IF(0=LEN(ReferenceData!$L$544),"",ReferenceData!$L$544),"")</x:f>
        <x:v>0</x:v>
      </x:c>
      <x:c r="M544">
        <x:f ca="1">IFERROR(IF(0=LEN(ReferenceData!$M$544),"",ReferenceData!$M$544),"")</x:f>
        <x:v>0</x:v>
      </x:c>
      <x:c r="N544">
        <x:f ca="1">IFERROR(IF(0=LEN(ReferenceData!$N$544),"",ReferenceData!$N$544),"")</x:f>
        <x:v>0</x:v>
      </x:c>
      <x:c r="O544">
        <x:f ca="1">IFERROR(IF(0=LEN(ReferenceData!$O$544),"",ReferenceData!$O$544),"")</x:f>
        <x:v>0</x:v>
      </x:c>
      <x:c r="P544">
        <x:f ca="1">IFERROR(IF(0=LEN(ReferenceData!$P$544),"",ReferenceData!$P$544),"")</x:f>
        <x:v>0</x:v>
      </x:c>
      <x:c r="Q544">
        <x:f ca="1">IFERROR(IF(0=LEN(ReferenceData!$Q$544),"",ReferenceData!$Q$544),"")</x:f>
        <x:v>0</x:v>
      </x:c>
      <x:c r="R544">
        <x:f ca="1">IFERROR(IF(0=LEN(ReferenceData!$R$544),"",ReferenceData!$R$544),"")</x:f>
        <x:v>-2.0489999999999999</x:v>
      </x:c>
      <x:c r="S544">
        <x:f ca="1">IFERROR(IF(0=LEN(ReferenceData!$S$544),"",ReferenceData!$S$544),"")</x:f>
        <x:v>-1.9419999999999999</x:v>
      </x:c>
    </x:row>
    <x:row r="545" spans="1:19" x14ac:dyDescent="0.25">
      <x:c r="A545" t="str">
        <x:f>IFERROR(IF(0=LEN(ReferenceData!$A$545),"",ReferenceData!$A$545),"")</x:f>
        <x:v xml:space="preserve">            Global X NASDAQ 100 Collar 95-</x:v>
      </x:c>
      <x:c r="B545" t="str">
        <x:f>IFERROR(IF(0=LEN(ReferenceData!$B$545),"",ReferenceData!$B$545),"")</x:f>
        <x:v>QCLR US Equity</x:v>
      </x:c>
      <x:c r="C545" t="str">
        <x:f>IFERROR(IF(0=LEN(ReferenceData!$C$545),"",ReferenceData!$C$545),"")</x:f>
        <x:v/>
      </x:c>
      <x:c r="D545" t="str">
        <x:f>IFERROR(IF(0=LEN(ReferenceData!$D$545),"",ReferenceData!$D$545),"")</x:f>
        <x:v/>
      </x:c>
      <x:c r="E545" t="str">
        <x:f>IFERROR(IF(0=LEN(ReferenceData!$E$545),"",ReferenceData!$E$545),"")</x:f>
        <x:v>Expression</x:v>
      </x:c>
      <x:c r="F545">
        <x:f ca="1">IFERROR(IF(0=LEN(ReferenceData!$F$545),"",ReferenceData!$F$545),"")</x:f>
        <x:v>0</x:v>
      </x:c>
      <x:c r="G545">
        <x:f ca="1">IFERROR(IF(0=LEN(ReferenceData!$G$545),"",ReferenceData!$G$545),"")</x:f>
        <x:v>-0.23949999999999999</x:v>
      </x:c>
      <x:c r="H545">
        <x:f ca="1">IFERROR(IF(0=LEN(ReferenceData!$H$545),"",ReferenceData!$H$545),"")</x:f>
        <x:v>0</x:v>
      </x:c>
      <x:c r="I545">
        <x:f ca="1">IFERROR(IF(0=LEN(ReferenceData!$I$545),"",ReferenceData!$I$545),"")</x:f>
        <x:v>0</x:v>
      </x:c>
      <x:c r="J545">
        <x:f ca="1">IFERROR(IF(0=LEN(ReferenceData!$J$545),"",ReferenceData!$J$545),"")</x:f>
        <x:v>-0.4924</x:v>
      </x:c>
      <x:c r="K545">
        <x:f ca="1">IFERROR(IF(0=LEN(ReferenceData!$K$545),"",ReferenceData!$K$545),"")</x:f>
        <x:v>0</x:v>
      </x:c>
      <x:c r="L545">
        <x:f ca="1">IFERROR(IF(0=LEN(ReferenceData!$L$545),"",ReferenceData!$L$545),"")</x:f>
        <x:v>0</x:v>
      </x:c>
      <x:c r="M545">
        <x:f ca="1">IFERROR(IF(0=LEN(ReferenceData!$M$545),"",ReferenceData!$M$545),"")</x:f>
        <x:v>0</x:v>
      </x:c>
      <x:c r="N545">
        <x:f ca="1">IFERROR(IF(0=LEN(ReferenceData!$N$545),"",ReferenceData!$N$545),"")</x:f>
        <x:v>-0.44819999999999999</x:v>
      </x:c>
      <x:c r="O545">
        <x:f ca="1">IFERROR(IF(0=LEN(ReferenceData!$O$545),"",ReferenceData!$O$545),"")</x:f>
        <x:v>0</x:v>
      </x:c>
      <x:c r="P545">
        <x:f ca="1">IFERROR(IF(0=LEN(ReferenceData!$P$545),"",ReferenceData!$P$545),"")</x:f>
        <x:v>0</x:v>
      </x:c>
      <x:c r="Q545">
        <x:f ca="1">IFERROR(IF(0=LEN(ReferenceData!$Q$545),"",ReferenceData!$Q$545),"")</x:f>
        <x:v>0</x:v>
      </x:c>
      <x:c r="R545">
        <x:f ca="1">IFERROR(IF(0=LEN(ReferenceData!$R$545),"",ReferenceData!$R$545),"")</x:f>
        <x:v>0</x:v>
      </x:c>
      <x:c r="S545">
        <x:f ca="1">IFERROR(IF(0=LEN(ReferenceData!$S$545),"",ReferenceData!$S$545),"")</x:f>
        <x:v>-0.87480000000000002</x:v>
      </x:c>
    </x:row>
    <x:row r="546" spans="1:19" x14ac:dyDescent="0.25">
      <x:c r="A546" t="str">
        <x:f>IFERROR(IF(0=LEN(ReferenceData!$A$546),"",ReferenceData!$A$546),"")</x:f>
        <x:v xml:space="preserve">            MicroSectors FANG+ ETNs</x:v>
      </x:c>
      <x:c r="B546" t="str">
        <x:f>IFERROR(IF(0=LEN(ReferenceData!$B$546),"",ReferenceData!$B$546),"")</x:f>
        <x:v>FNGS US Equity</x:v>
      </x:c>
      <x:c r="C546" t="str">
        <x:f>IFERROR(IF(0=LEN(ReferenceData!$C$546),"",ReferenceData!$C$546),"")</x:f>
        <x:v/>
      </x:c>
      <x:c r="D546" t="str">
        <x:f>IFERROR(IF(0=LEN(ReferenceData!$D$546),"",ReferenceData!$D$546),"")</x:f>
        <x:v/>
      </x:c>
      <x:c r="E546" t="str">
        <x:f>IFERROR(IF(0=LEN(ReferenceData!$E$546),"",ReferenceData!$E$546),"")</x:f>
        <x:v>Expression</x:v>
      </x:c>
      <x:c r="F546">
        <x:f ca="1">IFERROR(IF(0=LEN(ReferenceData!$F$546),"",ReferenceData!$F$546),"")</x:f>
        <x:v>17.714295</x:v>
      </x:c>
      <x:c r="G546">
        <x:f ca="1">IFERROR(IF(0=LEN(ReferenceData!$G$546),"",ReferenceData!$G$546),"")</x:f>
        <x:v>0</x:v>
      </x:c>
      <x:c r="H546">
        <x:f ca="1">IFERROR(IF(0=LEN(ReferenceData!$H$546),"",ReferenceData!$H$546),"")</x:f>
        <x:v>0</x:v>
      </x:c>
      <x:c r="I546">
        <x:f ca="1">IFERROR(IF(0=LEN(ReferenceData!$I$546),"",ReferenceData!$I$546),"")</x:f>
        <x:v>0</x:v>
      </x:c>
      <x:c r="J546">
        <x:f ca="1">IFERROR(IF(0=LEN(ReferenceData!$J$546),"",ReferenceData!$J$546),"")</x:f>
        <x:v>0</x:v>
      </x:c>
      <x:c r="K546">
        <x:f ca="1">IFERROR(IF(0=LEN(ReferenceData!$K$546),"",ReferenceData!$K$546),"")</x:f>
        <x:v>52.669012000000002</x:v>
      </x:c>
      <x:c r="L546">
        <x:f ca="1">IFERROR(IF(0=LEN(ReferenceData!$L$546),"",ReferenceData!$L$546),"")</x:f>
        <x:v>0</x:v>
      </x:c>
      <x:c r="M546">
        <x:f ca="1">IFERROR(IF(0=LEN(ReferenceData!$M$546),"",ReferenceData!$M$546),"")</x:f>
        <x:v>0</x:v>
      </x:c>
      <x:c r="N546">
        <x:f ca="1">IFERROR(IF(0=LEN(ReferenceData!$N$546),"",ReferenceData!$N$546),"")</x:f>
        <x:v>0</x:v>
      </x:c>
      <x:c r="O546">
        <x:f ca="1">IFERROR(IF(0=LEN(ReferenceData!$O$546),"",ReferenceData!$O$546),"")</x:f>
        <x:v>0</x:v>
      </x:c>
      <x:c r="P546">
        <x:f ca="1">IFERROR(IF(0=LEN(ReferenceData!$P$546),"",ReferenceData!$P$546),"")</x:f>
        <x:v>0</x:v>
      </x:c>
      <x:c r="Q546">
        <x:f ca="1">IFERROR(IF(0=LEN(ReferenceData!$Q$546),"",ReferenceData!$Q$546),"")</x:f>
        <x:v>0</x:v>
      </x:c>
      <x:c r="R546">
        <x:f ca="1">IFERROR(IF(0=LEN(ReferenceData!$R$546),"",ReferenceData!$R$546),"")</x:f>
        <x:v>0</x:v>
      </x:c>
      <x:c r="S546">
        <x:f ca="1">IFERROR(IF(0=LEN(ReferenceData!$S$546),"",ReferenceData!$S$546),"")</x:f>
        <x:v>0</x:v>
      </x:c>
    </x:row>
    <x:row r="547" spans="1:19" x14ac:dyDescent="0.25">
      <x:c r="A547" t="str">
        <x:f>IFERROR(IF(0=LEN(ReferenceData!$A$547),"",ReferenceData!$A$547),"")</x:f>
        <x:v xml:space="preserve">            Global X Nasdaq 100 Risk Manag</x:v>
      </x:c>
      <x:c r="B547" t="str">
        <x:f>IFERROR(IF(0=LEN(ReferenceData!$B$547),"",ReferenceData!$B$547),"")</x:f>
        <x:v>QRMI US Equity</x:v>
      </x:c>
      <x:c r="C547" t="str">
        <x:f>IFERROR(IF(0=LEN(ReferenceData!$C$547),"",ReferenceData!$C$547),"")</x:f>
        <x:v/>
      </x:c>
      <x:c r="D547" t="str">
        <x:f>IFERROR(IF(0=LEN(ReferenceData!$D$547),"",ReferenceData!$D$547),"")</x:f>
        <x:v/>
      </x:c>
      <x:c r="E547" t="str">
        <x:f>IFERROR(IF(0=LEN(ReferenceData!$E$547),"",ReferenceData!$E$547),"")</x:f>
        <x:v>Expression</x:v>
      </x:c>
      <x:c r="F547">
        <x:f ca="1">IFERROR(IF(0=LEN(ReferenceData!$F$547),"",ReferenceData!$F$547),"")</x:f>
        <x:v>-0.50880000000000003</x:v>
      </x:c>
      <x:c r="G547">
        <x:f ca="1">IFERROR(IF(0=LEN(ReferenceData!$G$547),"",ReferenceData!$G$547),"")</x:f>
        <x:v>1.2052</x:v>
      </x:c>
      <x:c r="H547">
        <x:f ca="1">IFERROR(IF(0=LEN(ReferenceData!$H$547),"",ReferenceData!$H$547),"")</x:f>
        <x:v>0</x:v>
      </x:c>
      <x:c r="I547">
        <x:f ca="1">IFERROR(IF(0=LEN(ReferenceData!$I$547),"",ReferenceData!$I$547),"")</x:f>
        <x:v>0.71060000000000001</x:v>
      </x:c>
      <x:c r="J547">
        <x:f ca="1">IFERROR(IF(0=LEN(ReferenceData!$J$547),"",ReferenceData!$J$547),"")</x:f>
        <x:v>0.54910000000000003</x:v>
      </x:c>
      <x:c r="K547">
        <x:f ca="1">IFERROR(IF(0=LEN(ReferenceData!$K$547),"",ReferenceData!$K$547),"")</x:f>
        <x:v>0.72540000000000004</x:v>
      </x:c>
      <x:c r="L547">
        <x:f ca="1">IFERROR(IF(0=LEN(ReferenceData!$L$547),"",ReferenceData!$L$547),"")</x:f>
        <x:v>0.36230000000000001</x:v>
      </x:c>
      <x:c r="M547">
        <x:f ca="1">IFERROR(IF(0=LEN(ReferenceData!$M$547),"",ReferenceData!$M$547),"")</x:f>
        <x:v>0.3609</x:v>
      </x:c>
      <x:c r="N547">
        <x:f ca="1">IFERROR(IF(0=LEN(ReferenceData!$N$547),"",ReferenceData!$N$547),"")</x:f>
        <x:v>0</x:v>
      </x:c>
      <x:c r="O547">
        <x:f ca="1">IFERROR(IF(0=LEN(ReferenceData!$O$547),"",ReferenceData!$O$547),"")</x:f>
        <x:v>0</x:v>
      </x:c>
      <x:c r="P547">
        <x:f ca="1">IFERROR(IF(0=LEN(ReferenceData!$P$547),"",ReferenceData!$P$547),"")</x:f>
        <x:v>-0.1729</x:v>
      </x:c>
      <x:c r="Q547">
        <x:f ca="1">IFERROR(IF(0=LEN(ReferenceData!$Q$547),"",ReferenceData!$Q$547),"")</x:f>
        <x:v>-1.0575000000000001</x:v>
      </x:c>
      <x:c r="R547">
        <x:f ca="1">IFERROR(IF(0=LEN(ReferenceData!$R$547),"",ReferenceData!$R$547),"")</x:f>
        <x:v>-0.5373</x:v>
      </x:c>
      <x:c r="S547">
        <x:f ca="1">IFERROR(IF(0=LEN(ReferenceData!$S$547),"",ReferenceData!$S$547),"")</x:f>
        <x:v>1.46</x:v>
      </x:c>
    </x:row>
    <x:row r="548" spans="1:19" x14ac:dyDescent="0.25">
      <x:c r="A548" t="str">
        <x:f>IFERROR(IF(0=LEN(ReferenceData!$A$548),"",ReferenceData!$A$548),"")</x:f>
        <x:v xml:space="preserve">            Pacer BlueStar Engineering the</x:v>
      </x:c>
      <x:c r="B548" t="str">
        <x:f>IFERROR(IF(0=LEN(ReferenceData!$B$548),"",ReferenceData!$B$548),"")</x:f>
        <x:v>BULD US Equity</x:v>
      </x:c>
      <x:c r="C548" t="str">
        <x:f>IFERROR(IF(0=LEN(ReferenceData!$C$548),"",ReferenceData!$C$548),"")</x:f>
        <x:v/>
      </x:c>
      <x:c r="D548" t="str">
        <x:f>IFERROR(IF(0=LEN(ReferenceData!$D$548),"",ReferenceData!$D$548),"")</x:f>
        <x:v/>
      </x:c>
      <x:c r="E548" t="str">
        <x:f>IFERROR(IF(0=LEN(ReferenceData!$E$548),"",ReferenceData!$E$548),"")</x:f>
        <x:v>Expression</x:v>
      </x:c>
      <x:c r="F548">
        <x:f ca="1">IFERROR(IF(0=LEN(ReferenceData!$F$548),"",ReferenceData!$F$548),"")</x:f>
        <x:v>-0.80198400000000003</x:v>
      </x:c>
      <x:c r="G548">
        <x:f ca="1">IFERROR(IF(0=LEN(ReferenceData!$G$548),"",ReferenceData!$G$548),"")</x:f>
        <x:v>0</x:v>
      </x:c>
      <x:c r="H548">
        <x:f ca="1">IFERROR(IF(0=LEN(ReferenceData!$H$548),"",ReferenceData!$H$548),"")</x:f>
        <x:v>0</x:v>
      </x:c>
      <x:c r="I548">
        <x:f ca="1">IFERROR(IF(0=LEN(ReferenceData!$I$548),"",ReferenceData!$I$548),"")</x:f>
        <x:v>0</x:v>
      </x:c>
      <x:c r="J548">
        <x:f ca="1">IFERROR(IF(0=LEN(ReferenceData!$J$548),"",ReferenceData!$J$548),"")</x:f>
        <x:v>0</x:v>
      </x:c>
      <x:c r="K548">
        <x:f ca="1">IFERROR(IF(0=LEN(ReferenceData!$K$548),"",ReferenceData!$K$548),"")</x:f>
        <x:v>0</x:v>
      </x:c>
      <x:c r="L548">
        <x:f ca="1">IFERROR(IF(0=LEN(ReferenceData!$L$548),"",ReferenceData!$L$548),"")</x:f>
        <x:v>0</x:v>
      </x:c>
      <x:c r="M548">
        <x:f ca="1">IFERROR(IF(0=LEN(ReferenceData!$M$548),"",ReferenceData!$M$548),"")</x:f>
        <x:v>0</x:v>
      </x:c>
      <x:c r="N548">
        <x:f ca="1">IFERROR(IF(0=LEN(ReferenceData!$N$548),"",ReferenceData!$N$548),"")</x:f>
        <x:v>0</x:v>
      </x:c>
      <x:c r="O548">
        <x:f ca="1">IFERROR(IF(0=LEN(ReferenceData!$O$548),"",ReferenceData!$O$548),"")</x:f>
        <x:v>0</x:v>
      </x:c>
      <x:c r="P548">
        <x:f ca="1">IFERROR(IF(0=LEN(ReferenceData!$P$548),"",ReferenceData!$P$548),"")</x:f>
        <x:v>0</x:v>
      </x:c>
      <x:c r="Q548">
        <x:f ca="1">IFERROR(IF(0=LEN(ReferenceData!$Q$548),"",ReferenceData!$Q$548),"")</x:f>
        <x:v>0</x:v>
      </x:c>
      <x:c r="R548">
        <x:f ca="1">IFERROR(IF(0=LEN(ReferenceData!$R$548),"",ReferenceData!$R$548),"")</x:f>
        <x:v>0</x:v>
      </x:c>
      <x:c r="S548">
        <x:f ca="1">IFERROR(IF(0=LEN(ReferenceData!$S$548),"",ReferenceData!$S$548),"")</x:f>
        <x:v>0</x:v>
      </x:c>
    </x:row>
    <x:row r="549" spans="1:19" x14ac:dyDescent="0.25">
      <x:c r="A549" t="str">
        <x:f>IFERROR(IF(0=LEN(ReferenceData!$A$549),"",ReferenceData!$A$549),"")</x:f>
        <x:v xml:space="preserve">            Bitwise Web3 ETF</x:v>
      </x:c>
      <x:c r="B549" t="str">
        <x:f>IFERROR(IF(0=LEN(ReferenceData!$B$549),"",ReferenceData!$B$549),"")</x:f>
        <x:v>BWEB US Equity</x:v>
      </x:c>
      <x:c r="C549" t="str">
        <x:f>IFERROR(IF(0=LEN(ReferenceData!$C$549),"",ReferenceData!$C$549),"")</x:f>
        <x:v/>
      </x:c>
      <x:c r="D549" t="str">
        <x:f>IFERROR(IF(0=LEN(ReferenceData!$D$549),"",ReferenceData!$D$549),"")</x:f>
        <x:v/>
      </x:c>
      <x:c r="E549" t="str">
        <x:f>IFERROR(IF(0=LEN(ReferenceData!$E$549),"",ReferenceData!$E$549),"")</x:f>
        <x:v>Expression</x:v>
      </x:c>
      <x:c r="F549">
        <x:f ca="1">IFERROR(IF(0=LEN(ReferenceData!$F$549),"",ReferenceData!$F$549),"")</x:f>
        <x:v>0</x:v>
      </x:c>
      <x:c r="G549">
        <x:f ca="1">IFERROR(IF(0=LEN(ReferenceData!$G$549),"",ReferenceData!$G$549),"")</x:f>
        <x:v>0</x:v>
      </x:c>
      <x:c r="H549">
        <x:f ca="1">IFERROR(IF(0=LEN(ReferenceData!$H$549),"",ReferenceData!$H$549),"")</x:f>
        <x:v>0</x:v>
      </x:c>
      <x:c r="I549">
        <x:f ca="1">IFERROR(IF(0=LEN(ReferenceData!$I$549),"",ReferenceData!$I$549),"")</x:f>
        <x:v>0</x:v>
      </x:c>
      <x:c r="J549">
        <x:f ca="1">IFERROR(IF(0=LEN(ReferenceData!$J$549),"",ReferenceData!$J$549),"")</x:f>
        <x:v>0</x:v>
      </x:c>
      <x:c r="K549">
        <x:f ca="1">IFERROR(IF(0=LEN(ReferenceData!$K$549),"",ReferenceData!$K$549),"")</x:f>
        <x:v>-4.8599999999999997E-3</x:v>
      </x:c>
      <x:c r="L549">
        <x:f ca="1">IFERROR(IF(0=LEN(ReferenceData!$L$549),"",ReferenceData!$L$549),"")</x:f>
        <x:v>0</x:v>
      </x:c>
      <x:c r="M549">
        <x:f ca="1">IFERROR(IF(0=LEN(ReferenceData!$M$549),"",ReferenceData!$M$549),"")</x:f>
        <x:v>0</x:v>
      </x:c>
      <x:c r="N549">
        <x:f ca="1">IFERROR(IF(0=LEN(ReferenceData!$N$549),"",ReferenceData!$N$549),"")</x:f>
        <x:v>0</x:v>
      </x:c>
      <x:c r="O549">
        <x:f ca="1">IFERROR(IF(0=LEN(ReferenceData!$O$549),"",ReferenceData!$O$549),"")</x:f>
        <x:v>-1.2309600000000001</x:v>
      </x:c>
      <x:c r="P549">
        <x:f ca="1">IFERROR(IF(0=LEN(ReferenceData!$P$549),"",ReferenceData!$P$549),"")</x:f>
        <x:v>0</x:v>
      </x:c>
      <x:c r="Q549">
        <x:f ca="1">IFERROR(IF(0=LEN(ReferenceData!$Q$549),"",ReferenceData!$Q$549),"")</x:f>
        <x:v>-6.1000000000000004E-3</x:v>
      </x:c>
      <x:c r="R549">
        <x:f ca="1">IFERROR(IF(0=LEN(ReferenceData!$R$549),"",ReferenceData!$R$549),"")</x:f>
        <x:v>0</x:v>
      </x:c>
      <x:c r="S549">
        <x:f ca="1">IFERROR(IF(0=LEN(ReferenceData!$S$549),"",ReferenceData!$S$549),"")</x:f>
        <x:v>0</x:v>
      </x:c>
    </x:row>
    <x:row r="550" spans="1:19" x14ac:dyDescent="0.25">
      <x:c r="A550" t="str">
        <x:f>IFERROR(IF(0=LEN(ReferenceData!$A$550),"",ReferenceData!$A$550),"")</x:f>
        <x:v xml:space="preserve">            INQQ The India Internet &amp; Ecom</x:v>
      </x:c>
      <x:c r="B550" t="str">
        <x:f>IFERROR(IF(0=LEN(ReferenceData!$B$550),"",ReferenceData!$B$550),"")</x:f>
        <x:v>INQQ US Equity</x:v>
      </x:c>
      <x:c r="C550" t="str">
        <x:f>IFERROR(IF(0=LEN(ReferenceData!$C$550),"",ReferenceData!$C$550),"")</x:f>
        <x:v/>
      </x:c>
      <x:c r="D550" t="str">
        <x:f>IFERROR(IF(0=LEN(ReferenceData!$D$550),"",ReferenceData!$D$550),"")</x:f>
        <x:v/>
      </x:c>
      <x:c r="E550" t="str">
        <x:f>IFERROR(IF(0=LEN(ReferenceData!$E$550),"",ReferenceData!$E$550),"")</x:f>
        <x:v>Expression</x:v>
      </x:c>
      <x:c r="F550">
        <x:f ca="1">IFERROR(IF(0=LEN(ReferenceData!$F$550),"",ReferenceData!$F$550),"")</x:f>
        <x:v>0</x:v>
      </x:c>
      <x:c r="G550">
        <x:f ca="1">IFERROR(IF(0=LEN(ReferenceData!$G$550),"",ReferenceData!$G$550),"")</x:f>
        <x:v>0</x:v>
      </x:c>
      <x:c r="H550">
        <x:f ca="1">IFERROR(IF(0=LEN(ReferenceData!$H$550),"",ReferenceData!$H$550),"")</x:f>
        <x:v>1.3866000000000001</x:v>
      </x:c>
      <x:c r="I550">
        <x:f ca="1">IFERROR(IF(0=LEN(ReferenceData!$I$550),"",ReferenceData!$I$550),"")</x:f>
        <x:v>1.6134999999999999</x:v>
      </x:c>
      <x:c r="J550">
        <x:f ca="1">IFERROR(IF(0=LEN(ReferenceData!$J$550),"",ReferenceData!$J$550),"")</x:f>
        <x:v>1.327</x:v>
      </x:c>
      <x:c r="K550">
        <x:f ca="1">IFERROR(IF(0=LEN(ReferenceData!$K$550),"",ReferenceData!$K$550),"")</x:f>
        <x:v>2.6389999999999998</x:v>
      </x:c>
      <x:c r="L550">
        <x:f ca="1">IFERROR(IF(0=LEN(ReferenceData!$L$550),"",ReferenceData!$L$550),"")</x:f>
        <x:v>0.30809999999999998</x:v>
      </x:c>
      <x:c r="M550">
        <x:f ca="1">IFERROR(IF(0=LEN(ReferenceData!$M$550),"",ReferenceData!$M$550),"")</x:f>
        <x:v>0.20100000000000001</x:v>
      </x:c>
      <x:c r="N550">
        <x:f ca="1">IFERROR(IF(0=LEN(ReferenceData!$N$550),"",ReferenceData!$N$550),"")</x:f>
        <x:v>0</x:v>
      </x:c>
      <x:c r="O550">
        <x:f ca="1">IFERROR(IF(0=LEN(ReferenceData!$O$550),"",ReferenceData!$O$550),"")</x:f>
        <x:v>0.20699999999999999</x:v>
      </x:c>
      <x:c r="P550">
        <x:f ca="1">IFERROR(IF(0=LEN(ReferenceData!$P$550),"",ReferenceData!$P$550),"")</x:f>
        <x:v>0</x:v>
      </x:c>
      <x:c r="Q550">
        <x:f ca="1">IFERROR(IF(0=LEN(ReferenceData!$Q$550),"",ReferenceData!$Q$550),"")</x:f>
        <x:v>0.55620000000000003</x:v>
      </x:c>
      <x:c r="R550">
        <x:f ca="1">IFERROR(IF(0=LEN(ReferenceData!$R$550),"",ReferenceData!$R$550),"")</x:f>
        <x:v>0</x:v>
      </x:c>
      <x:c r="S550">
        <x:f ca="1">IFERROR(IF(0=LEN(ReferenceData!$S$550),"",ReferenceData!$S$550),"")</x:f>
        <x:v>0</x:v>
      </x:c>
    </x:row>
    <x:row r="551" spans="1:19" x14ac:dyDescent="0.25">
      <x:c r="A551" t="str">
        <x:f>IFERROR(IF(0=LEN(ReferenceData!$A$551),"",ReferenceData!$A$551),"")</x:f>
        <x:v xml:space="preserve">            AXS Short China Internet ETF</x:v>
      </x:c>
      <x:c r="B551" t="str">
        <x:f>IFERROR(IF(0=LEN(ReferenceData!$B$551),"",ReferenceData!$B$551),"")</x:f>
        <x:v>SWEB US Equity</x:v>
      </x:c>
      <x:c r="C551" t="str">
        <x:f>IFERROR(IF(0=LEN(ReferenceData!$C$551),"",ReferenceData!$C$551),"")</x:f>
        <x:v/>
      </x:c>
      <x:c r="D551" t="str">
        <x:f>IFERROR(IF(0=LEN(ReferenceData!$D$551),"",ReferenceData!$D$551),"")</x:f>
        <x:v/>
      </x:c>
      <x:c r="E551" t="str">
        <x:f>IFERROR(IF(0=LEN(ReferenceData!$E$551),"",ReferenceData!$E$551),"")</x:f>
        <x:v>Expression</x:v>
      </x:c>
      <x:c r="F551" t="str">
        <x:f ca="1">IFERROR(IF(0=LEN(ReferenceData!$F$551),"",ReferenceData!$F$551),"")</x:f>
        <x:v/>
      </x:c>
      <x:c r="G551" t="str">
        <x:f ca="1">IFERROR(IF(0=LEN(ReferenceData!$G$551),"",ReferenceData!$G$551),"")</x:f>
        <x:v/>
      </x:c>
      <x:c r="H551" t="str">
        <x:f ca="1">IFERROR(IF(0=LEN(ReferenceData!$H$551),"",ReferenceData!$H$551),"")</x:f>
        <x:v/>
      </x:c>
      <x:c r="I551" t="str">
        <x:f ca="1">IFERROR(IF(0=LEN(ReferenceData!$I$551),"",ReferenceData!$I$551),"")</x:f>
        <x:v/>
      </x:c>
      <x:c r="J551" t="str">
        <x:f ca="1">IFERROR(IF(0=LEN(ReferenceData!$J$551),"",ReferenceData!$J$551),"")</x:f>
        <x:v/>
      </x:c>
      <x:c r="K551">
        <x:f ca="1">IFERROR(IF(0=LEN(ReferenceData!$K$551),"",ReferenceData!$K$551),"")</x:f>
        <x:v>0</x:v>
      </x:c>
      <x:c r="L551">
        <x:f ca="1">IFERROR(IF(0=LEN(ReferenceData!$L$551),"",ReferenceData!$L$551),"")</x:f>
        <x:v>0.31029699999999999</x:v>
      </x:c>
      <x:c r="M551">
        <x:f ca="1">IFERROR(IF(0=LEN(ReferenceData!$M$551),"",ReferenceData!$M$551),"")</x:f>
        <x:v>0</x:v>
      </x:c>
      <x:c r="N551">
        <x:f ca="1">IFERROR(IF(0=LEN(ReferenceData!$N$551),"",ReferenceData!$N$551),"")</x:f>
        <x:v>0</x:v>
      </x:c>
      <x:c r="O551">
        <x:f ca="1">IFERROR(IF(0=LEN(ReferenceData!$O$551),"",ReferenceData!$O$551),"")</x:f>
        <x:v>9.3104999999999993E-2</x:v>
      </x:c>
      <x:c r="P551">
        <x:f ca="1">IFERROR(IF(0=LEN(ReferenceData!$P$551),"",ReferenceData!$P$551),"")</x:f>
        <x:v>-0.76626899999999998</x:v>
      </x:c>
      <x:c r="Q551">
        <x:f ca="1">IFERROR(IF(0=LEN(ReferenceData!$Q$551),"",ReferenceData!$Q$551),"")</x:f>
        <x:v>0</x:v>
      </x:c>
      <x:c r="R551">
        <x:f ca="1">IFERROR(IF(0=LEN(ReferenceData!$R$551),"",ReferenceData!$R$551),"")</x:f>
        <x:v>0</x:v>
      </x:c>
      <x:c r="S551">
        <x:f ca="1">IFERROR(IF(0=LEN(ReferenceData!$S$551),"",ReferenceData!$S$551),"")</x:f>
        <x:v>0</x:v>
      </x:c>
    </x:row>
    <x:row r="552" spans="1:19" x14ac:dyDescent="0.25">
      <x:c r="A552" t="str">
        <x:f>IFERROR(IF(0=LEN(ReferenceData!$A$552),"",ReferenceData!$A$552),"")</x:f>
        <x:v xml:space="preserve">            SoFi Web 3 ETF</x:v>
      </x:c>
      <x:c r="B552" t="str">
        <x:f>IFERROR(IF(0=LEN(ReferenceData!$B$552),"",ReferenceData!$B$552),"")</x:f>
        <x:v>TWEB US Equity</x:v>
      </x:c>
      <x:c r="C552" t="str">
        <x:f>IFERROR(IF(0=LEN(ReferenceData!$C$552),"",ReferenceData!$C$552),"")</x:f>
        <x:v/>
      </x:c>
      <x:c r="D552" t="str">
        <x:f>IFERROR(IF(0=LEN(ReferenceData!$D$552),"",ReferenceData!$D$552),"")</x:f>
        <x:v/>
      </x:c>
      <x:c r="E552" t="str">
        <x:f>IFERROR(IF(0=LEN(ReferenceData!$E$552),"",ReferenceData!$E$552),"")</x:f>
        <x:v>Expression</x:v>
      </x:c>
      <x:c r="F552">
        <x:f ca="1">IFERROR(IF(0=LEN(ReferenceData!$F$552),"",ReferenceData!$F$552),"")</x:f>
        <x:v>0</x:v>
      </x:c>
      <x:c r="G552">
        <x:f ca="1">IFERROR(IF(0=LEN(ReferenceData!$G$552),"",ReferenceData!$G$552),"")</x:f>
        <x:v>0</x:v>
      </x:c>
      <x:c r="H552">
        <x:f ca="1">IFERROR(IF(0=LEN(ReferenceData!$H$552),"",ReferenceData!$H$552),"")</x:f>
        <x:v>0.36453600000000003</x:v>
      </x:c>
      <x:c r="I552">
        <x:f ca="1">IFERROR(IF(0=LEN(ReferenceData!$I$552),"",ReferenceData!$I$552),"")</x:f>
        <x:v>0</x:v>
      </x:c>
      <x:c r="J552">
        <x:f ca="1">IFERROR(IF(0=LEN(ReferenceData!$J$552),"",ReferenceData!$J$552),"")</x:f>
        <x:v>-1.1238E-2</x:v>
      </x:c>
      <x:c r="K552">
        <x:f ca="1">IFERROR(IF(0=LEN(ReferenceData!$K$552),"",ReferenceData!$K$552),"")</x:f>
        <x:v>0</x:v>
      </x:c>
      <x:c r="L552">
        <x:f ca="1">IFERROR(IF(0=LEN(ReferenceData!$L$552),"",ReferenceData!$L$552),"")</x:f>
        <x:v>0</x:v>
      </x:c>
      <x:c r="M552">
        <x:f ca="1">IFERROR(IF(0=LEN(ReferenceData!$M$552),"",ReferenceData!$M$552),"")</x:f>
        <x:v>0.401312</x:v>
      </x:c>
      <x:c r="N552">
        <x:f ca="1">IFERROR(IF(0=LEN(ReferenceData!$N$552),"",ReferenceData!$N$552),"")</x:f>
        <x:v>0</x:v>
      </x:c>
      <x:c r="O552">
        <x:f ca="1">IFERROR(IF(0=LEN(ReferenceData!$O$552),"",ReferenceData!$O$552),"")</x:f>
        <x:v>0</x:v>
      </x:c>
      <x:c r="P552">
        <x:f ca="1">IFERROR(IF(0=LEN(ReferenceData!$P$552),"",ReferenceData!$P$552),"")</x:f>
        <x:v>0</x:v>
      </x:c>
      <x:c r="Q552">
        <x:f ca="1">IFERROR(IF(0=LEN(ReferenceData!$Q$552),"",ReferenceData!$Q$552),"")</x:f>
        <x:v>0</x:v>
      </x:c>
      <x:c r="R552">
        <x:f ca="1">IFERROR(IF(0=LEN(ReferenceData!$R$552),"",ReferenceData!$R$552),"")</x:f>
        <x:v>0</x:v>
      </x:c>
      <x:c r="S552">
        <x:f ca="1">IFERROR(IF(0=LEN(ReferenceData!$S$552),"",ReferenceData!$S$552),"")</x:f>
        <x:v>-6.0219199999999997</x:v>
      </x:c>
    </x:row>
    <x:row r="553" spans="1:19" x14ac:dyDescent="0.25">
      <x:c r="A553" t="str">
        <x:f>IFERROR(IF(0=LEN(ReferenceData!$A$553),"",ReferenceData!$A$553),"")</x:f>
        <x:v xml:space="preserve">            Global X Information Technolog</x:v>
      </x:c>
      <x:c r="B553" t="str">
        <x:f>IFERROR(IF(0=LEN(ReferenceData!$B$553),"",ReferenceData!$B$553),"")</x:f>
        <x:v>TYLG US Equity</x:v>
      </x:c>
      <x:c r="C553" t="str">
        <x:f>IFERROR(IF(0=LEN(ReferenceData!$C$553),"",ReferenceData!$C$553),"")</x:f>
        <x:v/>
      </x:c>
      <x:c r="D553" t="str">
        <x:f>IFERROR(IF(0=LEN(ReferenceData!$D$553),"",ReferenceData!$D$553),"")</x:f>
        <x:v/>
      </x:c>
      <x:c r="E553" t="str">
        <x:f>IFERROR(IF(0=LEN(ReferenceData!$E$553),"",ReferenceData!$E$553),"")</x:f>
        <x:v>Expression</x:v>
      </x:c>
      <x:c r="F553">
        <x:f ca="1">IFERROR(IF(0=LEN(ReferenceData!$F$553),"",ReferenceData!$F$553),"")</x:f>
        <x:v>0</x:v>
      </x:c>
      <x:c r="G553">
        <x:f ca="1">IFERROR(IF(0=LEN(ReferenceData!$G$553),"",ReferenceData!$G$553),"")</x:f>
        <x:v>0</x:v>
      </x:c>
      <x:c r="H553">
        <x:f ca="1">IFERROR(IF(0=LEN(ReferenceData!$H$553),"",ReferenceData!$H$553),"")</x:f>
        <x:v>0</x:v>
      </x:c>
      <x:c r="I553">
        <x:f ca="1">IFERROR(IF(0=LEN(ReferenceData!$I$553),"",ReferenceData!$I$553),"")</x:f>
        <x:v>0</x:v>
      </x:c>
      <x:c r="J553">
        <x:f ca="1">IFERROR(IF(0=LEN(ReferenceData!$J$553),"",ReferenceData!$J$553),"")</x:f>
        <x:v>0.30830000000000002</x:v>
      </x:c>
      <x:c r="K553">
        <x:f ca="1">IFERROR(IF(0=LEN(ReferenceData!$K$553),"",ReferenceData!$K$553),"")</x:f>
        <x:v>0.29470000000000002</x:v>
      </x:c>
      <x:c r="L553">
        <x:f ca="1">IFERROR(IF(0=LEN(ReferenceData!$L$553),"",ReferenceData!$L$553),"")</x:f>
        <x:v>0</x:v>
      </x:c>
      <x:c r="M553">
        <x:f ca="1">IFERROR(IF(0=LEN(ReferenceData!$M$553),"",ReferenceData!$M$553),"")</x:f>
        <x:v>0</x:v>
      </x:c>
      <x:c r="N553">
        <x:f ca="1">IFERROR(IF(0=LEN(ReferenceData!$N$553),"",ReferenceData!$N$553),"")</x:f>
        <x:v>0</x:v>
      </x:c>
      <x:c r="O553">
        <x:f ca="1">IFERROR(IF(0=LEN(ReferenceData!$O$553),"",ReferenceData!$O$553),"")</x:f>
        <x:v>0</x:v>
      </x:c>
      <x:c r="P553">
        <x:f ca="1">IFERROR(IF(0=LEN(ReferenceData!$P$553),"",ReferenceData!$P$553),"")</x:f>
        <x:v>0</x:v>
      </x:c>
      <x:c r="Q553">
        <x:f ca="1">IFERROR(IF(0=LEN(ReferenceData!$Q$553),"",ReferenceData!$Q$553),"")</x:f>
        <x:v>0</x:v>
      </x:c>
      <x:c r="R553">
        <x:f ca="1">IFERROR(IF(0=LEN(ReferenceData!$R$553),"",ReferenceData!$R$553),"")</x:f>
        <x:v>0</x:v>
      </x:c>
      <x:c r="S553" t="str">
        <x:f ca="1">IFERROR(IF(0=LEN(ReferenceData!$S$553),"",ReferenceData!$S$553),"")</x:f>
        <x:v/>
      </x:c>
    </x:row>
    <x:row r="554" spans="1:19" x14ac:dyDescent="0.25">
      <x:c r="A554" t="str">
        <x:f>IFERROR(IF(0=LEN(ReferenceData!$A$554),"",ReferenceData!$A$554),"")</x:f>
        <x:v xml:space="preserve">        Semiconductors</x:v>
      </x:c>
      <x:c r="B554" t="str">
        <x:f>IFERROR(IF(0=LEN(ReferenceData!$B$554),"",ReferenceData!$B$554),"")</x:f>
        <x:v/>
      </x:c>
      <x:c r="C554" t="str">
        <x:f>IFERROR(IF(0=LEN(ReferenceData!$C$554),"",ReferenceData!$C$554),"")</x:f>
        <x:v/>
      </x:c>
      <x:c r="D554" t="str">
        <x:f>IFERROR(IF(0=LEN(ReferenceData!$D$554),"",ReferenceData!$D$554),"")</x:f>
        <x:v/>
      </x:c>
      <x:c r="E554" t="str">
        <x:f>IFERROR(IF(0=LEN(ReferenceData!$E$554),"",ReferenceData!$E$554),"")</x:f>
        <x:v>Sum</x:v>
      </x:c>
      <x:c r="F554">
        <x:f ca="1">IFERROR(IF(0=LEN(ReferenceData!$F$554),"",ReferenceData!$F$554),"")</x:f>
        <x:v>332.93090700000005</x:v>
      </x:c>
      <x:c r="G554">
        <x:f ca="1">IFERROR(IF(0=LEN(ReferenceData!$G$554),"",ReferenceData!$G$554),"")</x:f>
        <x:v>403.93153199999995</x:v>
      </x:c>
      <x:c r="H554">
        <x:f ca="1">IFERROR(IF(0=LEN(ReferenceData!$H$554),"",ReferenceData!$H$554),"")</x:f>
        <x:v>-21.10317199999999</x:v>
      </x:c>
      <x:c r="I554">
        <x:f ca="1">IFERROR(IF(0=LEN(ReferenceData!$I$554),"",ReferenceData!$I$554),"")</x:f>
        <x:v>840.04254500000013</x:v>
      </x:c>
      <x:c r="J554">
        <x:f ca="1">IFERROR(IF(0=LEN(ReferenceData!$J$554),"",ReferenceData!$J$554),"")</x:f>
        <x:v>567.25826399999994</x:v>
      </x:c>
      <x:c r="K554">
        <x:f ca="1">IFERROR(IF(0=LEN(ReferenceData!$K$554),"",ReferenceData!$K$554),"")</x:f>
        <x:v>-591.85841299999993</x:v>
      </x:c>
      <x:c r="L554">
        <x:f ca="1">IFERROR(IF(0=LEN(ReferenceData!$L$554),"",ReferenceData!$L$554),"")</x:f>
        <x:v>293.31547</x:v>
      </x:c>
      <x:c r="M554">
        <x:f ca="1">IFERROR(IF(0=LEN(ReferenceData!$M$554),"",ReferenceData!$M$554),"")</x:f>
        <x:v>-80.175043999999929</x:v>
      </x:c>
      <x:c r="N554">
        <x:f ca="1">IFERROR(IF(0=LEN(ReferenceData!$N$554),"",ReferenceData!$N$554),"")</x:f>
        <x:v>761.46757399999979</x:v>
      </x:c>
      <x:c r="O554">
        <x:f ca="1">IFERROR(IF(0=LEN(ReferenceData!$O$554),"",ReferenceData!$O$554),"")</x:f>
        <x:v>189.346318</x:v>
      </x:c>
      <x:c r="P554">
        <x:f ca="1">IFERROR(IF(0=LEN(ReferenceData!$P$554),"",ReferenceData!$P$554),"")</x:f>
        <x:v>521.43216300000006</x:v>
      </x:c>
      <x:c r="Q554">
        <x:f ca="1">IFERROR(IF(0=LEN(ReferenceData!$Q$554),"",ReferenceData!$Q$554),"")</x:f>
        <x:v>-494.36772100000002</x:v>
      </x:c>
      <x:c r="R554">
        <x:f ca="1">IFERROR(IF(0=LEN(ReferenceData!$R$554),"",ReferenceData!$R$554),"")</x:f>
        <x:v>214.33392699999993</x:v>
      </x:c>
      <x:c r="S554">
        <x:f ca="1">IFERROR(IF(0=LEN(ReferenceData!$S$554),"",ReferenceData!$S$554),"")</x:f>
        <x:v>541.09574699999996</x:v>
      </x:c>
    </x:row>
    <x:row r="555" spans="1:19" x14ac:dyDescent="0.25">
      <x:c r="A555" t="str">
        <x:f>IFERROR(IF(0=LEN(ReferenceData!$A$555),"",ReferenceData!$A$555),"")</x:f>
        <x:v xml:space="preserve">            ProShares Ultra Semiconductors</x:v>
      </x:c>
      <x:c r="B555" t="str">
        <x:f>IFERROR(IF(0=LEN(ReferenceData!$B$555),"",ReferenceData!$B$555),"")</x:f>
        <x:v>USD US Equity</x:v>
      </x:c>
      <x:c r="C555" t="str">
        <x:f>IFERROR(IF(0=LEN(ReferenceData!$C$555),"",ReferenceData!$C$555),"")</x:f>
        <x:v/>
      </x:c>
      <x:c r="D555" t="str">
        <x:f>IFERROR(IF(0=LEN(ReferenceData!$D$555),"",ReferenceData!$D$555),"")</x:f>
        <x:v/>
      </x:c>
      <x:c r="E555" t="str">
        <x:f>IFERROR(IF(0=LEN(ReferenceData!$E$555),"",ReferenceData!$E$555),"")</x:f>
        <x:v>Expression</x:v>
      </x:c>
      <x:c r="F555">
        <x:f ca="1">IFERROR(IF(0=LEN(ReferenceData!$F$555),"",ReferenceData!$F$555),"")</x:f>
        <x:v>1.9954080000000001</x:v>
      </x:c>
      <x:c r="G555">
        <x:f ca="1">IFERROR(IF(0=LEN(ReferenceData!$G$555),"",ReferenceData!$G$555),"")</x:f>
        <x:v>-3.8140350000000001</x:v>
      </x:c>
      <x:c r="H555">
        <x:f ca="1">IFERROR(IF(0=LEN(ReferenceData!$H$555),"",ReferenceData!$H$555),"")</x:f>
        <x:v>19.378437000000002</x:v>
      </x:c>
      <x:c r="I555">
        <x:f ca="1">IFERROR(IF(0=LEN(ReferenceData!$I$555),"",ReferenceData!$I$555),"")</x:f>
        <x:v>4.7206830000000002</x:v>
      </x:c>
      <x:c r="J555">
        <x:f ca="1">IFERROR(IF(0=LEN(ReferenceData!$J$555),"",ReferenceData!$J$555),"")</x:f>
        <x:v>-5.4312529999999999</x:v>
      </x:c>
      <x:c r="K555">
        <x:f ca="1">IFERROR(IF(0=LEN(ReferenceData!$K$555),"",ReferenceData!$K$555),"")</x:f>
        <x:v>0.41950100000000001</x:v>
      </x:c>
      <x:c r="L555">
        <x:f ca="1">IFERROR(IF(0=LEN(ReferenceData!$L$555),"",ReferenceData!$L$555),"")</x:f>
        <x:v>-6.4802770000000001</x:v>
      </x:c>
      <x:c r="M555">
        <x:f ca="1">IFERROR(IF(0=LEN(ReferenceData!$M$555),"",ReferenceData!$M$555),"")</x:f>
        <x:v>-6.2214549999999997</x:v>
      </x:c>
      <x:c r="N555">
        <x:f ca="1">IFERROR(IF(0=LEN(ReferenceData!$N$555),"",ReferenceData!$N$555),"")</x:f>
        <x:v>-0.86645499999999998</x:v>
      </x:c>
      <x:c r="O555">
        <x:f ca="1">IFERROR(IF(0=LEN(ReferenceData!$O$555),"",ReferenceData!$O$555),"")</x:f>
        <x:v>-1.465055</x:v>
      </x:c>
      <x:c r="P555">
        <x:f ca="1">IFERROR(IF(0=LEN(ReferenceData!$P$555),"",ReferenceData!$P$555),"")</x:f>
        <x:v>1.3750420000000001</x:v>
      </x:c>
      <x:c r="Q555">
        <x:f ca="1">IFERROR(IF(0=LEN(ReferenceData!$Q$555),"",ReferenceData!$Q$555),"")</x:f>
        <x:v>-2.2537850000000001</x:v>
      </x:c>
      <x:c r="R555">
        <x:f ca="1">IFERROR(IF(0=LEN(ReferenceData!$R$555),"",ReferenceData!$R$555),"")</x:f>
        <x:v>-5.0839499999999997</x:v>
      </x:c>
      <x:c r="S555">
        <x:f ca="1">IFERROR(IF(0=LEN(ReferenceData!$S$555),"",ReferenceData!$S$555),"")</x:f>
        <x:v>1.032437</x:v>
      </x:c>
    </x:row>
    <x:row r="556" spans="1:19" x14ac:dyDescent="0.25">
      <x:c r="A556" t="str">
        <x:f>IFERROR(IF(0=LEN(ReferenceData!$A$556),"",ReferenceData!$A$556),"")</x:f>
        <x:v xml:space="preserve">            First Trust Nasdaq Semiconduct</x:v>
      </x:c>
      <x:c r="B556" t="str">
        <x:f>IFERROR(IF(0=LEN(ReferenceData!$B$556),"",ReferenceData!$B$556),"")</x:f>
        <x:v>FTXL US Equity</x:v>
      </x:c>
      <x:c r="C556" t="str">
        <x:f>IFERROR(IF(0=LEN(ReferenceData!$C$556),"",ReferenceData!$C$556),"")</x:f>
        <x:v/>
      </x:c>
      <x:c r="D556" t="str">
        <x:f>IFERROR(IF(0=LEN(ReferenceData!$D$556),"",ReferenceData!$D$556),"")</x:f>
        <x:v/>
      </x:c>
      <x:c r="E556" t="str">
        <x:f>IFERROR(IF(0=LEN(ReferenceData!$E$556),"",ReferenceData!$E$556),"")</x:f>
        <x:v>Expression</x:v>
      </x:c>
      <x:c r="F556">
        <x:f ca="1">IFERROR(IF(0=LEN(ReferenceData!$F$556),"",ReferenceData!$F$556),"")</x:f>
        <x:v>-38.031804000000001</x:v>
      </x:c>
      <x:c r="G556">
        <x:f ca="1">IFERROR(IF(0=LEN(ReferenceData!$G$556),"",ReferenceData!$G$556),"")</x:f>
        <x:v>-67.528841999999997</x:v>
      </x:c>
      <x:c r="H556">
        <x:f ca="1">IFERROR(IF(0=LEN(ReferenceData!$H$556),"",ReferenceData!$H$556),"")</x:f>
        <x:v>-34.476762000000001</x:v>
      </x:c>
      <x:c r="I556">
        <x:f ca="1">IFERROR(IF(0=LEN(ReferenceData!$I$556),"",ReferenceData!$I$556),"")</x:f>
        <x:v>37.996000000000002</x:v>
      </x:c>
      <x:c r="J556">
        <x:f ca="1">IFERROR(IF(0=LEN(ReferenceData!$J$556),"",ReferenceData!$J$556),"")</x:f>
        <x:v>22.100999999999999</x:v>
      </x:c>
      <x:c r="K556">
        <x:f ca="1">IFERROR(IF(0=LEN(ReferenceData!$K$556),"",ReferenceData!$K$556),"")</x:f>
        <x:v>34.984000000000002</x:v>
      </x:c>
      <x:c r="L556">
        <x:f ca="1">IFERROR(IF(0=LEN(ReferenceData!$L$556),"",ReferenceData!$L$556),"")</x:f>
        <x:v>19.137217</x:v>
      </x:c>
      <x:c r="M556">
        <x:f ca="1">IFERROR(IF(0=LEN(ReferenceData!$M$556),"",ReferenceData!$M$556),"")</x:f>
        <x:v>25.702221000000002</x:v>
      </x:c>
      <x:c r="N556">
        <x:f ca="1">IFERROR(IF(0=LEN(ReferenceData!$N$556),"",ReferenceData!$N$556),"")</x:f>
        <x:v>840.42607699999996</x:v>
      </x:c>
      <x:c r="O556">
        <x:f ca="1">IFERROR(IF(0=LEN(ReferenceData!$O$556),"",ReferenceData!$O$556),"")</x:f>
        <x:v>14.903865</x:v>
      </x:c>
      <x:c r="P556">
        <x:f ca="1">IFERROR(IF(0=LEN(ReferenceData!$P$556),"",ReferenceData!$P$556),"")</x:f>
        <x:v>-2.99885</x:v>
      </x:c>
      <x:c r="Q556">
        <x:f ca="1">IFERROR(IF(0=LEN(ReferenceData!$Q$556),"",ReferenceData!$Q$556),"")</x:f>
        <x:v>2.6610550000000002</x:v>
      </x:c>
      <x:c r="R556">
        <x:f ca="1">IFERROR(IF(0=LEN(ReferenceData!$R$556),"",ReferenceData!$R$556),"")</x:f>
        <x:v>2.7681170000000002</x:v>
      </x:c>
      <x:c r="S556">
        <x:f ca="1">IFERROR(IF(0=LEN(ReferenceData!$S$556),"",ReferenceData!$S$556),"")</x:f>
        <x:v>2.3996119999999999</x:v>
      </x:c>
    </x:row>
    <x:row r="557" spans="1:19" x14ac:dyDescent="0.25">
      <x:c r="A557" t="str">
        <x:f>IFERROR(IF(0=LEN(ReferenceData!$A$557),"",ReferenceData!$A$557),"")</x:f>
        <x:v xml:space="preserve">            iShares Semiconductor ETF</x:v>
      </x:c>
      <x:c r="B557" t="str">
        <x:f>IFERROR(IF(0=LEN(ReferenceData!$B$557),"",ReferenceData!$B$557),"")</x:f>
        <x:v>SOXX US Equity</x:v>
      </x:c>
      <x:c r="C557" t="str">
        <x:f>IFERROR(IF(0=LEN(ReferenceData!$C$557),"",ReferenceData!$C$557),"")</x:f>
        <x:v/>
      </x:c>
      <x:c r="D557" t="str">
        <x:f>IFERROR(IF(0=LEN(ReferenceData!$D$557),"",ReferenceData!$D$557),"")</x:f>
        <x:v/>
      </x:c>
      <x:c r="E557" t="str">
        <x:f>IFERROR(IF(0=LEN(ReferenceData!$E$557),"",ReferenceData!$E$557),"")</x:f>
        <x:v>Expression</x:v>
      </x:c>
      <x:c r="F557">
        <x:f ca="1">IFERROR(IF(0=LEN(ReferenceData!$F$557),"",ReferenceData!$F$557),"")</x:f>
        <x:v>140.95515900000001</x:v>
      </x:c>
      <x:c r="G557">
        <x:f ca="1">IFERROR(IF(0=LEN(ReferenceData!$G$557),"",ReferenceData!$G$557),"")</x:f>
        <x:v>60.009717000000002</x:v>
      </x:c>
      <x:c r="H557">
        <x:f ca="1">IFERROR(IF(0=LEN(ReferenceData!$H$557),"",ReferenceData!$H$557),"")</x:f>
        <x:v>-200.30193199999999</x:v>
      </x:c>
      <x:c r="I557">
        <x:f ca="1">IFERROR(IF(0=LEN(ReferenceData!$I$557),"",ReferenceData!$I$557),"")</x:f>
        <x:v>512.78744500000005</x:v>
      </x:c>
      <x:c r="J557">
        <x:f ca="1">IFERROR(IF(0=LEN(ReferenceData!$J$557),"",ReferenceData!$J$557),"")</x:f>
        <x:v>-180.25806</x:v>
      </x:c>
      <x:c r="K557">
        <x:f ca="1">IFERROR(IF(0=LEN(ReferenceData!$K$557),"",ReferenceData!$K$557),"")</x:f>
        <x:v>120.77016</x:v>
      </x:c>
      <x:c r="L557">
        <x:f ca="1">IFERROR(IF(0=LEN(ReferenceData!$L$557),"",ReferenceData!$L$557),"")</x:f>
        <x:v>-173.40679499999999</x:v>
      </x:c>
      <x:c r="M557">
        <x:f ca="1">IFERROR(IF(0=LEN(ReferenceData!$M$557),"",ReferenceData!$M$557),"")</x:f>
        <x:v>28.333144999999998</x:v>
      </x:c>
      <x:c r="N557">
        <x:f ca="1">IFERROR(IF(0=LEN(ReferenceData!$N$557),"",ReferenceData!$N$557),"")</x:f>
        <x:v>255.71725000000001</x:v>
      </x:c>
      <x:c r="O557">
        <x:f ca="1">IFERROR(IF(0=LEN(ReferenceData!$O$557),"",ReferenceData!$O$557),"")</x:f>
        <x:v>-43.566009999999999</x:v>
      </x:c>
      <x:c r="P557">
        <x:f ca="1">IFERROR(IF(0=LEN(ReferenceData!$P$557),"",ReferenceData!$P$557),"")</x:f>
        <x:v>63.960684999999998</x:v>
      </x:c>
      <x:c r="Q557">
        <x:f ca="1">IFERROR(IF(0=LEN(ReferenceData!$Q$557),"",ReferenceData!$Q$557),"")</x:f>
        <x:v>-13.12229</x:v>
      </x:c>
      <x:c r="R557">
        <x:f ca="1">IFERROR(IF(0=LEN(ReferenceData!$R$557),"",ReferenceData!$R$557),"")</x:f>
        <x:v>-116.977805</x:v>
      </x:c>
      <x:c r="S557">
        <x:f ca="1">IFERROR(IF(0=LEN(ReferenceData!$S$557),"",ReferenceData!$S$557),"")</x:f>
        <x:v>-42.034179999999999</x:v>
      </x:c>
    </x:row>
    <x:row r="558" spans="1:19" x14ac:dyDescent="0.25">
      <x:c r="A558" t="str">
        <x:f>IFERROR(IF(0=LEN(ReferenceData!$A$558),"",ReferenceData!$A$558),"")</x:f>
        <x:v xml:space="preserve">            VanEck Semiconductor ETF</x:v>
      </x:c>
      <x:c r="B558" t="str">
        <x:f>IFERROR(IF(0=LEN(ReferenceData!$B$558),"",ReferenceData!$B$558),"")</x:f>
        <x:v>SMH US Equity</x:v>
      </x:c>
      <x:c r="C558" t="str">
        <x:f>IFERROR(IF(0=LEN(ReferenceData!$C$558),"",ReferenceData!$C$558),"")</x:f>
        <x:v/>
      </x:c>
      <x:c r="D558" t="str">
        <x:f>IFERROR(IF(0=LEN(ReferenceData!$D$558),"",ReferenceData!$D$558),"")</x:f>
        <x:v/>
      </x:c>
      <x:c r="E558" t="str">
        <x:f>IFERROR(IF(0=LEN(ReferenceData!$E$558),"",ReferenceData!$E$558),"")</x:f>
        <x:v>Expression</x:v>
      </x:c>
      <x:c r="F558">
        <x:f ca="1">IFERROR(IF(0=LEN(ReferenceData!$F$558),"",ReferenceData!$F$558),"")</x:f>
        <x:v>213.94626400000001</x:v>
      </x:c>
      <x:c r="G558">
        <x:f ca="1">IFERROR(IF(0=LEN(ReferenceData!$G$558),"",ReferenceData!$G$558),"")</x:f>
        <x:v>300.87933900000002</x:v>
      </x:c>
      <x:c r="H558">
        <x:f ca="1">IFERROR(IF(0=LEN(ReferenceData!$H$558),"",ReferenceData!$H$558),"")</x:f>
        <x:v>-73.989470999999995</x:v>
      </x:c>
      <x:c r="I558">
        <x:f ca="1">IFERROR(IF(0=LEN(ReferenceData!$I$558),"",ReferenceData!$I$558),"")</x:f>
        <x:v>-119.104288</x:v>
      </x:c>
      <x:c r="J558">
        <x:f ca="1">IFERROR(IF(0=LEN(ReferenceData!$J$558),"",ReferenceData!$J$558),"")</x:f>
        <x:v>889.67233799999997</x:v>
      </x:c>
      <x:c r="K558">
        <x:f ca="1">IFERROR(IF(0=LEN(ReferenceData!$K$558),"",ReferenceData!$K$558),"")</x:f>
        <x:v>-488.853115</x:v>
      </x:c>
      <x:c r="L558">
        <x:f ca="1">IFERROR(IF(0=LEN(ReferenceData!$L$558),"",ReferenceData!$L$558),"")</x:f>
        <x:v>818.05861200000004</x:v>
      </x:c>
      <x:c r="M558">
        <x:f ca="1">IFERROR(IF(0=LEN(ReferenceData!$M$558),"",ReferenceData!$M$558),"")</x:f>
        <x:v>-399.19874199999998</x:v>
      </x:c>
      <x:c r="N558">
        <x:f ca="1">IFERROR(IF(0=LEN(ReferenceData!$N$558),"",ReferenceData!$N$558),"")</x:f>
        <x:v>-22.550077000000002</x:v>
      </x:c>
      <x:c r="O558">
        <x:f ca="1">IFERROR(IF(0=LEN(ReferenceData!$O$558),"",ReferenceData!$O$558),"")</x:f>
        <x:v>122.39621699999999</x:v>
      </x:c>
      <x:c r="P558">
        <x:f ca="1">IFERROR(IF(0=LEN(ReferenceData!$P$558),"",ReferenceData!$P$558),"")</x:f>
        <x:v>-121.28693699999999</x:v>
      </x:c>
      <x:c r="Q558">
        <x:f ca="1">IFERROR(IF(0=LEN(ReferenceData!$Q$558),"",ReferenceData!$Q$558),"")</x:f>
        <x:v>-552.935744</x:v>
      </x:c>
      <x:c r="R558">
        <x:f ca="1">IFERROR(IF(0=LEN(ReferenceData!$R$558),"",ReferenceData!$R$558),"")</x:f>
        <x:v>-69.275751</x:v>
      </x:c>
      <x:c r="S558">
        <x:f ca="1">IFERROR(IF(0=LEN(ReferenceData!$S$558),"",ReferenceData!$S$558),"")</x:f>
        <x:v>541.73414600000001</x:v>
      </x:c>
    </x:row>
    <x:row r="559" spans="1:19" x14ac:dyDescent="0.25">
      <x:c r="A559" t="str">
        <x:f>IFERROR(IF(0=LEN(ReferenceData!$A$559),"",ReferenceData!$A$559),"")</x:f>
        <x:v xml:space="preserve">            Direxion Daily Semiconductors</x:v>
      </x:c>
      <x:c r="B559" t="str">
        <x:f>IFERROR(IF(0=LEN(ReferenceData!$B$559),"",ReferenceData!$B$559),"")</x:f>
        <x:v>SOXL US Equity</x:v>
      </x:c>
      <x:c r="C559" t="str">
        <x:f>IFERROR(IF(0=LEN(ReferenceData!$C$559),"",ReferenceData!$C$559),"")</x:f>
        <x:v/>
      </x:c>
      <x:c r="D559" t="str">
        <x:f>IFERROR(IF(0=LEN(ReferenceData!$D$559),"",ReferenceData!$D$559),"")</x:f>
        <x:v/>
      </x:c>
      <x:c r="E559" t="str">
        <x:f>IFERROR(IF(0=LEN(ReferenceData!$E$559),"",ReferenceData!$E$559),"")</x:f>
        <x:v>Expression</x:v>
      </x:c>
      <x:c r="F559">
        <x:f ca="1">IFERROR(IF(0=LEN(ReferenceData!$F$559),"",ReferenceData!$F$559),"")</x:f>
        <x:v>-602.19498799999997</x:v>
      </x:c>
      <x:c r="G559">
        <x:f ca="1">IFERROR(IF(0=LEN(ReferenceData!$G$559),"",ReferenceData!$G$559),"")</x:f>
        <x:v>516.26810399999999</x:v>
      </x:c>
      <x:c r="H559">
        <x:f ca="1">IFERROR(IF(0=LEN(ReferenceData!$H$559),"",ReferenceData!$H$559),"")</x:f>
        <x:v>685.29377099999999</x:v>
      </x:c>
      <x:c r="I559">
        <x:f ca="1">IFERROR(IF(0=LEN(ReferenceData!$I$559),"",ReferenceData!$I$559),"")</x:f>
        <x:v>491.50197400000002</x:v>
      </x:c>
      <x:c r="J559">
        <x:f ca="1">IFERROR(IF(0=LEN(ReferenceData!$J$559),"",ReferenceData!$J$559),"")</x:f>
        <x:v>-286.21804100000003</x:v>
      </x:c>
      <x:c r="K559">
        <x:f ca="1">IFERROR(IF(0=LEN(ReferenceData!$K$559),"",ReferenceData!$K$559),"")</x:f>
        <x:v>-374.02453800000001</x:v>
      </x:c>
      <x:c r="L559">
        <x:f ca="1">IFERROR(IF(0=LEN(ReferenceData!$L$559),"",ReferenceData!$L$559),"")</x:f>
        <x:v>-965.45742299999995</x:v>
      </x:c>
      <x:c r="M559">
        <x:f ca="1">IFERROR(IF(0=LEN(ReferenceData!$M$559),"",ReferenceData!$M$559),"")</x:f>
        <x:v>616.92093499999999</x:v>
      </x:c>
      <x:c r="N559">
        <x:f ca="1">IFERROR(IF(0=LEN(ReferenceData!$N$559),"",ReferenceData!$N$559),"")</x:f>
        <x:v>-390.37497100000002</x:v>
      </x:c>
      <x:c r="O559">
        <x:f ca="1">IFERROR(IF(0=LEN(ReferenceData!$O$559),"",ReferenceData!$O$559),"")</x:f>
        <x:v>-120.077736</x:v>
      </x:c>
      <x:c r="P559">
        <x:f ca="1">IFERROR(IF(0=LEN(ReferenceData!$P$559),"",ReferenceData!$P$559),"")</x:f>
        <x:v>-601.84658999999999</x:v>
      </x:c>
      <x:c r="Q559">
        <x:f ca="1">IFERROR(IF(0=LEN(ReferenceData!$Q$559),"",ReferenceData!$Q$559),"")</x:f>
        <x:v>93.059117000000001</x:v>
      </x:c>
      <x:c r="R559">
        <x:f ca="1">IFERROR(IF(0=LEN(ReferenceData!$R$559),"",ReferenceData!$R$559),"")</x:f>
        <x:v>-292.04730599999999</x:v>
      </x:c>
      <x:c r="S559">
        <x:f ca="1">IFERROR(IF(0=LEN(ReferenceData!$S$559),"",ReferenceData!$S$559),"")</x:f>
        <x:v>82.352952999999999</x:v>
      </x:c>
    </x:row>
    <x:row r="560" spans="1:19" x14ac:dyDescent="0.25">
      <x:c r="A560" t="str">
        <x:f>IFERROR(IF(0=LEN(ReferenceData!$A$560),"",ReferenceData!$A$560),"")</x:f>
        <x:v xml:space="preserve">            SPDR S&amp;P Semiconductor ETF</x:v>
      </x:c>
      <x:c r="B560" t="str">
        <x:f>IFERROR(IF(0=LEN(ReferenceData!$B$560),"",ReferenceData!$B$560),"")</x:f>
        <x:v>XSD US Equity</x:v>
      </x:c>
      <x:c r="C560" t="str">
        <x:f>IFERROR(IF(0=LEN(ReferenceData!$C$560),"",ReferenceData!$C$560),"")</x:f>
        <x:v/>
      </x:c>
      <x:c r="D560" t="str">
        <x:f>IFERROR(IF(0=LEN(ReferenceData!$D$560),"",ReferenceData!$D$560),"")</x:f>
        <x:v/>
      </x:c>
      <x:c r="E560" t="str">
        <x:f>IFERROR(IF(0=LEN(ReferenceData!$E$560),"",ReferenceData!$E$560),"")</x:f>
        <x:v>Expression</x:v>
      </x:c>
      <x:c r="F560">
        <x:f ca="1">IFERROR(IF(0=LEN(ReferenceData!$F$560),"",ReferenceData!$F$560),"")</x:f>
        <x:v>-14.771032999999999</x:v>
      </x:c>
      <x:c r="G560">
        <x:f ca="1">IFERROR(IF(0=LEN(ReferenceData!$G$560),"",ReferenceData!$G$560),"")</x:f>
        <x:v>-24.103318000000002</x:v>
      </x:c>
      <x:c r="H560">
        <x:f ca="1">IFERROR(IF(0=LEN(ReferenceData!$H$560),"",ReferenceData!$H$560),"")</x:f>
        <x:v>-49.779285999999999</x:v>
      </x:c>
      <x:c r="I560">
        <x:f ca="1">IFERROR(IF(0=LEN(ReferenceData!$I$560),"",ReferenceData!$I$560),"")</x:f>
        <x:v>5.7941539999999998</x:v>
      </x:c>
      <x:c r="J560">
        <x:f ca="1">IFERROR(IF(0=LEN(ReferenceData!$J$560),"",ReferenceData!$J$560),"")</x:f>
        <x:v>22.063542999999999</x:v>
      </x:c>
      <x:c r="K560">
        <x:f ca="1">IFERROR(IF(0=LEN(ReferenceData!$K$560),"",ReferenceData!$K$560),"")</x:f>
        <x:v>2.5254539999999999</x:v>
      </x:c>
      <x:c r="L560">
        <x:f ca="1">IFERROR(IF(0=LEN(ReferenceData!$L$560),"",ReferenceData!$L$560),"")</x:f>
        <x:v>-87.414733999999996</x:v>
      </x:c>
      <x:c r="M560">
        <x:f ca="1">IFERROR(IF(0=LEN(ReferenceData!$M$560),"",ReferenceData!$M$560),"")</x:f>
        <x:v>104.895016</x:v>
      </x:c>
      <x:c r="N560">
        <x:f ca="1">IFERROR(IF(0=LEN(ReferenceData!$N$560),"",ReferenceData!$N$560),"")</x:f>
        <x:v>104.44824199999999</x:v>
      </x:c>
      <x:c r="O560">
        <x:f ca="1">IFERROR(IF(0=LEN(ReferenceData!$O$560),"",ReferenceData!$O$560),"")</x:f>
        <x:v>72.438642999999999</x:v>
      </x:c>
      <x:c r="P560">
        <x:f ca="1">IFERROR(IF(0=LEN(ReferenceData!$P$560),"",ReferenceData!$P$560),"")</x:f>
        <x:v>18.807417000000001</x:v>
      </x:c>
      <x:c r="Q560">
        <x:f ca="1">IFERROR(IF(0=LEN(ReferenceData!$Q$560),"",ReferenceData!$Q$560),"")</x:f>
        <x:v>18.025969</x:v>
      </x:c>
      <x:c r="R560">
        <x:f ca="1">IFERROR(IF(0=LEN(ReferenceData!$R$560),"",ReferenceData!$R$560),"")</x:f>
        <x:v>-0.13350600000000001</x:v>
      </x:c>
      <x:c r="S560">
        <x:f ca="1">IFERROR(IF(0=LEN(ReferenceData!$S$560),"",ReferenceData!$S$560),"")</x:f>
        <x:v>-41.173833000000002</x:v>
      </x:c>
    </x:row>
    <x:row r="561" spans="1:19" x14ac:dyDescent="0.25">
      <x:c r="A561" t="str">
        <x:f>IFERROR(IF(0=LEN(ReferenceData!$A$561),"",ReferenceData!$A$561),"")</x:f>
        <x:v xml:space="preserve">            ProShares UltraShort Semicondu</x:v>
      </x:c>
      <x:c r="B561" t="str">
        <x:f>IFERROR(IF(0=LEN(ReferenceData!$B$561),"",ReferenceData!$B$561),"")</x:f>
        <x:v>SSG US Equity</x:v>
      </x:c>
      <x:c r="C561" t="str">
        <x:f>IFERROR(IF(0=LEN(ReferenceData!$C$561),"",ReferenceData!$C$561),"")</x:f>
        <x:v/>
      </x:c>
      <x:c r="D561" t="str">
        <x:f>IFERROR(IF(0=LEN(ReferenceData!$D$561),"",ReferenceData!$D$561),"")</x:f>
        <x:v/>
      </x:c>
      <x:c r="E561" t="str">
        <x:f>IFERROR(IF(0=LEN(ReferenceData!$E$561),"",ReferenceData!$E$561),"")</x:f>
        <x:v>Expression</x:v>
      </x:c>
      <x:c r="F561">
        <x:f ca="1">IFERROR(IF(0=LEN(ReferenceData!$F$561),"",ReferenceData!$F$561),"")</x:f>
        <x:v>-0.59589999999999999</x:v>
      </x:c>
      <x:c r="G561">
        <x:f ca="1">IFERROR(IF(0=LEN(ReferenceData!$G$561),"",ReferenceData!$G$561),"")</x:f>
        <x:v>-0.56784400000000002</x:v>
      </x:c>
      <x:c r="H561">
        <x:f ca="1">IFERROR(IF(0=LEN(ReferenceData!$H$561),"",ReferenceData!$H$561),"")</x:f>
        <x:v>1.463136</x:v>
      </x:c>
      <x:c r="I561">
        <x:f ca="1">IFERROR(IF(0=LEN(ReferenceData!$I$561),"",ReferenceData!$I$561),"")</x:f>
        <x:v>0.69414100000000001</x:v>
      </x:c>
      <x:c r="J561">
        <x:f ca="1">IFERROR(IF(0=LEN(ReferenceData!$J$561),"",ReferenceData!$J$561),"")</x:f>
        <x:v>0</x:v>
      </x:c>
      <x:c r="K561">
        <x:f ca="1">IFERROR(IF(0=LEN(ReferenceData!$K$561),"",ReferenceData!$K$561),"")</x:f>
        <x:v>1.129408</x:v>
      </x:c>
      <x:c r="L561">
        <x:f ca="1">IFERROR(IF(0=LEN(ReferenceData!$L$561),"",ReferenceData!$L$561),"")</x:f>
        <x:v>-0.34624300000000002</x:v>
      </x:c>
      <x:c r="M561">
        <x:f ca="1">IFERROR(IF(0=LEN(ReferenceData!$M$561),"",ReferenceData!$M$561),"")</x:f>
        <x:v>3.0785420000000001</x:v>
      </x:c>
      <x:c r="N561">
        <x:f ca="1">IFERROR(IF(0=LEN(ReferenceData!$N$561),"",ReferenceData!$N$561),"")</x:f>
        <x:v>1.849248</x:v>
      </x:c>
      <x:c r="O561">
        <x:f ca="1">IFERROR(IF(0=LEN(ReferenceData!$O$561),"",ReferenceData!$O$561),"")</x:f>
        <x:v>1.2762249999999999</x:v>
      </x:c>
      <x:c r="P561">
        <x:f ca="1">IFERROR(IF(0=LEN(ReferenceData!$P$561),"",ReferenceData!$P$561),"")</x:f>
        <x:v>-2.69625</x:v>
      </x:c>
      <x:c r="Q561">
        <x:f ca="1">IFERROR(IF(0=LEN(ReferenceData!$Q$561),"",ReferenceData!$Q$561),"")</x:f>
        <x:v>2.8788130000000001</x:v>
      </x:c>
      <x:c r="R561">
        <x:f ca="1">IFERROR(IF(0=LEN(ReferenceData!$R$561),"",ReferenceData!$R$561),"")</x:f>
        <x:v>-5.8854999999999998E-2</x:v>
      </x:c>
      <x:c r="S561">
        <x:f ca="1">IFERROR(IF(0=LEN(ReferenceData!$S$561),"",ReferenceData!$S$561),"")</x:f>
        <x:v>4.0219519999999997</x:v>
      </x:c>
    </x:row>
    <x:row r="562" spans="1:19" x14ac:dyDescent="0.25">
      <x:c r="A562" t="str">
        <x:f>IFERROR(IF(0=LEN(ReferenceData!$A$562),"",ReferenceData!$A$562),"")</x:f>
        <x:v xml:space="preserve">            Direxion Daily Semiconductors</x:v>
      </x:c>
      <x:c r="B562" t="str">
        <x:f>IFERROR(IF(0=LEN(ReferenceData!$B$562),"",ReferenceData!$B$562),"")</x:f>
        <x:v>SOXS US Equity</x:v>
      </x:c>
      <x:c r="C562" t="str">
        <x:f>IFERROR(IF(0=LEN(ReferenceData!$C$562),"",ReferenceData!$C$562),"")</x:f>
        <x:v/>
      </x:c>
      <x:c r="D562" t="str">
        <x:f>IFERROR(IF(0=LEN(ReferenceData!$D$562),"",ReferenceData!$D$562),"")</x:f>
        <x:v/>
      </x:c>
      <x:c r="E562" t="str">
        <x:f>IFERROR(IF(0=LEN(ReferenceData!$E$562),"",ReferenceData!$E$562),"")</x:f>
        <x:v>Expression</x:v>
      </x:c>
      <x:c r="F562">
        <x:f ca="1">IFERROR(IF(0=LEN(ReferenceData!$F$562),"",ReferenceData!$F$562),"")</x:f>
        <x:v>642.78067999999996</x:v>
      </x:c>
      <x:c r="G562">
        <x:f ca="1">IFERROR(IF(0=LEN(ReferenceData!$G$562),"",ReferenceData!$G$562),"")</x:f>
        <x:v>-375.89719400000001</x:v>
      </x:c>
      <x:c r="H562">
        <x:f ca="1">IFERROR(IF(0=LEN(ReferenceData!$H$562),"",ReferenceData!$H$562),"")</x:f>
        <x:v>-369.032197</x:v>
      </x:c>
      <x:c r="I562">
        <x:f ca="1">IFERROR(IF(0=LEN(ReferenceData!$I$562),"",ReferenceData!$I$562),"")</x:f>
        <x:v>-108.076154</x:v>
      </x:c>
      <x:c r="J562">
        <x:f ca="1">IFERROR(IF(0=LEN(ReferenceData!$J$562),"",ReferenceData!$J$562),"")</x:f>
        <x:v>88.948944999999995</x:v>
      </x:c>
      <x:c r="K562">
        <x:f ca="1">IFERROR(IF(0=LEN(ReferenceData!$K$562),"",ReferenceData!$K$562),"")</x:f>
        <x:v>115.927739</x:v>
      </x:c>
      <x:c r="L562">
        <x:f ca="1">IFERROR(IF(0=LEN(ReferenceData!$L$562),"",ReferenceData!$L$562),"")</x:f>
        <x:v>649.17277999999999</x:v>
      </x:c>
      <x:c r="M562">
        <x:f ca="1">IFERROR(IF(0=LEN(ReferenceData!$M$562),"",ReferenceData!$M$562),"")</x:f>
        <x:v>-462.57671499999998</x:v>
      </x:c>
      <x:c r="N562">
        <x:f ca="1">IFERROR(IF(0=LEN(ReferenceData!$N$562),"",ReferenceData!$N$562),"")</x:f>
        <x:v>-9.3454289999999993</x:v>
      </x:c>
      <x:c r="O562">
        <x:f ca="1">IFERROR(IF(0=LEN(ReferenceData!$O$562),"",ReferenceData!$O$562),"")</x:f>
        <x:v>122.36606500000001</x:v>
      </x:c>
      <x:c r="P562">
        <x:f ca="1">IFERROR(IF(0=LEN(ReferenceData!$P$562),"",ReferenceData!$P$562),"")</x:f>
        <x:v>1170.4574110000001</x:v>
      </x:c>
      <x:c r="Q562">
        <x:f ca="1">IFERROR(IF(0=LEN(ReferenceData!$Q$562),"",ReferenceData!$Q$562),"")</x:f>
        <x:v>-50.840096000000003</x:v>
      </x:c>
      <x:c r="R562">
        <x:f ca="1">IFERROR(IF(0=LEN(ReferenceData!$R$562),"",ReferenceData!$R$562),"")</x:f>
        <x:v>693.03433099999995</x:v>
      </x:c>
      <x:c r="S562">
        <x:f ca="1">IFERROR(IF(0=LEN(ReferenceData!$S$562),"",ReferenceData!$S$562),"")</x:f>
        <x:v>-6.9906740000000003</x:v>
      </x:c>
    </x:row>
    <x:row r="563" spans="1:19" x14ac:dyDescent="0.25">
      <x:c r="A563" t="str">
        <x:f>IFERROR(IF(0=LEN(ReferenceData!$A$563),"",ReferenceData!$A$563),"")</x:f>
        <x:v xml:space="preserve">            Invesco Dynamic Semiconductors</x:v>
      </x:c>
      <x:c r="B563" t="str">
        <x:f>IFERROR(IF(0=LEN(ReferenceData!$B$563),"",ReferenceData!$B$563),"")</x:f>
        <x:v>PSI US Equity</x:v>
      </x:c>
      <x:c r="C563" t="str">
        <x:f>IFERROR(IF(0=LEN(ReferenceData!$C$563),"",ReferenceData!$C$563),"")</x:f>
        <x:v/>
      </x:c>
      <x:c r="D563" t="str">
        <x:f>IFERROR(IF(0=LEN(ReferenceData!$D$563),"",ReferenceData!$D$563),"")</x:f>
        <x:v/>
      </x:c>
      <x:c r="E563" t="str">
        <x:f>IFERROR(IF(0=LEN(ReferenceData!$E$563),"",ReferenceData!$E$563),"")</x:f>
        <x:v>Expression</x:v>
      </x:c>
      <x:c r="F563">
        <x:f ca="1">IFERROR(IF(0=LEN(ReferenceData!$F$563),"",ReferenceData!$F$563),"")</x:f>
        <x:v>-9.9788739999999994</x:v>
      </x:c>
      <x:c r="G563">
        <x:f ca="1">IFERROR(IF(0=LEN(ReferenceData!$G$563),"",ReferenceData!$G$563),"")</x:f>
        <x:v>-8.8398590000000006</x:v>
      </x:c>
      <x:c r="H563">
        <x:f ca="1">IFERROR(IF(0=LEN(ReferenceData!$H$563),"",ReferenceData!$H$563),"")</x:f>
        <x:v>-2.769666</x:v>
      </x:c>
      <x:c r="I563">
        <x:f ca="1">IFERROR(IF(0=LEN(ReferenceData!$I$563),"",ReferenceData!$I$563),"")</x:f>
        <x:v>1.420731</x:v>
      </x:c>
      <x:c r="J563">
        <x:f ca="1">IFERROR(IF(0=LEN(ReferenceData!$J$563),"",ReferenceData!$J$563),"")</x:f>
        <x:v>7.1365480000000003</x:v>
      </x:c>
      <x:c r="K563">
        <x:f ca="1">IFERROR(IF(0=LEN(ReferenceData!$K$563),"",ReferenceData!$K$563),"")</x:f>
        <x:v>0.14741599999999999</x:v>
      </x:c>
      <x:c r="L563">
        <x:f ca="1">IFERROR(IF(0=LEN(ReferenceData!$L$563),"",ReferenceData!$L$563),"")</x:f>
        <x:v>21.618362000000001</x:v>
      </x:c>
      <x:c r="M563">
        <x:f ca="1">IFERROR(IF(0=LEN(ReferenceData!$M$563),"",ReferenceData!$M$563),"")</x:f>
        <x:v>4.6707999999999998</x:v>
      </x:c>
      <x:c r="N563">
        <x:f ca="1">IFERROR(IF(0=LEN(ReferenceData!$N$563),"",ReferenceData!$N$563),"")</x:f>
        <x:v>-16.391926999999999</x:v>
      </x:c>
      <x:c r="O563">
        <x:f ca="1">IFERROR(IF(0=LEN(ReferenceData!$O$563),"",ReferenceData!$O$563),"")</x:f>
        <x:v>19.456932999999999</x:v>
      </x:c>
      <x:c r="P563">
        <x:f ca="1">IFERROR(IF(0=LEN(ReferenceData!$P$563),"",ReferenceData!$P$563),"")</x:f>
        <x:v>-13.020089</x:v>
      </x:c>
      <x:c r="Q563">
        <x:f ca="1">IFERROR(IF(0=LEN(ReferenceData!$Q$563),"",ReferenceData!$Q$563),"")</x:f>
        <x:v>1.142245</x:v>
      </x:c>
      <x:c r="R563">
        <x:f ca="1">IFERROR(IF(0=LEN(ReferenceData!$R$563),"",ReferenceData!$R$563),"")</x:f>
        <x:v>-11.500931</x:v>
      </x:c>
      <x:c r="S563">
        <x:f ca="1">IFERROR(IF(0=LEN(ReferenceData!$S$563),"",ReferenceData!$S$563),"")</x:f>
        <x:v>-11.510899999999999</x:v>
      </x:c>
    </x:row>
    <x:row r="564" spans="1:19" x14ac:dyDescent="0.25">
      <x:c r="A564" t="str">
        <x:f>IFERROR(IF(0=LEN(ReferenceData!$A$564),"",ReferenceData!$A$564),"")</x:f>
        <x:v xml:space="preserve">            Invesco PHLX Semiconductor ETF</x:v>
      </x:c>
      <x:c r="B564" t="str">
        <x:f>IFERROR(IF(0=LEN(ReferenceData!$B$564),"",ReferenceData!$B$564),"")</x:f>
        <x:v>SOXQ US Equity</x:v>
      </x:c>
      <x:c r="C564" t="str">
        <x:f>IFERROR(IF(0=LEN(ReferenceData!$C$564),"",ReferenceData!$C$564),"")</x:f>
        <x:v/>
      </x:c>
      <x:c r="D564" t="str">
        <x:f>IFERROR(IF(0=LEN(ReferenceData!$D$564),"",ReferenceData!$D$564),"")</x:f>
        <x:v/>
      </x:c>
      <x:c r="E564" t="str">
        <x:f>IFERROR(IF(0=LEN(ReferenceData!$E$564),"",ReferenceData!$E$564),"")</x:f>
        <x:v>Expression</x:v>
      </x:c>
      <x:c r="F564">
        <x:f ca="1">IFERROR(IF(0=LEN(ReferenceData!$F$564),"",ReferenceData!$F$564),"")</x:f>
        <x:v>-1.174005</x:v>
      </x:c>
      <x:c r="G564">
        <x:f ca="1">IFERROR(IF(0=LEN(ReferenceData!$G$564),"",ReferenceData!$G$564),"")</x:f>
        <x:v>6.8776120000000001</x:v>
      </x:c>
      <x:c r="H564">
        <x:f ca="1">IFERROR(IF(0=LEN(ReferenceData!$H$564),"",ReferenceData!$H$564),"")</x:f>
        <x:v>2.786883</x:v>
      </x:c>
      <x:c r="I564">
        <x:f ca="1">IFERROR(IF(0=LEN(ReferenceData!$I$564),"",ReferenceData!$I$564),"")</x:f>
        <x:v>9.1854659999999999</x:v>
      </x:c>
      <x:c r="J564">
        <x:f ca="1">IFERROR(IF(0=LEN(ReferenceData!$J$564),"",ReferenceData!$J$564),"")</x:f>
        <x:v>7.1201340000000002</x:v>
      </x:c>
      <x:c r="K564">
        <x:f ca="1">IFERROR(IF(0=LEN(ReferenceData!$K$564),"",ReferenceData!$K$564),"")</x:f>
        <x:v>-7.940709</x:v>
      </x:c>
      <x:c r="L564">
        <x:f ca="1">IFERROR(IF(0=LEN(ReferenceData!$L$564),"",ReferenceData!$L$564),"")</x:f>
        <x:v>17.219449999999998</x:v>
      </x:c>
      <x:c r="M564">
        <x:f ca="1">IFERROR(IF(0=LEN(ReferenceData!$M$564),"",ReferenceData!$M$564),"")</x:f>
        <x:v>2.4815149999999999</x:v>
      </x:c>
      <x:c r="N564">
        <x:f ca="1">IFERROR(IF(0=LEN(ReferenceData!$N$564),"",ReferenceData!$N$564),"")</x:f>
        <x:v>-3.7632189999999999</x:v>
      </x:c>
      <x:c r="O564">
        <x:f ca="1">IFERROR(IF(0=LEN(ReferenceData!$O$564),"",ReferenceData!$O$564),"")</x:f>
        <x:v>0.47381299999999998</x:v>
      </x:c>
      <x:c r="P564">
        <x:f ca="1">IFERROR(IF(0=LEN(ReferenceData!$P$564),"",ReferenceData!$P$564),"")</x:f>
        <x:v>7.0359850000000002</x:v>
      </x:c>
      <x:c r="Q564">
        <x:f ca="1">IFERROR(IF(0=LEN(ReferenceData!$Q$564),"",ReferenceData!$Q$564),"")</x:f>
        <x:v>3.1286960000000001</x:v>
      </x:c>
      <x:c r="R564">
        <x:f ca="1">IFERROR(IF(0=LEN(ReferenceData!$R$564),"",ReferenceData!$R$564),"")</x:f>
        <x:v>10.162398</x:v>
      </x:c>
      <x:c r="S564">
        <x:f ca="1">IFERROR(IF(0=LEN(ReferenceData!$S$564),"",ReferenceData!$S$564),"")</x:f>
        <x:v>5.4075540000000002</x:v>
      </x:c>
    </x:row>
    <x:row r="565" spans="1:19" x14ac:dyDescent="0.25">
      <x:c r="A565" t="str">
        <x:f>IFERROR(IF(0=LEN(ReferenceData!$A$565),"",ReferenceData!$A$565),"")</x:f>
        <x:v xml:space="preserve">            Strive US Semiconductor ETF</x:v>
      </x:c>
      <x:c r="B565" t="str">
        <x:f>IFERROR(IF(0=LEN(ReferenceData!$B$565),"",ReferenceData!$B$565),"")</x:f>
        <x:v>SHOC US Equity</x:v>
      </x:c>
      <x:c r="C565" t="str">
        <x:f>IFERROR(IF(0=LEN(ReferenceData!$C$565),"",ReferenceData!$C$565),"")</x:f>
        <x:v/>
      </x:c>
      <x:c r="D565" t="str">
        <x:f>IFERROR(IF(0=LEN(ReferenceData!$D$565),"",ReferenceData!$D$565),"")</x:f>
        <x:v/>
      </x:c>
      <x:c r="E565" t="str">
        <x:f>IFERROR(IF(0=LEN(ReferenceData!$E$565),"",ReferenceData!$E$565),"")</x:f>
        <x:v>Expression</x:v>
      </x:c>
      <x:c r="F565">
        <x:f ca="1">IFERROR(IF(0=LEN(ReferenceData!$F$565),"",ReferenceData!$F$565),"")</x:f>
        <x:v>0</x:v>
      </x:c>
      <x:c r="G565">
        <x:f ca="1">IFERROR(IF(0=LEN(ReferenceData!$G$565),"",ReferenceData!$G$565),"")</x:f>
        <x:v>0.64785199999999998</x:v>
      </x:c>
      <x:c r="H565">
        <x:f ca="1">IFERROR(IF(0=LEN(ReferenceData!$H$565),"",ReferenceData!$H$565),"")</x:f>
        <x:v>0.32391500000000001</x:v>
      </x:c>
      <x:c r="I565">
        <x:f ca="1">IFERROR(IF(0=LEN(ReferenceData!$I$565),"",ReferenceData!$I$565),"")</x:f>
        <x:v>3.1223930000000002</x:v>
      </x:c>
      <x:c r="J565">
        <x:f ca="1">IFERROR(IF(0=LEN(ReferenceData!$J$565),"",ReferenceData!$J$565),"")</x:f>
        <x:v>2.1231100000000001</x:v>
      </x:c>
      <x:c r="K565">
        <x:f ca="1">IFERROR(IF(0=LEN(ReferenceData!$K$565),"",ReferenceData!$K$565),"")</x:f>
        <x:v>3.0562710000000002</x:v>
      </x:c>
      <x:c r="L565">
        <x:f ca="1">IFERROR(IF(0=LEN(ReferenceData!$L$565),"",ReferenceData!$L$565),"")</x:f>
        <x:v>1.214521</x:v>
      </x:c>
      <x:c r="M565">
        <x:f ca="1">IFERROR(IF(0=LEN(ReferenceData!$M$565),"",ReferenceData!$M$565),"")</x:f>
        <x:v>1.7396940000000001</x:v>
      </x:c>
      <x:c r="N565">
        <x:f ca="1">IFERROR(IF(0=LEN(ReferenceData!$N$565),"",ReferenceData!$N$565),"")</x:f>
        <x:v>2.318835</x:v>
      </x:c>
      <x:c r="O565">
        <x:f ca="1">IFERROR(IF(0=LEN(ReferenceData!$O$565),"",ReferenceData!$O$565),"")</x:f>
        <x:v>1.1433580000000001</x:v>
      </x:c>
      <x:c r="P565">
        <x:f ca="1">IFERROR(IF(0=LEN(ReferenceData!$P$565),"",ReferenceData!$P$565),"")</x:f>
        <x:v>1.644339</x:v>
      </x:c>
      <x:c r="Q565">
        <x:f ca="1">IFERROR(IF(0=LEN(ReferenceData!$Q$565),"",ReferenceData!$Q$565),"")</x:f>
        <x:v>3.8882989999999999</x:v>
      </x:c>
      <x:c r="R565">
        <x:f ca="1">IFERROR(IF(0=LEN(ReferenceData!$R$565),"",ReferenceData!$R$565),"")</x:f>
        <x:v>3.4471850000000002</x:v>
      </x:c>
      <x:c r="S565">
        <x:f ca="1">IFERROR(IF(0=LEN(ReferenceData!$S$565),"",ReferenceData!$S$565),"")</x:f>
        <x:v>5.8566799999999999</x:v>
      </x:c>
    </x:row>
    <x:row r="566" spans="1:19" x14ac:dyDescent="0.25">
      <x:c r="A566" t="str">
        <x:f>IFERROR(IF(0=LEN(ReferenceData!$A$566),"",ReferenceData!$A$566),"")</x:f>
        <x:v xml:space="preserve">    Utilities</x:v>
      </x:c>
      <x:c r="B566" t="str">
        <x:f>IFERROR(IF(0=LEN(ReferenceData!$B$566),"",ReferenceData!$B$566),"")</x:f>
        <x:v/>
      </x:c>
      <x:c r="C566" t="str">
        <x:f>IFERROR(IF(0=LEN(ReferenceData!$C$566),"",ReferenceData!$C$566),"")</x:f>
        <x:v/>
      </x:c>
      <x:c r="D566" t="str">
        <x:f>IFERROR(IF(0=LEN(ReferenceData!$D$566),"",ReferenceData!$D$566),"")</x:f>
        <x:v/>
      </x:c>
      <x:c r="E566" t="str">
        <x:f>IFERROR(IF(0=LEN(ReferenceData!$E$566),"",ReferenceData!$E$566),"")</x:f>
        <x:v>Sum</x:v>
      </x:c>
      <x:c r="F566">
        <x:f ca="1">IFERROR(IF(0=LEN(ReferenceData!$F$566),"",ReferenceData!$F$566),"")</x:f>
        <x:v>-405.75595700000002</x:v>
      </x:c>
      <x:c r="G566">
        <x:f ca="1">IFERROR(IF(0=LEN(ReferenceData!$G$566),"",ReferenceData!$G$566),"")</x:f>
        <x:v>-581.73250399999995</x:v>
      </x:c>
      <x:c r="H566">
        <x:f ca="1">IFERROR(IF(0=LEN(ReferenceData!$H$566),"",ReferenceData!$H$566),"")</x:f>
        <x:v>-473.67159899999996</x:v>
      </x:c>
      <x:c r="I566">
        <x:f ca="1">IFERROR(IF(0=LEN(ReferenceData!$I$566),"",ReferenceData!$I$566),"")</x:f>
        <x:v>-207.743235</x:v>
      </x:c>
      <x:c r="J566">
        <x:f ca="1">IFERROR(IF(0=LEN(ReferenceData!$J$566),"",ReferenceData!$J$566),"")</x:f>
        <x:v>-198.927336</x:v>
      </x:c>
      <x:c r="K566">
        <x:f ca="1">IFERROR(IF(0=LEN(ReferenceData!$K$566),"",ReferenceData!$K$566),"")</x:f>
        <x:v>-525.40577299999995</x:v>
      </x:c>
      <x:c r="L566">
        <x:f ca="1">IFERROR(IF(0=LEN(ReferenceData!$L$566),"",ReferenceData!$L$566),"")</x:f>
        <x:v>455.88221699999997</x:v>
      </x:c>
      <x:c r="M566">
        <x:f ca="1">IFERROR(IF(0=LEN(ReferenceData!$M$566),"",ReferenceData!$M$566),"")</x:f>
        <x:v>292.75787099999997</x:v>
      </x:c>
      <x:c r="N566">
        <x:f ca="1">IFERROR(IF(0=LEN(ReferenceData!$N$566),"",ReferenceData!$N$566),"")</x:f>
        <x:v>472.15704400000004</x:v>
      </x:c>
      <x:c r="O566">
        <x:f ca="1">IFERROR(IF(0=LEN(ReferenceData!$O$566),"",ReferenceData!$O$566),"")</x:f>
        <x:v>-799.90323799999987</x:v>
      </x:c>
      <x:c r="P566">
        <x:f ca="1">IFERROR(IF(0=LEN(ReferenceData!$P$566),"",ReferenceData!$P$566),"")</x:f>
        <x:v>114.44808</x:v>
      </x:c>
      <x:c r="Q566">
        <x:f ca="1">IFERROR(IF(0=LEN(ReferenceData!$Q$566),"",ReferenceData!$Q$566),"")</x:f>
        <x:v>-541.94843100000003</x:v>
      </x:c>
      <x:c r="R566">
        <x:f ca="1">IFERROR(IF(0=LEN(ReferenceData!$R$566),"",ReferenceData!$R$566),"")</x:f>
        <x:v>337.159696</x:v>
      </x:c>
      <x:c r="S566">
        <x:f ca="1">IFERROR(IF(0=LEN(ReferenceData!$S$566),"",ReferenceData!$S$566),"")</x:f>
        <x:v>-1066.1843490000001</x:v>
      </x:c>
    </x:row>
    <x:row r="567" spans="1:19" x14ac:dyDescent="0.25">
      <x:c r="A567" t="str">
        <x:f>IFERROR(IF(0=LEN(ReferenceData!$A$567),"",ReferenceData!$A$567),"")</x:f>
        <x:v xml:space="preserve">        Utilities Select Sector SPDR F</x:v>
      </x:c>
      <x:c r="B567" t="str">
        <x:f>IFERROR(IF(0=LEN(ReferenceData!$B$567),"",ReferenceData!$B$567),"")</x:f>
        <x:v>XLU US Equity</x:v>
      </x:c>
      <x:c r="C567" t="str">
        <x:f>IFERROR(IF(0=LEN(ReferenceData!$C$567),"",ReferenceData!$C$567),"")</x:f>
        <x:v/>
      </x:c>
      <x:c r="D567" t="str">
        <x:f>IFERROR(IF(0=LEN(ReferenceData!$D$567),"",ReferenceData!$D$567),"")</x:f>
        <x:v/>
      </x:c>
      <x:c r="E567" t="str">
        <x:f>IFERROR(IF(0=LEN(ReferenceData!$E$567),"",ReferenceData!$E$567),"")</x:f>
        <x:v>Expression</x:v>
      </x:c>
      <x:c r="F567">
        <x:f ca="1">IFERROR(IF(0=LEN(ReferenceData!$F$567),"",ReferenceData!$F$567),"")</x:f>
        <x:v>-301.83604500000001</x:v>
      </x:c>
      <x:c r="G567">
        <x:f ca="1">IFERROR(IF(0=LEN(ReferenceData!$G$567),"",ReferenceData!$G$567),"")</x:f>
        <x:v>-84.544511</x:v>
      </x:c>
      <x:c r="H567">
        <x:f ca="1">IFERROR(IF(0=LEN(ReferenceData!$H$567),"",ReferenceData!$H$567),"")</x:f>
        <x:v>-372.02594800000003</x:v>
      </x:c>
      <x:c r="I567">
        <x:f ca="1">IFERROR(IF(0=LEN(ReferenceData!$I$567),"",ReferenceData!$I$567),"")</x:f>
        <x:v>-47.042388000000003</x:v>
      </x:c>
      <x:c r="J567">
        <x:f ca="1">IFERROR(IF(0=LEN(ReferenceData!$J$567),"",ReferenceData!$J$567),"")</x:f>
        <x:v>-221.24214699999999</x:v>
      </x:c>
      <x:c r="K567">
        <x:f ca="1">IFERROR(IF(0=LEN(ReferenceData!$K$567),"",ReferenceData!$K$567),"")</x:f>
        <x:v>-488.51845700000001</x:v>
      </x:c>
      <x:c r="L567">
        <x:f ca="1">IFERROR(IF(0=LEN(ReferenceData!$L$567),"",ReferenceData!$L$567),"")</x:f>
        <x:v>470.06926800000002</x:v>
      </x:c>
      <x:c r="M567">
        <x:f ca="1">IFERROR(IF(0=LEN(ReferenceData!$M$567),"",ReferenceData!$M$567),"")</x:f>
        <x:v>414.21866999999997</x:v>
      </x:c>
      <x:c r="N567">
        <x:f ca="1">IFERROR(IF(0=LEN(ReferenceData!$N$567),"",ReferenceData!$N$567),"")</x:f>
        <x:v>586.07838100000004</x:v>
      </x:c>
      <x:c r="O567">
        <x:f ca="1">IFERROR(IF(0=LEN(ReferenceData!$O$567),"",ReferenceData!$O$567),"")</x:f>
        <x:v>-662.54980499999999</x:v>
      </x:c>
      <x:c r="P567">
        <x:f ca="1">IFERROR(IF(0=LEN(ReferenceData!$P$567),"",ReferenceData!$P$567),"")</x:f>
        <x:v>-85.840243999999998</x:v>
      </x:c>
      <x:c r="Q567">
        <x:f ca="1">IFERROR(IF(0=LEN(ReferenceData!$Q$567),"",ReferenceData!$Q$567),"")</x:f>
        <x:v>-586.57489199999998</x:v>
      </x:c>
      <x:c r="R567">
        <x:f ca="1">IFERROR(IF(0=LEN(ReferenceData!$R$567),"",ReferenceData!$R$567),"")</x:f>
        <x:v>538.40714600000001</x:v>
      </x:c>
      <x:c r="S567">
        <x:f ca="1">IFERROR(IF(0=LEN(ReferenceData!$S$567),"",ReferenceData!$S$567),"")</x:f>
        <x:v>-972.83969999999999</x:v>
      </x:c>
    </x:row>
    <x:row r="568" spans="1:19" x14ac:dyDescent="0.25">
      <x:c r="A568" t="str">
        <x:f>IFERROR(IF(0=LEN(ReferenceData!$A$568),"",ReferenceData!$A$568),"")</x:f>
        <x:v xml:space="preserve">        Vanguard Utilities ETF</x:v>
      </x:c>
      <x:c r="B568" t="str">
        <x:f>IFERROR(IF(0=LEN(ReferenceData!$B$568),"",ReferenceData!$B$568),"")</x:f>
        <x:v>VPU US Equity</x:v>
      </x:c>
      <x:c r="C568" t="str">
        <x:f>IFERROR(IF(0=LEN(ReferenceData!$C$568),"",ReferenceData!$C$568),"")</x:f>
        <x:v/>
      </x:c>
      <x:c r="D568" t="str">
        <x:f>IFERROR(IF(0=LEN(ReferenceData!$D$568),"",ReferenceData!$D$568),"")</x:f>
        <x:v/>
      </x:c>
      <x:c r="E568" t="str">
        <x:f>IFERROR(IF(0=LEN(ReferenceData!$E$568),"",ReferenceData!$E$568),"")</x:f>
        <x:v>Expression</x:v>
      </x:c>
      <x:c r="F568">
        <x:f ca="1">IFERROR(IF(0=LEN(ReferenceData!$F$568),"",ReferenceData!$F$568),"")</x:f>
        <x:v>-72.958250000000007</x:v>
      </x:c>
      <x:c r="G568">
        <x:f ca="1">IFERROR(IF(0=LEN(ReferenceData!$G$568),"",ReferenceData!$G$568),"")</x:f>
        <x:v>-195.66567599999999</x:v>
      </x:c>
      <x:c r="H568">
        <x:f ca="1">IFERROR(IF(0=LEN(ReferenceData!$H$568),"",ReferenceData!$H$568),"")</x:f>
        <x:v>-28.375029999999999</x:v>
      </x:c>
      <x:c r="I568">
        <x:f ca="1">IFERROR(IF(0=LEN(ReferenceData!$I$568),"",ReferenceData!$I$568),"")</x:f>
        <x:v>-68.847170000000006</x:v>
      </x:c>
      <x:c r="J568">
        <x:f ca="1">IFERROR(IF(0=LEN(ReferenceData!$J$568),"",ReferenceData!$J$568),"")</x:f>
        <x:v>236.11345900000001</x:v>
      </x:c>
      <x:c r="K568">
        <x:f ca="1">IFERROR(IF(0=LEN(ReferenceData!$K$568),"",ReferenceData!$K$568),"")</x:f>
        <x:v>0.29749300000000001</x:v>
      </x:c>
      <x:c r="L568">
        <x:f ca="1">IFERROR(IF(0=LEN(ReferenceData!$L$568),"",ReferenceData!$L$568),"")</x:f>
        <x:v>-14.201928000000001</x:v>
      </x:c>
      <x:c r="M568">
        <x:f ca="1">IFERROR(IF(0=LEN(ReferenceData!$M$568),"",ReferenceData!$M$568),"")</x:f>
        <x:v>-26.369499999999999</x:v>
      </x:c>
      <x:c r="N568">
        <x:f ca="1">IFERROR(IF(0=LEN(ReferenceData!$N$568),"",ReferenceData!$N$568),"")</x:f>
        <x:v>-60.001252999999998</x:v>
      </x:c>
      <x:c r="O568">
        <x:f ca="1">IFERROR(IF(0=LEN(ReferenceData!$O$568),"",ReferenceData!$O$568),"")</x:f>
        <x:v>-97.030249999999995</x:v>
      </x:c>
      <x:c r="P568">
        <x:f ca="1">IFERROR(IF(0=LEN(ReferenceData!$P$568),"",ReferenceData!$P$568),"")</x:f>
        <x:v>42.284981000000002</x:v>
      </x:c>
      <x:c r="Q568">
        <x:f ca="1">IFERROR(IF(0=LEN(ReferenceData!$Q$568),"",ReferenceData!$Q$568),"")</x:f>
        <x:v>46.938183000000002</x:v>
      </x:c>
      <x:c r="R568">
        <x:f ca="1">IFERROR(IF(0=LEN(ReferenceData!$R$568),"",ReferenceData!$R$568),"")</x:f>
        <x:v>-66.511499999999998</x:v>
      </x:c>
      <x:c r="S568">
        <x:f ca="1">IFERROR(IF(0=LEN(ReferenceData!$S$568),"",ReferenceData!$S$568),"")</x:f>
        <x:v>-66.301771000000002</x:v>
      </x:c>
    </x:row>
    <x:row r="569" spans="1:19" x14ac:dyDescent="0.25">
      <x:c r="A569" t="str">
        <x:f>IFERROR(IF(0=LEN(ReferenceData!$A$569),"",ReferenceData!$A$569),"")</x:f>
        <x:v xml:space="preserve">        First Trust Utilities AlphaDEX</x:v>
      </x:c>
      <x:c r="B569" t="str">
        <x:f>IFERROR(IF(0=LEN(ReferenceData!$B$569),"",ReferenceData!$B$569),"")</x:f>
        <x:v>FXU US Equity</x:v>
      </x:c>
      <x:c r="C569" t="str">
        <x:f>IFERROR(IF(0=LEN(ReferenceData!$C$569),"",ReferenceData!$C$569),"")</x:f>
        <x:v/>
      </x:c>
      <x:c r="D569" t="str">
        <x:f>IFERROR(IF(0=LEN(ReferenceData!$D$569),"",ReferenceData!$D$569),"")</x:f>
        <x:v/>
      </x:c>
      <x:c r="E569" t="str">
        <x:f>IFERROR(IF(0=LEN(ReferenceData!$E$569),"",ReferenceData!$E$569),"")</x:f>
        <x:v>Expression</x:v>
      </x:c>
      <x:c r="F569">
        <x:f ca="1">IFERROR(IF(0=LEN(ReferenceData!$F$569),"",ReferenceData!$F$569),"")</x:f>
        <x:v>-5.9894970000000001</x:v>
      </x:c>
      <x:c r="G569">
        <x:f ca="1">IFERROR(IF(0=LEN(ReferenceData!$G$569),"",ReferenceData!$G$569),"")</x:f>
        <x:v>8.4512599999999996</x:v>
      </x:c>
      <x:c r="H569">
        <x:f ca="1">IFERROR(IF(0=LEN(ReferenceData!$H$569),"",ReferenceData!$H$569),"")</x:f>
        <x:v>-11.476842</x:v>
      </x:c>
      <x:c r="I569">
        <x:f ca="1">IFERROR(IF(0=LEN(ReferenceData!$I$569),"",ReferenceData!$I$569),"")</x:f>
        <x:v>-44.674649000000002</x:v>
      </x:c>
      <x:c r="J569">
        <x:f ca="1">IFERROR(IF(0=LEN(ReferenceData!$J$569),"",ReferenceData!$J$569),"")</x:f>
        <x:v>-25.979500000000002</x:v>
      </x:c>
      <x:c r="K569">
        <x:f ca="1">IFERROR(IF(0=LEN(ReferenceData!$K$569),"",ReferenceData!$K$569),"")</x:f>
        <x:v>9.8574999999999999</x:v>
      </x:c>
      <x:c r="L569">
        <x:f ca="1">IFERROR(IF(0=LEN(ReferenceData!$L$569),"",ReferenceData!$L$569),"")</x:f>
        <x:v>11.0985</x:v>
      </x:c>
      <x:c r="M569">
        <x:f ca="1">IFERROR(IF(0=LEN(ReferenceData!$M$569),"",ReferenceData!$M$569),"")</x:f>
        <x:v>-14.778499999999999</x:v>
      </x:c>
      <x:c r="N569">
        <x:f ca="1">IFERROR(IF(0=LEN(ReferenceData!$N$569),"",ReferenceData!$N$569),"")</x:f>
        <x:v>-7.899</x:v>
      </x:c>
      <x:c r="O569">
        <x:f ca="1">IFERROR(IF(0=LEN(ReferenceData!$O$569),"",ReferenceData!$O$569),"")</x:f>
        <x:v>-30.033000000000001</x:v>
      </x:c>
      <x:c r="P569">
        <x:f ca="1">IFERROR(IF(0=LEN(ReferenceData!$P$569),"",ReferenceData!$P$569),"")</x:f>
        <x:v>-1.673</x:v>
      </x:c>
      <x:c r="Q569">
        <x:f ca="1">IFERROR(IF(0=LEN(ReferenceData!$Q$569),"",ReferenceData!$Q$569),"")</x:f>
        <x:v>3.3272780000000002</x:v>
      </x:c>
      <x:c r="R569">
        <x:f ca="1">IFERROR(IF(0=LEN(ReferenceData!$R$569),"",ReferenceData!$R$569),"")</x:f>
        <x:v>-78.849129000000005</x:v>
      </x:c>
      <x:c r="S569">
        <x:f ca="1">IFERROR(IF(0=LEN(ReferenceData!$S$569),"",ReferenceData!$S$569),"")</x:f>
        <x:v>-8.8102140000000002</x:v>
      </x:c>
    </x:row>
    <x:row r="570" spans="1:19" x14ac:dyDescent="0.25">
      <x:c r="A570" t="str">
        <x:f>IFERROR(IF(0=LEN(ReferenceData!$A$570),"",ReferenceData!$A$570),"")</x:f>
        <x:v xml:space="preserve">        iShares US Utilities ETF</x:v>
      </x:c>
      <x:c r="B570" t="str">
        <x:f>IFERROR(IF(0=LEN(ReferenceData!$B$570),"",ReferenceData!$B$570),"")</x:f>
        <x:v>IDU US Equity</x:v>
      </x:c>
      <x:c r="C570" t="str">
        <x:f>IFERROR(IF(0=LEN(ReferenceData!$C$570),"",ReferenceData!$C$570),"")</x:f>
        <x:v/>
      </x:c>
      <x:c r="D570" t="str">
        <x:f>IFERROR(IF(0=LEN(ReferenceData!$D$570),"",ReferenceData!$D$570),"")</x:f>
        <x:v/>
      </x:c>
      <x:c r="E570" t="str">
        <x:f>IFERROR(IF(0=LEN(ReferenceData!$E$570),"",ReferenceData!$E$570),"")</x:f>
        <x:v>Expression</x:v>
      </x:c>
      <x:c r="F570">
        <x:f ca="1">IFERROR(IF(0=LEN(ReferenceData!$F$570),"",ReferenceData!$F$570),"")</x:f>
        <x:v>-7.6492370000000003</x:v>
      </x:c>
      <x:c r="G570">
        <x:f ca="1">IFERROR(IF(0=LEN(ReferenceData!$G$570),"",ReferenceData!$G$570),"")</x:f>
        <x:v>13.778352999999999</x:v>
      </x:c>
      <x:c r="H570">
        <x:f ca="1">IFERROR(IF(0=LEN(ReferenceData!$H$570),"",ReferenceData!$H$570),"")</x:f>
        <x:v>-11.580826</x:v>
      </x:c>
      <x:c r="I570">
        <x:f ca="1">IFERROR(IF(0=LEN(ReferenceData!$I$570),"",ReferenceData!$I$570),"")</x:f>
        <x:v>-24.242570000000001</x:v>
      </x:c>
      <x:c r="J570">
        <x:f ca="1">IFERROR(IF(0=LEN(ReferenceData!$J$570),"",ReferenceData!$J$570),"")</x:f>
        <x:v>-12.333575</x:v>
      </x:c>
      <x:c r="K570">
        <x:f ca="1">IFERROR(IF(0=LEN(ReferenceData!$K$570),"",ReferenceData!$K$570),"")</x:f>
        <x:v>-65.337635000000006</x:v>
      </x:c>
      <x:c r="L570">
        <x:f ca="1">IFERROR(IF(0=LEN(ReferenceData!$L$570),"",ReferenceData!$L$570),"")</x:f>
        <x:v>-3.8439000000000001</x:v>
      </x:c>
      <x:c r="M570">
        <x:f ca="1">IFERROR(IF(0=LEN(ReferenceData!$M$570),"",ReferenceData!$M$570),"")</x:f>
        <x:v>-8.4987200000000005</x:v>
      </x:c>
      <x:c r="N570">
        <x:f ca="1">IFERROR(IF(0=LEN(ReferenceData!$N$570),"",ReferenceData!$N$570),"")</x:f>
        <x:v>20.717424999999999</x:v>
      </x:c>
      <x:c r="O570">
        <x:f ca="1">IFERROR(IF(0=LEN(ReferenceData!$O$570),"",ReferenceData!$O$570),"")</x:f>
        <x:v>12.312305</x:v>
      </x:c>
      <x:c r="P570">
        <x:f ca="1">IFERROR(IF(0=LEN(ReferenceData!$P$570),"",ReferenceData!$P$570),"")</x:f>
        <x:v>-30.344284999999999</x:v>
      </x:c>
      <x:c r="Q570">
        <x:f ca="1">IFERROR(IF(0=LEN(ReferenceData!$Q$570),"",ReferenceData!$Q$570),"")</x:f>
        <x:v>-13.05524</x:v>
      </x:c>
      <x:c r="R570">
        <x:f ca="1">IFERROR(IF(0=LEN(ReferenceData!$R$570),"",ReferenceData!$R$570),"")</x:f>
        <x:v>-0.26517499999999999</x:v>
      </x:c>
      <x:c r="S570">
        <x:f ca="1">IFERROR(IF(0=LEN(ReferenceData!$S$570),"",ReferenceData!$S$570),"")</x:f>
        <x:v>7.7119350000000004</x:v>
      </x:c>
    </x:row>
    <x:row r="571" spans="1:19" x14ac:dyDescent="0.25">
      <x:c r="A571" t="str">
        <x:f>IFERROR(IF(0=LEN(ReferenceData!$A$571),"",ReferenceData!$A$571),"")</x:f>
        <x:v xml:space="preserve">        Fidelity MSCI Utilities Index</x:v>
      </x:c>
      <x:c r="B571" t="str">
        <x:f>IFERROR(IF(0=LEN(ReferenceData!$B$571),"",ReferenceData!$B$571),"")</x:f>
        <x:v>FUTY US Equity</x:v>
      </x:c>
      <x:c r="C571" t="str">
        <x:f>IFERROR(IF(0=LEN(ReferenceData!$C$571),"",ReferenceData!$C$571),"")</x:f>
        <x:v/>
      </x:c>
      <x:c r="D571" t="str">
        <x:f>IFERROR(IF(0=LEN(ReferenceData!$D$571),"",ReferenceData!$D$571),"")</x:f>
        <x:v/>
      </x:c>
      <x:c r="E571" t="str">
        <x:f>IFERROR(IF(0=LEN(ReferenceData!$E$571),"",ReferenceData!$E$571),"")</x:f>
        <x:v>Expression</x:v>
      </x:c>
      <x:c r="F571">
        <x:f ca="1">IFERROR(IF(0=LEN(ReferenceData!$F$571),"",ReferenceData!$F$571),"")</x:f>
        <x:v>-11.7164</x:v>
      </x:c>
      <x:c r="G571">
        <x:f ca="1">IFERROR(IF(0=LEN(ReferenceData!$G$571),"",ReferenceData!$G$571),"")</x:f>
        <x:v>-290.51206000000002</x:v>
      </x:c>
      <x:c r="H571">
        <x:f ca="1">IFERROR(IF(0=LEN(ReferenceData!$H$571),"",ReferenceData!$H$571),"")</x:f>
        <x:v>-50.262565000000002</x:v>
      </x:c>
      <x:c r="I571">
        <x:f ca="1">IFERROR(IF(0=LEN(ReferenceData!$I$571),"",ReferenceData!$I$571),"")</x:f>
        <x:v>-16.552109999999999</x:v>
      </x:c>
      <x:c r="J571">
        <x:f ca="1">IFERROR(IF(0=LEN(ReferenceData!$J$571),"",ReferenceData!$J$571),"")</x:f>
        <x:v>-155.82207500000001</x:v>
      </x:c>
      <x:c r="K571">
        <x:f ca="1">IFERROR(IF(0=LEN(ReferenceData!$K$571),"",ReferenceData!$K$571),"")</x:f>
        <x:v>36.370725</x:v>
      </x:c>
      <x:c r="L571">
        <x:f ca="1">IFERROR(IF(0=LEN(ReferenceData!$L$571),"",ReferenceData!$L$571),"")</x:f>
        <x:v>-16.985230000000001</x:v>
      </x:c>
      <x:c r="M571">
        <x:f ca="1">IFERROR(IF(0=LEN(ReferenceData!$M$571),"",ReferenceData!$M$571),"")</x:f>
        <x:v>-69.889544999999998</x:v>
      </x:c>
      <x:c r="N571">
        <x:f ca="1">IFERROR(IF(0=LEN(ReferenceData!$N$571),"",ReferenceData!$N$571),"")</x:f>
        <x:v>-67.793965</x:v>
      </x:c>
      <x:c r="O571">
        <x:f ca="1">IFERROR(IF(0=LEN(ReferenceData!$O$571),"",ReferenceData!$O$571),"")</x:f>
        <x:v>-8.6646850000000004</x:v>
      </x:c>
      <x:c r="P571">
        <x:f ca="1">IFERROR(IF(0=LEN(ReferenceData!$P$571),"",ReferenceData!$P$571),"")</x:f>
        <x:v>188.98788500000001</x:v>
      </x:c>
      <x:c r="Q571">
        <x:f ca="1">IFERROR(IF(0=LEN(ReferenceData!$Q$571),"",ReferenceData!$Q$571),"")</x:f>
        <x:v>20.585415000000001</x:v>
      </x:c>
      <x:c r="R571">
        <x:f ca="1">IFERROR(IF(0=LEN(ReferenceData!$R$571),"",ReferenceData!$R$571),"")</x:f>
        <x:v>-25.956904999999999</x:v>
      </x:c>
      <x:c r="S571">
        <x:f ca="1">IFERROR(IF(0=LEN(ReferenceData!$S$571),"",ReferenceData!$S$571),"")</x:f>
        <x:v>-16.368289999999998</x:v>
      </x:c>
    </x:row>
    <x:row r="572" spans="1:19" x14ac:dyDescent="0.25">
      <x:c r="A572" t="str">
        <x:f>IFERROR(IF(0=LEN(ReferenceData!$A$572),"",ReferenceData!$A$572),"")</x:f>
        <x:v xml:space="preserve">        Invesco S&amp;P 500 Equal Weight U</x:v>
      </x:c>
      <x:c r="B572" t="str">
        <x:f>IFERROR(IF(0=LEN(ReferenceData!$B$572),"",ReferenceData!$B$572),"")</x:f>
        <x:v>RYU US Equity</x:v>
      </x:c>
      <x:c r="C572" t="str">
        <x:f>IFERROR(IF(0=LEN(ReferenceData!$C$572),"",ReferenceData!$C$572),"")</x:f>
        <x:v/>
      </x:c>
      <x:c r="D572" t="str">
        <x:f>IFERROR(IF(0=LEN(ReferenceData!$D$572),"",ReferenceData!$D$572),"")</x:f>
        <x:v/>
      </x:c>
      <x:c r="E572" t="str">
        <x:f>IFERROR(IF(0=LEN(ReferenceData!$E$572),"",ReferenceData!$E$572),"")</x:f>
        <x:v>Expression</x:v>
      </x:c>
      <x:c r="F572">
        <x:f ca="1">IFERROR(IF(0=LEN(ReferenceData!$F$572),"",ReferenceData!$F$572),"")</x:f>
        <x:v>-4.1962190000000001</x:v>
      </x:c>
      <x:c r="G572">
        <x:f ca="1">IFERROR(IF(0=LEN(ReferenceData!$G$572),"",ReferenceData!$G$572),"")</x:f>
        <x:v>-31.594635</x:v>
      </x:c>
      <x:c r="H572">
        <x:f ca="1">IFERROR(IF(0=LEN(ReferenceData!$H$572),"",ReferenceData!$H$572),"")</x:f>
        <x:v>-8.4940379999999998</x:v>
      </x:c>
      <x:c r="I572">
        <x:f ca="1">IFERROR(IF(0=LEN(ReferenceData!$I$572),"",ReferenceData!$I$572),"")</x:f>
        <x:v>-9.8702529999999999</x:v>
      </x:c>
      <x:c r="J572">
        <x:f ca="1">IFERROR(IF(0=LEN(ReferenceData!$J$572),"",ReferenceData!$J$572),"")</x:f>
        <x:v>-17.534648000000001</x:v>
      </x:c>
      <x:c r="K572">
        <x:f ca="1">IFERROR(IF(0=LEN(ReferenceData!$K$572),"",ReferenceData!$K$572),"")</x:f>
        <x:v>-25.642402000000001</x:v>
      </x:c>
      <x:c r="L572" t="str">
        <x:f ca="1">IFERROR(IF(0=LEN(ReferenceData!$L$572),"",ReferenceData!$L$572),"")</x:f>
        <x:v/>
      </x:c>
      <x:c r="M572" t="str">
        <x:f ca="1">IFERROR(IF(0=LEN(ReferenceData!$M$572),"",ReferenceData!$M$572),"")</x:f>
        <x:v/>
      </x:c>
      <x:c r="N572" t="str">
        <x:f ca="1">IFERROR(IF(0=LEN(ReferenceData!$N$572),"",ReferenceData!$N$572),"")</x:f>
        <x:v/>
      </x:c>
      <x:c r="O572" t="str">
        <x:f ca="1">IFERROR(IF(0=LEN(ReferenceData!$O$572),"",ReferenceData!$O$572),"")</x:f>
        <x:v/>
      </x:c>
      <x:c r="P572" t="str">
        <x:f ca="1">IFERROR(IF(0=LEN(ReferenceData!$P$572),"",ReferenceData!$P$572),"")</x:f>
        <x:v/>
      </x:c>
      <x:c r="Q572" t="str">
        <x:f ca="1">IFERROR(IF(0=LEN(ReferenceData!$Q$572),"",ReferenceData!$Q$572),"")</x:f>
        <x:v/>
      </x:c>
      <x:c r="R572" t="str">
        <x:f ca="1">IFERROR(IF(0=LEN(ReferenceData!$R$572),"",ReferenceData!$R$572),"")</x:f>
        <x:v/>
      </x:c>
      <x:c r="S572" t="str">
        <x:f ca="1">IFERROR(IF(0=LEN(ReferenceData!$S$572),"",ReferenceData!$S$572),"")</x:f>
        <x:v/>
      </x:c>
    </x:row>
    <x:row r="573" spans="1:19" x14ac:dyDescent="0.25">
      <x:c r="A573" t="str">
        <x:f>IFERROR(IF(0=LEN(ReferenceData!$A$573),"",ReferenceData!$A$573),"")</x:f>
        <x:v xml:space="preserve">        iShares Global Utilities ETF</x:v>
      </x:c>
      <x:c r="B573" t="str">
        <x:f>IFERROR(IF(0=LEN(ReferenceData!$B$573),"",ReferenceData!$B$573),"")</x:f>
        <x:v>JXI US Equity</x:v>
      </x:c>
      <x:c r="C573" t="str">
        <x:f>IFERROR(IF(0=LEN(ReferenceData!$C$573),"",ReferenceData!$C$573),"")</x:f>
        <x:v/>
      </x:c>
      <x:c r="D573" t="str">
        <x:f>IFERROR(IF(0=LEN(ReferenceData!$D$573),"",ReferenceData!$D$573),"")</x:f>
        <x:v/>
      </x:c>
      <x:c r="E573" t="str">
        <x:f>IFERROR(IF(0=LEN(ReferenceData!$E$573),"",ReferenceData!$E$573),"")</x:f>
        <x:v>Expression</x:v>
      </x:c>
      <x:c r="F573">
        <x:f ca="1">IFERROR(IF(0=LEN(ReferenceData!$F$573),"",ReferenceData!$F$573),"")</x:f>
        <x:v>0</x:v>
      </x:c>
      <x:c r="G573">
        <x:f ca="1">IFERROR(IF(0=LEN(ReferenceData!$G$573),"",ReferenceData!$G$573),"")</x:f>
        <x:v>-8.1435860000000009</x:v>
      </x:c>
      <x:c r="H573">
        <x:f ca="1">IFERROR(IF(0=LEN(ReferenceData!$H$573),"",ReferenceData!$H$573),"")</x:f>
        <x:v>5.8476239999999997</x:v>
      </x:c>
      <x:c r="I573">
        <x:f ca="1">IFERROR(IF(0=LEN(ReferenceData!$I$573),"",ReferenceData!$I$573),"")</x:f>
        <x:v>-5.8462350000000001</x:v>
      </x:c>
      <x:c r="J573">
        <x:f ca="1">IFERROR(IF(0=LEN(ReferenceData!$J$573),"",ReferenceData!$J$573),"")</x:f>
        <x:v>-3.0542250000000002</x:v>
      </x:c>
      <x:c r="K573">
        <x:f ca="1">IFERROR(IF(0=LEN(ReferenceData!$K$573),"",ReferenceData!$K$573),"")</x:f>
        <x:v>5.9032999999999998</x:v>
      </x:c>
      <x:c r="L573">
        <x:f ca="1">IFERROR(IF(0=LEN(ReferenceData!$L$573),"",ReferenceData!$L$573),"")</x:f>
        <x:v>3.0948549999999999</x:v>
      </x:c>
      <x:c r="M573">
        <x:f ca="1">IFERROR(IF(0=LEN(ReferenceData!$M$573),"",ReferenceData!$M$573),"")</x:f>
        <x:v>0</x:v>
      </x:c>
      <x:c r="N573">
        <x:f ca="1">IFERROR(IF(0=LEN(ReferenceData!$N$573),"",ReferenceData!$N$573),"")</x:f>
        <x:v>-2.9175200000000001</x:v>
      </x:c>
      <x:c r="O573">
        <x:f ca="1">IFERROR(IF(0=LEN(ReferenceData!$O$573),"",ReferenceData!$O$573),"")</x:f>
        <x:v>-5.9120299999999997</x:v>
      </x:c>
      <x:c r="P573">
        <x:f ca="1">IFERROR(IF(0=LEN(ReferenceData!$P$573),"",ReferenceData!$P$573),"")</x:f>
        <x:v>-3.0742349999999998</x:v>
      </x:c>
      <x:c r="Q573">
        <x:f ca="1">IFERROR(IF(0=LEN(ReferenceData!$Q$573),"",ReferenceData!$Q$573),"")</x:f>
        <x:v>0</x:v>
      </x:c>
      <x:c r="R573">
        <x:f ca="1">IFERROR(IF(0=LEN(ReferenceData!$R$573),"",ReferenceData!$R$573),"")</x:f>
        <x:v>0</x:v>
      </x:c>
      <x:c r="S573">
        <x:f ca="1">IFERROR(IF(0=LEN(ReferenceData!$S$573),"",ReferenceData!$S$573),"")</x:f>
        <x:v>-10.770625000000001</x:v>
      </x:c>
    </x:row>
    <x:row r="574" spans="1:19" x14ac:dyDescent="0.25">
      <x:c r="A574" t="str">
        <x:f>IFERROR(IF(0=LEN(ReferenceData!$A$574),"",ReferenceData!$A$574),"")</x:f>
        <x:v xml:space="preserve">        Invesco DWA Utilities Momentum</x:v>
      </x:c>
      <x:c r="B574" t="str">
        <x:f>IFERROR(IF(0=LEN(ReferenceData!$B$574),"",ReferenceData!$B$574),"")</x:f>
        <x:v>PUI US Equity</x:v>
      </x:c>
      <x:c r="C574" t="str">
        <x:f>IFERROR(IF(0=LEN(ReferenceData!$C$574),"",ReferenceData!$C$574),"")</x:f>
        <x:v/>
      </x:c>
      <x:c r="D574" t="str">
        <x:f>IFERROR(IF(0=LEN(ReferenceData!$D$574),"",ReferenceData!$D$574),"")</x:f>
        <x:v/>
      </x:c>
      <x:c r="E574" t="str">
        <x:f>IFERROR(IF(0=LEN(ReferenceData!$E$574),"",ReferenceData!$E$574),"")</x:f>
        <x:v>Expression</x:v>
      </x:c>
      <x:c r="F574">
        <x:f ca="1">IFERROR(IF(0=LEN(ReferenceData!$F$574),"",ReferenceData!$F$574),"")</x:f>
        <x:v>-0.91112199999999999</x:v>
      </x:c>
      <x:c r="G574">
        <x:f ca="1">IFERROR(IF(0=LEN(ReferenceData!$G$574),"",ReferenceData!$G$574),"")</x:f>
        <x:v>-0.30441400000000002</x:v>
      </x:c>
      <x:c r="H574">
        <x:f ca="1">IFERROR(IF(0=LEN(ReferenceData!$H$574),"",ReferenceData!$H$574),"")</x:f>
        <x:v>-0.62854399999999999</x:v>
      </x:c>
      <x:c r="I574">
        <x:f ca="1">IFERROR(IF(0=LEN(ReferenceData!$I$574),"",ReferenceData!$I$574),"")</x:f>
        <x:v>-0.31764300000000001</x:v>
      </x:c>
      <x:c r="J574">
        <x:f ca="1">IFERROR(IF(0=LEN(ReferenceData!$J$574),"",ReferenceData!$J$574),"")</x:f>
        <x:v>-0.98416099999999995</x:v>
      </x:c>
      <x:c r="K574">
        <x:f ca="1">IFERROR(IF(0=LEN(ReferenceData!$K$574),"",ReferenceData!$K$574),"")</x:f>
        <x:v>-1.6358969999999999</x:v>
      </x:c>
      <x:c r="L574">
        <x:f ca="1">IFERROR(IF(0=LEN(ReferenceData!$L$574),"",ReferenceData!$L$574),"")</x:f>
        <x:v>-0.63762600000000003</x:v>
      </x:c>
      <x:c r="M574">
        <x:f ca="1">IFERROR(IF(0=LEN(ReferenceData!$M$574),"",ReferenceData!$M$574),"")</x:f>
        <x:v>-0.33040000000000003</x:v>
      </x:c>
      <x:c r="N574">
        <x:f ca="1">IFERROR(IF(0=LEN(ReferenceData!$N$574),"",ReferenceData!$N$574),"")</x:f>
        <x:v>-0.95184299999999999</x:v>
      </x:c>
      <x:c r="O574">
        <x:f ca="1">IFERROR(IF(0=LEN(ReferenceData!$O$574),"",ReferenceData!$O$574),"")</x:f>
        <x:v>-0.99986399999999998</x:v>
      </x:c>
      <x:c r="P574">
        <x:f ca="1">IFERROR(IF(0=LEN(ReferenceData!$P$574),"",ReferenceData!$P$574),"")</x:f>
        <x:v>0</x:v>
      </x:c>
      <x:c r="Q574">
        <x:f ca="1">IFERROR(IF(0=LEN(ReferenceData!$Q$574),"",ReferenceData!$Q$574),"")</x:f>
        <x:v>-4.8829599999999997</x:v>
      </x:c>
      <x:c r="R574">
        <x:f ca="1">IFERROR(IF(0=LEN(ReferenceData!$R$574),"",ReferenceData!$R$574),"")</x:f>
        <x:v>-25.850556999999998</x:v>
      </x:c>
      <x:c r="S574">
        <x:f ca="1">IFERROR(IF(0=LEN(ReferenceData!$S$574),"",ReferenceData!$S$574),"")</x:f>
        <x:v>-2.26837</x:v>
      </x:c>
    </x:row>
    <x:row r="575" spans="1:19" x14ac:dyDescent="0.25">
      <x:c r="A575" t="str">
        <x:f>IFERROR(IF(0=LEN(ReferenceData!$A$575),"",ReferenceData!$A$575),"")</x:f>
        <x:v xml:space="preserve">        Invesco S&amp;P SmallCap Utilities</x:v>
      </x:c>
      <x:c r="B575" t="str">
        <x:f>IFERROR(IF(0=LEN(ReferenceData!$B$575),"",ReferenceData!$B$575),"")</x:f>
        <x:v>PSCU US Equity</x:v>
      </x:c>
      <x:c r="C575" t="str">
        <x:f>IFERROR(IF(0=LEN(ReferenceData!$C$575),"",ReferenceData!$C$575),"")</x:f>
        <x:v/>
      </x:c>
      <x:c r="D575" t="str">
        <x:f>IFERROR(IF(0=LEN(ReferenceData!$D$575),"",ReferenceData!$D$575),"")</x:f>
        <x:v/>
      </x:c>
      <x:c r="E575" t="str">
        <x:f>IFERROR(IF(0=LEN(ReferenceData!$E$575),"",ReferenceData!$E$575),"")</x:f>
        <x:v>Expression</x:v>
      </x:c>
      <x:c r="F575">
        <x:f ca="1">IFERROR(IF(0=LEN(ReferenceData!$F$575),"",ReferenceData!$F$575),"")</x:f>
        <x:v>-0.96043000000000001</x:v>
      </x:c>
      <x:c r="G575">
        <x:f ca="1">IFERROR(IF(0=LEN(ReferenceData!$G$575),"",ReferenceData!$G$575),"")</x:f>
        <x:v>0</x:v>
      </x:c>
      <x:c r="H575">
        <x:f ca="1">IFERROR(IF(0=LEN(ReferenceData!$H$575),"",ReferenceData!$H$575),"")</x:f>
        <x:v>-0.50848800000000005</x:v>
      </x:c>
      <x:c r="I575">
        <x:f ca="1">IFERROR(IF(0=LEN(ReferenceData!$I$575),"",ReferenceData!$I$575),"")</x:f>
        <x:v>-0.54434499999999997</x:v>
      </x:c>
      <x:c r="J575">
        <x:f ca="1">IFERROR(IF(0=LEN(ReferenceData!$J$575),"",ReferenceData!$J$575),"")</x:f>
        <x:v>0</x:v>
      </x:c>
      <x:c r="K575">
        <x:f ca="1">IFERROR(IF(0=LEN(ReferenceData!$K$575),"",ReferenceData!$K$575),"")</x:f>
        <x:v>0</x:v>
      </x:c>
      <x:c r="L575">
        <x:f ca="1">IFERROR(IF(0=LEN(ReferenceData!$L$575),"",ReferenceData!$L$575),"")</x:f>
        <x:v>0</x:v>
      </x:c>
      <x:c r="M575">
        <x:f ca="1">IFERROR(IF(0=LEN(ReferenceData!$M$575),"",ReferenceData!$M$575),"")</x:f>
        <x:v>0</x:v>
      </x:c>
      <x:c r="N575">
        <x:f ca="1">IFERROR(IF(0=LEN(ReferenceData!$N$575),"",ReferenceData!$N$575),"")</x:f>
        <x:v>0</x:v>
      </x:c>
      <x:c r="O575">
        <x:f ca="1">IFERROR(IF(0=LEN(ReferenceData!$O$575),"",ReferenceData!$O$575),"")</x:f>
        <x:v>-2.3890880000000001</x:v>
      </x:c>
      <x:c r="P575">
        <x:f ca="1">IFERROR(IF(0=LEN(ReferenceData!$P$575),"",ReferenceData!$P$575),"")</x:f>
        <x:v>2.2979240000000001</x:v>
      </x:c>
      <x:c r="Q575">
        <x:f ca="1">IFERROR(IF(0=LEN(ReferenceData!$Q$575),"",ReferenceData!$Q$575),"")</x:f>
        <x:v>0</x:v>
      </x:c>
      <x:c r="R575">
        <x:f ca="1">IFERROR(IF(0=LEN(ReferenceData!$R$575),"",ReferenceData!$R$575),"")</x:f>
        <x:v>0</x:v>
      </x:c>
      <x:c r="S575">
        <x:f ca="1">IFERROR(IF(0=LEN(ReferenceData!$S$575),"",ReferenceData!$S$575),"")</x:f>
        <x:v>-0.53922199999999998</x:v>
      </x:c>
    </x:row>
    <x:row r="576" spans="1:19" x14ac:dyDescent="0.25">
      <x:c r="A576" t="str">
        <x:f>IFERROR(IF(0=LEN(ReferenceData!$A$576),"",ReferenceData!$A$576),"")</x:f>
        <x:v xml:space="preserve">        SPDR S&amp;P International Utiliti</x:v>
      </x:c>
      <x:c r="B576" t="str">
        <x:f>IFERROR(IF(0=LEN(ReferenceData!$B$576),"",ReferenceData!$B$576),"")</x:f>
        <x:v>IPU US Equity</x:v>
      </x:c>
      <x:c r="C576" t="str">
        <x:f>IFERROR(IF(0=LEN(ReferenceData!$C$576),"",ReferenceData!$C$576),"")</x:f>
        <x:v/>
      </x:c>
      <x:c r="D576" t="str">
        <x:f>IFERROR(IF(0=LEN(ReferenceData!$D$576),"",ReferenceData!$D$576),"")</x:f>
        <x:v/>
      </x:c>
      <x:c r="E576" t="str">
        <x:f>IFERROR(IF(0=LEN(ReferenceData!$E$576),"",ReferenceData!$E$576),"")</x:f>
        <x:v>Expression</x:v>
      </x:c>
      <x:c r="F576" t="str">
        <x:f ca="1">IFERROR(IF(0=LEN(ReferenceData!$F$576),"",ReferenceData!$F$576),"")</x:f>
        <x:v/>
      </x:c>
      <x:c r="G576" t="str">
        <x:f ca="1">IFERROR(IF(0=LEN(ReferenceData!$G$576),"",ReferenceData!$G$576),"")</x:f>
        <x:v/>
      </x:c>
      <x:c r="H576" t="str">
        <x:f ca="1">IFERROR(IF(0=LEN(ReferenceData!$H$576),"",ReferenceData!$H$576),"")</x:f>
        <x:v/>
      </x:c>
      <x:c r="I576" t="str">
        <x:f ca="1">IFERROR(IF(0=LEN(ReferenceData!$I$576),"",ReferenceData!$I$576),"")</x:f>
        <x:v/>
      </x:c>
      <x:c r="J576" t="str">
        <x:f ca="1">IFERROR(IF(0=LEN(ReferenceData!$J$576),"",ReferenceData!$J$576),"")</x:f>
        <x:v/>
      </x:c>
      <x:c r="K576" t="str">
        <x:f ca="1">IFERROR(IF(0=LEN(ReferenceData!$K$576),"",ReferenceData!$K$576),"")</x:f>
        <x:v/>
      </x:c>
      <x:c r="L576" t="str">
        <x:f ca="1">IFERROR(IF(0=LEN(ReferenceData!$L$576),"",ReferenceData!$L$576),"")</x:f>
        <x:v/>
      </x:c>
      <x:c r="M576" t="str">
        <x:f ca="1">IFERROR(IF(0=LEN(ReferenceData!$M$576),"",ReferenceData!$M$576),"")</x:f>
        <x:v/>
      </x:c>
      <x:c r="N576" t="str">
        <x:f ca="1">IFERROR(IF(0=LEN(ReferenceData!$N$576),"",ReferenceData!$N$576),"")</x:f>
        <x:v/>
      </x:c>
      <x:c r="O576" t="str">
        <x:f ca="1">IFERROR(IF(0=LEN(ReferenceData!$O$576),"",ReferenceData!$O$576),"")</x:f>
        <x:v/>
      </x:c>
      <x:c r="P576" t="str">
        <x:f ca="1">IFERROR(IF(0=LEN(ReferenceData!$P$576),"",ReferenceData!$P$576),"")</x:f>
        <x:v/>
      </x:c>
      <x:c r="Q576" t="str">
        <x:f ca="1">IFERROR(IF(0=LEN(ReferenceData!$Q$576),"",ReferenceData!$Q$576),"")</x:f>
        <x:v/>
      </x:c>
      <x:c r="R576" t="str">
        <x:f ca="1">IFERROR(IF(0=LEN(ReferenceData!$R$576),"",ReferenceData!$R$576),"")</x:f>
        <x:v/>
      </x:c>
      <x:c r="S576" t="str">
        <x:f ca="1">IFERROR(IF(0=LEN(ReferenceData!$S$576),"",ReferenceData!$S$576),"")</x:f>
        <x:v/>
      </x:c>
    </x:row>
    <x:row r="577" spans="1:19" x14ac:dyDescent="0.25">
      <x:c r="A577" t="str">
        <x:f>IFERROR(IF(0=LEN(ReferenceData!$A$577),"",ReferenceData!$A$577),"")</x:f>
        <x:v xml:space="preserve">        John Hancock Multifactor Utili</x:v>
      </x:c>
      <x:c r="B577" t="str">
        <x:f>IFERROR(IF(0=LEN(ReferenceData!$B$577),"",ReferenceData!$B$577),"")</x:f>
        <x:v>JHMU US Equity</x:v>
      </x:c>
      <x:c r="C577" t="str">
        <x:f>IFERROR(IF(0=LEN(ReferenceData!$C$577),"",ReferenceData!$C$577),"")</x:f>
        <x:v/>
      </x:c>
      <x:c r="D577" t="str">
        <x:f>IFERROR(IF(0=LEN(ReferenceData!$D$577),"",ReferenceData!$D$577),"")</x:f>
        <x:v/>
      </x:c>
      <x:c r="E577" t="str">
        <x:f>IFERROR(IF(0=LEN(ReferenceData!$E$577),"",ReferenceData!$E$577),"")</x:f>
        <x:v>Expression</x:v>
      </x:c>
      <x:c r="F577">
        <x:f ca="1">IFERROR(IF(0=LEN(ReferenceData!$F$577),"",ReferenceData!$F$577),"")</x:f>
        <x:v>0</x:v>
      </x:c>
      <x:c r="G577" t="str">
        <x:f ca="1">IFERROR(IF(0=LEN(ReferenceData!$G$577),"",ReferenceData!$G$577),"")</x:f>
        <x:v/>
      </x:c>
      <x:c r="H577" t="str">
        <x:f ca="1">IFERROR(IF(0=LEN(ReferenceData!$H$577),"",ReferenceData!$H$577),"")</x:f>
        <x:v/>
      </x:c>
      <x:c r="I577" t="str">
        <x:f ca="1">IFERROR(IF(0=LEN(ReferenceData!$I$577),"",ReferenceData!$I$577),"")</x:f>
        <x:v/>
      </x:c>
      <x:c r="J577" t="str">
        <x:f ca="1">IFERROR(IF(0=LEN(ReferenceData!$J$577),"",ReferenceData!$J$577),"")</x:f>
        <x:v/>
      </x:c>
      <x:c r="K577" t="str">
        <x:f ca="1">IFERROR(IF(0=LEN(ReferenceData!$K$577),"",ReferenceData!$K$577),"")</x:f>
        <x:v/>
      </x:c>
      <x:c r="L577" t="str">
        <x:f ca="1">IFERROR(IF(0=LEN(ReferenceData!$L$577),"",ReferenceData!$L$577),"")</x:f>
        <x:v/>
      </x:c>
      <x:c r="M577" t="str">
        <x:f ca="1">IFERROR(IF(0=LEN(ReferenceData!$M$577),"",ReferenceData!$M$577),"")</x:f>
        <x:v/>
      </x:c>
      <x:c r="N577" t="str">
        <x:f ca="1">IFERROR(IF(0=LEN(ReferenceData!$N$577),"",ReferenceData!$N$577),"")</x:f>
        <x:v/>
      </x:c>
      <x:c r="O577" t="str">
        <x:f ca="1">IFERROR(IF(0=LEN(ReferenceData!$O$577),"",ReferenceData!$O$577),"")</x:f>
        <x:v/>
      </x:c>
      <x:c r="P577" t="str">
        <x:f ca="1">IFERROR(IF(0=LEN(ReferenceData!$P$577),"",ReferenceData!$P$577),"")</x:f>
        <x:v/>
      </x:c>
      <x:c r="Q577" t="str">
        <x:f ca="1">IFERROR(IF(0=LEN(ReferenceData!$Q$577),"",ReferenceData!$Q$577),"")</x:f>
        <x:v/>
      </x:c>
      <x:c r="R577" t="str">
        <x:f ca="1">IFERROR(IF(0=LEN(ReferenceData!$R$577),"",ReferenceData!$R$577),"")</x:f>
        <x:v/>
      </x:c>
      <x:c r="S577">
        <x:f ca="1">IFERROR(IF(0=LEN(ReferenceData!$S$577),"",ReferenceData!$S$577),"")</x:f>
        <x:v>-0.63062099999999999</x:v>
      </x:c>
    </x:row>
    <x:row r="578" spans="1:19" x14ac:dyDescent="0.25">
      <x:c r="A578" t="str">
        <x:f>IFERROR(IF(0=LEN(ReferenceData!$A$578),"",ReferenceData!$A$578),"")</x:f>
        <x:v xml:space="preserve">        ProShares Ultra Utilities</x:v>
      </x:c>
      <x:c r="B578" t="str">
        <x:f>IFERROR(IF(0=LEN(ReferenceData!$B$578),"",ReferenceData!$B$578),"")</x:f>
        <x:v>UPW US Equity</x:v>
      </x:c>
      <x:c r="C578" t="str">
        <x:f>IFERROR(IF(0=LEN(ReferenceData!$C$578),"",ReferenceData!$C$578),"")</x:f>
        <x:v/>
      </x:c>
      <x:c r="D578" t="str">
        <x:f>IFERROR(IF(0=LEN(ReferenceData!$D$578),"",ReferenceData!$D$578),"")</x:f>
        <x:v/>
      </x:c>
      <x:c r="E578" t="str">
        <x:f>IFERROR(IF(0=LEN(ReferenceData!$E$578),"",ReferenceData!$E$578),"")</x:f>
        <x:v>Expression</x:v>
      </x:c>
      <x:c r="F578">
        <x:f ca="1">IFERROR(IF(0=LEN(ReferenceData!$F$578),"",ReferenceData!$F$578),"")</x:f>
        <x:v>0</x:v>
      </x:c>
      <x:c r="G578">
        <x:f ca="1">IFERROR(IF(0=LEN(ReferenceData!$G$578),"",ReferenceData!$G$578),"")</x:f>
        <x:v>0.43257400000000001</x:v>
      </x:c>
      <x:c r="H578">
        <x:f ca="1">IFERROR(IF(0=LEN(ReferenceData!$H$578),"",ReferenceData!$H$578),"")</x:f>
        <x:v>0</x:v>
      </x:c>
      <x:c r="I578">
        <x:f ca="1">IFERROR(IF(0=LEN(ReferenceData!$I$578),"",ReferenceData!$I$578),"")</x:f>
        <x:v>-1.6764479999999999</x:v>
      </x:c>
      <x:c r="J578">
        <x:f ca="1">IFERROR(IF(0=LEN(ReferenceData!$J$578),"",ReferenceData!$J$578),"")</x:f>
        <x:v>1.9078919999999999</x:v>
      </x:c>
      <x:c r="K578">
        <x:f ca="1">IFERROR(IF(0=LEN(ReferenceData!$K$578),"",ReferenceData!$K$578),"")</x:f>
        <x:v>-0.58327300000000004</x:v>
      </x:c>
      <x:c r="L578">
        <x:f ca="1">IFERROR(IF(0=LEN(ReferenceData!$L$578),"",ReferenceData!$L$578),"")</x:f>
        <x:v>-0.96304699999999999</x:v>
      </x:c>
      <x:c r="M578">
        <x:f ca="1">IFERROR(IF(0=LEN(ReferenceData!$M$578),"",ReferenceData!$M$578),"")</x:f>
        <x:v>1.31111</x:v>
      </x:c>
      <x:c r="N578">
        <x:f ca="1">IFERROR(IF(0=LEN(ReferenceData!$N$578),"",ReferenceData!$N$578),"")</x:f>
        <x:v>0</x:v>
      </x:c>
      <x:c r="O578">
        <x:f ca="1">IFERROR(IF(0=LEN(ReferenceData!$O$578),"",ReferenceData!$O$578),"")</x:f>
        <x:v>-3.7529460000000001</x:v>
      </x:c>
      <x:c r="P578">
        <x:f ca="1">IFERROR(IF(0=LEN(ReferenceData!$P$578),"",ReferenceData!$P$578),"")</x:f>
        <x:v>2.0318909999999999</x:v>
      </x:c>
      <x:c r="Q578">
        <x:f ca="1">IFERROR(IF(0=LEN(ReferenceData!$Q$578),"",ReferenceData!$Q$578),"")</x:f>
        <x:v>-2.121664</x:v>
      </x:c>
      <x:c r="R578">
        <x:f ca="1">IFERROR(IF(0=LEN(ReferenceData!$R$578),"",ReferenceData!$R$578),"")</x:f>
        <x:v>0</x:v>
      </x:c>
      <x:c r="S578">
        <x:f ca="1">IFERROR(IF(0=LEN(ReferenceData!$S$578),"",ReferenceData!$S$578),"")</x:f>
        <x:v>-1.443562</x:v>
      </x:c>
    </x:row>
    <x:row r="579" spans="1:19" x14ac:dyDescent="0.25">
      <x:c r="A579" t="str">
        <x:f>IFERROR(IF(0=LEN(ReferenceData!$A$579),"",ReferenceData!$A$579),"")</x:f>
        <x:v xml:space="preserve">        Virtus Reaves Utilities ETF</x:v>
      </x:c>
      <x:c r="B579" t="str">
        <x:f>IFERROR(IF(0=LEN(ReferenceData!$B$579),"",ReferenceData!$B$579),"")</x:f>
        <x:v>UTES US Equity</x:v>
      </x:c>
      <x:c r="C579" t="str">
        <x:f>IFERROR(IF(0=LEN(ReferenceData!$C$579),"",ReferenceData!$C$579),"")</x:f>
        <x:v/>
      </x:c>
      <x:c r="D579" t="str">
        <x:f>IFERROR(IF(0=LEN(ReferenceData!$D$579),"",ReferenceData!$D$579),"")</x:f>
        <x:v/>
      </x:c>
      <x:c r="E579" t="str">
        <x:f>IFERROR(IF(0=LEN(ReferenceData!$E$579),"",ReferenceData!$E$579),"")</x:f>
        <x:v>Expression</x:v>
      </x:c>
      <x:c r="F579">
        <x:f ca="1">IFERROR(IF(0=LEN(ReferenceData!$F$579),"",ReferenceData!$F$579),"")</x:f>
        <x:v>2.1948810000000001</x:v>
      </x:c>
      <x:c r="G579">
        <x:f ca="1">IFERROR(IF(0=LEN(ReferenceData!$G$579),"",ReferenceData!$G$579),"")</x:f>
        <x:v>0</x:v>
      </x:c>
      <x:c r="H579">
        <x:f ca="1">IFERROR(IF(0=LEN(ReferenceData!$H$579),"",ReferenceData!$H$579),"")</x:f>
        <x:v>2.2382110000000002</x:v>
      </x:c>
      <x:c r="I579">
        <x:f ca="1">IFERROR(IF(0=LEN(ReferenceData!$I$579),"",ReferenceData!$I$579),"")</x:f>
        <x:v>0</x:v>
      </x:c>
      <x:c r="J579">
        <x:f ca="1">IFERROR(IF(0=LEN(ReferenceData!$J$579),"",ReferenceData!$J$579),"")</x:f>
        <x:v>0</x:v>
      </x:c>
      <x:c r="K579">
        <x:f ca="1">IFERROR(IF(0=LEN(ReferenceData!$K$579),"",ReferenceData!$K$579),"")</x:f>
        <x:v>0</x:v>
      </x:c>
      <x:c r="L579">
        <x:f ca="1">IFERROR(IF(0=LEN(ReferenceData!$L$579),"",ReferenceData!$L$579),"")</x:f>
        <x:v>0</x:v>
      </x:c>
      <x:c r="M579">
        <x:f ca="1">IFERROR(IF(0=LEN(ReferenceData!$M$579),"",ReferenceData!$M$579),"")</x:f>
        <x:v>0</x:v>
      </x:c>
      <x:c r="N579">
        <x:f ca="1">IFERROR(IF(0=LEN(ReferenceData!$N$579),"",ReferenceData!$N$579),"")</x:f>
        <x:v>0</x:v>
      </x:c>
      <x:c r="O579">
        <x:f ca="1">IFERROR(IF(0=LEN(ReferenceData!$O$579),"",ReferenceData!$O$579),"")</x:f>
        <x:v>0</x:v>
      </x:c>
      <x:c r="P579">
        <x:f ca="1">IFERROR(IF(0=LEN(ReferenceData!$P$579),"",ReferenceData!$P$579),"")</x:f>
        <x:v>0</x:v>
      </x:c>
      <x:c r="Q579">
        <x:f ca="1">IFERROR(IF(0=LEN(ReferenceData!$Q$579),"",ReferenceData!$Q$579),"")</x:f>
        <x:v>0</x:v>
      </x:c>
      <x:c r="R579">
        <x:f ca="1">IFERROR(IF(0=LEN(ReferenceData!$R$579),"",ReferenceData!$R$579),"")</x:f>
        <x:v>0</x:v>
      </x:c>
      <x:c r="S579">
        <x:f ca="1">IFERROR(IF(0=LEN(ReferenceData!$S$579),"",ReferenceData!$S$579),"")</x:f>
        <x:v>-2.1827589999999999</x:v>
      </x:c>
    </x:row>
    <x:row r="580" spans="1:19" x14ac:dyDescent="0.25">
      <x:c r="A580" t="str">
        <x:f>IFERROR(IF(0=LEN(ReferenceData!$A$580),"",ReferenceData!$A$580),"")</x:f>
        <x:v xml:space="preserve">        ProShares UltraShort Utilities</x:v>
      </x:c>
      <x:c r="B580" t="str">
        <x:f>IFERROR(IF(0=LEN(ReferenceData!$B$580),"",ReferenceData!$B$580),"")</x:f>
        <x:v>SDP US Equity</x:v>
      </x:c>
      <x:c r="C580" t="str">
        <x:f>IFERROR(IF(0=LEN(ReferenceData!$C$580),"",ReferenceData!$C$580),"")</x:f>
        <x:v/>
      </x:c>
      <x:c r="D580" t="str">
        <x:f>IFERROR(IF(0=LEN(ReferenceData!$D$580),"",ReferenceData!$D$580),"")</x:f>
        <x:v/>
      </x:c>
      <x:c r="E580" t="str">
        <x:f>IFERROR(IF(0=LEN(ReferenceData!$E$580),"",ReferenceData!$E$580),"")</x:f>
        <x:v>Expression</x:v>
      </x:c>
      <x:c r="F580">
        <x:f ca="1">IFERROR(IF(0=LEN(ReferenceData!$F$580),"",ReferenceData!$F$580),"")</x:f>
        <x:v>0.15845500000000001</x:v>
      </x:c>
      <x:c r="G580">
        <x:f ca="1">IFERROR(IF(0=LEN(ReferenceData!$G$580),"",ReferenceData!$G$580),"")</x:f>
        <x:v>-1.4426479999999999</x:v>
      </x:c>
      <x:c r="H580">
        <x:f ca="1">IFERROR(IF(0=LEN(ReferenceData!$H$580),"",ReferenceData!$H$580),"")</x:f>
        <x:v>0.668875</x:v>
      </x:c>
      <x:c r="I580">
        <x:f ca="1">IFERROR(IF(0=LEN(ReferenceData!$I$580),"",ReferenceData!$I$580),"")</x:f>
        <x:v>1.296341</x:v>
      </x:c>
      <x:c r="J580">
        <x:f ca="1">IFERROR(IF(0=LEN(ReferenceData!$J$580),"",ReferenceData!$J$580),"")</x:f>
        <x:v>0.11113199999999999</x:v>
      </x:c>
      <x:c r="K580">
        <x:f ca="1">IFERROR(IF(0=LEN(ReferenceData!$K$580),"",ReferenceData!$K$580),"")</x:f>
        <x:v>0</x:v>
      </x:c>
      <x:c r="L580">
        <x:f ca="1">IFERROR(IF(0=LEN(ReferenceData!$L$580),"",ReferenceData!$L$580),"")</x:f>
        <x:v>-0.31797500000000001</x:v>
      </x:c>
      <x:c r="M580">
        <x:f ca="1">IFERROR(IF(0=LEN(ReferenceData!$M$580),"",ReferenceData!$M$580),"")</x:f>
        <x:v>-1.4062699999999999</x:v>
      </x:c>
      <x:c r="N580">
        <x:f ca="1">IFERROR(IF(0=LEN(ReferenceData!$N$580),"",ReferenceData!$N$580),"")</x:f>
        <x:v>1.8249999999999999E-2</x:v>
      </x:c>
      <x:c r="O580">
        <x:f ca="1">IFERROR(IF(0=LEN(ReferenceData!$O$580),"",ReferenceData!$O$580),"")</x:f>
        <x:v>-0.58467499999999994</x:v>
      </x:c>
      <x:c r="P580">
        <x:f ca="1">IFERROR(IF(0=LEN(ReferenceData!$P$580),"",ReferenceData!$P$580),"")</x:f>
        <x:v>1.3844799999999999</x:v>
      </x:c>
      <x:c r="Q580">
        <x:f ca="1">IFERROR(IF(0=LEN(ReferenceData!$Q$580),"",ReferenceData!$Q$580),"")</x:f>
        <x:v>-1.099388</x:v>
      </x:c>
      <x:c r="R580">
        <x:f ca="1">IFERROR(IF(0=LEN(ReferenceData!$R$580),"",ReferenceData!$R$580),"")</x:f>
        <x:v>-0.55029499999999998</x:v>
      </x:c>
      <x:c r="S580">
        <x:f ca="1">IFERROR(IF(0=LEN(ReferenceData!$S$580),"",ReferenceData!$S$580),"")</x:f>
        <x:v>-0.75556999999999996</x:v>
      </x:c>
    </x:row>
    <x:row r="581" spans="1:19" x14ac:dyDescent="0.25">
      <x:c r="A581" t="str">
        <x:f>IFERROR(IF(0=LEN(ReferenceData!$A$581),"",ReferenceData!$A$581),"")</x:f>
        <x:v xml:space="preserve">        iShares Edge MSCI Multifactor</x:v>
      </x:c>
      <x:c r="B581" t="str">
        <x:f>IFERROR(IF(0=LEN(ReferenceData!$B$581),"",ReferenceData!$B$581),"")</x:f>
        <x:v>UTLF US Equity</x:v>
      </x:c>
      <x:c r="C581" t="str">
        <x:f>IFERROR(IF(0=LEN(ReferenceData!$C$581),"",ReferenceData!$C$581),"")</x:f>
        <x:v/>
      </x:c>
      <x:c r="D581" t="str">
        <x:f>IFERROR(IF(0=LEN(ReferenceData!$D$581),"",ReferenceData!$D$581),"")</x:f>
        <x:v/>
      </x:c>
      <x:c r="E581" t="str">
        <x:f>IFERROR(IF(0=LEN(ReferenceData!$E$581),"",ReferenceData!$E$581),"")</x:f>
        <x:v>Expression</x:v>
      </x:c>
      <x:c r="F581" t="str">
        <x:f ca="1">IFERROR(IF(0=LEN(ReferenceData!$F$581),"",ReferenceData!$F$581),"")</x:f>
        <x:v/>
      </x:c>
      <x:c r="G581" t="str">
        <x:f ca="1">IFERROR(IF(0=LEN(ReferenceData!$G$581),"",ReferenceData!$G$581),"")</x:f>
        <x:v/>
      </x:c>
      <x:c r="H581" t="str">
        <x:f ca="1">IFERROR(IF(0=LEN(ReferenceData!$H$581),"",ReferenceData!$H$581),"")</x:f>
        <x:v/>
      </x:c>
      <x:c r="I581" t="str">
        <x:f ca="1">IFERROR(IF(0=LEN(ReferenceData!$I$581),"",ReferenceData!$I$581),"")</x:f>
        <x:v/>
      </x:c>
      <x:c r="J581" t="str">
        <x:f ca="1">IFERROR(IF(0=LEN(ReferenceData!$J$581),"",ReferenceData!$J$581),"")</x:f>
        <x:v/>
      </x:c>
      <x:c r="K581" t="str">
        <x:f ca="1">IFERROR(IF(0=LEN(ReferenceData!$K$581),"",ReferenceData!$K$581),"")</x:f>
        <x:v/>
      </x:c>
      <x:c r="L581" t="str">
        <x:f ca="1">IFERROR(IF(0=LEN(ReferenceData!$L$581),"",ReferenceData!$L$581),"")</x:f>
        <x:v/>
      </x:c>
      <x:c r="M581" t="str">
        <x:f ca="1">IFERROR(IF(0=LEN(ReferenceData!$M$581),"",ReferenceData!$M$581),"")</x:f>
        <x:v/>
      </x:c>
      <x:c r="N581" t="str">
        <x:f ca="1">IFERROR(IF(0=LEN(ReferenceData!$N$581),"",ReferenceData!$N$581),"")</x:f>
        <x:v/>
      </x:c>
      <x:c r="O581" t="str">
        <x:f ca="1">IFERROR(IF(0=LEN(ReferenceData!$O$581),"",ReferenceData!$O$581),"")</x:f>
        <x:v/>
      </x:c>
      <x:c r="P581" t="str">
        <x:f ca="1">IFERROR(IF(0=LEN(ReferenceData!$P$581),"",ReferenceData!$P$581),"")</x:f>
        <x:v/>
      </x:c>
      <x:c r="Q581" t="str">
        <x:f ca="1">IFERROR(IF(0=LEN(ReferenceData!$Q$581),"",ReferenceData!$Q$581),"")</x:f>
        <x:v/>
      </x:c>
      <x:c r="R581" t="str">
        <x:f ca="1">IFERROR(IF(0=LEN(ReferenceData!$R$581),"",ReferenceData!$R$581),"")</x:f>
        <x:v/>
      </x:c>
      <x:c r="S581" t="str">
        <x:f ca="1">IFERROR(IF(0=LEN(ReferenceData!$S$581),"",ReferenceData!$S$581),"")</x:f>
        <x:v/>
      </x:c>
    </x:row>
    <x:row r="582" spans="1:19" x14ac:dyDescent="0.25">
      <x:c r="A582" t="str">
        <x:f>IFERROR(IF(0=LEN(ReferenceData!$A$582),"",ReferenceData!$A$582),"")</x:f>
        <x:v xml:space="preserve">        Direxion Daily Utilities Bull</x:v>
      </x:c>
      <x:c r="B582" t="str">
        <x:f>IFERROR(IF(0=LEN(ReferenceData!$B$582),"",ReferenceData!$B$582),"")</x:f>
        <x:v>UTSL US Equity</x:v>
      </x:c>
      <x:c r="C582" t="str">
        <x:f>IFERROR(IF(0=LEN(ReferenceData!$C$582),"",ReferenceData!$C$582),"")</x:f>
        <x:v/>
      </x:c>
      <x:c r="D582" t="str">
        <x:f>IFERROR(IF(0=LEN(ReferenceData!$D$582),"",ReferenceData!$D$582),"")</x:f>
        <x:v/>
      </x:c>
      <x:c r="E582" t="str">
        <x:f>IFERROR(IF(0=LEN(ReferenceData!$E$582),"",ReferenceData!$E$582),"")</x:f>
        <x:v>Expression</x:v>
      </x:c>
      <x:c r="F582">
        <x:f ca="1">IFERROR(IF(0=LEN(ReferenceData!$F$582),"",ReferenceData!$F$582),"")</x:f>
        <x:v>-1.892093</x:v>
      </x:c>
      <x:c r="G582">
        <x:f ca="1">IFERROR(IF(0=LEN(ReferenceData!$G$582),"",ReferenceData!$G$582),"")</x:f>
        <x:v>7.8128390000000003</x:v>
      </x:c>
      <x:c r="H582">
        <x:f ca="1">IFERROR(IF(0=LEN(ReferenceData!$H$582),"",ReferenceData!$H$582),"")</x:f>
        <x:v>0.92597200000000002</x:v>
      </x:c>
      <x:c r="I582">
        <x:f ca="1">IFERROR(IF(0=LEN(ReferenceData!$I$582),"",ReferenceData!$I$582),"")</x:f>
        <x:v>10.574235</x:v>
      </x:c>
      <x:c r="J582">
        <x:f ca="1">IFERROR(IF(0=LEN(ReferenceData!$J$582),"",ReferenceData!$J$582),"")</x:f>
        <x:v>-0.109488</x:v>
      </x:c>
      <x:c r="K582">
        <x:f ca="1">IFERROR(IF(0=LEN(ReferenceData!$K$582),"",ReferenceData!$K$582),"")</x:f>
        <x:v>3.882873</x:v>
      </x:c>
      <x:c r="L582">
        <x:f ca="1">IFERROR(IF(0=LEN(ReferenceData!$L$582),"",ReferenceData!$L$582),"")</x:f>
        <x:v>8.5693000000000001</x:v>
      </x:c>
      <x:c r="M582">
        <x:f ca="1">IFERROR(IF(0=LEN(ReferenceData!$M$582),"",ReferenceData!$M$582),"")</x:f>
        <x:v>-1.498974</x:v>
      </x:c>
      <x:c r="N582">
        <x:f ca="1">IFERROR(IF(0=LEN(ReferenceData!$N$582),"",ReferenceData!$N$582),"")</x:f>
        <x:v>4.9065690000000002</x:v>
      </x:c>
      <x:c r="O582">
        <x:f ca="1">IFERROR(IF(0=LEN(ReferenceData!$O$582),"",ReferenceData!$O$582),"")</x:f>
        <x:v>0</x:v>
      </x:c>
      <x:c r="P582">
        <x:f ca="1">IFERROR(IF(0=LEN(ReferenceData!$P$582),"",ReferenceData!$P$582),"")</x:f>
        <x:v>-1.6073170000000001</x:v>
      </x:c>
      <x:c r="Q582">
        <x:f ca="1">IFERROR(IF(0=LEN(ReferenceData!$Q$582),"",ReferenceData!$Q$582),"")</x:f>
        <x:v>-5.0651630000000001</x:v>
      </x:c>
      <x:c r="R582">
        <x:f ca="1">IFERROR(IF(0=LEN(ReferenceData!$R$582),"",ReferenceData!$R$582),"")</x:f>
        <x:v>-2.9930889999999999</x:v>
      </x:c>
      <x:c r="S582">
        <x:f ca="1">IFERROR(IF(0=LEN(ReferenceData!$S$582),"",ReferenceData!$S$582),"")</x:f>
        <x:v>9.0144199999999994</x:v>
      </x:c>
    </x:row>
    <x:row r="583" spans="1:19" x14ac:dyDescent="0.25">
      <x:c r="A583" t="str">
        <x:f>IFERROR(IF(0=LEN(ReferenceData!$A$583),"",ReferenceData!$A$583),"")</x:f>
        <x:v xml:space="preserve">        Direxion Daily Utilities Bear</x:v>
      </x:c>
      <x:c r="B583" t="str">
        <x:f>IFERROR(IF(0=LEN(ReferenceData!$B$583),"",ReferenceData!$B$583),"")</x:f>
        <x:v>UTLZ US Equity</x:v>
      </x:c>
      <x:c r="C583" t="str">
        <x:f>IFERROR(IF(0=LEN(ReferenceData!$C$583),"",ReferenceData!$C$583),"")</x:f>
        <x:v/>
      </x:c>
      <x:c r="D583" t="str">
        <x:f>IFERROR(IF(0=LEN(ReferenceData!$D$583),"",ReferenceData!$D$583),"")</x:f>
        <x:v/>
      </x:c>
      <x:c r="E583" t="str">
        <x:f>IFERROR(IF(0=LEN(ReferenceData!$E$583),"",ReferenceData!$E$583),"")</x:f>
        <x:v>Expression</x:v>
      </x:c>
      <x:c r="F583" t="str">
        <x:f ca="1">IFERROR(IF(0=LEN(ReferenceData!$F$583),"",ReferenceData!$F$583),"")</x:f>
        <x:v/>
      </x:c>
      <x:c r="G583" t="str">
        <x:f ca="1">IFERROR(IF(0=LEN(ReferenceData!$G$583),"",ReferenceData!$G$583),"")</x:f>
        <x:v/>
      </x:c>
      <x:c r="H583" t="str">
        <x:f ca="1">IFERROR(IF(0=LEN(ReferenceData!$H$583),"",ReferenceData!$H$583),"")</x:f>
        <x:v/>
      </x:c>
      <x:c r="I583" t="str">
        <x:f ca="1">IFERROR(IF(0=LEN(ReferenceData!$I$583),"",ReferenceData!$I$583),"")</x:f>
        <x:v/>
      </x:c>
      <x:c r="J583" t="str">
        <x:f ca="1">IFERROR(IF(0=LEN(ReferenceData!$J$583),"",ReferenceData!$J$583),"")</x:f>
        <x:v/>
      </x:c>
      <x:c r="K583" t="str">
        <x:f ca="1">IFERROR(IF(0=LEN(ReferenceData!$K$583),"",ReferenceData!$K$583),"")</x:f>
        <x:v/>
      </x:c>
      <x:c r="L583" t="str">
        <x:f ca="1">IFERROR(IF(0=LEN(ReferenceData!$L$583),"",ReferenceData!$L$583),"")</x:f>
        <x:v/>
      </x:c>
      <x:c r="M583" t="str">
        <x:f ca="1">IFERROR(IF(0=LEN(ReferenceData!$M$583),"",ReferenceData!$M$583),"")</x:f>
        <x:v/>
      </x:c>
      <x:c r="N583" t="str">
        <x:f ca="1">IFERROR(IF(0=LEN(ReferenceData!$N$583),"",ReferenceData!$N$583),"")</x:f>
        <x:v/>
      </x:c>
      <x:c r="O583" t="str">
        <x:f ca="1">IFERROR(IF(0=LEN(ReferenceData!$O$583),"",ReferenceData!$O$583),"")</x:f>
        <x:v/>
      </x:c>
      <x:c r="P583" t="str">
        <x:f ca="1">IFERROR(IF(0=LEN(ReferenceData!$P$583),"",ReferenceData!$P$583),"")</x:f>
        <x:v/>
      </x:c>
      <x:c r="Q583" t="str">
        <x:f ca="1">IFERROR(IF(0=LEN(ReferenceData!$Q$583),"",ReferenceData!$Q$583),"")</x:f>
        <x:v/>
      </x:c>
      <x:c r="R583" t="str">
        <x:f ca="1">IFERROR(IF(0=LEN(ReferenceData!$R$583),"",ReferenceData!$R$583),"")</x:f>
        <x:v/>
      </x:c>
      <x:c r="S583" t="str">
        <x:f ca="1">IFERROR(IF(0=LEN(ReferenceData!$S$583),"",ReferenceData!$S$583),"")</x:f>
        <x:v/>
      </x:c>
    </x:row>
    <x:row r="584" spans="1:19" x14ac:dyDescent="0.25">
      <x:c r="A584" t="str">
        <x:f>IFERROR(IF(0=LEN(ReferenceData!$A$584),"",ReferenceData!$A$584),"")</x:f>
        <x:v xml:space="preserve">        Elkhorn S&amp;P MidCap Utilities P</x:v>
      </x:c>
      <x:c r="B584" t="str">
        <x:f>IFERROR(IF(0=LEN(ReferenceData!$B$584),"",ReferenceData!$B$584),"")</x:f>
        <x:v>XU US Equity</x:v>
      </x:c>
      <x:c r="C584" t="str">
        <x:f>IFERROR(IF(0=LEN(ReferenceData!$C$584),"",ReferenceData!$C$584),"")</x:f>
        <x:v/>
      </x:c>
      <x:c r="D584" t="str">
        <x:f>IFERROR(IF(0=LEN(ReferenceData!$D$584),"",ReferenceData!$D$584),"")</x:f>
        <x:v/>
      </x:c>
      <x:c r="E584" t="str">
        <x:f>IFERROR(IF(0=LEN(ReferenceData!$E$584),"",ReferenceData!$E$584),"")</x:f>
        <x:v>Expression</x:v>
      </x:c>
      <x:c r="F584" t="str">
        <x:f ca="1">IFERROR(IF(0=LEN(ReferenceData!$F$584),"",ReferenceData!$F$584),"")</x:f>
        <x:v/>
      </x:c>
      <x:c r="G584" t="str">
        <x:f ca="1">IFERROR(IF(0=LEN(ReferenceData!$G$584),"",ReferenceData!$G$584),"")</x:f>
        <x:v/>
      </x:c>
      <x:c r="H584" t="str">
        <x:f ca="1">IFERROR(IF(0=LEN(ReferenceData!$H$584),"",ReferenceData!$H$584),"")</x:f>
        <x:v/>
      </x:c>
      <x:c r="I584" t="str">
        <x:f ca="1">IFERROR(IF(0=LEN(ReferenceData!$I$584),"",ReferenceData!$I$584),"")</x:f>
        <x:v/>
      </x:c>
      <x:c r="J584" t="str">
        <x:f ca="1">IFERROR(IF(0=LEN(ReferenceData!$J$584),"",ReferenceData!$J$584),"")</x:f>
        <x:v/>
      </x:c>
      <x:c r="K584" t="str">
        <x:f ca="1">IFERROR(IF(0=LEN(ReferenceData!$K$584),"",ReferenceData!$K$584),"")</x:f>
        <x:v/>
      </x:c>
      <x:c r="L584" t="str">
        <x:f ca="1">IFERROR(IF(0=LEN(ReferenceData!$L$584),"",ReferenceData!$L$584),"")</x:f>
        <x:v/>
      </x:c>
      <x:c r="M584" t="str">
        <x:f ca="1">IFERROR(IF(0=LEN(ReferenceData!$M$584),"",ReferenceData!$M$584),"")</x:f>
        <x:v/>
      </x:c>
      <x:c r="N584" t="str">
        <x:f ca="1">IFERROR(IF(0=LEN(ReferenceData!$N$584),"",ReferenceData!$N$584),"")</x:f>
        <x:v/>
      </x:c>
      <x:c r="O584" t="str">
        <x:f ca="1">IFERROR(IF(0=LEN(ReferenceData!$O$584),"",ReferenceData!$O$584),"")</x:f>
        <x:v/>
      </x:c>
      <x:c r="P584" t="str">
        <x:f ca="1">IFERROR(IF(0=LEN(ReferenceData!$P$584),"",ReferenceData!$P$584),"")</x:f>
        <x:v/>
      </x:c>
      <x:c r="Q584" t="str">
        <x:f ca="1">IFERROR(IF(0=LEN(ReferenceData!$Q$584),"",ReferenceData!$Q$584),"")</x:f>
        <x:v/>
      </x:c>
      <x:c r="R584" t="str">
        <x:f ca="1">IFERROR(IF(0=LEN(ReferenceData!$R$584),"",ReferenceData!$R$584),"")</x:f>
        <x:v/>
      </x:c>
      <x:c r="S584" t="str">
        <x:f ca="1">IFERROR(IF(0=LEN(ReferenceData!$S$584),"",ReferenceData!$S$584),"")</x:f>
        <x:v/>
      </x:c>
    </x:row>
    <x:row r="585" spans="1:19" x14ac:dyDescent="0.25">
      <x:c r="A585" t="str">
        <x:f>IFERROR(IF(0=LEN(ReferenceData!$A$585),"",ReferenceData!$A$585),"")</x:f>
        <x:v xml:space="preserve">        PowerShares Japan Currency Hed</x:v>
      </x:c>
      <x:c r="B585" t="str">
        <x:f>IFERROR(IF(0=LEN(ReferenceData!$B$585),"",ReferenceData!$B$585),"")</x:f>
        <x:v>FXJP US Equity</x:v>
      </x:c>
      <x:c r="C585" t="str">
        <x:f>IFERROR(IF(0=LEN(ReferenceData!$C$585),"",ReferenceData!$C$585),"")</x:f>
        <x:v/>
      </x:c>
      <x:c r="D585" t="str">
        <x:f>IFERROR(IF(0=LEN(ReferenceData!$D$585),"",ReferenceData!$D$585),"")</x:f>
        <x:v/>
      </x:c>
      <x:c r="E585" t="str">
        <x:f>IFERROR(IF(0=LEN(ReferenceData!$E$585),"",ReferenceData!$E$585),"")</x:f>
        <x:v>Expression</x:v>
      </x:c>
      <x:c r="F585" t="str">
        <x:f ca="1">IFERROR(IF(0=LEN(ReferenceData!$F$585),"",ReferenceData!$F$585),"")</x:f>
        <x:v/>
      </x:c>
      <x:c r="G585" t="str">
        <x:f ca="1">IFERROR(IF(0=LEN(ReferenceData!$G$585),"",ReferenceData!$G$585),"")</x:f>
        <x:v/>
      </x:c>
      <x:c r="H585" t="str">
        <x:f ca="1">IFERROR(IF(0=LEN(ReferenceData!$H$585),"",ReferenceData!$H$585),"")</x:f>
        <x:v/>
      </x:c>
      <x:c r="I585" t="str">
        <x:f ca="1">IFERROR(IF(0=LEN(ReferenceData!$I$585),"",ReferenceData!$I$585),"")</x:f>
        <x:v/>
      </x:c>
      <x:c r="J585" t="str">
        <x:f ca="1">IFERROR(IF(0=LEN(ReferenceData!$J$585),"",ReferenceData!$J$585),"")</x:f>
        <x:v/>
      </x:c>
      <x:c r="K585" t="str">
        <x:f ca="1">IFERROR(IF(0=LEN(ReferenceData!$K$585),"",ReferenceData!$K$585),"")</x:f>
        <x:v/>
      </x:c>
      <x:c r="L585" t="str">
        <x:f ca="1">IFERROR(IF(0=LEN(ReferenceData!$L$585),"",ReferenceData!$L$585),"")</x:f>
        <x:v/>
      </x:c>
      <x:c r="M585" t="str">
        <x:f ca="1">IFERROR(IF(0=LEN(ReferenceData!$M$585),"",ReferenceData!$M$585),"")</x:f>
        <x:v/>
      </x:c>
      <x:c r="N585" t="str">
        <x:f ca="1">IFERROR(IF(0=LEN(ReferenceData!$N$585),"",ReferenceData!$N$585),"")</x:f>
        <x:v/>
      </x:c>
      <x:c r="O585" t="str">
        <x:f ca="1">IFERROR(IF(0=LEN(ReferenceData!$O$585),"",ReferenceData!$O$585),"")</x:f>
        <x:v/>
      </x:c>
      <x:c r="P585" t="str">
        <x:f ca="1">IFERROR(IF(0=LEN(ReferenceData!$P$585),"",ReferenceData!$P$585),"")</x:f>
        <x:v/>
      </x:c>
      <x:c r="Q585" t="str">
        <x:f ca="1">IFERROR(IF(0=LEN(ReferenceData!$Q$585),"",ReferenceData!$Q$585),"")</x:f>
        <x:v/>
      </x:c>
      <x:c r="R585" t="str">
        <x:f ca="1">IFERROR(IF(0=LEN(ReferenceData!$R$585),"",ReferenceData!$R$585),"")</x:f>
        <x:v/>
      </x:c>
      <x:c r="S585" t="str">
        <x:f ca="1">IFERROR(IF(0=LEN(ReferenceData!$S$585),"",ReferenceData!$S$585),"")</x:f>
        <x:v/>
      </x:c>
    </x:row>
    <x:row r="586" spans="1:19" x14ac:dyDescent="0.25">
      <x:c r="A586" t="str">
        <x:f>IFERROR(IF(0=LEN(ReferenceData!$A$586),"",ReferenceData!$A$586),"")</x:f>
        <x:v xml:space="preserve">        Global X MSCI China Utilities</x:v>
      </x:c>
      <x:c r="B586" t="str">
        <x:f>IFERROR(IF(0=LEN(ReferenceData!$B$586),"",ReferenceData!$B$586),"")</x:f>
        <x:v>CHIU US Equity</x:v>
      </x:c>
      <x:c r="C586" t="str">
        <x:f>IFERROR(IF(0=LEN(ReferenceData!$C$586),"",ReferenceData!$C$586),"")</x:f>
        <x:v/>
      </x:c>
      <x:c r="D586" t="str">
        <x:f>IFERROR(IF(0=LEN(ReferenceData!$D$586),"",ReferenceData!$D$586),"")</x:f>
        <x:v/>
      </x:c>
      <x:c r="E586" t="str">
        <x:f>IFERROR(IF(0=LEN(ReferenceData!$E$586),"",ReferenceData!$E$586),"")</x:f>
        <x:v>Expression</x:v>
      </x:c>
      <x:c r="F586">
        <x:f ca="1">IFERROR(IF(0=LEN(ReferenceData!$F$586),"",ReferenceData!$F$586),"")</x:f>
        <x:v>0</x:v>
      </x:c>
      <x:c r="G586">
        <x:f ca="1">IFERROR(IF(0=LEN(ReferenceData!$G$586),"",ReferenceData!$G$586),"")</x:f>
        <x:v>0</x:v>
      </x:c>
      <x:c r="H586">
        <x:f ca="1">IFERROR(IF(0=LEN(ReferenceData!$H$586),"",ReferenceData!$H$586),"")</x:f>
        <x:v>0</x:v>
      </x:c>
      <x:c r="I586">
        <x:f ca="1">IFERROR(IF(0=LEN(ReferenceData!$I$586),"",ReferenceData!$I$586),"")</x:f>
        <x:v>0</x:v>
      </x:c>
      <x:c r="J586">
        <x:f ca="1">IFERROR(IF(0=LEN(ReferenceData!$J$586),"",ReferenceData!$J$586),"")</x:f>
        <x:v>0</x:v>
      </x:c>
      <x:c r="K586">
        <x:f ca="1">IFERROR(IF(0=LEN(ReferenceData!$K$586),"",ReferenceData!$K$586),"")</x:f>
        <x:v>0</x:v>
      </x:c>
      <x:c r="L586">
        <x:f ca="1">IFERROR(IF(0=LEN(ReferenceData!$L$586),"",ReferenceData!$L$586),"")</x:f>
        <x:v>0</x:v>
      </x:c>
      <x:c r="M586">
        <x:f ca="1">IFERROR(IF(0=LEN(ReferenceData!$M$586),"",ReferenceData!$M$586),"")</x:f>
        <x:v>0</x:v>
      </x:c>
      <x:c r="N586">
        <x:f ca="1">IFERROR(IF(0=LEN(ReferenceData!$N$586),"",ReferenceData!$N$586),"")</x:f>
        <x:v>0</x:v>
      </x:c>
      <x:c r="O586">
        <x:f ca="1">IFERROR(IF(0=LEN(ReferenceData!$O$586),"",ReferenceData!$O$586),"")</x:f>
        <x:v>-0.29920000000000002</x:v>
      </x:c>
      <x:c r="P586">
        <x:f ca="1">IFERROR(IF(0=LEN(ReferenceData!$P$586),"",ReferenceData!$P$586),"")</x:f>
        <x:v>0</x:v>
      </x:c>
      <x:c r="Q586">
        <x:f ca="1">IFERROR(IF(0=LEN(ReferenceData!$Q$586),"",ReferenceData!$Q$586),"")</x:f>
        <x:v>0</x:v>
      </x:c>
      <x:c r="R586">
        <x:f ca="1">IFERROR(IF(0=LEN(ReferenceData!$R$586),"",ReferenceData!$R$586),"")</x:f>
        <x:v>-0.27079999999999999</x:v>
      </x:c>
      <x:c r="S586">
        <x:f ca="1">IFERROR(IF(0=LEN(ReferenceData!$S$586),"",ReferenceData!$S$586),"")</x:f>
        <x:v>0</x:v>
      </x:c>
    </x:row>
    <x:row r="587" spans="1:19" x14ac:dyDescent="0.25">
      <x:c r="A587" t="str">
        <x:f>IFERROR(IF(0=LEN(ReferenceData!$A$587),"",ReferenceData!$A$587),"")</x:f>
        <x:v xml:space="preserve">        Cushing Utility &amp; MLP ETF</x:v>
      </x:c>
      <x:c r="B587" t="str">
        <x:f>IFERROR(IF(0=LEN(ReferenceData!$B$587),"",ReferenceData!$B$587),"")</x:f>
        <x:v>XLUY US Equity</x:v>
      </x:c>
      <x:c r="C587" t="str">
        <x:f>IFERROR(IF(0=LEN(ReferenceData!$C$587),"",ReferenceData!$C$587),"")</x:f>
        <x:v/>
      </x:c>
      <x:c r="D587" t="str">
        <x:f>IFERROR(IF(0=LEN(ReferenceData!$D$587),"",ReferenceData!$D$587),"")</x:f>
        <x:v/>
      </x:c>
      <x:c r="E587" t="str">
        <x:f>IFERROR(IF(0=LEN(ReferenceData!$E$587),"",ReferenceData!$E$587),"")</x:f>
        <x:v>Expression</x:v>
      </x:c>
      <x:c r="F587" t="str">
        <x:f ca="1">IFERROR(IF(0=LEN(ReferenceData!$F$587),"",ReferenceData!$F$587),"")</x:f>
        <x:v/>
      </x:c>
      <x:c r="G587" t="str">
        <x:f ca="1">IFERROR(IF(0=LEN(ReferenceData!$G$587),"",ReferenceData!$G$587),"")</x:f>
        <x:v/>
      </x:c>
      <x:c r="H587" t="str">
        <x:f ca="1">IFERROR(IF(0=LEN(ReferenceData!$H$587),"",ReferenceData!$H$587),"")</x:f>
        <x:v/>
      </x:c>
      <x:c r="I587" t="str">
        <x:f ca="1">IFERROR(IF(0=LEN(ReferenceData!$I$587),"",ReferenceData!$I$587),"")</x:f>
        <x:v/>
      </x:c>
      <x:c r="J587" t="str">
        <x:f ca="1">IFERROR(IF(0=LEN(ReferenceData!$J$587),"",ReferenceData!$J$587),"")</x:f>
        <x:v/>
      </x:c>
      <x:c r="K587" t="str">
        <x:f ca="1">IFERROR(IF(0=LEN(ReferenceData!$K$587),"",ReferenceData!$K$587),"")</x:f>
        <x:v/>
      </x:c>
      <x:c r="L587" t="str">
        <x:f ca="1">IFERROR(IF(0=LEN(ReferenceData!$L$587),"",ReferenceData!$L$587),"")</x:f>
        <x:v/>
      </x:c>
      <x:c r="M587" t="str">
        <x:f ca="1">IFERROR(IF(0=LEN(ReferenceData!$M$587),"",ReferenceData!$M$587),"")</x:f>
        <x:v/>
      </x:c>
      <x:c r="N587" t="str">
        <x:f ca="1">IFERROR(IF(0=LEN(ReferenceData!$N$587),"",ReferenceData!$N$587),"")</x:f>
        <x:v/>
      </x:c>
      <x:c r="O587" t="str">
        <x:f ca="1">IFERROR(IF(0=LEN(ReferenceData!$O$587),"",ReferenceData!$O$587),"")</x:f>
        <x:v/>
      </x:c>
      <x:c r="P587" t="str">
        <x:f ca="1">IFERROR(IF(0=LEN(ReferenceData!$P$587),"",ReferenceData!$P$587),"")</x:f>
        <x:v/>
      </x:c>
      <x:c r="Q587" t="str">
        <x:f ca="1">IFERROR(IF(0=LEN(ReferenceData!$Q$587),"",ReferenceData!$Q$587),"")</x:f>
        <x:v/>
      </x:c>
      <x:c r="R587" t="str">
        <x:f ca="1">IFERROR(IF(0=LEN(ReferenceData!$R$587),"",ReferenceData!$R$587),"")</x:f>
        <x:v/>
      </x:c>
      <x:c r="S587" t="str">
        <x:f ca="1">IFERROR(IF(0=LEN(ReferenceData!$S$587),"",ReferenceData!$S$587),"")</x:f>
        <x:v/>
      </x:c>
    </x:row>
    <x:row r="588" spans="1:19" x14ac:dyDescent="0.25">
      <x:c r="A588" t="str">
        <x:f>IFERROR(IF(0=LEN(ReferenceData!$A$588),"",ReferenceData!$A$588),"")</x:f>
        <x:v xml:space="preserve">    Thematic</x:v>
      </x:c>
      <x:c r="B588" t="str">
        <x:f>IFERROR(IF(0=LEN(ReferenceData!$B$588),"",ReferenceData!$B$588),"")</x:f>
        <x:v/>
      </x:c>
      <x:c r="C588" t="str">
        <x:f>IFERROR(IF(0=LEN(ReferenceData!$C$588),"",ReferenceData!$C$588),"")</x:f>
        <x:v/>
      </x:c>
      <x:c r="D588" t="str">
        <x:f>IFERROR(IF(0=LEN(ReferenceData!$D$588),"",ReferenceData!$D$588),"")</x:f>
        <x:v/>
      </x:c>
      <x:c r="E588" t="str">
        <x:f>IFERROR(IF(0=LEN(ReferenceData!$E$588),"",ReferenceData!$E$588),"")</x:f>
        <x:v>Sum</x:v>
      </x:c>
      <x:c r="F588">
        <x:f ca="1">IFERROR(IF(0=LEN(ReferenceData!$F$588),"",ReferenceData!$F$588),"")</x:f>
        <x:v>-173.61963599999996</x:v>
      </x:c>
      <x:c r="G588">
        <x:f ca="1">IFERROR(IF(0=LEN(ReferenceData!$G$588),"",ReferenceData!$G$588),"")</x:f>
        <x:v>-1207.6387009999996</x:v>
      </x:c>
      <x:c r="H588">
        <x:f ca="1">IFERROR(IF(0=LEN(ReferenceData!$H$588),"",ReferenceData!$H$588),"")</x:f>
        <x:v>-679.84620599999994</x:v>
      </x:c>
      <x:c r="I588">
        <x:f ca="1">IFERROR(IF(0=LEN(ReferenceData!$I$588),"",ReferenceData!$I$588),"")</x:f>
        <x:v>-625.61263699999995</x:v>
      </x:c>
      <x:c r="J588">
        <x:f ca="1">IFERROR(IF(0=LEN(ReferenceData!$J$588),"",ReferenceData!$J$588),"")</x:f>
        <x:v>1477.4906800000001</x:v>
      </x:c>
      <x:c r="K588">
        <x:f ca="1">IFERROR(IF(0=LEN(ReferenceData!$K$588),"",ReferenceData!$K$588),"")</x:f>
        <x:v>806.26246700000013</x:v>
      </x:c>
      <x:c r="L588">
        <x:f ca="1">IFERROR(IF(0=LEN(ReferenceData!$L$588),"",ReferenceData!$L$588),"")</x:f>
        <x:v>-820.2598409999996</x:v>
      </x:c>
      <x:c r="M588">
        <x:f ca="1">IFERROR(IF(0=LEN(ReferenceData!$M$588),"",ReferenceData!$M$588),"")</x:f>
        <x:v>-823.52689200000009</x:v>
      </x:c>
      <x:c r="N588">
        <x:f ca="1">IFERROR(IF(0=LEN(ReferenceData!$N$588),"",ReferenceData!$N$588),"")</x:f>
        <x:v>-629.89405299999999</x:v>
      </x:c>
      <x:c r="O588">
        <x:f ca="1">IFERROR(IF(0=LEN(ReferenceData!$O$588),"",ReferenceData!$O$588),"")</x:f>
        <x:v>-1262.5671380000001</x:v>
      </x:c>
      <x:c r="P588">
        <x:f ca="1">IFERROR(IF(0=LEN(ReferenceData!$P$588),"",ReferenceData!$P$588),"")</x:f>
        <x:v>-753.13937699999985</x:v>
      </x:c>
      <x:c r="Q588">
        <x:f ca="1">IFERROR(IF(0=LEN(ReferenceData!$Q$588),"",ReferenceData!$Q$588),"")</x:f>
        <x:v>-1645.8153239999997</x:v>
      </x:c>
      <x:c r="R588">
        <x:f ca="1">IFERROR(IF(0=LEN(ReferenceData!$R$588),"",ReferenceData!$R$588),"")</x:f>
        <x:v>-25.073780999999983</x:v>
      </x:c>
      <x:c r="S588">
        <x:f ca="1">IFERROR(IF(0=LEN(ReferenceData!$S$588),"",ReferenceData!$S$588),"")</x:f>
        <x:v>-674.47669199999984</x:v>
      </x:c>
    </x:row>
    <x:row r="589" spans="1:19" x14ac:dyDescent="0.25">
      <x:c r="A589" t="str">
        <x:f>IFERROR(IF(0=LEN(ReferenceData!$A$589),"",ReferenceData!$A$589),"")</x:f>
        <x:v xml:space="preserve">        Innovation</x:v>
      </x:c>
      <x:c r="B589" t="str">
        <x:f>IFERROR(IF(0=LEN(ReferenceData!$B$589),"",ReferenceData!$B$589),"")</x:f>
        <x:v/>
      </x:c>
      <x:c r="C589" t="str">
        <x:f>IFERROR(IF(0=LEN(ReferenceData!$C$589),"",ReferenceData!$C$589),"")</x:f>
        <x:v/>
      </x:c>
      <x:c r="D589" t="str">
        <x:f>IFERROR(IF(0=LEN(ReferenceData!$D$589),"",ReferenceData!$D$589),"")</x:f>
        <x:v/>
      </x:c>
      <x:c r="E589" t="str">
        <x:f>IFERROR(IF(0=LEN(ReferenceData!$E$589),"",ReferenceData!$E$589),"")</x:f>
        <x:v>Sum</x:v>
      </x:c>
      <x:c r="F589">
        <x:f ca="1">IFERROR(IF(0=LEN(ReferenceData!$F$589),"",ReferenceData!$F$589),"")</x:f>
        <x:v>-119.494247</x:v>
      </x:c>
      <x:c r="G589">
        <x:f ca="1">IFERROR(IF(0=LEN(ReferenceData!$G$589),"",ReferenceData!$G$589),"")</x:f>
        <x:v>4.3874300000000002</x:v>
      </x:c>
      <x:c r="H589">
        <x:f ca="1">IFERROR(IF(0=LEN(ReferenceData!$H$589),"",ReferenceData!$H$589),"")</x:f>
        <x:v>-344.65380199999993</x:v>
      </x:c>
      <x:c r="I589">
        <x:f ca="1">IFERROR(IF(0=LEN(ReferenceData!$I$589),"",ReferenceData!$I$589),"")</x:f>
        <x:v>-114.808502</x:v>
      </x:c>
      <x:c r="J589">
        <x:f ca="1">IFERROR(IF(0=LEN(ReferenceData!$J$589),"",ReferenceData!$J$589),"")</x:f>
        <x:v>107.69222499999999</x:v>
      </x:c>
      <x:c r="K589">
        <x:f ca="1">IFERROR(IF(0=LEN(ReferenceData!$K$589),"",ReferenceData!$K$589),"")</x:f>
        <x:v>-466.19692200000003</x:v>
      </x:c>
      <x:c r="L589">
        <x:f ca="1">IFERROR(IF(0=LEN(ReferenceData!$L$589),"",ReferenceData!$L$589),"")</x:f>
        <x:v>128.76693100000006</x:v>
      </x:c>
      <x:c r="M589">
        <x:f ca="1">IFERROR(IF(0=LEN(ReferenceData!$M$589),"",ReferenceData!$M$589),"")</x:f>
        <x:v>-392.43741499999999</x:v>
      </x:c>
      <x:c r="N589">
        <x:f ca="1">IFERROR(IF(0=LEN(ReferenceData!$N$589),"",ReferenceData!$N$589),"")</x:f>
        <x:v>192.71395000000001</x:v>
      </x:c>
      <x:c r="O589">
        <x:f ca="1">IFERROR(IF(0=LEN(ReferenceData!$O$589),"",ReferenceData!$O$589),"")</x:f>
        <x:v>-4.8045120000000026</x:v>
      </x:c>
      <x:c r="P589">
        <x:f ca="1">IFERROR(IF(0=LEN(ReferenceData!$P$589),"",ReferenceData!$P$589),"")</x:f>
        <x:v>47.891721000000004</x:v>
      </x:c>
      <x:c r="Q589">
        <x:f ca="1">IFERROR(IF(0=LEN(ReferenceData!$Q$589),"",ReferenceData!$Q$589),"")</x:f>
        <x:v>-304.24829800000003</x:v>
      </x:c>
      <x:c r="R589">
        <x:f ca="1">IFERROR(IF(0=LEN(ReferenceData!$R$589),"",ReferenceData!$R$589),"")</x:f>
        <x:v>118.46945799999999</x:v>
      </x:c>
      <x:c r="S589">
        <x:f ca="1">IFERROR(IF(0=LEN(ReferenceData!$S$589),"",ReferenceData!$S$589),"")</x:f>
        <x:v>-46.249356000000006</x:v>
      </x:c>
    </x:row>
    <x:row r="590" spans="1:19" x14ac:dyDescent="0.25">
      <x:c r="A590" t="str">
        <x:f>IFERROR(IF(0=LEN(ReferenceData!$A$590),"",ReferenceData!$A$590),"")</x:f>
        <x:v xml:space="preserve">            ARK Innovation ETF</x:v>
      </x:c>
      <x:c r="B590" t="str">
        <x:f>IFERROR(IF(0=LEN(ReferenceData!$B$590),"",ReferenceData!$B$590),"")</x:f>
        <x:v>ARKK US Equity</x:v>
      </x:c>
      <x:c r="C590" t="str">
        <x:f>IFERROR(IF(0=LEN(ReferenceData!$C$590),"",ReferenceData!$C$590),"")</x:f>
        <x:v/>
      </x:c>
      <x:c r="D590" t="str">
        <x:f>IFERROR(IF(0=LEN(ReferenceData!$D$590),"",ReferenceData!$D$590),"")</x:f>
        <x:v/>
      </x:c>
      <x:c r="E590" t="str">
        <x:f>IFERROR(IF(0=LEN(ReferenceData!$E$590),"",ReferenceData!$E$590),"")</x:f>
        <x:v>Expression</x:v>
      </x:c>
      <x:c r="F590">
        <x:f ca="1">IFERROR(IF(0=LEN(ReferenceData!$F$590),"",ReferenceData!$F$590),"")</x:f>
        <x:v>0.50616899999999998</x:v>
      </x:c>
      <x:c r="G590">
        <x:f ca="1">IFERROR(IF(0=LEN(ReferenceData!$G$590),"",ReferenceData!$G$590),"")</x:f>
        <x:v>13.672124</x:v>
      </x:c>
      <x:c r="H590">
        <x:f ca="1">IFERROR(IF(0=LEN(ReferenceData!$H$590),"",ReferenceData!$H$590),"")</x:f>
        <x:v>-388.89700399999998</x:v>
      </x:c>
      <x:c r="I590">
        <x:f ca="1">IFERROR(IF(0=LEN(ReferenceData!$I$590),"",ReferenceData!$I$590),"")</x:f>
        <x:v>-162.055589</x:v>
      </x:c>
      <x:c r="J590">
        <x:f ca="1">IFERROR(IF(0=LEN(ReferenceData!$J$590),"",ReferenceData!$J$590),"")</x:f>
        <x:v>223.801975</x:v>
      </x:c>
      <x:c r="K590">
        <x:f ca="1">IFERROR(IF(0=LEN(ReferenceData!$K$590),"",ReferenceData!$K$590),"")</x:f>
        <x:v>-455.01640700000002</x:v>
      </x:c>
      <x:c r="L590">
        <x:f ca="1">IFERROR(IF(0=LEN(ReferenceData!$L$590),"",ReferenceData!$L$590),"")</x:f>
        <x:v>133.68004400000001</x:v>
      </x:c>
      <x:c r="M590">
        <x:f ca="1">IFERROR(IF(0=LEN(ReferenceData!$M$590),"",ReferenceData!$M$590),"")</x:f>
        <x:v>-399.35855500000002</x:v>
      </x:c>
      <x:c r="N590">
        <x:f ca="1">IFERROR(IF(0=LEN(ReferenceData!$N$590),"",ReferenceData!$N$590),"")</x:f>
        <x:v>182.74765199999999</x:v>
      </x:c>
      <x:c r="O590">
        <x:f ca="1">IFERROR(IF(0=LEN(ReferenceData!$O$590),"",ReferenceData!$O$590),"")</x:f>
        <x:v>17.214905999999999</x:v>
      </x:c>
      <x:c r="P590">
        <x:f ca="1">IFERROR(IF(0=LEN(ReferenceData!$P$590),"",ReferenceData!$P$590),"")</x:f>
        <x:v>-0.80704100000000001</x:v>
      </x:c>
      <x:c r="Q590">
        <x:f ca="1">IFERROR(IF(0=LEN(ReferenceData!$Q$590),"",ReferenceData!$Q$590),"")</x:f>
        <x:v>-292.99554999999998</x:v>
      </x:c>
      <x:c r="R590">
        <x:f ca="1">IFERROR(IF(0=LEN(ReferenceData!$R$590),"",ReferenceData!$R$590),"")</x:f>
        <x:v>69.312742</x:v>
      </x:c>
      <x:c r="S590">
        <x:f ca="1">IFERROR(IF(0=LEN(ReferenceData!$S$590),"",ReferenceData!$S$590),"")</x:f>
        <x:v>-57.107751</x:v>
      </x:c>
    </x:row>
    <x:row r="591" spans="1:19" x14ac:dyDescent="0.25">
      <x:c r="A591" t="str">
        <x:f>IFERROR(IF(0=LEN(ReferenceData!$A$591),"",ReferenceData!$A$591),"")</x:f>
        <x:v xml:space="preserve">            iShares Exponential Technologi</x:v>
      </x:c>
      <x:c r="B591" t="str">
        <x:f>IFERROR(IF(0=LEN(ReferenceData!$B$591),"",ReferenceData!$B$591),"")</x:f>
        <x:v>XT US Equity</x:v>
      </x:c>
      <x:c r="C591" t="str">
        <x:f>IFERROR(IF(0=LEN(ReferenceData!$C$591),"",ReferenceData!$C$591),"")</x:f>
        <x:v/>
      </x:c>
      <x:c r="D591" t="str">
        <x:f>IFERROR(IF(0=LEN(ReferenceData!$D$591),"",ReferenceData!$D$591),"")</x:f>
        <x:v/>
      </x:c>
      <x:c r="E591" t="str">
        <x:f>IFERROR(IF(0=LEN(ReferenceData!$E$591),"",ReferenceData!$E$591),"")</x:f>
        <x:v>Expression</x:v>
      </x:c>
      <x:c r="F591">
        <x:f ca="1">IFERROR(IF(0=LEN(ReferenceData!$F$591),"",ReferenceData!$F$591),"")</x:f>
        <x:v>0</x:v>
      </x:c>
      <x:c r="G591">
        <x:f ca="1">IFERROR(IF(0=LEN(ReferenceData!$G$591),"",ReferenceData!$G$591),"")</x:f>
        <x:v>-30.837333999999998</x:v>
      </x:c>
      <x:c r="H591">
        <x:f ca="1">IFERROR(IF(0=LEN(ReferenceData!$H$591),"",ReferenceData!$H$591),"")</x:f>
        <x:v>16.141563000000001</x:v>
      </x:c>
      <x:c r="I591">
        <x:f ca="1">IFERROR(IF(0=LEN(ReferenceData!$I$591),"",ReferenceData!$I$591),"")</x:f>
        <x:v>0</x:v>
      </x:c>
      <x:c r="J591">
        <x:f ca="1">IFERROR(IF(0=LEN(ReferenceData!$J$591),"",ReferenceData!$J$591),"")</x:f>
        <x:v>-31.227135000000001</x:v>
      </x:c>
      <x:c r="K591">
        <x:f ca="1">IFERROR(IF(0=LEN(ReferenceData!$K$591),"",ReferenceData!$K$591),"")</x:f>
        <x:v>-35.247515</x:v>
      </x:c>
      <x:c r="L591">
        <x:f ca="1">IFERROR(IF(0=LEN(ReferenceData!$L$591),"",ReferenceData!$L$591),"")</x:f>
        <x:v>0</x:v>
      </x:c>
      <x:c r="M591">
        <x:f ca="1">IFERROR(IF(0=LEN(ReferenceData!$M$591),"",ReferenceData!$M$591),"")</x:f>
        <x:v>0</x:v>
      </x:c>
      <x:c r="N591">
        <x:f ca="1">IFERROR(IF(0=LEN(ReferenceData!$N$591),"",ReferenceData!$N$591),"")</x:f>
        <x:v>-22.802849999999999</x:v>
      </x:c>
      <x:c r="O591">
        <x:f ca="1">IFERROR(IF(0=LEN(ReferenceData!$O$591),"",ReferenceData!$O$591),"")</x:f>
        <x:v>-5.1255699999999997</x:v>
      </x:c>
      <x:c r="P591">
        <x:f ca="1">IFERROR(IF(0=LEN(ReferenceData!$P$591),"",ReferenceData!$P$591),"")</x:f>
        <x:v>25.950489999999999</x:v>
      </x:c>
      <x:c r="Q591">
        <x:f ca="1">IFERROR(IF(0=LEN(ReferenceData!$Q$591),"",ReferenceData!$Q$591),"")</x:f>
        <x:v>7.6218750000000002</x:v>
      </x:c>
      <x:c r="R591">
        <x:f ca="1">IFERROR(IF(0=LEN(ReferenceData!$R$591),"",ReferenceData!$R$591),"")</x:f>
        <x:v>39.690795000000001</x:v>
      </x:c>
      <x:c r="S591">
        <x:f ca="1">IFERROR(IF(0=LEN(ReferenceData!$S$591),"",ReferenceData!$S$591),"")</x:f>
        <x:v>-4.8761200000000002</x:v>
      </x:c>
    </x:row>
    <x:row r="592" spans="1:19" x14ac:dyDescent="0.25">
      <x:c r="A592" t="str">
        <x:f>IFERROR(IF(0=LEN(ReferenceData!$A$592),"",ReferenceData!$A$592),"")</x:f>
        <x:v xml:space="preserve">            SPDR S&amp;P Kensho New Economies</x:v>
      </x:c>
      <x:c r="B592" t="str">
        <x:f>IFERROR(IF(0=LEN(ReferenceData!$B$592),"",ReferenceData!$B$592),"")</x:f>
        <x:v>KOMP US Equity</x:v>
      </x:c>
      <x:c r="C592" t="str">
        <x:f>IFERROR(IF(0=LEN(ReferenceData!$C$592),"",ReferenceData!$C$592),"")</x:f>
        <x:v/>
      </x:c>
      <x:c r="D592" t="str">
        <x:f>IFERROR(IF(0=LEN(ReferenceData!$D$592),"",ReferenceData!$D$592),"")</x:f>
        <x:v/>
      </x:c>
      <x:c r="E592" t="str">
        <x:f>IFERROR(IF(0=LEN(ReferenceData!$E$592),"",ReferenceData!$E$592),"")</x:f>
        <x:v>Expression</x:v>
      </x:c>
      <x:c r="F592">
        <x:f ca="1">IFERROR(IF(0=LEN(ReferenceData!$F$592),"",ReferenceData!$F$592),"")</x:f>
        <x:v>-4.3970560000000001</x:v>
      </x:c>
      <x:c r="G592">
        <x:f ca="1">IFERROR(IF(0=LEN(ReferenceData!$G$592),"",ReferenceData!$G$592),"")</x:f>
        <x:v>2.293631</x:v>
      </x:c>
      <x:c r="H592">
        <x:f ca="1">IFERROR(IF(0=LEN(ReferenceData!$H$592),"",ReferenceData!$H$592),"")</x:f>
        <x:v>17.883178000000001</x:v>
      </x:c>
      <x:c r="I592">
        <x:f ca="1">IFERROR(IF(0=LEN(ReferenceData!$I$592),"",ReferenceData!$I$592),"")</x:f>
        <x:v>5.8703890000000003</x:v>
      </x:c>
      <x:c r="J592">
        <x:f ca="1">IFERROR(IF(0=LEN(ReferenceData!$J$592),"",ReferenceData!$J$592),"")</x:f>
        <x:v>-2.7715109999999998</x:v>
      </x:c>
      <x:c r="K592">
        <x:f ca="1">IFERROR(IF(0=LEN(ReferenceData!$K$592),"",ReferenceData!$K$592),"")</x:f>
        <x:v>12.215216</x:v>
      </x:c>
      <x:c r="L592">
        <x:f ca="1">IFERROR(IF(0=LEN(ReferenceData!$L$592),"",ReferenceData!$L$592),"")</x:f>
        <x:v>19.134311</x:v>
      </x:c>
      <x:c r="M592">
        <x:f ca="1">IFERROR(IF(0=LEN(ReferenceData!$M$592),"",ReferenceData!$M$592),"")</x:f>
        <x:v>5.8301100000000003</x:v>
      </x:c>
      <x:c r="N592">
        <x:f ca="1">IFERROR(IF(0=LEN(ReferenceData!$N$592),"",ReferenceData!$N$592),"")</x:f>
        <x:v>7.9877789999999997</x:v>
      </x:c>
      <x:c r="O592">
        <x:f ca="1">IFERROR(IF(0=LEN(ReferenceData!$O$592),"",ReferenceData!$O$592),"")</x:f>
        <x:v>5.544842</x:v>
      </x:c>
      <x:c r="P592">
        <x:f ca="1">IFERROR(IF(0=LEN(ReferenceData!$P$592),"",ReferenceData!$P$592),"")</x:f>
        <x:v>25.486613999999999</x:v>
      </x:c>
      <x:c r="Q592">
        <x:f ca="1">IFERROR(IF(0=LEN(ReferenceData!$Q$592),"",ReferenceData!$Q$592),"")</x:f>
        <x:v>-36.916474000000001</x:v>
      </x:c>
      <x:c r="R592">
        <x:f ca="1">IFERROR(IF(0=LEN(ReferenceData!$R$592),"",ReferenceData!$R$592),"")</x:f>
        <x:v>3.4776060000000002</x:v>
      </x:c>
      <x:c r="S592">
        <x:f ca="1">IFERROR(IF(0=LEN(ReferenceData!$S$592),"",ReferenceData!$S$592),"")</x:f>
        <x:v>18.007932</x:v>
      </x:c>
    </x:row>
    <x:row r="593" spans="1:19" x14ac:dyDescent="0.25">
      <x:c r="A593" t="str">
        <x:f>IFERROR(IF(0=LEN(ReferenceData!$A$593),"",ReferenceData!$A$593),"")</x:f>
        <x:v xml:space="preserve">            Global X Thematic Growth ETF</x:v>
      </x:c>
      <x:c r="B593" t="str">
        <x:f>IFERROR(IF(0=LEN(ReferenceData!$B$593),"",ReferenceData!$B$593),"")</x:f>
        <x:v>GXTG US Equity</x:v>
      </x:c>
      <x:c r="C593" t="str">
        <x:f>IFERROR(IF(0=LEN(ReferenceData!$C$593),"",ReferenceData!$C$593),"")</x:f>
        <x:v/>
      </x:c>
      <x:c r="D593" t="str">
        <x:f>IFERROR(IF(0=LEN(ReferenceData!$D$593),"",ReferenceData!$D$593),"")</x:f>
        <x:v/>
      </x:c>
      <x:c r="E593" t="str">
        <x:f>IFERROR(IF(0=LEN(ReferenceData!$E$593),"",ReferenceData!$E$593),"")</x:f>
        <x:v>Expression</x:v>
      </x:c>
      <x:c r="F593">
        <x:f ca="1">IFERROR(IF(0=LEN(ReferenceData!$F$593),"",ReferenceData!$F$593),"")</x:f>
        <x:v>0</x:v>
      </x:c>
      <x:c r="G593">
        <x:f ca="1">IFERROR(IF(0=LEN(ReferenceData!$G$593),"",ReferenceData!$G$593),"")</x:f>
        <x:v>1.1445000000000001</x:v>
      </x:c>
      <x:c r="H593">
        <x:f ca="1">IFERROR(IF(0=LEN(ReferenceData!$H$593),"",ReferenceData!$H$593),"")</x:f>
        <x:v>-0.23430000000000001</x:v>
      </x:c>
      <x:c r="I593">
        <x:f ca="1">IFERROR(IF(0=LEN(ReferenceData!$I$593),"",ReferenceData!$I$593),"")</x:f>
        <x:v>0.49340000000000001</x:v>
      </x:c>
      <x:c r="J593">
        <x:f ca="1">IFERROR(IF(0=LEN(ReferenceData!$J$593),"",ReferenceData!$J$593),"")</x:f>
        <x:v>-2.5823999999999998</x:v>
      </x:c>
      <x:c r="K593">
        <x:f ca="1">IFERROR(IF(0=LEN(ReferenceData!$K$593),"",ReferenceData!$K$593),"")</x:f>
        <x:v>-2.5590000000000002</x:v>
      </x:c>
      <x:c r="L593">
        <x:f ca="1">IFERROR(IF(0=LEN(ReferenceData!$L$593),"",ReferenceData!$L$593),"")</x:f>
        <x:v>-1.4936</x:v>
      </x:c>
      <x:c r="M593">
        <x:f ca="1">IFERROR(IF(0=LEN(ReferenceData!$M$593),"",ReferenceData!$M$593),"")</x:f>
        <x:v>0</x:v>
      </x:c>
      <x:c r="N593">
        <x:f ca="1">IFERROR(IF(0=LEN(ReferenceData!$N$593),"",ReferenceData!$N$593),"")</x:f>
        <x:v>-1.7059</x:v>
      </x:c>
      <x:c r="O593">
        <x:f ca="1">IFERROR(IF(0=LEN(ReferenceData!$O$593),"",ReferenceData!$O$593),"")</x:f>
        <x:v>-4.4025999999999996</x:v>
      </x:c>
      <x:c r="P593">
        <x:f ca="1">IFERROR(IF(0=LEN(ReferenceData!$P$593),"",ReferenceData!$P$593),"")</x:f>
        <x:v>1.0761000000000001</x:v>
      </x:c>
      <x:c r="Q593">
        <x:f ca="1">IFERROR(IF(0=LEN(ReferenceData!$Q$593),"",ReferenceData!$Q$593),"")</x:f>
        <x:v>-0.2928</x:v>
      </x:c>
      <x:c r="R593">
        <x:f ca="1">IFERROR(IF(0=LEN(ReferenceData!$R$593),"",ReferenceData!$R$593),"")</x:f>
        <x:v>-3.3929999999999998</x:v>
      </x:c>
      <x:c r="S593">
        <x:f ca="1">IFERROR(IF(0=LEN(ReferenceData!$S$593),"",ReferenceData!$S$593),"")</x:f>
        <x:v>-3.3948999999999998</x:v>
      </x:c>
    </x:row>
    <x:row r="594" spans="1:19" x14ac:dyDescent="0.25">
      <x:c r="A594" t="str">
        <x:f>IFERROR(IF(0=LEN(ReferenceData!$A$594),"",ReferenceData!$A$594),"")</x:f>
        <x:v xml:space="preserve">            ALPS Disruptive Technologies E</x:v>
      </x:c>
      <x:c r="B594" t="str">
        <x:f>IFERROR(IF(0=LEN(ReferenceData!$B$594),"",ReferenceData!$B$594),"")</x:f>
        <x:v>DTEC US Equity</x:v>
      </x:c>
      <x:c r="C594" t="str">
        <x:f>IFERROR(IF(0=LEN(ReferenceData!$C$594),"",ReferenceData!$C$594),"")</x:f>
        <x:v/>
      </x:c>
      <x:c r="D594" t="str">
        <x:f>IFERROR(IF(0=LEN(ReferenceData!$D$594),"",ReferenceData!$D$594),"")</x:f>
        <x:v/>
      </x:c>
      <x:c r="E594" t="str">
        <x:f>IFERROR(IF(0=LEN(ReferenceData!$E$594),"",ReferenceData!$E$594),"")</x:f>
        <x:v>Expression</x:v>
      </x:c>
      <x:c r="F594">
        <x:f ca="1">IFERROR(IF(0=LEN(ReferenceData!$F$594),"",ReferenceData!$F$594),"")</x:f>
        <x:v>-5.2795529999999999</x:v>
      </x:c>
      <x:c r="G594">
        <x:f ca="1">IFERROR(IF(0=LEN(ReferenceData!$G$594),"",ReferenceData!$G$594),"")</x:f>
        <x:v>0</x:v>
      </x:c>
      <x:c r="H594">
        <x:f ca="1">IFERROR(IF(0=LEN(ReferenceData!$H$594),"",ReferenceData!$H$594),"")</x:f>
        <x:v>-1.772268</x:v>
      </x:c>
      <x:c r="I594">
        <x:f ca="1">IFERROR(IF(0=LEN(ReferenceData!$I$594),"",ReferenceData!$I$594),"")</x:f>
        <x:v>-2.8072490000000001</x:v>
      </x:c>
      <x:c r="J594">
        <x:f ca="1">IFERROR(IF(0=LEN(ReferenceData!$J$594),"",ReferenceData!$J$594),"")</x:f>
        <x:v>0</x:v>
      </x:c>
      <x:c r="K594">
        <x:f ca="1">IFERROR(IF(0=LEN(ReferenceData!$K$594),"",ReferenceData!$K$594),"")</x:f>
        <x:v>-9.5196839999999998</x:v>
      </x:c>
      <x:c r="L594">
        <x:f ca="1">IFERROR(IF(0=LEN(ReferenceData!$L$594),"",ReferenceData!$L$594),"")</x:f>
        <x:v>-1.8240400000000001</x:v>
      </x:c>
      <x:c r="M594">
        <x:f ca="1">IFERROR(IF(0=LEN(ReferenceData!$M$594),"",ReferenceData!$M$594),"")</x:f>
        <x:v>-2.725447</x:v>
      </x:c>
      <x:c r="N594">
        <x:f ca="1">IFERROR(IF(0=LEN(ReferenceData!$N$594),"",ReferenceData!$N$594),"")</x:f>
        <x:v>-0.89238499999999998</x:v>
      </x:c>
      <x:c r="O594">
        <x:f ca="1">IFERROR(IF(0=LEN(ReferenceData!$O$594),"",ReferenceData!$O$594),"")</x:f>
        <x:v>0</x:v>
      </x:c>
      <x:c r="P594">
        <x:f ca="1">IFERROR(IF(0=LEN(ReferenceData!$P$594),"",ReferenceData!$P$594),"")</x:f>
        <x:v>-0.90507099999999996</x:v>
      </x:c>
      <x:c r="Q594">
        <x:f ca="1">IFERROR(IF(0=LEN(ReferenceData!$Q$594),"",ReferenceData!$Q$594),"")</x:f>
        <x:v>-9.4121140000000008</x:v>
      </x:c>
      <x:c r="R594">
        <x:f ca="1">IFERROR(IF(0=LEN(ReferenceData!$R$594),"",ReferenceData!$R$594),"")</x:f>
        <x:v>0</x:v>
      </x:c>
      <x:c r="S594">
        <x:f ca="1">IFERROR(IF(0=LEN(ReferenceData!$S$594),"",ReferenceData!$S$594),"")</x:f>
        <x:v>-3.230791</x:v>
      </x:c>
    </x:row>
    <x:row r="595" spans="1:19" x14ac:dyDescent="0.25">
      <x:c r="A595" t="str">
        <x:f>IFERROR(IF(0=LEN(ReferenceData!$A$595),"",ReferenceData!$A$595),"")</x:f>
        <x:v xml:space="preserve">            ProShares MSCI Transformationa</x:v>
      </x:c>
      <x:c r="B595" t="str">
        <x:f>IFERROR(IF(0=LEN(ReferenceData!$B$595),"",ReferenceData!$B$595),"")</x:f>
        <x:v>ANEW US Equity</x:v>
      </x:c>
      <x:c r="C595" t="str">
        <x:f>IFERROR(IF(0=LEN(ReferenceData!$C$595),"",ReferenceData!$C$595),"")</x:f>
        <x:v/>
      </x:c>
      <x:c r="D595" t="str">
        <x:f>IFERROR(IF(0=LEN(ReferenceData!$D$595),"",ReferenceData!$D$595),"")</x:f>
        <x:v/>
      </x:c>
      <x:c r="E595" t="str">
        <x:f>IFERROR(IF(0=LEN(ReferenceData!$E$595),"",ReferenceData!$E$595),"")</x:f>
        <x:v>Expression</x:v>
      </x:c>
      <x:c r="F595">
        <x:f ca="1">IFERROR(IF(0=LEN(ReferenceData!$F$595),"",ReferenceData!$F$595),"")</x:f>
        <x:v>0</x:v>
      </x:c>
      <x:c r="G595">
        <x:f ca="1">IFERROR(IF(0=LEN(ReferenceData!$G$595),"",ReferenceData!$G$595),"")</x:f>
        <x:v>0</x:v>
      </x:c>
      <x:c r="H595">
        <x:f ca="1">IFERROR(IF(0=LEN(ReferenceData!$H$595),"",ReferenceData!$H$595),"")</x:f>
        <x:v>0</x:v>
      </x:c>
      <x:c r="I595">
        <x:f ca="1">IFERROR(IF(0=LEN(ReferenceData!$I$595),"",ReferenceData!$I$595),"")</x:f>
        <x:v>0</x:v>
      </x:c>
      <x:c r="J595">
        <x:f ca="1">IFERROR(IF(0=LEN(ReferenceData!$J$595),"",ReferenceData!$J$595),"")</x:f>
        <x:v>-0.95162199999999997</x:v>
      </x:c>
      <x:c r="K595">
        <x:f ca="1">IFERROR(IF(0=LEN(ReferenceData!$K$595),"",ReferenceData!$K$595),"")</x:f>
        <x:v>-1.82477</x:v>
      </x:c>
      <x:c r="L595">
        <x:f ca="1">IFERROR(IF(0=LEN(ReferenceData!$L$595),"",ReferenceData!$L$595),"")</x:f>
        <x:v>-3.46319</x:v>
      </x:c>
      <x:c r="M595">
        <x:f ca="1">IFERROR(IF(0=LEN(ReferenceData!$M$595),"",ReferenceData!$M$595),"")</x:f>
        <x:v>-0.87296300000000004</x:v>
      </x:c>
      <x:c r="N595">
        <x:f ca="1">IFERROR(IF(0=LEN(ReferenceData!$N$595),"",ReferenceData!$N$595),"")</x:f>
        <x:v>0</x:v>
      </x:c>
      <x:c r="O595">
        <x:f ca="1">IFERROR(IF(0=LEN(ReferenceData!$O$595),"",ReferenceData!$O$595),"")</x:f>
        <x:v>0</x:v>
      </x:c>
      <x:c r="P595">
        <x:f ca="1">IFERROR(IF(0=LEN(ReferenceData!$P$595),"",ReferenceData!$P$595),"")</x:f>
        <x:v>0</x:v>
      </x:c>
      <x:c r="Q595">
        <x:f ca="1">IFERROR(IF(0=LEN(ReferenceData!$Q$595),"",ReferenceData!$Q$595),"")</x:f>
        <x:v>-3.2315100000000001</x:v>
      </x:c>
      <x:c r="R595">
        <x:f ca="1">IFERROR(IF(0=LEN(ReferenceData!$R$595),"",ReferenceData!$R$595),"")</x:f>
        <x:v>-7.2027599999999996</x:v>
      </x:c>
      <x:c r="S595">
        <x:f ca="1">IFERROR(IF(0=LEN(ReferenceData!$S$595),"",ReferenceData!$S$595),"")</x:f>
        <x:v>0</x:v>
      </x:c>
    </x:row>
    <x:row r="596" spans="1:19" x14ac:dyDescent="0.25">
      <x:c r="A596" t="str">
        <x:f>IFERROR(IF(0=LEN(ReferenceData!$A$596),"",ReferenceData!$A$596),"")</x:f>
        <x:v xml:space="preserve">            Goldman Sachs Innovate Equity</x:v>
      </x:c>
      <x:c r="B596" t="str">
        <x:f>IFERROR(IF(0=LEN(ReferenceData!$B$596),"",ReferenceData!$B$596),"")</x:f>
        <x:v>GINN US Equity</x:v>
      </x:c>
      <x:c r="C596" t="str">
        <x:f>IFERROR(IF(0=LEN(ReferenceData!$C$596),"",ReferenceData!$C$596),"")</x:f>
        <x:v/>
      </x:c>
      <x:c r="D596" t="str">
        <x:f>IFERROR(IF(0=LEN(ReferenceData!$D$596),"",ReferenceData!$D$596),"")</x:f>
        <x:v/>
      </x:c>
      <x:c r="E596" t="str">
        <x:f>IFERROR(IF(0=LEN(ReferenceData!$E$596),"",ReferenceData!$E$596),"")</x:f>
        <x:v>Expression</x:v>
      </x:c>
      <x:c r="F596">
        <x:f ca="1">IFERROR(IF(0=LEN(ReferenceData!$F$596),"",ReferenceData!$F$596),"")</x:f>
        <x:v>0</x:v>
      </x:c>
      <x:c r="G596">
        <x:f ca="1">IFERROR(IF(0=LEN(ReferenceData!$G$596),"",ReferenceData!$G$596),"")</x:f>
        <x:v>0</x:v>
      </x:c>
      <x:c r="H596">
        <x:f ca="1">IFERROR(IF(0=LEN(ReferenceData!$H$596),"",ReferenceData!$H$596),"")</x:f>
        <x:v>0</x:v>
      </x:c>
      <x:c r="I596">
        <x:f ca="1">IFERROR(IF(0=LEN(ReferenceData!$I$596),"",ReferenceData!$I$596),"")</x:f>
        <x:v>-2.6359240000000002</x:v>
      </x:c>
      <x:c r="J596">
        <x:f ca="1">IFERROR(IF(0=LEN(ReferenceData!$J$596),"",ReferenceData!$J$596),"")</x:f>
        <x:v>-2.5797279999999998</x:v>
      </x:c>
      <x:c r="K596">
        <x:f ca="1">IFERROR(IF(0=LEN(ReferenceData!$K$596),"",ReferenceData!$K$596),"")</x:f>
        <x:v>-4.8105580000000003</x:v>
      </x:c>
      <x:c r="L596">
        <x:f ca="1">IFERROR(IF(0=LEN(ReferenceData!$L$596),"",ReferenceData!$L$596),"")</x:f>
        <x:v>0</x:v>
      </x:c>
      <x:c r="M596">
        <x:f ca="1">IFERROR(IF(0=LEN(ReferenceData!$M$596),"",ReferenceData!$M$596),"")</x:f>
        <x:v>-2.2909630000000001</x:v>
      </x:c>
      <x:c r="N596">
        <x:f ca="1">IFERROR(IF(0=LEN(ReferenceData!$N$596),"",ReferenceData!$N$596),"")</x:f>
        <x:v>-4.3165849999999999</x:v>
      </x:c>
      <x:c r="O596">
        <x:f ca="1">IFERROR(IF(0=LEN(ReferenceData!$O$596),"",ReferenceData!$O$596),"")</x:f>
        <x:v>-9.0714400000000008</x:v>
      </x:c>
      <x:c r="P596">
        <x:f ca="1">IFERROR(IF(0=LEN(ReferenceData!$P$596),"",ReferenceData!$P$596),"")</x:f>
        <x:v>0.11509999999999999</x:v>
      </x:c>
      <x:c r="Q596">
        <x:f ca="1">IFERROR(IF(0=LEN(ReferenceData!$Q$596),"",ReferenceData!$Q$596),"")</x:f>
        <x:v>-18.171395</x:v>
      </x:c>
      <x:c r="R596">
        <x:f ca="1">IFERROR(IF(0=LEN(ReferenceData!$R$596),"",ReferenceData!$R$596),"")</x:f>
        <x:v>14.956547</x:v>
      </x:c>
      <x:c r="S596">
        <x:f ca="1">IFERROR(IF(0=LEN(ReferenceData!$S$596),"",ReferenceData!$S$596),"")</x:f>
        <x:v>-1.9779949999999999</x:v>
      </x:c>
    </x:row>
    <x:row r="597" spans="1:19" x14ac:dyDescent="0.25">
      <x:c r="A597" t="str">
        <x:f>IFERROR(IF(0=LEN(ReferenceData!$A$597),"",ReferenceData!$A$597),"")</x:f>
        <x:v xml:space="preserve">            Direxion Moonshot Innovators E</x:v>
      </x:c>
      <x:c r="B597" t="str">
        <x:f>IFERROR(IF(0=LEN(ReferenceData!$B$597),"",ReferenceData!$B$597),"")</x:f>
        <x:v>MOON US Equity</x:v>
      </x:c>
      <x:c r="C597" t="str">
        <x:f>IFERROR(IF(0=LEN(ReferenceData!$C$597),"",ReferenceData!$C$597),"")</x:f>
        <x:v/>
      </x:c>
      <x:c r="D597" t="str">
        <x:f>IFERROR(IF(0=LEN(ReferenceData!$D$597),"",ReferenceData!$D$597),"")</x:f>
        <x:v/>
      </x:c>
      <x:c r="E597" t="str">
        <x:f>IFERROR(IF(0=LEN(ReferenceData!$E$597),"",ReferenceData!$E$597),"")</x:f>
        <x:v>Expression</x:v>
      </x:c>
      <x:c r="F597">
        <x:f ca="1">IFERROR(IF(0=LEN(ReferenceData!$F$597),"",ReferenceData!$F$597),"")</x:f>
        <x:v>-5.9490000000000003E-3</x:v>
      </x:c>
      <x:c r="G597">
        <x:f ca="1">IFERROR(IF(0=LEN(ReferenceData!$G$597),"",ReferenceData!$G$597),"")</x:f>
        <x:v>0.19064800000000001</x:v>
      </x:c>
      <x:c r="H597">
        <x:f ca="1">IFERROR(IF(0=LEN(ReferenceData!$H$597),"",ReferenceData!$H$597),"")</x:f>
        <x:v>0</x:v>
      </x:c>
      <x:c r="I597">
        <x:f ca="1">IFERROR(IF(0=LEN(ReferenceData!$I$597),"",ReferenceData!$I$597),"")</x:f>
        <x:v>-0.37604199999999999</x:v>
      </x:c>
      <x:c r="J597">
        <x:f ca="1">IFERROR(IF(0=LEN(ReferenceData!$J$597),"",ReferenceData!$J$597),"")</x:f>
        <x:v>-0.57683200000000001</x:v>
      </x:c>
      <x:c r="K597">
        <x:f ca="1">IFERROR(IF(0=LEN(ReferenceData!$K$597),"",ReferenceData!$K$597),"")</x:f>
        <x:v>-0.33640599999999998</x:v>
      </x:c>
      <x:c r="L597">
        <x:f ca="1">IFERROR(IF(0=LEN(ReferenceData!$L$597),"",ReferenceData!$L$597),"")</x:f>
        <x:v>0</x:v>
      </x:c>
      <x:c r="M597">
        <x:f ca="1">IFERROR(IF(0=LEN(ReferenceData!$M$597),"",ReferenceData!$M$597),"")</x:f>
        <x:v>0.255191</x:v>
      </x:c>
      <x:c r="N597">
        <x:f ca="1">IFERROR(IF(0=LEN(ReferenceData!$N$597),"",ReferenceData!$N$597),"")</x:f>
        <x:v>-1.1439490000000001</x:v>
      </x:c>
      <x:c r="O597">
        <x:f ca="1">IFERROR(IF(0=LEN(ReferenceData!$O$597),"",ReferenceData!$O$597),"")</x:f>
        <x:v>-6.2628700000000004</x:v>
      </x:c>
      <x:c r="P597">
        <x:f ca="1">IFERROR(IF(0=LEN(ReferenceData!$P$597),"",ReferenceData!$P$597),"")</x:f>
        <x:v>7.6558510000000002</x:v>
      </x:c>
      <x:c r="Q597">
        <x:f ca="1">IFERROR(IF(0=LEN(ReferenceData!$Q$597),"",ReferenceData!$Q$597),"")</x:f>
        <x:v>-0.26663199999999998</x:v>
      </x:c>
      <x:c r="R597">
        <x:f ca="1">IFERROR(IF(0=LEN(ReferenceData!$R$597),"",ReferenceData!$R$597),"")</x:f>
        <x:v>-0.63570400000000005</x:v>
      </x:c>
      <x:c r="S597">
        <x:f ca="1">IFERROR(IF(0=LEN(ReferenceData!$S$597),"",ReferenceData!$S$597),"")</x:f>
        <x:v>-1.8996219999999999</x:v>
      </x:c>
    </x:row>
    <x:row r="598" spans="1:19" x14ac:dyDescent="0.25">
      <x:c r="A598" t="str">
        <x:f>IFERROR(IF(0=LEN(ReferenceData!$A$598),"",ReferenceData!$A$598),"")</x:f>
        <x:v xml:space="preserve">            Main Thematic Innovation ETF</x:v>
      </x:c>
      <x:c r="B598" t="str">
        <x:f>IFERROR(IF(0=LEN(ReferenceData!$B$598),"",ReferenceData!$B$598),"")</x:f>
        <x:v>TMAT US Equity</x:v>
      </x:c>
      <x:c r="C598" t="str">
        <x:f>IFERROR(IF(0=LEN(ReferenceData!$C$598),"",ReferenceData!$C$598),"")</x:f>
        <x:v/>
      </x:c>
      <x:c r="D598" t="str">
        <x:f>IFERROR(IF(0=LEN(ReferenceData!$D$598),"",ReferenceData!$D$598),"")</x:f>
        <x:v/>
      </x:c>
      <x:c r="E598" t="str">
        <x:f>IFERROR(IF(0=LEN(ReferenceData!$E$598),"",ReferenceData!$E$598),"")</x:f>
        <x:v>Expression</x:v>
      </x:c>
      <x:c r="F598">
        <x:f ca="1">IFERROR(IF(0=LEN(ReferenceData!$F$598),"",ReferenceData!$F$598),"")</x:f>
        <x:v>15.3299</x:v>
      </x:c>
      <x:c r="G598">
        <x:f ca="1">IFERROR(IF(0=LEN(ReferenceData!$G$598),"",ReferenceData!$G$598),"")</x:f>
        <x:v>-0.41399999999999998</x:v>
      </x:c>
      <x:c r="H598">
        <x:f ca="1">IFERROR(IF(0=LEN(ReferenceData!$H$598),"",ReferenceData!$H$598),"")</x:f>
        <x:v>1.2811999999999999</x:v>
      </x:c>
      <x:c r="I598">
        <x:f ca="1">IFERROR(IF(0=LEN(ReferenceData!$I$598),"",ReferenceData!$I$598),"")</x:f>
        <x:v>1.1653</x:v>
      </x:c>
      <x:c r="J598">
        <x:f ca="1">IFERROR(IF(0=LEN(ReferenceData!$J$598),"",ReferenceData!$J$598),"")</x:f>
        <x:v>1.2873000000000001</x:v>
      </x:c>
      <x:c r="K598">
        <x:f ca="1">IFERROR(IF(0=LEN(ReferenceData!$K$598),"",ReferenceData!$K$598),"")</x:f>
        <x:v>2.7544</x:v>
      </x:c>
      <x:c r="L598">
        <x:f ca="1">IFERROR(IF(0=LEN(ReferenceData!$L$598),"",ReferenceData!$L$598),"")</x:f>
        <x:v>2.1627999999999998</x:v>
      </x:c>
      <x:c r="M598">
        <x:f ca="1">IFERROR(IF(0=LEN(ReferenceData!$M$598),"",ReferenceData!$M$598),"")</x:f>
        <x:v>2.2161</x:v>
      </x:c>
      <x:c r="N598">
        <x:f ca="1">IFERROR(IF(0=LEN(ReferenceData!$N$598),"",ReferenceData!$N$598),"")</x:f>
        <x:v>1.3461000000000001</x:v>
      </x:c>
      <x:c r="O598">
        <x:f ca="1">IFERROR(IF(0=LEN(ReferenceData!$O$598),"",ReferenceData!$O$598),"")</x:f>
        <x:v>3.6212</x:v>
      </x:c>
      <x:c r="P598">
        <x:f ca="1">IFERROR(IF(0=LEN(ReferenceData!$P$598),"",ReferenceData!$P$598),"")</x:f>
        <x:v>10.0532</x:v>
      </x:c>
      <x:c r="Q598">
        <x:f ca="1">IFERROR(IF(0=LEN(ReferenceData!$Q$598),"",ReferenceData!$Q$598),"")</x:f>
        <x:v>9.5494000000000003</x:v>
      </x:c>
      <x:c r="R598">
        <x:f ca="1">IFERROR(IF(0=LEN(ReferenceData!$R$598),"",ReferenceData!$R$598),"")</x:f>
        <x:v>-4.9732000000000003</x:v>
      </x:c>
      <x:c r="S598">
        <x:f ca="1">IFERROR(IF(0=LEN(ReferenceData!$S$598),"",ReferenceData!$S$598),"")</x:f>
        <x:v>-2.3996</x:v>
      </x:c>
    </x:row>
    <x:row r="599" spans="1:19" x14ac:dyDescent="0.25">
      <x:c r="A599" t="str">
        <x:f>IFERROR(IF(0=LEN(ReferenceData!$A$599),"",ReferenceData!$A$599),"")</x:f>
        <x:v xml:space="preserve">            BlackRock Future Innovators ET</x:v>
      </x:c>
      <x:c r="B599" t="str">
        <x:f>IFERROR(IF(0=LEN(ReferenceData!$B$599),"",ReferenceData!$B$599),"")</x:f>
        <x:v>BFTR US Equity</x:v>
      </x:c>
      <x:c r="C599" t="str">
        <x:f>IFERROR(IF(0=LEN(ReferenceData!$C$599),"",ReferenceData!$C$599),"")</x:f>
        <x:v/>
      </x:c>
      <x:c r="D599" t="str">
        <x:f>IFERROR(IF(0=LEN(ReferenceData!$D$599),"",ReferenceData!$D$599),"")</x:f>
        <x:v/>
      </x:c>
      <x:c r="E599" t="str">
        <x:f>IFERROR(IF(0=LEN(ReferenceData!$E$599),"",ReferenceData!$E$599),"")</x:f>
        <x:v>Expression</x:v>
      </x:c>
      <x:c r="F599" t="str">
        <x:f ca="1">IFERROR(IF(0=LEN(ReferenceData!$F$599),"",ReferenceData!$F$599),"")</x:f>
        <x:v/>
      </x:c>
      <x:c r="G599">
        <x:f ca="1">IFERROR(IF(0=LEN(ReferenceData!$G$599),"",ReferenceData!$G$599),"")</x:f>
        <x:v>0</x:v>
      </x:c>
      <x:c r="H599">
        <x:f ca="1">IFERROR(IF(0=LEN(ReferenceData!$H$599),"",ReferenceData!$H$599),"")</x:f>
        <x:v>0</x:v>
      </x:c>
      <x:c r="I599">
        <x:f ca="1">IFERROR(IF(0=LEN(ReferenceData!$I$599),"",ReferenceData!$I$599),"")</x:f>
        <x:v>0</x:v>
      </x:c>
      <x:c r="J599">
        <x:f ca="1">IFERROR(IF(0=LEN(ReferenceData!$J$599),"",ReferenceData!$J$599),"")</x:f>
        <x:v>0</x:v>
      </x:c>
      <x:c r="K599">
        <x:f ca="1">IFERROR(IF(0=LEN(ReferenceData!$K$599),"",ReferenceData!$K$599),"")</x:f>
        <x:v>0</x:v>
      </x:c>
      <x:c r="L599">
        <x:f ca="1">IFERROR(IF(0=LEN(ReferenceData!$L$599),"",ReferenceData!$L$599),"")</x:f>
        <x:v>0</x:v>
      </x:c>
      <x:c r="M599">
        <x:f ca="1">IFERROR(IF(0=LEN(ReferenceData!$M$599),"",ReferenceData!$M$599),"")</x:f>
        <x:v>-0.80055299999999996</x:v>
      </x:c>
      <x:c r="N599">
        <x:f ca="1">IFERROR(IF(0=LEN(ReferenceData!$N$599),"",ReferenceData!$N$599),"")</x:f>
        <x:v>0</x:v>
      </x:c>
      <x:c r="O599">
        <x:f ca="1">IFERROR(IF(0=LEN(ReferenceData!$O$599),"",ReferenceData!$O$599),"")</x:f>
        <x:v>0</x:v>
      </x:c>
      <x:c r="P599">
        <x:f ca="1">IFERROR(IF(0=LEN(ReferenceData!$P$599),"",ReferenceData!$P$599),"")</x:f>
        <x:v>-0.789744</x:v>
      </x:c>
      <x:c r="Q599">
        <x:f ca="1">IFERROR(IF(0=LEN(ReferenceData!$Q$599),"",ReferenceData!$Q$599),"")</x:f>
        <x:v>0</x:v>
      </x:c>
      <x:c r="R599">
        <x:f ca="1">IFERROR(IF(0=LEN(ReferenceData!$R$599),"",ReferenceData!$R$599),"")</x:f>
        <x:v>0.51014000000000004</x:v>
      </x:c>
      <x:c r="S599">
        <x:f ca="1">IFERROR(IF(0=LEN(ReferenceData!$S$599),"",ReferenceData!$S$599),"")</x:f>
        <x:v>0</x:v>
      </x:c>
    </x:row>
    <x:row r="600" spans="1:19" x14ac:dyDescent="0.25">
      <x:c r="A600" t="str">
        <x:f>IFERROR(IF(0=LEN(ReferenceData!$A$600),"",ReferenceData!$A$600),"")</x:f>
        <x:v xml:space="preserve">            Jacob Forward ETF</x:v>
      </x:c>
      <x:c r="B600" t="str">
        <x:f>IFERROR(IF(0=LEN(ReferenceData!$B$600),"",ReferenceData!$B$600),"")</x:f>
        <x:v>JFWD US Equity</x:v>
      </x:c>
      <x:c r="C600" t="str">
        <x:f>IFERROR(IF(0=LEN(ReferenceData!$C$600),"",ReferenceData!$C$600),"")</x:f>
        <x:v/>
      </x:c>
      <x:c r="D600" t="str">
        <x:f>IFERROR(IF(0=LEN(ReferenceData!$D$600),"",ReferenceData!$D$600),"")</x:f>
        <x:v/>
      </x:c>
      <x:c r="E600" t="str">
        <x:f>IFERROR(IF(0=LEN(ReferenceData!$E$600),"",ReferenceData!$E$600),"")</x:f>
        <x:v>Expression</x:v>
      </x:c>
      <x:c r="F600">
        <x:f ca="1">IFERROR(IF(0=LEN(ReferenceData!$F$600),"",ReferenceData!$F$600),"")</x:f>
        <x:v>-8.0212000000000006E-2</x:v>
      </x:c>
      <x:c r="G600">
        <x:f ca="1">IFERROR(IF(0=LEN(ReferenceData!$G$600),"",ReferenceData!$G$600),"")</x:f>
        <x:v>-0.22011</x:v>
      </x:c>
      <x:c r="H600">
        <x:f ca="1">IFERROR(IF(0=LEN(ReferenceData!$H$600),"",ReferenceData!$H$600),"")</x:f>
        <x:v>0</x:v>
      </x:c>
      <x:c r="I600">
        <x:f ca="1">IFERROR(IF(0=LEN(ReferenceData!$I$600),"",ReferenceData!$I$600),"")</x:f>
        <x:v>0</x:v>
      </x:c>
      <x:c r="J600">
        <x:f ca="1">IFERROR(IF(0=LEN(ReferenceData!$J$600),"",ReferenceData!$J$600),"")</x:f>
        <x:v>0</x:v>
      </x:c>
      <x:c r="K600">
        <x:f ca="1">IFERROR(IF(0=LEN(ReferenceData!$K$600),"",ReferenceData!$K$600),"")</x:f>
        <x:v>0</x:v>
      </x:c>
      <x:c r="L600">
        <x:f ca="1">IFERROR(IF(0=LEN(ReferenceData!$L$600),"",ReferenceData!$L$600),"")</x:f>
        <x:v>-0.17346600000000001</x:v>
      </x:c>
      <x:c r="M600">
        <x:f ca="1">IFERROR(IF(0=LEN(ReferenceData!$M$600),"",ReferenceData!$M$600),"")</x:f>
        <x:v>0</x:v>
      </x:c>
      <x:c r="N600">
        <x:f ca="1">IFERROR(IF(0=LEN(ReferenceData!$N$600),"",ReferenceData!$N$600),"")</x:f>
        <x:v>8.8719999999999997E-3</x:v>
      </x:c>
      <x:c r="O600">
        <x:f ca="1">IFERROR(IF(0=LEN(ReferenceData!$O$600),"",ReferenceData!$O$600),"")</x:f>
        <x:v>0</x:v>
      </x:c>
      <x:c r="P600">
        <x:f ca="1">IFERROR(IF(0=LEN(ReferenceData!$P$600),"",ReferenceData!$P$600),"")</x:f>
        <x:v>0</x:v>
      </x:c>
      <x:c r="Q600">
        <x:f ca="1">IFERROR(IF(0=LEN(ReferenceData!$Q$600),"",ReferenceData!$Q$600),"")</x:f>
        <x:v>-0.169242</x:v>
      </x:c>
      <x:c r="R600">
        <x:f ca="1">IFERROR(IF(0=LEN(ReferenceData!$R$600),"",ReferenceData!$R$600),"")</x:f>
        <x:v>0</x:v>
      </x:c>
      <x:c r="S600">
        <x:f ca="1">IFERROR(IF(0=LEN(ReferenceData!$S$600),"",ReferenceData!$S$600),"")</x:f>
        <x:v>0</x:v>
      </x:c>
    </x:row>
    <x:row r="601" spans="1:19" x14ac:dyDescent="0.25">
      <x:c r="A601" t="str">
        <x:f>IFERROR(IF(0=LEN(ReferenceData!$A$601),"",ReferenceData!$A$601),"")</x:f>
        <x:v xml:space="preserve">            Global X China Innovation ETF</x:v>
      </x:c>
      <x:c r="B601" t="str">
        <x:f>IFERROR(IF(0=LEN(ReferenceData!$B$601),"",ReferenceData!$B$601),"")</x:f>
        <x:v>KEJI US Equity</x:v>
      </x:c>
      <x:c r="C601" t="str">
        <x:f>IFERROR(IF(0=LEN(ReferenceData!$C$601),"",ReferenceData!$C$601),"")</x:f>
        <x:v/>
      </x:c>
      <x:c r="D601" t="str">
        <x:f>IFERROR(IF(0=LEN(ReferenceData!$D$601),"",ReferenceData!$D$601),"")</x:f>
        <x:v/>
      </x:c>
      <x:c r="E601" t="str">
        <x:f>IFERROR(IF(0=LEN(ReferenceData!$E$601),"",ReferenceData!$E$601),"")</x:f>
        <x:v>Expression</x:v>
      </x:c>
      <x:c r="F601">
        <x:f ca="1">IFERROR(IF(0=LEN(ReferenceData!$F$601),"",ReferenceData!$F$601),"")</x:f>
        <x:v>0</x:v>
      </x:c>
      <x:c r="G601">
        <x:f ca="1">IFERROR(IF(0=LEN(ReferenceData!$G$601),"",ReferenceData!$G$601),"")</x:f>
        <x:v>0</x:v>
      </x:c>
      <x:c r="H601">
        <x:f ca="1">IFERROR(IF(0=LEN(ReferenceData!$H$601),"",ReferenceData!$H$601),"")</x:f>
        <x:v>-0.76300000000000001</x:v>
      </x:c>
      <x:c r="I601">
        <x:f ca="1">IFERROR(IF(0=LEN(ReferenceData!$I$601),"",ReferenceData!$I$601),"")</x:f>
        <x:v>0</x:v>
      </x:c>
      <x:c r="J601">
        <x:f ca="1">IFERROR(IF(0=LEN(ReferenceData!$J$601),"",ReferenceData!$J$601),"")</x:f>
        <x:v>0</x:v>
      </x:c>
      <x:c r="K601">
        <x:f ca="1">IFERROR(IF(0=LEN(ReferenceData!$K$601),"",ReferenceData!$K$601),"")</x:f>
        <x:v>0</x:v>
      </x:c>
      <x:c r="L601">
        <x:f ca="1">IFERROR(IF(0=LEN(ReferenceData!$L$601),"",ReferenceData!$L$601),"")</x:f>
        <x:v>0</x:v>
      </x:c>
      <x:c r="M601">
        <x:f ca="1">IFERROR(IF(0=LEN(ReferenceData!$M$601),"",ReferenceData!$M$601),"")</x:f>
        <x:v>0</x:v>
      </x:c>
      <x:c r="N601">
        <x:f ca="1">IFERROR(IF(0=LEN(ReferenceData!$N$601),"",ReferenceData!$N$601),"")</x:f>
        <x:v>0</x:v>
      </x:c>
      <x:c r="O601">
        <x:f ca="1">IFERROR(IF(0=LEN(ReferenceData!$O$601),"",ReferenceData!$O$601),"")</x:f>
        <x:v>0</x:v>
      </x:c>
      <x:c r="P601">
        <x:f ca="1">IFERROR(IF(0=LEN(ReferenceData!$P$601),"",ReferenceData!$P$601),"")</x:f>
        <x:v>0</x:v>
      </x:c>
      <x:c r="Q601">
        <x:f ca="1">IFERROR(IF(0=LEN(ReferenceData!$Q$601),"",ReferenceData!$Q$601),"")</x:f>
        <x:v>0</x:v>
      </x:c>
      <x:c r="R601">
        <x:f ca="1">IFERROR(IF(0=LEN(ReferenceData!$R$601),"",ReferenceData!$R$601),"")</x:f>
        <x:v>0</x:v>
      </x:c>
      <x:c r="S601">
        <x:f ca="1">IFERROR(IF(0=LEN(ReferenceData!$S$601),"",ReferenceData!$S$601),"")</x:f>
        <x:v>0</x:v>
      </x:c>
    </x:row>
    <x:row r="602" spans="1:19" x14ac:dyDescent="0.25">
      <x:c r="A602" t="str">
        <x:f>IFERROR(IF(0=LEN(ReferenceData!$A$602),"",ReferenceData!$A$602),"")</x:f>
        <x:v xml:space="preserve">            MicroSectors FANG &amp; Innovation</x:v>
      </x:c>
      <x:c r="B602" t="str">
        <x:f>IFERROR(IF(0=LEN(ReferenceData!$B$602),"",ReferenceData!$B$602),"")</x:f>
        <x:v>BERZ US Equity</x:v>
      </x:c>
      <x:c r="C602" t="str">
        <x:f>IFERROR(IF(0=LEN(ReferenceData!$C$602),"",ReferenceData!$C$602),"")</x:f>
        <x:v/>
      </x:c>
      <x:c r="D602" t="str">
        <x:f>IFERROR(IF(0=LEN(ReferenceData!$D$602),"",ReferenceData!$D$602),"")</x:f>
        <x:v/>
      </x:c>
      <x:c r="E602" t="str">
        <x:f>IFERROR(IF(0=LEN(ReferenceData!$E$602),"",ReferenceData!$E$602),"")</x:f>
        <x:v>Expression</x:v>
      </x:c>
      <x:c r="F602">
        <x:f ca="1">IFERROR(IF(0=LEN(ReferenceData!$F$602),"",ReferenceData!$F$602),"")</x:f>
        <x:v>0</x:v>
      </x:c>
      <x:c r="G602">
        <x:f ca="1">IFERROR(IF(0=LEN(ReferenceData!$G$602),"",ReferenceData!$G$602),"")</x:f>
        <x:v>0</x:v>
      </x:c>
      <x:c r="H602">
        <x:f ca="1">IFERROR(IF(0=LEN(ReferenceData!$H$602),"",ReferenceData!$H$602),"")</x:f>
        <x:v>0</x:v>
      </x:c>
      <x:c r="I602">
        <x:f ca="1">IFERROR(IF(0=LEN(ReferenceData!$I$602),"",ReferenceData!$I$602),"")</x:f>
        <x:v>0</x:v>
      </x:c>
      <x:c r="J602">
        <x:f ca="1">IFERROR(IF(0=LEN(ReferenceData!$J$602),"",ReferenceData!$J$602),"")</x:f>
        <x:v>0</x:v>
      </x:c>
      <x:c r="K602">
        <x:f ca="1">IFERROR(IF(0=LEN(ReferenceData!$K$602),"",ReferenceData!$K$602),"")</x:f>
        <x:v>12.182245</x:v>
      </x:c>
      <x:c r="L602">
        <x:f ca="1">IFERROR(IF(0=LEN(ReferenceData!$L$602),"",ReferenceData!$L$602),"")</x:f>
        <x:v>0</x:v>
      </x:c>
      <x:c r="M602">
        <x:f ca="1">IFERROR(IF(0=LEN(ReferenceData!$M$602),"",ReferenceData!$M$602),"")</x:f>
        <x:v>0</x:v>
      </x:c>
      <x:c r="N602">
        <x:f ca="1">IFERROR(IF(0=LEN(ReferenceData!$N$602),"",ReferenceData!$N$602),"")</x:f>
        <x:v>0</x:v>
      </x:c>
      <x:c r="O602">
        <x:f ca="1">IFERROR(IF(0=LEN(ReferenceData!$O$602),"",ReferenceData!$O$602),"")</x:f>
        <x:v>0</x:v>
      </x:c>
      <x:c r="P602">
        <x:f ca="1">IFERROR(IF(0=LEN(ReferenceData!$P$602),"",ReferenceData!$P$602),"")</x:f>
        <x:v>10.575450999999999</x:v>
      </x:c>
      <x:c r="Q602">
        <x:f ca="1">IFERROR(IF(0=LEN(ReferenceData!$Q$602),"",ReferenceData!$Q$602),"")</x:f>
        <x:v>0</x:v>
      </x:c>
      <x:c r="R602">
        <x:f ca="1">IFERROR(IF(0=LEN(ReferenceData!$R$602),"",ReferenceData!$R$602),"")</x:f>
        <x:v>0</x:v>
      </x:c>
      <x:c r="S602">
        <x:f ca="1">IFERROR(IF(0=LEN(ReferenceData!$S$602),"",ReferenceData!$S$602),"")</x:f>
        <x:v>0</x:v>
      </x:c>
    </x:row>
    <x:row r="603" spans="1:19" x14ac:dyDescent="0.25">
      <x:c r="A603" t="str">
        <x:f>IFERROR(IF(0=LEN(ReferenceData!$A$603),"",ReferenceData!$A$603),"")</x:f>
        <x:v xml:space="preserve">            MicroSectors FANG &amp; Innovation</x:v>
      </x:c>
      <x:c r="B603" t="str">
        <x:f>IFERROR(IF(0=LEN(ReferenceData!$B$603),"",ReferenceData!$B$603),"")</x:f>
        <x:v>BULZ US Equity</x:v>
      </x:c>
      <x:c r="C603" t="str">
        <x:f>IFERROR(IF(0=LEN(ReferenceData!$C$603),"",ReferenceData!$C$603),"")</x:f>
        <x:v/>
      </x:c>
      <x:c r="D603" t="str">
        <x:f>IFERROR(IF(0=LEN(ReferenceData!$D$603),"",ReferenceData!$D$603),"")</x:f>
        <x:v/>
      </x:c>
      <x:c r="E603" t="str">
        <x:f>IFERROR(IF(0=LEN(ReferenceData!$E$603),"",ReferenceData!$E$603),"")</x:f>
        <x:v>Expression</x:v>
      </x:c>
      <x:c r="F603">
        <x:f ca="1">IFERROR(IF(0=LEN(ReferenceData!$F$603),"",ReferenceData!$F$603),"")</x:f>
        <x:v>0</x:v>
      </x:c>
      <x:c r="G603">
        <x:f ca="1">IFERROR(IF(0=LEN(ReferenceData!$G$603),"",ReferenceData!$G$603),"")</x:f>
        <x:v>0</x:v>
      </x:c>
      <x:c r="H603">
        <x:f ca="1">IFERROR(IF(0=LEN(ReferenceData!$H$603),"",ReferenceData!$H$603),"")</x:f>
        <x:v>0</x:v>
      </x:c>
      <x:c r="I603">
        <x:f ca="1">IFERROR(IF(0=LEN(ReferenceData!$I$603),"",ReferenceData!$I$603),"")</x:f>
        <x:v>0</x:v>
      </x:c>
      <x:c r="J603">
        <x:f ca="1">IFERROR(IF(0=LEN(ReferenceData!$J$603),"",ReferenceData!$J$603),"")</x:f>
        <x:v>0</x:v>
      </x:c>
      <x:c r="K603">
        <x:f ca="1">IFERROR(IF(0=LEN(ReferenceData!$K$603),"",ReferenceData!$K$603),"")</x:f>
        <x:v>0</x:v>
      </x:c>
      <x:c r="L603">
        <x:f ca="1">IFERROR(IF(0=LEN(ReferenceData!$L$603),"",ReferenceData!$L$603),"")</x:f>
        <x:v>0</x:v>
      </x:c>
      <x:c r="M603">
        <x:f ca="1">IFERROR(IF(0=LEN(ReferenceData!$M$603),"",ReferenceData!$M$603),"")</x:f>
        <x:v>0</x:v>
      </x:c>
      <x:c r="N603">
        <x:f ca="1">IFERROR(IF(0=LEN(ReferenceData!$N$603),"",ReferenceData!$N$603),"")</x:f>
        <x:v>0</x:v>
      </x:c>
      <x:c r="O603">
        <x:f ca="1">IFERROR(IF(0=LEN(ReferenceData!$O$603),"",ReferenceData!$O$603),"")</x:f>
        <x:v>0</x:v>
      </x:c>
      <x:c r="P603">
        <x:f ca="1">IFERROR(IF(0=LEN(ReferenceData!$P$603),"",ReferenceData!$P$603),"")</x:f>
        <x:v>0</x:v>
      </x:c>
      <x:c r="Q603">
        <x:f ca="1">IFERROR(IF(0=LEN(ReferenceData!$Q$603),"",ReferenceData!$Q$603),"")</x:f>
        <x:v>0</x:v>
      </x:c>
      <x:c r="R603">
        <x:f ca="1">IFERROR(IF(0=LEN(ReferenceData!$R$603),"",ReferenceData!$R$603),"")</x:f>
        <x:v>0</x:v>
      </x:c>
      <x:c r="S603">
        <x:f ca="1">IFERROR(IF(0=LEN(ReferenceData!$S$603),"",ReferenceData!$S$603),"")</x:f>
        <x:v>15.322354000000001</x:v>
      </x:c>
    </x:row>
    <x:row r="604" spans="1:19" x14ac:dyDescent="0.25">
      <x:c r="A604" t="str">
        <x:f>IFERROR(IF(0=LEN(ReferenceData!$A$604),"",ReferenceData!$A$604),"")</x:f>
        <x:v xml:space="preserve">            The Goldman Sachs Future Tech</x:v>
      </x:c>
      <x:c r="B604" t="str">
        <x:f>IFERROR(IF(0=LEN(ReferenceData!$B$604),"",ReferenceData!$B$604),"")</x:f>
        <x:v>GTEK US Equity</x:v>
      </x:c>
      <x:c r="C604" t="str">
        <x:f>IFERROR(IF(0=LEN(ReferenceData!$C$604),"",ReferenceData!$C$604),"")</x:f>
        <x:v/>
      </x:c>
      <x:c r="D604" t="str">
        <x:f>IFERROR(IF(0=LEN(ReferenceData!$D$604),"",ReferenceData!$D$604),"")</x:f>
        <x:v/>
      </x:c>
      <x:c r="E604" t="str">
        <x:f>IFERROR(IF(0=LEN(ReferenceData!$E$604),"",ReferenceData!$E$604),"")</x:f>
        <x:v>Expression</x:v>
      </x:c>
      <x:c r="F604">
        <x:f ca="1">IFERROR(IF(0=LEN(ReferenceData!$F$604),"",ReferenceData!$F$604),"")</x:f>
        <x:v>-106.84007699999999</x:v>
      </x:c>
      <x:c r="G604">
        <x:f ca="1">IFERROR(IF(0=LEN(ReferenceData!$G$604),"",ReferenceData!$G$604),"")</x:f>
        <x:v>10.826703999999999</x:v>
      </x:c>
      <x:c r="H604">
        <x:f ca="1">IFERROR(IF(0=LEN(ReferenceData!$H$604),"",ReferenceData!$H$604),"")</x:f>
        <x:v>0</x:v>
      </x:c>
      <x:c r="I604">
        <x:f ca="1">IFERROR(IF(0=LEN(ReferenceData!$I$604),"",ReferenceData!$I$604),"")</x:f>
        <x:v>0</x:v>
      </x:c>
      <x:c r="J604">
        <x:f ca="1">IFERROR(IF(0=LEN(ReferenceData!$J$604),"",ReferenceData!$J$604),"")</x:f>
        <x:v>-5.2249290000000004</x:v>
      </x:c>
      <x:c r="K604">
        <x:f ca="1">IFERROR(IF(0=LEN(ReferenceData!$K$604),"",ReferenceData!$K$604),"")</x:f>
        <x:v>0</x:v>
      </x:c>
      <x:c r="L604">
        <x:f ca="1">IFERROR(IF(0=LEN(ReferenceData!$L$604),"",ReferenceData!$L$604),"")</x:f>
        <x:v>0</x:v>
      </x:c>
      <x:c r="M604">
        <x:f ca="1">IFERROR(IF(0=LEN(ReferenceData!$M$604),"",ReferenceData!$M$604),"")</x:f>
        <x:v>-2.787474</x:v>
      </x:c>
      <x:c r="N604">
        <x:f ca="1">IFERROR(IF(0=LEN(ReferenceData!$N$604),"",ReferenceData!$N$604),"")</x:f>
        <x:v>2.8563000000000001</x:v>
      </x:c>
      <x:c r="O604">
        <x:f ca="1">IFERROR(IF(0=LEN(ReferenceData!$O$604),"",ReferenceData!$O$604),"")</x:f>
        <x:v>-0.60589000000000004</x:v>
      </x:c>
      <x:c r="P604">
        <x:f ca="1">IFERROR(IF(0=LEN(ReferenceData!$P$604),"",ReferenceData!$P$604),"")</x:f>
        <x:v>-4.7434849999999997</x:v>
      </x:c>
      <x:c r="Q604">
        <x:f ca="1">IFERROR(IF(0=LEN(ReferenceData!$Q$604),"",ReferenceData!$Q$604),"")</x:f>
        <x:v>14.090210000000001</x:v>
      </x:c>
      <x:c r="R604">
        <x:f ca="1">IFERROR(IF(0=LEN(ReferenceData!$R$604),"",ReferenceData!$R$604),"")</x:f>
        <x:v>-0.55701900000000004</x:v>
      </x:c>
      <x:c r="S604">
        <x:f ca="1">IFERROR(IF(0=LEN(ReferenceData!$S$604),"",ReferenceData!$S$604),"")</x:f>
        <x:v>-1.0484739999999999</x:v>
      </x:c>
    </x:row>
    <x:row r="605" spans="1:19" x14ac:dyDescent="0.25">
      <x:c r="A605" t="str">
        <x:f>IFERROR(IF(0=LEN(ReferenceData!$A$605),"",ReferenceData!$A$605),"")</x:f>
        <x:v xml:space="preserve">            Kraneshares China Innovation E</x:v>
      </x:c>
      <x:c r="B605" t="str">
        <x:f>IFERROR(IF(0=LEN(ReferenceData!$B$605),"",ReferenceData!$B$605),"")</x:f>
        <x:v>KGRO US Equity</x:v>
      </x:c>
      <x:c r="C605" t="str">
        <x:f>IFERROR(IF(0=LEN(ReferenceData!$C$605),"",ReferenceData!$C$605),"")</x:f>
        <x:v/>
      </x:c>
      <x:c r="D605" t="str">
        <x:f>IFERROR(IF(0=LEN(ReferenceData!$D$605),"",ReferenceData!$D$605),"")</x:f>
        <x:v/>
      </x:c>
      <x:c r="E605" t="str">
        <x:f>IFERROR(IF(0=LEN(ReferenceData!$E$605),"",ReferenceData!$E$605),"")</x:f>
        <x:v>Expression</x:v>
      </x:c>
      <x:c r="F605">
        <x:f ca="1">IFERROR(IF(0=LEN(ReferenceData!$F$605),"",ReferenceData!$F$605),"")</x:f>
        <x:v>0</x:v>
      </x:c>
      <x:c r="G605">
        <x:f ca="1">IFERROR(IF(0=LEN(ReferenceData!$G$605),"",ReferenceData!$G$605),"")</x:f>
        <x:v>0</x:v>
      </x:c>
      <x:c r="H605">
        <x:f ca="1">IFERROR(IF(0=LEN(ReferenceData!$H$605),"",ReferenceData!$H$605),"")</x:f>
        <x:v>0</x:v>
      </x:c>
      <x:c r="I605">
        <x:f ca="1">IFERROR(IF(0=LEN(ReferenceData!$I$605),"",ReferenceData!$I$605),"")</x:f>
        <x:v>0</x:v>
      </x:c>
      <x:c r="J605">
        <x:f ca="1">IFERROR(IF(0=LEN(ReferenceData!$J$605),"",ReferenceData!$J$605),"")</x:f>
        <x:v>0</x:v>
      </x:c>
      <x:c r="K605">
        <x:f ca="1">IFERROR(IF(0=LEN(ReferenceData!$K$605),"",ReferenceData!$K$605),"")</x:f>
        <x:v>0</x:v>
      </x:c>
      <x:c r="L605">
        <x:f ca="1">IFERROR(IF(0=LEN(ReferenceData!$L$605),"",ReferenceData!$L$605),"")</x:f>
        <x:v>0</x:v>
      </x:c>
      <x:c r="M605">
        <x:f ca="1">IFERROR(IF(0=LEN(ReferenceData!$M$605),"",ReferenceData!$M$605),"")</x:f>
        <x:v>0</x:v>
      </x:c>
      <x:c r="N605">
        <x:f ca="1">IFERROR(IF(0=LEN(ReferenceData!$N$605),"",ReferenceData!$N$605),"")</x:f>
        <x:v>0</x:v>
      </x:c>
      <x:c r="O605">
        <x:f ca="1">IFERROR(IF(0=LEN(ReferenceData!$O$605),"",ReferenceData!$O$605),"")</x:f>
        <x:v>0</x:v>
      </x:c>
      <x:c r="P605">
        <x:f ca="1">IFERROR(IF(0=LEN(ReferenceData!$P$605),"",ReferenceData!$P$605),"")</x:f>
        <x:v>0</x:v>
      </x:c>
      <x:c r="Q605">
        <x:f ca="1">IFERROR(IF(0=LEN(ReferenceData!$Q$605),"",ReferenceData!$Q$605),"")</x:f>
        <x:v>0</x:v>
      </x:c>
      <x:c r="R605">
        <x:f ca="1">IFERROR(IF(0=LEN(ReferenceData!$R$605),"",ReferenceData!$R$605),"")</x:f>
        <x:v>0</x:v>
      </x:c>
      <x:c r="S605">
        <x:f ca="1">IFERROR(IF(0=LEN(ReferenceData!$S$605),"",ReferenceData!$S$605),"")</x:f>
        <x:v>0</x:v>
      </x:c>
    </x:row>
    <x:row r="606" spans="1:19" x14ac:dyDescent="0.25">
      <x:c r="A606" t="str">
        <x:f>IFERROR(IF(0=LEN(ReferenceData!$A$606),"",ReferenceData!$A$606),"")</x:f>
        <x:v xml:space="preserve">            Harbor Disruptive Innovation E</x:v>
      </x:c>
      <x:c r="B606" t="str">
        <x:f>IFERROR(IF(0=LEN(ReferenceData!$B$606),"",ReferenceData!$B$606),"")</x:f>
        <x:v>INNO US Equity</x:v>
      </x:c>
      <x:c r="C606" t="str">
        <x:f>IFERROR(IF(0=LEN(ReferenceData!$C$606),"",ReferenceData!$C$606),"")</x:f>
        <x:v/>
      </x:c>
      <x:c r="D606" t="str">
        <x:f>IFERROR(IF(0=LEN(ReferenceData!$D$606),"",ReferenceData!$D$606),"")</x:f>
        <x:v/>
      </x:c>
      <x:c r="E606" t="str">
        <x:f>IFERROR(IF(0=LEN(ReferenceData!$E$606),"",ReferenceData!$E$606),"")</x:f>
        <x:v>Expression</x:v>
      </x:c>
      <x:c r="F606">
        <x:f ca="1">IFERROR(IF(0=LEN(ReferenceData!$F$606),"",ReferenceData!$F$606),"")</x:f>
        <x:v>0</x:v>
      </x:c>
      <x:c r="G606">
        <x:f ca="1">IFERROR(IF(0=LEN(ReferenceData!$G$606),"",ReferenceData!$G$606),"")</x:f>
        <x:v>-0.58743900000000004</x:v>
      </x:c>
      <x:c r="H606">
        <x:f ca="1">IFERROR(IF(0=LEN(ReferenceData!$H$606),"",ReferenceData!$H$606),"")</x:f>
        <x:v>0</x:v>
      </x:c>
      <x:c r="I606">
        <x:f ca="1">IFERROR(IF(0=LEN(ReferenceData!$I$606),"",ReferenceData!$I$606),"")</x:f>
        <x:v>0</x:v>
      </x:c>
      <x:c r="J606">
        <x:f ca="1">IFERROR(IF(0=LEN(ReferenceData!$J$606),"",ReferenceData!$J$606),"")</x:f>
        <x:v>0.33873399999999998</x:v>
      </x:c>
      <x:c r="K606">
        <x:f ca="1">IFERROR(IF(0=LEN(ReferenceData!$K$606),"",ReferenceData!$K$606),"")</x:f>
        <x:v>0</x:v>
      </x:c>
      <x:c r="L606">
        <x:f ca="1">IFERROR(IF(0=LEN(ReferenceData!$L$606),"",ReferenceData!$L$606),"")</x:f>
        <x:v>0</x:v>
      </x:c>
      <x:c r="M606">
        <x:f ca="1">IFERROR(IF(0=LEN(ReferenceData!$M$606),"",ReferenceData!$M$606),"")</x:f>
        <x:v>1.2550520000000001</x:v>
      </x:c>
      <x:c r="N606">
        <x:f ca="1">IFERROR(IF(0=LEN(ReferenceData!$N$606),"",ReferenceData!$N$606),"")</x:f>
        <x:v>16.961704000000001</x:v>
      </x:c>
      <x:c r="O606">
        <x:f ca="1">IFERROR(IF(0=LEN(ReferenceData!$O$606),"",ReferenceData!$O$606),"")</x:f>
        <x:v>0.31745899999999999</x:v>
      </x:c>
      <x:c r="P606">
        <x:f ca="1">IFERROR(IF(0=LEN(ReferenceData!$P$606),"",ReferenceData!$P$606),"")</x:f>
        <x:v>1.1604589999999999</x:v>
      </x:c>
      <x:c r="Q606">
        <x:f ca="1">IFERROR(IF(0=LEN(ReferenceData!$Q$606),"",ReferenceData!$Q$606),"")</x:f>
        <x:v>0</x:v>
      </x:c>
      <x:c r="R606">
        <x:f ca="1">IFERROR(IF(0=LEN(ReferenceData!$R$606),"",ReferenceData!$R$606),"")</x:f>
        <x:v>0</x:v>
      </x:c>
      <x:c r="S606">
        <x:f ca="1">IFERROR(IF(0=LEN(ReferenceData!$S$606),"",ReferenceData!$S$606),"")</x:f>
        <x:v>0</x:v>
      </x:c>
    </x:row>
    <x:row r="607" spans="1:19" x14ac:dyDescent="0.25">
      <x:c r="A607" t="str">
        <x:f>IFERROR(IF(0=LEN(ReferenceData!$A$607),"",ReferenceData!$A$607),"")</x:f>
        <x:v xml:space="preserve">            Neuberger Berman Disrupters ET</x:v>
      </x:c>
      <x:c r="B607" t="str">
        <x:f>IFERROR(IF(0=LEN(ReferenceData!$B$607),"",ReferenceData!$B$607),"")</x:f>
        <x:v>NBDS US Equity</x:v>
      </x:c>
      <x:c r="C607" t="str">
        <x:f>IFERROR(IF(0=LEN(ReferenceData!$C$607),"",ReferenceData!$C$607),"")</x:f>
        <x:v/>
      </x:c>
      <x:c r="D607" t="str">
        <x:f>IFERROR(IF(0=LEN(ReferenceData!$D$607),"",ReferenceData!$D$607),"")</x:f>
        <x:v/>
      </x:c>
      <x:c r="E607" t="str">
        <x:f>IFERROR(IF(0=LEN(ReferenceData!$E$607),"",ReferenceData!$E$607),"")</x:f>
        <x:v>Expression</x:v>
      </x:c>
      <x:c r="F607">
        <x:f ca="1">IFERROR(IF(0=LEN(ReferenceData!$F$607),"",ReferenceData!$F$607),"")</x:f>
        <x:v>-0.52744800000000003</x:v>
      </x:c>
      <x:c r="G607">
        <x:f ca="1">IFERROR(IF(0=LEN(ReferenceData!$G$607),"",ReferenceData!$G$607),"")</x:f>
        <x:v>0</x:v>
      </x:c>
      <x:c r="H607">
        <x:f ca="1">IFERROR(IF(0=LEN(ReferenceData!$H$607),"",ReferenceData!$H$607),"")</x:f>
        <x:v>0</x:v>
      </x:c>
      <x:c r="I607">
        <x:f ca="1">IFERROR(IF(0=LEN(ReferenceData!$I$607),"",ReferenceData!$I$607),"")</x:f>
        <x:v>0.58174999999999999</x:v>
      </x:c>
      <x:c r="J607">
        <x:f ca="1">IFERROR(IF(0=LEN(ReferenceData!$J$607),"",ReferenceData!$J$607),"")</x:f>
        <x:v>1.174771</x:v>
      </x:c>
      <x:c r="K607">
        <x:f ca="1">IFERROR(IF(0=LEN(ReferenceData!$K$607),"",ReferenceData!$K$607),"")</x:f>
        <x:v>1.713192</x:v>
      </x:c>
      <x:c r="L607">
        <x:f ca="1">IFERROR(IF(0=LEN(ReferenceData!$L$607),"",ReferenceData!$L$607),"")</x:f>
        <x:v>-1.05646</x:v>
      </x:c>
      <x:c r="M607">
        <x:f ca="1">IFERROR(IF(0=LEN(ReferenceData!$M$607),"",ReferenceData!$M$607),"")</x:f>
        <x:v>-2.0488200000000001</x:v>
      </x:c>
      <x:c r="N607">
        <x:f ca="1">IFERROR(IF(0=LEN(ReferenceData!$N$607),"",ReferenceData!$N$607),"")</x:f>
        <x:v>-2.0018500000000001</x:v>
      </x:c>
      <x:c r="O607">
        <x:f ca="1">IFERROR(IF(0=LEN(ReferenceData!$O$607),"",ReferenceData!$O$607),"")</x:f>
        <x:v>-3.0192350000000001</x:v>
      </x:c>
      <x:c r="P607">
        <x:f ca="1">IFERROR(IF(0=LEN(ReferenceData!$P$607),"",ReferenceData!$P$607),"")</x:f>
        <x:v>-0.54986500000000005</x:v>
      </x:c>
      <x:c r="Q607">
        <x:f ca="1">IFERROR(IF(0=LEN(ReferenceData!$Q$607),"",ReferenceData!$Q$607),"")</x:f>
        <x:v>8.5623749999999994</x:v>
      </x:c>
      <x:c r="R607">
        <x:f ca="1">IFERROR(IF(0=LEN(ReferenceData!$R$607),"",ReferenceData!$R$607),"")</x:f>
        <x:v>0</x:v>
      </x:c>
      <x:c r="S607">
        <x:f ca="1">IFERROR(IF(0=LEN(ReferenceData!$S$607),"",ReferenceData!$S$607),"")</x:f>
        <x:v>0</x:v>
      </x:c>
    </x:row>
    <x:row r="608" spans="1:19" x14ac:dyDescent="0.25">
      <x:c r="A608" t="str">
        <x:f>IFERROR(IF(0=LEN(ReferenceData!$A$608),"",ReferenceData!$A$608),"")</x:f>
        <x:v xml:space="preserve">            YieldMax Innovation Option Inc</x:v>
      </x:c>
      <x:c r="B608" t="str">
        <x:f>IFERROR(IF(0=LEN(ReferenceData!$B$608),"",ReferenceData!$B$608),"")</x:f>
        <x:v>OARK US Equity</x:v>
      </x:c>
      <x:c r="C608" t="str">
        <x:f>IFERROR(IF(0=LEN(ReferenceData!$C$608),"",ReferenceData!$C$608),"")</x:f>
        <x:v/>
      </x:c>
      <x:c r="D608" t="str">
        <x:f>IFERROR(IF(0=LEN(ReferenceData!$D$608),"",ReferenceData!$D$608),"")</x:f>
        <x:v/>
      </x:c>
      <x:c r="E608" t="str">
        <x:f>IFERROR(IF(0=LEN(ReferenceData!$E$608),"",ReferenceData!$E$608),"")</x:f>
        <x:v>Expression</x:v>
      </x:c>
      <x:c r="F608">
        <x:f ca="1">IFERROR(IF(0=LEN(ReferenceData!$F$608),"",ReferenceData!$F$608),"")</x:f>
        <x:v>1.5646599999999999</x:v>
      </x:c>
      <x:c r="G608">
        <x:f ca="1">IFERROR(IF(0=LEN(ReferenceData!$G$608),"",ReferenceData!$G$608),"")</x:f>
        <x:v>-2.3755579999999998</x:v>
      </x:c>
      <x:c r="H608">
        <x:f ca="1">IFERROR(IF(0=LEN(ReferenceData!$H$608),"",ReferenceData!$H$608),"")</x:f>
        <x:v>10.781739999999999</x:v>
      </x:c>
      <x:c r="I608">
        <x:f ca="1">IFERROR(IF(0=LEN(ReferenceData!$I$608),"",ReferenceData!$I$608),"")</x:f>
        <x:v>26.351044999999999</x:v>
      </x:c>
      <x:c r="J608">
        <x:f ca="1">IFERROR(IF(0=LEN(ReferenceData!$J$608),"",ReferenceData!$J$608),"")</x:f>
        <x:v>25.357063</x:v>
      </x:c>
      <x:c r="K608">
        <x:f ca="1">IFERROR(IF(0=LEN(ReferenceData!$K$608),"",ReferenceData!$K$608),"")</x:f>
        <x:v>11.053096999999999</x:v>
      </x:c>
      <x:c r="L608">
        <x:f ca="1">IFERROR(IF(0=LEN(ReferenceData!$L$608),"",ReferenceData!$L$608),"")</x:f>
        <x:v>2.9763730000000002</x:v>
      </x:c>
      <x:c r="M608">
        <x:f ca="1">IFERROR(IF(0=LEN(ReferenceData!$M$608),"",ReferenceData!$M$608),"")</x:f>
        <x:v>3.8417300000000001</x:v>
      </x:c>
      <x:c r="N608">
        <x:f ca="1">IFERROR(IF(0=LEN(ReferenceData!$N$608),"",ReferenceData!$N$608),"")</x:f>
        <x:v>9.1276499999999992</x:v>
      </x:c>
      <x:c r="O608">
        <x:f ca="1">IFERROR(IF(0=LEN(ReferenceData!$O$608),"",ReferenceData!$O$608),"")</x:f>
        <x:v>0.91497499999999998</x:v>
      </x:c>
      <x:c r="P608">
        <x:f ca="1">IFERROR(IF(0=LEN(ReferenceData!$P$608),"",ReferenceData!$P$608),"")</x:f>
        <x:v>0</x:v>
      </x:c>
      <x:c r="Q608">
        <x:f ca="1">IFERROR(IF(0=LEN(ReferenceData!$Q$608),"",ReferenceData!$Q$608),"")</x:f>
        <x:v>0</x:v>
      </x:c>
      <x:c r="R608">
        <x:f ca="1">IFERROR(IF(0=LEN(ReferenceData!$R$608),"",ReferenceData!$R$608),"")</x:f>
        <x:v>0</x:v>
      </x:c>
      <x:c r="S608" t="str">
        <x:f ca="1">IFERROR(IF(0=LEN(ReferenceData!$S$608),"",ReferenceData!$S$608),"")</x:f>
        <x:v/>
      </x:c>
    </x:row>
    <x:row r="609" spans="1:19" x14ac:dyDescent="0.25">
      <x:c r="A609" t="str">
        <x:f>IFERROR(IF(0=LEN(ReferenceData!$A$609),"",ReferenceData!$A$609),"")</x:f>
        <x:v xml:space="preserve">            Invesco Nasdaq Future Gen 200</x:v>
      </x:c>
      <x:c r="B609" t="str">
        <x:f>IFERROR(IF(0=LEN(ReferenceData!$B$609),"",ReferenceData!$B$609),"")</x:f>
        <x:v>QQQS US Equity</x:v>
      </x:c>
      <x:c r="C609" t="str">
        <x:f>IFERROR(IF(0=LEN(ReferenceData!$C$609),"",ReferenceData!$C$609),"")</x:f>
        <x:v/>
      </x:c>
      <x:c r="D609" t="str">
        <x:f>IFERROR(IF(0=LEN(ReferenceData!$D$609),"",ReferenceData!$D$609),"")</x:f>
        <x:v/>
      </x:c>
      <x:c r="E609" t="str">
        <x:f>IFERROR(IF(0=LEN(ReferenceData!$E$609),"",ReferenceData!$E$609),"")</x:f>
        <x:v>Expression</x:v>
      </x:c>
      <x:c r="F609">
        <x:f ca="1">IFERROR(IF(0=LEN(ReferenceData!$F$609),"",ReferenceData!$F$609),"")</x:f>
        <x:v>0</x:v>
      </x:c>
      <x:c r="G609">
        <x:f ca="1">IFERROR(IF(0=LEN(ReferenceData!$G$609),"",ReferenceData!$G$609),"")</x:f>
        <x:v>0</x:v>
      </x:c>
      <x:c r="H609">
        <x:f ca="1">IFERROR(IF(0=LEN(ReferenceData!$H$609),"",ReferenceData!$H$609),"")</x:f>
        <x:v>0</x:v>
      </x:c>
      <x:c r="I609">
        <x:f ca="1">IFERROR(IF(0=LEN(ReferenceData!$I$609),"",ReferenceData!$I$609),"")</x:f>
        <x:v>0</x:v>
      </x:c>
      <x:c r="J609">
        <x:f ca="1">IFERROR(IF(0=LEN(ReferenceData!$J$609),"",ReferenceData!$J$609),"")</x:f>
        <x:v>0.296408</x:v>
      </x:c>
      <x:c r="K609">
        <x:f ca="1">IFERROR(IF(0=LEN(ReferenceData!$K$609),"",ReferenceData!$K$609),"")</x:f>
        <x:v>1.183349</x:v>
      </x:c>
      <x:c r="L609">
        <x:f ca="1">IFERROR(IF(0=LEN(ReferenceData!$L$609),"",ReferenceData!$L$609),"")</x:f>
        <x:v>0.27803499999999998</x:v>
      </x:c>
      <x:c r="M609">
        <x:f ca="1">IFERROR(IF(0=LEN(ReferenceData!$M$609),"",ReferenceData!$M$609),"")</x:f>
        <x:v>0</x:v>
      </x:c>
      <x:c r="N609">
        <x:f ca="1">IFERROR(IF(0=LEN(ReferenceData!$N$609),"",ReferenceData!$N$609),"")</x:f>
        <x:v>0.28205599999999997</x:v>
      </x:c>
      <x:c r="O609">
        <x:f ca="1">IFERROR(IF(0=LEN(ReferenceData!$O$609),"",ReferenceData!$O$609),"")</x:f>
        <x:v>0.30885499999999999</x:v>
      </x:c>
      <x:c r="P609">
        <x:f ca="1">IFERROR(IF(0=LEN(ReferenceData!$P$609),"",ReferenceData!$P$609),"")</x:f>
        <x:v>0</x:v>
      </x:c>
      <x:c r="Q609">
        <x:f ca="1">IFERROR(IF(0=LEN(ReferenceData!$Q$609),"",ReferenceData!$Q$609),"")</x:f>
        <x:v>2.7220000000000001E-2</x:v>
      </x:c>
      <x:c r="R609">
        <x:f ca="1">IFERROR(IF(0=LEN(ReferenceData!$R$609),"",ReferenceData!$R$609),"")</x:f>
        <x:v>0.82448999999999995</x:v>
      </x:c>
      <x:c r="S609">
        <x:f ca="1">IFERROR(IF(0=LEN(ReferenceData!$S$609),"",ReferenceData!$S$609),"")</x:f>
        <x:v>1.0350459999999999</x:v>
      </x:c>
    </x:row>
    <x:row r="610" spans="1:19" x14ac:dyDescent="0.25">
      <x:c r="A610" t="str">
        <x:f>IFERROR(IF(0=LEN(ReferenceData!$A$610),"",ReferenceData!$A$610),"")</x:f>
        <x:v xml:space="preserve">            AXS 2x Innovation ETF</x:v>
      </x:c>
      <x:c r="B610" t="str">
        <x:f>IFERROR(IF(0=LEN(ReferenceData!$B$610),"",ReferenceData!$B$610),"")</x:f>
        <x:v>TARK US Equity</x:v>
      </x:c>
      <x:c r="C610" t="str">
        <x:f>IFERROR(IF(0=LEN(ReferenceData!$C$610),"",ReferenceData!$C$610),"")</x:f>
        <x:v/>
      </x:c>
      <x:c r="D610" t="str">
        <x:f>IFERROR(IF(0=LEN(ReferenceData!$D$610),"",ReferenceData!$D$610),"")</x:f>
        <x:v/>
      </x:c>
      <x:c r="E610" t="str">
        <x:f>IFERROR(IF(0=LEN(ReferenceData!$E$610),"",ReferenceData!$E$610),"")</x:f>
        <x:v>Expression</x:v>
      </x:c>
      <x:c r="F610">
        <x:f ca="1">IFERROR(IF(0=LEN(ReferenceData!$F$610),"",ReferenceData!$F$610),"")</x:f>
        <x:v>-11.361064000000001</x:v>
      </x:c>
      <x:c r="G610">
        <x:f ca="1">IFERROR(IF(0=LEN(ReferenceData!$G$610),"",ReferenceData!$G$610),"")</x:f>
        <x:v>13.075801999999999</x:v>
      </x:c>
      <x:c r="H610">
        <x:f ca="1">IFERROR(IF(0=LEN(ReferenceData!$H$610),"",ReferenceData!$H$610),"")</x:f>
        <x:v>0.193934</x:v>
      </x:c>
      <x:c r="I610">
        <x:f ca="1">IFERROR(IF(0=LEN(ReferenceData!$I$610),"",ReferenceData!$I$610),"")</x:f>
        <x:v>16.018605000000001</x:v>
      </x:c>
      <x:c r="J610">
        <x:f ca="1">IFERROR(IF(0=LEN(ReferenceData!$J$610),"",ReferenceData!$J$610),"")</x:f>
        <x:v>-10.104016</x:v>
      </x:c>
      <x:c r="K610">
        <x:f ca="1">IFERROR(IF(0=LEN(ReferenceData!$K$610),"",ReferenceData!$K$610),"")</x:f>
        <x:v>-6.885116</x:v>
      </x:c>
      <x:c r="L610">
        <x:f ca="1">IFERROR(IF(0=LEN(ReferenceData!$L$610),"",ReferenceData!$L$610),"")</x:f>
        <x:v>-1.067806</x:v>
      </x:c>
      <x:c r="M610">
        <x:f ca="1">IFERROR(IF(0=LEN(ReferenceData!$M$610),"",ReferenceData!$M$610),"")</x:f>
        <x:v>5.0491770000000002</x:v>
      </x:c>
      <x:c r="N610">
        <x:f ca="1">IFERROR(IF(0=LEN(ReferenceData!$N$610),"",ReferenceData!$N$610),"")</x:f>
        <x:v>8.3643359999999998</x:v>
      </x:c>
      <x:c r="O610">
        <x:f ca="1">IFERROR(IF(0=LEN(ReferenceData!$O$610),"",ReferenceData!$O$610),"")</x:f>
        <x:v>-4.2391439999999996</x:v>
      </x:c>
      <x:c r="P610">
        <x:f ca="1">IFERROR(IF(0=LEN(ReferenceData!$P$610),"",ReferenceData!$P$610),"")</x:f>
        <x:v>-29.695917999999999</x:v>
      </x:c>
      <x:c r="Q610">
        <x:f ca="1">IFERROR(IF(0=LEN(ReferenceData!$Q$610),"",ReferenceData!$Q$610),"")</x:f>
        <x:v>19.354844</x:v>
      </x:c>
      <x:c r="R610">
        <x:f ca="1">IFERROR(IF(0=LEN(ReferenceData!$R$610),"",ReferenceData!$R$610),"")</x:f>
        <x:v>4.0328359999999996</x:v>
      </x:c>
      <x:c r="S610">
        <x:f ca="1">IFERROR(IF(0=LEN(ReferenceData!$S$610),"",ReferenceData!$S$610),"")</x:f>
        <x:v>-2.0544750000000001</x:v>
      </x:c>
    </x:row>
    <x:row r="611" spans="1:19" x14ac:dyDescent="0.25">
      <x:c r="A611" t="str">
        <x:f>IFERROR(IF(0=LEN(ReferenceData!$A$611),"",ReferenceData!$A$611),"")</x:f>
        <x:v xml:space="preserve">            AAM Transformers ETF</x:v>
      </x:c>
      <x:c r="B611" t="str">
        <x:f>IFERROR(IF(0=LEN(ReferenceData!$B$611),"",ReferenceData!$B$611),"")</x:f>
        <x:v>TRFM US Equity</x:v>
      </x:c>
      <x:c r="C611" t="str">
        <x:f>IFERROR(IF(0=LEN(ReferenceData!$C$611),"",ReferenceData!$C$611),"")</x:f>
        <x:v/>
      </x:c>
      <x:c r="D611" t="str">
        <x:f>IFERROR(IF(0=LEN(ReferenceData!$D$611),"",ReferenceData!$D$611),"")</x:f>
        <x:v/>
      </x:c>
      <x:c r="E611" t="str">
        <x:f>IFERROR(IF(0=LEN(ReferenceData!$E$611),"",ReferenceData!$E$611),"")</x:f>
        <x:v>Expression</x:v>
      </x:c>
      <x:c r="F611">
        <x:f ca="1">IFERROR(IF(0=LEN(ReferenceData!$F$611),"",ReferenceData!$F$611),"")</x:f>
        <x:v>0.67437000000000002</x:v>
      </x:c>
      <x:c r="G611">
        <x:f ca="1">IFERROR(IF(0=LEN(ReferenceData!$G$611),"",ReferenceData!$G$611),"")</x:f>
        <x:v>1.2877400000000001</x:v>
      </x:c>
      <x:c r="H611">
        <x:f ca="1">IFERROR(IF(0=LEN(ReferenceData!$H$611),"",ReferenceData!$H$611),"")</x:f>
        <x:v>0.731155</x:v>
      </x:c>
      <x:c r="I611">
        <x:f ca="1">IFERROR(IF(0=LEN(ReferenceData!$I$611),"",ReferenceData!$I$611),"")</x:f>
        <x:v>0.69894800000000001</x:v>
      </x:c>
      <x:c r="J611">
        <x:f ca="1">IFERROR(IF(0=LEN(ReferenceData!$J$611),"",ReferenceData!$J$611),"")</x:f>
        <x:v>2.1467170000000002</x:v>
      </x:c>
      <x:c r="K611">
        <x:f ca="1">IFERROR(IF(0=LEN(ReferenceData!$K$611),"",ReferenceData!$K$611),"")</x:f>
        <x:v>3.5855899999999998</x:v>
      </x:c>
      <x:c r="L611">
        <x:f ca="1">IFERROR(IF(0=LEN(ReferenceData!$L$611),"",ReferenceData!$L$611),"")</x:f>
        <x:v>0</x:v>
      </x:c>
      <x:c r="M611">
        <x:f ca="1">IFERROR(IF(0=LEN(ReferenceData!$M$611),"",ReferenceData!$M$611),"")</x:f>
        <x:v>0</x:v>
      </x:c>
      <x:c r="N611">
        <x:f ca="1">IFERROR(IF(0=LEN(ReferenceData!$N$611),"",ReferenceData!$N$611),"")</x:f>
        <x:v>0.62920500000000001</x:v>
      </x:c>
      <x:c r="O611">
        <x:f ca="1">IFERROR(IF(0=LEN(ReferenceData!$O$611),"",ReferenceData!$O$611),"")</x:f>
        <x:v>0</x:v>
      </x:c>
      <x:c r="P611">
        <x:f ca="1">IFERROR(IF(0=LEN(ReferenceData!$P$611),"",ReferenceData!$P$611),"")</x:f>
        <x:v>4.8221600000000002</x:v>
      </x:c>
      <x:c r="Q611">
        <x:f ca="1">IFERROR(IF(0=LEN(ReferenceData!$Q$611),"",ReferenceData!$Q$611),"")</x:f>
        <x:v>-0.53644499999999995</x:v>
      </x:c>
      <x:c r="R611">
        <x:f ca="1">IFERROR(IF(0=LEN(ReferenceData!$R$611),"",ReferenceData!$R$611),"")</x:f>
        <x:v>2.4259849999999998</x:v>
      </x:c>
      <x:c r="S611">
        <x:f ca="1">IFERROR(IF(0=LEN(ReferenceData!$S$611),"",ReferenceData!$S$611),"")</x:f>
        <x:v>0</x:v>
      </x:c>
    </x:row>
    <x:row r="612" spans="1:19" x14ac:dyDescent="0.25">
      <x:c r="A612" t="str">
        <x:f>IFERROR(IF(0=LEN(ReferenceData!$A$612),"",ReferenceData!$A$612),"")</x:f>
        <x:v xml:space="preserve">            iShares US Tech Breakthrough M</x:v>
      </x:c>
      <x:c r="B612" t="str">
        <x:f>IFERROR(IF(0=LEN(ReferenceData!$B$612),"",ReferenceData!$B$612),"")</x:f>
        <x:v>TECB US Equity</x:v>
      </x:c>
      <x:c r="C612" t="str">
        <x:f>IFERROR(IF(0=LEN(ReferenceData!$C$612),"",ReferenceData!$C$612),"")</x:f>
        <x:v/>
      </x:c>
      <x:c r="D612" t="str">
        <x:f>IFERROR(IF(0=LEN(ReferenceData!$D$612),"",ReferenceData!$D$612),"")</x:f>
        <x:v/>
      </x:c>
      <x:c r="E612" t="str">
        <x:f>IFERROR(IF(0=LEN(ReferenceData!$E$612),"",ReferenceData!$E$612),"")</x:f>
        <x:v>Expression</x:v>
      </x:c>
      <x:c r="F612">
        <x:f ca="1">IFERROR(IF(0=LEN(ReferenceData!$F$612),"",ReferenceData!$F$612),"")</x:f>
        <x:v>-9.0779870000000003</x:v>
      </x:c>
      <x:c r="G612">
        <x:f ca="1">IFERROR(IF(0=LEN(ReferenceData!$G$612),"",ReferenceData!$G$612),"")</x:f>
        <x:v>-3.6692779999999998</x:v>
      </x:c>
      <x:c r="H612">
        <x:f ca="1">IFERROR(IF(0=LEN(ReferenceData!$H$612),"",ReferenceData!$H$612),"")</x:f>
        <x:v>0</x:v>
      </x:c>
      <x:c r="I612">
        <x:f ca="1">IFERROR(IF(0=LEN(ReferenceData!$I$612),"",ReferenceData!$I$612),"")</x:f>
        <x:v>1.886865</x:v>
      </x:c>
      <x:c r="J612">
        <x:f ca="1">IFERROR(IF(0=LEN(ReferenceData!$J$612),"",ReferenceData!$J$612),"")</x:f>
        <x:v>-90.692570000000003</x:v>
      </x:c>
      <x:c r="K612">
        <x:f ca="1">IFERROR(IF(0=LEN(ReferenceData!$K$612),"",ReferenceData!$K$612),"")</x:f>
        <x:v>5.3154450000000004</x:v>
      </x:c>
      <x:c r="L612">
        <x:f ca="1">IFERROR(IF(0=LEN(ReferenceData!$L$612),"",ReferenceData!$L$612),"")</x:f>
        <x:v>-20.38607</x:v>
      </x:c>
      <x:c r="M612">
        <x:f ca="1">IFERROR(IF(0=LEN(ReferenceData!$M$612),"",ReferenceData!$M$612),"")</x:f>
        <x:v>0</x:v>
      </x:c>
      <x:c r="N612">
        <x:f ca="1">IFERROR(IF(0=LEN(ReferenceData!$N$612),"",ReferenceData!$N$612),"")</x:f>
        <x:v>-4.7341850000000001</x:v>
      </x:c>
      <x:c r="O612">
        <x:f ca="1">IFERROR(IF(0=LEN(ReferenceData!$O$612),"",ReferenceData!$O$612),"")</x:f>
        <x:v>0</x:v>
      </x:c>
      <x:c r="P612">
        <x:f ca="1">IFERROR(IF(0=LEN(ReferenceData!$P$612),"",ReferenceData!$P$612),"")</x:f>
        <x:v>-1.51258</x:v>
      </x:c>
      <x:c r="Q612">
        <x:f ca="1">IFERROR(IF(0=LEN(ReferenceData!$Q$612),"",ReferenceData!$Q$612),"")</x:f>
        <x:v>-1.4620599999999999</x:v>
      </x:c>
      <x:c r="R612">
        <x:f ca="1">IFERROR(IF(0=LEN(ReferenceData!$R$612),"",ReferenceData!$R$612),"")</x:f>
        <x:v>0</x:v>
      </x:c>
      <x:c r="S612">
        <x:f ca="1">IFERROR(IF(0=LEN(ReferenceData!$S$612),"",ReferenceData!$S$612),"")</x:f>
        <x:v>-2.6249600000000002</x:v>
      </x:c>
    </x:row>
    <x:row r="613" spans="1:19" x14ac:dyDescent="0.25">
      <x:c r="A613" t="str">
        <x:f>IFERROR(IF(0=LEN(ReferenceData!$A$613),"",ReferenceData!$A$613),"")</x:f>
        <x:v xml:space="preserve">            BlackRock Future U.S. Themes E</x:v>
      </x:c>
      <x:c r="B613" t="str">
        <x:f>IFERROR(IF(0=LEN(ReferenceData!$B$613),"",ReferenceData!$B$613),"")</x:f>
        <x:v>BTHM US Equity</x:v>
      </x:c>
      <x:c r="C613" t="str">
        <x:f>IFERROR(IF(0=LEN(ReferenceData!$C$613),"",ReferenceData!$C$613),"")</x:f>
        <x:v/>
      </x:c>
      <x:c r="D613" t="str">
        <x:f>IFERROR(IF(0=LEN(ReferenceData!$D$613),"",ReferenceData!$D$613),"")</x:f>
        <x:v/>
      </x:c>
      <x:c r="E613" t="str">
        <x:f>IFERROR(IF(0=LEN(ReferenceData!$E$613),"",ReferenceData!$E$613),"")</x:f>
        <x:v>Expression</x:v>
      </x:c>
      <x:c r="F613">
        <x:f ca="1">IFERROR(IF(0=LEN(ReferenceData!$F$613),"",ReferenceData!$F$613),"")</x:f>
        <x:v>0</x:v>
      </x:c>
      <x:c r="G613">
        <x:f ca="1">IFERROR(IF(0=LEN(ReferenceData!$G$613),"",ReferenceData!$G$613),"")</x:f>
        <x:v>0</x:v>
      </x:c>
      <x:c r="H613">
        <x:f ca="1">IFERROR(IF(0=LEN(ReferenceData!$H$613),"",ReferenceData!$H$613),"")</x:f>
        <x:v>0</x:v>
      </x:c>
      <x:c r="I613">
        <x:f ca="1">IFERROR(IF(0=LEN(ReferenceData!$I$613),"",ReferenceData!$I$613),"")</x:f>
        <x:v>0</x:v>
      </x:c>
      <x:c r="J613">
        <x:f ca="1">IFERROR(IF(0=LEN(ReferenceData!$J$613),"",ReferenceData!$J$613),"")</x:f>
        <x:v>0</x:v>
      </x:c>
      <x:c r="K613">
        <x:f ca="1">IFERROR(IF(0=LEN(ReferenceData!$K$613),"",ReferenceData!$K$613),"")</x:f>
        <x:v>0</x:v>
      </x:c>
      <x:c r="L613">
        <x:f ca="1">IFERROR(IF(0=LEN(ReferenceData!$L$613),"",ReferenceData!$L$613),"")</x:f>
        <x:v>0</x:v>
      </x:c>
      <x:c r="M613">
        <x:f ca="1">IFERROR(IF(0=LEN(ReferenceData!$M$613),"",ReferenceData!$M$613),"")</x:f>
        <x:v>0</x:v>
      </x:c>
      <x:c r="N613">
        <x:f ca="1">IFERROR(IF(0=LEN(ReferenceData!$N$613),"",ReferenceData!$N$613),"")</x:f>
        <x:v>0</x:v>
      </x:c>
      <x:c r="O613">
        <x:f ca="1">IFERROR(IF(0=LEN(ReferenceData!$O$613),"",ReferenceData!$O$613),"")</x:f>
        <x:v>0</x:v>
      </x:c>
      <x:c r="P613">
        <x:f ca="1">IFERROR(IF(0=LEN(ReferenceData!$P$613),"",ReferenceData!$P$613),"")</x:f>
        <x:v>0</x:v>
      </x:c>
      <x:c r="Q613">
        <x:f ca="1">IFERROR(IF(0=LEN(ReferenceData!$Q$613),"",ReferenceData!$Q$613),"")</x:f>
        <x:v>0</x:v>
      </x:c>
      <x:c r="R613">
        <x:f ca="1">IFERROR(IF(0=LEN(ReferenceData!$R$613),"",ReferenceData!$R$613),"")</x:f>
        <x:v>0</x:v>
      </x:c>
      <x:c r="S613">
        <x:f ca="1">IFERROR(IF(0=LEN(ReferenceData!$S$613),"",ReferenceData!$S$613),"")</x:f>
        <x:v>0</x:v>
      </x:c>
    </x:row>
    <x:row r="614" spans="1:19" x14ac:dyDescent="0.25">
      <x:c r="A614" t="str">
        <x:f>IFERROR(IF(0=LEN(ReferenceData!$A$614),"",ReferenceData!$A$614),"")</x:f>
        <x:v xml:space="preserve">        Tech &amp; Communications</x:v>
      </x:c>
      <x:c r="B614" t="str">
        <x:f>IFERROR(IF(0=LEN(ReferenceData!$B$614),"",ReferenceData!$B$614),"")</x:f>
        <x:v/>
      </x:c>
      <x:c r="C614" t="str">
        <x:f>IFERROR(IF(0=LEN(ReferenceData!$C$614),"",ReferenceData!$C$614),"")</x:f>
        <x:v/>
      </x:c>
      <x:c r="D614" t="str">
        <x:f>IFERROR(IF(0=LEN(ReferenceData!$D$614),"",ReferenceData!$D$614),"")</x:f>
        <x:v/>
      </x:c>
      <x:c r="E614" t="str">
        <x:f>IFERROR(IF(0=LEN(ReferenceData!$E$614),"",ReferenceData!$E$614),"")</x:f>
        <x:v>Sum</x:v>
      </x:c>
      <x:c r="F614">
        <x:f ca="1">IFERROR(IF(0=LEN(ReferenceData!$F$614),"",ReferenceData!$F$614),"")</x:f>
        <x:v>-30.373104999999999</x:v>
      </x:c>
      <x:c r="G614">
        <x:f ca="1">IFERROR(IF(0=LEN(ReferenceData!$G$614),"",ReferenceData!$G$614),"")</x:f>
        <x:v>-548.8245609999999</x:v>
      </x:c>
      <x:c r="H614">
        <x:f ca="1">IFERROR(IF(0=LEN(ReferenceData!$H$614),"",ReferenceData!$H$614),"")</x:f>
        <x:v>-47.880330000000008</x:v>
      </x:c>
      <x:c r="I614">
        <x:f ca="1">IFERROR(IF(0=LEN(ReferenceData!$I$614),"",ReferenceData!$I$614),"")</x:f>
        <x:v>-91.405439000000001</x:v>
      </x:c>
      <x:c r="J614">
        <x:f ca="1">IFERROR(IF(0=LEN(ReferenceData!$J$614),"",ReferenceData!$J$614),"")</x:f>
        <x:v>389.93827099999993</x:v>
      </x:c>
      <x:c r="K614">
        <x:f ca="1">IFERROR(IF(0=LEN(ReferenceData!$K$614),"",ReferenceData!$K$614),"")</x:f>
        <x:v>925.68080600000008</x:v>
      </x:c>
      <x:c r="L614">
        <x:f ca="1">IFERROR(IF(0=LEN(ReferenceData!$L$614),"",ReferenceData!$L$614),"")</x:f>
        <x:v>-77.335901000000021</x:v>
      </x:c>
      <x:c r="M614">
        <x:f ca="1">IFERROR(IF(0=LEN(ReferenceData!$M$614),"",ReferenceData!$M$614),"")</x:f>
        <x:v>4.1287799999999999</x:v>
      </x:c>
      <x:c r="N614">
        <x:f ca="1">IFERROR(IF(0=LEN(ReferenceData!$N$614),"",ReferenceData!$N$614),"")</x:f>
        <x:v>-210.05390600000001</x:v>
      </x:c>
      <x:c r="O614">
        <x:f ca="1">IFERROR(IF(0=LEN(ReferenceData!$O$614),"",ReferenceData!$O$614),"")</x:f>
        <x:v>5.4815999999998866E-2</x:v>
      </x:c>
      <x:c r="P614">
        <x:f ca="1">IFERROR(IF(0=LEN(ReferenceData!$P$614),"",ReferenceData!$P$614),"")</x:f>
        <x:v>-39.579515000000001</x:v>
      </x:c>
      <x:c r="Q614">
        <x:f ca="1">IFERROR(IF(0=LEN(ReferenceData!$Q$614),"",ReferenceData!$Q$614),"")</x:f>
        <x:v>-319.46588400000002</x:v>
      </x:c>
      <x:c r="R614">
        <x:f ca="1">IFERROR(IF(0=LEN(ReferenceData!$R$614),"",ReferenceData!$R$614),"")</x:f>
        <x:v>-163.67969599999998</x:v>
      </x:c>
      <x:c r="S614">
        <x:f ca="1">IFERROR(IF(0=LEN(ReferenceData!$S$614),"",ReferenceData!$S$614),"")</x:f>
        <x:v>221.94210400000003</x:v>
      </x:c>
    </x:row>
    <x:row r="615" spans="1:19" x14ac:dyDescent="0.25">
      <x:c r="A615" t="str">
        <x:f>IFERROR(IF(0=LEN(ReferenceData!$A$615),"",ReferenceData!$A$615),"")</x:f>
        <x:v xml:space="preserve">            SPDR S&amp;P Technology Hardware E</x:v>
      </x:c>
      <x:c r="B615" t="str">
        <x:f>IFERROR(IF(0=LEN(ReferenceData!$B$615),"",ReferenceData!$B$615),"")</x:f>
        <x:v>XTH US Equity</x:v>
      </x:c>
      <x:c r="C615" t="str">
        <x:f>IFERROR(IF(0=LEN(ReferenceData!$C$615),"",ReferenceData!$C$615),"")</x:f>
        <x:v/>
      </x:c>
      <x:c r="D615" t="str">
        <x:f>IFERROR(IF(0=LEN(ReferenceData!$D$615),"",ReferenceData!$D$615),"")</x:f>
        <x:v/>
      </x:c>
      <x:c r="E615" t="str">
        <x:f>IFERROR(IF(0=LEN(ReferenceData!$E$615),"",ReferenceData!$E$615),"")</x:f>
        <x:v>Expression</x:v>
      </x:c>
      <x:c r="F615" t="str">
        <x:f ca="1">IFERROR(IF(0=LEN(ReferenceData!$F$615),"",ReferenceData!$F$615),"")</x:f>
        <x:v/>
      </x:c>
      <x:c r="G615" t="str">
        <x:f ca="1">IFERROR(IF(0=LEN(ReferenceData!$G$615),"",ReferenceData!$G$615),"")</x:f>
        <x:v/>
      </x:c>
      <x:c r="H615" t="str">
        <x:f ca="1">IFERROR(IF(0=LEN(ReferenceData!$H$615),"",ReferenceData!$H$615),"")</x:f>
        <x:v/>
      </x:c>
      <x:c r="I615" t="str">
        <x:f ca="1">IFERROR(IF(0=LEN(ReferenceData!$I$615),"",ReferenceData!$I$615),"")</x:f>
        <x:v/>
      </x:c>
      <x:c r="J615" t="str">
        <x:f ca="1">IFERROR(IF(0=LEN(ReferenceData!$J$615),"",ReferenceData!$J$615),"")</x:f>
        <x:v/>
      </x:c>
      <x:c r="K615" t="str">
        <x:f ca="1">IFERROR(IF(0=LEN(ReferenceData!$K$615),"",ReferenceData!$K$615),"")</x:f>
        <x:v/>
      </x:c>
      <x:c r="L615" t="str">
        <x:f ca="1">IFERROR(IF(0=LEN(ReferenceData!$L$615),"",ReferenceData!$L$615),"")</x:f>
        <x:v/>
      </x:c>
      <x:c r="M615" t="str">
        <x:f ca="1">IFERROR(IF(0=LEN(ReferenceData!$M$615),"",ReferenceData!$M$615),"")</x:f>
        <x:v/>
      </x:c>
      <x:c r="N615" t="str">
        <x:f ca="1">IFERROR(IF(0=LEN(ReferenceData!$N$615),"",ReferenceData!$N$615),"")</x:f>
        <x:v/>
      </x:c>
      <x:c r="O615" t="str">
        <x:f ca="1">IFERROR(IF(0=LEN(ReferenceData!$O$615),"",ReferenceData!$O$615),"")</x:f>
        <x:v/>
      </x:c>
      <x:c r="P615" t="str">
        <x:f ca="1">IFERROR(IF(0=LEN(ReferenceData!$P$615),"",ReferenceData!$P$615),"")</x:f>
        <x:v/>
      </x:c>
      <x:c r="Q615" t="str">
        <x:f ca="1">IFERROR(IF(0=LEN(ReferenceData!$Q$615),"",ReferenceData!$Q$615),"")</x:f>
        <x:v/>
      </x:c>
      <x:c r="R615" t="str">
        <x:f ca="1">IFERROR(IF(0=LEN(ReferenceData!$R$615),"",ReferenceData!$R$615),"")</x:f>
        <x:v/>
      </x:c>
      <x:c r="S615" t="str">
        <x:f ca="1">IFERROR(IF(0=LEN(ReferenceData!$S$615),"",ReferenceData!$S$615),"")</x:f>
        <x:v/>
      </x:c>
    </x:row>
    <x:row r="616" spans="1:19" x14ac:dyDescent="0.25">
      <x:c r="A616" t="str">
        <x:f>IFERROR(IF(0=LEN(ReferenceData!$A$616),"",ReferenceData!$A$616),"")</x:f>
        <x:v xml:space="preserve">            Global X Social Media ETF</x:v>
      </x:c>
      <x:c r="B616" t="str">
        <x:f>IFERROR(IF(0=LEN(ReferenceData!$B$616),"",ReferenceData!$B$616),"")</x:f>
        <x:v>SOCL US Equity</x:v>
      </x:c>
      <x:c r="C616" t="str">
        <x:f>IFERROR(IF(0=LEN(ReferenceData!$C$616),"",ReferenceData!$C$616),"")</x:f>
        <x:v/>
      </x:c>
      <x:c r="D616" t="str">
        <x:f>IFERROR(IF(0=LEN(ReferenceData!$D$616),"",ReferenceData!$D$616),"")</x:f>
        <x:v/>
      </x:c>
      <x:c r="E616" t="str">
        <x:f>IFERROR(IF(0=LEN(ReferenceData!$E$616),"",ReferenceData!$E$616),"")</x:f>
        <x:v>Expression</x:v>
      </x:c>
      <x:c r="F616">
        <x:f ca="1">IFERROR(IF(0=LEN(ReferenceData!$F$616),"",ReferenceData!$F$616),"")</x:f>
        <x:v>0</x:v>
      </x:c>
      <x:c r="G616">
        <x:f ca="1">IFERROR(IF(0=LEN(ReferenceData!$G$616),"",ReferenceData!$G$616),"")</x:f>
        <x:v>7.1760000000000002</x:v>
      </x:c>
      <x:c r="H616">
        <x:f ca="1">IFERROR(IF(0=LEN(ReferenceData!$H$616),"",ReferenceData!$H$616),"")</x:f>
        <x:v>9.6745000000000001</x:v>
      </x:c>
      <x:c r="I616">
        <x:f ca="1">IFERROR(IF(0=LEN(ReferenceData!$I$616),"",ReferenceData!$I$616),"")</x:f>
        <x:v>-3.5061</x:v>
      </x:c>
      <x:c r="J616">
        <x:f ca="1">IFERROR(IF(0=LEN(ReferenceData!$J$616),"",ReferenceData!$J$616),"")</x:f>
        <x:v>0</x:v>
      </x:c>
      <x:c r="K616">
        <x:f ca="1">IFERROR(IF(0=LEN(ReferenceData!$K$616),"",ReferenceData!$K$616),"")</x:f>
        <x:v>-11.884399999999999</x:v>
      </x:c>
      <x:c r="L616">
        <x:f ca="1">IFERROR(IF(0=LEN(ReferenceData!$L$616),"",ReferenceData!$L$616),"")</x:f>
        <x:v>-0.28889999999999999</x:v>
      </x:c>
      <x:c r="M616">
        <x:f ca="1">IFERROR(IF(0=LEN(ReferenceData!$M$616),"",ReferenceData!$M$616),"")</x:f>
        <x:v>0</x:v>
      </x:c>
      <x:c r="N616">
        <x:f ca="1">IFERROR(IF(0=LEN(ReferenceData!$N$616),"",ReferenceData!$N$616),"")</x:f>
        <x:v>-4.5895999999999999</x:v>
      </x:c>
      <x:c r="O616">
        <x:f ca="1">IFERROR(IF(0=LEN(ReferenceData!$O$616),"",ReferenceData!$O$616),"")</x:f>
        <x:v>5.7663000000000002</x:v>
      </x:c>
      <x:c r="P616">
        <x:f ca="1">IFERROR(IF(0=LEN(ReferenceData!$P$616),"",ReferenceData!$P$616),"")</x:f>
        <x:v>0.16350000000000001</x:v>
      </x:c>
      <x:c r="Q616">
        <x:f ca="1">IFERROR(IF(0=LEN(ReferenceData!$Q$616),"",ReferenceData!$Q$616),"")</x:f>
        <x:v>-4.9889000000000001</x:v>
      </x:c>
      <x:c r="R616">
        <x:f ca="1">IFERROR(IF(0=LEN(ReferenceData!$R$616),"",ReferenceData!$R$616),"")</x:f>
        <x:v>-1.1299999999999999</x:v>
      </x:c>
      <x:c r="S616">
        <x:f ca="1">IFERROR(IF(0=LEN(ReferenceData!$S$616),"",ReferenceData!$S$616),"")</x:f>
        <x:v>-16.589700000000001</x:v>
      </x:c>
    </x:row>
    <x:row r="617" spans="1:19" x14ac:dyDescent="0.25">
      <x:c r="A617" t="str">
        <x:f>IFERROR(IF(0=LEN(ReferenceData!$A$617),"",ReferenceData!$A$617),"")</x:f>
        <x:v xml:space="preserve">            ARK Next Generation Internet E</x:v>
      </x:c>
      <x:c r="B617" t="str">
        <x:f>IFERROR(IF(0=LEN(ReferenceData!$B$617),"",ReferenceData!$B$617),"")</x:f>
        <x:v>ARKW US Equity</x:v>
      </x:c>
      <x:c r="C617" t="str">
        <x:f>IFERROR(IF(0=LEN(ReferenceData!$C$617),"",ReferenceData!$C$617),"")</x:f>
        <x:v/>
      </x:c>
      <x:c r="D617" t="str">
        <x:f>IFERROR(IF(0=LEN(ReferenceData!$D$617),"",ReferenceData!$D$617),"")</x:f>
        <x:v/>
      </x:c>
      <x:c r="E617" t="str">
        <x:f>IFERROR(IF(0=LEN(ReferenceData!$E$617),"",ReferenceData!$E$617),"")</x:f>
        <x:v>Expression</x:v>
      </x:c>
      <x:c r="F617">
        <x:f ca="1">IFERROR(IF(0=LEN(ReferenceData!$F$617),"",ReferenceData!$F$617),"")</x:f>
        <x:v>-2.5723539999999998</x:v>
      </x:c>
      <x:c r="G617">
        <x:f ca="1">IFERROR(IF(0=LEN(ReferenceData!$G$617),"",ReferenceData!$G$617),"")</x:f>
        <x:v>-39.868690999999998</x:v>
      </x:c>
      <x:c r="H617">
        <x:f ca="1">IFERROR(IF(0=LEN(ReferenceData!$H$617),"",ReferenceData!$H$617),"")</x:f>
        <x:v>-13.965577</x:v>
      </x:c>
      <x:c r="I617">
        <x:f ca="1">IFERROR(IF(0=LEN(ReferenceData!$I$617),"",ReferenceData!$I$617),"")</x:f>
        <x:v>-58.793681999999997</x:v>
      </x:c>
      <x:c r="J617">
        <x:f ca="1">IFERROR(IF(0=LEN(ReferenceData!$J$617),"",ReferenceData!$J$617),"")</x:f>
        <x:v>32.528877000000001</x:v>
      </x:c>
      <x:c r="K617">
        <x:f ca="1">IFERROR(IF(0=LEN(ReferenceData!$K$617),"",ReferenceData!$K$617),"")</x:f>
        <x:v>13.901996</x:v>
      </x:c>
      <x:c r="L617">
        <x:f ca="1">IFERROR(IF(0=LEN(ReferenceData!$L$617),"",ReferenceData!$L$617),"")</x:f>
        <x:v>-6.5938160000000003</x:v>
      </x:c>
      <x:c r="M617">
        <x:f ca="1">IFERROR(IF(0=LEN(ReferenceData!$M$617),"",ReferenceData!$M$617),"")</x:f>
        <x:v>-10.023896000000001</x:v>
      </x:c>
      <x:c r="N617">
        <x:f ca="1">IFERROR(IF(0=LEN(ReferenceData!$N$617),"",ReferenceData!$N$617),"")</x:f>
        <x:v>-14.624017</x:v>
      </x:c>
      <x:c r="O617">
        <x:f ca="1">IFERROR(IF(0=LEN(ReferenceData!$O$617),"",ReferenceData!$O$617),"")</x:f>
        <x:v>-30.986823999999999</x:v>
      </x:c>
      <x:c r="P617">
        <x:f ca="1">IFERROR(IF(0=LEN(ReferenceData!$P$617),"",ReferenceData!$P$617),"")</x:f>
        <x:v>12.924507</x:v>
      </x:c>
      <x:c r="Q617">
        <x:f ca="1">IFERROR(IF(0=LEN(ReferenceData!$Q$617),"",ReferenceData!$Q$617),"")</x:f>
        <x:v>-49.52169</x:v>
      </x:c>
      <x:c r="R617">
        <x:f ca="1">IFERROR(IF(0=LEN(ReferenceData!$R$617),"",ReferenceData!$R$617),"")</x:f>
        <x:v>-20.483791</x:v>
      </x:c>
      <x:c r="S617">
        <x:f ca="1">IFERROR(IF(0=LEN(ReferenceData!$S$617),"",ReferenceData!$S$617),"")</x:f>
        <x:v>20.738102000000001</x:v>
      </x:c>
    </x:row>
    <x:row r="618" spans="1:19" x14ac:dyDescent="0.25">
      <x:c r="A618" t="str">
        <x:f>IFERROR(IF(0=LEN(ReferenceData!$A$618),"",ReferenceData!$A$618),"")</x:f>
        <x:v xml:space="preserve">            Global X Internet of Things ET</x:v>
      </x:c>
      <x:c r="B618" t="str">
        <x:f>IFERROR(IF(0=LEN(ReferenceData!$B$618),"",ReferenceData!$B$618),"")</x:f>
        <x:v>SNSR US Equity</x:v>
      </x:c>
      <x:c r="C618" t="str">
        <x:f>IFERROR(IF(0=LEN(ReferenceData!$C$618),"",ReferenceData!$C$618),"")</x:f>
        <x:v/>
      </x:c>
      <x:c r="D618" t="str">
        <x:f>IFERROR(IF(0=LEN(ReferenceData!$D$618),"",ReferenceData!$D$618),"")</x:f>
        <x:v/>
      </x:c>
      <x:c r="E618" t="str">
        <x:f>IFERROR(IF(0=LEN(ReferenceData!$E$618),"",ReferenceData!$E$618),"")</x:f>
        <x:v>Expression</x:v>
      </x:c>
      <x:c r="F618">
        <x:f ca="1">IFERROR(IF(0=LEN(ReferenceData!$F$618),"",ReferenceData!$F$618),"")</x:f>
        <x:v>0</x:v>
      </x:c>
      <x:c r="G618">
        <x:f ca="1">IFERROR(IF(0=LEN(ReferenceData!$G$618),"",ReferenceData!$G$618),"")</x:f>
        <x:v>-6.3503999999999996</x:v>
      </x:c>
      <x:c r="H618">
        <x:f ca="1">IFERROR(IF(0=LEN(ReferenceData!$H$618),"",ReferenceData!$H$618),"")</x:f>
        <x:v>-1.5225</x:v>
      </x:c>
      <x:c r="I618">
        <x:f ca="1">IFERROR(IF(0=LEN(ReferenceData!$I$618),"",ReferenceData!$I$618),"")</x:f>
        <x:v>-28.688099999999999</x:v>
      </x:c>
      <x:c r="J618">
        <x:f ca="1">IFERROR(IF(0=LEN(ReferenceData!$J$618),"",ReferenceData!$J$618),"")</x:f>
        <x:v>-8.7779000000000007</x:v>
      </x:c>
      <x:c r="K618">
        <x:f ca="1">IFERROR(IF(0=LEN(ReferenceData!$K$618),"",ReferenceData!$K$618),"")</x:f>
        <x:v>20.648499999999999</x:v>
      </x:c>
      <x:c r="L618">
        <x:f ca="1">IFERROR(IF(0=LEN(ReferenceData!$L$618),"",ReferenceData!$L$618),"")</x:f>
        <x:v>-30.119</x:v>
      </x:c>
      <x:c r="M618">
        <x:f ca="1">IFERROR(IF(0=LEN(ReferenceData!$M$618),"",ReferenceData!$M$618),"")</x:f>
        <x:v>22.731999999999999</x:v>
      </x:c>
      <x:c r="N618">
        <x:f ca="1">IFERROR(IF(0=LEN(ReferenceData!$N$618),"",ReferenceData!$N$618),"")</x:f>
        <x:v>-34.764400000000002</x:v>
      </x:c>
      <x:c r="O618">
        <x:f ca="1">IFERROR(IF(0=LEN(ReferenceData!$O$618),"",ReferenceData!$O$618),"")</x:f>
        <x:v>34.432299999999998</x:v>
      </x:c>
      <x:c r="P618">
        <x:f ca="1">IFERROR(IF(0=LEN(ReferenceData!$P$618),"",ReferenceData!$P$618),"")</x:f>
        <x:v>0</x:v>
      </x:c>
      <x:c r="Q618">
        <x:f ca="1">IFERROR(IF(0=LEN(ReferenceData!$Q$618),"",ReferenceData!$Q$618),"")</x:f>
        <x:v>-0.88019999999999998</x:v>
      </x:c>
      <x:c r="R618">
        <x:f ca="1">IFERROR(IF(0=LEN(ReferenceData!$R$618),"",ReferenceData!$R$618),"")</x:f>
        <x:v>-4.7695999999999996</x:v>
      </x:c>
      <x:c r="S618">
        <x:f ca="1">IFERROR(IF(0=LEN(ReferenceData!$S$618),"",ReferenceData!$S$618),"")</x:f>
        <x:v>-9.5936000000000003</x:v>
      </x:c>
    </x:row>
    <x:row r="619" spans="1:19" x14ac:dyDescent="0.25">
      <x:c r="A619" t="str">
        <x:f>IFERROR(IF(0=LEN(ReferenceData!$A$619),"",ReferenceData!$A$619),"")</x:f>
        <x:v xml:space="preserve">            SPDR S&amp;P Internet ETF</x:v>
      </x:c>
      <x:c r="B619" t="str">
        <x:f>IFERROR(IF(0=LEN(ReferenceData!$B$619),"",ReferenceData!$B$619),"")</x:f>
        <x:v>XWEB US Equity</x:v>
      </x:c>
      <x:c r="C619" t="str">
        <x:f>IFERROR(IF(0=LEN(ReferenceData!$C$619),"",ReferenceData!$C$619),"")</x:f>
        <x:v/>
      </x:c>
      <x:c r="D619" t="str">
        <x:f>IFERROR(IF(0=LEN(ReferenceData!$D$619),"",ReferenceData!$D$619),"")</x:f>
        <x:v/>
      </x:c>
      <x:c r="E619" t="str">
        <x:f>IFERROR(IF(0=LEN(ReferenceData!$E$619),"",ReferenceData!$E$619),"")</x:f>
        <x:v>Expression</x:v>
      </x:c>
      <x:c r="F619">
        <x:f ca="1">IFERROR(IF(0=LEN(ReferenceData!$F$619),"",ReferenceData!$F$619),"")</x:f>
        <x:v>-1.4592989999999999</x:v>
      </x:c>
      <x:c r="G619">
        <x:f ca="1">IFERROR(IF(0=LEN(ReferenceData!$G$619),"",ReferenceData!$G$619),"")</x:f>
        <x:v>0</x:v>
      </x:c>
      <x:c r="H619">
        <x:f ca="1">IFERROR(IF(0=LEN(ReferenceData!$H$619),"",ReferenceData!$H$619),"")</x:f>
        <x:v>0</x:v>
      </x:c>
      <x:c r="I619">
        <x:f ca="1">IFERROR(IF(0=LEN(ReferenceData!$I$619),"",ReferenceData!$I$619),"")</x:f>
        <x:v>-0.83348900000000004</x:v>
      </x:c>
      <x:c r="J619">
        <x:f ca="1">IFERROR(IF(0=LEN(ReferenceData!$J$619),"",ReferenceData!$J$619),"")</x:f>
        <x:v>0</x:v>
      </x:c>
      <x:c r="K619">
        <x:f ca="1">IFERROR(IF(0=LEN(ReferenceData!$K$619),"",ReferenceData!$K$619),"")</x:f>
        <x:v>0.78373800000000005</x:v>
      </x:c>
      <x:c r="L619">
        <x:f ca="1">IFERROR(IF(0=LEN(ReferenceData!$L$619),"",ReferenceData!$L$619),"")</x:f>
        <x:v>-0.65867900000000001</x:v>
      </x:c>
      <x:c r="M619">
        <x:f ca="1">IFERROR(IF(0=LEN(ReferenceData!$M$619),"",ReferenceData!$M$619),"")</x:f>
        <x:v>-0.69303300000000001</x:v>
      </x:c>
      <x:c r="N619">
        <x:f ca="1">IFERROR(IF(0=LEN(ReferenceData!$N$619),"",ReferenceData!$N$619),"")</x:f>
        <x:v>0</x:v>
      </x:c>
      <x:c r="O619">
        <x:f ca="1">IFERROR(IF(0=LEN(ReferenceData!$O$619),"",ReferenceData!$O$619),"")</x:f>
        <x:v>0</x:v>
      </x:c>
      <x:c r="P619">
        <x:f ca="1">IFERROR(IF(0=LEN(ReferenceData!$P$619),"",ReferenceData!$P$619),"")</x:f>
        <x:v>-1.3593470000000001</x:v>
      </x:c>
      <x:c r="Q619">
        <x:f ca="1">IFERROR(IF(0=LEN(ReferenceData!$Q$619),"",ReferenceData!$Q$619),"")</x:f>
        <x:v>-0.67539400000000005</x:v>
      </x:c>
      <x:c r="R619">
        <x:f ca="1">IFERROR(IF(0=LEN(ReferenceData!$R$619),"",ReferenceData!$R$619),"")</x:f>
        <x:v>-0.66095700000000002</x:v>
      </x:c>
      <x:c r="S619">
        <x:f ca="1">IFERROR(IF(0=LEN(ReferenceData!$S$619),"",ReferenceData!$S$619),"")</x:f>
        <x:v>1.971047</x:v>
      </x:c>
    </x:row>
    <x:row r="620" spans="1:19" x14ac:dyDescent="0.25">
      <x:c r="A620" t="str">
        <x:f>IFERROR(IF(0=LEN(ReferenceData!$A$620),"",ReferenceData!$A$620),"")</x:f>
        <x:v xml:space="preserve">            ALPS O'Shares Global Internet</x:v>
      </x:c>
      <x:c r="B620" t="str">
        <x:f>IFERROR(IF(0=LEN(ReferenceData!$B$620),"",ReferenceData!$B$620),"")</x:f>
        <x:v>OGIG US Equity</x:v>
      </x:c>
      <x:c r="C620" t="str">
        <x:f>IFERROR(IF(0=LEN(ReferenceData!$C$620),"",ReferenceData!$C$620),"")</x:f>
        <x:v/>
      </x:c>
      <x:c r="D620" t="str">
        <x:f>IFERROR(IF(0=LEN(ReferenceData!$D$620),"",ReferenceData!$D$620),"")</x:f>
        <x:v/>
      </x:c>
      <x:c r="E620" t="str">
        <x:f>IFERROR(IF(0=LEN(ReferenceData!$E$620),"",ReferenceData!$E$620),"")</x:f>
        <x:v>Expression</x:v>
      </x:c>
      <x:c r="F620">
        <x:f ca="1">IFERROR(IF(0=LEN(ReferenceData!$F$620),"",ReferenceData!$F$620),"")</x:f>
        <x:v>-1.5494140000000001</x:v>
      </x:c>
      <x:c r="G620">
        <x:f ca="1">IFERROR(IF(0=LEN(ReferenceData!$G$620),"",ReferenceData!$G$620),"")</x:f>
        <x:v>-1.5816429999999999</x:v>
      </x:c>
      <x:c r="H620">
        <x:f ca="1">IFERROR(IF(0=LEN(ReferenceData!$H$620),"",ReferenceData!$H$620),"")</x:f>
        <x:v>-8.5350230000000007</x:v>
      </x:c>
      <x:c r="I620">
        <x:f ca="1">IFERROR(IF(0=LEN(ReferenceData!$I$620),"",ReferenceData!$I$620),"")</x:f>
        <x:v>-3.1181380000000001</x:v>
      </x:c>
      <x:c r="J620">
        <x:f ca="1">IFERROR(IF(0=LEN(ReferenceData!$J$620),"",ReferenceData!$J$620),"")</x:f>
        <x:v>0</x:v>
      </x:c>
      <x:c r="K620">
        <x:f ca="1">IFERROR(IF(0=LEN(ReferenceData!$K$620),"",ReferenceData!$K$620),"")</x:f>
        <x:v>-6.4058359999999999</x:v>
      </x:c>
      <x:c r="L620">
        <x:f ca="1">IFERROR(IF(0=LEN(ReferenceData!$L$620),"",ReferenceData!$L$620),"")</x:f>
        <x:v>-2.834511</x:v>
      </x:c>
      <x:c r="M620">
        <x:f ca="1">IFERROR(IF(0=LEN(ReferenceData!$M$620),"",ReferenceData!$M$620),"")</x:f>
        <x:v>-1.403478</x:v>
      </x:c>
      <x:c r="N620">
        <x:f ca="1">IFERROR(IF(0=LEN(ReferenceData!$N$620),"",ReferenceData!$N$620),"")</x:f>
        <x:v>-7.3623430000000001</x:v>
      </x:c>
      <x:c r="O620">
        <x:f ca="1">IFERROR(IF(0=LEN(ReferenceData!$O$620),"",ReferenceData!$O$620),"")</x:f>
        <x:v>-1.404587</x:v>
      </x:c>
      <x:c r="P620">
        <x:f ca="1">IFERROR(IF(0=LEN(ReferenceData!$P$620),"",ReferenceData!$P$620),"")</x:f>
        <x:v>-14.044858</x:v>
      </x:c>
      <x:c r="Q620">
        <x:f ca="1">IFERROR(IF(0=LEN(ReferenceData!$Q$620),"",ReferenceData!$Q$620),"")</x:f>
        <x:v>-8.6319710000000001</x:v>
      </x:c>
      <x:c r="R620">
        <x:f ca="1">IFERROR(IF(0=LEN(ReferenceData!$R$620),"",ReferenceData!$R$620),"")</x:f>
        <x:v>-14.297072</x:v>
      </x:c>
      <x:c r="S620">
        <x:f ca="1">IFERROR(IF(0=LEN(ReferenceData!$S$620),"",ReferenceData!$S$620),"")</x:f>
        <x:v>-6.2460089999999999</x:v>
      </x:c>
    </x:row>
    <x:row r="621" spans="1:19" x14ac:dyDescent="0.25">
      <x:c r="A621" t="str">
        <x:f>IFERROR(IF(0=LEN(ReferenceData!$A$621),"",ReferenceData!$A$621),"")</x:f>
        <x:v xml:space="preserve">            AdvisorShares New Tech and Med</x:v>
      </x:c>
      <x:c r="B621" t="str">
        <x:f>IFERROR(IF(0=LEN(ReferenceData!$B$621),"",ReferenceData!$B$621),"")</x:f>
        <x:v>FNG US Equity</x:v>
      </x:c>
      <x:c r="C621" t="str">
        <x:f>IFERROR(IF(0=LEN(ReferenceData!$C$621),"",ReferenceData!$C$621),"")</x:f>
        <x:v/>
      </x:c>
      <x:c r="D621" t="str">
        <x:f>IFERROR(IF(0=LEN(ReferenceData!$D$621),"",ReferenceData!$D$621),"")</x:f>
        <x:v/>
      </x:c>
      <x:c r="E621" t="str">
        <x:f>IFERROR(IF(0=LEN(ReferenceData!$E$621),"",ReferenceData!$E$621),"")</x:f>
        <x:v>Expression</x:v>
      </x:c>
      <x:c r="F621" t="str">
        <x:f ca="1">IFERROR(IF(0=LEN(ReferenceData!$F$621),"",ReferenceData!$F$621),"")</x:f>
        <x:v/>
      </x:c>
      <x:c r="G621" t="str">
        <x:f ca="1">IFERROR(IF(0=LEN(ReferenceData!$G$621),"",ReferenceData!$G$621),"")</x:f>
        <x:v/>
      </x:c>
      <x:c r="H621" t="str">
        <x:f ca="1">IFERROR(IF(0=LEN(ReferenceData!$H$621),"",ReferenceData!$H$621),"")</x:f>
        <x:v/>
      </x:c>
      <x:c r="I621" t="str">
        <x:f ca="1">IFERROR(IF(0=LEN(ReferenceData!$I$621),"",ReferenceData!$I$621),"")</x:f>
        <x:v/>
      </x:c>
      <x:c r="J621" t="str">
        <x:f ca="1">IFERROR(IF(0=LEN(ReferenceData!$J$621),"",ReferenceData!$J$621),"")</x:f>
        <x:v/>
      </x:c>
      <x:c r="K621" t="str">
        <x:f ca="1">IFERROR(IF(0=LEN(ReferenceData!$K$621),"",ReferenceData!$K$621),"")</x:f>
        <x:v/>
      </x:c>
      <x:c r="L621" t="str">
        <x:f ca="1">IFERROR(IF(0=LEN(ReferenceData!$L$621),"",ReferenceData!$L$621),"")</x:f>
        <x:v/>
      </x:c>
      <x:c r="M621" t="str">
        <x:f ca="1">IFERROR(IF(0=LEN(ReferenceData!$M$621),"",ReferenceData!$M$621),"")</x:f>
        <x:v/>
      </x:c>
      <x:c r="N621" t="str">
        <x:f ca="1">IFERROR(IF(0=LEN(ReferenceData!$N$621),"",ReferenceData!$N$621),"")</x:f>
        <x:v/>
      </x:c>
      <x:c r="O621" t="str">
        <x:f ca="1">IFERROR(IF(0=LEN(ReferenceData!$O$621),"",ReferenceData!$O$621),"")</x:f>
        <x:v/>
      </x:c>
      <x:c r="P621" t="str">
        <x:f ca="1">IFERROR(IF(0=LEN(ReferenceData!$P$621),"",ReferenceData!$P$621),"")</x:f>
        <x:v/>
      </x:c>
      <x:c r="Q621" t="str">
        <x:f ca="1">IFERROR(IF(0=LEN(ReferenceData!$Q$621),"",ReferenceData!$Q$621),"")</x:f>
        <x:v/>
      </x:c>
      <x:c r="R621" t="str">
        <x:f ca="1">IFERROR(IF(0=LEN(ReferenceData!$R$621),"",ReferenceData!$R$621),"")</x:f>
        <x:v/>
      </x:c>
      <x:c r="S621" t="str">
        <x:f ca="1">IFERROR(IF(0=LEN(ReferenceData!$S$621),"",ReferenceData!$S$621),"")</x:f>
        <x:v/>
      </x:c>
    </x:row>
    <x:row r="622" spans="1:19" x14ac:dyDescent="0.25">
      <x:c r="A622" t="str">
        <x:f>IFERROR(IF(0=LEN(ReferenceData!$A$622),"",ReferenceData!$A$622),"")</x:f>
        <x:v xml:space="preserve">            Invesco Dynamic Networking ETF</x:v>
      </x:c>
      <x:c r="B622" t="str">
        <x:f>IFERROR(IF(0=LEN(ReferenceData!$B$622),"",ReferenceData!$B$622),"")</x:f>
        <x:v>PXQ US Equity</x:v>
      </x:c>
      <x:c r="C622" t="str">
        <x:f>IFERROR(IF(0=LEN(ReferenceData!$C$622),"",ReferenceData!$C$622),"")</x:f>
        <x:v/>
      </x:c>
      <x:c r="D622" t="str">
        <x:f>IFERROR(IF(0=LEN(ReferenceData!$D$622),"",ReferenceData!$D$622),"")</x:f>
        <x:v/>
      </x:c>
      <x:c r="E622" t="str">
        <x:f>IFERROR(IF(0=LEN(ReferenceData!$E$622),"",ReferenceData!$E$622),"")</x:f>
        <x:v>Expression</x:v>
      </x:c>
      <x:c r="F622">
        <x:f ca="1">IFERROR(IF(0=LEN(ReferenceData!$F$622),"",ReferenceData!$F$622),"")</x:f>
        <x:v>0</x:v>
      </x:c>
      <x:c r="G622">
        <x:f ca="1">IFERROR(IF(0=LEN(ReferenceData!$G$622),"",ReferenceData!$G$622),"")</x:f>
        <x:v>0</x:v>
      </x:c>
      <x:c r="H622">
        <x:f ca="1">IFERROR(IF(0=LEN(ReferenceData!$H$622),"",ReferenceData!$H$622),"")</x:f>
        <x:v>-0.79463099999999998</x:v>
      </x:c>
      <x:c r="I622">
        <x:f ca="1">IFERROR(IF(0=LEN(ReferenceData!$I$622),"",ReferenceData!$I$622),"")</x:f>
        <x:v>-2.3481190000000001</x:v>
      </x:c>
      <x:c r="J622" t="str">
        <x:f ca="1">IFERROR(IF(0=LEN(ReferenceData!$J$622),"",ReferenceData!$J$622),"")</x:f>
        <x:v/>
      </x:c>
      <x:c r="K622" t="str">
        <x:f ca="1">IFERROR(IF(0=LEN(ReferenceData!$K$622),"",ReferenceData!$K$622),"")</x:f>
        <x:v/>
      </x:c>
      <x:c r="L622" t="str">
        <x:f ca="1">IFERROR(IF(0=LEN(ReferenceData!$L$622),"",ReferenceData!$L$622),"")</x:f>
        <x:v/>
      </x:c>
      <x:c r="M622" t="str">
        <x:f ca="1">IFERROR(IF(0=LEN(ReferenceData!$M$622),"",ReferenceData!$M$622),"")</x:f>
        <x:v/>
      </x:c>
      <x:c r="N622" t="str">
        <x:f ca="1">IFERROR(IF(0=LEN(ReferenceData!$N$622),"",ReferenceData!$N$622),"")</x:f>
        <x:v/>
      </x:c>
      <x:c r="O622" t="str">
        <x:f ca="1">IFERROR(IF(0=LEN(ReferenceData!$O$622),"",ReferenceData!$O$622),"")</x:f>
        <x:v/>
      </x:c>
      <x:c r="P622" t="str">
        <x:f ca="1">IFERROR(IF(0=LEN(ReferenceData!$P$622),"",ReferenceData!$P$622),"")</x:f>
        <x:v/>
      </x:c>
      <x:c r="Q622" t="str">
        <x:f ca="1">IFERROR(IF(0=LEN(ReferenceData!$Q$622),"",ReferenceData!$Q$622),"")</x:f>
        <x:v/>
      </x:c>
      <x:c r="R622" t="str">
        <x:f ca="1">IFERROR(IF(0=LEN(ReferenceData!$R$622),"",ReferenceData!$R$622),"")</x:f>
        <x:v/>
      </x:c>
      <x:c r="S622" t="str">
        <x:f ca="1">IFERROR(IF(0=LEN(ReferenceData!$S$622),"",ReferenceData!$S$622),"")</x:f>
        <x:v/>
      </x:c>
    </x:row>
    <x:row r="623" spans="1:19" x14ac:dyDescent="0.25">
      <x:c r="A623" t="str">
        <x:f>IFERROR(IF(0=LEN(ReferenceData!$A$623),"",ReferenceData!$A$623),"")</x:f>
        <x:v xml:space="preserve">            Innovator Deepwater Frontier T</x:v>
      </x:c>
      <x:c r="B623" t="str">
        <x:f>IFERROR(IF(0=LEN(ReferenceData!$B$623),"",ReferenceData!$B$623),"")</x:f>
        <x:v>LOUP US Equity</x:v>
      </x:c>
      <x:c r="C623" t="str">
        <x:f>IFERROR(IF(0=LEN(ReferenceData!$C$623),"",ReferenceData!$C$623),"")</x:f>
        <x:v/>
      </x:c>
      <x:c r="D623" t="str">
        <x:f>IFERROR(IF(0=LEN(ReferenceData!$D$623),"",ReferenceData!$D$623),"")</x:f>
        <x:v/>
      </x:c>
      <x:c r="E623" t="str">
        <x:f>IFERROR(IF(0=LEN(ReferenceData!$E$623),"",ReferenceData!$E$623),"")</x:f>
        <x:v>Expression</x:v>
      </x:c>
      <x:c r="F623">
        <x:f ca="1">IFERROR(IF(0=LEN(ReferenceData!$F$623),"",ReferenceData!$F$623),"")</x:f>
        <x:v>0</x:v>
      </x:c>
      <x:c r="G623">
        <x:f ca="1">IFERROR(IF(0=LEN(ReferenceData!$G$623),"",ReferenceData!$G$623),"")</x:f>
        <x:v>0</x:v>
      </x:c>
      <x:c r="H623">
        <x:f ca="1">IFERROR(IF(0=LEN(ReferenceData!$H$623),"",ReferenceData!$H$623),"")</x:f>
        <x:v>0</x:v>
      </x:c>
      <x:c r="I623">
        <x:f ca="1">IFERROR(IF(0=LEN(ReferenceData!$I$623),"",ReferenceData!$I$623),"")</x:f>
        <x:v>-1.9182999999999999</x:v>
      </x:c>
      <x:c r="J623">
        <x:f ca="1">IFERROR(IF(0=LEN(ReferenceData!$J$623),"",ReferenceData!$J$623),"")</x:f>
        <x:v>0</x:v>
      </x:c>
      <x:c r="K623">
        <x:f ca="1">IFERROR(IF(0=LEN(ReferenceData!$K$623),"",ReferenceData!$K$623),"")</x:f>
        <x:v>0</x:v>
      </x:c>
      <x:c r="L623">
        <x:f ca="1">IFERROR(IF(0=LEN(ReferenceData!$L$623),"",ReferenceData!$L$623),"")</x:f>
        <x:v>0</x:v>
      </x:c>
      <x:c r="M623">
        <x:f ca="1">IFERROR(IF(0=LEN(ReferenceData!$M$623),"",ReferenceData!$M$623),"")</x:f>
        <x:v>0</x:v>
      </x:c>
      <x:c r="N623">
        <x:f ca="1">IFERROR(IF(0=LEN(ReferenceData!$N$623),"",ReferenceData!$N$623),"")</x:f>
        <x:v>-1.6658649999999999</x:v>
      </x:c>
      <x:c r="O623">
        <x:f ca="1">IFERROR(IF(0=LEN(ReferenceData!$O$623),"",ReferenceData!$O$623),"")</x:f>
        <x:v>1.68804</x:v>
      </x:c>
      <x:c r="P623">
        <x:f ca="1">IFERROR(IF(0=LEN(ReferenceData!$P$623),"",ReferenceData!$P$623),"")</x:f>
        <x:v>-1.6172</x:v>
      </x:c>
      <x:c r="Q623">
        <x:f ca="1">IFERROR(IF(0=LEN(ReferenceData!$Q$623),"",ReferenceData!$Q$623),"")</x:f>
        <x:v>0</x:v>
      </x:c>
      <x:c r="R623">
        <x:f ca="1">IFERROR(IF(0=LEN(ReferenceData!$R$623),"",ReferenceData!$R$623),"")</x:f>
        <x:v>0</x:v>
      </x:c>
      <x:c r="S623">
        <x:f ca="1">IFERROR(IF(0=LEN(ReferenceData!$S$623),"",ReferenceData!$S$623),"")</x:f>
        <x:v>-4.1741650000000003</x:v>
      </x:c>
    </x:row>
    <x:row r="624" spans="1:19" x14ac:dyDescent="0.25">
      <x:c r="A624" t="str">
        <x:f>IFERROR(IF(0=LEN(ReferenceData!$A$624),"",ReferenceData!$A$624),"")</x:f>
        <x:v xml:space="preserve">            Defiance Quantum ETF</x:v>
      </x:c>
      <x:c r="B624" t="str">
        <x:f>IFERROR(IF(0=LEN(ReferenceData!$B$624),"",ReferenceData!$B$624),"")</x:f>
        <x:v>QTUM US Equity</x:v>
      </x:c>
      <x:c r="C624" t="str">
        <x:f>IFERROR(IF(0=LEN(ReferenceData!$C$624),"",ReferenceData!$C$624),"")</x:f>
        <x:v/>
      </x:c>
      <x:c r="D624" t="str">
        <x:f>IFERROR(IF(0=LEN(ReferenceData!$D$624),"",ReferenceData!$D$624),"")</x:f>
        <x:v/>
      </x:c>
      <x:c r="E624" t="str">
        <x:f>IFERROR(IF(0=LEN(ReferenceData!$E$624),"",ReferenceData!$E$624),"")</x:f>
        <x:v>Expression</x:v>
      </x:c>
      <x:c r="F624">
        <x:f ca="1">IFERROR(IF(0=LEN(ReferenceData!$F$624),"",ReferenceData!$F$624),"")</x:f>
        <x:v>0</x:v>
      </x:c>
      <x:c r="G624">
        <x:f ca="1">IFERROR(IF(0=LEN(ReferenceData!$G$624),"",ReferenceData!$G$624),"")</x:f>
        <x:v>0</x:v>
      </x:c>
      <x:c r="H624">
        <x:f ca="1">IFERROR(IF(0=LEN(ReferenceData!$H$624),"",ReferenceData!$H$624),"")</x:f>
        <x:v>7.2950900000000001</x:v>
      </x:c>
      <x:c r="I624">
        <x:f ca="1">IFERROR(IF(0=LEN(ReferenceData!$I$624),"",ReferenceData!$I$624),"")</x:f>
        <x:v>7.2635699999999996</x:v>
      </x:c>
      <x:c r="J624">
        <x:f ca="1">IFERROR(IF(0=LEN(ReferenceData!$J$624),"",ReferenceData!$J$624),"")</x:f>
        <x:v>0</x:v>
      </x:c>
      <x:c r="K624">
        <x:f ca="1">IFERROR(IF(0=LEN(ReferenceData!$K$624),"",ReferenceData!$K$624),"")</x:f>
        <x:v>22.321465</x:v>
      </x:c>
      <x:c r="L624">
        <x:f ca="1">IFERROR(IF(0=LEN(ReferenceData!$L$624),"",ReferenceData!$L$624),"")</x:f>
        <x:v>11.894080000000001</x:v>
      </x:c>
      <x:c r="M624">
        <x:f ca="1">IFERROR(IF(0=LEN(ReferenceData!$M$624),"",ReferenceData!$M$624),"")</x:f>
        <x:v>2.2174399999999999</x:v>
      </x:c>
      <x:c r="N624">
        <x:f ca="1">IFERROR(IF(0=LEN(ReferenceData!$N$624),"",ReferenceData!$N$624),"")</x:f>
        <x:v>4.3441150000000004</x:v>
      </x:c>
      <x:c r="O624">
        <x:f ca="1">IFERROR(IF(0=LEN(ReferenceData!$O$624),"",ReferenceData!$O$624),"")</x:f>
        <x:v>2.2879350000000001</x:v>
      </x:c>
      <x:c r="P624">
        <x:f ca="1">IFERROR(IF(0=LEN(ReferenceData!$P$624),"",ReferenceData!$P$624),"")</x:f>
        <x:v>-6.3751600000000002</x:v>
      </x:c>
      <x:c r="Q624">
        <x:f ca="1">IFERROR(IF(0=LEN(ReferenceData!$Q$624),"",ReferenceData!$Q$624),"")</x:f>
        <x:v>-2.040035</x:v>
      </x:c>
      <x:c r="R624">
        <x:f ca="1">IFERROR(IF(0=LEN(ReferenceData!$R$624),"",ReferenceData!$R$624),"")</x:f>
        <x:v>-4.0674200000000003</x:v>
      </x:c>
      <x:c r="S624">
        <x:f ca="1">IFERROR(IF(0=LEN(ReferenceData!$S$624),"",ReferenceData!$S$624),"")</x:f>
        <x:v>0.102365</x:v>
      </x:c>
    </x:row>
    <x:row r="625" spans="1:19" x14ac:dyDescent="0.25">
      <x:c r="A625" t="str">
        <x:f>IFERROR(IF(0=LEN(ReferenceData!$A$625),"",ReferenceData!$A$625),"")</x:f>
        <x:v xml:space="preserve">            SPDR FactSet Innovative Techno</x:v>
      </x:c>
      <x:c r="B625" t="str">
        <x:f>IFERROR(IF(0=LEN(ReferenceData!$B$625),"",ReferenceData!$B$625),"")</x:f>
        <x:v>XITK US Equity</x:v>
      </x:c>
      <x:c r="C625" t="str">
        <x:f>IFERROR(IF(0=LEN(ReferenceData!$C$625),"",ReferenceData!$C$625),"")</x:f>
        <x:v/>
      </x:c>
      <x:c r="D625" t="str">
        <x:f>IFERROR(IF(0=LEN(ReferenceData!$D$625),"",ReferenceData!$D$625),"")</x:f>
        <x:v/>
      </x:c>
      <x:c r="E625" t="str">
        <x:f>IFERROR(IF(0=LEN(ReferenceData!$E$625),"",ReferenceData!$E$625),"")</x:f>
        <x:v>Expression</x:v>
      </x:c>
      <x:c r="F625">
        <x:f ca="1">IFERROR(IF(0=LEN(ReferenceData!$F$625),"",ReferenceData!$F$625),"")</x:f>
        <x:v>-2.4340839999999999</x:v>
      </x:c>
      <x:c r="G625">
        <x:f ca="1">IFERROR(IF(0=LEN(ReferenceData!$G$625),"",ReferenceData!$G$625),"")</x:f>
        <x:v>-3.5735920000000001</x:v>
      </x:c>
      <x:c r="H625">
        <x:f ca="1">IFERROR(IF(0=LEN(ReferenceData!$H$625),"",ReferenceData!$H$625),"")</x:f>
        <x:v>4.8336999999999998E-2</x:v>
      </x:c>
      <x:c r="I625">
        <x:f ca="1">IFERROR(IF(0=LEN(ReferenceData!$I$625),"",ReferenceData!$I$625),"")</x:f>
        <x:v>1.2792490000000001</x:v>
      </x:c>
      <x:c r="J625">
        <x:f ca="1">IFERROR(IF(0=LEN(ReferenceData!$J$625),"",ReferenceData!$J$625),"")</x:f>
        <x:v>-4.204275</x:v>
      </x:c>
      <x:c r="K625">
        <x:f ca="1">IFERROR(IF(0=LEN(ReferenceData!$K$625),"",ReferenceData!$K$625),"")</x:f>
        <x:v>5.2998440000000002</x:v>
      </x:c>
      <x:c r="L625">
        <x:f ca="1">IFERROR(IF(0=LEN(ReferenceData!$L$625),"",ReferenceData!$L$625),"")</x:f>
        <x:v>-1.109979</x:v>
      </x:c>
      <x:c r="M625">
        <x:f ca="1">IFERROR(IF(0=LEN(ReferenceData!$M$625),"",ReferenceData!$M$625),"")</x:f>
        <x:v>-20.219576</x:v>
      </x:c>
      <x:c r="N625">
        <x:f ca="1">IFERROR(IF(0=LEN(ReferenceData!$N$625),"",ReferenceData!$N$625),"")</x:f>
        <x:v>-2.2513100000000001</x:v>
      </x:c>
      <x:c r="O625">
        <x:f ca="1">IFERROR(IF(0=LEN(ReferenceData!$O$625),"",ReferenceData!$O$625),"")</x:f>
        <x:v>-3.6612439999999999</x:v>
      </x:c>
      <x:c r="P625">
        <x:f ca="1">IFERROR(IF(0=LEN(ReferenceData!$P$625),"",ReferenceData!$P$625),"")</x:f>
        <x:v>-2.336319</x:v>
      </x:c>
      <x:c r="Q625">
        <x:f ca="1">IFERROR(IF(0=LEN(ReferenceData!$Q$625),"",ReferenceData!$Q$625),"")</x:f>
        <x:v>-1.043407</x:v>
      </x:c>
      <x:c r="R625">
        <x:f ca="1">IFERROR(IF(0=LEN(ReferenceData!$R$625),"",ReferenceData!$R$625),"")</x:f>
        <x:v>-5.8088749999999996</x:v>
      </x:c>
      <x:c r="S625">
        <x:f ca="1">IFERROR(IF(0=LEN(ReferenceData!$S$625),"",ReferenceData!$S$625),"")</x:f>
        <x:v>1.12086</x:v>
      </x:c>
    </x:row>
    <x:row r="626" spans="1:19" x14ac:dyDescent="0.25">
      <x:c r="A626" t="str">
        <x:f>IFERROR(IF(0=LEN(ReferenceData!$A$626),"",ReferenceData!$A$626),"")</x:f>
        <x:v xml:space="preserve">            First Trust Dow Jones Internet</x:v>
      </x:c>
      <x:c r="B626" t="str">
        <x:f>IFERROR(IF(0=LEN(ReferenceData!$B$626),"",ReferenceData!$B$626),"")</x:f>
        <x:v>FDN US Equity</x:v>
      </x:c>
      <x:c r="C626" t="str">
        <x:f>IFERROR(IF(0=LEN(ReferenceData!$C$626),"",ReferenceData!$C$626),"")</x:f>
        <x:v/>
      </x:c>
      <x:c r="D626" t="str">
        <x:f>IFERROR(IF(0=LEN(ReferenceData!$D$626),"",ReferenceData!$D$626),"")</x:f>
        <x:v/>
      </x:c>
      <x:c r="E626" t="str">
        <x:f>IFERROR(IF(0=LEN(ReferenceData!$E$626),"",ReferenceData!$E$626),"")</x:f>
        <x:v>Expression</x:v>
      </x:c>
      <x:c r="F626">
        <x:f ca="1">IFERROR(IF(0=LEN(ReferenceData!$F$626),"",ReferenceData!$F$626),"")</x:f>
        <x:v>-22.958955</x:v>
      </x:c>
      <x:c r="G626">
        <x:f ca="1">IFERROR(IF(0=LEN(ReferenceData!$G$626),"",ReferenceData!$G$626),"")</x:f>
        <x:v>-506.42291599999999</x:v>
      </x:c>
      <x:c r="H626">
        <x:f ca="1">IFERROR(IF(0=LEN(ReferenceData!$H$626),"",ReferenceData!$H$626),"")</x:f>
        <x:v>-33.197853000000002</x:v>
      </x:c>
      <x:c r="I626">
        <x:f ca="1">IFERROR(IF(0=LEN(ReferenceData!$I$626),"",ReferenceData!$I$626),"")</x:f>
        <x:v>16.745642</x:v>
      </x:c>
      <x:c r="J626">
        <x:f ca="1">IFERROR(IF(0=LEN(ReferenceData!$J$626),"",ReferenceData!$J$626),"")</x:f>
        <x:v>368.3535</x:v>
      </x:c>
      <x:c r="K626">
        <x:f ca="1">IFERROR(IF(0=LEN(ReferenceData!$K$626),"",ReferenceData!$K$626),"")</x:f>
        <x:v>885.52700000000004</x:v>
      </x:c>
      <x:c r="L626">
        <x:f ca="1">IFERROR(IF(0=LEN(ReferenceData!$L$626),"",ReferenceData!$L$626),"")</x:f>
        <x:v>-28.202000000000002</x:v>
      </x:c>
      <x:c r="M626">
        <x:f ca="1">IFERROR(IF(0=LEN(ReferenceData!$M$626),"",ReferenceData!$M$626),"")</x:f>
        <x:v>12.910500000000001</x:v>
      </x:c>
      <x:c r="N626">
        <x:f ca="1">IFERROR(IF(0=LEN(ReferenceData!$N$626),"",ReferenceData!$N$626),"")</x:f>
        <x:v>-142.8845</x:v>
      </x:c>
      <x:c r="O626">
        <x:f ca="1">IFERROR(IF(0=LEN(ReferenceData!$O$626),"",ReferenceData!$O$626),"")</x:f>
        <x:v>-11.63</x:v>
      </x:c>
      <x:c r="P626">
        <x:f ca="1">IFERROR(IF(0=LEN(ReferenceData!$P$626),"",ReferenceData!$P$626),"")</x:f>
        <x:v>-26.668315</x:v>
      </x:c>
      <x:c r="Q626">
        <x:f ca="1">IFERROR(IF(0=LEN(ReferenceData!$Q$626),"",ReferenceData!$Q$626),"")</x:f>
        <x:v>-243.138294</x:v>
      </x:c>
      <x:c r="R626">
        <x:f ca="1">IFERROR(IF(0=LEN(ReferenceData!$R$626),"",ReferenceData!$R$626),"")</x:f>
        <x:v>-145.25042500000001</x:v>
      </x:c>
      <x:c r="S626">
        <x:f ca="1">IFERROR(IF(0=LEN(ReferenceData!$S$626),"",ReferenceData!$S$626),"")</x:f>
        <x:v>235.98697100000001</x:v>
      </x:c>
    </x:row>
    <x:row r="627" spans="1:19" x14ac:dyDescent="0.25">
      <x:c r="A627" t="str">
        <x:f>IFERROR(IF(0=LEN(ReferenceData!$A$627),"",ReferenceData!$A$627),"")</x:f>
        <x:v xml:space="preserve">            First Trust Dow Jones Internat</x:v>
      </x:c>
      <x:c r="B627" t="str">
        <x:f>IFERROR(IF(0=LEN(ReferenceData!$B$627),"",ReferenceData!$B$627),"")</x:f>
        <x:v>FDNI US Equity</x:v>
      </x:c>
      <x:c r="C627" t="str">
        <x:f>IFERROR(IF(0=LEN(ReferenceData!$C$627),"",ReferenceData!$C$627),"")</x:f>
        <x:v/>
      </x:c>
      <x:c r="D627" t="str">
        <x:f>IFERROR(IF(0=LEN(ReferenceData!$D$627),"",ReferenceData!$D$627),"")</x:f>
        <x:v/>
      </x:c>
      <x:c r="E627" t="str">
        <x:f>IFERROR(IF(0=LEN(ReferenceData!$E$627),"",ReferenceData!$E$627),"")</x:f>
        <x:v>Expression</x:v>
      </x:c>
      <x:c r="F627">
        <x:f ca="1">IFERROR(IF(0=LEN(ReferenceData!$F$627),"",ReferenceData!$F$627),"")</x:f>
        <x:v>-1.0919350000000001</x:v>
      </x:c>
      <x:c r="G627">
        <x:f ca="1">IFERROR(IF(0=LEN(ReferenceData!$G$627),"",ReferenceData!$G$627),"")</x:f>
        <x:v>0</x:v>
      </x:c>
      <x:c r="H627">
        <x:f ca="1">IFERROR(IF(0=LEN(ReferenceData!$H$627),"",ReferenceData!$H$627),"")</x:f>
        <x:v>0</x:v>
      </x:c>
      <x:c r="I627">
        <x:f ca="1">IFERROR(IF(0=LEN(ReferenceData!$I$627),"",ReferenceData!$I$627),"")</x:f>
        <x:v>-1.2135</x:v>
      </x:c>
      <x:c r="J627">
        <x:f ca="1">IFERROR(IF(0=LEN(ReferenceData!$J$627),"",ReferenceData!$J$627),"")</x:f>
        <x:v>0</x:v>
      </x:c>
      <x:c r="K627">
        <x:f ca="1">IFERROR(IF(0=LEN(ReferenceData!$K$627),"",ReferenceData!$K$627),"")</x:f>
        <x:v>0</x:v>
      </x:c>
      <x:c r="L627">
        <x:f ca="1">IFERROR(IF(0=LEN(ReferenceData!$L$627),"",ReferenceData!$L$627),"")</x:f>
        <x:v>-1.1234999999999999</x:v>
      </x:c>
      <x:c r="M627">
        <x:f ca="1">IFERROR(IF(0=LEN(ReferenceData!$M$627),"",ReferenceData!$M$627),"")</x:f>
        <x:v>0</x:v>
      </x:c>
      <x:c r="N627">
        <x:f ca="1">IFERROR(IF(0=LEN(ReferenceData!$N$627),"",ReferenceData!$N$627),"")</x:f>
        <x:v>-2.2149999999999999</x:v>
      </x:c>
      <x:c r="O627">
        <x:f ca="1">IFERROR(IF(0=LEN(ReferenceData!$O$627),"",ReferenceData!$O$627),"")</x:f>
        <x:v>3.8245</x:v>
      </x:c>
      <x:c r="P627">
        <x:f ca="1">IFERROR(IF(0=LEN(ReferenceData!$P$627),"",ReferenceData!$P$627),"")</x:f>
        <x:v>-2.4239999999999999</x:v>
      </x:c>
      <x:c r="Q627">
        <x:f ca="1">IFERROR(IF(0=LEN(ReferenceData!$Q$627),"",ReferenceData!$Q$627),"")</x:f>
        <x:v>-1.0951850000000001</x:v>
      </x:c>
      <x:c r="R627">
        <x:f ca="1">IFERROR(IF(0=LEN(ReferenceData!$R$627),"",ReferenceData!$R$627),"")</x:f>
        <x:v>0</x:v>
      </x:c>
      <x:c r="S627">
        <x:f ca="1">IFERROR(IF(0=LEN(ReferenceData!$S$627),"",ReferenceData!$S$627),"")</x:f>
        <x:v>-1.0421320000000001</x:v>
      </x:c>
    </x:row>
    <x:row r="628" spans="1:19" x14ac:dyDescent="0.25">
      <x:c r="A628" t="str">
        <x:f>IFERROR(IF(0=LEN(ReferenceData!$A$628),"",ReferenceData!$A$628),"")</x:f>
        <x:v xml:space="preserve">            Invesco Nasdaq Internet ETF</x:v>
      </x:c>
      <x:c r="B628" t="str">
        <x:f>IFERROR(IF(0=LEN(ReferenceData!$B$628),"",ReferenceData!$B$628),"")</x:f>
        <x:v>PNQI US Equity</x:v>
      </x:c>
      <x:c r="C628" t="str">
        <x:f>IFERROR(IF(0=LEN(ReferenceData!$C$628),"",ReferenceData!$C$628),"")</x:f>
        <x:v/>
      </x:c>
      <x:c r="D628" t="str">
        <x:f>IFERROR(IF(0=LEN(ReferenceData!$D$628),"",ReferenceData!$D$628),"")</x:f>
        <x:v/>
      </x:c>
      <x:c r="E628" t="str">
        <x:f>IFERROR(IF(0=LEN(ReferenceData!$E$628),"",ReferenceData!$E$628),"")</x:f>
        <x:v>Expression</x:v>
      </x:c>
      <x:c r="F628">
        <x:f ca="1">IFERROR(IF(0=LEN(ReferenceData!$F$628),"",ReferenceData!$F$628),"")</x:f>
        <x:v>4.4587380000000003</x:v>
      </x:c>
      <x:c r="G628">
        <x:f ca="1">IFERROR(IF(0=LEN(ReferenceData!$G$628),"",ReferenceData!$G$628),"")</x:f>
        <x:v>0.88850099999999999</x:v>
      </x:c>
      <x:c r="H628">
        <x:f ca="1">IFERROR(IF(0=LEN(ReferenceData!$H$628),"",ReferenceData!$H$628),"")</x:f>
        <x:v>-1.6186179999999999</x:v>
      </x:c>
      <x:c r="I628">
        <x:f ca="1">IFERROR(IF(0=LEN(ReferenceData!$I$628),"",ReferenceData!$I$628),"")</x:f>
        <x:v>-7.2494630000000004</x:v>
      </x:c>
      <x:c r="J628">
        <x:f ca="1">IFERROR(IF(0=LEN(ReferenceData!$J$628),"",ReferenceData!$J$628),"")</x:f>
        <x:v>-5.6721830000000004</x:v>
      </x:c>
      <x:c r="K628">
        <x:f ca="1">IFERROR(IF(0=LEN(ReferenceData!$K$628),"",ReferenceData!$K$628),"")</x:f>
        <x:v>1.5380100000000001</x:v>
      </x:c>
      <x:c r="L628">
        <x:f ca="1">IFERROR(IF(0=LEN(ReferenceData!$L$628),"",ReferenceData!$L$628),"")</x:f>
        <x:v>-10.245523</x:v>
      </x:c>
      <x:c r="M628">
        <x:f ca="1">IFERROR(IF(0=LEN(ReferenceData!$M$628),"",ReferenceData!$M$628),"")</x:f>
        <x:v>-4.0922559999999999</x:v>
      </x:c>
      <x:c r="N628">
        <x:f ca="1">IFERROR(IF(0=LEN(ReferenceData!$N$628),"",ReferenceData!$N$628),"")</x:f>
        <x:v>5.2796440000000002</x:v>
      </x:c>
      <x:c r="O628">
        <x:f ca="1">IFERROR(IF(0=LEN(ReferenceData!$O$628),"",ReferenceData!$O$628),"")</x:f>
        <x:v>-4.2203419999999996</x:v>
      </x:c>
      <x:c r="P628">
        <x:f ca="1">IFERROR(IF(0=LEN(ReferenceData!$P$628),"",ReferenceData!$P$628),"")</x:f>
        <x:v>-3.4369700000000001</x:v>
      </x:c>
      <x:c r="Q628">
        <x:f ca="1">IFERROR(IF(0=LEN(ReferenceData!$Q$628),"",ReferenceData!$Q$628),"")</x:f>
        <x:v>4.5511220000000003</x:v>
      </x:c>
      <x:c r="R628">
        <x:f ca="1">IFERROR(IF(0=LEN(ReferenceData!$R$628),"",ReferenceData!$R$628),"")</x:f>
        <x:v>7.5177810000000003</x:v>
      </x:c>
      <x:c r="S628">
        <x:f ca="1">IFERROR(IF(0=LEN(ReferenceData!$S$628),"",ReferenceData!$S$628),"")</x:f>
        <x:v>-4.736084</x:v>
      </x:c>
    </x:row>
    <x:row r="629" spans="1:19" x14ac:dyDescent="0.25">
      <x:c r="A629" t="str">
        <x:f>IFERROR(IF(0=LEN(ReferenceData!$A$629),"",ReferenceData!$A$629),"")</x:f>
        <x:v xml:space="preserve">            Goldman Sachs Data-Driven Worl</x:v>
      </x:c>
      <x:c r="B629" t="str">
        <x:f>IFERROR(IF(0=LEN(ReferenceData!$B$629),"",ReferenceData!$B$629),"")</x:f>
        <x:v>GDAT US Equity</x:v>
      </x:c>
      <x:c r="C629" t="str">
        <x:f>IFERROR(IF(0=LEN(ReferenceData!$C$629),"",ReferenceData!$C$629),"")</x:f>
        <x:v/>
      </x:c>
      <x:c r="D629" t="str">
        <x:f>IFERROR(IF(0=LEN(ReferenceData!$D$629),"",ReferenceData!$D$629),"")</x:f>
        <x:v/>
      </x:c>
      <x:c r="E629" t="str">
        <x:f>IFERROR(IF(0=LEN(ReferenceData!$E$629),"",ReferenceData!$E$629),"")</x:f>
        <x:v>Expression</x:v>
      </x:c>
      <x:c r="F629" t="str">
        <x:f ca="1">IFERROR(IF(0=LEN(ReferenceData!$F$629),"",ReferenceData!$F$629),"")</x:f>
        <x:v/>
      </x:c>
      <x:c r="G629" t="str">
        <x:f ca="1">IFERROR(IF(0=LEN(ReferenceData!$G$629),"",ReferenceData!$G$629),"")</x:f>
        <x:v/>
      </x:c>
      <x:c r="H629" t="str">
        <x:f ca="1">IFERROR(IF(0=LEN(ReferenceData!$H$629),"",ReferenceData!$H$629),"")</x:f>
        <x:v/>
      </x:c>
      <x:c r="I629" t="str">
        <x:f ca="1">IFERROR(IF(0=LEN(ReferenceData!$I$629),"",ReferenceData!$I$629),"")</x:f>
        <x:v/>
      </x:c>
      <x:c r="J629" t="str">
        <x:f ca="1">IFERROR(IF(0=LEN(ReferenceData!$J$629),"",ReferenceData!$J$629),"")</x:f>
        <x:v/>
      </x:c>
      <x:c r="K629" t="str">
        <x:f ca="1">IFERROR(IF(0=LEN(ReferenceData!$K$629),"",ReferenceData!$K$629),"")</x:f>
        <x:v/>
      </x:c>
      <x:c r="L629" t="str">
        <x:f ca="1">IFERROR(IF(0=LEN(ReferenceData!$L$629),"",ReferenceData!$L$629),"")</x:f>
        <x:v/>
      </x:c>
      <x:c r="M629" t="str">
        <x:f ca="1">IFERROR(IF(0=LEN(ReferenceData!$M$629),"",ReferenceData!$M$629),"")</x:f>
        <x:v/>
      </x:c>
      <x:c r="N629" t="str">
        <x:f ca="1">IFERROR(IF(0=LEN(ReferenceData!$N$629),"",ReferenceData!$N$629),"")</x:f>
        <x:v/>
      </x:c>
      <x:c r="O629" t="str">
        <x:f ca="1">IFERROR(IF(0=LEN(ReferenceData!$O$629),"",ReferenceData!$O$629),"")</x:f>
        <x:v/>
      </x:c>
      <x:c r="P629" t="str">
        <x:f ca="1">IFERROR(IF(0=LEN(ReferenceData!$P$629),"",ReferenceData!$P$629),"")</x:f>
        <x:v/>
      </x:c>
      <x:c r="Q629" t="str">
        <x:f ca="1">IFERROR(IF(0=LEN(ReferenceData!$Q$629),"",ReferenceData!$Q$629),"")</x:f>
        <x:v/>
      </x:c>
      <x:c r="R629" t="str">
        <x:f ca="1">IFERROR(IF(0=LEN(ReferenceData!$R$629),"",ReferenceData!$R$629),"")</x:f>
        <x:v/>
      </x:c>
      <x:c r="S629" t="str">
        <x:f ca="1">IFERROR(IF(0=LEN(ReferenceData!$S$629),"",ReferenceData!$S$629),"")</x:f>
        <x:v/>
      </x:c>
    </x:row>
    <x:row r="630" spans="1:19" x14ac:dyDescent="0.25">
      <x:c r="A630" t="str">
        <x:f>IFERROR(IF(0=LEN(ReferenceData!$A$630),"",ReferenceData!$A$630),"")</x:f>
        <x:v xml:space="preserve">            Direxion Daily Dow Jones Inter</x:v>
      </x:c>
      <x:c r="B630" t="str">
        <x:f>IFERROR(IF(0=LEN(ReferenceData!$B$630),"",ReferenceData!$B$630),"")</x:f>
        <x:v>WEBL US Equity</x:v>
      </x:c>
      <x:c r="C630" t="str">
        <x:f>IFERROR(IF(0=LEN(ReferenceData!$C$630),"",ReferenceData!$C$630),"")</x:f>
        <x:v/>
      </x:c>
      <x:c r="D630" t="str">
        <x:f>IFERROR(IF(0=LEN(ReferenceData!$D$630),"",ReferenceData!$D$630),"")</x:f>
        <x:v/>
      </x:c>
      <x:c r="E630" t="str">
        <x:f>IFERROR(IF(0=LEN(ReferenceData!$E$630),"",ReferenceData!$E$630),"")</x:f>
        <x:v>Expression</x:v>
      </x:c>
      <x:c r="F630">
        <x:f ca="1">IFERROR(IF(0=LEN(ReferenceData!$F$630),"",ReferenceData!$F$630),"")</x:f>
        <x:v>-1.580193</x:v>
      </x:c>
      <x:c r="G630">
        <x:f ca="1">IFERROR(IF(0=LEN(ReferenceData!$G$630),"",ReferenceData!$G$630),"")</x:f>
        <x:v>3.814756</x:v>
      </x:c>
      <x:c r="H630">
        <x:f ca="1">IFERROR(IF(0=LEN(ReferenceData!$H$630),"",ReferenceData!$H$630),"")</x:f>
        <x:v>-3.5741809999999998</x:v>
      </x:c>
      <x:c r="I630">
        <x:f ca="1">IFERROR(IF(0=LEN(ReferenceData!$I$630),"",ReferenceData!$I$630),"")</x:f>
        <x:v>-6.0602919999999996</x:v>
      </x:c>
      <x:c r="J630">
        <x:f ca="1">IFERROR(IF(0=LEN(ReferenceData!$J$630),"",ReferenceData!$J$630),"")</x:f>
        <x:v>3.6201240000000001</x:v>
      </x:c>
      <x:c r="K630">
        <x:f ca="1">IFERROR(IF(0=LEN(ReferenceData!$K$630),"",ReferenceData!$K$630),"")</x:f>
        <x:v>-9.3818590000000004</x:v>
      </x:c>
      <x:c r="L630">
        <x:f ca="1">IFERROR(IF(0=LEN(ReferenceData!$L$630),"",ReferenceData!$L$630),"")</x:f>
        <x:v>-13.713794999999999</x:v>
      </x:c>
      <x:c r="M630">
        <x:f ca="1">IFERROR(IF(0=LEN(ReferenceData!$M$630),"",ReferenceData!$M$630),"")</x:f>
        <x:v>-3.3677589999999999</x:v>
      </x:c>
      <x:c r="N630">
        <x:f ca="1">IFERROR(IF(0=LEN(ReferenceData!$N$630),"",ReferenceData!$N$630),"")</x:f>
        <x:v>2.7253810000000001</x:v>
      </x:c>
      <x:c r="O630">
        <x:f ca="1">IFERROR(IF(0=LEN(ReferenceData!$O$630),"",ReferenceData!$O$630),"")</x:f>
        <x:v>-1.2759160000000001</x:v>
      </x:c>
      <x:c r="P630">
        <x:f ca="1">IFERROR(IF(0=LEN(ReferenceData!$P$630),"",ReferenceData!$P$630),"")</x:f>
        <x:v>-19.547138</x:v>
      </x:c>
      <x:c r="Q630">
        <x:f ca="1">IFERROR(IF(0=LEN(ReferenceData!$Q$630),"",ReferenceData!$Q$630),"")</x:f>
        <x:v>2.6686209999999999</x:v>
      </x:c>
      <x:c r="R630">
        <x:f ca="1">IFERROR(IF(0=LEN(ReferenceData!$R$630),"",ReferenceData!$R$630),"")</x:f>
        <x:v>25.321134000000001</x:v>
      </x:c>
      <x:c r="S630">
        <x:f ca="1">IFERROR(IF(0=LEN(ReferenceData!$S$630),"",ReferenceData!$S$630),"")</x:f>
        <x:v>9.8815580000000001</x:v>
      </x:c>
    </x:row>
    <x:row r="631" spans="1:19" x14ac:dyDescent="0.25">
      <x:c r="A631" t="str">
        <x:f>IFERROR(IF(0=LEN(ReferenceData!$A$631),"",ReferenceData!$A$631),"")</x:f>
        <x:v xml:space="preserve">            Direxion Daily Dow Jones Inter</x:v>
      </x:c>
      <x:c r="B631" t="str">
        <x:f>IFERROR(IF(0=LEN(ReferenceData!$B$631),"",ReferenceData!$B$631),"")</x:f>
        <x:v>WEBS US Equity</x:v>
      </x:c>
      <x:c r="C631" t="str">
        <x:f>IFERROR(IF(0=LEN(ReferenceData!$C$631),"",ReferenceData!$C$631),"")</x:f>
        <x:v/>
      </x:c>
      <x:c r="D631" t="str">
        <x:f>IFERROR(IF(0=LEN(ReferenceData!$D$631),"",ReferenceData!$D$631),"")</x:f>
        <x:v/>
      </x:c>
      <x:c r="E631" t="str">
        <x:f>IFERROR(IF(0=LEN(ReferenceData!$E$631),"",ReferenceData!$E$631),"")</x:f>
        <x:v>Expression</x:v>
      </x:c>
      <x:c r="F631">
        <x:f ca="1">IFERROR(IF(0=LEN(ReferenceData!$F$631),"",ReferenceData!$F$631),"")</x:f>
        <x:v>-1.1856089999999999</x:v>
      </x:c>
      <x:c r="G631">
        <x:f ca="1">IFERROR(IF(0=LEN(ReferenceData!$G$631),"",ReferenceData!$G$631),"")</x:f>
        <x:v>-2.9065759999999998</x:v>
      </x:c>
      <x:c r="H631">
        <x:f ca="1">IFERROR(IF(0=LEN(ReferenceData!$H$631),"",ReferenceData!$H$631),"")</x:f>
        <x:v>-1.6898740000000001</x:v>
      </x:c>
      <x:c r="I631">
        <x:f ca="1">IFERROR(IF(0=LEN(ReferenceData!$I$631),"",ReferenceData!$I$631),"")</x:f>
        <x:v>-2.5350030000000001</x:v>
      </x:c>
      <x:c r="J631">
        <x:f ca="1">IFERROR(IF(0=LEN(ReferenceData!$J$631),"",ReferenceData!$J$631),"")</x:f>
        <x:v>3.4700839999999999</x:v>
      </x:c>
      <x:c r="K631">
        <x:f ca="1">IFERROR(IF(0=LEN(ReferenceData!$K$631),"",ReferenceData!$K$631),"")</x:f>
        <x:v>0.82711699999999999</x:v>
      </x:c>
      <x:c r="L631">
        <x:f ca="1">IFERROR(IF(0=LEN(ReferenceData!$L$631),"",ReferenceData!$L$631),"")</x:f>
        <x:v>4.9239860000000002</x:v>
      </x:c>
      <x:c r="M631">
        <x:f ca="1">IFERROR(IF(0=LEN(ReferenceData!$M$631),"",ReferenceData!$M$631),"")</x:f>
        <x:v>5.9320769999999996</x:v>
      </x:c>
      <x:c r="N631">
        <x:f ca="1">IFERROR(IF(0=LEN(ReferenceData!$N$631),"",ReferenceData!$N$631),"")</x:f>
        <x:v>-12.046011</x:v>
      </x:c>
      <x:c r="O631">
        <x:f ca="1">IFERROR(IF(0=LEN(ReferenceData!$O$631),"",ReferenceData!$O$631),"")</x:f>
        <x:v>4.577413</x:v>
      </x:c>
      <x:c r="P631">
        <x:f ca="1">IFERROR(IF(0=LEN(ReferenceData!$P$631),"",ReferenceData!$P$631),"")</x:f>
        <x:v>25.141784999999999</x:v>
      </x:c>
      <x:c r="Q631">
        <x:f ca="1">IFERROR(IF(0=LEN(ReferenceData!$Q$631),"",ReferenceData!$Q$631),"")</x:f>
        <x:v>-14.670551</x:v>
      </x:c>
      <x:c r="R631">
        <x:f ca="1">IFERROR(IF(0=LEN(ReferenceData!$R$631),"",ReferenceData!$R$631),"")</x:f>
        <x:v>-0.46934199999999998</x:v>
      </x:c>
      <x:c r="S631">
        <x:f ca="1">IFERROR(IF(0=LEN(ReferenceData!$S$631),"",ReferenceData!$S$631),"")</x:f>
        <x:v>-6.1490140000000002</x:v>
      </x:c>
    </x:row>
    <x:row r="632" spans="1:19" x14ac:dyDescent="0.25">
      <x:c r="A632" t="str">
        <x:f>IFERROR(IF(0=LEN(ReferenceData!$A$632),"",ReferenceData!$A$632),"")</x:f>
        <x:v xml:space="preserve">            BlackRock Future Tech ETF</x:v>
      </x:c>
      <x:c r="B632" t="str">
        <x:f>IFERROR(IF(0=LEN(ReferenceData!$B$632),"",ReferenceData!$B$632),"")</x:f>
        <x:v>BTEK US Equity</x:v>
      </x:c>
      <x:c r="C632" t="str">
        <x:f>IFERROR(IF(0=LEN(ReferenceData!$C$632),"",ReferenceData!$C$632),"")</x:f>
        <x:v/>
      </x:c>
      <x:c r="D632" t="str">
        <x:f>IFERROR(IF(0=LEN(ReferenceData!$D$632),"",ReferenceData!$D$632),"")</x:f>
        <x:v/>
      </x:c>
      <x:c r="E632" t="str">
        <x:f>IFERROR(IF(0=LEN(ReferenceData!$E$632),"",ReferenceData!$E$632),"")</x:f>
        <x:v>Expression</x:v>
      </x:c>
      <x:c r="F632">
        <x:f ca="1">IFERROR(IF(0=LEN(ReferenceData!$F$632),"",ReferenceData!$F$632),"")</x:f>
        <x:v>0</x:v>
      </x:c>
      <x:c r="G632">
        <x:f ca="1">IFERROR(IF(0=LEN(ReferenceData!$G$632),"",ReferenceData!$G$632),"")</x:f>
        <x:v>0</x:v>
      </x:c>
      <x:c r="H632">
        <x:f ca="1">IFERROR(IF(0=LEN(ReferenceData!$H$632),"",ReferenceData!$H$632),"")</x:f>
        <x:v>0</x:v>
      </x:c>
      <x:c r="I632">
        <x:f ca="1">IFERROR(IF(0=LEN(ReferenceData!$I$632),"",ReferenceData!$I$632),"")</x:f>
        <x:v>0</x:v>
      </x:c>
      <x:c r="J632">
        <x:f ca="1">IFERROR(IF(0=LEN(ReferenceData!$J$632),"",ReferenceData!$J$632),"")</x:f>
        <x:v>0</x:v>
      </x:c>
      <x:c r="K632">
        <x:f ca="1">IFERROR(IF(0=LEN(ReferenceData!$K$632),"",ReferenceData!$K$632),"")</x:f>
        <x:v>0</x:v>
      </x:c>
      <x:c r="L632">
        <x:f ca="1">IFERROR(IF(0=LEN(ReferenceData!$L$632),"",ReferenceData!$L$632),"")</x:f>
        <x:v>0.73832799999999998</x:v>
      </x:c>
      <x:c r="M632">
        <x:f ca="1">IFERROR(IF(0=LEN(ReferenceData!$M$632),"",ReferenceData!$M$632),"")</x:f>
        <x:v>0</x:v>
      </x:c>
      <x:c r="N632">
        <x:f ca="1">IFERROR(IF(0=LEN(ReferenceData!$N$632),"",ReferenceData!$N$632),"")</x:f>
        <x:v>0</x:v>
      </x:c>
      <x:c r="O632">
        <x:f ca="1">IFERROR(IF(0=LEN(ReferenceData!$O$632),"",ReferenceData!$O$632),"")</x:f>
        <x:v>0</x:v>
      </x:c>
      <x:c r="P632">
        <x:f ca="1">IFERROR(IF(0=LEN(ReferenceData!$P$632),"",ReferenceData!$P$632),"")</x:f>
        <x:v>0</x:v>
      </x:c>
      <x:c r="Q632">
        <x:f ca="1">IFERROR(IF(0=LEN(ReferenceData!$Q$632),"",ReferenceData!$Q$632),"")</x:f>
        <x:v>0</x:v>
      </x:c>
      <x:c r="R632">
        <x:f ca="1">IFERROR(IF(0=LEN(ReferenceData!$R$632),"",ReferenceData!$R$632),"")</x:f>
        <x:v>0</x:v>
      </x:c>
      <x:c r="S632">
        <x:f ca="1">IFERROR(IF(0=LEN(ReferenceData!$S$632),"",ReferenceData!$S$632),"")</x:f>
        <x:v>0</x:v>
      </x:c>
    </x:row>
    <x:row r="633" spans="1:19" x14ac:dyDescent="0.25">
      <x:c r="A633" t="str">
        <x:f>IFERROR(IF(0=LEN(ReferenceData!$A$633),"",ReferenceData!$A$633),"")</x:f>
        <x:v xml:space="preserve">            SmartETFs Advertising &amp; Market</x:v>
      </x:c>
      <x:c r="B633" t="str">
        <x:f>IFERROR(IF(0=LEN(ReferenceData!$B$633),"",ReferenceData!$B$633),"")</x:f>
        <x:v>MRAD US Equity</x:v>
      </x:c>
      <x:c r="C633" t="str">
        <x:f>IFERROR(IF(0=LEN(ReferenceData!$C$633),"",ReferenceData!$C$633),"")</x:f>
        <x:v/>
      </x:c>
      <x:c r="D633" t="str">
        <x:f>IFERROR(IF(0=LEN(ReferenceData!$D$633),"",ReferenceData!$D$633),"")</x:f>
        <x:v/>
      </x:c>
      <x:c r="E633" t="str">
        <x:f>IFERROR(IF(0=LEN(ReferenceData!$E$633),"",ReferenceData!$E$633),"")</x:f>
        <x:v>Expression</x:v>
      </x:c>
      <x:c r="F633">
        <x:f ca="1">IFERROR(IF(0=LEN(ReferenceData!$F$633),"",ReferenceData!$F$633),"")</x:f>
        <x:v>0</x:v>
      </x:c>
      <x:c r="G633">
        <x:f ca="1">IFERROR(IF(0=LEN(ReferenceData!$G$633),"",ReferenceData!$G$633),"")</x:f>
        <x:v>0</x:v>
      </x:c>
      <x:c r="H633">
        <x:f ca="1">IFERROR(IF(0=LEN(ReferenceData!$H$633),"",ReferenceData!$H$633),"")</x:f>
        <x:v>0</x:v>
      </x:c>
      <x:c r="I633">
        <x:f ca="1">IFERROR(IF(0=LEN(ReferenceData!$I$633),"",ReferenceData!$I$633),"")</x:f>
        <x:v>0</x:v>
      </x:c>
      <x:c r="J633">
        <x:f ca="1">IFERROR(IF(0=LEN(ReferenceData!$J$633),"",ReferenceData!$J$633),"")</x:f>
        <x:v>0</x:v>
      </x:c>
      <x:c r="K633">
        <x:f ca="1">IFERROR(IF(0=LEN(ReferenceData!$K$633),"",ReferenceData!$K$633),"")</x:f>
        <x:v>0</x:v>
      </x:c>
      <x:c r="L633">
        <x:f ca="1">IFERROR(IF(0=LEN(ReferenceData!$L$633),"",ReferenceData!$L$633),"")</x:f>
        <x:v>0</x:v>
      </x:c>
      <x:c r="M633">
        <x:f ca="1">IFERROR(IF(0=LEN(ReferenceData!$M$633),"",ReferenceData!$M$633),"")</x:f>
        <x:v>0</x:v>
      </x:c>
      <x:c r="N633">
        <x:f ca="1">IFERROR(IF(0=LEN(ReferenceData!$N$633),"",ReferenceData!$N$633),"")</x:f>
        <x:v>0</x:v>
      </x:c>
      <x:c r="O633">
        <x:f ca="1">IFERROR(IF(0=LEN(ReferenceData!$O$633),"",ReferenceData!$O$633),"")</x:f>
        <x:v>-0.14280999999999999</x:v>
      </x:c>
      <x:c r="P633">
        <x:f ca="1">IFERROR(IF(0=LEN(ReferenceData!$P$633),"",ReferenceData!$P$633),"")</x:f>
        <x:v>0</x:v>
      </x:c>
      <x:c r="Q633">
        <x:f ca="1">IFERROR(IF(0=LEN(ReferenceData!$Q$633),"",ReferenceData!$Q$633),"")</x:f>
        <x:v>0</x:v>
      </x:c>
      <x:c r="R633">
        <x:f ca="1">IFERROR(IF(0=LEN(ReferenceData!$R$633),"",ReferenceData!$R$633),"")</x:f>
        <x:v>-0.755104</x:v>
      </x:c>
      <x:c r="S633">
        <x:f ca="1">IFERROR(IF(0=LEN(ReferenceData!$S$633),"",ReferenceData!$S$633),"")</x:f>
        <x:v>0.67190499999999997</x:v>
      </x:c>
    </x:row>
    <x:row r="634" spans="1:19" x14ac:dyDescent="0.25">
      <x:c r="A634" t="str">
        <x:f>IFERROR(IF(0=LEN(ReferenceData!$A$634),"",ReferenceData!$A$634),"")</x:f>
        <x:v xml:space="preserve">            Franklin Exponential Data ETF</x:v>
      </x:c>
      <x:c r="B634" t="str">
        <x:f>IFERROR(IF(0=LEN(ReferenceData!$B$634),"",ReferenceData!$B$634),"")</x:f>
        <x:v>XDAT US Equity</x:v>
      </x:c>
      <x:c r="C634" t="str">
        <x:f>IFERROR(IF(0=LEN(ReferenceData!$C$634),"",ReferenceData!$C$634),"")</x:f>
        <x:v/>
      </x:c>
      <x:c r="D634" t="str">
        <x:f>IFERROR(IF(0=LEN(ReferenceData!$D$634),"",ReferenceData!$D$634),"")</x:f>
        <x:v/>
      </x:c>
      <x:c r="E634" t="str">
        <x:f>IFERROR(IF(0=LEN(ReferenceData!$E$634),"",ReferenceData!$E$634),"")</x:f>
        <x:v>Expression</x:v>
      </x:c>
      <x:c r="F634">
        <x:f ca="1">IFERROR(IF(0=LEN(ReferenceData!$F$634),"",ReferenceData!$F$634),"")</x:f>
        <x:v>0</x:v>
      </x:c>
      <x:c r="G634">
        <x:f ca="1">IFERROR(IF(0=LEN(ReferenceData!$G$634),"",ReferenceData!$G$634),"")</x:f>
        <x:v>0</x:v>
      </x:c>
      <x:c r="H634">
        <x:f ca="1">IFERROR(IF(0=LEN(ReferenceData!$H$634),"",ReferenceData!$H$634),"")</x:f>
        <x:v>0</x:v>
      </x:c>
      <x:c r="I634">
        <x:f ca="1">IFERROR(IF(0=LEN(ReferenceData!$I$634),"",ReferenceData!$I$634),"")</x:f>
        <x:v>0</x:v>
      </x:c>
      <x:c r="J634">
        <x:f ca="1">IFERROR(IF(0=LEN(ReferenceData!$J$634),"",ReferenceData!$J$634),"")</x:f>
        <x:v>0</x:v>
      </x:c>
      <x:c r="K634">
        <x:f ca="1">IFERROR(IF(0=LEN(ReferenceData!$K$634),"",ReferenceData!$K$634),"")</x:f>
        <x:v>0</x:v>
      </x:c>
      <x:c r="L634">
        <x:f ca="1">IFERROR(IF(0=LEN(ReferenceData!$L$634),"",ReferenceData!$L$634),"")</x:f>
        <x:v>0</x:v>
      </x:c>
      <x:c r="M634">
        <x:f ca="1">IFERROR(IF(0=LEN(ReferenceData!$M$634),"",ReferenceData!$M$634),"")</x:f>
        <x:v>0</x:v>
      </x:c>
      <x:c r="N634">
        <x:f ca="1">IFERROR(IF(0=LEN(ReferenceData!$N$634),"",ReferenceData!$N$634),"")</x:f>
        <x:v>0</x:v>
      </x:c>
      <x:c r="O634">
        <x:f ca="1">IFERROR(IF(0=LEN(ReferenceData!$O$634),"",ReferenceData!$O$634),"")</x:f>
        <x:v>0.80005099999999996</x:v>
      </x:c>
      <x:c r="P634">
        <x:f ca="1">IFERROR(IF(0=LEN(ReferenceData!$P$634),"",ReferenceData!$P$634),"")</x:f>
        <x:v>0</x:v>
      </x:c>
      <x:c r="Q634">
        <x:f ca="1">IFERROR(IF(0=LEN(ReferenceData!$Q$634),"",ReferenceData!$Q$634),"")</x:f>
        <x:v>0</x:v>
      </x:c>
      <x:c r="R634">
        <x:f ca="1">IFERROR(IF(0=LEN(ReferenceData!$R$634),"",ReferenceData!$R$634),"")</x:f>
        <x:v>0</x:v>
      </x:c>
      <x:c r="S634">
        <x:f ca="1">IFERROR(IF(0=LEN(ReferenceData!$S$634),"",ReferenceData!$S$634),"")</x:f>
        <x:v>0</x:v>
      </x:c>
    </x:row>
    <x:row r="635" spans="1:19" x14ac:dyDescent="0.25">
      <x:c r="A635" t="str">
        <x:f>IFERROR(IF(0=LEN(ReferenceData!$A$635),"",ReferenceData!$A$635),"")</x:f>
        <x:v xml:space="preserve">            Roundhill Streaming Services &amp;</x:v>
      </x:c>
      <x:c r="B635" t="str">
        <x:f>IFERROR(IF(0=LEN(ReferenceData!$B$635),"",ReferenceData!$B$635),"")</x:f>
        <x:v>SUBZ US Equity</x:v>
      </x:c>
      <x:c r="C635" t="str">
        <x:f>IFERROR(IF(0=LEN(ReferenceData!$C$635),"",ReferenceData!$C$635),"")</x:f>
        <x:v/>
      </x:c>
      <x:c r="D635" t="str">
        <x:f>IFERROR(IF(0=LEN(ReferenceData!$D$635),"",ReferenceData!$D$635),"")</x:f>
        <x:v/>
      </x:c>
      <x:c r="E635" t="str">
        <x:f>IFERROR(IF(0=LEN(ReferenceData!$E$635),"",ReferenceData!$E$635),"")</x:f>
        <x:v>Expression</x:v>
      </x:c>
      <x:c r="F635" t="str">
        <x:f ca="1">IFERROR(IF(0=LEN(ReferenceData!$F$635),"",ReferenceData!$F$635),"")</x:f>
        <x:v/>
      </x:c>
      <x:c r="G635" t="str">
        <x:f ca="1">IFERROR(IF(0=LEN(ReferenceData!$G$635),"",ReferenceData!$G$635),"")</x:f>
        <x:v/>
      </x:c>
      <x:c r="H635" t="str">
        <x:f ca="1">IFERROR(IF(0=LEN(ReferenceData!$H$635),"",ReferenceData!$H$635),"")</x:f>
        <x:v/>
      </x:c>
      <x:c r="I635" t="str">
        <x:f ca="1">IFERROR(IF(0=LEN(ReferenceData!$I$635),"",ReferenceData!$I$635),"")</x:f>
        <x:v/>
      </x:c>
      <x:c r="J635" t="str">
        <x:f ca="1">IFERROR(IF(0=LEN(ReferenceData!$J$635),"",ReferenceData!$J$635),"")</x:f>
        <x:v/>
      </x:c>
      <x:c r="K635" t="str">
        <x:f ca="1">IFERROR(IF(0=LEN(ReferenceData!$K$635),"",ReferenceData!$K$635),"")</x:f>
        <x:v/>
      </x:c>
      <x:c r="L635" t="str">
        <x:f ca="1">IFERROR(IF(0=LEN(ReferenceData!$L$635),"",ReferenceData!$L$635),"")</x:f>
        <x:v/>
      </x:c>
      <x:c r="M635" t="str">
        <x:f ca="1">IFERROR(IF(0=LEN(ReferenceData!$M$635),"",ReferenceData!$M$635),"")</x:f>
        <x:v/>
      </x:c>
      <x:c r="N635" t="str">
        <x:f ca="1">IFERROR(IF(0=LEN(ReferenceData!$N$635),"",ReferenceData!$N$635),"")</x:f>
        <x:v/>
      </x:c>
      <x:c r="O635" t="str">
        <x:f ca="1">IFERROR(IF(0=LEN(ReferenceData!$O$635),"",ReferenceData!$O$635),"")</x:f>
        <x:v/>
      </x:c>
      <x:c r="P635" t="str">
        <x:f ca="1">IFERROR(IF(0=LEN(ReferenceData!$P$635),"",ReferenceData!$P$635),"")</x:f>
        <x:v/>
      </x:c>
      <x:c r="Q635" t="str">
        <x:f ca="1">IFERROR(IF(0=LEN(ReferenceData!$Q$635),"",ReferenceData!$Q$635),"")</x:f>
        <x:v/>
      </x:c>
      <x:c r="R635" t="str">
        <x:f ca="1">IFERROR(IF(0=LEN(ReferenceData!$R$635),"",ReferenceData!$R$635),"")</x:f>
        <x:v/>
      </x:c>
      <x:c r="S635" t="str">
        <x:f ca="1">IFERROR(IF(0=LEN(ReferenceData!$S$635),"",ReferenceData!$S$635),"")</x:f>
        <x:v/>
      </x:c>
    </x:row>
    <x:row r="636" spans="1:19" x14ac:dyDescent="0.25">
      <x:c r="A636" t="str">
        <x:f>IFERROR(IF(0=LEN(ReferenceData!$A$636),"",ReferenceData!$A$636),"")</x:f>
        <x:v xml:space="preserve">            Roundhill IO Digital Infrastru</x:v>
      </x:c>
      <x:c r="B636" t="str">
        <x:f>IFERROR(IF(0=LEN(ReferenceData!$B$636),"",ReferenceData!$B$636),"")</x:f>
        <x:v>BYTE US Equity</x:v>
      </x:c>
      <x:c r="C636" t="str">
        <x:f>IFERROR(IF(0=LEN(ReferenceData!$C$636),"",ReferenceData!$C$636),"")</x:f>
        <x:v/>
      </x:c>
      <x:c r="D636" t="str">
        <x:f>IFERROR(IF(0=LEN(ReferenceData!$D$636),"",ReferenceData!$D$636),"")</x:f>
        <x:v/>
      </x:c>
      <x:c r="E636" t="str">
        <x:f>IFERROR(IF(0=LEN(ReferenceData!$E$636),"",ReferenceData!$E$636),"")</x:f>
        <x:v>Expression</x:v>
      </x:c>
      <x:c r="F636">
        <x:f ca="1">IFERROR(IF(0=LEN(ReferenceData!$F$636),"",ReferenceData!$F$636),"")</x:f>
        <x:v>0</x:v>
      </x:c>
      <x:c r="G636">
        <x:f ca="1">IFERROR(IF(0=LEN(ReferenceData!$G$636),"",ReferenceData!$G$636),"")</x:f>
        <x:v>0</x:v>
      </x:c>
      <x:c r="H636">
        <x:f ca="1">IFERROR(IF(0=LEN(ReferenceData!$H$636),"",ReferenceData!$H$636),"")</x:f>
        <x:v>0</x:v>
      </x:c>
      <x:c r="I636">
        <x:f ca="1">IFERROR(IF(0=LEN(ReferenceData!$I$636),"",ReferenceData!$I$636),"")</x:f>
        <x:v>-1.66621</x:v>
      </x:c>
      <x:c r="J636">
        <x:f ca="1">IFERROR(IF(0=LEN(ReferenceData!$J$636),"",ReferenceData!$J$636),"")</x:f>
        <x:v>0</x:v>
      </x:c>
      <x:c r="K636">
        <x:f ca="1">IFERROR(IF(0=LEN(ReferenceData!$K$636),"",ReferenceData!$K$636),"")</x:f>
        <x:v>0</x:v>
      </x:c>
      <x:c r="L636">
        <x:f ca="1">IFERROR(IF(0=LEN(ReferenceData!$L$636),"",ReferenceData!$L$636),"")</x:f>
        <x:v>0</x:v>
      </x:c>
      <x:c r="M636">
        <x:f ca="1">IFERROR(IF(0=LEN(ReferenceData!$M$636),"",ReferenceData!$M$636),"")</x:f>
        <x:v>0</x:v>
      </x:c>
      <x:c r="N636">
        <x:f ca="1">IFERROR(IF(0=LEN(ReferenceData!$N$636),"",ReferenceData!$N$636),"")</x:f>
        <x:v>0</x:v>
      </x:c>
      <x:c r="O636">
        <x:f ca="1">IFERROR(IF(0=LEN(ReferenceData!$O$636),"",ReferenceData!$O$636),"")</x:f>
        <x:v>0</x:v>
      </x:c>
      <x:c r="P636">
        <x:f ca="1">IFERROR(IF(0=LEN(ReferenceData!$P$636),"",ReferenceData!$P$636),"")</x:f>
        <x:v>0</x:v>
      </x:c>
      <x:c r="Q636">
        <x:f ca="1">IFERROR(IF(0=LEN(ReferenceData!$Q$636),"",ReferenceData!$Q$636),"")</x:f>
        <x:v>0</x:v>
      </x:c>
      <x:c r="R636">
        <x:f ca="1">IFERROR(IF(0=LEN(ReferenceData!$R$636),"",ReferenceData!$R$636),"")</x:f>
        <x:v>1.173975</x:v>
      </x:c>
      <x:c r="S636">
        <x:f ca="1">IFERROR(IF(0=LEN(ReferenceData!$S$636),"",ReferenceData!$S$636),"")</x:f>
        <x:v>0</x:v>
      </x:c>
    </x:row>
    <x:row r="637" spans="1:19" x14ac:dyDescent="0.25">
      <x:c r="A637" t="str">
        <x:f>IFERROR(IF(0=LEN(ReferenceData!$A$637),"",ReferenceData!$A$637),"")</x:f>
        <x:v xml:space="preserve">            Fount Subscription Economy ETF</x:v>
      </x:c>
      <x:c r="B637" t="str">
        <x:f>IFERROR(IF(0=LEN(ReferenceData!$B$637),"",ReferenceData!$B$637),"")</x:f>
        <x:v>SUBS US Equity</x:v>
      </x:c>
      <x:c r="C637" t="str">
        <x:f>IFERROR(IF(0=LEN(ReferenceData!$C$637),"",ReferenceData!$C$637),"")</x:f>
        <x:v/>
      </x:c>
      <x:c r="D637" t="str">
        <x:f>IFERROR(IF(0=LEN(ReferenceData!$D$637),"",ReferenceData!$D$637),"")</x:f>
        <x:v/>
      </x:c>
      <x:c r="E637" t="str">
        <x:f>IFERROR(IF(0=LEN(ReferenceData!$E$637),"",ReferenceData!$E$637),"")</x:f>
        <x:v>Expression</x:v>
      </x:c>
      <x:c r="F637" t="str">
        <x:f ca="1">IFERROR(IF(0=LEN(ReferenceData!$F$637),"",ReferenceData!$F$637),"")</x:f>
        <x:v/>
      </x:c>
      <x:c r="G637" t="str">
        <x:f ca="1">IFERROR(IF(0=LEN(ReferenceData!$G$637),"",ReferenceData!$G$637),"")</x:f>
        <x:v/>
      </x:c>
      <x:c r="H637" t="str">
        <x:f ca="1">IFERROR(IF(0=LEN(ReferenceData!$H$637),"",ReferenceData!$H$637),"")</x:f>
        <x:v/>
      </x:c>
      <x:c r="I637" t="str">
        <x:f ca="1">IFERROR(IF(0=LEN(ReferenceData!$I$637),"",ReferenceData!$I$637),"")</x:f>
        <x:v/>
      </x:c>
      <x:c r="J637" t="str">
        <x:f ca="1">IFERROR(IF(0=LEN(ReferenceData!$J$637),"",ReferenceData!$J$637),"")</x:f>
        <x:v/>
      </x:c>
      <x:c r="K637" t="str">
        <x:f ca="1">IFERROR(IF(0=LEN(ReferenceData!$K$637),"",ReferenceData!$K$637),"")</x:f>
        <x:v/>
      </x:c>
      <x:c r="L637">
        <x:f ca="1">IFERROR(IF(0=LEN(ReferenceData!$L$637),"",ReferenceData!$L$637),"")</x:f>
        <x:v>0</x:v>
      </x:c>
      <x:c r="M637">
        <x:f ca="1">IFERROR(IF(0=LEN(ReferenceData!$M$637),"",ReferenceData!$M$637),"")</x:f>
        <x:v>-0.469362</x:v>
      </x:c>
      <x:c r="N637">
        <x:f ca="1">IFERROR(IF(0=LEN(ReferenceData!$N$637),"",ReferenceData!$N$637),"")</x:f>
        <x:v>0</x:v>
      </x:c>
      <x:c r="O637">
        <x:f ca="1">IFERROR(IF(0=LEN(ReferenceData!$O$637),"",ReferenceData!$O$637),"")</x:f>
        <x:v>0</x:v>
      </x:c>
      <x:c r="P637">
        <x:f ca="1">IFERROR(IF(0=LEN(ReferenceData!$P$637),"",ReferenceData!$P$637),"")</x:f>
        <x:v>0</x:v>
      </x:c>
      <x:c r="Q637">
        <x:f ca="1">IFERROR(IF(0=LEN(ReferenceData!$Q$637),"",ReferenceData!$Q$637),"")</x:f>
        <x:v>0</x:v>
      </x:c>
      <x:c r="R637">
        <x:f ca="1">IFERROR(IF(0=LEN(ReferenceData!$R$637),"",ReferenceData!$R$637),"")</x:f>
        <x:v>0</x:v>
      </x:c>
      <x:c r="S637">
        <x:f ca="1">IFERROR(IF(0=LEN(ReferenceData!$S$637),"",ReferenceData!$S$637),"")</x:f>
        <x:v>0</x:v>
      </x:c>
    </x:row>
    <x:row r="638" spans="1:19" x14ac:dyDescent="0.25">
      <x:c r="A638" t="str">
        <x:f>IFERROR(IF(0=LEN(ReferenceData!$A$638),"",ReferenceData!$A$638),"")</x:f>
        <x:v xml:space="preserve">            Proshares Big Data Refiners ET</x:v>
      </x:c>
      <x:c r="B638" t="str">
        <x:f>IFERROR(IF(0=LEN(ReferenceData!$B$638),"",ReferenceData!$B$638),"")</x:f>
        <x:v>DAT US Equity</x:v>
      </x:c>
      <x:c r="C638" t="str">
        <x:f>IFERROR(IF(0=LEN(ReferenceData!$C$638),"",ReferenceData!$C$638),"")</x:f>
        <x:v/>
      </x:c>
      <x:c r="D638" t="str">
        <x:f>IFERROR(IF(0=LEN(ReferenceData!$D$638),"",ReferenceData!$D$638),"")</x:f>
        <x:v/>
      </x:c>
      <x:c r="E638" t="str">
        <x:f>IFERROR(IF(0=LEN(ReferenceData!$E$638),"",ReferenceData!$E$638),"")</x:f>
        <x:v>Expression</x:v>
      </x:c>
      <x:c r="F638">
        <x:f ca="1">IFERROR(IF(0=LEN(ReferenceData!$F$638),"",ReferenceData!$F$638),"")</x:f>
        <x:v>0</x:v>
      </x:c>
      <x:c r="G638">
        <x:f ca="1">IFERROR(IF(0=LEN(ReferenceData!$G$638),"",ReferenceData!$G$638),"")</x:f>
        <x:v>0</x:v>
      </x:c>
      <x:c r="H638">
        <x:f ca="1">IFERROR(IF(0=LEN(ReferenceData!$H$638),"",ReferenceData!$H$638),"")</x:f>
        <x:v>0</x:v>
      </x:c>
      <x:c r="I638">
        <x:f ca="1">IFERROR(IF(0=LEN(ReferenceData!$I$638),"",ReferenceData!$I$638),"")</x:f>
        <x:v>0</x:v>
      </x:c>
      <x:c r="J638">
        <x:f ca="1">IFERROR(IF(0=LEN(ReferenceData!$J$638),"",ReferenceData!$J$638),"")</x:f>
        <x:v>0</x:v>
      </x:c>
      <x:c r="K638">
        <x:f ca="1">IFERROR(IF(0=LEN(ReferenceData!$K$638),"",ReferenceData!$K$638),"")</x:f>
        <x:v>0.71591499999999997</x:v>
      </x:c>
      <x:c r="L638">
        <x:f ca="1">IFERROR(IF(0=LEN(ReferenceData!$L$638),"",ReferenceData!$L$638),"")</x:f>
        <x:v>0</x:v>
      </x:c>
      <x:c r="M638">
        <x:f ca="1">IFERROR(IF(0=LEN(ReferenceData!$M$638),"",ReferenceData!$M$638),"")</x:f>
        <x:v>0.60612299999999997</x:v>
      </x:c>
      <x:c r="N638">
        <x:f ca="1">IFERROR(IF(0=LEN(ReferenceData!$N$638),"",ReferenceData!$N$638),"")</x:f>
        <x:v>0</x:v>
      </x:c>
      <x:c r="O638">
        <x:f ca="1">IFERROR(IF(0=LEN(ReferenceData!$O$638),"",ReferenceData!$O$638),"")</x:f>
        <x:v>0</x:v>
      </x:c>
      <x:c r="P638">
        <x:f ca="1">IFERROR(IF(0=LEN(ReferenceData!$P$638),"",ReferenceData!$P$638),"")</x:f>
        <x:v>0</x:v>
      </x:c>
      <x:c r="Q638">
        <x:f ca="1">IFERROR(IF(0=LEN(ReferenceData!$Q$638),"",ReferenceData!$Q$638),"")</x:f>
        <x:v>0</x:v>
      </x:c>
      <x:c r="R638">
        <x:f ca="1">IFERROR(IF(0=LEN(ReferenceData!$R$638),"",ReferenceData!$R$638),"")</x:f>
        <x:v>0</x:v>
      </x:c>
      <x:c r="S638">
        <x:f ca="1">IFERROR(IF(0=LEN(ReferenceData!$S$638),"",ReferenceData!$S$638),"")</x:f>
        <x:v>0</x:v>
      </x:c>
    </x:row>
    <x:row r="639" spans="1:19" x14ac:dyDescent="0.25">
      <x:c r="A639" t="str">
        <x:f>IFERROR(IF(0=LEN(ReferenceData!$A$639),"",ReferenceData!$A$639),"")</x:f>
        <x:v xml:space="preserve">            ProShares Nanotechnology ETF</x:v>
      </x:c>
      <x:c r="B639" t="str">
        <x:f>IFERROR(IF(0=LEN(ReferenceData!$B$639),"",ReferenceData!$B$639),"")</x:f>
        <x:v>TINY US Equity</x:v>
      </x:c>
      <x:c r="C639" t="str">
        <x:f>IFERROR(IF(0=LEN(ReferenceData!$C$639),"",ReferenceData!$C$639),"")</x:f>
        <x:v/>
      </x:c>
      <x:c r="D639" t="str">
        <x:f>IFERROR(IF(0=LEN(ReferenceData!$D$639),"",ReferenceData!$D$639),"")</x:f>
        <x:v/>
      </x:c>
      <x:c r="E639" t="str">
        <x:f>IFERROR(IF(0=LEN(ReferenceData!$E$639),"",ReferenceData!$E$639),"")</x:f>
        <x:v>Expression</x:v>
      </x:c>
      <x:c r="F639">
        <x:f ca="1">IFERROR(IF(0=LEN(ReferenceData!$F$639),"",ReferenceData!$F$639),"")</x:f>
        <x:v>0</x:v>
      </x:c>
      <x:c r="G639">
        <x:f ca="1">IFERROR(IF(0=LEN(ReferenceData!$G$639),"",ReferenceData!$G$639),"")</x:f>
        <x:v>0</x:v>
      </x:c>
      <x:c r="H639">
        <x:f ca="1">IFERROR(IF(0=LEN(ReferenceData!$H$639),"",ReferenceData!$H$639),"")</x:f>
        <x:v>0</x:v>
      </x:c>
      <x:c r="I639">
        <x:f ca="1">IFERROR(IF(0=LEN(ReferenceData!$I$639),"",ReferenceData!$I$639),"")</x:f>
        <x:v>0</x:v>
      </x:c>
      <x:c r="J639">
        <x:f ca="1">IFERROR(IF(0=LEN(ReferenceData!$J$639),"",ReferenceData!$J$639),"")</x:f>
        <x:v>0</x:v>
      </x:c>
      <x:c r="K639">
        <x:f ca="1">IFERROR(IF(0=LEN(ReferenceData!$K$639),"",ReferenceData!$K$639),"")</x:f>
        <x:v>0</x:v>
      </x:c>
      <x:c r="L639">
        <x:f ca="1">IFERROR(IF(0=LEN(ReferenceData!$L$639),"",ReferenceData!$L$639),"")</x:f>
        <x:v>0</x:v>
      </x:c>
      <x:c r="M639">
        <x:f ca="1">IFERROR(IF(0=LEN(ReferenceData!$M$639),"",ReferenceData!$M$639),"")</x:f>
        <x:v>0</x:v>
      </x:c>
      <x:c r="N639">
        <x:f ca="1">IFERROR(IF(0=LEN(ReferenceData!$N$639),"",ReferenceData!$N$639),"")</x:f>
        <x:v>0</x:v>
      </x:c>
      <x:c r="O639">
        <x:f ca="1">IFERROR(IF(0=LEN(ReferenceData!$O$639),"",ReferenceData!$O$639),"")</x:f>
        <x:v>0</x:v>
      </x:c>
      <x:c r="P639">
        <x:f ca="1">IFERROR(IF(0=LEN(ReferenceData!$P$639),"",ReferenceData!$P$639),"")</x:f>
        <x:v>0</x:v>
      </x:c>
      <x:c r="Q639">
        <x:f ca="1">IFERROR(IF(0=LEN(ReferenceData!$Q$639),"",ReferenceData!$Q$639),"")</x:f>
        <x:v>0</x:v>
      </x:c>
      <x:c r="R639">
        <x:f ca="1">IFERROR(IF(0=LEN(ReferenceData!$R$639),"",ReferenceData!$R$639),"")</x:f>
        <x:v>0</x:v>
      </x:c>
      <x:c r="S639">
        <x:f ca="1">IFERROR(IF(0=LEN(ReferenceData!$S$639),"",ReferenceData!$S$639),"")</x:f>
        <x:v>0</x:v>
      </x:c>
    </x:row>
    <x:row r="640" spans="1:19" x14ac:dyDescent="0.25">
      <x:c r="A640" t="str">
        <x:f>IFERROR(IF(0=LEN(ReferenceData!$A$640),"",ReferenceData!$A$640),"")</x:f>
        <x:v xml:space="preserve">            Pacer Data And Digital Revolut</x:v>
      </x:c>
      <x:c r="B640" t="str">
        <x:f>IFERROR(IF(0=LEN(ReferenceData!$B$640),"",ReferenceData!$B$640),"")</x:f>
        <x:v>TRFK US Equity</x:v>
      </x:c>
      <x:c r="C640" t="str">
        <x:f>IFERROR(IF(0=LEN(ReferenceData!$C$640),"",ReferenceData!$C$640),"")</x:f>
        <x:v/>
      </x:c>
      <x:c r="D640" t="str">
        <x:f>IFERROR(IF(0=LEN(ReferenceData!$D$640),"",ReferenceData!$D$640),"")</x:f>
        <x:v/>
      </x:c>
      <x:c r="E640" t="str">
        <x:f>IFERROR(IF(0=LEN(ReferenceData!$E$640),"",ReferenceData!$E$640),"")</x:f>
        <x:v>Expression</x:v>
      </x:c>
      <x:c r="F640">
        <x:f ca="1">IFERROR(IF(0=LEN(ReferenceData!$F$640),"",ReferenceData!$F$640),"")</x:f>
        <x:v>0</x:v>
      </x:c>
      <x:c r="G640">
        <x:f ca="1">IFERROR(IF(0=LEN(ReferenceData!$G$640),"",ReferenceData!$G$640),"")</x:f>
        <x:v>0</x:v>
      </x:c>
      <x:c r="H640">
        <x:f ca="1">IFERROR(IF(0=LEN(ReferenceData!$H$640),"",ReferenceData!$H$640),"")</x:f>
        <x:v>0</x:v>
      </x:c>
      <x:c r="I640">
        <x:f ca="1">IFERROR(IF(0=LEN(ReferenceData!$I$640),"",ReferenceData!$I$640),"")</x:f>
        <x:v>1.236496</x:v>
      </x:c>
      <x:c r="J640">
        <x:f ca="1">IFERROR(IF(0=LEN(ReferenceData!$J$640),"",ReferenceData!$J$640),"")</x:f>
        <x:v>0.62004400000000004</x:v>
      </x:c>
      <x:c r="K640">
        <x:f ca="1">IFERROR(IF(0=LEN(ReferenceData!$K$640),"",ReferenceData!$K$640),"")</x:f>
        <x:v>1.7893159999999999</x:v>
      </x:c>
      <x:c r="L640">
        <x:f ca="1">IFERROR(IF(0=LEN(ReferenceData!$L$640),"",ReferenceData!$L$640),"")</x:f>
        <x:v>-2.5920000000000001E-3</x:v>
      </x:c>
      <x:c r="M640">
        <x:f ca="1">IFERROR(IF(0=LEN(ReferenceData!$M$640),"",ReferenceData!$M$640),"")</x:f>
        <x:v>0</x:v>
      </x:c>
      <x:c r="N640">
        <x:f ca="1">IFERROR(IF(0=LEN(ReferenceData!$N$640),"",ReferenceData!$N$640),"")</x:f>
        <x:v>0</x:v>
      </x:c>
      <x:c r="O640">
        <x:f ca="1">IFERROR(IF(0=LEN(ReferenceData!$O$640),"",ReferenceData!$O$640),"")</x:f>
        <x:v>0</x:v>
      </x:c>
      <x:c r="P640">
        <x:f ca="1">IFERROR(IF(0=LEN(ReferenceData!$P$640),"",ReferenceData!$P$640),"")</x:f>
        <x:v>0</x:v>
      </x:c>
      <x:c r="Q640">
        <x:f ca="1">IFERROR(IF(0=LEN(ReferenceData!$Q$640),"",ReferenceData!$Q$640),"")</x:f>
        <x:v>0</x:v>
      </x:c>
      <x:c r="R640">
        <x:f ca="1">IFERROR(IF(0=LEN(ReferenceData!$R$640),"",ReferenceData!$R$640),"")</x:f>
        <x:v>0</x:v>
      </x:c>
      <x:c r="S640">
        <x:f ca="1">IFERROR(IF(0=LEN(ReferenceData!$S$640),"",ReferenceData!$S$640),"")</x:f>
        <x:v>0</x:v>
      </x:c>
    </x:row>
    <x:row r="641" spans="1:19" x14ac:dyDescent="0.25">
      <x:c r="A641" t="str">
        <x:f>IFERROR(IF(0=LEN(ReferenceData!$A$641),"",ReferenceData!$A$641),"")</x:f>
        <x:v xml:space="preserve">        Healthcare</x:v>
      </x:c>
      <x:c r="B641" t="str">
        <x:f>IFERROR(IF(0=LEN(ReferenceData!$B$641),"",ReferenceData!$B$641),"")</x:f>
        <x:v/>
      </x:c>
      <x:c r="C641" t="str">
        <x:f>IFERROR(IF(0=LEN(ReferenceData!$C$641),"",ReferenceData!$C$641),"")</x:f>
        <x:v/>
      </x:c>
      <x:c r="D641" t="str">
        <x:f>IFERROR(IF(0=LEN(ReferenceData!$D$641),"",ReferenceData!$D$641),"")</x:f>
        <x:v/>
      </x:c>
      <x:c r="E641" t="str">
        <x:f>IFERROR(IF(0=LEN(ReferenceData!$E$641),"",ReferenceData!$E$641),"")</x:f>
        <x:v>Sum</x:v>
      </x:c>
      <x:c r="F641">
        <x:f ca="1">IFERROR(IF(0=LEN(ReferenceData!$F$641),"",ReferenceData!$F$641),"")</x:f>
        <x:v>-50.822823</x:v>
      </x:c>
      <x:c r="G641">
        <x:f ca="1">IFERROR(IF(0=LEN(ReferenceData!$G$641),"",ReferenceData!$G$641),"")</x:f>
        <x:v>-100.73087000000001</x:v>
      </x:c>
      <x:c r="H641">
        <x:f ca="1">IFERROR(IF(0=LEN(ReferenceData!$H$641),"",ReferenceData!$H$641),"")</x:f>
        <x:v>-27.163911999999996</x:v>
      </x:c>
      <x:c r="I641">
        <x:f ca="1">IFERROR(IF(0=LEN(ReferenceData!$I$641),"",ReferenceData!$I$641),"")</x:f>
        <x:v>-63.770989</x:v>
      </x:c>
      <x:c r="J641">
        <x:f ca="1">IFERROR(IF(0=LEN(ReferenceData!$J$641),"",ReferenceData!$J$641),"")</x:f>
        <x:v>110.90767199999998</x:v>
      </x:c>
      <x:c r="K641">
        <x:f ca="1">IFERROR(IF(0=LEN(ReferenceData!$K$641),"",ReferenceData!$K$641),"")</x:f>
        <x:v>-28.979498</x:v>
      </x:c>
      <x:c r="L641">
        <x:f ca="1">IFERROR(IF(0=LEN(ReferenceData!$L$641),"",ReferenceData!$L$641),"")</x:f>
        <x:v>-48.973949000000005</x:v>
      </x:c>
      <x:c r="M641">
        <x:f ca="1">IFERROR(IF(0=LEN(ReferenceData!$M$641),"",ReferenceData!$M$641),"")</x:f>
        <x:v>-53.997269999999993</x:v>
      </x:c>
      <x:c r="N641">
        <x:f ca="1">IFERROR(IF(0=LEN(ReferenceData!$N$641),"",ReferenceData!$N$641),"")</x:f>
        <x:v>10.212041000000003</x:v>
      </x:c>
      <x:c r="O641">
        <x:f ca="1">IFERROR(IF(0=LEN(ReferenceData!$O$641),"",ReferenceData!$O$641),"")</x:f>
        <x:v>-57.498625999999994</x:v>
      </x:c>
      <x:c r="P641">
        <x:f ca="1">IFERROR(IF(0=LEN(ReferenceData!$P$641),"",ReferenceData!$P$641),"")</x:f>
        <x:v>28.096814999999999</x:v>
      </x:c>
      <x:c r="Q641">
        <x:f ca="1">IFERROR(IF(0=LEN(ReferenceData!$Q$641),"",ReferenceData!$Q$641),"")</x:f>
        <x:v>-56.398197999999994</x:v>
      </x:c>
      <x:c r="R641">
        <x:f ca="1">IFERROR(IF(0=LEN(ReferenceData!$R$641),"",ReferenceData!$R$641),"")</x:f>
        <x:v>-44.345767000000002</x:v>
      </x:c>
      <x:c r="S641">
        <x:f ca="1">IFERROR(IF(0=LEN(ReferenceData!$S$641),"",ReferenceData!$S$641),"")</x:f>
        <x:v>-95.346147999999999</x:v>
      </x:c>
    </x:row>
    <x:row r="642" spans="1:19" x14ac:dyDescent="0.25">
      <x:c r="A642" t="str">
        <x:f>IFERROR(IF(0=LEN(ReferenceData!$A$642),"",ReferenceData!$A$642),"")</x:f>
        <x:v xml:space="preserve">            Loncar Cancer Immunotherapy ET</x:v>
      </x:c>
      <x:c r="B642" t="str">
        <x:f>IFERROR(IF(0=LEN(ReferenceData!$B$642),"",ReferenceData!$B$642),"")</x:f>
        <x:v>CNCR US Equity</x:v>
      </x:c>
      <x:c r="C642" t="str">
        <x:f>IFERROR(IF(0=LEN(ReferenceData!$C$642),"",ReferenceData!$C$642),"")</x:f>
        <x:v/>
      </x:c>
      <x:c r="D642" t="str">
        <x:f>IFERROR(IF(0=LEN(ReferenceData!$D$642),"",ReferenceData!$D$642),"")</x:f>
        <x:v/>
      </x:c>
      <x:c r="E642" t="str">
        <x:f>IFERROR(IF(0=LEN(ReferenceData!$E$642),"",ReferenceData!$E$642),"")</x:f>
        <x:v>Expression</x:v>
      </x:c>
      <x:c r="F642">
        <x:f ca="1">IFERROR(IF(0=LEN(ReferenceData!$F$642),"",ReferenceData!$F$642),"")</x:f>
        <x:v>0</x:v>
      </x:c>
      <x:c r="G642">
        <x:f ca="1">IFERROR(IF(0=LEN(ReferenceData!$G$642),"",ReferenceData!$G$642),"")</x:f>
        <x:v>2.7659959999999999</x:v>
      </x:c>
      <x:c r="H642">
        <x:f ca="1">IFERROR(IF(0=LEN(ReferenceData!$H$642),"",ReferenceData!$H$642),"")</x:f>
        <x:v>0</x:v>
      </x:c>
      <x:c r="I642">
        <x:f ca="1">IFERROR(IF(0=LEN(ReferenceData!$I$642),"",ReferenceData!$I$642),"")</x:f>
        <x:v>-0.62645499999999998</x:v>
      </x:c>
      <x:c r="J642">
        <x:f ca="1">IFERROR(IF(0=LEN(ReferenceData!$J$642),"",ReferenceData!$J$642),"")</x:f>
        <x:v>-0.65465499999999999</x:v>
      </x:c>
      <x:c r="K642">
        <x:f ca="1">IFERROR(IF(0=LEN(ReferenceData!$K$642),"",ReferenceData!$K$642),"")</x:f>
        <x:v>-1.41936</x:v>
      </x:c>
      <x:c r="L642">
        <x:f ca="1">IFERROR(IF(0=LEN(ReferenceData!$L$642),"",ReferenceData!$L$642),"")</x:f>
        <x:v>-3.36076</x:v>
      </x:c>
      <x:c r="M642">
        <x:f ca="1">IFERROR(IF(0=LEN(ReferenceData!$M$642),"",ReferenceData!$M$642),"")</x:f>
        <x:v>-2.4819499999999999</x:v>
      </x:c>
      <x:c r="N642">
        <x:f ca="1">IFERROR(IF(0=LEN(ReferenceData!$N$642),"",ReferenceData!$N$642),"")</x:f>
        <x:v>0</x:v>
      </x:c>
      <x:c r="O642">
        <x:f ca="1">IFERROR(IF(0=LEN(ReferenceData!$O$642),"",ReferenceData!$O$642),"")</x:f>
        <x:v>-0.75053000000000003</x:v>
      </x:c>
      <x:c r="P642">
        <x:f ca="1">IFERROR(IF(0=LEN(ReferenceData!$P$642),"",ReferenceData!$P$642),"")</x:f>
        <x:v>0</x:v>
      </x:c>
      <x:c r="Q642">
        <x:f ca="1">IFERROR(IF(0=LEN(ReferenceData!$Q$642),"",ReferenceData!$Q$642),"")</x:f>
        <x:v>0</x:v>
      </x:c>
      <x:c r="R642">
        <x:f ca="1">IFERROR(IF(0=LEN(ReferenceData!$R$642),"",ReferenceData!$R$642),"")</x:f>
        <x:v>0</x:v>
      </x:c>
      <x:c r="S642">
        <x:f ca="1">IFERROR(IF(0=LEN(ReferenceData!$S$642),"",ReferenceData!$S$642),"")</x:f>
        <x:v>1.551515</x:v>
      </x:c>
    </x:row>
    <x:row r="643" spans="1:19" x14ac:dyDescent="0.25">
      <x:c r="A643" t="str">
        <x:f>IFERROR(IF(0=LEN(ReferenceData!$A$643),"",ReferenceData!$A$643),"")</x:f>
        <x:v xml:space="preserve">            ARK Genomic Revolution ETF</x:v>
      </x:c>
      <x:c r="B643" t="str">
        <x:f>IFERROR(IF(0=LEN(ReferenceData!$B$643),"",ReferenceData!$B$643),"")</x:f>
        <x:v>ARKG US Equity</x:v>
      </x:c>
      <x:c r="C643" t="str">
        <x:f>IFERROR(IF(0=LEN(ReferenceData!$C$643),"",ReferenceData!$C$643),"")</x:f>
        <x:v/>
      </x:c>
      <x:c r="D643" t="str">
        <x:f>IFERROR(IF(0=LEN(ReferenceData!$D$643),"",ReferenceData!$D$643),"")</x:f>
        <x:v/>
      </x:c>
      <x:c r="E643" t="str">
        <x:f>IFERROR(IF(0=LEN(ReferenceData!$E$643),"",ReferenceData!$E$643),"")</x:f>
        <x:v>Expression</x:v>
      </x:c>
      <x:c r="F643">
        <x:f ca="1">IFERROR(IF(0=LEN(ReferenceData!$F$643),"",ReferenceData!$F$643),"")</x:f>
        <x:v>25.646518</x:v>
      </x:c>
      <x:c r="G643">
        <x:f ca="1">IFERROR(IF(0=LEN(ReferenceData!$G$643),"",ReferenceData!$G$643),"")</x:f>
        <x:v>-18.990939999999998</x:v>
      </x:c>
      <x:c r="H643">
        <x:f ca="1">IFERROR(IF(0=LEN(ReferenceData!$H$643),"",ReferenceData!$H$643),"")</x:f>
        <x:v>-51.327801000000001</x:v>
      </x:c>
      <x:c r="I643">
        <x:f ca="1">IFERROR(IF(0=LEN(ReferenceData!$I$643),"",ReferenceData!$I$643),"")</x:f>
        <x:v>-39.678328</x:v>
      </x:c>
      <x:c r="J643">
        <x:f ca="1">IFERROR(IF(0=LEN(ReferenceData!$J$643),"",ReferenceData!$J$643),"")</x:f>
        <x:v>96.979902999999993</x:v>
      </x:c>
      <x:c r="K643">
        <x:f ca="1">IFERROR(IF(0=LEN(ReferenceData!$K$643),"",ReferenceData!$K$643),"")</x:f>
        <x:v>-17.137734999999999</x:v>
      </x:c>
      <x:c r="L643">
        <x:f ca="1">IFERROR(IF(0=LEN(ReferenceData!$L$643),"",ReferenceData!$L$643),"")</x:f>
        <x:v>-22.768281000000002</x:v>
      </x:c>
      <x:c r="M643">
        <x:f ca="1">IFERROR(IF(0=LEN(ReferenceData!$M$643),"",ReferenceData!$M$643),"")</x:f>
        <x:v>-39.912033999999998</x:v>
      </x:c>
      <x:c r="N643">
        <x:f ca="1">IFERROR(IF(0=LEN(ReferenceData!$N$643),"",ReferenceData!$N$643),"")</x:f>
        <x:v>16.308541000000002</x:v>
      </x:c>
      <x:c r="O643">
        <x:f ca="1">IFERROR(IF(0=LEN(ReferenceData!$O$643),"",ReferenceData!$O$643),"")</x:f>
        <x:v>-42.948461999999999</x:v>
      </x:c>
      <x:c r="P643">
        <x:f ca="1">IFERROR(IF(0=LEN(ReferenceData!$P$643),"",ReferenceData!$P$643),"")</x:f>
        <x:v>-4.7187520000000003</x:v>
      </x:c>
      <x:c r="Q643">
        <x:f ca="1">IFERROR(IF(0=LEN(ReferenceData!$Q$643),"",ReferenceData!$Q$643),"")</x:f>
        <x:v>-66.272306999999998</x:v>
      </x:c>
      <x:c r="R643">
        <x:f ca="1">IFERROR(IF(0=LEN(ReferenceData!$R$643),"",ReferenceData!$R$643),"")</x:f>
        <x:v>-17.262160999999999</x:v>
      </x:c>
      <x:c r="S643">
        <x:f ca="1">IFERROR(IF(0=LEN(ReferenceData!$S$643),"",ReferenceData!$S$643),"")</x:f>
        <x:v>-78.289834999999997</x:v>
      </x:c>
    </x:row>
    <x:row r="644" spans="1:19" x14ac:dyDescent="0.25">
      <x:c r="A644" t="str">
        <x:f>IFERROR(IF(0=LEN(ReferenceData!$A$644),"",ReferenceData!$A$644),"")</x:f>
        <x:v xml:space="preserve">            Global X Aging Population ETF</x:v>
      </x:c>
      <x:c r="B644" t="str">
        <x:f>IFERROR(IF(0=LEN(ReferenceData!$B$644),"",ReferenceData!$B$644),"")</x:f>
        <x:v>LNGR US Equity</x:v>
      </x:c>
      <x:c r="C644" t="str">
        <x:f>IFERROR(IF(0=LEN(ReferenceData!$C$644),"",ReferenceData!$C$644),"")</x:f>
        <x:v/>
      </x:c>
      <x:c r="D644" t="str">
        <x:f>IFERROR(IF(0=LEN(ReferenceData!$D$644),"",ReferenceData!$D$644),"")</x:f>
        <x:v/>
      </x:c>
      <x:c r="E644" t="str">
        <x:f>IFERROR(IF(0=LEN(ReferenceData!$E$644),"",ReferenceData!$E$644),"")</x:f>
        <x:v>Expression</x:v>
      </x:c>
      <x:c r="F644">
        <x:f ca="1">IFERROR(IF(0=LEN(ReferenceData!$F$644),"",ReferenceData!$F$644),"")</x:f>
        <x:v>0</x:v>
      </x:c>
      <x:c r="G644">
        <x:f ca="1">IFERROR(IF(0=LEN(ReferenceData!$G$644),"",ReferenceData!$G$644),"")</x:f>
        <x:v>2.5489999999999999</x:v>
      </x:c>
      <x:c r="H644">
        <x:f ca="1">IFERROR(IF(0=LEN(ReferenceData!$H$644),"",ReferenceData!$H$644),"")</x:f>
        <x:v>-1.8988</x:v>
      </x:c>
      <x:c r="I644">
        <x:f ca="1">IFERROR(IF(0=LEN(ReferenceData!$I$644),"",ReferenceData!$I$644),"")</x:f>
        <x:v>9.8658000000000001</x:v>
      </x:c>
      <x:c r="J644">
        <x:f ca="1">IFERROR(IF(0=LEN(ReferenceData!$J$644),"",ReferenceData!$J$644),"")</x:f>
        <x:v>0</x:v>
      </x:c>
      <x:c r="K644">
        <x:f ca="1">IFERROR(IF(0=LEN(ReferenceData!$K$644),"",ReferenceData!$K$644),"")</x:f>
        <x:v>-3.3311999999999999</x:v>
      </x:c>
      <x:c r="L644">
        <x:f ca="1">IFERROR(IF(0=LEN(ReferenceData!$L$644),"",ReferenceData!$L$644),"")</x:f>
        <x:v>-15.398099999999999</x:v>
      </x:c>
      <x:c r="M644">
        <x:f ca="1">IFERROR(IF(0=LEN(ReferenceData!$M$644),"",ReferenceData!$M$644),"")</x:f>
        <x:v>-0.84179999999999999</x:v>
      </x:c>
      <x:c r="N644">
        <x:f ca="1">IFERROR(IF(0=LEN(ReferenceData!$N$644),"",ReferenceData!$N$644),"")</x:f>
        <x:v>-0.26119999999999999</x:v>
      </x:c>
      <x:c r="O644">
        <x:f ca="1">IFERROR(IF(0=LEN(ReferenceData!$O$644),"",ReferenceData!$O$644),"")</x:f>
        <x:v>0</x:v>
      </x:c>
      <x:c r="P644">
        <x:f ca="1">IFERROR(IF(0=LEN(ReferenceData!$P$644),"",ReferenceData!$P$644),"")</x:f>
        <x:v>20.765000000000001</x:v>
      </x:c>
      <x:c r="Q644">
        <x:f ca="1">IFERROR(IF(0=LEN(ReferenceData!$Q$644),"",ReferenceData!$Q$644),"")</x:f>
        <x:v>0</x:v>
      </x:c>
      <x:c r="R644">
        <x:f ca="1">IFERROR(IF(0=LEN(ReferenceData!$R$644),"",ReferenceData!$R$644),"")</x:f>
        <x:v>0</x:v>
      </x:c>
      <x:c r="S644">
        <x:f ca="1">IFERROR(IF(0=LEN(ReferenceData!$S$644),"",ReferenceData!$S$644),"")</x:f>
        <x:v>0</x:v>
      </x:c>
    </x:row>
    <x:row r="645" spans="1:19" x14ac:dyDescent="0.25">
      <x:c r="A645" t="str">
        <x:f>IFERROR(IF(0=LEN(ReferenceData!$A$645),"",ReferenceData!$A$645),"")</x:f>
        <x:v xml:space="preserve">            Goldman Sachs Human Evolution</x:v>
      </x:c>
      <x:c r="B645" t="str">
        <x:f>IFERROR(IF(0=LEN(ReferenceData!$B$645),"",ReferenceData!$B$645),"")</x:f>
        <x:v>GDNA US Equity</x:v>
      </x:c>
      <x:c r="C645" t="str">
        <x:f>IFERROR(IF(0=LEN(ReferenceData!$C$645),"",ReferenceData!$C$645),"")</x:f>
        <x:v/>
      </x:c>
      <x:c r="D645" t="str">
        <x:f>IFERROR(IF(0=LEN(ReferenceData!$D$645),"",ReferenceData!$D$645),"")</x:f>
        <x:v/>
      </x:c>
      <x:c r="E645" t="str">
        <x:f>IFERROR(IF(0=LEN(ReferenceData!$E$645),"",ReferenceData!$E$645),"")</x:f>
        <x:v>Expression</x:v>
      </x:c>
      <x:c r="F645" t="str">
        <x:f ca="1">IFERROR(IF(0=LEN(ReferenceData!$F$645),"",ReferenceData!$F$645),"")</x:f>
        <x:v/>
      </x:c>
      <x:c r="G645" t="str">
        <x:f ca="1">IFERROR(IF(0=LEN(ReferenceData!$G$645),"",ReferenceData!$G$645),"")</x:f>
        <x:v/>
      </x:c>
      <x:c r="H645" t="str">
        <x:f ca="1">IFERROR(IF(0=LEN(ReferenceData!$H$645),"",ReferenceData!$H$645),"")</x:f>
        <x:v/>
      </x:c>
      <x:c r="I645" t="str">
        <x:f ca="1">IFERROR(IF(0=LEN(ReferenceData!$I$645),"",ReferenceData!$I$645),"")</x:f>
        <x:v/>
      </x:c>
      <x:c r="J645" t="str">
        <x:f ca="1">IFERROR(IF(0=LEN(ReferenceData!$J$645),"",ReferenceData!$J$645),"")</x:f>
        <x:v/>
      </x:c>
      <x:c r="K645" t="str">
        <x:f ca="1">IFERROR(IF(0=LEN(ReferenceData!$K$645),"",ReferenceData!$K$645),"")</x:f>
        <x:v/>
      </x:c>
      <x:c r="L645" t="str">
        <x:f ca="1">IFERROR(IF(0=LEN(ReferenceData!$L$645),"",ReferenceData!$L$645),"")</x:f>
        <x:v/>
      </x:c>
      <x:c r="M645" t="str">
        <x:f ca="1">IFERROR(IF(0=LEN(ReferenceData!$M$645),"",ReferenceData!$M$645),"")</x:f>
        <x:v/>
      </x:c>
      <x:c r="N645" t="str">
        <x:f ca="1">IFERROR(IF(0=LEN(ReferenceData!$N$645),"",ReferenceData!$N$645),"")</x:f>
        <x:v/>
      </x:c>
      <x:c r="O645" t="str">
        <x:f ca="1">IFERROR(IF(0=LEN(ReferenceData!$O$645),"",ReferenceData!$O$645),"")</x:f>
        <x:v/>
      </x:c>
      <x:c r="P645" t="str">
        <x:f ca="1">IFERROR(IF(0=LEN(ReferenceData!$P$645),"",ReferenceData!$P$645),"")</x:f>
        <x:v/>
      </x:c>
      <x:c r="Q645" t="str">
        <x:f ca="1">IFERROR(IF(0=LEN(ReferenceData!$Q$645),"",ReferenceData!$Q$645),"")</x:f>
        <x:v/>
      </x:c>
      <x:c r="R645" t="str">
        <x:f ca="1">IFERROR(IF(0=LEN(ReferenceData!$R$645),"",ReferenceData!$R$645),"")</x:f>
        <x:v/>
      </x:c>
      <x:c r="S645" t="str">
        <x:f ca="1">IFERROR(IF(0=LEN(ReferenceData!$S$645),"",ReferenceData!$S$645),"")</x:f>
        <x:v/>
      </x:c>
    </x:row>
    <x:row r="646" spans="1:19" x14ac:dyDescent="0.25">
      <x:c r="A646" t="str">
        <x:f>IFERROR(IF(0=LEN(ReferenceData!$A$646),"",ReferenceData!$A$646),"")</x:f>
        <x:v xml:space="preserve">            Global X Genomics &amp; Biotechnol</x:v>
      </x:c>
      <x:c r="B646" t="str">
        <x:f>IFERROR(IF(0=LEN(ReferenceData!$B$646),"",ReferenceData!$B$646),"")</x:f>
        <x:v>GNOM US Equity</x:v>
      </x:c>
      <x:c r="C646" t="str">
        <x:f>IFERROR(IF(0=LEN(ReferenceData!$C$646),"",ReferenceData!$C$646),"")</x:f>
        <x:v/>
      </x:c>
      <x:c r="D646" t="str">
        <x:f>IFERROR(IF(0=LEN(ReferenceData!$D$646),"",ReferenceData!$D$646),"")</x:f>
        <x:v/>
      </x:c>
      <x:c r="E646" t="str">
        <x:f>IFERROR(IF(0=LEN(ReferenceData!$E$646),"",ReferenceData!$E$646),"")</x:f>
        <x:v>Expression</x:v>
      </x:c>
      <x:c r="F646">
        <x:f ca="1">IFERROR(IF(0=LEN(ReferenceData!$F$646),"",ReferenceData!$F$646),"")</x:f>
        <x:v>-2.2698</x:v>
      </x:c>
      <x:c r="G646">
        <x:f ca="1">IFERROR(IF(0=LEN(ReferenceData!$G$646),"",ReferenceData!$G$646),"")</x:f>
        <x:v>-74.867500000000007</x:v>
      </x:c>
      <x:c r="H646">
        <x:f ca="1">IFERROR(IF(0=LEN(ReferenceData!$H$646),"",ReferenceData!$H$646),"")</x:f>
        <x:v>46.187800000000003</x:v>
      </x:c>
      <x:c r="I646">
        <x:f ca="1">IFERROR(IF(0=LEN(ReferenceData!$I$646),"",ReferenceData!$I$646),"")</x:f>
        <x:v>-39.461799999999997</x:v>
      </x:c>
      <x:c r="J646">
        <x:f ca="1">IFERROR(IF(0=LEN(ReferenceData!$J$646),"",ReferenceData!$J$646),"")</x:f>
        <x:v>6.0076000000000001</x:v>
      </x:c>
      <x:c r="K646">
        <x:f ca="1">IFERROR(IF(0=LEN(ReferenceData!$K$646),"",ReferenceData!$K$646),"")</x:f>
        <x:v>0.63700000000000001</x:v>
      </x:c>
      <x:c r="L646">
        <x:f ca="1">IFERROR(IF(0=LEN(ReferenceData!$L$646),"",ReferenceData!$L$646),"")</x:f>
        <x:v>1.3814</x:v>
      </x:c>
      <x:c r="M646">
        <x:f ca="1">IFERROR(IF(0=LEN(ReferenceData!$M$646),"",ReferenceData!$M$646),"")</x:f>
        <x:v>-11.5777</x:v>
      </x:c>
      <x:c r="N646">
        <x:f ca="1">IFERROR(IF(0=LEN(ReferenceData!$N$646),"",ReferenceData!$N$646),"")</x:f>
        <x:v>0.94310000000000005</x:v>
      </x:c>
      <x:c r="O646">
        <x:f ca="1">IFERROR(IF(0=LEN(ReferenceData!$O$646),"",ReferenceData!$O$646),"")</x:f>
        <x:v>-1.1857</x:v>
      </x:c>
      <x:c r="P646">
        <x:f ca="1">IFERROR(IF(0=LEN(ReferenceData!$P$646),"",ReferenceData!$P$646),"")</x:f>
        <x:v>1.7063999999999999</x:v>
      </x:c>
      <x:c r="Q646">
        <x:f ca="1">IFERROR(IF(0=LEN(ReferenceData!$Q$646),"",ReferenceData!$Q$646),"")</x:f>
        <x:v>14.3284</x:v>
      </x:c>
      <x:c r="R646">
        <x:f ca="1">IFERROR(IF(0=LEN(ReferenceData!$R$646),"",ReferenceData!$R$646),"")</x:f>
        <x:v>-3.1533000000000002</x:v>
      </x:c>
      <x:c r="S646">
        <x:f ca="1">IFERROR(IF(0=LEN(ReferenceData!$S$646),"",ReferenceData!$S$646),"")</x:f>
        <x:v>-7.9795999999999996</x:v>
      </x:c>
    </x:row>
    <x:row r="647" spans="1:19" x14ac:dyDescent="0.25">
      <x:c r="A647" t="str">
        <x:f>IFERROR(IF(0=LEN(ReferenceData!$A$647),"",ReferenceData!$A$647),"")</x:f>
        <x:v xml:space="preserve">            ETFMG Treatments Testing and A</x:v>
      </x:c>
      <x:c r="B647" t="str">
        <x:f>IFERROR(IF(0=LEN(ReferenceData!$B$647),"",ReferenceData!$B$647),"")</x:f>
        <x:v>GERM US Equity</x:v>
      </x:c>
      <x:c r="C647" t="str">
        <x:f>IFERROR(IF(0=LEN(ReferenceData!$C$647),"",ReferenceData!$C$647),"")</x:f>
        <x:v/>
      </x:c>
      <x:c r="D647" t="str">
        <x:f>IFERROR(IF(0=LEN(ReferenceData!$D$647),"",ReferenceData!$D$647),"")</x:f>
        <x:v/>
      </x:c>
      <x:c r="E647" t="str">
        <x:f>IFERROR(IF(0=LEN(ReferenceData!$E$647),"",ReferenceData!$E$647),"")</x:f>
        <x:v>Expression</x:v>
      </x:c>
      <x:c r="F647">
        <x:f ca="1">IFERROR(IF(0=LEN(ReferenceData!$F$647),"",ReferenceData!$F$647),"")</x:f>
        <x:v>0</x:v>
      </x:c>
      <x:c r="G647">
        <x:f ca="1">IFERROR(IF(0=LEN(ReferenceData!$G$647),"",ReferenceData!$G$647),"")</x:f>
        <x:v>0</x:v>
      </x:c>
      <x:c r="H647">
        <x:f ca="1">IFERROR(IF(0=LEN(ReferenceData!$H$647),"",ReferenceData!$H$647),"")</x:f>
        <x:v>0</x:v>
      </x:c>
      <x:c r="I647">
        <x:f ca="1">IFERROR(IF(0=LEN(ReferenceData!$I$647),"",ReferenceData!$I$647),"")</x:f>
        <x:v>-1.0005900000000001</x:v>
      </x:c>
      <x:c r="J647">
        <x:f ca="1">IFERROR(IF(0=LEN(ReferenceData!$J$647),"",ReferenceData!$J$647),"")</x:f>
        <x:v>-1.0346550000000001</x:v>
      </x:c>
      <x:c r="K647">
        <x:f ca="1">IFERROR(IF(0=LEN(ReferenceData!$K$647),"",ReferenceData!$K$647),"")</x:f>
        <x:v>0</x:v>
      </x:c>
      <x:c r="L647">
        <x:f ca="1">IFERROR(IF(0=LEN(ReferenceData!$L$647),"",ReferenceData!$L$647),"")</x:f>
        <x:v>-1.0545249999999999</x:v>
      </x:c>
      <x:c r="M647">
        <x:f ca="1">IFERROR(IF(0=LEN(ReferenceData!$M$647),"",ReferenceData!$M$647),"")</x:f>
        <x:v>0</x:v>
      </x:c>
      <x:c r="N647">
        <x:f ca="1">IFERROR(IF(0=LEN(ReferenceData!$N$647),"",ReferenceData!$N$647),"")</x:f>
        <x:v>-1.06724</x:v>
      </x:c>
      <x:c r="O647">
        <x:f ca="1">IFERROR(IF(0=LEN(ReferenceData!$O$647),"",ReferenceData!$O$647),"")</x:f>
        <x:v>0</x:v>
      </x:c>
      <x:c r="P647">
        <x:f ca="1">IFERROR(IF(0=LEN(ReferenceData!$P$647),"",ReferenceData!$P$647),"")</x:f>
        <x:v>-2.4240949999999999</x:v>
      </x:c>
      <x:c r="Q647">
        <x:f ca="1">IFERROR(IF(0=LEN(ReferenceData!$Q$647),"",ReferenceData!$Q$647),"")</x:f>
        <x:v>0</x:v>
      </x:c>
      <x:c r="R647">
        <x:f ca="1">IFERROR(IF(0=LEN(ReferenceData!$R$647),"",ReferenceData!$R$647),"")</x:f>
        <x:v>0</x:v>
      </x:c>
      <x:c r="S647">
        <x:f ca="1">IFERROR(IF(0=LEN(ReferenceData!$S$647),"",ReferenceData!$S$647),"")</x:f>
        <x:v>0</x:v>
      </x:c>
    </x:row>
    <x:row r="648" spans="1:19" x14ac:dyDescent="0.25">
      <x:c r="A648" t="str">
        <x:f>IFERROR(IF(0=LEN(ReferenceData!$A$648),"",ReferenceData!$A$648),"")</x:f>
        <x:v xml:space="preserve">            Franklin Genomic Advancements</x:v>
      </x:c>
      <x:c r="B648" t="str">
        <x:f>IFERROR(IF(0=LEN(ReferenceData!$B$648),"",ReferenceData!$B$648),"")</x:f>
        <x:v>HELX US Equity</x:v>
      </x:c>
      <x:c r="C648" t="str">
        <x:f>IFERROR(IF(0=LEN(ReferenceData!$C$648),"",ReferenceData!$C$648),"")</x:f>
        <x:v/>
      </x:c>
      <x:c r="D648" t="str">
        <x:f>IFERROR(IF(0=LEN(ReferenceData!$D$648),"",ReferenceData!$D$648),"")</x:f>
        <x:v/>
      </x:c>
      <x:c r="E648" t="str">
        <x:f>IFERROR(IF(0=LEN(ReferenceData!$E$648),"",ReferenceData!$E$648),"")</x:f>
        <x:v>Expression</x:v>
      </x:c>
      <x:c r="F648">
        <x:f ca="1">IFERROR(IF(0=LEN(ReferenceData!$F$648),"",ReferenceData!$F$648),"")</x:f>
        <x:v>2.6195590000000002</x:v>
      </x:c>
      <x:c r="G648">
        <x:f ca="1">IFERROR(IF(0=LEN(ReferenceData!$G$648),"",ReferenceData!$G$648),"")</x:f>
        <x:v>0</x:v>
      </x:c>
      <x:c r="H648">
        <x:f ca="1">IFERROR(IF(0=LEN(ReferenceData!$H$648),"",ReferenceData!$H$648),"")</x:f>
        <x:v>0</x:v>
      </x:c>
      <x:c r="I648">
        <x:f ca="1">IFERROR(IF(0=LEN(ReferenceData!$I$648),"",ReferenceData!$I$648),"")</x:f>
        <x:v>-1.516475</x:v>
      </x:c>
      <x:c r="J648">
        <x:f ca="1">IFERROR(IF(0=LEN(ReferenceData!$J$648),"",ReferenceData!$J$648),"")</x:f>
        <x:v>0</x:v>
      </x:c>
      <x:c r="K648">
        <x:f ca="1">IFERROR(IF(0=LEN(ReferenceData!$K$648),"",ReferenceData!$K$648),"")</x:f>
        <x:v>0</x:v>
      </x:c>
      <x:c r="L648">
        <x:f ca="1">IFERROR(IF(0=LEN(ReferenceData!$L$648),"",ReferenceData!$L$648),"")</x:f>
        <x:v>0</x:v>
      </x:c>
      <x:c r="M648">
        <x:f ca="1">IFERROR(IF(0=LEN(ReferenceData!$M$648),"",ReferenceData!$M$648),"")</x:f>
        <x:v>0</x:v>
      </x:c>
      <x:c r="N648">
        <x:f ca="1">IFERROR(IF(0=LEN(ReferenceData!$N$648),"",ReferenceData!$N$648),"")</x:f>
        <x:v>0</x:v>
      </x:c>
      <x:c r="O648">
        <x:f ca="1">IFERROR(IF(0=LEN(ReferenceData!$O$648),"",ReferenceData!$O$648),"")</x:f>
        <x:v>0</x:v>
      </x:c>
      <x:c r="P648">
        <x:f ca="1">IFERROR(IF(0=LEN(ReferenceData!$P$648),"",ReferenceData!$P$648),"")</x:f>
        <x:v>0</x:v>
      </x:c>
      <x:c r="Q648">
        <x:f ca="1">IFERROR(IF(0=LEN(ReferenceData!$Q$648),"",ReferenceData!$Q$648),"")</x:f>
        <x:v>0</x:v>
      </x:c>
      <x:c r="R648">
        <x:f ca="1">IFERROR(IF(0=LEN(ReferenceData!$R$648),"",ReferenceData!$R$648),"")</x:f>
        <x:v>0</x:v>
      </x:c>
      <x:c r="S648">
        <x:f ca="1">IFERROR(IF(0=LEN(ReferenceData!$S$648),"",ReferenceData!$S$648),"")</x:f>
        <x:v>0</x:v>
      </x:c>
    </x:row>
    <x:row r="649" spans="1:19" x14ac:dyDescent="0.25">
      <x:c r="A649" t="str">
        <x:f>IFERROR(IF(0=LEN(ReferenceData!$A$649),"",ReferenceData!$A$649),"")</x:f>
        <x:v xml:space="preserve">            Global X Telemedicine &amp; Digita</x:v>
      </x:c>
      <x:c r="B649" t="str">
        <x:f>IFERROR(IF(0=LEN(ReferenceData!$B$649),"",ReferenceData!$B$649),"")</x:f>
        <x:v>EDOC US Equity</x:v>
      </x:c>
      <x:c r="C649" t="str">
        <x:f>IFERROR(IF(0=LEN(ReferenceData!$C$649),"",ReferenceData!$C$649),"")</x:f>
        <x:v/>
      </x:c>
      <x:c r="D649" t="str">
        <x:f>IFERROR(IF(0=LEN(ReferenceData!$D$649),"",ReferenceData!$D$649),"")</x:f>
        <x:v/>
      </x:c>
      <x:c r="E649" t="str">
        <x:f>IFERROR(IF(0=LEN(ReferenceData!$E$649),"",ReferenceData!$E$649),"")</x:f>
        <x:v>Expression</x:v>
      </x:c>
      <x:c r="F649">
        <x:f ca="1">IFERROR(IF(0=LEN(ReferenceData!$F$649),"",ReferenceData!$F$649),"")</x:f>
        <x:v>-0.504</x:v>
      </x:c>
      <x:c r="G649">
        <x:f ca="1">IFERROR(IF(0=LEN(ReferenceData!$G$649),"",ReferenceData!$G$649),"")</x:f>
        <x:v>-10.6797</x:v>
      </x:c>
      <x:c r="H649">
        <x:f ca="1">IFERROR(IF(0=LEN(ReferenceData!$H$649),"",ReferenceData!$H$649),"")</x:f>
        <x:v>-2.5373999999999999</x:v>
      </x:c>
      <x:c r="I649">
        <x:f ca="1">IFERROR(IF(0=LEN(ReferenceData!$I$649),"",ReferenceData!$I$649),"")</x:f>
        <x:v>-3.2385000000000002</x:v>
      </x:c>
      <x:c r="J649">
        <x:f ca="1">IFERROR(IF(0=LEN(ReferenceData!$J$649),"",ReferenceData!$J$649),"")</x:f>
        <x:v>-2.5032000000000001</x:v>
      </x:c>
      <x:c r="K649">
        <x:f ca="1">IFERROR(IF(0=LEN(ReferenceData!$K$649),"",ReferenceData!$K$649),"")</x:f>
        <x:v>-3.2458</x:v>
      </x:c>
      <x:c r="L649">
        <x:f ca="1">IFERROR(IF(0=LEN(ReferenceData!$L$649),"",ReferenceData!$L$649),"")</x:f>
        <x:v>-1.8522000000000001</x:v>
      </x:c>
      <x:c r="M649">
        <x:f ca="1">IFERROR(IF(0=LEN(ReferenceData!$M$649),"",ReferenceData!$M$649),"")</x:f>
        <x:v>-4.9523999999999999</x:v>
      </x:c>
      <x:c r="N649">
        <x:f ca="1">IFERROR(IF(0=LEN(ReferenceData!$N$649),"",ReferenceData!$N$649),"")</x:f>
        <x:v>-5.1760000000000002</x:v>
      </x:c>
      <x:c r="O649">
        <x:f ca="1">IFERROR(IF(0=LEN(ReferenceData!$O$649),"",ReferenceData!$O$649),"")</x:f>
        <x:v>-3.7368000000000001</x:v>
      </x:c>
      <x:c r="P649">
        <x:f ca="1">IFERROR(IF(0=LEN(ReferenceData!$P$649),"",ReferenceData!$P$649),"")</x:f>
        <x:v>-5.7846000000000002</x:v>
      </x:c>
      <x:c r="Q649">
        <x:f ca="1">IFERROR(IF(0=LEN(ReferenceData!$Q$649),"",ReferenceData!$Q$649),"")</x:f>
        <x:v>0.80779999999999996</x:v>
      </x:c>
      <x:c r="R649">
        <x:f ca="1">IFERROR(IF(0=LEN(ReferenceData!$R$649),"",ReferenceData!$R$649),"")</x:f>
        <x:v>-10.494300000000001</x:v>
      </x:c>
      <x:c r="S649">
        <x:f ca="1">IFERROR(IF(0=LEN(ReferenceData!$S$649),"",ReferenceData!$S$649),"")</x:f>
        <x:v>-2.3372999999999999</x:v>
      </x:c>
    </x:row>
    <x:row r="650" spans="1:19" x14ac:dyDescent="0.25">
      <x:c r="A650" t="str">
        <x:f>IFERROR(IF(0=LEN(ReferenceData!$A$650),"",ReferenceData!$A$650),"")</x:f>
        <x:v xml:space="preserve">            BlackRock Future Health ETF</x:v>
      </x:c>
      <x:c r="B650" t="str">
        <x:f>IFERROR(IF(0=LEN(ReferenceData!$B$650),"",ReferenceData!$B$650),"")</x:f>
        <x:v>BMED US Equity</x:v>
      </x:c>
      <x:c r="C650" t="str">
        <x:f>IFERROR(IF(0=LEN(ReferenceData!$C$650),"",ReferenceData!$C$650),"")</x:f>
        <x:v/>
      </x:c>
      <x:c r="D650" t="str">
        <x:f>IFERROR(IF(0=LEN(ReferenceData!$D$650),"",ReferenceData!$D$650),"")</x:f>
        <x:v/>
      </x:c>
      <x:c r="E650" t="str">
        <x:f>IFERROR(IF(0=LEN(ReferenceData!$E$650),"",ReferenceData!$E$650),"")</x:f>
        <x:v>Expression</x:v>
      </x:c>
      <x:c r="F650">
        <x:f ca="1">IFERROR(IF(0=LEN(ReferenceData!$F$650),"",ReferenceData!$F$650),"")</x:f>
        <x:v>0</x:v>
      </x:c>
      <x:c r="G650">
        <x:f ca="1">IFERROR(IF(0=LEN(ReferenceData!$G$650),"",ReferenceData!$G$650),"")</x:f>
        <x:v>0</x:v>
      </x:c>
      <x:c r="H650">
        <x:f ca="1">IFERROR(IF(0=LEN(ReferenceData!$H$650),"",ReferenceData!$H$650),"")</x:f>
        <x:v>0</x:v>
      </x:c>
      <x:c r="I650">
        <x:f ca="1">IFERROR(IF(0=LEN(ReferenceData!$I$650),"",ReferenceData!$I$650),"")</x:f>
        <x:v>-1.909144</x:v>
      </x:c>
      <x:c r="J650">
        <x:f ca="1">IFERROR(IF(0=LEN(ReferenceData!$J$650),"",ReferenceData!$J$650),"")</x:f>
        <x:v>0</x:v>
      </x:c>
      <x:c r="K650">
        <x:f ca="1">IFERROR(IF(0=LEN(ReferenceData!$K$650),"",ReferenceData!$K$650),"")</x:f>
        <x:v>0</x:v>
      </x:c>
      <x:c r="L650">
        <x:f ca="1">IFERROR(IF(0=LEN(ReferenceData!$L$650),"",ReferenceData!$L$650),"")</x:f>
        <x:v>0</x:v>
      </x:c>
      <x:c r="M650">
        <x:f ca="1">IFERROR(IF(0=LEN(ReferenceData!$M$650),"",ReferenceData!$M$650),"")</x:f>
        <x:v>0</x:v>
      </x:c>
      <x:c r="N650">
        <x:f ca="1">IFERROR(IF(0=LEN(ReferenceData!$N$650),"",ReferenceData!$N$650),"")</x:f>
        <x:v>0</x:v>
      </x:c>
      <x:c r="O650">
        <x:f ca="1">IFERROR(IF(0=LEN(ReferenceData!$O$650),"",ReferenceData!$O$650),"")</x:f>
        <x:v>0</x:v>
      </x:c>
      <x:c r="P650">
        <x:f ca="1">IFERROR(IF(0=LEN(ReferenceData!$P$650),"",ReferenceData!$P$650),"")</x:f>
        <x:v>0</x:v>
      </x:c>
      <x:c r="Q650">
        <x:f ca="1">IFERROR(IF(0=LEN(ReferenceData!$Q$650),"",ReferenceData!$Q$650),"")</x:f>
        <x:v>0</x:v>
      </x:c>
      <x:c r="R650">
        <x:f ca="1">IFERROR(IF(0=LEN(ReferenceData!$R$650),"",ReferenceData!$R$650),"")</x:f>
        <x:v>0</x:v>
      </x:c>
      <x:c r="S650">
        <x:f ca="1">IFERROR(IF(0=LEN(ReferenceData!$S$650),"",ReferenceData!$S$650),"")</x:f>
        <x:v>-0.85413600000000001</x:v>
      </x:c>
    </x:row>
    <x:row r="651" spans="1:19" x14ac:dyDescent="0.25">
      <x:c r="A651" t="str">
        <x:f>IFERROR(IF(0=LEN(ReferenceData!$A$651),"",ReferenceData!$A$651),"")</x:f>
        <x:v xml:space="preserve">            Indexiq Etf Trust-IQ Healthy H</x:v>
      </x:c>
      <x:c r="B651" t="str">
        <x:f>IFERROR(IF(0=LEN(ReferenceData!$B$651),"",ReferenceData!$B$651),"")</x:f>
        <x:v>HART US Equity</x:v>
      </x:c>
      <x:c r="C651" t="str">
        <x:f>IFERROR(IF(0=LEN(ReferenceData!$C$651),"",ReferenceData!$C$651),"")</x:f>
        <x:v/>
      </x:c>
      <x:c r="D651" t="str">
        <x:f>IFERROR(IF(0=LEN(ReferenceData!$D$651),"",ReferenceData!$D$651),"")</x:f>
        <x:v/>
      </x:c>
      <x:c r="E651" t="str">
        <x:f>IFERROR(IF(0=LEN(ReferenceData!$E$651),"",ReferenceData!$E$651),"")</x:f>
        <x:v>Expression</x:v>
      </x:c>
      <x:c r="F651">
        <x:f ca="1">IFERROR(IF(0=LEN(ReferenceData!$F$651),"",ReferenceData!$F$651),"")</x:f>
        <x:v>0</x:v>
      </x:c>
      <x:c r="G651">
        <x:f ca="1">IFERROR(IF(0=LEN(ReferenceData!$G$651),"",ReferenceData!$G$651),"")</x:f>
        <x:v>0</x:v>
      </x:c>
      <x:c r="H651">
        <x:f ca="1">IFERROR(IF(0=LEN(ReferenceData!$H$651),"",ReferenceData!$H$651),"")</x:f>
        <x:v>0</x:v>
      </x:c>
      <x:c r="I651">
        <x:f ca="1">IFERROR(IF(0=LEN(ReferenceData!$I$651),"",ReferenceData!$I$651),"")</x:f>
        <x:v>0</x:v>
      </x:c>
      <x:c r="J651">
        <x:f ca="1">IFERROR(IF(0=LEN(ReferenceData!$J$651),"",ReferenceData!$J$651),"")</x:f>
        <x:v>0</x:v>
      </x:c>
      <x:c r="K651">
        <x:f ca="1">IFERROR(IF(0=LEN(ReferenceData!$K$651),"",ReferenceData!$K$651),"")</x:f>
        <x:v>0</x:v>
      </x:c>
      <x:c r="L651">
        <x:f ca="1">IFERROR(IF(0=LEN(ReferenceData!$L$651),"",ReferenceData!$L$651),"")</x:f>
        <x:v>0</x:v>
      </x:c>
      <x:c r="M651">
        <x:f ca="1">IFERROR(IF(0=LEN(ReferenceData!$M$651),"",ReferenceData!$M$651),"")</x:f>
        <x:v>0</x:v>
      </x:c>
      <x:c r="N651">
        <x:f ca="1">IFERROR(IF(0=LEN(ReferenceData!$N$651),"",ReferenceData!$N$651),"")</x:f>
        <x:v>0</x:v>
      </x:c>
      <x:c r="O651">
        <x:f ca="1">IFERROR(IF(0=LEN(ReferenceData!$O$651),"",ReferenceData!$O$651),"")</x:f>
        <x:v>0</x:v>
      </x:c>
      <x:c r="P651">
        <x:f ca="1">IFERROR(IF(0=LEN(ReferenceData!$P$651),"",ReferenceData!$P$651),"")</x:f>
        <x:v>0</x:v>
      </x:c>
      <x:c r="Q651">
        <x:f ca="1">IFERROR(IF(0=LEN(ReferenceData!$Q$651),"",ReferenceData!$Q$651),"")</x:f>
        <x:v>0</x:v>
      </x:c>
      <x:c r="R651">
        <x:f ca="1">IFERROR(IF(0=LEN(ReferenceData!$R$651),"",ReferenceData!$R$651),"")</x:f>
        <x:v>0</x:v>
      </x:c>
      <x:c r="S651">
        <x:f ca="1">IFERROR(IF(0=LEN(ReferenceData!$S$651),"",ReferenceData!$S$651),"")</x:f>
        <x:v>0</x:v>
      </x:c>
    </x:row>
    <x:row r="652" spans="1:19" x14ac:dyDescent="0.25">
      <x:c r="A652" t="str">
        <x:f>IFERROR(IF(0=LEN(ReferenceData!$A$652),"",ReferenceData!$A$652),"")</x:f>
        <x:v xml:space="preserve">            Global X Aging Population ETF</x:v>
      </x:c>
      <x:c r="B652" t="str">
        <x:f>IFERROR(IF(0=LEN(ReferenceData!$B$652),"",ReferenceData!$B$652),"")</x:f>
        <x:v>AGNG US Equity</x:v>
      </x:c>
      <x:c r="C652" t="str">
        <x:f>IFERROR(IF(0=LEN(ReferenceData!$C$652),"",ReferenceData!$C$652),"")</x:f>
        <x:v/>
      </x:c>
      <x:c r="D652" t="str">
        <x:f>IFERROR(IF(0=LEN(ReferenceData!$D$652),"",ReferenceData!$D$652),"")</x:f>
        <x:v/>
      </x:c>
      <x:c r="E652" t="str">
        <x:f>IFERROR(IF(0=LEN(ReferenceData!$E$652),"",ReferenceData!$E$652),"")</x:f>
        <x:v>Expression</x:v>
      </x:c>
      <x:c r="F652">
        <x:f ca="1">IFERROR(IF(0=LEN(ReferenceData!$F$652),"",ReferenceData!$F$652),"")</x:f>
        <x:v>0</x:v>
      </x:c>
      <x:c r="G652">
        <x:f ca="1">IFERROR(IF(0=LEN(ReferenceData!$G$652),"",ReferenceData!$G$652),"")</x:f>
        <x:v>2.5489999999999999</x:v>
      </x:c>
      <x:c r="H652">
        <x:f ca="1">IFERROR(IF(0=LEN(ReferenceData!$H$652),"",ReferenceData!$H$652),"")</x:f>
        <x:v>-1.8988</x:v>
      </x:c>
      <x:c r="I652">
        <x:f ca="1">IFERROR(IF(0=LEN(ReferenceData!$I$652),"",ReferenceData!$I$652),"")</x:f>
        <x:v>9.8658000000000001</x:v>
      </x:c>
      <x:c r="J652">
        <x:f ca="1">IFERROR(IF(0=LEN(ReferenceData!$J$652),"",ReferenceData!$J$652),"")</x:f>
        <x:v>0</x:v>
      </x:c>
      <x:c r="K652">
        <x:f ca="1">IFERROR(IF(0=LEN(ReferenceData!$K$652),"",ReferenceData!$K$652),"")</x:f>
        <x:v>-3.3311999999999999</x:v>
      </x:c>
      <x:c r="L652">
        <x:f ca="1">IFERROR(IF(0=LEN(ReferenceData!$L$652),"",ReferenceData!$L$652),"")</x:f>
        <x:v>-15.398099999999999</x:v>
      </x:c>
      <x:c r="M652">
        <x:f ca="1">IFERROR(IF(0=LEN(ReferenceData!$M$652),"",ReferenceData!$M$652),"")</x:f>
        <x:v>-0.84179999999999999</x:v>
      </x:c>
      <x:c r="N652">
        <x:f ca="1">IFERROR(IF(0=LEN(ReferenceData!$N$652),"",ReferenceData!$N$652),"")</x:f>
        <x:v>-0.26119999999999999</x:v>
      </x:c>
      <x:c r="O652">
        <x:f ca="1">IFERROR(IF(0=LEN(ReferenceData!$O$652),"",ReferenceData!$O$652),"")</x:f>
        <x:v>0</x:v>
      </x:c>
      <x:c r="P652">
        <x:f ca="1">IFERROR(IF(0=LEN(ReferenceData!$P$652),"",ReferenceData!$P$652),"")</x:f>
        <x:v>20.765000000000001</x:v>
      </x:c>
      <x:c r="Q652">
        <x:f ca="1">IFERROR(IF(0=LEN(ReferenceData!$Q$652),"",ReferenceData!$Q$652),"")</x:f>
        <x:v>0</x:v>
      </x:c>
      <x:c r="R652">
        <x:f ca="1">IFERROR(IF(0=LEN(ReferenceData!$R$652),"",ReferenceData!$R$652),"")</x:f>
        <x:v>0</x:v>
      </x:c>
      <x:c r="S652">
        <x:f ca="1">IFERROR(IF(0=LEN(ReferenceData!$S$652),"",ReferenceData!$S$652),"")</x:f>
        <x:v>0</x:v>
      </x:c>
    </x:row>
    <x:row r="653" spans="1:19" x14ac:dyDescent="0.25">
      <x:c r="A653" t="str">
        <x:f>IFERROR(IF(0=LEN(ReferenceData!$A$653),"",ReferenceData!$A$653),"")</x:f>
        <x:v xml:space="preserve">            Hartford Longevity Economy ETF</x:v>
      </x:c>
      <x:c r="B653" t="str">
        <x:f>IFERROR(IF(0=LEN(ReferenceData!$B$653),"",ReferenceData!$B$653),"")</x:f>
        <x:v>HLGE US Equity</x:v>
      </x:c>
      <x:c r="C653" t="str">
        <x:f>IFERROR(IF(0=LEN(ReferenceData!$C$653),"",ReferenceData!$C$653),"")</x:f>
        <x:v/>
      </x:c>
      <x:c r="D653" t="str">
        <x:f>IFERROR(IF(0=LEN(ReferenceData!$D$653),"",ReferenceData!$D$653),"")</x:f>
        <x:v/>
      </x:c>
      <x:c r="E653" t="str">
        <x:f>IFERROR(IF(0=LEN(ReferenceData!$E$653),"",ReferenceData!$E$653),"")</x:f>
        <x:v>Expression</x:v>
      </x:c>
      <x:c r="F653">
        <x:f ca="1">IFERROR(IF(0=LEN(ReferenceData!$F$653),"",ReferenceData!$F$653),"")</x:f>
        <x:v>0</x:v>
      </x:c>
      <x:c r="G653">
        <x:f ca="1">IFERROR(IF(0=LEN(ReferenceData!$G$653),"",ReferenceData!$G$653),"")</x:f>
        <x:v>0</x:v>
      </x:c>
      <x:c r="H653">
        <x:f ca="1">IFERROR(IF(0=LEN(ReferenceData!$H$653),"",ReferenceData!$H$653),"")</x:f>
        <x:v>0</x:v>
      </x:c>
      <x:c r="I653">
        <x:f ca="1">IFERROR(IF(0=LEN(ReferenceData!$I$653),"",ReferenceData!$I$653),"")</x:f>
        <x:v>0</x:v>
      </x:c>
      <x:c r="J653">
        <x:f ca="1">IFERROR(IF(0=LEN(ReferenceData!$J$653),"",ReferenceData!$J$653),"")</x:f>
        <x:v>0</x:v>
      </x:c>
      <x:c r="K653">
        <x:f ca="1">IFERROR(IF(0=LEN(ReferenceData!$K$653),"",ReferenceData!$K$653),"")</x:f>
        <x:v>0</x:v>
      </x:c>
      <x:c r="L653">
        <x:f ca="1">IFERROR(IF(0=LEN(ReferenceData!$L$653),"",ReferenceData!$L$653),"")</x:f>
        <x:v>0</x:v>
      </x:c>
      <x:c r="M653">
        <x:f ca="1">IFERROR(IF(0=LEN(ReferenceData!$M$653),"",ReferenceData!$M$653),"")</x:f>
        <x:v>0</x:v>
      </x:c>
      <x:c r="N653">
        <x:f ca="1">IFERROR(IF(0=LEN(ReferenceData!$N$653),"",ReferenceData!$N$653),"")</x:f>
        <x:v>0</x:v>
      </x:c>
      <x:c r="O653">
        <x:f ca="1">IFERROR(IF(0=LEN(ReferenceData!$O$653),"",ReferenceData!$O$653),"")</x:f>
        <x:v>0</x:v>
      </x:c>
      <x:c r="P653">
        <x:f ca="1">IFERROR(IF(0=LEN(ReferenceData!$P$653),"",ReferenceData!$P$653),"")</x:f>
        <x:v>1.2126159999999999</x:v>
      </x:c>
      <x:c r="Q653">
        <x:f ca="1">IFERROR(IF(0=LEN(ReferenceData!$Q$653),"",ReferenceData!$Q$653),"")</x:f>
        <x:v>0</x:v>
      </x:c>
      <x:c r="R653">
        <x:f ca="1">IFERROR(IF(0=LEN(ReferenceData!$R$653),"",ReferenceData!$R$653),"")</x:f>
        <x:v>-15.401902</x:v>
      </x:c>
      <x:c r="S653">
        <x:f ca="1">IFERROR(IF(0=LEN(ReferenceData!$S$653),"",ReferenceData!$S$653),"")</x:f>
        <x:v>0</x:v>
      </x:c>
    </x:row>
    <x:row r="654" spans="1:19" x14ac:dyDescent="0.25">
      <x:c r="A654" t="str">
        <x:f>IFERROR(IF(0=LEN(ReferenceData!$A$654),"",ReferenceData!$A$654),"")</x:f>
        <x:v xml:space="preserve">            Global X China Biotech Innovat</x:v>
      </x:c>
      <x:c r="B654" t="str">
        <x:f>IFERROR(IF(0=LEN(ReferenceData!$B$654),"",ReferenceData!$B$654),"")</x:f>
        <x:v>CHB US Equity</x:v>
      </x:c>
      <x:c r="C654" t="str">
        <x:f>IFERROR(IF(0=LEN(ReferenceData!$C$654),"",ReferenceData!$C$654),"")</x:f>
        <x:v/>
      </x:c>
      <x:c r="D654" t="str">
        <x:f>IFERROR(IF(0=LEN(ReferenceData!$D$654),"",ReferenceData!$D$654),"")</x:f>
        <x:v/>
      </x:c>
      <x:c r="E654" t="str">
        <x:f>IFERROR(IF(0=LEN(ReferenceData!$E$654),"",ReferenceData!$E$654),"")</x:f>
        <x:v>Expression</x:v>
      </x:c>
      <x:c r="F654">
        <x:f ca="1">IFERROR(IF(0=LEN(ReferenceData!$F$654),"",ReferenceData!$F$654),"")</x:f>
        <x:v>0</x:v>
      </x:c>
      <x:c r="G654">
        <x:f ca="1">IFERROR(IF(0=LEN(ReferenceData!$G$654),"",ReferenceData!$G$654),"")</x:f>
        <x:v>0</x:v>
      </x:c>
      <x:c r="H654">
        <x:f ca="1">IFERROR(IF(0=LEN(ReferenceData!$H$654),"",ReferenceData!$H$654),"")</x:f>
        <x:v>0</x:v>
      </x:c>
      <x:c r="I654">
        <x:f ca="1">IFERROR(IF(0=LEN(ReferenceData!$I$654),"",ReferenceData!$I$654),"")</x:f>
        <x:v>0</x:v>
      </x:c>
      <x:c r="J654">
        <x:f ca="1">IFERROR(IF(0=LEN(ReferenceData!$J$654),"",ReferenceData!$J$654),"")</x:f>
        <x:v>0</x:v>
      </x:c>
      <x:c r="K654">
        <x:f ca="1">IFERROR(IF(0=LEN(ReferenceData!$K$654),"",ReferenceData!$K$654),"")</x:f>
        <x:v>0</x:v>
      </x:c>
      <x:c r="L654">
        <x:f ca="1">IFERROR(IF(0=LEN(ReferenceData!$L$654),"",ReferenceData!$L$654),"")</x:f>
        <x:v>0</x:v>
      </x:c>
      <x:c r="M654">
        <x:f ca="1">IFERROR(IF(0=LEN(ReferenceData!$M$654),"",ReferenceData!$M$654),"")</x:f>
        <x:v>0</x:v>
      </x:c>
      <x:c r="N654">
        <x:f ca="1">IFERROR(IF(0=LEN(ReferenceData!$N$654),"",ReferenceData!$N$654),"")</x:f>
        <x:v>0</x:v>
      </x:c>
      <x:c r="O654">
        <x:f ca="1">IFERROR(IF(0=LEN(ReferenceData!$O$654),"",ReferenceData!$O$654),"")</x:f>
        <x:v>0</x:v>
      </x:c>
      <x:c r="P654">
        <x:f ca="1">IFERROR(IF(0=LEN(ReferenceData!$P$654),"",ReferenceData!$P$654),"")</x:f>
        <x:v>0</x:v>
      </x:c>
      <x:c r="Q654">
        <x:f ca="1">IFERROR(IF(0=LEN(ReferenceData!$Q$654),"",ReferenceData!$Q$654),"")</x:f>
        <x:v>0</x:v>
      </x:c>
      <x:c r="R654">
        <x:f ca="1">IFERROR(IF(0=LEN(ReferenceData!$R$654),"",ReferenceData!$R$654),"")</x:f>
        <x:v>0</x:v>
      </x:c>
      <x:c r="S654">
        <x:f ca="1">IFERROR(IF(0=LEN(ReferenceData!$S$654),"",ReferenceData!$S$654),"")</x:f>
        <x:v>0</x:v>
      </x:c>
    </x:row>
    <x:row r="655" spans="1:19" x14ac:dyDescent="0.25">
      <x:c r="A655" t="str">
        <x:f>IFERROR(IF(0=LEN(ReferenceData!$A$655),"",ReferenceData!$A$655),"")</x:f>
        <x:v xml:space="preserve">            First Trust Indxx Medical Devi</x:v>
      </x:c>
      <x:c r="B655" t="str">
        <x:f>IFERROR(IF(0=LEN(ReferenceData!$B$655),"",ReferenceData!$B$655),"")</x:f>
        <x:v>MDEV US Equity</x:v>
      </x:c>
      <x:c r="C655" t="str">
        <x:f>IFERROR(IF(0=LEN(ReferenceData!$C$655),"",ReferenceData!$C$655),"")</x:f>
        <x:v/>
      </x:c>
      <x:c r="D655" t="str">
        <x:f>IFERROR(IF(0=LEN(ReferenceData!$D$655),"",ReferenceData!$D$655),"")</x:f>
        <x:v/>
      </x:c>
      <x:c r="E655" t="str">
        <x:f>IFERROR(IF(0=LEN(ReferenceData!$E$655),"",ReferenceData!$E$655),"")</x:f>
        <x:v>Expression</x:v>
      </x:c>
      <x:c r="F655">
        <x:f ca="1">IFERROR(IF(0=LEN(ReferenceData!$F$655),"",ReferenceData!$F$655),"")</x:f>
        <x:v>0.85143599999999997</x:v>
      </x:c>
      <x:c r="G655">
        <x:f ca="1">IFERROR(IF(0=LEN(ReferenceData!$G$655),"",ReferenceData!$G$655),"")</x:f>
        <x:v>0</x:v>
      </x:c>
      <x:c r="H655">
        <x:f ca="1">IFERROR(IF(0=LEN(ReferenceData!$H$655),"",ReferenceData!$H$655),"")</x:f>
        <x:v>0</x:v>
      </x:c>
      <x:c r="I655">
        <x:f ca="1">IFERROR(IF(0=LEN(ReferenceData!$I$655),"",ReferenceData!$I$655),"")</x:f>
        <x:v>0</x:v>
      </x:c>
      <x:c r="J655">
        <x:f ca="1">IFERROR(IF(0=LEN(ReferenceData!$J$655),"",ReferenceData!$J$655),"")</x:f>
        <x:v>0</x:v>
      </x:c>
      <x:c r="K655">
        <x:f ca="1">IFERROR(IF(0=LEN(ReferenceData!$K$655),"",ReferenceData!$K$655),"")</x:f>
        <x:v>0</x:v>
      </x:c>
      <x:c r="L655">
        <x:f ca="1">IFERROR(IF(0=LEN(ReferenceData!$L$655),"",ReferenceData!$L$655),"")</x:f>
        <x:v>0</x:v>
      </x:c>
      <x:c r="M655">
        <x:f ca="1">IFERROR(IF(0=LEN(ReferenceData!$M$655),"",ReferenceData!$M$655),"")</x:f>
        <x:v>0</x:v>
      </x:c>
      <x:c r="N655">
        <x:f ca="1">IFERROR(IF(0=LEN(ReferenceData!$N$655),"",ReferenceData!$N$655),"")</x:f>
        <x:v>0</x:v>
      </x:c>
      <x:c r="O655">
        <x:f ca="1">IFERROR(IF(0=LEN(ReferenceData!$O$655),"",ReferenceData!$O$655),"")</x:f>
        <x:v>0</x:v>
      </x:c>
      <x:c r="P655">
        <x:f ca="1">IFERROR(IF(0=LEN(ReferenceData!$P$655),"",ReferenceData!$P$655),"")</x:f>
        <x:v>0</x:v>
      </x:c>
      <x:c r="Q655">
        <x:f ca="1">IFERROR(IF(0=LEN(ReferenceData!$Q$655),"",ReferenceData!$Q$655),"")</x:f>
        <x:v>0</x:v>
      </x:c>
      <x:c r="R655">
        <x:f ca="1">IFERROR(IF(0=LEN(ReferenceData!$R$655),"",ReferenceData!$R$655),"")</x:f>
        <x:v>0</x:v>
      </x:c>
      <x:c r="S655">
        <x:f ca="1">IFERROR(IF(0=LEN(ReferenceData!$S$655),"",ReferenceData!$S$655),"")</x:f>
        <x:v>0</x:v>
      </x:c>
    </x:row>
    <x:row r="656" spans="1:19" x14ac:dyDescent="0.25">
      <x:c r="A656" t="str">
        <x:f>IFERROR(IF(0=LEN(ReferenceData!$A$656),"",ReferenceData!$A$656),"")</x:f>
        <x:v xml:space="preserve">            Wisdomtree BioRevolution Fund</x:v>
      </x:c>
      <x:c r="B656" t="str">
        <x:f>IFERROR(IF(0=LEN(ReferenceData!$B$656),"",ReferenceData!$B$656),"")</x:f>
        <x:v>WDNA US Equity</x:v>
      </x:c>
      <x:c r="C656" t="str">
        <x:f>IFERROR(IF(0=LEN(ReferenceData!$C$656),"",ReferenceData!$C$656),"")</x:f>
        <x:v/>
      </x:c>
      <x:c r="D656" t="str">
        <x:f>IFERROR(IF(0=LEN(ReferenceData!$D$656),"",ReferenceData!$D$656),"")</x:f>
        <x:v/>
      </x:c>
      <x:c r="E656" t="str">
        <x:f>IFERROR(IF(0=LEN(ReferenceData!$E$656),"",ReferenceData!$E$656),"")</x:f>
        <x:v>Expression</x:v>
      </x:c>
      <x:c r="F656">
        <x:f ca="1">IFERROR(IF(0=LEN(ReferenceData!$F$656),"",ReferenceData!$F$656),"")</x:f>
        <x:v>0</x:v>
      </x:c>
      <x:c r="G656">
        <x:f ca="1">IFERROR(IF(0=LEN(ReferenceData!$G$656),"",ReferenceData!$G$656),"")</x:f>
        <x:v>0</x:v>
      </x:c>
      <x:c r="H656">
        <x:f ca="1">IFERROR(IF(0=LEN(ReferenceData!$H$656),"",ReferenceData!$H$656),"")</x:f>
        <x:v>0</x:v>
      </x:c>
      <x:c r="I656">
        <x:f ca="1">IFERROR(IF(0=LEN(ReferenceData!$I$656),"",ReferenceData!$I$656),"")</x:f>
        <x:v>0</x:v>
      </x:c>
      <x:c r="J656">
        <x:f ca="1">IFERROR(IF(0=LEN(ReferenceData!$J$656),"",ReferenceData!$J$656),"")</x:f>
        <x:v>0</x:v>
      </x:c>
      <x:c r="K656">
        <x:f ca="1">IFERROR(IF(0=LEN(ReferenceData!$K$656),"",ReferenceData!$K$656),"")</x:f>
        <x:v>0</x:v>
      </x:c>
      <x:c r="L656">
        <x:f ca="1">IFERROR(IF(0=LEN(ReferenceData!$L$656),"",ReferenceData!$L$656),"")</x:f>
        <x:v>0</x:v>
      </x:c>
      <x:c r="M656">
        <x:f ca="1">IFERROR(IF(0=LEN(ReferenceData!$M$656),"",ReferenceData!$M$656),"")</x:f>
        <x:v>0</x:v>
      </x:c>
      <x:c r="N656">
        <x:f ca="1">IFERROR(IF(0=LEN(ReferenceData!$N$656),"",ReferenceData!$N$656),"")</x:f>
        <x:v>0</x:v>
      </x:c>
      <x:c r="O656">
        <x:f ca="1">IFERROR(IF(0=LEN(ReferenceData!$O$656),"",ReferenceData!$O$656),"")</x:f>
        <x:v>0</x:v>
      </x:c>
      <x:c r="P656">
        <x:f ca="1">IFERROR(IF(0=LEN(ReferenceData!$P$656),"",ReferenceData!$P$656),"")</x:f>
        <x:v>-1.4646520000000001</x:v>
      </x:c>
      <x:c r="Q656">
        <x:f ca="1">IFERROR(IF(0=LEN(ReferenceData!$Q$656),"",ReferenceData!$Q$656),"")</x:f>
        <x:v>0</x:v>
      </x:c>
      <x:c r="R656">
        <x:f ca="1">IFERROR(IF(0=LEN(ReferenceData!$R$656),"",ReferenceData!$R$656),"")</x:f>
        <x:v>-0.53920900000000005</x:v>
      </x:c>
      <x:c r="S656">
        <x:f ca="1">IFERROR(IF(0=LEN(ReferenceData!$S$656),"",ReferenceData!$S$656),"")</x:f>
        <x:v>0</x:v>
      </x:c>
    </x:row>
    <x:row r="657" spans="1:19" x14ac:dyDescent="0.25">
      <x:c r="A657" t="str">
        <x:f>IFERROR(IF(0=LEN(ReferenceData!$A$657),"",ReferenceData!$A$657),"")</x:f>
        <x:v xml:space="preserve">            Apex Healthcare ETF</x:v>
      </x:c>
      <x:c r="B657" t="str">
        <x:f>IFERROR(IF(0=LEN(ReferenceData!$B$657),"",ReferenceData!$B$657),"")</x:f>
        <x:v>APXH US Equity</x:v>
      </x:c>
      <x:c r="C657" t="str">
        <x:f>IFERROR(IF(0=LEN(ReferenceData!$C$657),"",ReferenceData!$C$657),"")</x:f>
        <x:v/>
      </x:c>
      <x:c r="D657" t="str">
        <x:f>IFERROR(IF(0=LEN(ReferenceData!$D$657),"",ReferenceData!$D$657),"")</x:f>
        <x:v/>
      </x:c>
      <x:c r="E657" t="str">
        <x:f>IFERROR(IF(0=LEN(ReferenceData!$E$657),"",ReferenceData!$E$657),"")</x:f>
        <x:v>Expression</x:v>
      </x:c>
      <x:c r="F657" t="str">
        <x:f ca="1">IFERROR(IF(0=LEN(ReferenceData!$F$657),"",ReferenceData!$F$657),"")</x:f>
        <x:v/>
      </x:c>
      <x:c r="G657" t="str">
        <x:f ca="1">IFERROR(IF(0=LEN(ReferenceData!$G$657),"",ReferenceData!$G$657),"")</x:f>
        <x:v/>
      </x:c>
      <x:c r="H657" t="str">
        <x:f ca="1">IFERROR(IF(0=LEN(ReferenceData!$H$657),"",ReferenceData!$H$657),"")</x:f>
        <x:v/>
      </x:c>
      <x:c r="I657" t="str">
        <x:f ca="1">IFERROR(IF(0=LEN(ReferenceData!$I$657),"",ReferenceData!$I$657),"")</x:f>
        <x:v/>
      </x:c>
      <x:c r="J657" t="str">
        <x:f ca="1">IFERROR(IF(0=LEN(ReferenceData!$J$657),"",ReferenceData!$J$657),"")</x:f>
        <x:v/>
      </x:c>
      <x:c r="K657" t="str">
        <x:f ca="1">IFERROR(IF(0=LEN(ReferenceData!$K$657),"",ReferenceData!$K$657),"")</x:f>
        <x:v/>
      </x:c>
      <x:c r="L657" t="str">
        <x:f ca="1">IFERROR(IF(0=LEN(ReferenceData!$L$657),"",ReferenceData!$L$657),"")</x:f>
        <x:v/>
      </x:c>
      <x:c r="M657" t="str">
        <x:f ca="1">IFERROR(IF(0=LEN(ReferenceData!$M$657),"",ReferenceData!$M$657),"")</x:f>
        <x:v/>
      </x:c>
      <x:c r="N657" t="str">
        <x:f ca="1">IFERROR(IF(0=LEN(ReferenceData!$N$657),"",ReferenceData!$N$657),"")</x:f>
        <x:v/>
      </x:c>
      <x:c r="O657" t="str">
        <x:f ca="1">IFERROR(IF(0=LEN(ReferenceData!$O$657),"",ReferenceData!$O$657),"")</x:f>
        <x:v/>
      </x:c>
      <x:c r="P657">
        <x:f ca="1">IFERROR(IF(0=LEN(ReferenceData!$P$657),"",ReferenceData!$P$657),"")</x:f>
        <x:v>0</x:v>
      </x:c>
      <x:c r="Q657">
        <x:f ca="1">IFERROR(IF(0=LEN(ReferenceData!$Q$657),"",ReferenceData!$Q$657),"")</x:f>
        <x:v>0</x:v>
      </x:c>
      <x:c r="R657">
        <x:f ca="1">IFERROR(IF(0=LEN(ReferenceData!$R$657),"",ReferenceData!$R$657),"")</x:f>
        <x:v>-2.8534999999999999</x:v>
      </x:c>
      <x:c r="S657">
        <x:f ca="1">IFERROR(IF(0=LEN(ReferenceData!$S$657),"",ReferenceData!$S$657),"")</x:f>
        <x:v>0</x:v>
      </x:c>
    </x:row>
    <x:row r="658" spans="1:19" x14ac:dyDescent="0.25">
      <x:c r="A658" t="str">
        <x:f>IFERROR(IF(0=LEN(ReferenceData!$A$658),"",ReferenceData!$A$658),"")</x:f>
        <x:v xml:space="preserve">            Goldman Sachs Future Health Ca</x:v>
      </x:c>
      <x:c r="B658" t="str">
        <x:f>IFERROR(IF(0=LEN(ReferenceData!$B$658),"",ReferenceData!$B$658),"")</x:f>
        <x:v>GDOC US Equity</x:v>
      </x:c>
      <x:c r="C658" t="str">
        <x:f>IFERROR(IF(0=LEN(ReferenceData!$C$658),"",ReferenceData!$C$658),"")</x:f>
        <x:v/>
      </x:c>
      <x:c r="D658" t="str">
        <x:f>IFERROR(IF(0=LEN(ReferenceData!$D$658),"",ReferenceData!$D$658),"")</x:f>
        <x:v/>
      </x:c>
      <x:c r="E658" t="str">
        <x:f>IFERROR(IF(0=LEN(ReferenceData!$E$658),"",ReferenceData!$E$658),"")</x:f>
        <x:v>Expression</x:v>
      </x:c>
      <x:c r="F658">
        <x:f ca="1">IFERROR(IF(0=LEN(ReferenceData!$F$658),"",ReferenceData!$F$658),"")</x:f>
        <x:v>-74.123599999999996</x:v>
      </x:c>
      <x:c r="G658">
        <x:f ca="1">IFERROR(IF(0=LEN(ReferenceData!$G$658),"",ReferenceData!$G$658),"")</x:f>
        <x:v>-2.1896080000000002</x:v>
      </x:c>
      <x:c r="H658">
        <x:f ca="1">IFERROR(IF(0=LEN(ReferenceData!$H$658),"",ReferenceData!$H$658),"")</x:f>
        <x:v>0</x:v>
      </x:c>
      <x:c r="I658">
        <x:f ca="1">IFERROR(IF(0=LEN(ReferenceData!$I$658),"",ReferenceData!$I$658),"")</x:f>
        <x:v>0</x:v>
      </x:c>
      <x:c r="J658">
        <x:f ca="1">IFERROR(IF(0=LEN(ReferenceData!$J$658),"",ReferenceData!$J$658),"")</x:f>
        <x:v>1.6645289999999999</x:v>
      </x:c>
      <x:c r="K658">
        <x:f ca="1">IFERROR(IF(0=LEN(ReferenceData!$K$658),"",ReferenceData!$K$658),"")</x:f>
        <x:v>2.501341</x:v>
      </x:c>
      <x:c r="L658">
        <x:f ca="1">IFERROR(IF(0=LEN(ReferenceData!$L$658),"",ReferenceData!$L$658),"")</x:f>
        <x:v>0</x:v>
      </x:c>
      <x:c r="M658">
        <x:f ca="1">IFERROR(IF(0=LEN(ReferenceData!$M$658),"",ReferenceData!$M$658),"")</x:f>
        <x:v>0</x:v>
      </x:c>
      <x:c r="N658">
        <x:f ca="1">IFERROR(IF(0=LEN(ReferenceData!$N$658),"",ReferenceData!$N$658),"")</x:f>
        <x:v>0</x:v>
      </x:c>
      <x:c r="O658">
        <x:f ca="1">IFERROR(IF(0=LEN(ReferenceData!$O$658),"",ReferenceData!$O$658),"")</x:f>
        <x:v>0</x:v>
      </x:c>
      <x:c r="P658">
        <x:f ca="1">IFERROR(IF(0=LEN(ReferenceData!$P$658),"",ReferenceData!$P$658),"")</x:f>
        <x:v>1.5954090000000001</x:v>
      </x:c>
      <x:c r="Q658">
        <x:f ca="1">IFERROR(IF(0=LEN(ReferenceData!$Q$658),"",ReferenceData!$Q$658),"")</x:f>
        <x:v>-3.8976489999999999</x:v>
      </x:c>
      <x:c r="R658">
        <x:f ca="1">IFERROR(IF(0=LEN(ReferenceData!$R$658),"",ReferenceData!$R$658),"")</x:f>
        <x:v>0</x:v>
      </x:c>
      <x:c r="S658">
        <x:f ca="1">IFERROR(IF(0=LEN(ReferenceData!$S$658),"",ReferenceData!$S$658),"")</x:f>
        <x:v>0</x:v>
      </x:c>
    </x:row>
    <x:row r="659" spans="1:19" x14ac:dyDescent="0.25">
      <x:c r="A659" t="str">
        <x:f>IFERROR(IF(0=LEN(ReferenceData!$A$659),"",ReferenceData!$A$659),"")</x:f>
        <x:v xml:space="preserve">            Simplify Health Care ETF</x:v>
      </x:c>
      <x:c r="B659" t="str">
        <x:f>IFERROR(IF(0=LEN(ReferenceData!$B$659),"",ReferenceData!$B$659),"")</x:f>
        <x:v>PINK US Equity</x:v>
      </x:c>
      <x:c r="C659" t="str">
        <x:f>IFERROR(IF(0=LEN(ReferenceData!$C$659),"",ReferenceData!$C$659),"")</x:f>
        <x:v/>
      </x:c>
      <x:c r="D659" t="str">
        <x:f>IFERROR(IF(0=LEN(ReferenceData!$D$659),"",ReferenceData!$D$659),"")</x:f>
        <x:v/>
      </x:c>
      <x:c r="E659" t="str">
        <x:f>IFERROR(IF(0=LEN(ReferenceData!$E$659),"",ReferenceData!$E$659),"")</x:f>
        <x:v>Expression</x:v>
      </x:c>
      <x:c r="F659">
        <x:f ca="1">IFERROR(IF(0=LEN(ReferenceData!$F$659),"",ReferenceData!$F$659),"")</x:f>
        <x:v>-0.61008899999999999</x:v>
      </x:c>
      <x:c r="G659">
        <x:f ca="1">IFERROR(IF(0=LEN(ReferenceData!$G$659),"",ReferenceData!$G$659),"")</x:f>
        <x:v>-1.8671180000000001</x:v>
      </x:c>
      <x:c r="H659">
        <x:f ca="1">IFERROR(IF(0=LEN(ReferenceData!$H$659),"",ReferenceData!$H$659),"")</x:f>
        <x:v>-17.906040999999998</x:v>
      </x:c>
      <x:c r="I659">
        <x:f ca="1">IFERROR(IF(0=LEN(ReferenceData!$I$659),"",ReferenceData!$I$659),"")</x:f>
        <x:v>5.925878</x:v>
      </x:c>
      <x:c r="J659">
        <x:f ca="1">IFERROR(IF(0=LEN(ReferenceData!$J$659),"",ReferenceData!$J$659),"")</x:f>
        <x:v>11.735010000000001</x:v>
      </x:c>
      <x:c r="K659">
        <x:f ca="1">IFERROR(IF(0=LEN(ReferenceData!$K$659),"",ReferenceData!$K$659),"")</x:f>
        <x:v>-2.422139</x:v>
      </x:c>
      <x:c r="L659">
        <x:f ca="1">IFERROR(IF(0=LEN(ReferenceData!$L$659),"",ReferenceData!$L$659),"")</x:f>
        <x:v>9.2388370000000002</x:v>
      </x:c>
      <x:c r="M659">
        <x:f ca="1">IFERROR(IF(0=LEN(ReferenceData!$M$659),"",ReferenceData!$M$659),"")</x:f>
        <x:v>7.7723240000000002</x:v>
      </x:c>
      <x:c r="N659">
        <x:f ca="1">IFERROR(IF(0=LEN(ReferenceData!$N$659),"",ReferenceData!$N$659),"")</x:f>
        <x:v>-0.61302800000000002</x:v>
      </x:c>
      <x:c r="O659">
        <x:f ca="1">IFERROR(IF(0=LEN(ReferenceData!$O$659),"",ReferenceData!$O$659),"")</x:f>
        <x:v>-9.0992840000000008</x:v>
      </x:c>
      <x:c r="P659">
        <x:f ca="1">IFERROR(IF(0=LEN(ReferenceData!$P$659),"",ReferenceData!$P$659),"")</x:f>
        <x:v>-3.1692200000000001</x:v>
      </x:c>
      <x:c r="Q659">
        <x:f ca="1">IFERROR(IF(0=LEN(ReferenceData!$Q$659),"",ReferenceData!$Q$659),"")</x:f>
        <x:v>7.3810159999999998</x:v>
      </x:c>
      <x:c r="R659">
        <x:f ca="1">IFERROR(IF(0=LEN(ReferenceData!$R$659),"",ReferenceData!$R$659),"")</x:f>
        <x:v>5.2595890000000001</x:v>
      </x:c>
      <x:c r="S659">
        <x:f ca="1">IFERROR(IF(0=LEN(ReferenceData!$S$659),"",ReferenceData!$S$659),"")</x:f>
        <x:v>-7.4367919999999996</x:v>
      </x:c>
    </x:row>
    <x:row r="660" spans="1:19" x14ac:dyDescent="0.25">
      <x:c r="A660" t="str">
        <x:f>IFERROR(IF(0=LEN(ReferenceData!$A$660),"",ReferenceData!$A$660),"")</x:f>
        <x:v xml:space="preserve">            Direxion mRNA ETF</x:v>
      </x:c>
      <x:c r="B660" t="str">
        <x:f>IFERROR(IF(0=LEN(ReferenceData!$B$660),"",ReferenceData!$B$660),"")</x:f>
        <x:v>MSGR US Equity</x:v>
      </x:c>
      <x:c r="C660" t="str">
        <x:f>IFERROR(IF(0=LEN(ReferenceData!$C$660),"",ReferenceData!$C$660),"")</x:f>
        <x:v/>
      </x:c>
      <x:c r="D660" t="str">
        <x:f>IFERROR(IF(0=LEN(ReferenceData!$D$660),"",ReferenceData!$D$660),"")</x:f>
        <x:v/>
      </x:c>
      <x:c r="E660" t="str">
        <x:f>IFERROR(IF(0=LEN(ReferenceData!$E$660),"",ReferenceData!$E$660),"")</x:f>
        <x:v>Expression</x:v>
      </x:c>
      <x:c r="F660" t="str">
        <x:f ca="1">IFERROR(IF(0=LEN(ReferenceData!$F$660),"",ReferenceData!$F$660),"")</x:f>
        <x:v/>
      </x:c>
      <x:c r="G660" t="str">
        <x:f ca="1">IFERROR(IF(0=LEN(ReferenceData!$G$660),"",ReferenceData!$G$660),"")</x:f>
        <x:v/>
      </x:c>
      <x:c r="H660" t="str">
        <x:f ca="1">IFERROR(IF(0=LEN(ReferenceData!$H$660),"",ReferenceData!$H$660),"")</x:f>
        <x:v/>
      </x:c>
      <x:c r="I660" t="str">
        <x:f ca="1">IFERROR(IF(0=LEN(ReferenceData!$I$660),"",ReferenceData!$I$660),"")</x:f>
        <x:v/>
      </x:c>
      <x:c r="J660" t="str">
        <x:f ca="1">IFERROR(IF(0=LEN(ReferenceData!$J$660),"",ReferenceData!$J$660),"")</x:f>
        <x:v/>
      </x:c>
      <x:c r="K660" t="str">
        <x:f ca="1">IFERROR(IF(0=LEN(ReferenceData!$K$660),"",ReferenceData!$K$660),"")</x:f>
        <x:v/>
      </x:c>
      <x:c r="L660" t="str">
        <x:f ca="1">IFERROR(IF(0=LEN(ReferenceData!$L$660),"",ReferenceData!$L$660),"")</x:f>
        <x:v/>
      </x:c>
      <x:c r="M660">
        <x:f ca="1">IFERROR(IF(0=LEN(ReferenceData!$M$660),"",ReferenceData!$M$660),"")</x:f>
        <x:v>0</x:v>
      </x:c>
      <x:c r="N660">
        <x:f ca="1">IFERROR(IF(0=LEN(ReferenceData!$N$660),"",ReferenceData!$N$660),"")</x:f>
        <x:v>0.33906799999999998</x:v>
      </x:c>
      <x:c r="O660">
        <x:f ca="1">IFERROR(IF(0=LEN(ReferenceData!$O$660),"",ReferenceData!$O$660),"")</x:f>
        <x:v>-1.140055</x:v>
      </x:c>
      <x:c r="P660">
        <x:f ca="1">IFERROR(IF(0=LEN(ReferenceData!$P$660),"",ReferenceData!$P$660),"")</x:f>
        <x:v>-0.386291</x:v>
      </x:c>
      <x:c r="Q660">
        <x:f ca="1">IFERROR(IF(0=LEN(ReferenceData!$Q$660),"",ReferenceData!$Q$660),"")</x:f>
        <x:v>1.0945579999999999</x:v>
      </x:c>
      <x:c r="R660">
        <x:f ca="1">IFERROR(IF(0=LEN(ReferenceData!$R$660),"",ReferenceData!$R$660),"")</x:f>
        <x:v>-0.35719899999999999</x:v>
      </x:c>
      <x:c r="S660">
        <x:f ca="1">IFERROR(IF(0=LEN(ReferenceData!$S$660),"",ReferenceData!$S$660),"")</x:f>
        <x:v>0</x:v>
      </x:c>
    </x:row>
    <x:row r="661" spans="1:19" x14ac:dyDescent="0.25">
      <x:c r="A661" t="str">
        <x:f>IFERROR(IF(0=LEN(ReferenceData!$A$661),"",ReferenceData!$A$661),"")</x:f>
        <x:v xml:space="preserve">            Kelly CRISPR &amp; Gene Editing Te</x:v>
      </x:c>
      <x:c r="B661" t="str">
        <x:f>IFERROR(IF(0=LEN(ReferenceData!$B$661),"",ReferenceData!$B$661),"")</x:f>
        <x:v>XDNA US Equity</x:v>
      </x:c>
      <x:c r="C661" t="str">
        <x:f>IFERROR(IF(0=LEN(ReferenceData!$C$661),"",ReferenceData!$C$661),"")</x:f>
        <x:v/>
      </x:c>
      <x:c r="D661" t="str">
        <x:f>IFERROR(IF(0=LEN(ReferenceData!$D$661),"",ReferenceData!$D$661),"")</x:f>
        <x:v/>
      </x:c>
      <x:c r="E661" t="str">
        <x:f>IFERROR(IF(0=LEN(ReferenceData!$E$661),"",ReferenceData!$E$661),"")</x:f>
        <x:v>Expression</x:v>
      </x:c>
      <x:c r="F661">
        <x:f ca="1">IFERROR(IF(0=LEN(ReferenceData!$F$661),"",ReferenceData!$F$661),"")</x:f>
        <x:v>0.34876699999999999</x:v>
      </x:c>
      <x:c r="G661">
        <x:f ca="1">IFERROR(IF(0=LEN(ReferenceData!$G$661),"",ReferenceData!$G$661),"")</x:f>
        <x:v>0</x:v>
      </x:c>
      <x:c r="H661">
        <x:f ca="1">IFERROR(IF(0=LEN(ReferenceData!$H$661),"",ReferenceData!$H$661),"")</x:f>
        <x:v>0</x:v>
      </x:c>
      <x:c r="I661">
        <x:f ca="1">IFERROR(IF(0=LEN(ReferenceData!$I$661),"",ReferenceData!$I$661),"")</x:f>
        <x:v>0.20491500000000001</x:v>
      </x:c>
      <x:c r="J661">
        <x:f ca="1">IFERROR(IF(0=LEN(ReferenceData!$J$661),"",ReferenceData!$J$661),"")</x:f>
        <x:v>0</x:v>
      </x:c>
      <x:c r="K661">
        <x:f ca="1">IFERROR(IF(0=LEN(ReferenceData!$K$661),"",ReferenceData!$K$661),"")</x:f>
        <x:v>0</x:v>
      </x:c>
      <x:c r="L661">
        <x:f ca="1">IFERROR(IF(0=LEN(ReferenceData!$L$661),"",ReferenceData!$L$661),"")</x:f>
        <x:v>0.23777999999999999</x:v>
      </x:c>
      <x:c r="M661">
        <x:f ca="1">IFERROR(IF(0=LEN(ReferenceData!$M$661),"",ReferenceData!$M$661),"")</x:f>
        <x:v>0</x:v>
      </x:c>
      <x:c r="N661">
        <x:f ca="1">IFERROR(IF(0=LEN(ReferenceData!$N$661),"",ReferenceData!$N$661),"")</x:f>
        <x:v>0</x:v>
      </x:c>
      <x:c r="O661">
        <x:f ca="1">IFERROR(IF(0=LEN(ReferenceData!$O$661),"",ReferenceData!$O$661),"")</x:f>
        <x:v>0</x:v>
      </x:c>
      <x:c r="P661">
        <x:f ca="1">IFERROR(IF(0=LEN(ReferenceData!$P$661),"",ReferenceData!$P$661),"")</x:f>
        <x:v>0</x:v>
      </x:c>
      <x:c r="Q661">
        <x:f ca="1">IFERROR(IF(0=LEN(ReferenceData!$Q$661),"",ReferenceData!$Q$661),"")</x:f>
        <x:v>-0.99363000000000001</x:v>
      </x:c>
      <x:c r="R661">
        <x:f ca="1">IFERROR(IF(0=LEN(ReferenceData!$R$661),"",ReferenceData!$R$661),"")</x:f>
        <x:v>-0.86377499999999996</x:v>
      </x:c>
      <x:c r="S661">
        <x:f ca="1">IFERROR(IF(0=LEN(ReferenceData!$S$661),"",ReferenceData!$S$661),"")</x:f>
        <x:v>0</x:v>
      </x:c>
    </x:row>
    <x:row r="662" spans="1:19" x14ac:dyDescent="0.25">
      <x:c r="A662" t="str">
        <x:f>IFERROR(IF(0=LEN(ReferenceData!$A$662),"",ReferenceData!$A$662),"")</x:f>
        <x:v xml:space="preserve">            First Trust Nasdaq Lux Digital</x:v>
      </x:c>
      <x:c r="B662" t="str">
        <x:f>IFERROR(IF(0=LEN(ReferenceData!$B$662),"",ReferenceData!$B$662),"")</x:f>
        <x:v>EKG US Equity</x:v>
      </x:c>
      <x:c r="C662" t="str">
        <x:f>IFERROR(IF(0=LEN(ReferenceData!$C$662),"",ReferenceData!$C$662),"")</x:f>
        <x:v/>
      </x:c>
      <x:c r="D662" t="str">
        <x:f>IFERROR(IF(0=LEN(ReferenceData!$D$662),"",ReferenceData!$D$662),"")</x:f>
        <x:v/>
      </x:c>
      <x:c r="E662" t="str">
        <x:f>IFERROR(IF(0=LEN(ReferenceData!$E$662),"",ReferenceData!$E$662),"")</x:f>
        <x:v>Expression</x:v>
      </x:c>
      <x:c r="F662">
        <x:f ca="1">IFERROR(IF(0=LEN(ReferenceData!$F$662),"",ReferenceData!$F$662),"")</x:f>
        <x:v>0</x:v>
      </x:c>
      <x:c r="G662">
        <x:f ca="1">IFERROR(IF(0=LEN(ReferenceData!$G$662),"",ReferenceData!$G$662),"")</x:f>
        <x:v>0</x:v>
      </x:c>
      <x:c r="H662">
        <x:f ca="1">IFERROR(IF(0=LEN(ReferenceData!$H$662),"",ReferenceData!$H$662),"")</x:f>
        <x:v>0</x:v>
      </x:c>
      <x:c r="I662">
        <x:f ca="1">IFERROR(IF(0=LEN(ReferenceData!$I$662),"",ReferenceData!$I$662),"")</x:f>
        <x:v>0</x:v>
      </x:c>
      <x:c r="J662">
        <x:f ca="1">IFERROR(IF(0=LEN(ReferenceData!$J$662),"",ReferenceData!$J$662),"")</x:f>
        <x:v>0</x:v>
      </x:c>
      <x:c r="K662">
        <x:f ca="1">IFERROR(IF(0=LEN(ReferenceData!$K$662),"",ReferenceData!$K$662),"")</x:f>
        <x:v>0</x:v>
      </x:c>
      <x:c r="L662">
        <x:f ca="1">IFERROR(IF(0=LEN(ReferenceData!$L$662),"",ReferenceData!$L$662),"")</x:f>
        <x:v>0</x:v>
      </x:c>
      <x:c r="M662">
        <x:f ca="1">IFERROR(IF(0=LEN(ReferenceData!$M$662),"",ReferenceData!$M$662),"")</x:f>
        <x:v>0</x:v>
      </x:c>
      <x:c r="N662">
        <x:f ca="1">IFERROR(IF(0=LEN(ReferenceData!$N$662),"",ReferenceData!$N$662),"")</x:f>
        <x:v>0</x:v>
      </x:c>
      <x:c r="O662">
        <x:f ca="1">IFERROR(IF(0=LEN(ReferenceData!$O$662),"",ReferenceData!$O$662),"")</x:f>
        <x:v>0</x:v>
      </x:c>
      <x:c r="P662">
        <x:f ca="1">IFERROR(IF(0=LEN(ReferenceData!$P$662),"",ReferenceData!$P$662),"")</x:f>
        <x:v>0</x:v>
      </x:c>
      <x:c r="Q662">
        <x:f ca="1">IFERROR(IF(0=LEN(ReferenceData!$Q$662),"",ReferenceData!$Q$662),"")</x:f>
        <x:v>-1.2931E-2</x:v>
      </x:c>
      <x:c r="R662">
        <x:f ca="1">IFERROR(IF(0=LEN(ReferenceData!$R$662),"",ReferenceData!$R$662),"")</x:f>
        <x:v>0</x:v>
      </x:c>
      <x:c r="S662">
        <x:f ca="1">IFERROR(IF(0=LEN(ReferenceData!$S$662),"",ReferenceData!$S$662),"")</x:f>
        <x:v>0</x:v>
      </x:c>
    </x:row>
    <x:row r="663" spans="1:19" x14ac:dyDescent="0.25">
      <x:c r="A663" t="str">
        <x:f>IFERROR(IF(0=LEN(ReferenceData!$A$663),"",ReferenceData!$A$663),"")</x:f>
        <x:v xml:space="preserve">            Subversive Mental Health ETF</x:v>
      </x:c>
      <x:c r="B663" t="str">
        <x:f>IFERROR(IF(0=LEN(ReferenceData!$B$663),"",ReferenceData!$B$663),"")</x:f>
        <x:v>SANE US Equity</x:v>
      </x:c>
      <x:c r="C663" t="str">
        <x:f>IFERROR(IF(0=LEN(ReferenceData!$C$663),"",ReferenceData!$C$663),"")</x:f>
        <x:v/>
      </x:c>
      <x:c r="D663" t="str">
        <x:f>IFERROR(IF(0=LEN(ReferenceData!$D$663),"",ReferenceData!$D$663),"")</x:f>
        <x:v/>
      </x:c>
      <x:c r="E663" t="str">
        <x:f>IFERROR(IF(0=LEN(ReferenceData!$E$663),"",ReferenceData!$E$663),"")</x:f>
        <x:v>Expression</x:v>
      </x:c>
      <x:c r="F663">
        <x:f ca="1">IFERROR(IF(0=LEN(ReferenceData!$F$663),"",ReferenceData!$F$663),"")</x:f>
        <x:v>0</x:v>
      </x:c>
      <x:c r="G663">
        <x:f ca="1">IFERROR(IF(0=LEN(ReferenceData!$G$663),"",ReferenceData!$G$663),"")</x:f>
        <x:v>0</x:v>
      </x:c>
      <x:c r="H663">
        <x:f ca="1">IFERROR(IF(0=LEN(ReferenceData!$H$663),"",ReferenceData!$H$663),"")</x:f>
        <x:v>0</x:v>
      </x:c>
      <x:c r="I663">
        <x:f ca="1">IFERROR(IF(0=LEN(ReferenceData!$I$663),"",ReferenceData!$I$663),"")</x:f>
        <x:v>0</x:v>
      </x:c>
      <x:c r="J663">
        <x:f ca="1">IFERROR(IF(0=LEN(ReferenceData!$J$663),"",ReferenceData!$J$663),"")</x:f>
        <x:v>0</x:v>
      </x:c>
      <x:c r="K663">
        <x:f ca="1">IFERROR(IF(0=LEN(ReferenceData!$K$663),"",ReferenceData!$K$663),"")</x:f>
        <x:v>0</x:v>
      </x:c>
      <x:c r="L663">
        <x:f ca="1">IFERROR(IF(0=LEN(ReferenceData!$L$663),"",ReferenceData!$L$663),"")</x:f>
        <x:v>0</x:v>
      </x:c>
      <x:c r="M663">
        <x:f ca="1">IFERROR(IF(0=LEN(ReferenceData!$M$663),"",ReferenceData!$M$663),"")</x:f>
        <x:v>0</x:v>
      </x:c>
      <x:c r="N663">
        <x:f ca="1">IFERROR(IF(0=LEN(ReferenceData!$N$663),"",ReferenceData!$N$663),"")</x:f>
        <x:v>0</x:v>
      </x:c>
      <x:c r="O663">
        <x:f ca="1">IFERROR(IF(0=LEN(ReferenceData!$O$663),"",ReferenceData!$O$663),"")</x:f>
        <x:v>0</x:v>
      </x:c>
      <x:c r="P663">
        <x:f ca="1">IFERROR(IF(0=LEN(ReferenceData!$P$663),"",ReferenceData!$P$663),"")</x:f>
        <x:v>0</x:v>
      </x:c>
      <x:c r="Q663">
        <x:f ca="1">IFERROR(IF(0=LEN(ReferenceData!$Q$663),"",ReferenceData!$Q$663),"")</x:f>
        <x:v>0.62290500000000004</x:v>
      </x:c>
      <x:c r="R663" t="str">
        <x:f ca="1">IFERROR(IF(0=LEN(ReferenceData!$R$663),"",ReferenceData!$R$663),"")</x:f>
        <x:v/>
      </x:c>
      <x:c r="S663" t="str">
        <x:f ca="1">IFERROR(IF(0=LEN(ReferenceData!$S$663),"",ReferenceData!$S$663),"")</x:f>
        <x:v/>
      </x:c>
    </x:row>
    <x:row r="664" spans="1:19" x14ac:dyDescent="0.25">
      <x:c r="A664" t="str">
        <x:f>IFERROR(IF(0=LEN(ReferenceData!$A$664),"",ReferenceData!$A$664),"")</x:f>
        <x:v xml:space="preserve">            iShares Genomics Immunology an</x:v>
      </x:c>
      <x:c r="B664" t="str">
        <x:f>IFERROR(IF(0=LEN(ReferenceData!$B$664),"",ReferenceData!$B$664),"")</x:f>
        <x:v>IDNA US Equity</x:v>
      </x:c>
      <x:c r="C664" t="str">
        <x:f>IFERROR(IF(0=LEN(ReferenceData!$C$664),"",ReferenceData!$C$664),"")</x:f>
        <x:v/>
      </x:c>
      <x:c r="D664" t="str">
        <x:f>IFERROR(IF(0=LEN(ReferenceData!$D$664),"",ReferenceData!$D$664),"")</x:f>
        <x:v/>
      </x:c>
      <x:c r="E664" t="str">
        <x:f>IFERROR(IF(0=LEN(ReferenceData!$E$664),"",ReferenceData!$E$664),"")</x:f>
        <x:v>Expression</x:v>
      </x:c>
      <x:c r="F664">
        <x:f ca="1">IFERROR(IF(0=LEN(ReferenceData!$F$664),"",ReferenceData!$F$664),"")</x:f>
        <x:v>-2.7816139999999998</x:v>
      </x:c>
      <x:c r="G664">
        <x:f ca="1">IFERROR(IF(0=LEN(ReferenceData!$G$664),"",ReferenceData!$G$664),"")</x:f>
        <x:v>0</x:v>
      </x:c>
      <x:c r="H664">
        <x:f ca="1">IFERROR(IF(0=LEN(ReferenceData!$H$664),"",ReferenceData!$H$664),"")</x:f>
        <x:v>2.21713</x:v>
      </x:c>
      <x:c r="I664">
        <x:f ca="1">IFERROR(IF(0=LEN(ReferenceData!$I$664),"",ReferenceData!$I$664),"")</x:f>
        <x:v>-2.2020900000000001</x:v>
      </x:c>
      <x:c r="J664">
        <x:f ca="1">IFERROR(IF(0=LEN(ReferenceData!$J$664),"",ReferenceData!$J$664),"")</x:f>
        <x:v>-1.2868599999999999</x:v>
      </x:c>
      <x:c r="K664">
        <x:f ca="1">IFERROR(IF(0=LEN(ReferenceData!$K$664),"",ReferenceData!$K$664),"")</x:f>
        <x:v>-1.230405</x:v>
      </x:c>
      <x:c r="L664">
        <x:f ca="1">IFERROR(IF(0=LEN(ReferenceData!$L$664),"",ReferenceData!$L$664),"")</x:f>
        <x:v>0</x:v>
      </x:c>
      <x:c r="M664">
        <x:f ca="1">IFERROR(IF(0=LEN(ReferenceData!$M$664),"",ReferenceData!$M$664),"")</x:f>
        <x:v>-1.16191</x:v>
      </x:c>
      <x:c r="N664">
        <x:f ca="1">IFERROR(IF(0=LEN(ReferenceData!$N$664),"",ReferenceData!$N$664),"")</x:f>
        <x:v>0</x:v>
      </x:c>
      <x:c r="O664">
        <x:f ca="1">IFERROR(IF(0=LEN(ReferenceData!$O$664),"",ReferenceData!$O$664),"")</x:f>
        <x:v>1.3622050000000001</x:v>
      </x:c>
      <x:c r="P664">
        <x:f ca="1">IFERROR(IF(0=LEN(ReferenceData!$P$664),"",ReferenceData!$P$664),"")</x:f>
        <x:v>0</x:v>
      </x:c>
      <x:c r="Q664">
        <x:f ca="1">IFERROR(IF(0=LEN(ReferenceData!$Q$664),"",ReferenceData!$Q$664),"")</x:f>
        <x:v>-9.4563600000000001</x:v>
      </x:c>
      <x:c r="R664">
        <x:f ca="1">IFERROR(IF(0=LEN(ReferenceData!$R$664),"",ReferenceData!$R$664),"")</x:f>
        <x:v>1.31999</x:v>
      </x:c>
      <x:c r="S664">
        <x:f ca="1">IFERROR(IF(0=LEN(ReferenceData!$S$664),"",ReferenceData!$S$664),"")</x:f>
        <x:v>0</x:v>
      </x:c>
    </x:row>
    <x:row r="665" spans="1:19" x14ac:dyDescent="0.25">
      <x:c r="A665" t="str">
        <x:f>IFERROR(IF(0=LEN(ReferenceData!$A$665),"",ReferenceData!$A$665),"")</x:f>
        <x:v xml:space="preserve">        Clean Energy</x:v>
      </x:c>
      <x:c r="B665" t="str">
        <x:f>IFERROR(IF(0=LEN(ReferenceData!$B$665),"",ReferenceData!$B$665),"")</x:f>
        <x:v/>
      </x:c>
      <x:c r="C665" t="str">
        <x:f>IFERROR(IF(0=LEN(ReferenceData!$C$665),"",ReferenceData!$C$665),"")</x:f>
        <x:v/>
      </x:c>
      <x:c r="D665" t="str">
        <x:f>IFERROR(IF(0=LEN(ReferenceData!$D$665),"",ReferenceData!$D$665),"")</x:f>
        <x:v/>
      </x:c>
      <x:c r="E665" t="str">
        <x:f>IFERROR(IF(0=LEN(ReferenceData!$E$665),"",ReferenceData!$E$665),"")</x:f>
        <x:v>Sum</x:v>
      </x:c>
      <x:c r="F665">
        <x:f ca="1">IFERROR(IF(0=LEN(ReferenceData!$F$665),"",ReferenceData!$F$665),"")</x:f>
        <x:v>-127.79249299999996</x:v>
      </x:c>
      <x:c r="G665">
        <x:f ca="1">IFERROR(IF(0=LEN(ReferenceData!$G$665),"",ReferenceData!$G$665),"")</x:f>
        <x:v>-196.53841100000002</x:v>
      </x:c>
      <x:c r="H665">
        <x:f ca="1">IFERROR(IF(0=LEN(ReferenceData!$H$665),"",ReferenceData!$H$665),"")</x:f>
        <x:v>-14.505708999999987</x:v>
      </x:c>
      <x:c r="I665">
        <x:f ca="1">IFERROR(IF(0=LEN(ReferenceData!$I$665),"",ReferenceData!$I$665),"")</x:f>
        <x:v>-254.65766899999994</x:v>
      </x:c>
      <x:c r="J665">
        <x:f ca="1">IFERROR(IF(0=LEN(ReferenceData!$J$665),"",ReferenceData!$J$665),"")</x:f>
        <x:v>23.173425000000005</x:v>
      </x:c>
      <x:c r="K665">
        <x:f ca="1">IFERROR(IF(0=LEN(ReferenceData!$K$665),"",ReferenceData!$K$665),"")</x:f>
        <x:v>7.2741609999999968</x:v>
      </x:c>
      <x:c r="L665">
        <x:f ca="1">IFERROR(IF(0=LEN(ReferenceData!$L$665),"",ReferenceData!$L$665),"")</x:f>
        <x:v>-77.226740000000021</x:v>
      </x:c>
      <x:c r="M665">
        <x:f ca="1">IFERROR(IF(0=LEN(ReferenceData!$M$665),"",ReferenceData!$M$665),"")</x:f>
        <x:v>112.50708900000004</x:v>
      </x:c>
      <x:c r="N665">
        <x:f ca="1">IFERROR(IF(0=LEN(ReferenceData!$N$665),"",ReferenceData!$N$665),"")</x:f>
        <x:v>-173.19280399999997</x:v>
      </x:c>
      <x:c r="O665">
        <x:f ca="1">IFERROR(IF(0=LEN(ReferenceData!$O$665),"",ReferenceData!$O$665),"")</x:f>
        <x:v>-273.09977199999997</x:v>
      </x:c>
      <x:c r="P665">
        <x:f ca="1">IFERROR(IF(0=LEN(ReferenceData!$P$665),"",ReferenceData!$P$665),"")</x:f>
        <x:v>-99.433458000000002</x:v>
      </x:c>
      <x:c r="Q665">
        <x:f ca="1">IFERROR(IF(0=LEN(ReferenceData!$Q$665),"",ReferenceData!$Q$665),"")</x:f>
        <x:v>-310.18768400000005</x:v>
      </x:c>
      <x:c r="R665">
        <x:f ca="1">IFERROR(IF(0=LEN(ReferenceData!$R$665),"",ReferenceData!$R$665),"")</x:f>
        <x:v>357.45499999999998</x:v>
      </x:c>
      <x:c r="S665">
        <x:f ca="1">IFERROR(IF(0=LEN(ReferenceData!$S$665),"",ReferenceData!$S$665),"")</x:f>
        <x:v>-283.63120099999998</x:v>
      </x:c>
    </x:row>
    <x:row r="666" spans="1:19" x14ac:dyDescent="0.25">
      <x:c r="A666" t="str">
        <x:f>IFERROR(IF(0=LEN(ReferenceData!$A$666),"",ReferenceData!$A$666),"")</x:f>
        <x:v xml:space="preserve">            Invesco WilderHill Clean Energ</x:v>
      </x:c>
      <x:c r="B666" t="str">
        <x:f>IFERROR(IF(0=LEN(ReferenceData!$B$666),"",ReferenceData!$B$666),"")</x:f>
        <x:v>PBW US Equity</x:v>
      </x:c>
      <x:c r="C666" t="str">
        <x:f>IFERROR(IF(0=LEN(ReferenceData!$C$666),"",ReferenceData!$C$666),"")</x:f>
        <x:v/>
      </x:c>
      <x:c r="D666" t="str">
        <x:f>IFERROR(IF(0=LEN(ReferenceData!$D$666),"",ReferenceData!$D$666),"")</x:f>
        <x:v/>
      </x:c>
      <x:c r="E666" t="str">
        <x:f>IFERROR(IF(0=LEN(ReferenceData!$E$666),"",ReferenceData!$E$666),"")</x:f>
        <x:v>Expression</x:v>
      </x:c>
      <x:c r="F666">
        <x:f ca="1">IFERROR(IF(0=LEN(ReferenceData!$F$666),"",ReferenceData!$F$666),"")</x:f>
        <x:v>23.929255999999999</x:v>
      </x:c>
      <x:c r="G666">
        <x:f ca="1">IFERROR(IF(0=LEN(ReferenceData!$G$666),"",ReferenceData!$G$666),"")</x:f>
        <x:v>-3.4250219999999998</x:v>
      </x:c>
      <x:c r="H666">
        <x:f ca="1">IFERROR(IF(0=LEN(ReferenceData!$H$666),"",ReferenceData!$H$666),"")</x:f>
        <x:v>-9.2401009999999992</x:v>
      </x:c>
      <x:c r="I666">
        <x:f ca="1">IFERROR(IF(0=LEN(ReferenceData!$I$666),"",ReferenceData!$I$666),"")</x:f>
        <x:v>-33.320340000000002</x:v>
      </x:c>
      <x:c r="J666">
        <x:f ca="1">IFERROR(IF(0=LEN(ReferenceData!$J$666),"",ReferenceData!$J$666),"")</x:f>
        <x:v>-13.599978999999999</x:v>
      </x:c>
      <x:c r="K666">
        <x:f ca="1">IFERROR(IF(0=LEN(ReferenceData!$K$666),"",ReferenceData!$K$666),"")</x:f>
        <x:v>-19.222954999999999</x:v>
      </x:c>
      <x:c r="L666">
        <x:f ca="1">IFERROR(IF(0=LEN(ReferenceData!$L$666),"",ReferenceData!$L$666),"")</x:f>
        <x:v>-9.6830180000000006</x:v>
      </x:c>
      <x:c r="M666">
        <x:f ca="1">IFERROR(IF(0=LEN(ReferenceData!$M$666),"",ReferenceData!$M$666),"")</x:f>
        <x:v>-24.377372999999999</x:v>
      </x:c>
      <x:c r="N666">
        <x:f ca="1">IFERROR(IF(0=LEN(ReferenceData!$N$666),"",ReferenceData!$N$666),"")</x:f>
        <x:v>4.8459029999999998</x:v>
      </x:c>
      <x:c r="O666">
        <x:f ca="1">IFERROR(IF(0=LEN(ReferenceData!$O$666),"",ReferenceData!$O$666),"")</x:f>
        <x:v>-18.392173</x:v>
      </x:c>
      <x:c r="P666">
        <x:f ca="1">IFERROR(IF(0=LEN(ReferenceData!$P$666),"",ReferenceData!$P$666),"")</x:f>
        <x:v>-2.0125130000000002</x:v>
      </x:c>
      <x:c r="Q666">
        <x:f ca="1">IFERROR(IF(0=LEN(ReferenceData!$Q$666),"",ReferenceData!$Q$666),"")</x:f>
        <x:v>-43.279482999999999</x:v>
      </x:c>
      <x:c r="R666">
        <x:f ca="1">IFERROR(IF(0=LEN(ReferenceData!$R$666),"",ReferenceData!$R$666),"")</x:f>
        <x:v>10.745618</x:v>
      </x:c>
      <x:c r="S666">
        <x:f ca="1">IFERROR(IF(0=LEN(ReferenceData!$S$666),"",ReferenceData!$S$666),"")</x:f>
        <x:v>-29.998505000000002</x:v>
      </x:c>
    </x:row>
    <x:row r="667" spans="1:19" x14ac:dyDescent="0.25">
      <x:c r="A667" t="str">
        <x:f>IFERROR(IF(0=LEN(ReferenceData!$A$667),"",ReferenceData!$A$667),"")</x:f>
        <x:v xml:space="preserve">            Invesco MSCI Sustainable Futur</x:v>
      </x:c>
      <x:c r="B667" t="str">
        <x:f>IFERROR(IF(0=LEN(ReferenceData!$B$667),"",ReferenceData!$B$667),"")</x:f>
        <x:v>PZD US Equity</x:v>
      </x:c>
      <x:c r="C667" t="str">
        <x:f>IFERROR(IF(0=LEN(ReferenceData!$C$667),"",ReferenceData!$C$667),"")</x:f>
        <x:v/>
      </x:c>
      <x:c r="D667" t="str">
        <x:f>IFERROR(IF(0=LEN(ReferenceData!$D$667),"",ReferenceData!$D$667),"")</x:f>
        <x:v/>
      </x:c>
      <x:c r="E667" t="str">
        <x:f>IFERROR(IF(0=LEN(ReferenceData!$E$667),"",ReferenceData!$E$667),"")</x:f>
        <x:v>Expression</x:v>
      </x:c>
      <x:c r="F667">
        <x:f ca="1">IFERROR(IF(0=LEN(ReferenceData!$F$667),"",ReferenceData!$F$667),"")</x:f>
        <x:v>-2.023736</x:v>
      </x:c>
      <x:c r="G667">
        <x:f ca="1">IFERROR(IF(0=LEN(ReferenceData!$G$667),"",ReferenceData!$G$667),"")</x:f>
        <x:v>-3.0231000000000001E-2</x:v>
      </x:c>
      <x:c r="H667">
        <x:f ca="1">IFERROR(IF(0=LEN(ReferenceData!$H$667),"",ReferenceData!$H$667),"")</x:f>
        <x:v>-4.6323239999999997</x:v>
      </x:c>
      <x:c r="I667">
        <x:f ca="1">IFERROR(IF(0=LEN(ReferenceData!$I$667),"",ReferenceData!$I$667),"")</x:f>
        <x:v>0</x:v>
      </x:c>
      <x:c r="J667">
        <x:f ca="1">IFERROR(IF(0=LEN(ReferenceData!$J$667),"",ReferenceData!$J$667),"")</x:f>
        <x:v>-10.074573000000001</x:v>
      </x:c>
      <x:c r="K667">
        <x:f ca="1">IFERROR(IF(0=LEN(ReferenceData!$K$667),"",ReferenceData!$K$667),"")</x:f>
        <x:v>-9.6613539999999993</x:v>
      </x:c>
      <x:c r="L667">
        <x:f ca="1">IFERROR(IF(0=LEN(ReferenceData!$L$667),"",ReferenceData!$L$667),"")</x:f>
        <x:v>-2.3181790000000002</x:v>
      </x:c>
      <x:c r="M667">
        <x:f ca="1">IFERROR(IF(0=LEN(ReferenceData!$M$667),"",ReferenceData!$M$667),"")</x:f>
        <x:v>-7.0948659999999997</x:v>
      </x:c>
      <x:c r="N667">
        <x:f ca="1">IFERROR(IF(0=LEN(ReferenceData!$N$667),"",ReferenceData!$N$667),"")</x:f>
        <x:v>-2.4701439999999999</x:v>
      </x:c>
      <x:c r="O667">
        <x:f ca="1">IFERROR(IF(0=LEN(ReferenceData!$O$667),"",ReferenceData!$O$667),"")</x:f>
        <x:v>-2.4772539999999998</x:v>
      </x:c>
      <x:c r="P667">
        <x:f ca="1">IFERROR(IF(0=LEN(ReferenceData!$P$667),"",ReferenceData!$P$667),"")</x:f>
        <x:v>-4.8931129999999996</x:v>
      </x:c>
      <x:c r="Q667">
        <x:f ca="1">IFERROR(IF(0=LEN(ReferenceData!$Q$667),"",ReferenceData!$Q$667),"")</x:f>
        <x:v>0</x:v>
      </x:c>
      <x:c r="R667">
        <x:f ca="1">IFERROR(IF(0=LEN(ReferenceData!$R$667),"",ReferenceData!$R$667),"")</x:f>
        <x:v>-5.3001069999999997</x:v>
      </x:c>
      <x:c r="S667">
        <x:f ca="1">IFERROR(IF(0=LEN(ReferenceData!$S$667),"",ReferenceData!$S$667),"")</x:f>
        <x:v>0</x:v>
      </x:c>
    </x:row>
    <x:row r="668" spans="1:19" x14ac:dyDescent="0.25">
      <x:c r="A668" t="str">
        <x:f>IFERROR(IF(0=LEN(ReferenceData!$A$668),"",ReferenceData!$A$668),"")</x:f>
        <x:v xml:space="preserve">            Invesco Global Clean Energy ET</x:v>
      </x:c>
      <x:c r="B668" t="str">
        <x:f>IFERROR(IF(0=LEN(ReferenceData!$B$668),"",ReferenceData!$B$668),"")</x:f>
        <x:v>PBD US Equity</x:v>
      </x:c>
      <x:c r="C668" t="str">
        <x:f>IFERROR(IF(0=LEN(ReferenceData!$C$668),"",ReferenceData!$C$668),"")</x:f>
        <x:v/>
      </x:c>
      <x:c r="D668" t="str">
        <x:f>IFERROR(IF(0=LEN(ReferenceData!$D$668),"",ReferenceData!$D$668),"")</x:f>
        <x:v/>
      </x:c>
      <x:c r="E668" t="str">
        <x:f>IFERROR(IF(0=LEN(ReferenceData!$E$668),"",ReferenceData!$E$668),"")</x:f>
        <x:v>Expression</x:v>
      </x:c>
      <x:c r="F668">
        <x:f ca="1">IFERROR(IF(0=LEN(ReferenceData!$F$668),"",ReferenceData!$F$668),"")</x:f>
        <x:v>-5.0493829999999997</x:v>
      </x:c>
      <x:c r="G668">
        <x:f ca="1">IFERROR(IF(0=LEN(ReferenceData!$G$668),"",ReferenceData!$G$668),"")</x:f>
        <x:v>-1.3714649999999999</x:v>
      </x:c>
      <x:c r="H668">
        <x:f ca="1">IFERROR(IF(0=LEN(ReferenceData!$H$668),"",ReferenceData!$H$668),"")</x:f>
        <x:v>-3.8768400000000001</x:v>
      </x:c>
      <x:c r="I668">
        <x:f ca="1">IFERROR(IF(0=LEN(ReferenceData!$I$668),"",ReferenceData!$I$668),"")</x:f>
        <x:v>-1.759155</x:v>
      </x:c>
      <x:c r="J668">
        <x:f ca="1">IFERROR(IF(0=LEN(ReferenceData!$J$668),"",ReferenceData!$J$668),"")</x:f>
        <x:v>-5.7705489999999999</x:v>
      </x:c>
      <x:c r="K668">
        <x:f ca="1">IFERROR(IF(0=LEN(ReferenceData!$K$668),"",ReferenceData!$K$668),"")</x:f>
        <x:v>0</x:v>
      </x:c>
      <x:c r="L668">
        <x:f ca="1">IFERROR(IF(0=LEN(ReferenceData!$L$668),"",ReferenceData!$L$668),"")</x:f>
        <x:v>-2.7946170000000001</x:v>
      </x:c>
      <x:c r="M668">
        <x:f ca="1">IFERROR(IF(0=LEN(ReferenceData!$M$668),"",ReferenceData!$M$668),"")</x:f>
        <x:v>-0.94702799999999998</x:v>
      </x:c>
      <x:c r="N668">
        <x:f ca="1">IFERROR(IF(0=LEN(ReferenceData!$N$668),"",ReferenceData!$N$668),"")</x:f>
        <x:v>0</x:v>
      </x:c>
      <x:c r="O668">
        <x:f ca="1">IFERROR(IF(0=LEN(ReferenceData!$O$668),"",ReferenceData!$O$668),"")</x:f>
        <x:v>-0.98420600000000003</x:v>
      </x:c>
      <x:c r="P668">
        <x:f ca="1">IFERROR(IF(0=LEN(ReferenceData!$P$668),"",ReferenceData!$P$668),"")</x:f>
        <x:v>-2.8662920000000001</x:v>
      </x:c>
      <x:c r="Q668">
        <x:f ca="1">IFERROR(IF(0=LEN(ReferenceData!$Q$668),"",ReferenceData!$Q$668),"")</x:f>
        <x:v>-3.0242360000000001</x:v>
      </x:c>
      <x:c r="R668">
        <x:f ca="1">IFERROR(IF(0=LEN(ReferenceData!$R$668),"",ReferenceData!$R$668),"")</x:f>
        <x:v>-6.0408419999999996</x:v>
      </x:c>
      <x:c r="S668">
        <x:f ca="1">IFERROR(IF(0=LEN(ReferenceData!$S$668),"",ReferenceData!$S$668),"")</x:f>
        <x:v>1.9859579999999999</x:v>
      </x:c>
    </x:row>
    <x:row r="669" spans="1:19" x14ac:dyDescent="0.25">
      <x:c r="A669" t="str">
        <x:f>IFERROR(IF(0=LEN(ReferenceData!$A$669),"",ReferenceData!$A$669),"")</x:f>
        <x:v xml:space="preserve">            First Trust NASDAQ Clean Edge</x:v>
      </x:c>
      <x:c r="B669" t="str">
        <x:f>IFERROR(IF(0=LEN(ReferenceData!$B$669),"",ReferenceData!$B$669),"")</x:f>
        <x:v>GRID US Equity</x:v>
      </x:c>
      <x:c r="C669" t="str">
        <x:f>IFERROR(IF(0=LEN(ReferenceData!$C$669),"",ReferenceData!$C$669),"")</x:f>
        <x:v/>
      </x:c>
      <x:c r="D669" t="str">
        <x:f>IFERROR(IF(0=LEN(ReferenceData!$D$669),"",ReferenceData!$D$669),"")</x:f>
        <x:v/>
      </x:c>
      <x:c r="E669" t="str">
        <x:f>IFERROR(IF(0=LEN(ReferenceData!$E$669),"",ReferenceData!$E$669),"")</x:f>
        <x:v>Expression</x:v>
      </x:c>
      <x:c r="F669">
        <x:f ca="1">IFERROR(IF(0=LEN(ReferenceData!$F$669),"",ReferenceData!$F$669),"")</x:f>
        <x:v>-121.318713</x:v>
      </x:c>
      <x:c r="G669">
        <x:f ca="1">IFERROR(IF(0=LEN(ReferenceData!$G$669),"",ReferenceData!$G$669),"")</x:f>
        <x:v>-64.648335000000003</x:v>
      </x:c>
      <x:c r="H669">
        <x:f ca="1">IFERROR(IF(0=LEN(ReferenceData!$H$669),"",ReferenceData!$H$669),"")</x:f>
        <x:v>-10.094954</x:v>
      </x:c>
      <x:c r="I669">
        <x:f ca="1">IFERROR(IF(0=LEN(ReferenceData!$I$669),"",ReferenceData!$I$669),"")</x:f>
        <x:v>-4.370304</x:v>
      </x:c>
      <x:c r="J669">
        <x:f ca="1">IFERROR(IF(0=LEN(ReferenceData!$J$669),"",ReferenceData!$J$669),"")</x:f>
        <x:v>244.79949999999999</x:v>
      </x:c>
      <x:c r="K669">
        <x:f ca="1">IFERROR(IF(0=LEN(ReferenceData!$K$669),"",ReferenceData!$K$669),"")</x:f>
        <x:v>88.366500000000002</x:v>
      </x:c>
      <x:c r="L669">
        <x:f ca="1">IFERROR(IF(0=LEN(ReferenceData!$L$669),"",ReferenceData!$L$669),"")</x:f>
        <x:v>24.122499999999999</x:v>
      </x:c>
      <x:c r="M669">
        <x:f ca="1">IFERROR(IF(0=LEN(ReferenceData!$M$669),"",ReferenceData!$M$669),"")</x:f>
        <x:v>14.726000000000001</x:v>
      </x:c>
      <x:c r="N669">
        <x:f ca="1">IFERROR(IF(0=LEN(ReferenceData!$N$669),"",ReferenceData!$N$669),"")</x:f>
        <x:v>-9.1745000000000001</x:v>
      </x:c>
      <x:c r="O669">
        <x:f ca="1">IFERROR(IF(0=LEN(ReferenceData!$O$669),"",ReferenceData!$O$669),"")</x:f>
        <x:v>4.6740000000000004</x:v>
      </x:c>
      <x:c r="P669">
        <x:f ca="1">IFERROR(IF(0=LEN(ReferenceData!$P$669),"",ReferenceData!$P$669),"")</x:f>
        <x:v>14.205500000000001</x:v>
      </x:c>
      <x:c r="Q669">
        <x:f ca="1">IFERROR(IF(0=LEN(ReferenceData!$Q$669),"",ReferenceData!$Q$669),"")</x:f>
        <x:v>10.364144</x:v>
      </x:c>
      <x:c r="R669">
        <x:f ca="1">IFERROR(IF(0=LEN(ReferenceData!$R$669),"",ReferenceData!$R$669),"")</x:f>
        <x:v>5.277876</x:v>
      </x:c>
      <x:c r="S669">
        <x:f ca="1">IFERROR(IF(0=LEN(ReferenceData!$S$669),"",ReferenceData!$S$669),"")</x:f>
        <x:v>0</x:v>
      </x:c>
    </x:row>
    <x:row r="670" spans="1:19" x14ac:dyDescent="0.25">
      <x:c r="A670" t="str">
        <x:f>IFERROR(IF(0=LEN(ReferenceData!$A$670),"",ReferenceData!$A$670),"")</x:f>
        <x:v xml:space="preserve">            SPDR S&amp;P Kensho Clean Power ET</x:v>
      </x:c>
      <x:c r="B670" t="str">
        <x:f>IFERROR(IF(0=LEN(ReferenceData!$B$670),"",ReferenceData!$B$670),"")</x:f>
        <x:v>CNRG US Equity</x:v>
      </x:c>
      <x:c r="C670" t="str">
        <x:f>IFERROR(IF(0=LEN(ReferenceData!$C$670),"",ReferenceData!$C$670),"")</x:f>
        <x:v/>
      </x:c>
      <x:c r="D670" t="str">
        <x:f>IFERROR(IF(0=LEN(ReferenceData!$D$670),"",ReferenceData!$D$670),"")</x:f>
        <x:v/>
      </x:c>
      <x:c r="E670" t="str">
        <x:f>IFERROR(IF(0=LEN(ReferenceData!$E$670),"",ReferenceData!$E$670),"")</x:f>
        <x:v>Expression</x:v>
      </x:c>
      <x:c r="F670">
        <x:f ca="1">IFERROR(IF(0=LEN(ReferenceData!$F$670),"",ReferenceData!$F$670),"")</x:f>
        <x:v>-8.5674860000000006</x:v>
      </x:c>
      <x:c r="G670">
        <x:f ca="1">IFERROR(IF(0=LEN(ReferenceData!$G$670),"",ReferenceData!$G$670),"")</x:f>
        <x:v>-6.5246279999999999</x:v>
      </x:c>
      <x:c r="H670">
        <x:f ca="1">IFERROR(IF(0=LEN(ReferenceData!$H$670),"",ReferenceData!$H$670),"")</x:f>
        <x:v>-9.4571909999999999</x:v>
      </x:c>
      <x:c r="I670">
        <x:f ca="1">IFERROR(IF(0=LEN(ReferenceData!$I$670),"",ReferenceData!$I$670),"")</x:f>
        <x:v>-0.96796199999999999</x:v>
      </x:c>
      <x:c r="J670">
        <x:f ca="1">IFERROR(IF(0=LEN(ReferenceData!$J$670),"",ReferenceData!$J$670),"")</x:f>
        <x:v>-2.614957</x:v>
      </x:c>
      <x:c r="K670">
        <x:f ca="1">IFERROR(IF(0=LEN(ReferenceData!$K$670),"",ReferenceData!$K$670),"")</x:f>
        <x:v>-0.81691499999999995</x:v>
      </x:c>
      <x:c r="L670">
        <x:f ca="1">IFERROR(IF(0=LEN(ReferenceData!$L$670),"",ReferenceData!$L$670),"")</x:f>
        <x:v>-5.6449720000000001</x:v>
      </x:c>
      <x:c r="M670">
        <x:f ca="1">IFERROR(IF(0=LEN(ReferenceData!$M$670),"",ReferenceData!$M$670),"")</x:f>
        <x:v>0.87036000000000002</x:v>
      </x:c>
      <x:c r="N670">
        <x:f ca="1">IFERROR(IF(0=LEN(ReferenceData!$N$670),"",ReferenceData!$N$670),"")</x:f>
        <x:v>4.2868979999999999</x:v>
      </x:c>
      <x:c r="O670">
        <x:f ca="1">IFERROR(IF(0=LEN(ReferenceData!$O$670),"",ReferenceData!$O$670),"")</x:f>
        <x:v>6.2988679999999997</x:v>
      </x:c>
      <x:c r="P670">
        <x:f ca="1">IFERROR(IF(0=LEN(ReferenceData!$P$670),"",ReferenceData!$P$670),"")</x:f>
        <x:v>-2.5749810000000002</x:v>
      </x:c>
      <x:c r="Q670">
        <x:f ca="1">IFERROR(IF(0=LEN(ReferenceData!$Q$670),"",ReferenceData!$Q$670),"")</x:f>
        <x:v>2.6743579999999998</x:v>
      </x:c>
      <x:c r="R670">
        <x:f ca="1">IFERROR(IF(0=LEN(ReferenceData!$R$670),"",ReferenceData!$R$670),"")</x:f>
        <x:v>8.7831390000000003</x:v>
      </x:c>
      <x:c r="S670">
        <x:f ca="1">IFERROR(IF(0=LEN(ReferenceData!$S$670),"",ReferenceData!$S$670),"")</x:f>
        <x:v>9.1426909999999992</x:v>
      </x:c>
    </x:row>
    <x:row r="671" spans="1:19" x14ac:dyDescent="0.25">
      <x:c r="A671" t="str">
        <x:f>IFERROR(IF(0=LEN(ReferenceData!$A$671),"",ReferenceData!$A$671),"")</x:f>
        <x:v xml:space="preserve">            ALPS Clean Energy ETF</x:v>
      </x:c>
      <x:c r="B671" t="str">
        <x:f>IFERROR(IF(0=LEN(ReferenceData!$B$671),"",ReferenceData!$B$671),"")</x:f>
        <x:v>ACES US Equity</x:v>
      </x:c>
      <x:c r="C671" t="str">
        <x:f>IFERROR(IF(0=LEN(ReferenceData!$C$671),"",ReferenceData!$C$671),"")</x:f>
        <x:v/>
      </x:c>
      <x:c r="D671" t="str">
        <x:f>IFERROR(IF(0=LEN(ReferenceData!$D$671),"",ReferenceData!$D$671),"")</x:f>
        <x:v/>
      </x:c>
      <x:c r="E671" t="str">
        <x:f>IFERROR(IF(0=LEN(ReferenceData!$E$671),"",ReferenceData!$E$671),"")</x:f>
        <x:v>Expression</x:v>
      </x:c>
      <x:c r="F671">
        <x:f ca="1">IFERROR(IF(0=LEN(ReferenceData!$F$671),"",ReferenceData!$F$671),"")</x:f>
        <x:v>-19.118065000000001</x:v>
      </x:c>
      <x:c r="G671">
        <x:f ca="1">IFERROR(IF(0=LEN(ReferenceData!$G$671),"",ReferenceData!$G$671),"")</x:f>
        <x:v>8.9630419999999997</x:v>
      </x:c>
      <x:c r="H671">
        <x:f ca="1">IFERROR(IF(0=LEN(ReferenceData!$H$671),"",ReferenceData!$H$671),"")</x:f>
        <x:v>-5.0380019999999996</x:v>
      </x:c>
      <x:c r="I671">
        <x:f ca="1">IFERROR(IF(0=LEN(ReferenceData!$I$671),"",ReferenceData!$I$671),"")</x:f>
        <x:v>-2.2165360000000001</x:v>
      </x:c>
      <x:c r="J671">
        <x:f ca="1">IFERROR(IF(0=LEN(ReferenceData!$J$671),"",ReferenceData!$J$671),"")</x:f>
        <x:v>-17.991326999999998</x:v>
      </x:c>
      <x:c r="K671">
        <x:f ca="1">IFERROR(IF(0=LEN(ReferenceData!$K$671),"",ReferenceData!$K$671),"")</x:f>
        <x:v>4.0435739999999996</x:v>
      </x:c>
      <x:c r="L671">
        <x:f ca="1">IFERROR(IF(0=LEN(ReferenceData!$L$671),"",ReferenceData!$L$671),"")</x:f>
        <x:v>-12.814838</x:v>
      </x:c>
      <x:c r="M671">
        <x:f ca="1">IFERROR(IF(0=LEN(ReferenceData!$M$671),"",ReferenceData!$M$671),"")</x:f>
        <x:v>5.8974469999999997</x:v>
      </x:c>
      <x:c r="N671">
        <x:f ca="1">IFERROR(IF(0=LEN(ReferenceData!$N$671),"",ReferenceData!$N$671),"")</x:f>
        <x:v>-13.615066000000001</x:v>
      </x:c>
      <x:c r="O671">
        <x:f ca="1">IFERROR(IF(0=LEN(ReferenceData!$O$671),"",ReferenceData!$O$671),"")</x:f>
        <x:v>-42.104759000000001</x:v>
      </x:c>
      <x:c r="P671">
        <x:f ca="1">IFERROR(IF(0=LEN(ReferenceData!$P$671),"",ReferenceData!$P$671),"")</x:f>
        <x:v>-16.641798000000001</x:v>
      </x:c>
      <x:c r="Q671">
        <x:f ca="1">IFERROR(IF(0=LEN(ReferenceData!$Q$671),"",ReferenceData!$Q$671),"")</x:f>
        <x:v>-17.071739999999998</x:v>
      </x:c>
      <x:c r="R671">
        <x:f ca="1">IFERROR(IF(0=LEN(ReferenceData!$R$671),"",ReferenceData!$R$671),"")</x:f>
        <x:v>2.6290719999999999</x:v>
      </x:c>
      <x:c r="S671">
        <x:f ca="1">IFERROR(IF(0=LEN(ReferenceData!$S$671),"",ReferenceData!$S$671),"")</x:f>
        <x:v>-17.134266</x:v>
      </x:c>
    </x:row>
    <x:row r="672" spans="1:19" x14ac:dyDescent="0.25">
      <x:c r="A672" t="str">
        <x:f>IFERROR(IF(0=LEN(ReferenceData!$A$672),"",ReferenceData!$A$672),"")</x:f>
        <x:v xml:space="preserve">            iShares Global Clean Energy ET</x:v>
      </x:c>
      <x:c r="B672" t="str">
        <x:f>IFERROR(IF(0=LEN(ReferenceData!$B$672),"",ReferenceData!$B$672),"")</x:f>
        <x:v>ICLN US Equity</x:v>
      </x:c>
      <x:c r="C672" t="str">
        <x:f>IFERROR(IF(0=LEN(ReferenceData!$C$672),"",ReferenceData!$C$672),"")</x:f>
        <x:v/>
      </x:c>
      <x:c r="D672" t="str">
        <x:f>IFERROR(IF(0=LEN(ReferenceData!$D$672),"",ReferenceData!$D$672),"")</x:f>
        <x:v/>
      </x:c>
      <x:c r="E672" t="str">
        <x:f>IFERROR(IF(0=LEN(ReferenceData!$E$672),"",ReferenceData!$E$672),"")</x:f>
        <x:v>Expression</x:v>
      </x:c>
      <x:c r="F672">
        <x:f ca="1">IFERROR(IF(0=LEN(ReferenceData!$F$672),"",ReferenceData!$F$672),"")</x:f>
        <x:v>-50.274546000000001</x:v>
      </x:c>
      <x:c r="G672">
        <x:f ca="1">IFERROR(IF(0=LEN(ReferenceData!$G$672),"",ReferenceData!$G$672),"")</x:f>
        <x:v>-184.26940400000001</x:v>
      </x:c>
      <x:c r="H672">
        <x:f ca="1">IFERROR(IF(0=LEN(ReferenceData!$H$672),"",ReferenceData!$H$672),"")</x:f>
        <x:v>-46.413449</x:v>
      </x:c>
      <x:c r="I672">
        <x:f ca="1">IFERROR(IF(0=LEN(ReferenceData!$I$672),"",ReferenceData!$I$672),"")</x:f>
        <x:v>-114.88158</x:v>
      </x:c>
      <x:c r="J672">
        <x:f ca="1">IFERROR(IF(0=LEN(ReferenceData!$J$672),"",ReferenceData!$J$672),"")</x:f>
        <x:v>-131.67305999999999</x:v>
      </x:c>
      <x:c r="K672">
        <x:f ca="1">IFERROR(IF(0=LEN(ReferenceData!$K$672),"",ReferenceData!$K$672),"")</x:f>
        <x:v>-96.974130000000002</x:v>
      </x:c>
      <x:c r="L672">
        <x:f ca="1">IFERROR(IF(0=LEN(ReferenceData!$L$672),"",ReferenceData!$L$672),"")</x:f>
        <x:v>-154.06568999999999</x:v>
      </x:c>
      <x:c r="M672">
        <x:f ca="1">IFERROR(IF(0=LEN(ReferenceData!$M$672),"",ReferenceData!$M$672),"")</x:f>
        <x:v>-29.421679999999999</x:v>
      </x:c>
      <x:c r="N672">
        <x:f ca="1">IFERROR(IF(0=LEN(ReferenceData!$N$672),"",ReferenceData!$N$672),"")</x:f>
        <x:v>-51.890360000000001</x:v>
      </x:c>
      <x:c r="O672">
        <x:f ca="1">IFERROR(IF(0=LEN(ReferenceData!$O$672),"",ReferenceData!$O$672),"")</x:f>
        <x:v>-80.872050000000002</x:v>
      </x:c>
      <x:c r="P672">
        <x:f ca="1">IFERROR(IF(0=LEN(ReferenceData!$P$672),"",ReferenceData!$P$672),"")</x:f>
        <x:v>-105.41985</x:v>
      </x:c>
      <x:c r="Q672">
        <x:f ca="1">IFERROR(IF(0=LEN(ReferenceData!$Q$672),"",ReferenceData!$Q$672),"")</x:f>
        <x:v>-13.93812</x:v>
      </x:c>
      <x:c r="R672">
        <x:f ca="1">IFERROR(IF(0=LEN(ReferenceData!$R$672),"",ReferenceData!$R$672),"")</x:f>
        <x:v>97.133240000000001</x:v>
      </x:c>
      <x:c r="S672">
        <x:f ca="1">IFERROR(IF(0=LEN(ReferenceData!$S$672),"",ReferenceData!$S$672),"")</x:f>
        <x:v>-8.8180700000000005</x:v>
      </x:c>
    </x:row>
    <x:row r="673" spans="1:19" x14ac:dyDescent="0.25">
      <x:c r="A673" t="str">
        <x:f>IFERROR(IF(0=LEN(ReferenceData!$A$673),"",ReferenceData!$A$673),"")</x:f>
        <x:v xml:space="preserve">            First Trust NASDAQ Clean Edge</x:v>
      </x:c>
      <x:c r="B673" t="str">
        <x:f>IFERROR(IF(0=LEN(ReferenceData!$B$673),"",ReferenceData!$B$673),"")</x:f>
        <x:v>QCLN US Equity</x:v>
      </x:c>
      <x:c r="C673" t="str">
        <x:f>IFERROR(IF(0=LEN(ReferenceData!$C$673),"",ReferenceData!$C$673),"")</x:f>
        <x:v/>
      </x:c>
      <x:c r="D673" t="str">
        <x:f>IFERROR(IF(0=LEN(ReferenceData!$D$673),"",ReferenceData!$D$673),"")</x:f>
        <x:v/>
      </x:c>
      <x:c r="E673" t="str">
        <x:f>IFERROR(IF(0=LEN(ReferenceData!$E$673),"",ReferenceData!$E$673),"")</x:f>
        <x:v>Expression</x:v>
      </x:c>
      <x:c r="F673">
        <x:f ca="1">IFERROR(IF(0=LEN(ReferenceData!$F$673),"",ReferenceData!$F$673),"")</x:f>
        <x:v>-15.717102000000001</x:v>
      </x:c>
      <x:c r="G673">
        <x:f ca="1">IFERROR(IF(0=LEN(ReferenceData!$G$673),"",ReferenceData!$G$673),"")</x:f>
        <x:v>-24.515678999999999</x:v>
      </x:c>
      <x:c r="H673">
        <x:f ca="1">IFERROR(IF(0=LEN(ReferenceData!$H$673),"",ReferenceData!$H$673),"")</x:f>
        <x:v>-21.895344999999999</x:v>
      </x:c>
      <x:c r="I673">
        <x:f ca="1">IFERROR(IF(0=LEN(ReferenceData!$I$673),"",ReferenceData!$I$673),"")</x:f>
        <x:v>-75.465733999999998</x:v>
      </x:c>
      <x:c r="J673">
        <x:f ca="1">IFERROR(IF(0=LEN(ReferenceData!$J$673),"",ReferenceData!$J$673),"")</x:f>
        <x:v>22.129000000000001</x:v>
      </x:c>
      <x:c r="K673">
        <x:f ca="1">IFERROR(IF(0=LEN(ReferenceData!$K$673),"",ReferenceData!$K$673),"")</x:f>
        <x:v>-20.265000000000001</x:v>
      </x:c>
      <x:c r="L673">
        <x:f ca="1">IFERROR(IF(0=LEN(ReferenceData!$L$673),"",ReferenceData!$L$673),"")</x:f>
        <x:v>-15.9625</x:v>
      </x:c>
      <x:c r="M673">
        <x:f ca="1">IFERROR(IF(0=LEN(ReferenceData!$M$673),"",ReferenceData!$M$673),"")</x:f>
        <x:v>-26.154</x:v>
      </x:c>
      <x:c r="N673">
        <x:f ca="1">IFERROR(IF(0=LEN(ReferenceData!$N$673),"",ReferenceData!$N$673),"")</x:f>
        <x:v>-33.168999999999997</x:v>
      </x:c>
      <x:c r="O673">
        <x:f ca="1">IFERROR(IF(0=LEN(ReferenceData!$O$673),"",ReferenceData!$O$673),"")</x:f>
        <x:v>-28.357500000000002</x:v>
      </x:c>
      <x:c r="P673">
        <x:f ca="1">IFERROR(IF(0=LEN(ReferenceData!$P$673),"",ReferenceData!$P$673),"")</x:f>
        <x:v>-20.361999999999998</x:v>
      </x:c>
      <x:c r="Q673">
        <x:f ca="1">IFERROR(IF(0=LEN(ReferenceData!$Q$673),"",ReferenceData!$Q$673),"")</x:f>
        <x:v>-61.557526000000003</x:v>
      </x:c>
      <x:c r="R673">
        <x:f ca="1">IFERROR(IF(0=LEN(ReferenceData!$R$673),"",ReferenceData!$R$673),"")</x:f>
        <x:v>-38.687711</x:v>
      </x:c>
      <x:c r="S673">
        <x:f ca="1">IFERROR(IF(0=LEN(ReferenceData!$S$673),"",ReferenceData!$S$673),"")</x:f>
        <x:v>-59.514339999999997</x:v>
      </x:c>
    </x:row>
    <x:row r="674" spans="1:19" x14ac:dyDescent="0.25">
      <x:c r="A674" t="str">
        <x:f>IFERROR(IF(0=LEN(ReferenceData!$A$674),"",ReferenceData!$A$674),"")</x:f>
        <x:v xml:space="preserve">            VanEck Low Carbon Energy ETF</x:v>
      </x:c>
      <x:c r="B674" t="str">
        <x:f>IFERROR(IF(0=LEN(ReferenceData!$B$674),"",ReferenceData!$B$674),"")</x:f>
        <x:v>SMOG US Equity</x:v>
      </x:c>
      <x:c r="C674" t="str">
        <x:f>IFERROR(IF(0=LEN(ReferenceData!$C$674),"",ReferenceData!$C$674),"")</x:f>
        <x:v/>
      </x:c>
      <x:c r="D674" t="str">
        <x:f>IFERROR(IF(0=LEN(ReferenceData!$D$674),"",ReferenceData!$D$674),"")</x:f>
        <x:v/>
      </x:c>
      <x:c r="E674" t="str">
        <x:f>IFERROR(IF(0=LEN(ReferenceData!$E$674),"",ReferenceData!$E$674),"")</x:f>
        <x:v>Expression</x:v>
      </x:c>
      <x:c r="F674">
        <x:f ca="1">IFERROR(IF(0=LEN(ReferenceData!$F$674),"",ReferenceData!$F$674),"")</x:f>
        <x:v>0</x:v>
      </x:c>
      <x:c r="G674">
        <x:f ca="1">IFERROR(IF(0=LEN(ReferenceData!$G$674),"",ReferenceData!$G$674),"")</x:f>
        <x:v>-9.7991589999999995</x:v>
      </x:c>
      <x:c r="H674">
        <x:f ca="1">IFERROR(IF(0=LEN(ReferenceData!$H$674),"",ReferenceData!$H$674),"")</x:f>
        <x:v>0</x:v>
      </x:c>
      <x:c r="I674">
        <x:f ca="1">IFERROR(IF(0=LEN(ReferenceData!$I$674),"",ReferenceData!$I$674),"")</x:f>
        <x:v>-5.6798970000000004</x:v>
      </x:c>
      <x:c r="J674">
        <x:f ca="1">IFERROR(IF(0=LEN(ReferenceData!$J$674),"",ReferenceData!$J$674),"")</x:f>
        <x:v>0</x:v>
      </x:c>
      <x:c r="K674">
        <x:f ca="1">IFERROR(IF(0=LEN(ReferenceData!$K$674),"",ReferenceData!$K$674),"")</x:f>
        <x:v>-6.0129239999999999</x:v>
      </x:c>
      <x:c r="L674">
        <x:f ca="1">IFERROR(IF(0=LEN(ReferenceData!$L$674),"",ReferenceData!$L$674),"")</x:f>
        <x:v>-5.8183410000000002</x:v>
      </x:c>
      <x:c r="M674">
        <x:f ca="1">IFERROR(IF(0=LEN(ReferenceData!$M$674),"",ReferenceData!$M$674),"")</x:f>
        <x:v>-8.7246000000000004E-2</x:v>
      </x:c>
      <x:c r="N674">
        <x:f ca="1">IFERROR(IF(0=LEN(ReferenceData!$N$674),"",ReferenceData!$N$674),"")</x:f>
        <x:v>0</x:v>
      </x:c>
      <x:c r="O674">
        <x:f ca="1">IFERROR(IF(0=LEN(ReferenceData!$O$674),"",ReferenceData!$O$674),"")</x:f>
        <x:v>0</x:v>
      </x:c>
      <x:c r="P674">
        <x:f ca="1">IFERROR(IF(0=LEN(ReferenceData!$P$674),"",ReferenceData!$P$674),"")</x:f>
        <x:v>-6.002453</x:v>
      </x:c>
      <x:c r="Q674">
        <x:f ca="1">IFERROR(IF(0=LEN(ReferenceData!$Q$674),"",ReferenceData!$Q$674),"")</x:f>
        <x:v>0</x:v>
      </x:c>
      <x:c r="R674">
        <x:f ca="1">IFERROR(IF(0=LEN(ReferenceData!$R$674),"",ReferenceData!$R$674),"")</x:f>
        <x:v>0</x:v>
      </x:c>
      <x:c r="S674">
        <x:f ca="1">IFERROR(IF(0=LEN(ReferenceData!$S$674),"",ReferenceData!$S$674),"")</x:f>
        <x:v>0</x:v>
      </x:c>
    </x:row>
    <x:row r="675" spans="1:19" x14ac:dyDescent="0.25">
      <x:c r="A675" t="str">
        <x:f>IFERROR(IF(0=LEN(ReferenceData!$A$675),"",ReferenceData!$A$675),"")</x:f>
        <x:v xml:space="preserve">            First Trust Global Wind Energy</x:v>
      </x:c>
      <x:c r="B675" t="str">
        <x:f>IFERROR(IF(0=LEN(ReferenceData!$B$675),"",ReferenceData!$B$675),"")</x:f>
        <x:v>FAN US Equity</x:v>
      </x:c>
      <x:c r="C675" t="str">
        <x:f>IFERROR(IF(0=LEN(ReferenceData!$C$675),"",ReferenceData!$C$675),"")</x:f>
        <x:v/>
      </x:c>
      <x:c r="D675" t="str">
        <x:f>IFERROR(IF(0=LEN(ReferenceData!$D$675),"",ReferenceData!$D$675),"")</x:f>
        <x:v/>
      </x:c>
      <x:c r="E675" t="str">
        <x:f>IFERROR(IF(0=LEN(ReferenceData!$E$675),"",ReferenceData!$E$675),"")</x:f>
        <x:v>Expression</x:v>
      </x:c>
      <x:c r="F675">
        <x:f ca="1">IFERROR(IF(0=LEN(ReferenceData!$F$675),"",ReferenceData!$F$675),"")</x:f>
        <x:v>-2.8929239999999998</x:v>
      </x:c>
      <x:c r="G675">
        <x:f ca="1">IFERROR(IF(0=LEN(ReferenceData!$G$675),"",ReferenceData!$G$675),"")</x:f>
        <x:v>-8.4197980000000001</x:v>
      </x:c>
      <x:c r="H675">
        <x:f ca="1">IFERROR(IF(0=LEN(ReferenceData!$H$675),"",ReferenceData!$H$675),"")</x:f>
        <x:v>0</x:v>
      </x:c>
      <x:c r="I675">
        <x:f ca="1">IFERROR(IF(0=LEN(ReferenceData!$I$675),"",ReferenceData!$I$675),"")</x:f>
        <x:v>-3.2196220000000002</x:v>
      </x:c>
      <x:c r="J675">
        <x:f ca="1">IFERROR(IF(0=LEN(ReferenceData!$J$675),"",ReferenceData!$J$675),"")</x:f>
        <x:v>-7.6364999999999998</x:v>
      </x:c>
      <x:c r="K675">
        <x:f ca="1">IFERROR(IF(0=LEN(ReferenceData!$K$675),"",ReferenceData!$K$675),"")</x:f>
        <x:v>-9.7204999999999995</x:v>
      </x:c>
      <x:c r="L675">
        <x:f ca="1">IFERROR(IF(0=LEN(ReferenceData!$L$675),"",ReferenceData!$L$675),"")</x:f>
        <x:v>-7.9844999999999997</x:v>
      </x:c>
      <x:c r="M675">
        <x:f ca="1">IFERROR(IF(0=LEN(ReferenceData!$M$675),"",ReferenceData!$M$675),"")</x:f>
        <x:v>-3.621</x:v>
      </x:c>
      <x:c r="N675">
        <x:f ca="1">IFERROR(IF(0=LEN(ReferenceData!$N$675),"",ReferenceData!$N$675),"")</x:f>
        <x:v>-9.5109999999999992</x:v>
      </x:c>
      <x:c r="O675">
        <x:f ca="1">IFERROR(IF(0=LEN(ReferenceData!$O$675),"",ReferenceData!$O$675),"")</x:f>
        <x:v>2.806</x:v>
      </x:c>
      <x:c r="P675">
        <x:f ca="1">IFERROR(IF(0=LEN(ReferenceData!$P$675),"",ReferenceData!$P$675),"")</x:f>
        <x:v>6.45</x:v>
      </x:c>
      <x:c r="Q675">
        <x:f ca="1">IFERROR(IF(0=LEN(ReferenceData!$Q$675),"",ReferenceData!$Q$675),"")</x:f>
        <x:v>-5.2302229999999996</x:v>
      </x:c>
      <x:c r="R675">
        <x:f ca="1">IFERROR(IF(0=LEN(ReferenceData!$R$675),"",ReferenceData!$R$675),"")</x:f>
        <x:v>1.739365</x:v>
      </x:c>
      <x:c r="S675">
        <x:f ca="1">IFERROR(IF(0=LEN(ReferenceData!$S$675),"",ReferenceData!$S$675),"")</x:f>
        <x:v>1.582052</x:v>
      </x:c>
    </x:row>
    <x:row r="676" spans="1:19" x14ac:dyDescent="0.25">
      <x:c r="A676" t="str">
        <x:f>IFERROR(IF(0=LEN(ReferenceData!$A$676),"",ReferenceData!$A$676),"")</x:f>
        <x:v xml:space="preserve">            Global X Uranium ETF</x:v>
      </x:c>
      <x:c r="B676" t="str">
        <x:f>IFERROR(IF(0=LEN(ReferenceData!$B$676),"",ReferenceData!$B$676),"")</x:f>
        <x:v>URA US Equity</x:v>
      </x:c>
      <x:c r="C676" t="str">
        <x:f>IFERROR(IF(0=LEN(ReferenceData!$C$676),"",ReferenceData!$C$676),"")</x:f>
        <x:v/>
      </x:c>
      <x:c r="D676" t="str">
        <x:f>IFERROR(IF(0=LEN(ReferenceData!$D$676),"",ReferenceData!$D$676),"")</x:f>
        <x:v/>
      </x:c>
      <x:c r="E676" t="str">
        <x:f>IFERROR(IF(0=LEN(ReferenceData!$E$676),"",ReferenceData!$E$676),"")</x:f>
        <x:v>Expression</x:v>
      </x:c>
      <x:c r="F676">
        <x:f ca="1">IFERROR(IF(0=LEN(ReferenceData!$F$676),"",ReferenceData!$F$676),"")</x:f>
        <x:v>53.4666</x:v>
      </x:c>
      <x:c r="G676">
        <x:f ca="1">IFERROR(IF(0=LEN(ReferenceData!$G$676),"",ReferenceData!$G$676),"")</x:f>
        <x:v>105.3796</x:v>
      </x:c>
      <x:c r="H676">
        <x:f ca="1">IFERROR(IF(0=LEN(ReferenceData!$H$676),"",ReferenceData!$H$676),"")</x:f>
        <x:v>83.4255</x:v>
      </x:c>
      <x:c r="I676">
        <x:f ca="1">IFERROR(IF(0=LEN(ReferenceData!$I$676),"",ReferenceData!$I$676),"")</x:f>
        <x:v>74.812200000000004</x:v>
      </x:c>
      <x:c r="J676">
        <x:f ca="1">IFERROR(IF(0=LEN(ReferenceData!$J$676),"",ReferenceData!$J$676),"")</x:f>
        <x:v>-15.063700000000001</x:v>
      </x:c>
      <x:c r="K676">
        <x:f ca="1">IFERROR(IF(0=LEN(ReferenceData!$K$676),"",ReferenceData!$K$676),"")</x:f>
        <x:v>58.824199999999998</x:v>
      </x:c>
      <x:c r="L676">
        <x:f ca="1">IFERROR(IF(0=LEN(ReferenceData!$L$676),"",ReferenceData!$L$676),"")</x:f>
        <x:v>26.868200000000002</x:v>
      </x:c>
      <x:c r="M676">
        <x:f ca="1">IFERROR(IF(0=LEN(ReferenceData!$M$676),"",ReferenceData!$M$676),"")</x:f>
        <x:v>-38.618400000000001</x:v>
      </x:c>
      <x:c r="N676">
        <x:f ca="1">IFERROR(IF(0=LEN(ReferenceData!$N$676),"",ReferenceData!$N$676),"")</x:f>
        <x:v>-45.464100000000002</x:v>
      </x:c>
      <x:c r="O676">
        <x:f ca="1">IFERROR(IF(0=LEN(ReferenceData!$O$676),"",ReferenceData!$O$676),"")</x:f>
        <x:v>-98.166899999999998</x:v>
      </x:c>
      <x:c r="P676">
        <x:f ca="1">IFERROR(IF(0=LEN(ReferenceData!$P$676),"",ReferenceData!$P$676),"")</x:f>
        <x:v>56.447099999999999</x:v>
      </x:c>
      <x:c r="Q676">
        <x:f ca="1">IFERROR(IF(0=LEN(ReferenceData!$Q$676),"",ReferenceData!$Q$676),"")</x:f>
        <x:v>-60.7622</x:v>
      </x:c>
      <x:c r="R676">
        <x:f ca="1">IFERROR(IF(0=LEN(ReferenceData!$R$676),"",ReferenceData!$R$676),"")</x:f>
        <x:v>-13.927</x:v>
      </x:c>
      <x:c r="S676">
        <x:f ca="1">IFERROR(IF(0=LEN(ReferenceData!$S$676),"",ReferenceData!$S$676),"")</x:f>
        <x:v>25.181000000000001</x:v>
      </x:c>
    </x:row>
    <x:row r="677" spans="1:19" x14ac:dyDescent="0.25">
      <x:c r="A677" t="str">
        <x:f>IFERROR(IF(0=LEN(ReferenceData!$A$677),"",ReferenceData!$A$677),"")</x:f>
        <x:v xml:space="preserve">            First Trust EIP Carbon Impact</x:v>
      </x:c>
      <x:c r="B677" t="str">
        <x:f>IFERROR(IF(0=LEN(ReferenceData!$B$677),"",ReferenceData!$B$677),"")</x:f>
        <x:v>ECLN US Equity</x:v>
      </x:c>
      <x:c r="C677" t="str">
        <x:f>IFERROR(IF(0=LEN(ReferenceData!$C$677),"",ReferenceData!$C$677),"")</x:f>
        <x:v/>
      </x:c>
      <x:c r="D677" t="str">
        <x:f>IFERROR(IF(0=LEN(ReferenceData!$D$677),"",ReferenceData!$D$677),"")</x:f>
        <x:v/>
      </x:c>
      <x:c r="E677" t="str">
        <x:f>IFERROR(IF(0=LEN(ReferenceData!$E$677),"",ReferenceData!$E$677),"")</x:f>
        <x:v>Expression</x:v>
      </x:c>
      <x:c r="F677">
        <x:f ca="1">IFERROR(IF(0=LEN(ReferenceData!$F$677),"",ReferenceData!$F$677),"")</x:f>
        <x:v>0</x:v>
      </x:c>
      <x:c r="G677">
        <x:f ca="1">IFERROR(IF(0=LEN(ReferenceData!$G$677),"",ReferenceData!$G$677),"")</x:f>
        <x:v>-1.1391869999999999</x:v>
      </x:c>
      <x:c r="H677">
        <x:f ca="1">IFERROR(IF(0=LEN(ReferenceData!$H$677),"",ReferenceData!$H$677),"")</x:f>
        <x:v>0</x:v>
      </x:c>
      <x:c r="I677">
        <x:f ca="1">IFERROR(IF(0=LEN(ReferenceData!$I$677),"",ReferenceData!$I$677),"")</x:f>
        <x:v>-1.236</x:v>
      </x:c>
      <x:c r="J677">
        <x:f ca="1">IFERROR(IF(0=LEN(ReferenceData!$J$677),"",ReferenceData!$J$677),"")</x:f>
        <x:v>1.8499999999999999E-2</x:v>
      </x:c>
      <x:c r="K677">
        <x:f ca="1">IFERROR(IF(0=LEN(ReferenceData!$K$677),"",ReferenceData!$K$677),"")</x:f>
        <x:v>0</x:v>
      </x:c>
      <x:c r="L677">
        <x:f ca="1">IFERROR(IF(0=LEN(ReferenceData!$L$677),"",ReferenceData!$L$677),"")</x:f>
        <x:v>1.268</x:v>
      </x:c>
      <x:c r="M677">
        <x:f ca="1">IFERROR(IF(0=LEN(ReferenceData!$M$677),"",ReferenceData!$M$677),"")</x:f>
        <x:v>1.2835000000000001</x:v>
      </x:c>
      <x:c r="N677">
        <x:f ca="1">IFERROR(IF(0=LEN(ReferenceData!$N$677),"",ReferenceData!$N$677),"")</x:f>
        <x:v>0</x:v>
      </x:c>
      <x:c r="O677">
        <x:f ca="1">IFERROR(IF(0=LEN(ReferenceData!$O$677),"",ReferenceData!$O$677),"")</x:f>
        <x:v>5.0000000000000001E-3</x:v>
      </x:c>
      <x:c r="P677">
        <x:f ca="1">IFERROR(IF(0=LEN(ReferenceData!$P$677),"",ReferenceData!$P$677),"")</x:f>
        <x:v>0</x:v>
      </x:c>
      <x:c r="Q677">
        <x:f ca="1">IFERROR(IF(0=LEN(ReferenceData!$Q$677),"",ReferenceData!$Q$677),"")</x:f>
        <x:v>1.2839510000000001</x:v>
      </x:c>
      <x:c r="R677">
        <x:f ca="1">IFERROR(IF(0=LEN(ReferenceData!$R$677),"",ReferenceData!$R$677),"")</x:f>
        <x:v>1.2959830000000001</x:v>
      </x:c>
      <x:c r="S677">
        <x:f ca="1">IFERROR(IF(0=LEN(ReferenceData!$S$677),"",ReferenceData!$S$677),"")</x:f>
        <x:v>4.8604250000000002</x:v>
      </x:c>
    </x:row>
    <x:row r="678" spans="1:19" x14ac:dyDescent="0.25">
      <x:c r="A678" t="str">
        <x:f>IFERROR(IF(0=LEN(ReferenceData!$A$678),"",ReferenceData!$A$678),"")</x:f>
        <x:v xml:space="preserve">            Global X CleanTech ETF</x:v>
      </x:c>
      <x:c r="B678" t="str">
        <x:f>IFERROR(IF(0=LEN(ReferenceData!$B$678),"",ReferenceData!$B$678),"")</x:f>
        <x:v>CTEC US Equity</x:v>
      </x:c>
      <x:c r="C678" t="str">
        <x:f>IFERROR(IF(0=LEN(ReferenceData!$C$678),"",ReferenceData!$C$678),"")</x:f>
        <x:v/>
      </x:c>
      <x:c r="D678" t="str">
        <x:f>IFERROR(IF(0=LEN(ReferenceData!$D$678),"",ReferenceData!$D$678),"")</x:f>
        <x:v/>
      </x:c>
      <x:c r="E678" t="str">
        <x:f>IFERROR(IF(0=LEN(ReferenceData!$E$678),"",ReferenceData!$E$678),"")</x:f>
        <x:v>Expression</x:v>
      </x:c>
      <x:c r="F678">
        <x:f ca="1">IFERROR(IF(0=LEN(ReferenceData!$F$678),"",ReferenceData!$F$678),"")</x:f>
        <x:v>-2.0280999999999998</x:v>
      </x:c>
      <x:c r="G678">
        <x:f ca="1">IFERROR(IF(0=LEN(ReferenceData!$G$678),"",ReferenceData!$G$678),"")</x:f>
        <x:v>0</x:v>
      </x:c>
      <x:c r="H678">
        <x:f ca="1">IFERROR(IF(0=LEN(ReferenceData!$H$678),"",ReferenceData!$H$678),"")</x:f>
        <x:v>-2.3915000000000002</x:v>
      </x:c>
      <x:c r="I678">
        <x:f ca="1">IFERROR(IF(0=LEN(ReferenceData!$I$678),"",ReferenceData!$I$678),"")</x:f>
        <x:v>-3.1402000000000001</x:v>
      </x:c>
      <x:c r="J678">
        <x:f ca="1">IFERROR(IF(0=LEN(ReferenceData!$J$678),"",ReferenceData!$J$678),"")</x:f>
        <x:v>-1.8156000000000001</x:v>
      </x:c>
      <x:c r="K678">
        <x:f ca="1">IFERROR(IF(0=LEN(ReferenceData!$K$678),"",ReferenceData!$K$678),"")</x:f>
        <x:v>-2.4131999999999998</x:v>
      </x:c>
      <x:c r="L678">
        <x:f ca="1">IFERROR(IF(0=LEN(ReferenceData!$L$678),"",ReferenceData!$L$678),"")</x:f>
        <x:v>-3.7172000000000001</x:v>
      </x:c>
      <x:c r="M678">
        <x:f ca="1">IFERROR(IF(0=LEN(ReferenceData!$M$678),"",ReferenceData!$M$678),"")</x:f>
        <x:v>-4.6712999999999996</x:v>
      </x:c>
      <x:c r="N678">
        <x:f ca="1">IFERROR(IF(0=LEN(ReferenceData!$N$678),"",ReferenceData!$N$678),"")</x:f>
        <x:v>-2.1474000000000002</x:v>
      </x:c>
      <x:c r="O678">
        <x:f ca="1">IFERROR(IF(0=LEN(ReferenceData!$O$678),"",ReferenceData!$O$678),"")</x:f>
        <x:v>-4.4273999999999996</x:v>
      </x:c>
      <x:c r="P678">
        <x:f ca="1">IFERROR(IF(0=LEN(ReferenceData!$P$678),"",ReferenceData!$P$678),"")</x:f>
        <x:v>0</x:v>
      </x:c>
      <x:c r="Q678">
        <x:f ca="1">IFERROR(IF(0=LEN(ReferenceData!$Q$678),"",ReferenceData!$Q$678),"")</x:f>
        <x:v>2.0941999999999998</x:v>
      </x:c>
      <x:c r="R678">
        <x:f ca="1">IFERROR(IF(0=LEN(ReferenceData!$R$678),"",ReferenceData!$R$678),"")</x:f>
        <x:v>0.47520000000000001</x:v>
      </x:c>
      <x:c r="S678">
        <x:f ca="1">IFERROR(IF(0=LEN(ReferenceData!$S$678),"",ReferenceData!$S$678),"")</x:f>
        <x:v>0</x:v>
      </x:c>
    </x:row>
    <x:row r="679" spans="1:19" x14ac:dyDescent="0.25">
      <x:c r="A679" t="str">
        <x:f>IFERROR(IF(0=LEN(ReferenceData!$A$679),"",ReferenceData!$A$679),"")</x:f>
        <x:v xml:space="preserve">            SmartETFs Sustainable Energy I</x:v>
      </x:c>
      <x:c r="B679" t="str">
        <x:f>IFERROR(IF(0=LEN(ReferenceData!$B$679),"",ReferenceData!$B$679),"")</x:f>
        <x:v>SULR US Equity</x:v>
      </x:c>
      <x:c r="C679" t="str">
        <x:f>IFERROR(IF(0=LEN(ReferenceData!$C$679),"",ReferenceData!$C$679),"")</x:f>
        <x:v/>
      </x:c>
      <x:c r="D679" t="str">
        <x:f>IFERROR(IF(0=LEN(ReferenceData!$D$679),"",ReferenceData!$D$679),"")</x:f>
        <x:v/>
      </x:c>
      <x:c r="E679" t="str">
        <x:f>IFERROR(IF(0=LEN(ReferenceData!$E$679),"",ReferenceData!$E$679),"")</x:f>
        <x:v>Expression</x:v>
      </x:c>
      <x:c r="F679">
        <x:f ca="1">IFERROR(IF(0=LEN(ReferenceData!$F$679),"",ReferenceData!$F$679),"")</x:f>
        <x:v>0</x:v>
      </x:c>
      <x:c r="G679">
        <x:f ca="1">IFERROR(IF(0=LEN(ReferenceData!$G$679),"",ReferenceData!$G$679),"")</x:f>
        <x:v>0</x:v>
      </x:c>
      <x:c r="H679">
        <x:f ca="1">IFERROR(IF(0=LEN(ReferenceData!$H$679),"",ReferenceData!$H$679),"")</x:f>
        <x:v>0</x:v>
      </x:c>
      <x:c r="I679">
        <x:f ca="1">IFERROR(IF(0=LEN(ReferenceData!$I$679),"",ReferenceData!$I$679),"")</x:f>
        <x:v>0</x:v>
      </x:c>
      <x:c r="J679">
        <x:f ca="1">IFERROR(IF(0=LEN(ReferenceData!$J$679),"",ReferenceData!$J$679),"")</x:f>
        <x:v>0</x:v>
      </x:c>
      <x:c r="K679">
        <x:f ca="1">IFERROR(IF(0=LEN(ReferenceData!$K$679),"",ReferenceData!$K$679),"")</x:f>
        <x:v>0</x:v>
      </x:c>
      <x:c r="L679">
        <x:f ca="1">IFERROR(IF(0=LEN(ReferenceData!$L$679),"",ReferenceData!$L$679),"")</x:f>
        <x:v>0</x:v>
      </x:c>
      <x:c r="M679">
        <x:f ca="1">IFERROR(IF(0=LEN(ReferenceData!$M$679),"",ReferenceData!$M$679),"")</x:f>
        <x:v>0</x:v>
      </x:c>
      <x:c r="N679">
        <x:f ca="1">IFERROR(IF(0=LEN(ReferenceData!$N$679),"",ReferenceData!$N$679),"")</x:f>
        <x:v>0</x:v>
      </x:c>
      <x:c r="O679">
        <x:f ca="1">IFERROR(IF(0=LEN(ReferenceData!$O$679),"",ReferenceData!$O$679),"")</x:f>
        <x:v>0</x:v>
      </x:c>
      <x:c r="P679">
        <x:f ca="1">IFERROR(IF(0=LEN(ReferenceData!$P$679),"",ReferenceData!$P$679),"")</x:f>
        <x:v>0</x:v>
      </x:c>
      <x:c r="Q679">
        <x:f ca="1">IFERROR(IF(0=LEN(ReferenceData!$Q$679),"",ReferenceData!$Q$679),"")</x:f>
        <x:v>0</x:v>
      </x:c>
      <x:c r="R679">
        <x:f ca="1">IFERROR(IF(0=LEN(ReferenceData!$R$679),"",ReferenceData!$R$679),"")</x:f>
        <x:v>0</x:v>
      </x:c>
      <x:c r="S679">
        <x:f ca="1">IFERROR(IF(0=LEN(ReferenceData!$S$679),"",ReferenceData!$S$679),"")</x:f>
        <x:v>0</x:v>
      </x:c>
    </x:row>
    <x:row r="680" spans="1:19" x14ac:dyDescent="0.25">
      <x:c r="A680" t="str">
        <x:f>IFERROR(IF(0=LEN(ReferenceData!$A$680),"",ReferenceData!$A$680),"")</x:f>
        <x:v xml:space="preserve">            Blue Horizon New Energy Econom</x:v>
      </x:c>
      <x:c r="B680" t="str">
        <x:f>IFERROR(IF(0=LEN(ReferenceData!$B$680),"",ReferenceData!$B$680),"")</x:f>
        <x:v>BNE US Equity</x:v>
      </x:c>
      <x:c r="C680" t="str">
        <x:f>IFERROR(IF(0=LEN(ReferenceData!$C$680),"",ReferenceData!$C$680),"")</x:f>
        <x:v/>
      </x:c>
      <x:c r="D680" t="str">
        <x:f>IFERROR(IF(0=LEN(ReferenceData!$D$680),"",ReferenceData!$D$680),"")</x:f>
        <x:v/>
      </x:c>
      <x:c r="E680" t="str">
        <x:f>IFERROR(IF(0=LEN(ReferenceData!$E$680),"",ReferenceData!$E$680),"")</x:f>
        <x:v>Expression</x:v>
      </x:c>
      <x:c r="F680">
        <x:f ca="1">IFERROR(IF(0=LEN(ReferenceData!$F$680),"",ReferenceData!$F$680),"")</x:f>
        <x:v>0</x:v>
      </x:c>
      <x:c r="G680">
        <x:f ca="1">IFERROR(IF(0=LEN(ReferenceData!$G$680),"",ReferenceData!$G$680),"")</x:f>
        <x:v>0</x:v>
      </x:c>
      <x:c r="H680">
        <x:f ca="1">IFERROR(IF(0=LEN(ReferenceData!$H$680),"",ReferenceData!$H$680),"")</x:f>
        <x:v>0</x:v>
      </x:c>
      <x:c r="I680">
        <x:f ca="1">IFERROR(IF(0=LEN(ReferenceData!$I$680),"",ReferenceData!$I$680),"")</x:f>
        <x:v>0</x:v>
      </x:c>
      <x:c r="J680">
        <x:f ca="1">IFERROR(IF(0=LEN(ReferenceData!$J$680),"",ReferenceData!$J$680),"")</x:f>
        <x:v>-2.0638570000000001</x:v>
      </x:c>
      <x:c r="K680">
        <x:f ca="1">IFERROR(IF(0=LEN(ReferenceData!$K$680),"",ReferenceData!$K$680),"")</x:f>
        <x:v>0</x:v>
      </x:c>
      <x:c r="L680">
        <x:f ca="1">IFERROR(IF(0=LEN(ReferenceData!$L$680),"",ReferenceData!$L$680),"")</x:f>
        <x:v>0</x:v>
      </x:c>
      <x:c r="M680">
        <x:f ca="1">IFERROR(IF(0=LEN(ReferenceData!$M$680),"",ReferenceData!$M$680),"")</x:f>
        <x:v>0</x:v>
      </x:c>
      <x:c r="N680">
        <x:f ca="1">IFERROR(IF(0=LEN(ReferenceData!$N$680),"",ReferenceData!$N$680),"")</x:f>
        <x:v>-1.27084</x:v>
      </x:c>
      <x:c r="O680">
        <x:f ca="1">IFERROR(IF(0=LEN(ReferenceData!$O$680),"",ReferenceData!$O$680),"")</x:f>
        <x:v>1.9135450000000001</x:v>
      </x:c>
      <x:c r="P680">
        <x:f ca="1">IFERROR(IF(0=LEN(ReferenceData!$P$680),"",ReferenceData!$P$680),"")</x:f>
        <x:v>0</x:v>
      </x:c>
      <x:c r="Q680">
        <x:f ca="1">IFERROR(IF(0=LEN(ReferenceData!$Q$680),"",ReferenceData!$Q$680),"")</x:f>
        <x:v>0</x:v>
      </x:c>
      <x:c r="R680">
        <x:f ca="1">IFERROR(IF(0=LEN(ReferenceData!$R$680),"",ReferenceData!$R$680),"")</x:f>
        <x:v>0</x:v>
      </x:c>
      <x:c r="S680">
        <x:f ca="1">IFERROR(IF(0=LEN(ReferenceData!$S$680),"",ReferenceData!$S$680),"")</x:f>
        <x:v>0</x:v>
      </x:c>
    </x:row>
    <x:row r="681" spans="1:19" x14ac:dyDescent="0.25">
      <x:c r="A681" t="str">
        <x:f>IFERROR(IF(0=LEN(ReferenceData!$A$681),"",ReferenceData!$A$681),"")</x:f>
        <x:v xml:space="preserve">            Invesco Solar ETF</x:v>
      </x:c>
      <x:c r="B681" t="str">
        <x:f>IFERROR(IF(0=LEN(ReferenceData!$B$681),"",ReferenceData!$B$681),"")</x:f>
        <x:v>TAN US Equity</x:v>
      </x:c>
      <x:c r="C681" t="str">
        <x:f>IFERROR(IF(0=LEN(ReferenceData!$C$681),"",ReferenceData!$C$681),"")</x:f>
        <x:v/>
      </x:c>
      <x:c r="D681" t="str">
        <x:f>IFERROR(IF(0=LEN(ReferenceData!$D$681),"",ReferenceData!$D$681),"")</x:f>
        <x:v/>
      </x:c>
      <x:c r="E681" t="str">
        <x:f>IFERROR(IF(0=LEN(ReferenceData!$E$681),"",ReferenceData!$E$681),"")</x:f>
        <x:v>Expression</x:v>
      </x:c>
      <x:c r="F681">
        <x:f ca="1">IFERROR(IF(0=LEN(ReferenceData!$F$681),"",ReferenceData!$F$681),"")</x:f>
        <x:v>14.546950000000001</x:v>
      </x:c>
      <x:c r="G681">
        <x:f ca="1">IFERROR(IF(0=LEN(ReferenceData!$G$681),"",ReferenceData!$G$681),"")</x:f>
        <x:v>4.0706319999999998</x:v>
      </x:c>
      <x:c r="H681">
        <x:f ca="1">IFERROR(IF(0=LEN(ReferenceData!$H$681),"",ReferenceData!$H$681),"")</x:f>
        <x:v>13.216526</x:v>
      </x:c>
      <x:c r="I681">
        <x:f ca="1">IFERROR(IF(0=LEN(ReferenceData!$I$681),"",ReferenceData!$I$681),"")</x:f>
        <x:v>-60.217519000000003</x:v>
      </x:c>
      <x:c r="J681">
        <x:f ca="1">IFERROR(IF(0=LEN(ReferenceData!$J$681),"",ReferenceData!$J$681),"")</x:f>
        <x:v>-16.232810000000001</x:v>
      </x:c>
      <x:c r="K681">
        <x:f ca="1">IFERROR(IF(0=LEN(ReferenceData!$K$681),"",ReferenceData!$K$681),"")</x:f>
        <x:v>17.295117000000001</x:v>
      </x:c>
      <x:c r="L681">
        <x:f ca="1">IFERROR(IF(0=LEN(ReferenceData!$L$681),"",ReferenceData!$L$681),"")</x:f>
        <x:v>-73.446470000000005</x:v>
      </x:c>
      <x:c r="M681">
        <x:f ca="1">IFERROR(IF(0=LEN(ReferenceData!$M$681),"",ReferenceData!$M$681),"")</x:f>
        <x:v>-65.425025000000005</x:v>
      </x:c>
      <x:c r="N681">
        <x:f ca="1">IFERROR(IF(0=LEN(ReferenceData!$N$681),"",ReferenceData!$N$681),"")</x:f>
        <x:v>-23.446290000000001</x:v>
      </x:c>
      <x:c r="O681">
        <x:f ca="1">IFERROR(IF(0=LEN(ReferenceData!$O$681),"",ReferenceData!$O$681),"")</x:f>
        <x:v>-68.449393000000001</x:v>
      </x:c>
      <x:c r="P681">
        <x:f ca="1">IFERROR(IF(0=LEN(ReferenceData!$P$681),"",ReferenceData!$P$681),"")</x:f>
        <x:v>-36.098858999999997</x:v>
      </x:c>
      <x:c r="Q681">
        <x:f ca="1">IFERROR(IF(0=LEN(ReferenceData!$Q$681),"",ReferenceData!$Q$681),"")</x:f>
        <x:v>-121.945233</x:v>
      </x:c>
      <x:c r="R681">
        <x:f ca="1">IFERROR(IF(0=LEN(ReferenceData!$R$681),"",ReferenceData!$R$681),"")</x:f>
        <x:v>213.53755100000001</x:v>
      </x:c>
      <x:c r="S681">
        <x:f ca="1">IFERROR(IF(0=LEN(ReferenceData!$S$681),"",ReferenceData!$S$681),"")</x:f>
        <x:v>-211.02170699999999</x:v>
      </x:c>
    </x:row>
    <x:row r="682" spans="1:19" x14ac:dyDescent="0.25">
      <x:c r="A682" t="str">
        <x:f>IFERROR(IF(0=LEN(ReferenceData!$A$682),"",ReferenceData!$A$682),"")</x:f>
        <x:v xml:space="preserve">            Defiance Next Gen H2 ETF</x:v>
      </x:c>
      <x:c r="B682" t="str">
        <x:f>IFERROR(IF(0=LEN(ReferenceData!$B$682),"",ReferenceData!$B$682),"")</x:f>
        <x:v>HDRO US Equity</x:v>
      </x:c>
      <x:c r="C682" t="str">
        <x:f>IFERROR(IF(0=LEN(ReferenceData!$C$682),"",ReferenceData!$C$682),"")</x:f>
        <x:v/>
      </x:c>
      <x:c r="D682" t="str">
        <x:f>IFERROR(IF(0=LEN(ReferenceData!$D$682),"",ReferenceData!$D$682),"")</x:f>
        <x:v/>
      </x:c>
      <x:c r="E682" t="str">
        <x:f>IFERROR(IF(0=LEN(ReferenceData!$E$682),"",ReferenceData!$E$682),"")</x:f>
        <x:v>Expression</x:v>
      </x:c>
      <x:c r="F682">
        <x:f ca="1">IFERROR(IF(0=LEN(ReferenceData!$F$682),"",ReferenceData!$F$682),"")</x:f>
        <x:v>0</x:v>
      </x:c>
      <x:c r="G682">
        <x:f ca="1">IFERROR(IF(0=LEN(ReferenceData!$G$682),"",ReferenceData!$G$682),"")</x:f>
        <x:v>0</x:v>
      </x:c>
      <x:c r="H682">
        <x:f ca="1">IFERROR(IF(0=LEN(ReferenceData!$H$682),"",ReferenceData!$H$682),"")</x:f>
        <x:v>-0.181668</x:v>
      </x:c>
      <x:c r="I682">
        <x:f ca="1">IFERROR(IF(0=LEN(ReferenceData!$I$682),"",ReferenceData!$I$682),"")</x:f>
        <x:v>0</x:v>
      </x:c>
      <x:c r="J682">
        <x:f ca="1">IFERROR(IF(0=LEN(ReferenceData!$J$682),"",ReferenceData!$J$682),"")</x:f>
        <x:v>-1.0995619999999999</x:v>
      </x:c>
      <x:c r="K682">
        <x:f ca="1">IFERROR(IF(0=LEN(ReferenceData!$K$682),"",ReferenceData!$K$682),"")</x:f>
        <x:v>0.62536499999999995</x:v>
      </x:c>
      <x:c r="L682">
        <x:f ca="1">IFERROR(IF(0=LEN(ReferenceData!$L$682),"",ReferenceData!$L$682),"")</x:f>
        <x:v>0</x:v>
      </x:c>
      <x:c r="M682">
        <x:f ca="1">IFERROR(IF(0=LEN(ReferenceData!$M$682),"",ReferenceData!$M$682),"")</x:f>
        <x:v>0.44622000000000001</x:v>
      </x:c>
      <x:c r="N682">
        <x:f ca="1">IFERROR(IF(0=LEN(ReferenceData!$N$682),"",ReferenceData!$N$682),"")</x:f>
        <x:v>-0.988375</x:v>
      </x:c>
      <x:c r="O682">
        <x:f ca="1">IFERROR(IF(0=LEN(ReferenceData!$O$682),"",ReferenceData!$O$682),"")</x:f>
        <x:v>1.5994550000000001</x:v>
      </x:c>
      <x:c r="P682">
        <x:f ca="1">IFERROR(IF(0=LEN(ReferenceData!$P$682),"",ReferenceData!$P$682),"")</x:f>
        <x:v>-0.73823499999999997</x:v>
      </x:c>
      <x:c r="Q682">
        <x:f ca="1">IFERROR(IF(0=LEN(ReferenceData!$Q$682),"",ReferenceData!$Q$682),"")</x:f>
        <x:v>0</x:v>
      </x:c>
      <x:c r="R682">
        <x:f ca="1">IFERROR(IF(0=LEN(ReferenceData!$R$682),"",ReferenceData!$R$682),"")</x:f>
        <x:v>0.46455999999999997</x:v>
      </x:c>
      <x:c r="S682">
        <x:f ca="1">IFERROR(IF(0=LEN(ReferenceData!$S$682),"",ReferenceData!$S$682),"")</x:f>
        <x:v>-1.50288</x:v>
      </x:c>
    </x:row>
    <x:row r="683" spans="1:19" x14ac:dyDescent="0.25">
      <x:c r="A683" t="str">
        <x:f>IFERROR(IF(0=LEN(ReferenceData!$A$683),"",ReferenceData!$A$683),"")</x:f>
        <x:v xml:space="preserve">            Direxion Hydrogen ETF</x:v>
      </x:c>
      <x:c r="B683" t="str">
        <x:f>IFERROR(IF(0=LEN(ReferenceData!$B$683),"",ReferenceData!$B$683),"")</x:f>
        <x:v>HJEN US Equity</x:v>
      </x:c>
      <x:c r="C683" t="str">
        <x:f>IFERROR(IF(0=LEN(ReferenceData!$C$683),"",ReferenceData!$C$683),"")</x:f>
        <x:v/>
      </x:c>
      <x:c r="D683" t="str">
        <x:f>IFERROR(IF(0=LEN(ReferenceData!$D$683),"",ReferenceData!$D$683),"")</x:f>
        <x:v/>
      </x:c>
      <x:c r="E683" t="str">
        <x:f>IFERROR(IF(0=LEN(ReferenceData!$E$683),"",ReferenceData!$E$683),"")</x:f>
        <x:v>Expression</x:v>
      </x:c>
      <x:c r="F683">
        <x:f ca="1">IFERROR(IF(0=LEN(ReferenceData!$F$683),"",ReferenceData!$F$683),"")</x:f>
        <x:v>0</x:v>
      </x:c>
      <x:c r="G683">
        <x:f ca="1">IFERROR(IF(0=LEN(ReferenceData!$G$683),"",ReferenceData!$G$683),"")</x:f>
        <x:v>1.172763</x:v>
      </x:c>
      <x:c r="H683">
        <x:f ca="1">IFERROR(IF(0=LEN(ReferenceData!$H$683),"",ReferenceData!$H$683),"")</x:f>
        <x:v>0</x:v>
      </x:c>
      <x:c r="I683">
        <x:f ca="1">IFERROR(IF(0=LEN(ReferenceData!$I$683),"",ReferenceData!$I$683),"")</x:f>
        <x:v>0</x:v>
      </x:c>
      <x:c r="J683">
        <x:f ca="1">IFERROR(IF(0=LEN(ReferenceData!$J$683),"",ReferenceData!$J$683),"")</x:f>
        <x:v>-1.7469170000000001</x:v>
      </x:c>
      <x:c r="K683">
        <x:f ca="1">IFERROR(IF(0=LEN(ReferenceData!$K$683),"",ReferenceData!$K$683),"")</x:f>
        <x:v>1.3731599999999999</x:v>
      </x:c>
      <x:c r="L683">
        <x:f ca="1">IFERROR(IF(0=LEN(ReferenceData!$L$683),"",ReferenceData!$L$683),"")</x:f>
        <x:v>0</x:v>
      </x:c>
      <x:c r="M683">
        <x:f ca="1">IFERROR(IF(0=LEN(ReferenceData!$M$683),"",ReferenceData!$M$683),"")</x:f>
        <x:v>0</x:v>
      </x:c>
      <x:c r="N683">
        <x:f ca="1">IFERROR(IF(0=LEN(ReferenceData!$N$683),"",ReferenceData!$N$683),"")</x:f>
        <x:v>2.7891780000000002</x:v>
      </x:c>
      <x:c r="O683">
        <x:f ca="1">IFERROR(IF(0=LEN(ReferenceData!$O$683),"",ReferenceData!$O$683),"")</x:f>
        <x:v>3.8890009999999999</x:v>
      </x:c>
      <x:c r="P683">
        <x:f ca="1">IFERROR(IF(0=LEN(ReferenceData!$P$683),"",ReferenceData!$P$683),"")</x:f>
        <x:v>0</x:v>
      </x:c>
      <x:c r="Q683">
        <x:f ca="1">IFERROR(IF(0=LEN(ReferenceData!$Q$683),"",ReferenceData!$Q$683),"")</x:f>
        <x:v>0</x:v>
      </x:c>
      <x:c r="R683">
        <x:f ca="1">IFERROR(IF(0=LEN(ReferenceData!$R$683),"",ReferenceData!$R$683),"")</x:f>
        <x:v>2.8390620000000002</x:v>
      </x:c>
      <x:c r="S683">
        <x:f ca="1">IFERROR(IF(0=LEN(ReferenceData!$S$683),"",ReferenceData!$S$683),"")</x:f>
        <x:v>0</x:v>
      </x:c>
    </x:row>
    <x:row r="684" spans="1:19" x14ac:dyDescent="0.25">
      <x:c r="A684" t="str">
        <x:f>IFERROR(IF(0=LEN(ReferenceData!$A$684),"",ReferenceData!$A$684),"")</x:f>
        <x:v xml:space="preserve">            Global X Hydrogen ETF</x:v>
      </x:c>
      <x:c r="B684" t="str">
        <x:f>IFERROR(IF(0=LEN(ReferenceData!$B$684),"",ReferenceData!$B$684),"")</x:f>
        <x:v>HYDR US Equity</x:v>
      </x:c>
      <x:c r="C684" t="str">
        <x:f>IFERROR(IF(0=LEN(ReferenceData!$C$684),"",ReferenceData!$C$684),"")</x:f>
        <x:v/>
      </x:c>
      <x:c r="D684" t="str">
        <x:f>IFERROR(IF(0=LEN(ReferenceData!$D$684),"",ReferenceData!$D$684),"")</x:f>
        <x:v/>
      </x:c>
      <x:c r="E684" t="str">
        <x:f>IFERROR(IF(0=LEN(ReferenceData!$E$684),"",ReferenceData!$E$684),"")</x:f>
        <x:v>Expression</x:v>
      </x:c>
      <x:c r="F684">
        <x:f ca="1">IFERROR(IF(0=LEN(ReferenceData!$F$684),"",ReferenceData!$F$684),"")</x:f>
        <x:v>0</x:v>
      </x:c>
      <x:c r="G684">
        <x:f ca="1">IFERROR(IF(0=LEN(ReferenceData!$G$684),"",ReferenceData!$G$684),"")</x:f>
        <x:v>0</x:v>
      </x:c>
      <x:c r="H684">
        <x:f ca="1">IFERROR(IF(0=LEN(ReferenceData!$H$684),"",ReferenceData!$H$684),"")</x:f>
        <x:v>0</x:v>
      </x:c>
      <x:c r="I684">
        <x:f ca="1">IFERROR(IF(0=LEN(ReferenceData!$I$684),"",ReferenceData!$I$684),"")</x:f>
        <x:v>3.0259</x:v>
      </x:c>
      <x:c r="J684">
        <x:f ca="1">IFERROR(IF(0=LEN(ReferenceData!$J$684),"",ReferenceData!$J$684),"")</x:f>
        <x:v>4.1102999999999996</x:v>
      </x:c>
      <x:c r="K684">
        <x:f ca="1">IFERROR(IF(0=LEN(ReferenceData!$K$684),"",ReferenceData!$K$684),"")</x:f>
        <x:v>8.2520000000000007</x:v>
      </x:c>
      <x:c r="L684">
        <x:f ca="1">IFERROR(IF(0=LEN(ReferenceData!$L$684),"",ReferenceData!$L$684),"")</x:f>
        <x:v>0.44950000000000001</x:v>
      </x:c>
      <x:c r="M684">
        <x:f ca="1">IFERROR(IF(0=LEN(ReferenceData!$M$684),"",ReferenceData!$M$684),"")</x:f>
        <x:v>0</x:v>
      </x:c>
      <x:c r="N684">
        <x:f ca="1">IFERROR(IF(0=LEN(ReferenceData!$N$684),"",ReferenceData!$N$684),"")</x:f>
        <x:v>1.7624</x:v>
      </x:c>
      <x:c r="O684">
        <x:f ca="1">IFERROR(IF(0=LEN(ReferenceData!$O$684),"",ReferenceData!$O$684),"")</x:f>
        <x:v>3.0021</x:v>
      </x:c>
      <x:c r="P684">
        <x:f ca="1">IFERROR(IF(0=LEN(ReferenceData!$P$684),"",ReferenceData!$P$684),"")</x:f>
        <x:v>1.9024000000000001</x:v>
      </x:c>
      <x:c r="Q684">
        <x:f ca="1">IFERROR(IF(0=LEN(ReferenceData!$Q$684),"",ReferenceData!$Q$684),"")</x:f>
        <x:v>0.1084</x:v>
      </x:c>
      <x:c r="R684">
        <x:f ca="1">IFERROR(IF(0=LEN(ReferenceData!$R$684),"",ReferenceData!$R$684),"")</x:f>
        <x:v>2.4598</x:v>
      </x:c>
      <x:c r="S684">
        <x:f ca="1">IFERROR(IF(0=LEN(ReferenceData!$S$684),"",ReferenceData!$S$684),"")</x:f>
        <x:v>-0.90810000000000002</x:v>
      </x:c>
    </x:row>
    <x:row r="685" spans="1:19" x14ac:dyDescent="0.25">
      <x:c r="A685" t="str">
        <x:f>IFERROR(IF(0=LEN(ReferenceData!$A$685),"",ReferenceData!$A$685),"")</x:f>
        <x:v xml:space="preserve">            Fidelity Clean Energy ETF</x:v>
      </x:c>
      <x:c r="B685" t="str">
        <x:f>IFERROR(IF(0=LEN(ReferenceData!$B$685),"",ReferenceData!$B$685),"")</x:f>
        <x:v>FRNW US Equity</x:v>
      </x:c>
      <x:c r="C685" t="str">
        <x:f>IFERROR(IF(0=LEN(ReferenceData!$C$685),"",ReferenceData!$C$685),"")</x:f>
        <x:v/>
      </x:c>
      <x:c r="D685" t="str">
        <x:f>IFERROR(IF(0=LEN(ReferenceData!$D$685),"",ReferenceData!$D$685),"")</x:f>
        <x:v/>
      </x:c>
      <x:c r="E685" t="str">
        <x:f>IFERROR(IF(0=LEN(ReferenceData!$E$685),"",ReferenceData!$E$685),"")</x:f>
        <x:v>Expression</x:v>
      </x:c>
      <x:c r="F685">
        <x:f ca="1">IFERROR(IF(0=LEN(ReferenceData!$F$685),"",ReferenceData!$F$685),"")</x:f>
        <x:v>0</x:v>
      </x:c>
      <x:c r="G685">
        <x:f ca="1">IFERROR(IF(0=LEN(ReferenceData!$G$685),"",ReferenceData!$G$685),"")</x:f>
        <x:v>0</x:v>
      </x:c>
      <x:c r="H685">
        <x:f ca="1">IFERROR(IF(0=LEN(ReferenceData!$H$685),"",ReferenceData!$H$685),"")</x:f>
        <x:v>0</x:v>
      </x:c>
      <x:c r="I685">
        <x:f ca="1">IFERROR(IF(0=LEN(ReferenceData!$I$685),"",ReferenceData!$I$685),"")</x:f>
        <x:v>-0.96925300000000003</x:v>
      </x:c>
      <x:c r="J685">
        <x:f ca="1">IFERROR(IF(0=LEN(ReferenceData!$J$685),"",ReferenceData!$J$685),"")</x:f>
        <x:v>0</x:v>
      </x:c>
      <x:c r="K685">
        <x:f ca="1">IFERROR(IF(0=LEN(ReferenceData!$K$685),"",ReferenceData!$K$685),"")</x:f>
        <x:v>0</x:v>
      </x:c>
      <x:c r="L685">
        <x:f ca="1">IFERROR(IF(0=LEN(ReferenceData!$L$685),"",ReferenceData!$L$685),"")</x:f>
        <x:v>0</x:v>
      </x:c>
      <x:c r="M685">
        <x:f ca="1">IFERROR(IF(0=LEN(ReferenceData!$M$685),"",ReferenceData!$M$685),"")</x:f>
        <x:v>0</x:v>
      </x:c>
      <x:c r="N685">
        <x:f ca="1">IFERROR(IF(0=LEN(ReferenceData!$N$685),"",ReferenceData!$N$685),"")</x:f>
        <x:v>-1.0029429999999999</x:v>
      </x:c>
      <x:c r="O685">
        <x:f ca="1">IFERROR(IF(0=LEN(ReferenceData!$O$685),"",ReferenceData!$O$685),"")</x:f>
        <x:v>0</x:v>
      </x:c>
      <x:c r="P685">
        <x:f ca="1">IFERROR(IF(0=LEN(ReferenceData!$P$685),"",ReferenceData!$P$685),"")</x:f>
        <x:v>3.4926659999999998</x:v>
      </x:c>
      <x:c r="Q685">
        <x:f ca="1">IFERROR(IF(0=LEN(ReferenceData!$Q$685),"",ReferenceData!$Q$685),"")</x:f>
        <x:v>0</x:v>
      </x:c>
      <x:c r="R685">
        <x:f ca="1">IFERROR(IF(0=LEN(ReferenceData!$R$685),"",ReferenceData!$R$685),"")</x:f>
        <x:v>1.15316</x:v>
      </x:c>
      <x:c r="S685">
        <x:f ca="1">IFERROR(IF(0=LEN(ReferenceData!$S$685),"",ReferenceData!$S$685),"")</x:f>
        <x:v>0</x:v>
      </x:c>
    </x:row>
    <x:row r="686" spans="1:19" x14ac:dyDescent="0.25">
      <x:c r="A686" t="str">
        <x:f>IFERROR(IF(0=LEN(ReferenceData!$A$686),"",ReferenceData!$A$686),"")</x:f>
        <x:v xml:space="preserve">            Global X Wind Energy ETF</x:v>
      </x:c>
      <x:c r="B686" t="str">
        <x:f>IFERROR(IF(0=LEN(ReferenceData!$B$686),"",ReferenceData!$B$686),"")</x:f>
        <x:v>WNDY US Equity</x:v>
      </x:c>
      <x:c r="C686" t="str">
        <x:f>IFERROR(IF(0=LEN(ReferenceData!$C$686),"",ReferenceData!$C$686),"")</x:f>
        <x:v/>
      </x:c>
      <x:c r="D686" t="str">
        <x:f>IFERROR(IF(0=LEN(ReferenceData!$D$686),"",ReferenceData!$D$686),"")</x:f>
        <x:v/>
      </x:c>
      <x:c r="E686" t="str">
        <x:f>IFERROR(IF(0=LEN(ReferenceData!$E$686),"",ReferenceData!$E$686),"")</x:f>
        <x:v>Expression</x:v>
      </x:c>
      <x:c r="F686">
        <x:f ca="1">IFERROR(IF(0=LEN(ReferenceData!$F$686),"",ReferenceData!$F$686),"")</x:f>
        <x:v>0</x:v>
      </x:c>
      <x:c r="G686">
        <x:f ca="1">IFERROR(IF(0=LEN(ReferenceData!$G$686),"",ReferenceData!$G$686),"")</x:f>
        <x:v>-0.97950000000000004</x:v>
      </x:c>
      <x:c r="H686">
        <x:f ca="1">IFERROR(IF(0=LEN(ReferenceData!$H$686),"",ReferenceData!$H$686),"")</x:f>
        <x:v>0</x:v>
      </x:c>
      <x:c r="I686">
        <x:f ca="1">IFERROR(IF(0=LEN(ReferenceData!$I$686),"",ReferenceData!$I$686),"")</x:f>
        <x:v>0</x:v>
      </x:c>
      <x:c r="J686">
        <x:f ca="1">IFERROR(IF(0=LEN(ReferenceData!$J$686),"",ReferenceData!$J$686),"")</x:f>
        <x:v>-0.4788</x:v>
      </x:c>
      <x:c r="K686">
        <x:f ca="1">IFERROR(IF(0=LEN(ReferenceData!$K$686),"",ReferenceData!$K$686),"")</x:f>
        <x:v>0</x:v>
      </x:c>
      <x:c r="L686">
        <x:f ca="1">IFERROR(IF(0=LEN(ReferenceData!$L$686),"",ReferenceData!$L$686),"")</x:f>
        <x:v>0</x:v>
      </x:c>
      <x:c r="M686">
        <x:f ca="1">IFERROR(IF(0=LEN(ReferenceData!$M$686),"",ReferenceData!$M$686),"")</x:f>
        <x:v>-0.52049999999999996</x:v>
      </x:c>
      <x:c r="N686">
        <x:f ca="1">IFERROR(IF(0=LEN(ReferenceData!$N$686),"",ReferenceData!$N$686),"")</x:f>
        <x:v>-8.7262000000000004</x:v>
      </x:c>
      <x:c r="O686">
        <x:f ca="1">IFERROR(IF(0=LEN(ReferenceData!$O$686),"",ReferenceData!$O$686),"")</x:f>
        <x:v>5.4219999999999997</x:v>
      </x:c>
      <x:c r="P686">
        <x:f ca="1">IFERROR(IF(0=LEN(ReferenceData!$P$686),"",ReferenceData!$P$686),"")</x:f>
        <x:v>7.2454000000000001</x:v>
      </x:c>
      <x:c r="Q686">
        <x:f ca="1">IFERROR(IF(0=LEN(ReferenceData!$Q$686),"",ReferenceData!$Q$686),"")</x:f>
        <x:v>0</x:v>
      </x:c>
      <x:c r="R686">
        <x:f ca="1">IFERROR(IF(0=LEN(ReferenceData!$R$686),"",ReferenceData!$R$686),"")</x:f>
        <x:v>0</x:v>
      </x:c>
      <x:c r="S686">
        <x:f ca="1">IFERROR(IF(0=LEN(ReferenceData!$S$686),"",ReferenceData!$S$686),"")</x:f>
        <x:v>0</x:v>
      </x:c>
    </x:row>
    <x:row r="687" spans="1:19" x14ac:dyDescent="0.25">
      <x:c r="A687" t="str">
        <x:f>IFERROR(IF(0=LEN(ReferenceData!$A$687),"",ReferenceData!$A$687),"")</x:f>
        <x:v xml:space="preserve">            Global X Solar ETF</x:v>
      </x:c>
      <x:c r="B687" t="str">
        <x:f>IFERROR(IF(0=LEN(ReferenceData!$B$687),"",ReferenceData!$B$687),"")</x:f>
        <x:v>RAYS US Equity</x:v>
      </x:c>
      <x:c r="C687" t="str">
        <x:f>IFERROR(IF(0=LEN(ReferenceData!$C$687),"",ReferenceData!$C$687),"")</x:f>
        <x:v/>
      </x:c>
      <x:c r="D687" t="str">
        <x:f>IFERROR(IF(0=LEN(ReferenceData!$D$687),"",ReferenceData!$D$687),"")</x:f>
        <x:v/>
      </x:c>
      <x:c r="E687" t="str">
        <x:f>IFERROR(IF(0=LEN(ReferenceData!$E$687),"",ReferenceData!$E$687),"")</x:f>
        <x:v>Expression</x:v>
      </x:c>
      <x:c r="F687">
        <x:f ca="1">IFERROR(IF(0=LEN(ReferenceData!$F$687),"",ReferenceData!$F$687),"")</x:f>
        <x:v>0</x:v>
      </x:c>
      <x:c r="G687">
        <x:f ca="1">IFERROR(IF(0=LEN(ReferenceData!$G$687),"",ReferenceData!$G$687),"")</x:f>
        <x:v>0</x:v>
      </x:c>
      <x:c r="H687">
        <x:f ca="1">IFERROR(IF(0=LEN(ReferenceData!$H$687),"",ReferenceData!$H$687),"")</x:f>
        <x:v>4.2977999999999996</x:v>
      </x:c>
      <x:c r="I687">
        <x:f ca="1">IFERROR(IF(0=LEN(ReferenceData!$I$687),"",ReferenceData!$I$687),"")</x:f>
        <x:v>0</x:v>
      </x:c>
      <x:c r="J687">
        <x:f ca="1">IFERROR(IF(0=LEN(ReferenceData!$J$687),"",ReferenceData!$J$687),"")</x:f>
        <x:v>0</x:v>
      </x:c>
      <x:c r="K687">
        <x:f ca="1">IFERROR(IF(0=LEN(ReferenceData!$K$687),"",ReferenceData!$K$687),"")</x:f>
        <x:v>0</x:v>
      </x:c>
      <x:c r="L687">
        <x:f ca="1">IFERROR(IF(0=LEN(ReferenceData!$L$687),"",ReferenceData!$L$687),"")</x:f>
        <x:v>0</x:v>
      </x:c>
      <x:c r="M687">
        <x:f ca="1">IFERROR(IF(0=LEN(ReferenceData!$M$687),"",ReferenceData!$M$687),"")</x:f>
        <x:v>0</x:v>
      </x:c>
      <x:c r="N687">
        <x:f ca="1">IFERROR(IF(0=LEN(ReferenceData!$N$687),"",ReferenceData!$N$687),"")</x:f>
        <x:v>0</x:v>
      </x:c>
      <x:c r="O687">
        <x:f ca="1">IFERROR(IF(0=LEN(ReferenceData!$O$687),"",ReferenceData!$O$687),"")</x:f>
        <x:v>0</x:v>
      </x:c>
      <x:c r="P687">
        <x:f ca="1">IFERROR(IF(0=LEN(ReferenceData!$P$687),"",ReferenceData!$P$687),"")</x:f>
        <x:v>0</x:v>
      </x:c>
      <x:c r="Q687">
        <x:f ca="1">IFERROR(IF(0=LEN(ReferenceData!$Q$687),"",ReferenceData!$Q$687),"")</x:f>
        <x:v>-1.0620000000000001</x:v>
      </x:c>
      <x:c r="R687">
        <x:f ca="1">IFERROR(IF(0=LEN(ReferenceData!$R$687),"",ReferenceData!$R$687),"")</x:f>
        <x:v>-1.0449999999999999</x:v>
      </x:c>
      <x:c r="S687">
        <x:f ca="1">IFERROR(IF(0=LEN(ReferenceData!$S$687),"",ReferenceData!$S$687),"")</x:f>
        <x:v>0</x:v>
      </x:c>
    </x:row>
    <x:row r="688" spans="1:19" x14ac:dyDescent="0.25">
      <x:c r="A688" t="str">
        <x:f>IFERROR(IF(0=LEN(ReferenceData!$A$688),"",ReferenceData!$A$688),"")</x:f>
        <x:v xml:space="preserve">            Proshares S&amp;P Kensho Cleantech</x:v>
      </x:c>
      <x:c r="B688" t="str">
        <x:f>IFERROR(IF(0=LEN(ReferenceData!$B$688),"",ReferenceData!$B$688),"")</x:f>
        <x:v>CTEX US Equity</x:v>
      </x:c>
      <x:c r="C688" t="str">
        <x:f>IFERROR(IF(0=LEN(ReferenceData!$C$688),"",ReferenceData!$C$688),"")</x:f>
        <x:v/>
      </x:c>
      <x:c r="D688" t="str">
        <x:f>IFERROR(IF(0=LEN(ReferenceData!$D$688),"",ReferenceData!$D$688),"")</x:f>
        <x:v/>
      </x:c>
      <x:c r="E688" t="str">
        <x:f>IFERROR(IF(0=LEN(ReferenceData!$E$688),"",ReferenceData!$E$688),"")</x:f>
        <x:v>Expression</x:v>
      </x:c>
      <x:c r="F688">
        <x:f ca="1">IFERROR(IF(0=LEN(ReferenceData!$F$688),"",ReferenceData!$F$688),"")</x:f>
        <x:v>0</x:v>
      </x:c>
      <x:c r="G688">
        <x:f ca="1">IFERROR(IF(0=LEN(ReferenceData!$G$688),"",ReferenceData!$G$688),"")</x:f>
        <x:v>0</x:v>
      </x:c>
      <x:c r="H688">
        <x:f ca="1">IFERROR(IF(0=LEN(ReferenceData!$H$688),"",ReferenceData!$H$688),"")</x:f>
        <x:v>0</x:v>
      </x:c>
      <x:c r="I688">
        <x:f ca="1">IFERROR(IF(0=LEN(ReferenceData!$I$688),"",ReferenceData!$I$688),"")</x:f>
        <x:v>0</x:v>
      </x:c>
      <x:c r="J688">
        <x:f ca="1">IFERROR(IF(0=LEN(ReferenceData!$J$688),"",ReferenceData!$J$688),"")</x:f>
        <x:v>0</x:v>
      </x:c>
      <x:c r="K688">
        <x:f ca="1">IFERROR(IF(0=LEN(ReferenceData!$K$688),"",ReferenceData!$K$688),"")</x:f>
        <x:v>0</x:v>
      </x:c>
      <x:c r="L688">
        <x:f ca="1">IFERROR(IF(0=LEN(ReferenceData!$L$688),"",ReferenceData!$L$688),"")</x:f>
        <x:v>0</x:v>
      </x:c>
      <x:c r="M688">
        <x:f ca="1">IFERROR(IF(0=LEN(ReferenceData!$M$688),"",ReferenceData!$M$688),"")</x:f>
        <x:v>0</x:v>
      </x:c>
      <x:c r="N688">
        <x:f ca="1">IFERROR(IF(0=LEN(ReferenceData!$N$688),"",ReferenceData!$N$688),"")</x:f>
        <x:v>-0.87136999999999998</x:v>
      </x:c>
      <x:c r="O688">
        <x:f ca="1">IFERROR(IF(0=LEN(ReferenceData!$O$688),"",ReferenceData!$O$688),"")</x:f>
        <x:v>0.907497</x:v>
      </x:c>
      <x:c r="P688">
        <x:f ca="1">IFERROR(IF(0=LEN(ReferenceData!$P$688),"",ReferenceData!$P$688),"")</x:f>
        <x:v>0.86217999999999995</x:v>
      </x:c>
      <x:c r="Q688">
        <x:f ca="1">IFERROR(IF(0=LEN(ReferenceData!$Q$688),"",ReferenceData!$Q$688),"")</x:f>
        <x:v>0</x:v>
      </x:c>
      <x:c r="R688">
        <x:f ca="1">IFERROR(IF(0=LEN(ReferenceData!$R$688),"",ReferenceData!$R$688),"")</x:f>
        <x:v>0</x:v>
      </x:c>
      <x:c r="S688">
        <x:f ca="1">IFERROR(IF(0=LEN(ReferenceData!$S$688),"",ReferenceData!$S$688),"")</x:f>
        <x:v>0</x:v>
      </x:c>
    </x:row>
    <x:row r="689" spans="1:19" x14ac:dyDescent="0.25">
      <x:c r="A689" t="str">
        <x:f>IFERROR(IF(0=LEN(ReferenceData!$A$689),"",ReferenceData!$A$689),"")</x:f>
        <x:v xml:space="preserve">            Direxion Daily Global Clean En</x:v>
      </x:c>
      <x:c r="B689" t="str">
        <x:f>IFERROR(IF(0=LEN(ReferenceData!$B$689),"",ReferenceData!$B$689),"")</x:f>
        <x:v>KLNE US Equity</x:v>
      </x:c>
      <x:c r="C689" t="str">
        <x:f>IFERROR(IF(0=LEN(ReferenceData!$C$689),"",ReferenceData!$C$689),"")</x:f>
        <x:v/>
      </x:c>
      <x:c r="D689" t="str">
        <x:f>IFERROR(IF(0=LEN(ReferenceData!$D$689),"",ReferenceData!$D$689),"")</x:f>
        <x:v/>
      </x:c>
      <x:c r="E689" t="str">
        <x:f>IFERROR(IF(0=LEN(ReferenceData!$E$689),"",ReferenceData!$E$689),"")</x:f>
        <x:v>Expression</x:v>
      </x:c>
      <x:c r="F689">
        <x:f ca="1">IFERROR(IF(0=LEN(ReferenceData!$F$689),"",ReferenceData!$F$689),"")</x:f>
        <x:v>0</x:v>
      </x:c>
      <x:c r="G689">
        <x:f ca="1">IFERROR(IF(0=LEN(ReferenceData!$G$689),"",ReferenceData!$G$689),"")</x:f>
        <x:v>0</x:v>
      </x:c>
      <x:c r="H689">
        <x:f ca="1">IFERROR(IF(0=LEN(ReferenceData!$H$689),"",ReferenceData!$H$689),"")</x:f>
        <x:v>0.45247199999999999</x:v>
      </x:c>
      <x:c r="I689">
        <x:f ca="1">IFERROR(IF(0=LEN(ReferenceData!$I$689),"",ReferenceData!$I$689),"")</x:f>
        <x:v>0.48202</x:v>
      </x:c>
      <x:c r="J689">
        <x:f ca="1">IFERROR(IF(0=LEN(ReferenceData!$J$689),"",ReferenceData!$J$689),"")</x:f>
        <x:v>0.61808200000000002</x:v>
      </x:c>
      <x:c r="K689">
        <x:f ca="1">IFERROR(IF(0=LEN(ReferenceData!$K$689),"",ReferenceData!$K$689),"")</x:f>
        <x:v>0</x:v>
      </x:c>
      <x:c r="L689">
        <x:f ca="1">IFERROR(IF(0=LEN(ReferenceData!$L$689),"",ReferenceData!$L$689),"")</x:f>
        <x:v>0</x:v>
      </x:c>
      <x:c r="M689">
        <x:f ca="1">IFERROR(IF(0=LEN(ReferenceData!$M$689),"",ReferenceData!$M$689),"")</x:f>
        <x:v>0</x:v>
      </x:c>
      <x:c r="N689">
        <x:f ca="1">IFERROR(IF(0=LEN(ReferenceData!$N$689),"",ReferenceData!$N$689),"")</x:f>
        <x:v>0</x:v>
      </x:c>
      <x:c r="O689">
        <x:f ca="1">IFERROR(IF(0=LEN(ReferenceData!$O$689),"",ReferenceData!$O$689),"")</x:f>
        <x:v>0</x:v>
      </x:c>
      <x:c r="P689">
        <x:f ca="1">IFERROR(IF(0=LEN(ReferenceData!$P$689),"",ReferenceData!$P$689),"")</x:f>
        <x:v>-0.76134299999999999</x:v>
      </x:c>
      <x:c r="Q689">
        <x:f ca="1">IFERROR(IF(0=LEN(ReferenceData!$Q$689),"",ReferenceData!$Q$689),"")</x:f>
        <x:v>0.82754799999999995</x:v>
      </x:c>
      <x:c r="R689">
        <x:f ca="1">IFERROR(IF(0=LEN(ReferenceData!$R$689),"",ReferenceData!$R$689),"")</x:f>
        <x:v>0</x:v>
      </x:c>
      <x:c r="S689">
        <x:f ca="1">IFERROR(IF(0=LEN(ReferenceData!$S$689),"",ReferenceData!$S$689),"")</x:f>
        <x:v>-1.437093</x:v>
      </x:c>
    </x:row>
    <x:row r="690" spans="1:19" x14ac:dyDescent="0.25">
      <x:c r="A690" t="str">
        <x:f>IFERROR(IF(0=LEN(ReferenceData!$A$690),"",ReferenceData!$A$690),"")</x:f>
        <x:v xml:space="preserve">            iClima Climate Change Solution</x:v>
      </x:c>
      <x:c r="B690" t="str">
        <x:f>IFERROR(IF(0=LEN(ReferenceData!$B$690),"",ReferenceData!$B$690),"")</x:f>
        <x:v>CLMA US Equity</x:v>
      </x:c>
      <x:c r="C690" t="str">
        <x:f>IFERROR(IF(0=LEN(ReferenceData!$C$690),"",ReferenceData!$C$690),"")</x:f>
        <x:v/>
      </x:c>
      <x:c r="D690" t="str">
        <x:f>IFERROR(IF(0=LEN(ReferenceData!$D$690),"",ReferenceData!$D$690),"")</x:f>
        <x:v/>
      </x:c>
      <x:c r="E690" t="str">
        <x:f>IFERROR(IF(0=LEN(ReferenceData!$E$690),"",ReferenceData!$E$690),"")</x:f>
        <x:v>Expression</x:v>
      </x:c>
      <x:c r="F690" t="str">
        <x:f ca="1">IFERROR(IF(0=LEN(ReferenceData!$F$690),"",ReferenceData!$F$690),"")</x:f>
        <x:v/>
      </x:c>
      <x:c r="G690" t="str">
        <x:f ca="1">IFERROR(IF(0=LEN(ReferenceData!$G$690),"",ReferenceData!$G$690),"")</x:f>
        <x:v/>
      </x:c>
      <x:c r="H690" t="str">
        <x:f ca="1">IFERROR(IF(0=LEN(ReferenceData!$H$690),"",ReferenceData!$H$690),"")</x:f>
        <x:v/>
      </x:c>
      <x:c r="I690" t="str">
        <x:f ca="1">IFERROR(IF(0=LEN(ReferenceData!$I$690),"",ReferenceData!$I$690),"")</x:f>
        <x:v/>
      </x:c>
      <x:c r="J690" t="str">
        <x:f ca="1">IFERROR(IF(0=LEN(ReferenceData!$J$690),"",ReferenceData!$J$690),"")</x:f>
        <x:v/>
      </x:c>
      <x:c r="K690" t="str">
        <x:f ca="1">IFERROR(IF(0=LEN(ReferenceData!$K$690),"",ReferenceData!$K$690),"")</x:f>
        <x:v/>
      </x:c>
      <x:c r="L690" t="str">
        <x:f ca="1">IFERROR(IF(0=LEN(ReferenceData!$L$690),"",ReferenceData!$L$690),"")</x:f>
        <x:v/>
      </x:c>
      <x:c r="M690" t="str">
        <x:f ca="1">IFERROR(IF(0=LEN(ReferenceData!$M$690),"",ReferenceData!$M$690),"")</x:f>
        <x:v/>
      </x:c>
      <x:c r="N690" t="str">
        <x:f ca="1">IFERROR(IF(0=LEN(ReferenceData!$N$690),"",ReferenceData!$N$690),"")</x:f>
        <x:v/>
      </x:c>
      <x:c r="O690" t="str">
        <x:f ca="1">IFERROR(IF(0=LEN(ReferenceData!$O$690),"",ReferenceData!$O$690),"")</x:f>
        <x:v/>
      </x:c>
      <x:c r="P690" t="str">
        <x:f ca="1">IFERROR(IF(0=LEN(ReferenceData!$P$690),"",ReferenceData!$P$690),"")</x:f>
        <x:v/>
      </x:c>
      <x:c r="Q690" t="str">
        <x:f ca="1">IFERROR(IF(0=LEN(ReferenceData!$Q$690),"",ReferenceData!$Q$690),"")</x:f>
        <x:v/>
      </x:c>
      <x:c r="R690" t="str">
        <x:f ca="1">IFERROR(IF(0=LEN(ReferenceData!$R$690),"",ReferenceData!$R$690),"")</x:f>
        <x:v/>
      </x:c>
      <x:c r="S690" t="str">
        <x:f ca="1">IFERROR(IF(0=LEN(ReferenceData!$S$690),"",ReferenceData!$S$690),"")</x:f>
        <x:v/>
      </x:c>
    </x:row>
    <x:row r="691" spans="1:19" x14ac:dyDescent="0.25">
      <x:c r="A691" t="str">
        <x:f>IFERROR(IF(0=LEN(ReferenceData!$A$691),"",ReferenceData!$A$691),"")</x:f>
        <x:v xml:space="preserve">            SoFi Smart Energy ETF</x:v>
      </x:c>
      <x:c r="B691" t="str">
        <x:f>IFERROR(IF(0=LEN(ReferenceData!$B$691),"",ReferenceData!$B$691),"")</x:f>
        <x:v>SHFT US Equity</x:v>
      </x:c>
      <x:c r="C691" t="str">
        <x:f>IFERROR(IF(0=LEN(ReferenceData!$C$691),"",ReferenceData!$C$691),"")</x:f>
        <x:v/>
      </x:c>
      <x:c r="D691" t="str">
        <x:f>IFERROR(IF(0=LEN(ReferenceData!$D$691),"",ReferenceData!$D$691),"")</x:f>
        <x:v/>
      </x:c>
      <x:c r="E691" t="str">
        <x:f>IFERROR(IF(0=LEN(ReferenceData!$E$691),"",ReferenceData!$E$691),"")</x:f>
        <x:v>Expression</x:v>
      </x:c>
      <x:c r="F691">
        <x:f ca="1">IFERROR(IF(0=LEN(ReferenceData!$F$691),"",ReferenceData!$F$691),"")</x:f>
        <x:v>0</x:v>
      </x:c>
      <x:c r="G691">
        <x:f ca="1">IFERROR(IF(0=LEN(ReferenceData!$G$691),"",ReferenceData!$G$691),"")</x:f>
        <x:v>0</x:v>
      </x:c>
      <x:c r="H691">
        <x:f ca="1">IFERROR(IF(0=LEN(ReferenceData!$H$691),"",ReferenceData!$H$691),"")</x:f>
        <x:v>0</x:v>
      </x:c>
      <x:c r="I691">
        <x:f ca="1">IFERROR(IF(0=LEN(ReferenceData!$I$691),"",ReferenceData!$I$691),"")</x:f>
        <x:v>-0.138798</x:v>
      </x:c>
      <x:c r="J691">
        <x:f ca="1">IFERROR(IF(0=LEN(ReferenceData!$J$691),"",ReferenceData!$J$691),"")</x:f>
        <x:v>0</x:v>
      </x:c>
      <x:c r="K691">
        <x:f ca="1">IFERROR(IF(0=LEN(ReferenceData!$K$691),"",ReferenceData!$K$691),"")</x:f>
        <x:v>0</x:v>
      </x:c>
      <x:c r="L691">
        <x:f ca="1">IFERROR(IF(0=LEN(ReferenceData!$L$691),"",ReferenceData!$L$691),"")</x:f>
        <x:v>-0.36260199999999998</x:v>
      </x:c>
      <x:c r="M691">
        <x:f ca="1">IFERROR(IF(0=LEN(ReferenceData!$M$691),"",ReferenceData!$M$691),"")</x:f>
        <x:v>-0.36402000000000001</x:v>
      </x:c>
      <x:c r="N691">
        <x:f ca="1">IFERROR(IF(0=LEN(ReferenceData!$N$691),"",ReferenceData!$N$691),"")</x:f>
        <x:v>0</x:v>
      </x:c>
      <x:c r="O691">
        <x:f ca="1">IFERROR(IF(0=LEN(ReferenceData!$O$691),"",ReferenceData!$O$691),"")</x:f>
        <x:v>-4.7875000000000001E-2</x:v>
      </x:c>
      <x:c r="P691">
        <x:f ca="1">IFERROR(IF(0=LEN(ReferenceData!$P$691),"",ReferenceData!$P$691),"")</x:f>
        <x:v>0</x:v>
      </x:c>
      <x:c r="Q691">
        <x:f ca="1">IFERROR(IF(0=LEN(ReferenceData!$Q$691),"",ReferenceData!$Q$691),"")</x:f>
        <x:v>0</x:v>
      </x:c>
      <x:c r="R691">
        <x:f ca="1">IFERROR(IF(0=LEN(ReferenceData!$R$691),"",ReferenceData!$R$691),"")</x:f>
        <x:v>0</x:v>
      </x:c>
      <x:c r="S691">
        <x:f ca="1">IFERROR(IF(0=LEN(ReferenceData!$S$691),"",ReferenceData!$S$691),"")</x:f>
        <x:v>0</x:v>
      </x:c>
    </x:row>
    <x:row r="692" spans="1:19" x14ac:dyDescent="0.25">
      <x:c r="A692" t="str">
        <x:f>IFERROR(IF(0=LEN(ReferenceData!$A$692),"",ReferenceData!$A$692),"")</x:f>
        <x:v xml:space="preserve">            Virtus Duff &amp; Phelps Clean Ene</x:v>
      </x:c>
      <x:c r="B692" t="str">
        <x:f>IFERROR(IF(0=LEN(ReferenceData!$B$692),"",ReferenceData!$B$692),"")</x:f>
        <x:v>VCLN US Equity</x:v>
      </x:c>
      <x:c r="C692" t="str">
        <x:f>IFERROR(IF(0=LEN(ReferenceData!$C$692),"",ReferenceData!$C$692),"")</x:f>
        <x:v/>
      </x:c>
      <x:c r="D692" t="str">
        <x:f>IFERROR(IF(0=LEN(ReferenceData!$D$692),"",ReferenceData!$D$692),"")</x:f>
        <x:v/>
      </x:c>
      <x:c r="E692" t="str">
        <x:f>IFERROR(IF(0=LEN(ReferenceData!$E$692),"",ReferenceData!$E$692),"")</x:f>
        <x:v>Expression</x:v>
      </x:c>
      <x:c r="F692">
        <x:f ca="1">IFERROR(IF(0=LEN(ReferenceData!$F$692),"",ReferenceData!$F$692),"")</x:f>
        <x:v>0</x:v>
      </x:c>
      <x:c r="G692">
        <x:f ca="1">IFERROR(IF(0=LEN(ReferenceData!$G$692),"",ReferenceData!$G$692),"")</x:f>
        <x:v>0</x:v>
      </x:c>
      <x:c r="H692">
        <x:f ca="1">IFERROR(IF(0=LEN(ReferenceData!$H$692),"",ReferenceData!$H$692),"")</x:f>
        <x:v>0</x:v>
      </x:c>
      <x:c r="I692">
        <x:f ca="1">IFERROR(IF(0=LEN(ReferenceData!$I$692),"",ReferenceData!$I$692),"")</x:f>
        <x:v>4.6466149999999997</x:v>
      </x:c>
      <x:c r="J692">
        <x:f ca="1">IFERROR(IF(0=LEN(ReferenceData!$J$692),"",ReferenceData!$J$692),"")</x:f>
        <x:v>0</x:v>
      </x:c>
      <x:c r="K692">
        <x:f ca="1">IFERROR(IF(0=LEN(ReferenceData!$K$692),"",ReferenceData!$K$692),"")</x:f>
        <x:v>0</x:v>
      </x:c>
      <x:c r="L692">
        <x:f ca="1">IFERROR(IF(0=LEN(ReferenceData!$L$692),"",ReferenceData!$L$692),"")</x:f>
        <x:v>0</x:v>
      </x:c>
      <x:c r="M692">
        <x:f ca="1">IFERROR(IF(0=LEN(ReferenceData!$M$692),"",ReferenceData!$M$692),"")</x:f>
        <x:v>0</x:v>
      </x:c>
      <x:c r="N692">
        <x:f ca="1">IFERROR(IF(0=LEN(ReferenceData!$N$692),"",ReferenceData!$N$692),"")</x:f>
        <x:v>0</x:v>
      </x:c>
      <x:c r="O692">
        <x:f ca="1">IFERROR(IF(0=LEN(ReferenceData!$O$692),"",ReferenceData!$O$692),"")</x:f>
        <x:v>0</x:v>
      </x:c>
      <x:c r="P692">
        <x:f ca="1">IFERROR(IF(0=LEN(ReferenceData!$P$692),"",ReferenceData!$P$692),"")</x:f>
        <x:v>0</x:v>
      </x:c>
      <x:c r="Q692">
        <x:f ca="1">IFERROR(IF(0=LEN(ReferenceData!$Q$692),"",ReferenceData!$Q$692),"")</x:f>
        <x:v>0</x:v>
      </x:c>
      <x:c r="R692">
        <x:f ca="1">IFERROR(IF(0=LEN(ReferenceData!$R$692),"",ReferenceData!$R$692),"")</x:f>
        <x:v>0</x:v>
      </x:c>
      <x:c r="S692">
        <x:f ca="1">IFERROR(IF(0=LEN(ReferenceData!$S$692),"",ReferenceData!$S$692),"")</x:f>
        <x:v>0</x:v>
      </x:c>
    </x:row>
    <x:row r="693" spans="1:19" x14ac:dyDescent="0.25">
      <x:c r="A693" t="str">
        <x:f>IFERROR(IF(0=LEN(ReferenceData!$A$693),"",ReferenceData!$A$693),"")</x:f>
        <x:v xml:space="preserve">            iShares Paris - Aligned Climat</x:v>
      </x:c>
      <x:c r="B693" t="str">
        <x:f>IFERROR(IF(0=LEN(ReferenceData!$B$693),"",ReferenceData!$B$693),"")</x:f>
        <x:v>PABU US Equity</x:v>
      </x:c>
      <x:c r="C693" t="str">
        <x:f>IFERROR(IF(0=LEN(ReferenceData!$C$693),"",ReferenceData!$C$693),"")</x:f>
        <x:v/>
      </x:c>
      <x:c r="D693" t="str">
        <x:f>IFERROR(IF(0=LEN(ReferenceData!$D$693),"",ReferenceData!$D$693),"")</x:f>
        <x:v/>
      </x:c>
      <x:c r="E693" t="str">
        <x:f>IFERROR(IF(0=LEN(ReferenceData!$E$693),"",ReferenceData!$E$693),"")</x:f>
        <x:v>Expression</x:v>
      </x:c>
      <x:c r="F693">
        <x:f ca="1">IFERROR(IF(0=LEN(ReferenceData!$F$693),"",ReferenceData!$F$693),"")</x:f>
        <x:v>0</x:v>
      </x:c>
      <x:c r="G693">
        <x:f ca="1">IFERROR(IF(0=LEN(ReferenceData!$G$693),"",ReferenceData!$G$693),"")</x:f>
        <x:v>0</x:v>
      </x:c>
      <x:c r="H693">
        <x:f ca="1">IFERROR(IF(0=LEN(ReferenceData!$H$693),"",ReferenceData!$H$693),"")</x:f>
        <x:v>-7.408487</x:v>
      </x:c>
      <x:c r="I693">
        <x:f ca="1">IFERROR(IF(0=LEN(ReferenceData!$I$693),"",ReferenceData!$I$693),"")</x:f>
        <x:v>-47.072685</x:v>
      </x:c>
      <x:c r="J693">
        <x:f ca="1">IFERROR(IF(0=LEN(ReferenceData!$J$693),"",ReferenceData!$J$693),"")</x:f>
        <x:v>-24.406949999999998</x:v>
      </x:c>
      <x:c r="K693">
        <x:f ca="1">IFERROR(IF(0=LEN(ReferenceData!$K$693),"",ReferenceData!$K$693),"")</x:f>
        <x:v>-2.4036249999999999</x:v>
      </x:c>
      <x:c r="L693">
        <x:f ca="1">IFERROR(IF(0=LEN(ReferenceData!$L$693),"",ReferenceData!$L$693),"")</x:f>
        <x:v>163.68074999999999</x:v>
      </x:c>
      <x:c r="M693">
        <x:f ca="1">IFERROR(IF(0=LEN(ReferenceData!$M$693),"",ReferenceData!$M$693),"")</x:f>
        <x:v>290.58600000000001</x:v>
      </x:c>
      <x:c r="N693">
        <x:f ca="1">IFERROR(IF(0=LEN(ReferenceData!$N$693),"",ReferenceData!$N$693),"")</x:f>
        <x:v>0</x:v>
      </x:c>
      <x:c r="O693">
        <x:f ca="1">IFERROR(IF(0=LEN(ReferenceData!$O$693),"",ReferenceData!$O$693),"")</x:f>
        <x:v>25.998069999999998</x:v>
      </x:c>
      <x:c r="P693">
        <x:f ca="1">IFERROR(IF(0=LEN(ReferenceData!$P$693),"",ReferenceData!$P$693),"")</x:f>
        <x:v>0</x:v>
      </x:c>
      <x:c r="Q693">
        <x:f ca="1">IFERROR(IF(0=LEN(ReferenceData!$Q$693),"",ReferenceData!$Q$693),"")</x:f>
        <x:v>2.128965</x:v>
      </x:c>
      <x:c r="R693">
        <x:f ca="1">IFERROR(IF(0=LEN(ReferenceData!$R$693),"",ReferenceData!$R$693),"")</x:f>
        <x:v>74.96405</x:v>
      </x:c>
      <x:c r="S693">
        <x:f ca="1">IFERROR(IF(0=LEN(ReferenceData!$S$693),"",ReferenceData!$S$693),"")</x:f>
        <x:v>-2.0274999999999999</x:v>
      </x:c>
    </x:row>
    <x:row r="694" spans="1:19" x14ac:dyDescent="0.25">
      <x:c r="A694" t="str">
        <x:f>IFERROR(IF(0=LEN(ReferenceData!$A$694),"",ReferenceData!$A$694),"")</x:f>
        <x:v xml:space="preserve">            Goldman Sachs Bloomberg Clean</x:v>
      </x:c>
      <x:c r="B694" t="str">
        <x:f>IFERROR(IF(0=LEN(ReferenceData!$B$694),"",ReferenceData!$B$694),"")</x:f>
        <x:v>GCLN US Equity</x:v>
      </x:c>
      <x:c r="C694" t="str">
        <x:f>IFERROR(IF(0=LEN(ReferenceData!$C$694),"",ReferenceData!$C$694),"")</x:f>
        <x:v/>
      </x:c>
      <x:c r="D694" t="str">
        <x:f>IFERROR(IF(0=LEN(ReferenceData!$D$694),"",ReferenceData!$D$694),"")</x:f>
        <x:v/>
      </x:c>
      <x:c r="E694" t="str">
        <x:f>IFERROR(IF(0=LEN(ReferenceData!$E$694),"",ReferenceData!$E$694),"")</x:f>
        <x:v>Expression</x:v>
      </x:c>
      <x:c r="F694">
        <x:f ca="1">IFERROR(IF(0=LEN(ReferenceData!$F$694),"",ReferenceData!$F$694),"")</x:f>
        <x:v>3.1269360000000002</x:v>
      </x:c>
      <x:c r="G694">
        <x:f ca="1">IFERROR(IF(0=LEN(ReferenceData!$G$694),"",ReferenceData!$G$694),"")</x:f>
        <x:v>0</x:v>
      </x:c>
      <x:c r="H694">
        <x:f ca="1">IFERROR(IF(0=LEN(ReferenceData!$H$694),"",ReferenceData!$H$694),"")</x:f>
        <x:v>0</x:v>
      </x:c>
      <x:c r="I694">
        <x:f ca="1">IFERROR(IF(0=LEN(ReferenceData!$I$694),"",ReferenceData!$I$694),"")</x:f>
        <x:v>0</x:v>
      </x:c>
      <x:c r="J694">
        <x:f ca="1">IFERROR(IF(0=LEN(ReferenceData!$J$694),"",ReferenceData!$J$694),"")</x:f>
        <x:v>0</x:v>
      </x:c>
      <x:c r="K694">
        <x:f ca="1">IFERROR(IF(0=LEN(ReferenceData!$K$694),"",ReferenceData!$K$694),"")</x:f>
        <x:v>0</x:v>
      </x:c>
      <x:c r="L694">
        <x:f ca="1">IFERROR(IF(0=LEN(ReferenceData!$L$694),"",ReferenceData!$L$694),"")</x:f>
        <x:v>0</x:v>
      </x:c>
      <x:c r="M694">
        <x:f ca="1">IFERROR(IF(0=LEN(ReferenceData!$M$694),"",ReferenceData!$M$694),"")</x:f>
        <x:v>0</x:v>
      </x:c>
      <x:c r="N694">
        <x:f ca="1">IFERROR(IF(0=LEN(ReferenceData!$N$694),"",ReferenceData!$N$694),"")</x:f>
        <x:v>0</x:v>
      </x:c>
      <x:c r="O694">
        <x:f ca="1">IFERROR(IF(0=LEN(ReferenceData!$O$694),"",ReferenceData!$O$694),"")</x:f>
        <x:v>0</x:v>
      </x:c>
      <x:c r="P694">
        <x:f ca="1">IFERROR(IF(0=LEN(ReferenceData!$P$694),"",ReferenceData!$P$694),"")</x:f>
        <x:v>1.837556</x:v>
      </x:c>
      <x:c r="Q694">
        <x:f ca="1">IFERROR(IF(0=LEN(ReferenceData!$Q$694),"",ReferenceData!$Q$694),"")</x:f>
        <x:v>0</x:v>
      </x:c>
      <x:c r="R694">
        <x:f ca="1">IFERROR(IF(0=LEN(ReferenceData!$R$694),"",ReferenceData!$R$694),"")</x:f>
        <x:v>0</x:v>
      </x:c>
      <x:c r="S694">
        <x:f ca="1">IFERROR(IF(0=LEN(ReferenceData!$S$694),"",ReferenceData!$S$694),"")</x:f>
        <x:v>0</x:v>
      </x:c>
    </x:row>
    <x:row r="695" spans="1:19" x14ac:dyDescent="0.25">
      <x:c r="A695" t="str">
        <x:f>IFERROR(IF(0=LEN(ReferenceData!$A$695),"",ReferenceData!$A$695),"")</x:f>
        <x:v xml:space="preserve">            Strategy Shares Halt Climate C</x:v>
      </x:c>
      <x:c r="B695" t="str">
        <x:f>IFERROR(IF(0=LEN(ReferenceData!$B$695),"",ReferenceData!$B$695),"")</x:f>
        <x:v>NZRO US Equity</x:v>
      </x:c>
      <x:c r="C695" t="str">
        <x:f>IFERROR(IF(0=LEN(ReferenceData!$C$695),"",ReferenceData!$C$695),"")</x:f>
        <x:v/>
      </x:c>
      <x:c r="D695" t="str">
        <x:f>IFERROR(IF(0=LEN(ReferenceData!$D$695),"",ReferenceData!$D$695),"")</x:f>
        <x:v/>
      </x:c>
      <x:c r="E695" t="str">
        <x:f>IFERROR(IF(0=LEN(ReferenceData!$E$695),"",ReferenceData!$E$695),"")</x:f>
        <x:v>Expression</x:v>
      </x:c>
      <x:c r="F695" t="str">
        <x:f ca="1">IFERROR(IF(0=LEN(ReferenceData!$F$695),"",ReferenceData!$F$695),"")</x:f>
        <x:v/>
      </x:c>
      <x:c r="G695">
        <x:f ca="1">IFERROR(IF(0=LEN(ReferenceData!$G$695),"",ReferenceData!$G$695),"")</x:f>
        <x:v>0</x:v>
      </x:c>
      <x:c r="H695">
        <x:f ca="1">IFERROR(IF(0=LEN(ReferenceData!$H$695),"",ReferenceData!$H$695),"")</x:f>
        <x:v>0</x:v>
      </x:c>
      <x:c r="I695">
        <x:f ca="1">IFERROR(IF(0=LEN(ReferenceData!$I$695),"",ReferenceData!$I$695),"")</x:f>
        <x:v>0</x:v>
      </x:c>
      <x:c r="J695">
        <x:f ca="1">IFERROR(IF(0=LEN(ReferenceData!$J$695),"",ReferenceData!$J$695),"")</x:f>
        <x:v>0</x:v>
      </x:c>
      <x:c r="K695">
        <x:f ca="1">IFERROR(IF(0=LEN(ReferenceData!$K$695),"",ReferenceData!$K$695),"")</x:f>
        <x:v>0</x:v>
      </x:c>
      <x:c r="L695">
        <x:f ca="1">IFERROR(IF(0=LEN(ReferenceData!$L$695),"",ReferenceData!$L$695),"")</x:f>
        <x:v>0</x:v>
      </x:c>
      <x:c r="M695">
        <x:f ca="1">IFERROR(IF(0=LEN(ReferenceData!$M$695),"",ReferenceData!$M$695),"")</x:f>
        <x:v>0</x:v>
      </x:c>
      <x:c r="N695">
        <x:f ca="1">IFERROR(IF(0=LEN(ReferenceData!$N$695),"",ReferenceData!$N$695),"")</x:f>
        <x:v>0</x:v>
      </x:c>
      <x:c r="O695">
        <x:f ca="1">IFERROR(IF(0=LEN(ReferenceData!$O$695),"",ReferenceData!$O$695),"")</x:f>
        <x:v>0</x:v>
      </x:c>
      <x:c r="P695">
        <x:f ca="1">IFERROR(IF(0=LEN(ReferenceData!$P$695),"",ReferenceData!$P$695),"")</x:f>
        <x:v>0</x:v>
      </x:c>
      <x:c r="Q695">
        <x:f ca="1">IFERROR(IF(0=LEN(ReferenceData!$Q$695),"",ReferenceData!$Q$695),"")</x:f>
        <x:v>0</x:v>
      </x:c>
      <x:c r="R695">
        <x:f ca="1">IFERROR(IF(0=LEN(ReferenceData!$R$695),"",ReferenceData!$R$695),"")</x:f>
        <x:v>0</x:v>
      </x:c>
      <x:c r="S695">
        <x:f ca="1">IFERROR(IF(0=LEN(ReferenceData!$S$695),"",ReferenceData!$S$695),"")</x:f>
        <x:v>0</x:v>
      </x:c>
    </x:row>
    <x:row r="696" spans="1:19" x14ac:dyDescent="0.25">
      <x:c r="A696" t="str">
        <x:f>IFERROR(IF(0=LEN(ReferenceData!$A$696),"",ReferenceData!$A$696),"")</x:f>
        <x:v xml:space="preserve">            Engine NO 1 Transform Climate</x:v>
      </x:c>
      <x:c r="B696" t="str">
        <x:f>IFERROR(IF(0=LEN(ReferenceData!$B$696),"",ReferenceData!$B$696),"")</x:f>
        <x:v>NETZ US Equity</x:v>
      </x:c>
      <x:c r="C696" t="str">
        <x:f>IFERROR(IF(0=LEN(ReferenceData!$C$696),"",ReferenceData!$C$696),"")</x:f>
        <x:v/>
      </x:c>
      <x:c r="D696" t="str">
        <x:f>IFERROR(IF(0=LEN(ReferenceData!$D$696),"",ReferenceData!$D$696),"")</x:f>
        <x:v/>
      </x:c>
      <x:c r="E696" t="str">
        <x:f>IFERROR(IF(0=LEN(ReferenceData!$E$696),"",ReferenceData!$E$696),"")</x:f>
        <x:v>Expression</x:v>
      </x:c>
      <x:c r="F696">
        <x:f ca="1">IFERROR(IF(0=LEN(ReferenceData!$F$696),"",ReferenceData!$F$696),"")</x:f>
        <x:v>4.1278199999999998</x:v>
      </x:c>
      <x:c r="G696">
        <x:f ca="1">IFERROR(IF(0=LEN(ReferenceData!$G$696),"",ReferenceData!$G$696),"")</x:f>
        <x:v>-11.002039999999999</x:v>
      </x:c>
      <x:c r="H696">
        <x:f ca="1">IFERROR(IF(0=LEN(ReferenceData!$H$696),"",ReferenceData!$H$696),"")</x:f>
        <x:v>4.1541040000000002</x:v>
      </x:c>
      <x:c r="I696">
        <x:f ca="1">IFERROR(IF(0=LEN(ReferenceData!$I$696),"",ReferenceData!$I$696),"")</x:f>
        <x:v>17.031181</x:v>
      </x:c>
      <x:c r="J696">
        <x:f ca="1">IFERROR(IF(0=LEN(ReferenceData!$J$696),"",ReferenceData!$J$696),"")</x:f>
        <x:v>3.1189339999999999</x:v>
      </x:c>
      <x:c r="K696">
        <x:f ca="1">IFERROR(IF(0=LEN(ReferenceData!$K$696),"",ReferenceData!$K$696),"")</x:f>
        <x:v>-4.0151519999999996</x:v>
      </x:c>
      <x:c r="L696">
        <x:f ca="1">IFERROR(IF(0=LEN(ReferenceData!$L$696),"",ReferenceData!$L$696),"")</x:f>
        <x:v>0.99723700000000004</x:v>
      </x:c>
      <x:c r="M696">
        <x:f ca="1">IFERROR(IF(0=LEN(ReferenceData!$M$696),"",ReferenceData!$M$696),"")</x:f>
        <x:v>0</x:v>
      </x:c>
      <x:c r="N696">
        <x:f ca="1">IFERROR(IF(0=LEN(ReferenceData!$N$696),"",ReferenceData!$N$696),"")</x:f>
        <x:v>16.264647</x:v>
      </x:c>
      <x:c r="O696">
        <x:f ca="1">IFERROR(IF(0=LEN(ReferenceData!$O$696),"",ReferenceData!$O$696),"")</x:f>
        <x:v>1.005932</x:v>
      </x:c>
      <x:c r="P696">
        <x:f ca="1">IFERROR(IF(0=LEN(ReferenceData!$P$696),"",ReferenceData!$P$696),"")</x:f>
        <x:v>0.99325699999999995</x:v>
      </x:c>
      <x:c r="Q696">
        <x:f ca="1">IFERROR(IF(0=LEN(ReferenceData!$Q$696),"",ReferenceData!$Q$696),"")</x:f>
        <x:v>-1.798489</x:v>
      </x:c>
      <x:c r="R696">
        <x:f ca="1">IFERROR(IF(0=LEN(ReferenceData!$R$696),"",ReferenceData!$R$696),"")</x:f>
        <x:v>-1.0420160000000001</x:v>
      </x:c>
      <x:c r="S696">
        <x:f ca="1">IFERROR(IF(0=LEN(ReferenceData!$S$696),"",ReferenceData!$S$696),"")</x:f>
        <x:v>5.9791340000000002</x:v>
      </x:c>
    </x:row>
    <x:row r="697" spans="1:19" x14ac:dyDescent="0.25">
      <x:c r="A697" t="str">
        <x:f>IFERROR(IF(0=LEN(ReferenceData!$A$697),"",ReferenceData!$A$697),"")</x:f>
        <x:v xml:space="preserve">            Kraneshares Global Carbon Tran</x:v>
      </x:c>
      <x:c r="B697" t="str">
        <x:f>IFERROR(IF(0=LEN(ReferenceData!$B$697),"",ReferenceData!$B$697),"")</x:f>
        <x:v>KGHG US Equity</x:v>
      </x:c>
      <x:c r="C697" t="str">
        <x:f>IFERROR(IF(0=LEN(ReferenceData!$C$697),"",ReferenceData!$C$697),"")</x:f>
        <x:v/>
      </x:c>
      <x:c r="D697" t="str">
        <x:f>IFERROR(IF(0=LEN(ReferenceData!$D$697),"",ReferenceData!$D$697),"")</x:f>
        <x:v/>
      </x:c>
      <x:c r="E697" t="str">
        <x:f>IFERROR(IF(0=LEN(ReferenceData!$E$697),"",ReferenceData!$E$697),"")</x:f>
        <x:v>Expression</x:v>
      </x:c>
      <x:c r="F697" t="str">
        <x:f ca="1">IFERROR(IF(0=LEN(ReferenceData!$F$697),"",ReferenceData!$F$697),"")</x:f>
        <x:v/>
      </x:c>
      <x:c r="G697" t="str">
        <x:f ca="1">IFERROR(IF(0=LEN(ReferenceData!$G$697),"",ReferenceData!$G$697),"")</x:f>
        <x:v/>
      </x:c>
      <x:c r="H697" t="str">
        <x:f ca="1">IFERROR(IF(0=LEN(ReferenceData!$H$697),"",ReferenceData!$H$697),"")</x:f>
        <x:v/>
      </x:c>
      <x:c r="I697" t="str">
        <x:f ca="1">IFERROR(IF(0=LEN(ReferenceData!$I$697),"",ReferenceData!$I$697),"")</x:f>
        <x:v/>
      </x:c>
      <x:c r="J697" t="str">
        <x:f ca="1">IFERROR(IF(0=LEN(ReferenceData!$J$697),"",ReferenceData!$J$697),"")</x:f>
        <x:v/>
      </x:c>
      <x:c r="K697" t="str">
        <x:f ca="1">IFERROR(IF(0=LEN(ReferenceData!$K$697),"",ReferenceData!$K$697),"")</x:f>
        <x:v/>
      </x:c>
      <x:c r="L697">
        <x:f ca="1">IFERROR(IF(0=LEN(ReferenceData!$L$697),"",ReferenceData!$L$697),"")</x:f>
        <x:v>0</x:v>
      </x:c>
      <x:c r="M697">
        <x:f ca="1">IFERROR(IF(0=LEN(ReferenceData!$M$697),"",ReferenceData!$M$697),"")</x:f>
        <x:v>0</x:v>
      </x:c>
      <x:c r="N697">
        <x:f ca="1">IFERROR(IF(0=LEN(ReferenceData!$N$697),"",ReferenceData!$N$697),"")</x:f>
        <x:v>0</x:v>
      </x:c>
      <x:c r="O697">
        <x:f ca="1">IFERROR(IF(0=LEN(ReferenceData!$O$697),"",ReferenceData!$O$697),"")</x:f>
        <x:v>0</x:v>
      </x:c>
      <x:c r="P697">
        <x:f ca="1">IFERROR(IF(0=LEN(ReferenceData!$P$697),"",ReferenceData!$P$697),"")</x:f>
        <x:v>0</x:v>
      </x:c>
      <x:c r="Q697">
        <x:f ca="1">IFERROR(IF(0=LEN(ReferenceData!$Q$697),"",ReferenceData!$Q$697),"")</x:f>
        <x:v>0</x:v>
      </x:c>
      <x:c r="R697">
        <x:f ca="1">IFERROR(IF(0=LEN(ReferenceData!$R$697),"",ReferenceData!$R$697),"")</x:f>
        <x:v>0</x:v>
      </x:c>
      <x:c r="S697">
        <x:f ca="1">IFERROR(IF(0=LEN(ReferenceData!$S$697),"",ReferenceData!$S$697),"")</x:f>
        <x:v>0</x:v>
      </x:c>
    </x:row>
    <x:row r="698" spans="1:19" x14ac:dyDescent="0.25">
      <x:c r="A698" t="str">
        <x:f>IFERROR(IF(0=LEN(ReferenceData!$A$698),"",ReferenceData!$A$698),"")</x:f>
        <x:v xml:space="preserve">            Neuberger Berman Carbon Transi</x:v>
      </x:c>
      <x:c r="B698" t="str">
        <x:f>IFERROR(IF(0=LEN(ReferenceData!$B$698),"",ReferenceData!$B$698),"")</x:f>
        <x:v>NBCT US Equity</x:v>
      </x:c>
      <x:c r="C698" t="str">
        <x:f>IFERROR(IF(0=LEN(ReferenceData!$C$698),"",ReferenceData!$C$698),"")</x:f>
        <x:v/>
      </x:c>
      <x:c r="D698" t="str">
        <x:f>IFERROR(IF(0=LEN(ReferenceData!$D$698),"",ReferenceData!$D$698),"")</x:f>
        <x:v/>
      </x:c>
      <x:c r="E698" t="str">
        <x:f>IFERROR(IF(0=LEN(ReferenceData!$E$698),"",ReferenceData!$E$698),"")</x:f>
        <x:v>Expression</x:v>
      </x:c>
      <x:c r="F698">
        <x:f ca="1">IFERROR(IF(0=LEN(ReferenceData!$F$698),"",ReferenceData!$F$698),"")</x:f>
        <x:v>0</x:v>
      </x:c>
      <x:c r="G698">
        <x:f ca="1">IFERROR(IF(0=LEN(ReferenceData!$G$698),"",ReferenceData!$G$698),"")</x:f>
        <x:v>0</x:v>
      </x:c>
      <x:c r="H698">
        <x:f ca="1">IFERROR(IF(0=LEN(ReferenceData!$H$698),"",ReferenceData!$H$698),"")</x:f>
        <x:v>0.57774999999999999</x:v>
      </x:c>
      <x:c r="I698">
        <x:f ca="1">IFERROR(IF(0=LEN(ReferenceData!$I$698),"",ReferenceData!$I$698),"")</x:f>
        <x:v>0</x:v>
      </x:c>
      <x:c r="J698">
        <x:f ca="1">IFERROR(IF(0=LEN(ReferenceData!$J$698),"",ReferenceData!$J$698),"")</x:f>
        <x:v>0.64824999999999999</x:v>
      </x:c>
      <x:c r="K698">
        <x:f ca="1">IFERROR(IF(0=LEN(ReferenceData!$K$698),"",ReferenceData!$K$698),"")</x:f>
        <x:v>0</x:v>
      </x:c>
      <x:c r="L698">
        <x:f ca="1">IFERROR(IF(0=LEN(ReferenceData!$L$698),"",ReferenceData!$L$698),"")</x:f>
        <x:v>0</x:v>
      </x:c>
      <x:c r="M698">
        <x:f ca="1">IFERROR(IF(0=LEN(ReferenceData!$M$698),"",ReferenceData!$M$698),"")</x:f>
        <x:v>0</x:v>
      </x:c>
      <x:c r="N698">
        <x:f ca="1">IFERROR(IF(0=LEN(ReferenceData!$N$698),"",ReferenceData!$N$698),"")</x:f>
        <x:v>0.60575800000000002</x:v>
      </x:c>
      <x:c r="O698">
        <x:f ca="1">IFERROR(IF(0=LEN(ReferenceData!$O$698),"",ReferenceData!$O$698),"")</x:f>
        <x:v>13.65827</x:v>
      </x:c>
      <x:c r="P698">
        <x:f ca="1">IFERROR(IF(0=LEN(ReferenceData!$P$698),"",ReferenceData!$P$698),"")</x:f>
        <x:v>5.5019200000000001</x:v>
      </x:c>
      <x:c r="Q698">
        <x:f ca="1">IFERROR(IF(0=LEN(ReferenceData!$Q$698),"",ReferenceData!$Q$698),"")</x:f>
        <x:v>0</x:v>
      </x:c>
      <x:c r="R698">
        <x:f ca="1">IFERROR(IF(0=LEN(ReferenceData!$R$698),"",ReferenceData!$R$698),"")</x:f>
        <x:v>0</x:v>
      </x:c>
      <x:c r="S698">
        <x:f ca="1">IFERROR(IF(0=LEN(ReferenceData!$S$698),"",ReferenceData!$S$698),"")</x:f>
        <x:v>0</x:v>
      </x:c>
    </x:row>
    <x:row r="699" spans="1:19" x14ac:dyDescent="0.25">
      <x:c r="A699" t="str">
        <x:f>IFERROR(IF(0=LEN(ReferenceData!$A$699),"",ReferenceData!$A$699),"")</x:f>
        <x:v xml:space="preserve">            BlackRock Future Climate and S</x:v>
      </x:c>
      <x:c r="B699" t="str">
        <x:f>IFERROR(IF(0=LEN(ReferenceData!$B$699),"",ReferenceData!$B$699),"")</x:f>
        <x:v>BECO US Equity</x:v>
      </x:c>
      <x:c r="C699" t="str">
        <x:f>IFERROR(IF(0=LEN(ReferenceData!$C$699),"",ReferenceData!$C$699),"")</x:f>
        <x:v/>
      </x:c>
      <x:c r="D699" t="str">
        <x:f>IFERROR(IF(0=LEN(ReferenceData!$D$699),"",ReferenceData!$D$699),"")</x:f>
        <x:v/>
      </x:c>
      <x:c r="E699" t="str">
        <x:f>IFERROR(IF(0=LEN(ReferenceData!$E$699),"",ReferenceData!$E$699),"")</x:f>
        <x:v>Expression</x:v>
      </x:c>
      <x:c r="F699">
        <x:f ca="1">IFERROR(IF(0=LEN(ReferenceData!$F$699),"",ReferenceData!$F$699),"")</x:f>
        <x:v>0</x:v>
      </x:c>
      <x:c r="G699">
        <x:f ca="1">IFERROR(IF(0=LEN(ReferenceData!$G$699),"",ReferenceData!$G$699),"")</x:f>
        <x:v>0</x:v>
      </x:c>
      <x:c r="H699">
        <x:f ca="1">IFERROR(IF(0=LEN(ReferenceData!$H$699),"",ReferenceData!$H$699),"")</x:f>
        <x:v>0</x:v>
      </x:c>
      <x:c r="I699">
        <x:f ca="1">IFERROR(IF(0=LEN(ReferenceData!$I$699),"",ReferenceData!$I$699),"")</x:f>
        <x:v>0</x:v>
      </x:c>
      <x:c r="J699">
        <x:f ca="1">IFERROR(IF(0=LEN(ReferenceData!$J$699),"",ReferenceData!$J$699),"")</x:f>
        <x:v>0</x:v>
      </x:c>
      <x:c r="K699">
        <x:f ca="1">IFERROR(IF(0=LEN(ReferenceData!$K$699),"",ReferenceData!$K$699),"")</x:f>
        <x:v>0</x:v>
      </x:c>
      <x:c r="L699">
        <x:f ca="1">IFERROR(IF(0=LEN(ReferenceData!$L$699),"",ReferenceData!$L$699),"")</x:f>
        <x:v>0</x:v>
      </x:c>
      <x:c r="M699">
        <x:f ca="1">IFERROR(IF(0=LEN(ReferenceData!$M$699),"",ReferenceData!$M$699),"")</x:f>
        <x:v>0</x:v>
      </x:c>
      <x:c r="N699">
        <x:f ca="1">IFERROR(IF(0=LEN(ReferenceData!$N$699),"",ReferenceData!$N$699),"")</x:f>
        <x:v>0</x:v>
      </x:c>
      <x:c r="O699">
        <x:f ca="1">IFERROR(IF(0=LEN(ReferenceData!$O$699),"",ReferenceData!$O$699),"")</x:f>
        <x:v>0</x:v>
      </x:c>
      <x:c r="P699">
        <x:f ca="1">IFERROR(IF(0=LEN(ReferenceData!$P$699),"",ReferenceData!$P$699),"")</x:f>
        <x:v>0</x:v>
      </x:c>
      <x:c r="Q699">
        <x:f ca="1">IFERROR(IF(0=LEN(ReferenceData!$Q$699),"",ReferenceData!$Q$699),"")</x:f>
        <x:v>0</x:v>
      </x:c>
      <x:c r="R699">
        <x:f ca="1">IFERROR(IF(0=LEN(ReferenceData!$R$699),"",ReferenceData!$R$699),"")</x:f>
        <x:v>0</x:v>
      </x:c>
      <x:c r="S699">
        <x:f ca="1">IFERROR(IF(0=LEN(ReferenceData!$S$699),"",ReferenceData!$S$699),"")</x:f>
        <x:v>0</x:v>
      </x:c>
    </x:row>
    <x:row r="700" spans="1:19" x14ac:dyDescent="0.25">
      <x:c r="A700" t="str">
        <x:f>IFERROR(IF(0=LEN(ReferenceData!$A$700),"",ReferenceData!$A$700),"")</x:f>
        <x:v xml:space="preserve">            Ishares Breakthrough Environme</x:v>
      </x:c>
      <x:c r="B700" t="str">
        <x:f>IFERROR(IF(0=LEN(ReferenceData!$B$700),"",ReferenceData!$B$700),"")</x:f>
        <x:v>ETEC US Equity</x:v>
      </x:c>
      <x:c r="C700" t="str">
        <x:f>IFERROR(IF(0=LEN(ReferenceData!$C$700),"",ReferenceData!$C$700),"")</x:f>
        <x:v/>
      </x:c>
      <x:c r="D700" t="str">
        <x:f>IFERROR(IF(0=LEN(ReferenceData!$D$700),"",ReferenceData!$D$700),"")</x:f>
        <x:v/>
      </x:c>
      <x:c r="E700" t="str">
        <x:f>IFERROR(IF(0=LEN(ReferenceData!$E$700),"",ReferenceData!$E$700),"")</x:f>
        <x:v>Expression</x:v>
      </x:c>
      <x:c r="F700">
        <x:f ca="1">IFERROR(IF(0=LEN(ReferenceData!$F$700),"",ReferenceData!$F$700),"")</x:f>
        <x:v>0</x:v>
      </x:c>
      <x:c r="G700">
        <x:f ca="1">IFERROR(IF(0=LEN(ReferenceData!$G$700),"",ReferenceData!$G$700),"")</x:f>
        <x:v>0</x:v>
      </x:c>
      <x:c r="H700">
        <x:f ca="1">IFERROR(IF(0=LEN(ReferenceData!$H$700),"",ReferenceData!$H$700),"")</x:f>
        <x:v>0</x:v>
      </x:c>
      <x:c r="I700">
        <x:f ca="1">IFERROR(IF(0=LEN(ReferenceData!$I$700),"",ReferenceData!$I$700),"")</x:f>
        <x:v>0</x:v>
      </x:c>
      <x:c r="J700">
        <x:f ca="1">IFERROR(IF(0=LEN(ReferenceData!$J$700),"",ReferenceData!$J$700),"")</x:f>
        <x:v>0</x:v>
      </x:c>
      <x:c r="K700">
        <x:f ca="1">IFERROR(IF(0=LEN(ReferenceData!$K$700),"",ReferenceData!$K$700),"")</x:f>
        <x:v>0</x:v>
      </x:c>
      <x:c r="L700">
        <x:f ca="1">IFERROR(IF(0=LEN(ReferenceData!$L$700),"",ReferenceData!$L$700),"")</x:f>
        <x:v>0</x:v>
      </x:c>
      <x:c r="M700">
        <x:f ca="1">IFERROR(IF(0=LEN(ReferenceData!$M$700),"",ReferenceData!$M$700),"")</x:f>
        <x:v>0</x:v>
      </x:c>
      <x:c r="N700">
        <x:f ca="1">IFERROR(IF(0=LEN(ReferenceData!$N$700),"",ReferenceData!$N$700),"")</x:f>
        <x:v>0</x:v>
      </x:c>
      <x:c r="O700" t="str">
        <x:f ca="1">IFERROR(IF(0=LEN(ReferenceData!$O$700),"",ReferenceData!$O$700),"")</x:f>
        <x:v/>
      </x:c>
      <x:c r="P700" t="str">
        <x:f ca="1">IFERROR(IF(0=LEN(ReferenceData!$P$700),"",ReferenceData!$P$700),"")</x:f>
        <x:v/>
      </x:c>
      <x:c r="Q700" t="str">
        <x:f ca="1">IFERROR(IF(0=LEN(ReferenceData!$Q$700),"",ReferenceData!$Q$700),"")</x:f>
        <x:v/>
      </x:c>
      <x:c r="R700" t="str">
        <x:f ca="1">IFERROR(IF(0=LEN(ReferenceData!$R$700),"",ReferenceData!$R$700),"")</x:f>
        <x:v/>
      </x:c>
      <x:c r="S700" t="str">
        <x:f ca="1">IFERROR(IF(0=LEN(ReferenceData!$S$700),"",ReferenceData!$S$700),"")</x:f>
        <x:v/>
      </x:c>
    </x:row>
    <x:row r="701" spans="1:19" x14ac:dyDescent="0.25">
      <x:c r="A701" t="str">
        <x:f>IFERROR(IF(0=LEN(ReferenceData!$A$701),"",ReferenceData!$A$701),"")</x:f>
        <x:v xml:space="preserve">        Cloud Computing</x:v>
      </x:c>
      <x:c r="B701" t="str">
        <x:f>IFERROR(IF(0=LEN(ReferenceData!$B$701),"",ReferenceData!$B$701),"")</x:f>
        <x:v/>
      </x:c>
      <x:c r="C701" t="str">
        <x:f>IFERROR(IF(0=LEN(ReferenceData!$C$701),"",ReferenceData!$C$701),"")</x:f>
        <x:v/>
      </x:c>
      <x:c r="D701" t="str">
        <x:f>IFERROR(IF(0=LEN(ReferenceData!$D$701),"",ReferenceData!$D$701),"")</x:f>
        <x:v/>
      </x:c>
      <x:c r="E701" t="str">
        <x:f>IFERROR(IF(0=LEN(ReferenceData!$E$701),"",ReferenceData!$E$701),"")</x:f>
        <x:v>Sum</x:v>
      </x:c>
      <x:c r="F701">
        <x:f ca="1">IFERROR(IF(0=LEN(ReferenceData!$F$701),"",ReferenceData!$F$701),"")</x:f>
        <x:v>-20.154705000000003</x:v>
      </x:c>
      <x:c r="G701">
        <x:f ca="1">IFERROR(IF(0=LEN(ReferenceData!$G$701),"",ReferenceData!$G$701),"")</x:f>
        <x:v>-64.036701999999991</x:v>
      </x:c>
      <x:c r="H701">
        <x:f ca="1">IFERROR(IF(0=LEN(ReferenceData!$H$701),"",ReferenceData!$H$701),"")</x:f>
        <x:v>-76.050971999999987</x:v>
      </x:c>
      <x:c r="I701">
        <x:f ca="1">IFERROR(IF(0=LEN(ReferenceData!$I$701),"",ReferenceData!$I$701),"")</x:f>
        <x:v>-50.040694000000002</x:v>
      </x:c>
      <x:c r="J701">
        <x:f ca="1">IFERROR(IF(0=LEN(ReferenceData!$J$701),"",ReferenceData!$J$701),"")</x:f>
        <x:v>-183.96635999999998</x:v>
      </x:c>
      <x:c r="K701">
        <x:f ca="1">IFERROR(IF(0=LEN(ReferenceData!$K$701),"",ReferenceData!$K$701),"")</x:f>
        <x:v>-2.837273999999999</x:v>
      </x:c>
      <x:c r="L701">
        <x:f ca="1">IFERROR(IF(0=LEN(ReferenceData!$L$701),"",ReferenceData!$L$701),"")</x:f>
        <x:v>-38.875063999999995</x:v>
      </x:c>
      <x:c r="M701">
        <x:f ca="1">IFERROR(IF(0=LEN(ReferenceData!$M$701),"",ReferenceData!$M$701),"")</x:f>
        <x:v>-206.97343599999999</x:v>
      </x:c>
      <x:c r="N701">
        <x:f ca="1">IFERROR(IF(0=LEN(ReferenceData!$N$701),"",ReferenceData!$N$701),"")</x:f>
        <x:v>-62.140445</x:v>
      </x:c>
      <x:c r="O701">
        <x:f ca="1">IFERROR(IF(0=LEN(ReferenceData!$O$701),"",ReferenceData!$O$701),"")</x:f>
        <x:v>-68.848271999999994</x:v>
      </x:c>
      <x:c r="P701">
        <x:f ca="1">IFERROR(IF(0=LEN(ReferenceData!$P$701),"",ReferenceData!$P$701),"")</x:f>
        <x:v>-142.64025599999999</x:v>
      </x:c>
      <x:c r="Q701">
        <x:f ca="1">IFERROR(IF(0=LEN(ReferenceData!$Q$701),"",ReferenceData!$Q$701),"")</x:f>
        <x:v>-152.59308799999999</x:v>
      </x:c>
      <x:c r="R701">
        <x:f ca="1">IFERROR(IF(0=LEN(ReferenceData!$R$701),"",ReferenceData!$R$701),"")</x:f>
        <x:v>-71.377924000000007</x:v>
      </x:c>
      <x:c r="S701">
        <x:f ca="1">IFERROR(IF(0=LEN(ReferenceData!$S$701),"",ReferenceData!$S$701),"")</x:f>
        <x:v>-87.292387999999988</x:v>
      </x:c>
    </x:row>
    <x:row r="702" spans="1:19" x14ac:dyDescent="0.25">
      <x:c r="A702" t="str">
        <x:f>IFERROR(IF(0=LEN(ReferenceData!$A$702),"",ReferenceData!$A$702),"")</x:f>
        <x:v xml:space="preserve">            Global X Cloud Computing ETF</x:v>
      </x:c>
      <x:c r="B702" t="str">
        <x:f>IFERROR(IF(0=LEN(ReferenceData!$B$702),"",ReferenceData!$B$702),"")</x:f>
        <x:v>CLOU US Equity</x:v>
      </x:c>
      <x:c r="C702" t="str">
        <x:f>IFERROR(IF(0=LEN(ReferenceData!$C$702),"",ReferenceData!$C$702),"")</x:f>
        <x:v/>
      </x:c>
      <x:c r="D702" t="str">
        <x:f>IFERROR(IF(0=LEN(ReferenceData!$D$702),"",ReferenceData!$D$702),"")</x:f>
        <x:v/>
      </x:c>
      <x:c r="E702" t="str">
        <x:f>IFERROR(IF(0=LEN(ReferenceData!$E$702),"",ReferenceData!$E$702),"")</x:f>
        <x:v>Expression</x:v>
      </x:c>
      <x:c r="F702">
        <x:f ca="1">IFERROR(IF(0=LEN(ReferenceData!$F$702),"",ReferenceData!$F$702),"")</x:f>
        <x:v>-0.29759999999999998</x:v>
      </x:c>
      <x:c r="G702">
        <x:f ca="1">IFERROR(IF(0=LEN(ReferenceData!$G$702),"",ReferenceData!$G$702),"")</x:f>
        <x:v>0</x:v>
      </x:c>
      <x:c r="H702">
        <x:f ca="1">IFERROR(IF(0=LEN(ReferenceData!$H$702),"",ReferenceData!$H$702),"")</x:f>
        <x:v>-9.5777999999999999</x:v>
      </x:c>
      <x:c r="I702">
        <x:f ca="1">IFERROR(IF(0=LEN(ReferenceData!$I$702),"",ReferenceData!$I$702),"")</x:f>
        <x:v>-24.8306</x:v>
      </x:c>
      <x:c r="J702">
        <x:f ca="1">IFERROR(IF(0=LEN(ReferenceData!$J$702),"",ReferenceData!$J$702),"")</x:f>
        <x:v>-9.5847999999999995</x:v>
      </x:c>
      <x:c r="K702">
        <x:f ca="1">IFERROR(IF(0=LEN(ReferenceData!$K$702),"",ReferenceData!$K$702),"")</x:f>
        <x:v>3.2625000000000002</x:v>
      </x:c>
      <x:c r="L702">
        <x:f ca="1">IFERROR(IF(0=LEN(ReferenceData!$L$702),"",ReferenceData!$L$702),"")</x:f>
        <x:v>-13.4734</x:v>
      </x:c>
      <x:c r="M702">
        <x:f ca="1">IFERROR(IF(0=LEN(ReferenceData!$M$702),"",ReferenceData!$M$702),"")</x:f>
        <x:v>-13.589499999999999</x:v>
      </x:c>
      <x:c r="N702">
        <x:f ca="1">IFERROR(IF(0=LEN(ReferenceData!$N$702),"",ReferenceData!$N$702),"")</x:f>
        <x:v>-18.000699999999998</x:v>
      </x:c>
      <x:c r="O702">
        <x:f ca="1">IFERROR(IF(0=LEN(ReferenceData!$O$702),"",ReferenceData!$O$702),"")</x:f>
        <x:v>-2.7303999999999999</x:v>
      </x:c>
      <x:c r="P702">
        <x:f ca="1">IFERROR(IF(0=LEN(ReferenceData!$P$702),"",ReferenceData!$P$702),"")</x:f>
        <x:v>-6.2176</x:v>
      </x:c>
      <x:c r="Q702">
        <x:f ca="1">IFERROR(IF(0=LEN(ReferenceData!$Q$702),"",ReferenceData!$Q$702),"")</x:f>
        <x:v>-30.826599999999999</x:v>
      </x:c>
      <x:c r="R702">
        <x:f ca="1">IFERROR(IF(0=LEN(ReferenceData!$R$702),"",ReferenceData!$R$702),"")</x:f>
        <x:v>-10.7446</x:v>
      </x:c>
      <x:c r="S702">
        <x:f ca="1">IFERROR(IF(0=LEN(ReferenceData!$S$702),"",ReferenceData!$S$702),"")</x:f>
        <x:v>-17.3782</x:v>
      </x:c>
    </x:row>
    <x:row r="703" spans="1:19" x14ac:dyDescent="0.25">
      <x:c r="A703" t="str">
        <x:f>IFERROR(IF(0=LEN(ReferenceData!$A$703),"",ReferenceData!$A$703),"")</x:f>
        <x:v xml:space="preserve">            First Trust Cloud Computing ET</x:v>
      </x:c>
      <x:c r="B703" t="str">
        <x:f>IFERROR(IF(0=LEN(ReferenceData!$B$703),"",ReferenceData!$B$703),"")</x:f>
        <x:v>SKYY US Equity</x:v>
      </x:c>
      <x:c r="C703" t="str">
        <x:f>IFERROR(IF(0=LEN(ReferenceData!$C$703),"",ReferenceData!$C$703),"")</x:f>
        <x:v/>
      </x:c>
      <x:c r="D703" t="str">
        <x:f>IFERROR(IF(0=LEN(ReferenceData!$D$703),"",ReferenceData!$D$703),"")</x:f>
        <x:v/>
      </x:c>
      <x:c r="E703" t="str">
        <x:f>IFERROR(IF(0=LEN(ReferenceData!$E$703),"",ReferenceData!$E$703),"")</x:f>
        <x:v>Expression</x:v>
      </x:c>
      <x:c r="F703">
        <x:f ca="1">IFERROR(IF(0=LEN(ReferenceData!$F$703),"",ReferenceData!$F$703),"")</x:f>
        <x:v>-11.469067000000001</x:v>
      </x:c>
      <x:c r="G703">
        <x:f ca="1">IFERROR(IF(0=LEN(ReferenceData!$G$703),"",ReferenceData!$G$703),"")</x:f>
        <x:v>-78.744389999999996</x:v>
      </x:c>
      <x:c r="H703">
        <x:f ca="1">IFERROR(IF(0=LEN(ReferenceData!$H$703),"",ReferenceData!$H$703),"")</x:f>
        <x:v>-34.266931</x:v>
      </x:c>
      <x:c r="I703">
        <x:f ca="1">IFERROR(IF(0=LEN(ReferenceData!$I$703),"",ReferenceData!$I$703),"")</x:f>
        <x:v>-19.426856999999998</x:v>
      </x:c>
      <x:c r="J703">
        <x:f ca="1">IFERROR(IF(0=LEN(ReferenceData!$J$703),"",ReferenceData!$J$703),"")</x:f>
        <x:v>-191.10849999999999</x:v>
      </x:c>
      <x:c r="K703">
        <x:f ca="1">IFERROR(IF(0=LEN(ReferenceData!$K$703),"",ReferenceData!$K$703),"")</x:f>
        <x:v>-4.0419999999999998</x:v>
      </x:c>
      <x:c r="L703">
        <x:f ca="1">IFERROR(IF(0=LEN(ReferenceData!$L$703),"",ReferenceData!$L$703),"")</x:f>
        <x:v>-19.024999999999999</x:v>
      </x:c>
      <x:c r="M703">
        <x:f ca="1">IFERROR(IF(0=LEN(ReferenceData!$M$703),"",ReferenceData!$M$703),"")</x:f>
        <x:v>-191.48050000000001</x:v>
      </x:c>
      <x:c r="N703">
        <x:f ca="1">IFERROR(IF(0=LEN(ReferenceData!$N$703),"",ReferenceData!$N$703),"")</x:f>
        <x:v>-31.666</x:v>
      </x:c>
      <x:c r="O703">
        <x:f ca="1">IFERROR(IF(0=LEN(ReferenceData!$O$703),"",ReferenceData!$O$703),"")</x:f>
        <x:v>-58.720999999999997</x:v>
      </x:c>
      <x:c r="P703">
        <x:f ca="1">IFERROR(IF(0=LEN(ReferenceData!$P$703),"",ReferenceData!$P$703),"")</x:f>
        <x:v>-138.58600000000001</x:v>
      </x:c>
      <x:c r="Q703">
        <x:f ca="1">IFERROR(IF(0=LEN(ReferenceData!$Q$703),"",ReferenceData!$Q$703),"")</x:f>
        <x:v>-107.512075</x:v>
      </x:c>
      <x:c r="R703">
        <x:f ca="1">IFERROR(IF(0=LEN(ReferenceData!$R$703),"",ReferenceData!$R$703),"")</x:f>
        <x:v>-80.640433000000002</x:v>
      </x:c>
      <x:c r="S703">
        <x:f ca="1">IFERROR(IF(0=LEN(ReferenceData!$S$703),"",ReferenceData!$S$703),"")</x:f>
        <x:v>-54.591838000000003</x:v>
      </x:c>
    </x:row>
    <x:row r="704" spans="1:19" x14ac:dyDescent="0.25">
      <x:c r="A704" t="str">
        <x:f>IFERROR(IF(0=LEN(ReferenceData!$A$704),"",ReferenceData!$A$704),"")</x:f>
        <x:v xml:space="preserve">            Tortoise Cloud Infrastructure</x:v>
      </x:c>
      <x:c r="B704" t="str">
        <x:f>IFERROR(IF(0=LEN(ReferenceData!$B$704),"",ReferenceData!$B$704),"")</x:f>
        <x:v>TCLD US Equity</x:v>
      </x:c>
      <x:c r="C704" t="str">
        <x:f>IFERROR(IF(0=LEN(ReferenceData!$C$704),"",ReferenceData!$C$704),"")</x:f>
        <x:v/>
      </x:c>
      <x:c r="D704" t="str">
        <x:f>IFERROR(IF(0=LEN(ReferenceData!$D$704),"",ReferenceData!$D$704),"")</x:f>
        <x:v/>
      </x:c>
      <x:c r="E704" t="str">
        <x:f>IFERROR(IF(0=LEN(ReferenceData!$E$704),"",ReferenceData!$E$704),"")</x:f>
        <x:v>Expression</x:v>
      </x:c>
      <x:c r="F704" t="str">
        <x:f ca="1">IFERROR(IF(0=LEN(ReferenceData!$F$704),"",ReferenceData!$F$704),"")</x:f>
        <x:v/>
      </x:c>
      <x:c r="G704" t="str">
        <x:f ca="1">IFERROR(IF(0=LEN(ReferenceData!$G$704),"",ReferenceData!$G$704),"")</x:f>
        <x:v/>
      </x:c>
      <x:c r="H704" t="str">
        <x:f ca="1">IFERROR(IF(0=LEN(ReferenceData!$H$704),"",ReferenceData!$H$704),"")</x:f>
        <x:v/>
      </x:c>
      <x:c r="I704" t="str">
        <x:f ca="1">IFERROR(IF(0=LEN(ReferenceData!$I$704),"",ReferenceData!$I$704),"")</x:f>
        <x:v/>
      </x:c>
      <x:c r="J704" t="str">
        <x:f ca="1">IFERROR(IF(0=LEN(ReferenceData!$J$704),"",ReferenceData!$J$704),"")</x:f>
        <x:v/>
      </x:c>
      <x:c r="K704" t="str">
        <x:f ca="1">IFERROR(IF(0=LEN(ReferenceData!$K$704),"",ReferenceData!$K$704),"")</x:f>
        <x:v/>
      </x:c>
      <x:c r="L704" t="str">
        <x:f ca="1">IFERROR(IF(0=LEN(ReferenceData!$L$704),"",ReferenceData!$L$704),"")</x:f>
        <x:v/>
      </x:c>
      <x:c r="M704" t="str">
        <x:f ca="1">IFERROR(IF(0=LEN(ReferenceData!$M$704),"",ReferenceData!$M$704),"")</x:f>
        <x:v/>
      </x:c>
      <x:c r="N704" t="str">
        <x:f ca="1">IFERROR(IF(0=LEN(ReferenceData!$N$704),"",ReferenceData!$N$704),"")</x:f>
        <x:v/>
      </x:c>
      <x:c r="O704" t="str">
        <x:f ca="1">IFERROR(IF(0=LEN(ReferenceData!$O$704),"",ReferenceData!$O$704),"")</x:f>
        <x:v/>
      </x:c>
      <x:c r="P704" t="str">
        <x:f ca="1">IFERROR(IF(0=LEN(ReferenceData!$P$704),"",ReferenceData!$P$704),"")</x:f>
        <x:v/>
      </x:c>
      <x:c r="Q704" t="str">
        <x:f ca="1">IFERROR(IF(0=LEN(ReferenceData!$Q$704),"",ReferenceData!$Q$704),"")</x:f>
        <x:v/>
      </x:c>
      <x:c r="R704" t="str">
        <x:f ca="1">IFERROR(IF(0=LEN(ReferenceData!$R$704),"",ReferenceData!$R$704),"")</x:f>
        <x:v/>
      </x:c>
      <x:c r="S704" t="str">
        <x:f ca="1">IFERROR(IF(0=LEN(ReferenceData!$S$704),"",ReferenceData!$S$704),"")</x:f>
        <x:v/>
      </x:c>
    </x:row>
    <x:row r="705" spans="1:19" x14ac:dyDescent="0.25">
      <x:c r="A705" t="str">
        <x:f>IFERROR(IF(0=LEN(ReferenceData!$A$705),"",ReferenceData!$A$705),"")</x:f>
        <x:v xml:space="preserve">            WisdomTree Cloud Computing Fun</x:v>
      </x:c>
      <x:c r="B705" t="str">
        <x:f>IFERROR(IF(0=LEN(ReferenceData!$B$705),"",ReferenceData!$B$705),"")</x:f>
        <x:v>WCLD US Equity</x:v>
      </x:c>
      <x:c r="C705" t="str">
        <x:f>IFERROR(IF(0=LEN(ReferenceData!$C$705),"",ReferenceData!$C$705),"")</x:f>
        <x:v/>
      </x:c>
      <x:c r="D705" t="str">
        <x:f>IFERROR(IF(0=LEN(ReferenceData!$D$705),"",ReferenceData!$D$705),"")</x:f>
        <x:v/>
      </x:c>
      <x:c r="E705" t="str">
        <x:f>IFERROR(IF(0=LEN(ReferenceData!$E$705),"",ReferenceData!$E$705),"")</x:f>
        <x:v>Expression</x:v>
      </x:c>
      <x:c r="F705">
        <x:f ca="1">IFERROR(IF(0=LEN(ReferenceData!$F$705),"",ReferenceData!$F$705),"")</x:f>
        <x:v>-7.5705220000000004</x:v>
      </x:c>
      <x:c r="G705">
        <x:f ca="1">IFERROR(IF(0=LEN(ReferenceData!$G$705),"",ReferenceData!$G$705),"")</x:f>
        <x:v>14.518489000000001</x:v>
      </x:c>
      <x:c r="H705">
        <x:f ca="1">IFERROR(IF(0=LEN(ReferenceData!$H$705),"",ReferenceData!$H$705),"")</x:f>
        <x:v>-32.990313999999998</x:v>
      </x:c>
      <x:c r="I705">
        <x:f ca="1">IFERROR(IF(0=LEN(ReferenceData!$I$705),"",ReferenceData!$I$705),"")</x:f>
        <x:v>-6.537884</x:v>
      </x:c>
      <x:c r="J705">
        <x:f ca="1">IFERROR(IF(0=LEN(ReferenceData!$J$705),"",ReferenceData!$J$705),"")</x:f>
        <x:v>11.757009999999999</x:v>
      </x:c>
      <x:c r="K705">
        <x:f ca="1">IFERROR(IF(0=LEN(ReferenceData!$K$705),"",ReferenceData!$K$705),"")</x:f>
        <x:v>-9.6064989999999995</x:v>
      </x:c>
      <x:c r="L705">
        <x:f ca="1">IFERROR(IF(0=LEN(ReferenceData!$L$705),"",ReferenceData!$L$705),"")</x:f>
        <x:v>-6.3766639999999999</x:v>
      </x:c>
      <x:c r="M705">
        <x:f ca="1">IFERROR(IF(0=LEN(ReferenceData!$M$705),"",ReferenceData!$M$705),"")</x:f>
        <x:v>-1.2710859999999999</x:v>
      </x:c>
      <x:c r="N705">
        <x:f ca="1">IFERROR(IF(0=LEN(ReferenceData!$N$705),"",ReferenceData!$N$705),"")</x:f>
        <x:v>-12.355259999999999</x:v>
      </x:c>
      <x:c r="O705">
        <x:f ca="1">IFERROR(IF(0=LEN(ReferenceData!$O$705),"",ReferenceData!$O$705),"")</x:f>
        <x:v>-8.7832050000000006</x:v>
      </x:c>
      <x:c r="P705">
        <x:f ca="1">IFERROR(IF(0=LEN(ReferenceData!$P$705),"",ReferenceData!$P$705),"")</x:f>
        <x:v>2.9526129999999999</x:v>
      </x:c>
      <x:c r="Q705">
        <x:f ca="1">IFERROR(IF(0=LEN(ReferenceData!$Q$705),"",ReferenceData!$Q$705),"")</x:f>
        <x:v>-14.748861</x:v>
      </x:c>
      <x:c r="R705">
        <x:f ca="1">IFERROR(IF(0=LEN(ReferenceData!$R$705),"",ReferenceData!$R$705),"")</x:f>
        <x:v>18.591915</x:v>
      </x:c>
      <x:c r="S705">
        <x:f ca="1">IFERROR(IF(0=LEN(ReferenceData!$S$705),"",ReferenceData!$S$705),"")</x:f>
        <x:v>-15.765978</x:v>
      </x:c>
    </x:row>
    <x:row r="706" spans="1:19" x14ac:dyDescent="0.25">
      <x:c r="A706" t="str">
        <x:f>IFERROR(IF(0=LEN(ReferenceData!$A$706),"",ReferenceData!$A$706),"")</x:f>
        <x:v xml:space="preserve">            Simplify Volt Cloud &amp; Cybersec</x:v>
      </x:c>
      <x:c r="B706" t="str">
        <x:f>IFERROR(IF(0=LEN(ReferenceData!$B$706),"",ReferenceData!$B$706),"")</x:f>
        <x:v>VCLO US Equity</x:v>
      </x:c>
      <x:c r="C706" t="str">
        <x:f>IFERROR(IF(0=LEN(ReferenceData!$C$706),"",ReferenceData!$C$706),"")</x:f>
        <x:v/>
      </x:c>
      <x:c r="D706" t="str">
        <x:f>IFERROR(IF(0=LEN(ReferenceData!$D$706),"",ReferenceData!$D$706),"")</x:f>
        <x:v/>
      </x:c>
      <x:c r="E706" t="str">
        <x:f>IFERROR(IF(0=LEN(ReferenceData!$E$706),"",ReferenceData!$E$706),"")</x:f>
        <x:v>Expression</x:v>
      </x:c>
      <x:c r="F706" t="str">
        <x:f ca="1">IFERROR(IF(0=LEN(ReferenceData!$F$706),"",ReferenceData!$F$706),"")</x:f>
        <x:v/>
      </x:c>
      <x:c r="G706" t="str">
        <x:f ca="1">IFERROR(IF(0=LEN(ReferenceData!$G$706),"",ReferenceData!$G$706),"")</x:f>
        <x:v/>
      </x:c>
      <x:c r="H706" t="str">
        <x:f ca="1">IFERROR(IF(0=LEN(ReferenceData!$H$706),"",ReferenceData!$H$706),"")</x:f>
        <x:v/>
      </x:c>
      <x:c r="I706" t="str">
        <x:f ca="1">IFERROR(IF(0=LEN(ReferenceData!$I$706),"",ReferenceData!$I$706),"")</x:f>
        <x:v/>
      </x:c>
      <x:c r="J706" t="str">
        <x:f ca="1">IFERROR(IF(0=LEN(ReferenceData!$J$706),"",ReferenceData!$J$706),"")</x:f>
        <x:v/>
      </x:c>
      <x:c r="K706" t="str">
        <x:f ca="1">IFERROR(IF(0=LEN(ReferenceData!$K$706),"",ReferenceData!$K$706),"")</x:f>
        <x:v/>
      </x:c>
      <x:c r="L706" t="str">
        <x:f ca="1">IFERROR(IF(0=LEN(ReferenceData!$L$706),"",ReferenceData!$L$706),"")</x:f>
        <x:v/>
      </x:c>
      <x:c r="M706">
        <x:f ca="1">IFERROR(IF(0=LEN(ReferenceData!$M$706),"",ReferenceData!$M$706),"")</x:f>
        <x:v>0</x:v>
      </x:c>
      <x:c r="N706">
        <x:f ca="1">IFERROR(IF(0=LEN(ReferenceData!$N$706),"",ReferenceData!$N$706),"")</x:f>
        <x:v>-0.11848499999999999</x:v>
      </x:c>
      <x:c r="O706">
        <x:f ca="1">IFERROR(IF(0=LEN(ReferenceData!$O$706),"",ReferenceData!$O$706),"")</x:f>
        <x:v>0</x:v>
      </x:c>
      <x:c r="P706">
        <x:f ca="1">IFERROR(IF(0=LEN(ReferenceData!$P$706),"",ReferenceData!$P$706),"")</x:f>
        <x:v>-0.11919100000000001</x:v>
      </x:c>
      <x:c r="Q706">
        <x:f ca="1">IFERROR(IF(0=LEN(ReferenceData!$Q$706),"",ReferenceData!$Q$706),"")</x:f>
        <x:v>0</x:v>
      </x:c>
      <x:c r="R706">
        <x:f ca="1">IFERROR(IF(0=LEN(ReferenceData!$R$706),"",ReferenceData!$R$706),"")</x:f>
        <x:v>0</x:v>
      </x:c>
      <x:c r="S706">
        <x:f ca="1">IFERROR(IF(0=LEN(ReferenceData!$S$706),"",ReferenceData!$S$706),"")</x:f>
        <x:v>-0.17691999999999999</x:v>
      </x:c>
    </x:row>
    <x:row r="707" spans="1:19" x14ac:dyDescent="0.25">
      <x:c r="A707" t="str">
        <x:f>IFERROR(IF(0=LEN(ReferenceData!$A$707),"",ReferenceData!$A$707),"")</x:f>
        <x:v xml:space="preserve">            Direxion Daily Cloud Computing</x:v>
      </x:c>
      <x:c r="B707" t="str">
        <x:f>IFERROR(IF(0=LEN(ReferenceData!$B$707),"",ReferenceData!$B$707),"")</x:f>
        <x:v>CLDL US Equity</x:v>
      </x:c>
      <x:c r="C707" t="str">
        <x:f>IFERROR(IF(0=LEN(ReferenceData!$C$707),"",ReferenceData!$C$707),"")</x:f>
        <x:v/>
      </x:c>
      <x:c r="D707" t="str">
        <x:f>IFERROR(IF(0=LEN(ReferenceData!$D$707),"",ReferenceData!$D$707),"")</x:f>
        <x:v/>
      </x:c>
      <x:c r="E707" t="str">
        <x:f>IFERROR(IF(0=LEN(ReferenceData!$E$707),"",ReferenceData!$E$707),"")</x:f>
        <x:v>Expression</x:v>
      </x:c>
      <x:c r="F707">
        <x:f ca="1">IFERROR(IF(0=LEN(ReferenceData!$F$707),"",ReferenceData!$F$707),"")</x:f>
        <x:v>-0.81751600000000002</x:v>
      </x:c>
      <x:c r="G707">
        <x:f ca="1">IFERROR(IF(0=LEN(ReferenceData!$G$707),"",ReferenceData!$G$707),"")</x:f>
        <x:v>-0.181814</x:v>
      </x:c>
      <x:c r="H707">
        <x:f ca="1">IFERROR(IF(0=LEN(ReferenceData!$H$707),"",ReferenceData!$H$707),"")</x:f>
        <x:v>-0.20274500000000001</x:v>
      </x:c>
      <x:c r="I707">
        <x:f ca="1">IFERROR(IF(0=LEN(ReferenceData!$I$707),"",ReferenceData!$I$707),"")</x:f>
        <x:v>-0.39819100000000002</x:v>
      </x:c>
      <x:c r="J707">
        <x:f ca="1">IFERROR(IF(0=LEN(ReferenceData!$J$707),"",ReferenceData!$J$707),"")</x:f>
        <x:v>0.71340199999999998</x:v>
      </x:c>
      <x:c r="K707">
        <x:f ca="1">IFERROR(IF(0=LEN(ReferenceData!$K$707),"",ReferenceData!$K$707),"")</x:f>
        <x:v>-0.59475100000000003</x:v>
      </x:c>
      <x:c r="L707">
        <x:f ca="1">IFERROR(IF(0=LEN(ReferenceData!$L$707),"",ReferenceData!$L$707),"")</x:f>
        <x:v>0</x:v>
      </x:c>
      <x:c r="M707">
        <x:f ca="1">IFERROR(IF(0=LEN(ReferenceData!$M$707),"",ReferenceData!$M$707),"")</x:f>
        <x:v>-0.34201999999999999</x:v>
      </x:c>
      <x:c r="N707">
        <x:f ca="1">IFERROR(IF(0=LEN(ReferenceData!$N$707),"",ReferenceData!$N$707),"")</x:f>
        <x:v>0</x:v>
      </x:c>
      <x:c r="O707">
        <x:f ca="1">IFERROR(IF(0=LEN(ReferenceData!$O$707),"",ReferenceData!$O$707),"")</x:f>
        <x:v>-0.36116199999999998</x:v>
      </x:c>
      <x:c r="P707">
        <x:f ca="1">IFERROR(IF(0=LEN(ReferenceData!$P$707),"",ReferenceData!$P$707),"")</x:f>
        <x:v>-0.67007799999999995</x:v>
      </x:c>
      <x:c r="Q707">
        <x:f ca="1">IFERROR(IF(0=LEN(ReferenceData!$Q$707),"",ReferenceData!$Q$707),"")</x:f>
        <x:v>0.79012800000000005</x:v>
      </x:c>
      <x:c r="R707">
        <x:f ca="1">IFERROR(IF(0=LEN(ReferenceData!$R$707),"",ReferenceData!$R$707),"")</x:f>
        <x:v>-0.40915499999999999</x:v>
      </x:c>
      <x:c r="S707">
        <x:f ca="1">IFERROR(IF(0=LEN(ReferenceData!$S$707),"",ReferenceData!$S$707),"")</x:f>
        <x:v>0.307668</x:v>
      </x:c>
    </x:row>
    <x:row r="708" spans="1:19" x14ac:dyDescent="0.25">
      <x:c r="A708" t="str">
        <x:f>IFERROR(IF(0=LEN(ReferenceData!$A$708),"",ReferenceData!$A$708),"")</x:f>
        <x:v xml:space="preserve">            Direxion Daily Cloud Computing</x:v>
      </x:c>
      <x:c r="B708" t="str">
        <x:f>IFERROR(IF(0=LEN(ReferenceData!$B$708),"",ReferenceData!$B$708),"")</x:f>
        <x:v>CLDS US Equity</x:v>
      </x:c>
      <x:c r="C708" t="str">
        <x:f>IFERROR(IF(0=LEN(ReferenceData!$C$708),"",ReferenceData!$C$708),"")</x:f>
        <x:v/>
      </x:c>
      <x:c r="D708" t="str">
        <x:f>IFERROR(IF(0=LEN(ReferenceData!$D$708),"",ReferenceData!$D$708),"")</x:f>
        <x:v/>
      </x:c>
      <x:c r="E708" t="str">
        <x:f>IFERROR(IF(0=LEN(ReferenceData!$E$708),"",ReferenceData!$E$708),"")</x:f>
        <x:v>Expression</x:v>
      </x:c>
      <x:c r="F708" t="str">
        <x:f ca="1">IFERROR(IF(0=LEN(ReferenceData!$F$708),"",ReferenceData!$F$708),"")</x:f>
        <x:v/>
      </x:c>
      <x:c r="G708" t="str">
        <x:f ca="1">IFERROR(IF(0=LEN(ReferenceData!$G$708),"",ReferenceData!$G$708),"")</x:f>
        <x:v/>
      </x:c>
      <x:c r="H708" t="str">
        <x:f ca="1">IFERROR(IF(0=LEN(ReferenceData!$H$708),"",ReferenceData!$H$708),"")</x:f>
        <x:v/>
      </x:c>
      <x:c r="I708" t="str">
        <x:f ca="1">IFERROR(IF(0=LEN(ReferenceData!$I$708),"",ReferenceData!$I$708),"")</x:f>
        <x:v/>
      </x:c>
      <x:c r="J708" t="str">
        <x:f ca="1">IFERROR(IF(0=LEN(ReferenceData!$J$708),"",ReferenceData!$J$708),"")</x:f>
        <x:v/>
      </x:c>
      <x:c r="K708" t="str">
        <x:f ca="1">IFERROR(IF(0=LEN(ReferenceData!$K$708),"",ReferenceData!$K$708),"")</x:f>
        <x:v/>
      </x:c>
      <x:c r="L708" t="str">
        <x:f ca="1">IFERROR(IF(0=LEN(ReferenceData!$L$708),"",ReferenceData!$L$708),"")</x:f>
        <x:v/>
      </x:c>
      <x:c r="M708" t="str">
        <x:f ca="1">IFERROR(IF(0=LEN(ReferenceData!$M$708),"",ReferenceData!$M$708),"")</x:f>
        <x:v/>
      </x:c>
      <x:c r="N708" t="str">
        <x:f ca="1">IFERROR(IF(0=LEN(ReferenceData!$N$708),"",ReferenceData!$N$708),"")</x:f>
        <x:v/>
      </x:c>
      <x:c r="O708" t="str">
        <x:f ca="1">IFERROR(IF(0=LEN(ReferenceData!$O$708),"",ReferenceData!$O$708),"")</x:f>
        <x:v/>
      </x:c>
      <x:c r="P708" t="str">
        <x:f ca="1">IFERROR(IF(0=LEN(ReferenceData!$P$708),"",ReferenceData!$P$708),"")</x:f>
        <x:v/>
      </x:c>
      <x:c r="Q708" t="str">
        <x:f ca="1">IFERROR(IF(0=LEN(ReferenceData!$Q$708),"",ReferenceData!$Q$708),"")</x:f>
        <x:v/>
      </x:c>
      <x:c r="R708" t="str">
        <x:f ca="1">IFERROR(IF(0=LEN(ReferenceData!$R$708),"",ReferenceData!$R$708),"")</x:f>
        <x:v/>
      </x:c>
      <x:c r="S708" t="str">
        <x:f ca="1">IFERROR(IF(0=LEN(ReferenceData!$S$708),"",ReferenceData!$S$708),"")</x:f>
        <x:v/>
      </x:c>
    </x:row>
    <x:row r="709" spans="1:19" x14ac:dyDescent="0.25">
      <x:c r="A709" t="str">
        <x:f>IFERROR(IF(0=LEN(ReferenceData!$A$709),"",ReferenceData!$A$709),"")</x:f>
        <x:v xml:space="preserve">            ProShares Ultra Nasdaq Cloud C</x:v>
      </x:c>
      <x:c r="B709" t="str">
        <x:f>IFERROR(IF(0=LEN(ReferenceData!$B$709),"",ReferenceData!$B$709),"")</x:f>
        <x:v>SKYU US Equity</x:v>
      </x:c>
      <x:c r="C709" t="str">
        <x:f>IFERROR(IF(0=LEN(ReferenceData!$C$709),"",ReferenceData!$C$709),"")</x:f>
        <x:v/>
      </x:c>
      <x:c r="D709" t="str">
        <x:f>IFERROR(IF(0=LEN(ReferenceData!$D$709),"",ReferenceData!$D$709),"")</x:f>
        <x:v/>
      </x:c>
      <x:c r="E709" t="str">
        <x:f>IFERROR(IF(0=LEN(ReferenceData!$E$709),"",ReferenceData!$E$709),"")</x:f>
        <x:v>Expression</x:v>
      </x:c>
      <x:c r="F709">
        <x:f ca="1">IFERROR(IF(0=LEN(ReferenceData!$F$709),"",ReferenceData!$F$709),"")</x:f>
        <x:v>0</x:v>
      </x:c>
      <x:c r="G709">
        <x:f ca="1">IFERROR(IF(0=LEN(ReferenceData!$G$709),"",ReferenceData!$G$709),"")</x:f>
        <x:v>0.37101299999999998</x:v>
      </x:c>
      <x:c r="H709">
        <x:f ca="1">IFERROR(IF(0=LEN(ReferenceData!$H$709),"",ReferenceData!$H$709),"")</x:f>
        <x:v>0</x:v>
      </x:c>
      <x:c r="I709">
        <x:f ca="1">IFERROR(IF(0=LEN(ReferenceData!$I$709),"",ReferenceData!$I$709),"")</x:f>
        <x:v>0.17841399999999999</x:v>
      </x:c>
      <x:c r="J709">
        <x:f ca="1">IFERROR(IF(0=LEN(ReferenceData!$J$709),"",ReferenceData!$J$709),"")</x:f>
        <x:v>0.18387500000000001</x:v>
      </x:c>
      <x:c r="K709">
        <x:f ca="1">IFERROR(IF(0=LEN(ReferenceData!$K$709),"",ReferenceData!$K$709),"")</x:f>
        <x:v>0.44102000000000002</x:v>
      </x:c>
      <x:c r="L709">
        <x:f ca="1">IFERROR(IF(0=LEN(ReferenceData!$L$709),"",ReferenceData!$L$709),"")</x:f>
        <x:v>0</x:v>
      </x:c>
      <x:c r="M709">
        <x:f ca="1">IFERROR(IF(0=LEN(ReferenceData!$M$709),"",ReferenceData!$M$709),"")</x:f>
        <x:v>-0.29032999999999998</x:v>
      </x:c>
      <x:c r="N709">
        <x:f ca="1">IFERROR(IF(0=LEN(ReferenceData!$N$709),"",ReferenceData!$N$709),"")</x:f>
        <x:v>0</x:v>
      </x:c>
      <x:c r="O709">
        <x:f ca="1">IFERROR(IF(0=LEN(ReferenceData!$O$709),"",ReferenceData!$O$709),"")</x:f>
        <x:v>0</x:v>
      </x:c>
      <x:c r="P709">
        <x:f ca="1">IFERROR(IF(0=LEN(ReferenceData!$P$709),"",ReferenceData!$P$709),"")</x:f>
        <x:v>0</x:v>
      </x:c>
      <x:c r="Q709">
        <x:f ca="1">IFERROR(IF(0=LEN(ReferenceData!$Q$709),"",ReferenceData!$Q$709),"")</x:f>
        <x:v>-0.29568</x:v>
      </x:c>
      <x:c r="R709">
        <x:f ca="1">IFERROR(IF(0=LEN(ReferenceData!$R$709),"",ReferenceData!$R$709),"")</x:f>
        <x:v>0.39318500000000001</x:v>
      </x:c>
      <x:c r="S709">
        <x:f ca="1">IFERROR(IF(0=LEN(ReferenceData!$S$709),"",ReferenceData!$S$709),"")</x:f>
        <x:v>0.31287999999999999</x:v>
      </x:c>
    </x:row>
    <x:row r="710" spans="1:19" x14ac:dyDescent="0.25">
      <x:c r="A710" t="str">
        <x:f>IFERROR(IF(0=LEN(ReferenceData!$A$710),"",ReferenceData!$A$710),"")</x:f>
        <x:v xml:space="preserve">            Fidelity Cloud Computing ETF</x:v>
      </x:c>
      <x:c r="B710" t="str">
        <x:f>IFERROR(IF(0=LEN(ReferenceData!$B$710),"",ReferenceData!$B$710),"")</x:f>
        <x:v>FCLD US Equity</x:v>
      </x:c>
      <x:c r="C710" t="str">
        <x:f>IFERROR(IF(0=LEN(ReferenceData!$C$710),"",ReferenceData!$C$710),"")</x:f>
        <x:v/>
      </x:c>
      <x:c r="D710" t="str">
        <x:f>IFERROR(IF(0=LEN(ReferenceData!$D$710),"",ReferenceData!$D$710),"")</x:f>
        <x:v/>
      </x:c>
      <x:c r="E710" t="str">
        <x:f>IFERROR(IF(0=LEN(ReferenceData!$E$710),"",ReferenceData!$E$710),"")</x:f>
        <x:v>Expression</x:v>
      </x:c>
      <x:c r="F710">
        <x:f ca="1">IFERROR(IF(0=LEN(ReferenceData!$F$710),"",ReferenceData!$F$710),"")</x:f>
        <x:v>0</x:v>
      </x:c>
      <x:c r="G710">
        <x:f ca="1">IFERROR(IF(0=LEN(ReferenceData!$G$710),"",ReferenceData!$G$710),"")</x:f>
        <x:v>0</x:v>
      </x:c>
      <x:c r="H710">
        <x:f ca="1">IFERROR(IF(0=LEN(ReferenceData!$H$710),"",ReferenceData!$H$710),"")</x:f>
        <x:v>0.98681799999999997</x:v>
      </x:c>
      <x:c r="I710">
        <x:f ca="1">IFERROR(IF(0=LEN(ReferenceData!$I$710),"",ReferenceData!$I$710),"")</x:f>
        <x:v>0.97442399999999996</x:v>
      </x:c>
      <x:c r="J710">
        <x:f ca="1">IFERROR(IF(0=LEN(ReferenceData!$J$710),"",ReferenceData!$J$710),"")</x:f>
        <x:v>4.0726529999999999</x:v>
      </x:c>
      <x:c r="K710">
        <x:f ca="1">IFERROR(IF(0=LEN(ReferenceData!$K$710),"",ReferenceData!$K$710),"")</x:f>
        <x:v>7.7024559999999997</x:v>
      </x:c>
      <x:c r="L710">
        <x:f ca="1">IFERROR(IF(0=LEN(ReferenceData!$L$710),"",ReferenceData!$L$710),"")</x:f>
        <x:v>0</x:v>
      </x:c>
      <x:c r="M710">
        <x:f ca="1">IFERROR(IF(0=LEN(ReferenceData!$M$710),"",ReferenceData!$M$710),"")</x:f>
        <x:v>0</x:v>
      </x:c>
      <x:c r="N710">
        <x:f ca="1">IFERROR(IF(0=LEN(ReferenceData!$N$710),"",ReferenceData!$N$710),"")</x:f>
        <x:v>0</x:v>
      </x:c>
      <x:c r="O710">
        <x:f ca="1">IFERROR(IF(0=LEN(ReferenceData!$O$710),"",ReferenceData!$O$710),"")</x:f>
        <x:v>1.747495</x:v>
      </x:c>
      <x:c r="P710">
        <x:f ca="1">IFERROR(IF(0=LEN(ReferenceData!$P$710),"",ReferenceData!$P$710),"")</x:f>
        <x:v>0</x:v>
      </x:c>
      <x:c r="Q710">
        <x:f ca="1">IFERROR(IF(0=LEN(ReferenceData!$Q$710),"",ReferenceData!$Q$710),"")</x:f>
        <x:v>0</x:v>
      </x:c>
      <x:c r="R710">
        <x:f ca="1">IFERROR(IF(0=LEN(ReferenceData!$R$710),"",ReferenceData!$R$710),"")</x:f>
        <x:v>1.4311640000000001</x:v>
      </x:c>
      <x:c r="S710">
        <x:f ca="1">IFERROR(IF(0=LEN(ReferenceData!$S$710),"",ReferenceData!$S$710),"")</x:f>
        <x:v>0</x:v>
      </x:c>
    </x:row>
    <x:row r="711" spans="1:19" x14ac:dyDescent="0.25">
      <x:c r="A711" t="str">
        <x:f>IFERROR(IF(0=LEN(ReferenceData!$A$711),"",ReferenceData!$A$711),"")</x:f>
        <x:v xml:space="preserve">        Robotics &amp; AI</x:v>
      </x:c>
      <x:c r="B711" t="str">
        <x:f>IFERROR(IF(0=LEN(ReferenceData!$B$711),"",ReferenceData!$B$711),"")</x:f>
        <x:v/>
      </x:c>
      <x:c r="C711" t="str">
        <x:f>IFERROR(IF(0=LEN(ReferenceData!$C$711),"",ReferenceData!$C$711),"")</x:f>
        <x:v/>
      </x:c>
      <x:c r="D711" t="str">
        <x:f>IFERROR(IF(0=LEN(ReferenceData!$D$711),"",ReferenceData!$D$711),"")</x:f>
        <x:v/>
      </x:c>
      <x:c r="E711" t="str">
        <x:f>IFERROR(IF(0=LEN(ReferenceData!$E$711),"",ReferenceData!$E$711),"")</x:f>
        <x:v>Sum</x:v>
      </x:c>
      <x:c r="F711">
        <x:f ca="1">IFERROR(IF(0=LEN(ReferenceData!$F$711),"",ReferenceData!$F$711),"")</x:f>
        <x:v>56.261880999999995</x:v>
      </x:c>
      <x:c r="G711">
        <x:f ca="1">IFERROR(IF(0=LEN(ReferenceData!$G$711),"",ReferenceData!$G$711),"")</x:f>
        <x:v>-38.814480999999986</x:v>
      </x:c>
      <x:c r="H711">
        <x:f ca="1">IFERROR(IF(0=LEN(ReferenceData!$H$711),"",ReferenceData!$H$711),"")</x:f>
        <x:v>86.709553999999997</x:v>
      </x:c>
      <x:c r="I711">
        <x:f ca="1">IFERROR(IF(0=LEN(ReferenceData!$I$711),"",ReferenceData!$I$711),"")</x:f>
        <x:v>-30.252657999999997</x:v>
      </x:c>
      <x:c r="J711">
        <x:f ca="1">IFERROR(IF(0=LEN(ReferenceData!$J$711),"",ReferenceData!$J$711),"")</x:f>
        <x:v>328.361513</x:v>
      </x:c>
      <x:c r="K711">
        <x:f ca="1">IFERROR(IF(0=LEN(ReferenceData!$K$711),"",ReferenceData!$K$711),"")</x:f>
        <x:v>708.09531200000004</x:v>
      </x:c>
      <x:c r="L711">
        <x:f ca="1">IFERROR(IF(0=LEN(ReferenceData!$L$711),"",ReferenceData!$L$711),"")</x:f>
        <x:v>438.39222400000006</x:v>
      </x:c>
      <x:c r="M711">
        <x:f ca="1">IFERROR(IF(0=LEN(ReferenceData!$M$711),"",ReferenceData!$M$711),"")</x:f>
        <x:v>41.638822000000005</x:v>
      </x:c>
      <x:c r="N711">
        <x:f ca="1">IFERROR(IF(0=LEN(ReferenceData!$N$711),"",ReferenceData!$N$711),"")</x:f>
        <x:v>113.042063</x:v>
      </x:c>
      <x:c r="O711">
        <x:f ca="1">IFERROR(IF(0=LEN(ReferenceData!$O$711),"",ReferenceData!$O$711),"")</x:f>
        <x:v>58.361364999999999</x:v>
      </x:c>
      <x:c r="P711">
        <x:f ca="1">IFERROR(IF(0=LEN(ReferenceData!$P$711),"",ReferenceData!$P$711),"")</x:f>
        <x:v>32.061525000000003</x:v>
      </x:c>
      <x:c r="Q711">
        <x:f ca="1">IFERROR(IF(0=LEN(ReferenceData!$Q$711),"",ReferenceData!$Q$711),"")</x:f>
        <x:v>-83.968778</x:v>
      </x:c>
      <x:c r="R711">
        <x:f ca="1">IFERROR(IF(0=LEN(ReferenceData!$R$711),"",ReferenceData!$R$711),"")</x:f>
        <x:v>-90.346294</x:v>
      </x:c>
      <x:c r="S711">
        <x:f ca="1">IFERROR(IF(0=LEN(ReferenceData!$S$711),"",ReferenceData!$S$711),"")</x:f>
        <x:v>-47.317346999999998</x:v>
      </x:c>
    </x:row>
    <x:row r="712" spans="1:19" x14ac:dyDescent="0.25">
      <x:c r="A712" t="str">
        <x:f>IFERROR(IF(0=LEN(ReferenceData!$A$712),"",ReferenceData!$A$712),"")</x:f>
        <x:v xml:space="preserve">            First Trust Nasdaq Artificial</x:v>
      </x:c>
      <x:c r="B712" t="str">
        <x:f>IFERROR(IF(0=LEN(ReferenceData!$B$712),"",ReferenceData!$B$712),"")</x:f>
        <x:v>ROBT US Equity</x:v>
      </x:c>
      <x:c r="C712" t="str">
        <x:f>IFERROR(IF(0=LEN(ReferenceData!$C$712),"",ReferenceData!$C$712),"")</x:f>
        <x:v/>
      </x:c>
      <x:c r="D712" t="str">
        <x:f>IFERROR(IF(0=LEN(ReferenceData!$D$712),"",ReferenceData!$D$712),"")</x:f>
        <x:v/>
      </x:c>
      <x:c r="E712" t="str">
        <x:f>IFERROR(IF(0=LEN(ReferenceData!$E$712),"",ReferenceData!$E$712),"")</x:f>
        <x:v>Expression</x:v>
      </x:c>
      <x:c r="F712">
        <x:f ca="1">IFERROR(IF(0=LEN(ReferenceData!$F$712),"",ReferenceData!$F$712),"")</x:f>
        <x:v>4.0285669999999998</x:v>
      </x:c>
      <x:c r="G712">
        <x:f ca="1">IFERROR(IF(0=LEN(ReferenceData!$G$712),"",ReferenceData!$G$712),"")</x:f>
        <x:v>1.9204399999999999</x:v>
      </x:c>
      <x:c r="H712">
        <x:f ca="1">IFERROR(IF(0=LEN(ReferenceData!$H$712),"",ReferenceData!$H$712),"")</x:f>
        <x:v>14.323135000000001</x:v>
      </x:c>
      <x:c r="I712">
        <x:f ca="1">IFERROR(IF(0=LEN(ReferenceData!$I$712),"",ReferenceData!$I$712),"")</x:f>
        <x:v>19.302747</x:v>
      </x:c>
      <x:c r="J712">
        <x:f ca="1">IFERROR(IF(0=LEN(ReferenceData!$J$712),"",ReferenceData!$J$712),"")</x:f>
        <x:v>50.713354000000002</x:v>
      </x:c>
      <x:c r="K712">
        <x:f ca="1">IFERROR(IF(0=LEN(ReferenceData!$K$712),"",ReferenceData!$K$712),"")</x:f>
        <x:v>66.526605000000004</x:v>
      </x:c>
      <x:c r="L712">
        <x:f ca="1">IFERROR(IF(0=LEN(ReferenceData!$L$712),"",ReferenceData!$L$712),"")</x:f>
        <x:v>50.707863000000003</x:v>
      </x:c>
      <x:c r="M712">
        <x:f ca="1">IFERROR(IF(0=LEN(ReferenceData!$M$712),"",ReferenceData!$M$712),"")</x:f>
        <x:v>4.1409159999999998</x:v>
      </x:c>
      <x:c r="N712">
        <x:f ca="1">IFERROR(IF(0=LEN(ReferenceData!$N$712),"",ReferenceData!$N$712),"")</x:f>
        <x:v>18.396111000000001</x:v>
      </x:c>
      <x:c r="O712">
        <x:f ca="1">IFERROR(IF(0=LEN(ReferenceData!$O$712),"",ReferenceData!$O$712),"")</x:f>
        <x:v>16.664024999999999</x:v>
      </x:c>
      <x:c r="P712">
        <x:f ca="1">IFERROR(IF(0=LEN(ReferenceData!$P$712),"",ReferenceData!$P$712),"")</x:f>
        <x:v>-1.8040419999999999</x:v>
      </x:c>
      <x:c r="Q712">
        <x:f ca="1">IFERROR(IF(0=LEN(ReferenceData!$Q$712),"",ReferenceData!$Q$712),"")</x:f>
        <x:v>-7.2728349999999997</x:v>
      </x:c>
      <x:c r="R712">
        <x:f ca="1">IFERROR(IF(0=LEN(ReferenceData!$R$712),"",ReferenceData!$R$712),"")</x:f>
        <x:v>-3.8075220000000001</x:v>
      </x:c>
      <x:c r="S712">
        <x:f ca="1">IFERROR(IF(0=LEN(ReferenceData!$S$712),"",ReferenceData!$S$712),"")</x:f>
        <x:v>0</x:v>
      </x:c>
    </x:row>
    <x:row r="713" spans="1:19" x14ac:dyDescent="0.25">
      <x:c r="A713" t="str">
        <x:f>IFERROR(IF(0=LEN(ReferenceData!$A$713),"",ReferenceData!$A$713),"")</x:f>
        <x:v xml:space="preserve">            ARK Autonomous Technology &amp; Ro</x:v>
      </x:c>
      <x:c r="B713" t="str">
        <x:f>IFERROR(IF(0=LEN(ReferenceData!$B$713),"",ReferenceData!$B$713),"")</x:f>
        <x:v>ARKQ US Equity</x:v>
      </x:c>
      <x:c r="C713" t="str">
        <x:f>IFERROR(IF(0=LEN(ReferenceData!$C$713),"",ReferenceData!$C$713),"")</x:f>
        <x:v/>
      </x:c>
      <x:c r="D713" t="str">
        <x:f>IFERROR(IF(0=LEN(ReferenceData!$D$713),"",ReferenceData!$D$713),"")</x:f>
        <x:v/>
      </x:c>
      <x:c r="E713" t="str">
        <x:f>IFERROR(IF(0=LEN(ReferenceData!$E$713),"",ReferenceData!$E$713),"")</x:f>
        <x:v>Expression</x:v>
      </x:c>
      <x:c r="F713">
        <x:f ca="1">IFERROR(IF(0=LEN(ReferenceData!$F$713),"",ReferenceData!$F$713),"")</x:f>
        <x:v>-4.835782</x:v>
      </x:c>
      <x:c r="G713">
        <x:f ca="1">IFERROR(IF(0=LEN(ReferenceData!$G$713),"",ReferenceData!$G$713),"")</x:f>
        <x:v>-25.134581000000001</x:v>
      </x:c>
      <x:c r="H713">
        <x:f ca="1">IFERROR(IF(0=LEN(ReferenceData!$H$713),"",ReferenceData!$H$713),"")</x:f>
        <x:v>-10.595672</x:v>
      </x:c>
      <x:c r="I713">
        <x:f ca="1">IFERROR(IF(0=LEN(ReferenceData!$I$713),"",ReferenceData!$I$713),"")</x:f>
        <x:v>-28.895745999999999</x:v>
      </x:c>
      <x:c r="J713">
        <x:f ca="1">IFERROR(IF(0=LEN(ReferenceData!$J$713),"",ReferenceData!$J$713),"")</x:f>
        <x:v>17.384029999999999</x:v>
      </x:c>
      <x:c r="K713">
        <x:f ca="1">IFERROR(IF(0=LEN(ReferenceData!$K$713),"",ReferenceData!$K$713),"")</x:f>
        <x:v>39.956128999999997</x:v>
      </x:c>
      <x:c r="L713">
        <x:f ca="1">IFERROR(IF(0=LEN(ReferenceData!$L$713),"",ReferenceData!$L$713),"")</x:f>
        <x:v>4.6654369999999998</x:v>
      </x:c>
      <x:c r="M713">
        <x:f ca="1">IFERROR(IF(0=LEN(ReferenceData!$M$713),"",ReferenceData!$M$713),"")</x:f>
        <x:v>-2.2675990000000001</x:v>
      </x:c>
      <x:c r="N713">
        <x:f ca="1">IFERROR(IF(0=LEN(ReferenceData!$N$713),"",ReferenceData!$N$713),"")</x:f>
        <x:v>-14.498860000000001</x:v>
      </x:c>
      <x:c r="O713">
        <x:f ca="1">IFERROR(IF(0=LEN(ReferenceData!$O$713),"",ReferenceData!$O$713),"")</x:f>
        <x:v>2.571421</x:v>
      </x:c>
      <x:c r="P713">
        <x:f ca="1">IFERROR(IF(0=LEN(ReferenceData!$P$713),"",ReferenceData!$P$713),"")</x:f>
        <x:v>-11.017073999999999</x:v>
      </x:c>
      <x:c r="Q713">
        <x:f ca="1">IFERROR(IF(0=LEN(ReferenceData!$Q$713),"",ReferenceData!$Q$713),"")</x:f>
        <x:v>-27.178940000000001</x:v>
      </x:c>
      <x:c r="R713">
        <x:f ca="1">IFERROR(IF(0=LEN(ReferenceData!$R$713),"",ReferenceData!$R$713),"")</x:f>
        <x:v>-17.855018000000001</x:v>
      </x:c>
      <x:c r="S713">
        <x:f ca="1">IFERROR(IF(0=LEN(ReferenceData!$S$713),"",ReferenceData!$S$713),"")</x:f>
        <x:v>-19.703187</x:v>
      </x:c>
    </x:row>
    <x:row r="714" spans="1:19" x14ac:dyDescent="0.25">
      <x:c r="A714" t="str">
        <x:f>IFERROR(IF(0=LEN(ReferenceData!$A$714),"",ReferenceData!$A$714),"")</x:f>
        <x:v xml:space="preserve">            Global X Artificial Intelligen</x:v>
      </x:c>
      <x:c r="B714" t="str">
        <x:f>IFERROR(IF(0=LEN(ReferenceData!$B$714),"",ReferenceData!$B$714),"")</x:f>
        <x:v>AIQ US Equity</x:v>
      </x:c>
      <x:c r="C714" t="str">
        <x:f>IFERROR(IF(0=LEN(ReferenceData!$C$714),"",ReferenceData!$C$714),"")</x:f>
        <x:v/>
      </x:c>
      <x:c r="D714" t="str">
        <x:f>IFERROR(IF(0=LEN(ReferenceData!$D$714),"",ReferenceData!$D$714),"")</x:f>
        <x:v/>
      </x:c>
      <x:c r="E714" t="str">
        <x:f>IFERROR(IF(0=LEN(ReferenceData!$E$714),"",ReferenceData!$E$714),"")</x:f>
        <x:v>Expression</x:v>
      </x:c>
      <x:c r="F714">
        <x:f ca="1">IFERROR(IF(0=LEN(ReferenceData!$F$714),"",ReferenceData!$F$714),"")</x:f>
        <x:v>33.4694</x:v>
      </x:c>
      <x:c r="G714">
        <x:f ca="1">IFERROR(IF(0=LEN(ReferenceData!$G$714),"",ReferenceData!$G$714),"")</x:f>
        <x:v>74.532600000000002</x:v>
      </x:c>
      <x:c r="H714">
        <x:f ca="1">IFERROR(IF(0=LEN(ReferenceData!$H$714),"",ReferenceData!$H$714),"")</x:f>
        <x:v>64.729600000000005</x:v>
      </x:c>
      <x:c r="I714">
        <x:f ca="1">IFERROR(IF(0=LEN(ReferenceData!$I$714),"",ReferenceData!$I$714),"")</x:f>
        <x:v>52.783700000000003</x:v>
      </x:c>
      <x:c r="J714">
        <x:f ca="1">IFERROR(IF(0=LEN(ReferenceData!$J$714),"",ReferenceData!$J$714),"")</x:f>
        <x:v>102.2722</x:v>
      </x:c>
      <x:c r="K714">
        <x:f ca="1">IFERROR(IF(0=LEN(ReferenceData!$K$714),"",ReferenceData!$K$714),"")</x:f>
        <x:v>134.435</x:v>
      </x:c>
      <x:c r="L714">
        <x:f ca="1">IFERROR(IF(0=LEN(ReferenceData!$L$714),"",ReferenceData!$L$714),"")</x:f>
        <x:v>65.041200000000003</x:v>
      </x:c>
      <x:c r="M714">
        <x:f ca="1">IFERROR(IF(0=LEN(ReferenceData!$M$714),"",ReferenceData!$M$714),"")</x:f>
        <x:v>9.2738999999999994</x:v>
      </x:c>
      <x:c r="N714">
        <x:f ca="1">IFERROR(IF(0=LEN(ReferenceData!$N$714),"",ReferenceData!$N$714),"")</x:f>
        <x:v>3.5855999999999999</x:v>
      </x:c>
      <x:c r="O714">
        <x:f ca="1">IFERROR(IF(0=LEN(ReferenceData!$O$714),"",ReferenceData!$O$714),"")</x:f>
        <x:v>2.5264000000000002</x:v>
      </x:c>
      <x:c r="P714">
        <x:f ca="1">IFERROR(IF(0=LEN(ReferenceData!$P$714),"",ReferenceData!$P$714),"")</x:f>
        <x:v>-15.2888</x:v>
      </x:c>
      <x:c r="Q714">
        <x:f ca="1">IFERROR(IF(0=LEN(ReferenceData!$Q$714),"",ReferenceData!$Q$714),"")</x:f>
        <x:v>-13.1723</x:v>
      </x:c>
      <x:c r="R714">
        <x:f ca="1">IFERROR(IF(0=LEN(ReferenceData!$R$714),"",ReferenceData!$R$714),"")</x:f>
        <x:v>-2.2010999999999998</x:v>
      </x:c>
      <x:c r="S714">
        <x:f ca="1">IFERROR(IF(0=LEN(ReferenceData!$S$714),"",ReferenceData!$S$714),"")</x:f>
        <x:v>0</x:v>
      </x:c>
    </x:row>
    <x:row r="715" spans="1:19" x14ac:dyDescent="0.25">
      <x:c r="A715" t="str">
        <x:f>IFERROR(IF(0=LEN(ReferenceData!$A$715),"",ReferenceData!$A$715),"")</x:f>
        <x:v xml:space="preserve">            ROBO Global Robotics and Autom</x:v>
      </x:c>
      <x:c r="B715" t="str">
        <x:f>IFERROR(IF(0=LEN(ReferenceData!$B$715),"",ReferenceData!$B$715),"")</x:f>
        <x:v>ROBO US Equity</x:v>
      </x:c>
      <x:c r="C715" t="str">
        <x:f>IFERROR(IF(0=LEN(ReferenceData!$C$715),"",ReferenceData!$C$715),"")</x:f>
        <x:v/>
      </x:c>
      <x:c r="D715" t="str">
        <x:f>IFERROR(IF(0=LEN(ReferenceData!$D$715),"",ReferenceData!$D$715),"")</x:f>
        <x:v/>
      </x:c>
      <x:c r="E715" t="str">
        <x:f>IFERROR(IF(0=LEN(ReferenceData!$E$715),"",ReferenceData!$E$715),"")</x:f>
        <x:v>Expression</x:v>
      </x:c>
      <x:c r="F715">
        <x:f ca="1">IFERROR(IF(0=LEN(ReferenceData!$F$715),"",ReferenceData!$F$715),"")</x:f>
        <x:v>-7.4207489999999998</x:v>
      </x:c>
      <x:c r="G715">
        <x:f ca="1">IFERROR(IF(0=LEN(ReferenceData!$G$715),"",ReferenceData!$G$715),"")</x:f>
        <x:v>-26.739281999999999</x:v>
      </x:c>
      <x:c r="H715">
        <x:f ca="1">IFERROR(IF(0=LEN(ReferenceData!$H$715),"",ReferenceData!$H$715),"")</x:f>
        <x:v>-14.326784999999999</x:v>
      </x:c>
      <x:c r="I715">
        <x:f ca="1">IFERROR(IF(0=LEN(ReferenceData!$I$715),"",ReferenceData!$I$715),"")</x:f>
        <x:v>-20.419708</x:v>
      </x:c>
      <x:c r="J715">
        <x:f ca="1">IFERROR(IF(0=LEN(ReferenceData!$J$715),"",ReferenceData!$J$715),"")</x:f>
        <x:v>10.231730000000001</x:v>
      </x:c>
      <x:c r="K715">
        <x:f ca="1">IFERROR(IF(0=LEN(ReferenceData!$K$715),"",ReferenceData!$K$715),"")</x:f>
        <x:v>29.821992000000002</x:v>
      </x:c>
      <x:c r="L715">
        <x:f ca="1">IFERROR(IF(0=LEN(ReferenceData!$L$715),"",ReferenceData!$L$715),"")</x:f>
        <x:v>9.4868810000000003</x:v>
      </x:c>
      <x:c r="M715">
        <x:f ca="1">IFERROR(IF(0=LEN(ReferenceData!$M$715),"",ReferenceData!$M$715),"")</x:f>
        <x:v>-1.3462499999999999</x:v>
      </x:c>
      <x:c r="N715">
        <x:f ca="1">IFERROR(IF(0=LEN(ReferenceData!$N$715),"",ReferenceData!$N$715),"")</x:f>
        <x:v>7.9299720000000002</x:v>
      </x:c>
      <x:c r="O715">
        <x:f ca="1">IFERROR(IF(0=LEN(ReferenceData!$O$715),"",ReferenceData!$O$715),"")</x:f>
        <x:v>-19.189304</x:v>
      </x:c>
      <x:c r="P715">
        <x:f ca="1">IFERROR(IF(0=LEN(ReferenceData!$P$715),"",ReferenceData!$P$715),"")</x:f>
        <x:v>34.450691999999997</x:v>
      </x:c>
      <x:c r="Q715">
        <x:f ca="1">IFERROR(IF(0=LEN(ReferenceData!$Q$715),"",ReferenceData!$Q$715),"")</x:f>
        <x:v>-14.201924</x:v>
      </x:c>
      <x:c r="R715">
        <x:f ca="1">IFERROR(IF(0=LEN(ReferenceData!$R$715),"",ReferenceData!$R$715),"")</x:f>
        <x:v>-25.063209000000001</x:v>
      </x:c>
      <x:c r="S715">
        <x:f ca="1">IFERROR(IF(0=LEN(ReferenceData!$S$715),"",ReferenceData!$S$715),"")</x:f>
        <x:v>-12.503</x:v>
      </x:c>
    </x:row>
    <x:row r="716" spans="1:19" x14ac:dyDescent="0.25">
      <x:c r="A716" t="str">
        <x:f>IFERROR(IF(0=LEN(ReferenceData!$A$716),"",ReferenceData!$A$716),"")</x:f>
        <x:v xml:space="preserve">            iShares Robotics &amp; Artificial</x:v>
      </x:c>
      <x:c r="B716" t="str">
        <x:f>IFERROR(IF(0=LEN(ReferenceData!$B$716),"",ReferenceData!$B$716),"")</x:f>
        <x:v>IRBO US Equity</x:v>
      </x:c>
      <x:c r="C716" t="str">
        <x:f>IFERROR(IF(0=LEN(ReferenceData!$C$716),"",ReferenceData!$C$716),"")</x:f>
        <x:v/>
      </x:c>
      <x:c r="D716" t="str">
        <x:f>IFERROR(IF(0=LEN(ReferenceData!$D$716),"",ReferenceData!$D$716),"")</x:f>
        <x:v/>
      </x:c>
      <x:c r="E716" t="str">
        <x:f>IFERROR(IF(0=LEN(ReferenceData!$E$716),"",ReferenceData!$E$716),"")</x:f>
        <x:v>Expression</x:v>
      </x:c>
      <x:c r="F716">
        <x:f ca="1">IFERROR(IF(0=LEN(ReferenceData!$F$716),"",ReferenceData!$F$716),"")</x:f>
        <x:v>18.819217999999999</x:v>
      </x:c>
      <x:c r="G716">
        <x:f ca="1">IFERROR(IF(0=LEN(ReferenceData!$G$716),"",ReferenceData!$G$716),"")</x:f>
        <x:v>0</x:v>
      </x:c>
      <x:c r="H716">
        <x:f ca="1">IFERROR(IF(0=LEN(ReferenceData!$H$716),"",ReferenceData!$H$716),"")</x:f>
        <x:v>12.415100000000001</x:v>
      </x:c>
      <x:c r="I716">
        <x:f ca="1">IFERROR(IF(0=LEN(ReferenceData!$I$716),"",ReferenceData!$I$716),"")</x:f>
        <x:v>13.20012</x:v>
      </x:c>
      <x:c r="J716">
        <x:f ca="1">IFERROR(IF(0=LEN(ReferenceData!$J$716),"",ReferenceData!$J$716),"")</x:f>
        <x:v>54.353740000000002</x:v>
      </x:c>
      <x:c r="K716">
        <x:f ca="1">IFERROR(IF(0=LEN(ReferenceData!$K$716),"",ReferenceData!$K$716),"")</x:f>
        <x:v>70.844059999999999</x:v>
      </x:c>
      <x:c r="L716">
        <x:f ca="1">IFERROR(IF(0=LEN(ReferenceData!$L$716),"",ReferenceData!$L$716),"")</x:f>
        <x:v>17.847799999999999</x:v>
      </x:c>
      <x:c r="M716">
        <x:f ca="1">IFERROR(IF(0=LEN(ReferenceData!$M$716),"",ReferenceData!$M$716),"")</x:f>
        <x:v>18.129000000000001</x:v>
      </x:c>
      <x:c r="N716">
        <x:f ca="1">IFERROR(IF(0=LEN(ReferenceData!$N$716),"",ReferenceData!$N$716),"")</x:f>
        <x:v>17.848140000000001</x:v>
      </x:c>
      <x:c r="O716">
        <x:f ca="1">IFERROR(IF(0=LEN(ReferenceData!$O$716),"",ReferenceData!$O$716),"")</x:f>
        <x:v>18.42746</x:v>
      </x:c>
      <x:c r="P716">
        <x:f ca="1">IFERROR(IF(0=LEN(ReferenceData!$P$716),"",ReferenceData!$P$716),"")</x:f>
        <x:v>0</x:v>
      </x:c>
      <x:c r="Q716">
        <x:f ca="1">IFERROR(IF(0=LEN(ReferenceData!$Q$716),"",ReferenceData!$Q$716),"")</x:f>
        <x:v>0</x:v>
      </x:c>
      <x:c r="R716">
        <x:f ca="1">IFERROR(IF(0=LEN(ReferenceData!$R$716),"",ReferenceData!$R$716),"")</x:f>
        <x:v>-10.38278</x:v>
      </x:c>
      <x:c r="S716">
        <x:f ca="1">IFERROR(IF(0=LEN(ReferenceData!$S$716),"",ReferenceData!$S$716),"")</x:f>
        <x:v>-4.8849600000000004</x:v>
      </x:c>
    </x:row>
    <x:row r="717" spans="1:19" x14ac:dyDescent="0.25">
      <x:c r="A717" t="str">
        <x:f>IFERROR(IF(0=LEN(ReferenceData!$A$717),"",ReferenceData!$A$717),"")</x:f>
        <x:v xml:space="preserve">            Direxion Daily Robotics Artifi</x:v>
      </x:c>
      <x:c r="B717" t="str">
        <x:f>IFERROR(IF(0=LEN(ReferenceData!$B$717),"",ReferenceData!$B$717),"")</x:f>
        <x:v>UBOT US Equity</x:v>
      </x:c>
      <x:c r="C717" t="str">
        <x:f>IFERROR(IF(0=LEN(ReferenceData!$C$717),"",ReferenceData!$C$717),"")</x:f>
        <x:v/>
      </x:c>
      <x:c r="D717" t="str">
        <x:f>IFERROR(IF(0=LEN(ReferenceData!$D$717),"",ReferenceData!$D$717),"")</x:f>
        <x:v/>
      </x:c>
      <x:c r="E717" t="str">
        <x:f>IFERROR(IF(0=LEN(ReferenceData!$E$717),"",ReferenceData!$E$717),"")</x:f>
        <x:v>Expression</x:v>
      </x:c>
      <x:c r="F717">
        <x:f ca="1">IFERROR(IF(0=LEN(ReferenceData!$F$717),"",ReferenceData!$F$717),"")</x:f>
        <x:v>0</x:v>
      </x:c>
      <x:c r="G717">
        <x:f ca="1">IFERROR(IF(0=LEN(ReferenceData!$G$717),"",ReferenceData!$G$717),"")</x:f>
        <x:v>0</x:v>
      </x:c>
      <x:c r="H717">
        <x:f ca="1">IFERROR(IF(0=LEN(ReferenceData!$H$717),"",ReferenceData!$H$717),"")</x:f>
        <x:v>-2.4791460000000001</x:v>
      </x:c>
      <x:c r="I717">
        <x:f ca="1">IFERROR(IF(0=LEN(ReferenceData!$I$717),"",ReferenceData!$I$717),"")</x:f>
        <x:v>-0.93120199999999997</x:v>
      </x:c>
      <x:c r="J717">
        <x:f ca="1">IFERROR(IF(0=LEN(ReferenceData!$J$717),"",ReferenceData!$J$717),"")</x:f>
        <x:v>1.154989</x:v>
      </x:c>
      <x:c r="K717">
        <x:f ca="1">IFERROR(IF(0=LEN(ReferenceData!$K$717),"",ReferenceData!$K$717),"")</x:f>
        <x:v>7.8327520000000002</x:v>
      </x:c>
      <x:c r="L717">
        <x:f ca="1">IFERROR(IF(0=LEN(ReferenceData!$L$717),"",ReferenceData!$L$717),"")</x:f>
        <x:v>2.9621629999999999</x:v>
      </x:c>
      <x:c r="M717">
        <x:f ca="1">IFERROR(IF(0=LEN(ReferenceData!$M$717),"",ReferenceData!$M$717),"")</x:f>
        <x:v>1.7316819999999999</x:v>
      </x:c>
      <x:c r="N717">
        <x:f ca="1">IFERROR(IF(0=LEN(ReferenceData!$N$717),"",ReferenceData!$N$717),"")</x:f>
        <x:v>0</x:v>
      </x:c>
      <x:c r="O717">
        <x:f ca="1">IFERROR(IF(0=LEN(ReferenceData!$O$717),"",ReferenceData!$O$717),"")</x:f>
        <x:v>0</x:v>
      </x:c>
      <x:c r="P717">
        <x:f ca="1">IFERROR(IF(0=LEN(ReferenceData!$P$717),"",ReferenceData!$P$717),"")</x:f>
        <x:v>2.324665</x:v>
      </x:c>
      <x:c r="Q717">
        <x:f ca="1">IFERROR(IF(0=LEN(ReferenceData!$Q$717),"",ReferenceData!$Q$717),"")</x:f>
        <x:v>-0.603599</x:v>
      </x:c>
      <x:c r="R717">
        <x:f ca="1">IFERROR(IF(0=LEN(ReferenceData!$R$717),"",ReferenceData!$R$717),"")</x:f>
        <x:v>0.63493500000000003</x:v>
      </x:c>
      <x:c r="S717">
        <x:f ca="1">IFERROR(IF(0=LEN(ReferenceData!$S$717),"",ReferenceData!$S$717),"")</x:f>
        <x:v>0</x:v>
      </x:c>
    </x:row>
    <x:row r="718" spans="1:19" x14ac:dyDescent="0.25">
      <x:c r="A718" t="str">
        <x:f>IFERROR(IF(0=LEN(ReferenceData!$A$718),"",ReferenceData!$A$718),"")</x:f>
        <x:v xml:space="preserve">            Global X Robotics &amp; Artificial</x:v>
      </x:c>
      <x:c r="B718" t="str">
        <x:f>IFERROR(IF(0=LEN(ReferenceData!$B$718),"",ReferenceData!$B$718),"")</x:f>
        <x:v>BOTZ US Equity</x:v>
      </x:c>
      <x:c r="C718" t="str">
        <x:f>IFERROR(IF(0=LEN(ReferenceData!$C$718),"",ReferenceData!$C$718),"")</x:f>
        <x:v/>
      </x:c>
      <x:c r="D718" t="str">
        <x:f>IFERROR(IF(0=LEN(ReferenceData!$D$718),"",ReferenceData!$D$718),"")</x:f>
        <x:v/>
      </x:c>
      <x:c r="E718" t="str">
        <x:f>IFERROR(IF(0=LEN(ReferenceData!$E$718),"",ReferenceData!$E$718),"")</x:f>
        <x:v>Expression</x:v>
      </x:c>
      <x:c r="F718">
        <x:f ca="1">IFERROR(IF(0=LEN(ReferenceData!$F$718),"",ReferenceData!$F$718),"")</x:f>
        <x:v>-15.855499999999999</x:v>
      </x:c>
      <x:c r="G718">
        <x:f ca="1">IFERROR(IF(0=LEN(ReferenceData!$G$718),"",ReferenceData!$G$718),"")</x:f>
        <x:v>-58.399099999999997</x:v>
      </x:c>
      <x:c r="H718">
        <x:f ca="1">IFERROR(IF(0=LEN(ReferenceData!$H$718),"",ReferenceData!$H$718),"")</x:f>
        <x:v>1.6712</x:v>
      </x:c>
      <x:c r="I718">
        <x:f ca="1">IFERROR(IF(0=LEN(ReferenceData!$I$718),"",ReferenceData!$I$718),"")</x:f>
        <x:v>-72.848500000000001</x:v>
      </x:c>
      <x:c r="J718">
        <x:f ca="1">IFERROR(IF(0=LEN(ReferenceData!$J$718),"",ReferenceData!$J$718),"")</x:f>
        <x:v>41.918100000000003</x:v>
      </x:c>
      <x:c r="K718">
        <x:f ca="1">IFERROR(IF(0=LEN(ReferenceData!$K$718),"",ReferenceData!$K$718),"")</x:f>
        <x:v>270.26080000000002</x:v>
      </x:c>
      <x:c r="L718">
        <x:f ca="1">IFERROR(IF(0=LEN(ReferenceData!$L$718),"",ReferenceData!$L$718),"")</x:f>
        <x:v>234.8219</x:v>
      </x:c>
      <x:c r="M718">
        <x:f ca="1">IFERROR(IF(0=LEN(ReferenceData!$M$718),"",ReferenceData!$M$718),"")</x:f>
        <x:v>7.0814000000000004</x:v>
      </x:c>
      <x:c r="N718">
        <x:f ca="1">IFERROR(IF(0=LEN(ReferenceData!$N$718),"",ReferenceData!$N$718),"")</x:f>
        <x:v>79.781099999999995</x:v>
      </x:c>
      <x:c r="O718">
        <x:f ca="1">IFERROR(IF(0=LEN(ReferenceData!$O$718),"",ReferenceData!$O$718),"")</x:f>
        <x:v>30.5167</x:v>
      </x:c>
      <x:c r="P718">
        <x:f ca="1">IFERROR(IF(0=LEN(ReferenceData!$P$718),"",ReferenceData!$P$718),"")</x:f>
        <x:v>24.5749</x:v>
      </x:c>
      <x:c r="Q718">
        <x:f ca="1">IFERROR(IF(0=LEN(ReferenceData!$Q$718),"",ReferenceData!$Q$718),"")</x:f>
        <x:v>-20.332999999999998</x:v>
      </x:c>
      <x:c r="R718">
        <x:f ca="1">IFERROR(IF(0=LEN(ReferenceData!$R$718),"",ReferenceData!$R$718),"")</x:f>
        <x:v>-31.671600000000002</x:v>
      </x:c>
      <x:c r="S718">
        <x:f ca="1">IFERROR(IF(0=LEN(ReferenceData!$S$718),"",ReferenceData!$S$718),"")</x:f>
        <x:v>-10.2262</x:v>
      </x:c>
    </x:row>
    <x:row r="719" spans="1:19" x14ac:dyDescent="0.25">
      <x:c r="A719" t="str">
        <x:f>IFERROR(IF(0=LEN(ReferenceData!$A$719),"",ReferenceData!$A$719),"")</x:f>
        <x:v xml:space="preserve">            Franklin Intelligent Machines</x:v>
      </x:c>
      <x:c r="B719" t="str">
        <x:f>IFERROR(IF(0=LEN(ReferenceData!$B$719),"",ReferenceData!$B$719),"")</x:f>
        <x:v>IQM US Equity</x:v>
      </x:c>
      <x:c r="C719" t="str">
        <x:f>IFERROR(IF(0=LEN(ReferenceData!$C$719),"",ReferenceData!$C$719),"")</x:f>
        <x:v/>
      </x:c>
      <x:c r="D719" t="str">
        <x:f>IFERROR(IF(0=LEN(ReferenceData!$D$719),"",ReferenceData!$D$719),"")</x:f>
        <x:v/>
      </x:c>
      <x:c r="E719" t="str">
        <x:f>IFERROR(IF(0=LEN(ReferenceData!$E$719),"",ReferenceData!$E$719),"")</x:f>
        <x:v>Expression</x:v>
      </x:c>
      <x:c r="F719">
        <x:f ca="1">IFERROR(IF(0=LEN(ReferenceData!$F$719),"",ReferenceData!$F$719),"")</x:f>
        <x:v>0</x:v>
      </x:c>
      <x:c r="G719">
        <x:f ca="1">IFERROR(IF(0=LEN(ReferenceData!$G$719),"",ReferenceData!$G$719),"")</x:f>
        <x:v>0</x:v>
      </x:c>
      <x:c r="H719">
        <x:f ca="1">IFERROR(IF(0=LEN(ReferenceData!$H$719),"",ReferenceData!$H$719),"")</x:f>
        <x:v>0</x:v>
      </x:c>
      <x:c r="I719">
        <x:f ca="1">IFERROR(IF(0=LEN(ReferenceData!$I$719),"",ReferenceData!$I$719),"")</x:f>
        <x:v>-2.3947620000000001</x:v>
      </x:c>
      <x:c r="J719">
        <x:f ca="1">IFERROR(IF(0=LEN(ReferenceData!$J$719),"",ReferenceData!$J$719),"")</x:f>
        <x:v>12.165514</x:v>
      </x:c>
      <x:c r="K719">
        <x:f ca="1">IFERROR(IF(0=LEN(ReferenceData!$K$719),"",ReferenceData!$K$719),"")</x:f>
        <x:v>0</x:v>
      </x:c>
      <x:c r="L719">
        <x:f ca="1">IFERROR(IF(0=LEN(ReferenceData!$L$719),"",ReferenceData!$L$719),"")</x:f>
        <x:v>2.3054929999999998</x:v>
      </x:c>
      <x:c r="M719">
        <x:f ca="1">IFERROR(IF(0=LEN(ReferenceData!$M$719),"",ReferenceData!$M$719),"")</x:f>
        <x:v>0</x:v>
      </x:c>
      <x:c r="N719">
        <x:f ca="1">IFERROR(IF(0=LEN(ReferenceData!$N$719),"",ReferenceData!$N$719),"")</x:f>
        <x:v>0</x:v>
      </x:c>
      <x:c r="O719">
        <x:f ca="1">IFERROR(IF(0=LEN(ReferenceData!$O$719),"",ReferenceData!$O$719),"")</x:f>
        <x:v>0</x:v>
      </x:c>
      <x:c r="P719">
        <x:f ca="1">IFERROR(IF(0=LEN(ReferenceData!$P$719),"",ReferenceData!$P$719),"")</x:f>
        <x:v>0</x:v>
      </x:c>
      <x:c r="Q719">
        <x:f ca="1">IFERROR(IF(0=LEN(ReferenceData!$Q$719),"",ReferenceData!$Q$719),"")</x:f>
        <x:v>0</x:v>
      </x:c>
      <x:c r="R719">
        <x:f ca="1">IFERROR(IF(0=LEN(ReferenceData!$R$719),"",ReferenceData!$R$719),"")</x:f>
        <x:v>0</x:v>
      </x:c>
      <x:c r="S719">
        <x:f ca="1">IFERROR(IF(0=LEN(ReferenceData!$S$719),"",ReferenceData!$S$719),"")</x:f>
        <x:v>0</x:v>
      </x:c>
    </x:row>
    <x:row r="720" spans="1:19" x14ac:dyDescent="0.25">
      <x:c r="A720" t="str">
        <x:f>IFERROR(IF(0=LEN(ReferenceData!$A$720),"",ReferenceData!$A$720),"")</x:f>
        <x:v xml:space="preserve">            Listed Funds Trust TrueMark Te</x:v>
      </x:c>
      <x:c r="B720" t="str">
        <x:f>IFERROR(IF(0=LEN(ReferenceData!$B$720),"",ReferenceData!$B$720),"")</x:f>
        <x:v>LRNZ US Equity</x:v>
      </x:c>
      <x:c r="C720" t="str">
        <x:f>IFERROR(IF(0=LEN(ReferenceData!$C$720),"",ReferenceData!$C$720),"")</x:f>
        <x:v/>
      </x:c>
      <x:c r="D720" t="str">
        <x:f>IFERROR(IF(0=LEN(ReferenceData!$D$720),"",ReferenceData!$D$720),"")</x:f>
        <x:v/>
      </x:c>
      <x:c r="E720" t="str">
        <x:f>IFERROR(IF(0=LEN(ReferenceData!$E$720),"",ReferenceData!$E$720),"")</x:f>
        <x:v>Expression</x:v>
      </x:c>
      <x:c r="F720">
        <x:f ca="1">IFERROR(IF(0=LEN(ReferenceData!$F$720),"",ReferenceData!$F$720),"")</x:f>
        <x:v>0</x:v>
      </x:c>
      <x:c r="G720">
        <x:f ca="1">IFERROR(IF(0=LEN(ReferenceData!$G$720),"",ReferenceData!$G$720),"")</x:f>
        <x:v>-2.5129090000000001</x:v>
      </x:c>
      <x:c r="H720">
        <x:f ca="1">IFERROR(IF(0=LEN(ReferenceData!$H$720),"",ReferenceData!$H$720),"")</x:f>
        <x:v>-0.61155000000000004</x:v>
      </x:c>
      <x:c r="I720">
        <x:f ca="1">IFERROR(IF(0=LEN(ReferenceData!$I$720),"",ReferenceData!$I$720),"")</x:f>
        <x:v>-1.7901149999999999</x:v>
      </x:c>
      <x:c r="J720">
        <x:f ca="1">IFERROR(IF(0=LEN(ReferenceData!$J$720),"",ReferenceData!$J$720),"")</x:f>
        <x:v>0.29331099999999999</x:v>
      </x:c>
      <x:c r="K720">
        <x:f ca="1">IFERROR(IF(0=LEN(ReferenceData!$K$720),"",ReferenceData!$K$720),"")</x:f>
        <x:v>11.418732</x:v>
      </x:c>
      <x:c r="L720">
        <x:f ca="1">IFERROR(IF(0=LEN(ReferenceData!$L$720),"",ReferenceData!$L$720),"")</x:f>
        <x:v>3.319966</x:v>
      </x:c>
      <x:c r="M720">
        <x:f ca="1">IFERROR(IF(0=LEN(ReferenceData!$M$720),"",ReferenceData!$M$720),"")</x:f>
        <x:v>0</x:v>
      </x:c>
      <x:c r="N720">
        <x:f ca="1">IFERROR(IF(0=LEN(ReferenceData!$N$720),"",ReferenceData!$N$720),"")</x:f>
        <x:v>0</x:v>
      </x:c>
      <x:c r="O720">
        <x:f ca="1">IFERROR(IF(0=LEN(ReferenceData!$O$720),"",ReferenceData!$O$720),"")</x:f>
        <x:v>0</x:v>
      </x:c>
      <x:c r="P720">
        <x:f ca="1">IFERROR(IF(0=LEN(ReferenceData!$P$720),"",ReferenceData!$P$720),"")</x:f>
        <x:v>-0.62228499999999998</x:v>
      </x:c>
      <x:c r="Q720">
        <x:f ca="1">IFERROR(IF(0=LEN(ReferenceData!$Q$720),"",ReferenceData!$Q$720),"")</x:f>
        <x:v>-1.20618</x:v>
      </x:c>
      <x:c r="R720">
        <x:f ca="1">IFERROR(IF(0=LEN(ReferenceData!$R$720),"",ReferenceData!$R$720),"")</x:f>
        <x:v>0</x:v>
      </x:c>
      <x:c r="S720">
        <x:f ca="1">IFERROR(IF(0=LEN(ReferenceData!$S$720),"",ReferenceData!$S$720),"")</x:f>
        <x:v>0</x:v>
      </x:c>
    </x:row>
    <x:row r="721" spans="1:19" x14ac:dyDescent="0.25">
      <x:c r="A721" t="str">
        <x:f>IFERROR(IF(0=LEN(ReferenceData!$A$721),"",ReferenceData!$A$721),"")</x:f>
        <x:v xml:space="preserve">            Robo Global Artificial Intelli</x:v>
      </x:c>
      <x:c r="B721" t="str">
        <x:f>IFERROR(IF(0=LEN(ReferenceData!$B$721),"",ReferenceData!$B$721),"")</x:f>
        <x:v>THNQ US Equity</x:v>
      </x:c>
      <x:c r="C721" t="str">
        <x:f>IFERROR(IF(0=LEN(ReferenceData!$C$721),"",ReferenceData!$C$721),"")</x:f>
        <x:v/>
      </x:c>
      <x:c r="D721" t="str">
        <x:f>IFERROR(IF(0=LEN(ReferenceData!$D$721),"",ReferenceData!$D$721),"")</x:f>
        <x:v/>
      </x:c>
      <x:c r="E721" t="str">
        <x:f>IFERROR(IF(0=LEN(ReferenceData!$E$721),"",ReferenceData!$E$721),"")</x:f>
        <x:v>Expression</x:v>
      </x:c>
      <x:c r="F721">
        <x:f ca="1">IFERROR(IF(0=LEN(ReferenceData!$F$721),"",ReferenceData!$F$721),"")</x:f>
        <x:v>20.167815000000001</x:v>
      </x:c>
      <x:c r="G721">
        <x:f ca="1">IFERROR(IF(0=LEN(ReferenceData!$G$721),"",ReferenceData!$G$721),"")</x:f>
        <x:v>-0.82757899999999995</x:v>
      </x:c>
      <x:c r="H721">
        <x:f ca="1">IFERROR(IF(0=LEN(ReferenceData!$H$721),"",ReferenceData!$H$721),"")</x:f>
        <x:v>21.583672</x:v>
      </x:c>
      <x:c r="I721">
        <x:f ca="1">IFERROR(IF(0=LEN(ReferenceData!$I$721),"",ReferenceData!$I$721),"")</x:f>
        <x:v>4.6813560000000001</x:v>
      </x:c>
      <x:c r="J721">
        <x:f ca="1">IFERROR(IF(0=LEN(ReferenceData!$J$721),"",ReferenceData!$J$721),"")</x:f>
        <x:v>7.3208320000000002</x:v>
      </x:c>
      <x:c r="K721">
        <x:f ca="1">IFERROR(IF(0=LEN(ReferenceData!$K$721),"",ReferenceData!$K$721),"")</x:f>
        <x:v>14.865178999999999</x:v>
      </x:c>
      <x:c r="L721">
        <x:f ca="1">IFERROR(IF(0=LEN(ReferenceData!$L$721),"",ReferenceData!$L$721),"")</x:f>
        <x:v>3.3321879999999999</x:v>
      </x:c>
      <x:c r="M721">
        <x:f ca="1">IFERROR(IF(0=LEN(ReferenceData!$M$721),"",ReferenceData!$M$721),"")</x:f>
        <x:v>0.78093100000000004</x:v>
      </x:c>
      <x:c r="N721">
        <x:f ca="1">IFERROR(IF(0=LEN(ReferenceData!$N$721),"",ReferenceData!$N$721),"")</x:f>
        <x:v>0</x:v>
      </x:c>
      <x:c r="O721">
        <x:f ca="1">IFERROR(IF(0=LEN(ReferenceData!$O$721),"",ReferenceData!$O$721),"")</x:f>
        <x:v>-0.79920899999999995</x:v>
      </x:c>
      <x:c r="P721">
        <x:f ca="1">IFERROR(IF(0=LEN(ReferenceData!$P$721),"",ReferenceData!$P$721),"")</x:f>
        <x:v>-0.66096100000000002</x:v>
      </x:c>
      <x:c r="Q721">
        <x:f ca="1">IFERROR(IF(0=LEN(ReferenceData!$Q$721),"",ReferenceData!$Q$721),"")</x:f>
        <x:v>0</x:v>
      </x:c>
      <x:c r="R721">
        <x:f ca="1">IFERROR(IF(0=LEN(ReferenceData!$R$721),"",ReferenceData!$R$721),"")</x:f>
        <x:v>0</x:v>
      </x:c>
      <x:c r="S721">
        <x:f ca="1">IFERROR(IF(0=LEN(ReferenceData!$S$721),"",ReferenceData!$S$721),"")</x:f>
        <x:v>0</x:v>
      </x:c>
    </x:row>
    <x:row r="722" spans="1:19" x14ac:dyDescent="0.25">
      <x:c r="A722" t="str">
        <x:f>IFERROR(IF(0=LEN(ReferenceData!$A$722),"",ReferenceData!$A$722),"")</x:f>
        <x:v xml:space="preserve">            Defiance Next Gen Big Data ETF</x:v>
      </x:c>
      <x:c r="B722" t="str">
        <x:f>IFERROR(IF(0=LEN(ReferenceData!$B$722),"",ReferenceData!$B$722),"")</x:f>
        <x:v>BIGY US Equity</x:v>
      </x:c>
      <x:c r="C722" t="str">
        <x:f>IFERROR(IF(0=LEN(ReferenceData!$C$722),"",ReferenceData!$C$722),"")</x:f>
        <x:v/>
      </x:c>
      <x:c r="D722" t="str">
        <x:f>IFERROR(IF(0=LEN(ReferenceData!$D$722),"",ReferenceData!$D$722),"")</x:f>
        <x:v/>
      </x:c>
      <x:c r="E722" t="str">
        <x:f>IFERROR(IF(0=LEN(ReferenceData!$E$722),"",ReferenceData!$E$722),"")</x:f>
        <x:v>Expression</x:v>
      </x:c>
      <x:c r="F722" t="str">
        <x:f ca="1">IFERROR(IF(0=LEN(ReferenceData!$F$722),"",ReferenceData!$F$722),"")</x:f>
        <x:v/>
      </x:c>
      <x:c r="G722" t="str">
        <x:f ca="1">IFERROR(IF(0=LEN(ReferenceData!$G$722),"",ReferenceData!$G$722),"")</x:f>
        <x:v/>
      </x:c>
      <x:c r="H722" t="str">
        <x:f ca="1">IFERROR(IF(0=LEN(ReferenceData!$H$722),"",ReferenceData!$H$722),"")</x:f>
        <x:v/>
      </x:c>
      <x:c r="I722" t="str">
        <x:f ca="1">IFERROR(IF(0=LEN(ReferenceData!$I$722),"",ReferenceData!$I$722),"")</x:f>
        <x:v/>
      </x:c>
      <x:c r="J722" t="str">
        <x:f ca="1">IFERROR(IF(0=LEN(ReferenceData!$J$722),"",ReferenceData!$J$722),"")</x:f>
        <x:v/>
      </x:c>
      <x:c r="K722" t="str">
        <x:f ca="1">IFERROR(IF(0=LEN(ReferenceData!$K$722),"",ReferenceData!$K$722),"")</x:f>
        <x:v/>
      </x:c>
      <x:c r="L722" t="str">
        <x:f ca="1">IFERROR(IF(0=LEN(ReferenceData!$L$722),"",ReferenceData!$L$722),"")</x:f>
        <x:v/>
      </x:c>
      <x:c r="M722" t="str">
        <x:f ca="1">IFERROR(IF(0=LEN(ReferenceData!$M$722),"",ReferenceData!$M$722),"")</x:f>
        <x:v/>
      </x:c>
      <x:c r="N722" t="str">
        <x:f ca="1">IFERROR(IF(0=LEN(ReferenceData!$N$722),"",ReferenceData!$N$722),"")</x:f>
        <x:v/>
      </x:c>
      <x:c r="O722" t="str">
        <x:f ca="1">IFERROR(IF(0=LEN(ReferenceData!$O$722),"",ReferenceData!$O$722),"")</x:f>
        <x:v/>
      </x:c>
      <x:c r="P722" t="str">
        <x:f ca="1">IFERROR(IF(0=LEN(ReferenceData!$P$722),"",ReferenceData!$P$722),"")</x:f>
        <x:v/>
      </x:c>
      <x:c r="Q722" t="str">
        <x:f ca="1">IFERROR(IF(0=LEN(ReferenceData!$Q$722),"",ReferenceData!$Q$722),"")</x:f>
        <x:v/>
      </x:c>
      <x:c r="R722" t="str">
        <x:f ca="1">IFERROR(IF(0=LEN(ReferenceData!$R$722),"",ReferenceData!$R$722),"")</x:f>
        <x:v/>
      </x:c>
      <x:c r="S722" t="str">
        <x:f ca="1">IFERROR(IF(0=LEN(ReferenceData!$S$722),"",ReferenceData!$S$722),"")</x:f>
        <x:v/>
      </x:c>
    </x:row>
    <x:row r="723" spans="1:19" x14ac:dyDescent="0.25">
      <x:c r="A723" t="str">
        <x:f>IFERROR(IF(0=LEN(ReferenceData!$A$723),"",ReferenceData!$A$723),"")</x:f>
        <x:v xml:space="preserve">            Wisdomtree Artificial Intellig</x:v>
      </x:c>
      <x:c r="B723" t="str">
        <x:f>IFERROR(IF(0=LEN(ReferenceData!$B$723),"",ReferenceData!$B$723),"")</x:f>
        <x:v>WTAI US Equity</x:v>
      </x:c>
      <x:c r="C723" t="str">
        <x:f>IFERROR(IF(0=LEN(ReferenceData!$C$723),"",ReferenceData!$C$723),"")</x:f>
        <x:v/>
      </x:c>
      <x:c r="D723" t="str">
        <x:f>IFERROR(IF(0=LEN(ReferenceData!$D$723),"",ReferenceData!$D$723),"")</x:f>
        <x:v/>
      </x:c>
      <x:c r="E723" t="str">
        <x:f>IFERROR(IF(0=LEN(ReferenceData!$E$723),"",ReferenceData!$E$723),"")</x:f>
        <x:v>Expression</x:v>
      </x:c>
      <x:c r="F723">
        <x:f ca="1">IFERROR(IF(0=LEN(ReferenceData!$F$723),"",ReferenceData!$F$723),"")</x:f>
        <x:v>7.8889120000000004</x:v>
      </x:c>
      <x:c r="G723">
        <x:f ca="1">IFERROR(IF(0=LEN(ReferenceData!$G$723),"",ReferenceData!$G$723),"")</x:f>
        <x:v>-1.200671</x:v>
      </x:c>
      <x:c r="H723">
        <x:f ca="1">IFERROR(IF(0=LEN(ReferenceData!$H$723),"",ReferenceData!$H$723),"")</x:f>
        <x:v>0</x:v>
      </x:c>
      <x:c r="I723">
        <x:f ca="1">IFERROR(IF(0=LEN(ReferenceData!$I$723),"",ReferenceData!$I$723),"")</x:f>
        <x:v>7.0594520000000003</x:v>
      </x:c>
      <x:c r="J723">
        <x:f ca="1">IFERROR(IF(0=LEN(ReferenceData!$J$723),"",ReferenceData!$J$723),"")</x:f>
        <x:v>30.553712999999998</x:v>
      </x:c>
      <x:c r="K723">
        <x:f ca="1">IFERROR(IF(0=LEN(ReferenceData!$K$723),"",ReferenceData!$K$723),"")</x:f>
        <x:v>62.134062999999998</x:v>
      </x:c>
      <x:c r="L723">
        <x:f ca="1">IFERROR(IF(0=LEN(ReferenceData!$L$723),"",ReferenceData!$L$723),"")</x:f>
        <x:v>43.797573</x:v>
      </x:c>
      <x:c r="M723">
        <x:f ca="1">IFERROR(IF(0=LEN(ReferenceData!$M$723),"",ReferenceData!$M$723),"")</x:f>
        <x:v>4.1148420000000003</x:v>
      </x:c>
      <x:c r="N723">
        <x:f ca="1">IFERROR(IF(0=LEN(ReferenceData!$N$723),"",ReferenceData!$N$723),"")</x:f>
        <x:v>0</x:v>
      </x:c>
      <x:c r="O723">
        <x:f ca="1">IFERROR(IF(0=LEN(ReferenceData!$O$723),"",ReferenceData!$O$723),"")</x:f>
        <x:v>7.643872</x:v>
      </x:c>
      <x:c r="P723">
        <x:f ca="1">IFERROR(IF(0=LEN(ReferenceData!$P$723),"",ReferenceData!$P$723),"")</x:f>
        <x:v>0</x:v>
      </x:c>
      <x:c r="Q723">
        <x:f ca="1">IFERROR(IF(0=LEN(ReferenceData!$Q$723),"",ReferenceData!$Q$723),"")</x:f>
        <x:v>0</x:v>
      </x:c>
      <x:c r="R723">
        <x:f ca="1">IFERROR(IF(0=LEN(ReferenceData!$R$723),"",ReferenceData!$R$723),"")</x:f>
        <x:v>0</x:v>
      </x:c>
      <x:c r="S723">
        <x:f ca="1">IFERROR(IF(0=LEN(ReferenceData!$S$723),"",ReferenceData!$S$723),"")</x:f>
        <x:v>0</x:v>
      </x:c>
    </x:row>
    <x:row r="724" spans="1:19" x14ac:dyDescent="0.25">
      <x:c r="A724" t="str">
        <x:f>IFERROR(IF(0=LEN(ReferenceData!$A$724),"",ReferenceData!$A$724),"")</x:f>
        <x:v xml:space="preserve">            Gabelli Automation ETF</x:v>
      </x:c>
      <x:c r="B724" t="str">
        <x:f>IFERROR(IF(0=LEN(ReferenceData!$B$724),"",ReferenceData!$B$724),"")</x:f>
        <x:v>GAST US Equity</x:v>
      </x:c>
      <x:c r="C724" t="str">
        <x:f>IFERROR(IF(0=LEN(ReferenceData!$C$724),"",ReferenceData!$C$724),"")</x:f>
        <x:v/>
      </x:c>
      <x:c r="D724" t="str">
        <x:f>IFERROR(IF(0=LEN(ReferenceData!$D$724),"",ReferenceData!$D$724),"")</x:f>
        <x:v/>
      </x:c>
      <x:c r="E724" t="str">
        <x:f>IFERROR(IF(0=LEN(ReferenceData!$E$724),"",ReferenceData!$E$724),"")</x:f>
        <x:v>Expression</x:v>
      </x:c>
      <x:c r="F724">
        <x:f ca="1">IFERROR(IF(0=LEN(ReferenceData!$F$724),"",ReferenceData!$F$724),"")</x:f>
        <x:v>0</x:v>
      </x:c>
      <x:c r="G724">
        <x:f ca="1">IFERROR(IF(0=LEN(ReferenceData!$G$724),"",ReferenceData!$G$724),"")</x:f>
        <x:v>-0.453399</x:v>
      </x:c>
      <x:c r="H724">
        <x:f ca="1">IFERROR(IF(0=LEN(ReferenceData!$H$724),"",ReferenceData!$H$724),"")</x:f>
        <x:v>0</x:v>
      </x:c>
      <x:c r="I724">
        <x:f ca="1">IFERROR(IF(0=LEN(ReferenceData!$I$724),"",ReferenceData!$I$724),"")</x:f>
        <x:v>0</x:v>
      </x:c>
      <x:c r="J724">
        <x:f ca="1">IFERROR(IF(0=LEN(ReferenceData!$J$724),"",ReferenceData!$J$724),"")</x:f>
        <x:v>0</x:v>
      </x:c>
      <x:c r="K724">
        <x:f ca="1">IFERROR(IF(0=LEN(ReferenceData!$K$724),"",ReferenceData!$K$724),"")</x:f>
        <x:v>0</x:v>
      </x:c>
      <x:c r="L724">
        <x:f ca="1">IFERROR(IF(0=LEN(ReferenceData!$L$724),"",ReferenceData!$L$724),"")</x:f>
        <x:v>0</x:v>
      </x:c>
      <x:c r="M724">
        <x:f ca="1">IFERROR(IF(0=LEN(ReferenceData!$M$724),"",ReferenceData!$M$724),"")</x:f>
        <x:v>0</x:v>
      </x:c>
      <x:c r="N724">
        <x:f ca="1">IFERROR(IF(0=LEN(ReferenceData!$N$724),"",ReferenceData!$N$724),"")</x:f>
        <x:v>0</x:v>
      </x:c>
      <x:c r="O724">
        <x:f ca="1">IFERROR(IF(0=LEN(ReferenceData!$O$724),"",ReferenceData!$O$724),"")</x:f>
        <x:v>0</x:v>
      </x:c>
      <x:c r="P724">
        <x:f ca="1">IFERROR(IF(0=LEN(ReferenceData!$P$724),"",ReferenceData!$P$724),"")</x:f>
        <x:v>0</x:v>
      </x:c>
      <x:c r="Q724">
        <x:f ca="1">IFERROR(IF(0=LEN(ReferenceData!$Q$724),"",ReferenceData!$Q$724),"")</x:f>
        <x:v>0</x:v>
      </x:c>
      <x:c r="R724">
        <x:f ca="1">IFERROR(IF(0=LEN(ReferenceData!$R$724),"",ReferenceData!$R$724),"")</x:f>
        <x:v>0</x:v>
      </x:c>
      <x:c r="S724">
        <x:f ca="1">IFERROR(IF(0=LEN(ReferenceData!$S$724),"",ReferenceData!$S$724),"")</x:f>
        <x:v>0</x:v>
      </x:c>
    </x:row>
    <x:row r="725" spans="1:19" x14ac:dyDescent="0.25">
      <x:c r="A725" t="str">
        <x:f>IFERROR(IF(0=LEN(ReferenceData!$A$725),"",ReferenceData!$A$725),"")</x:f>
        <x:v xml:space="preserve">            iShares Neuroscience And Healt</x:v>
      </x:c>
      <x:c r="B725" t="str">
        <x:f>IFERROR(IF(0=LEN(ReferenceData!$B$725),"",ReferenceData!$B$725),"")</x:f>
        <x:v>IBRN US Equity</x:v>
      </x:c>
      <x:c r="C725" t="str">
        <x:f>IFERROR(IF(0=LEN(ReferenceData!$C$725),"",ReferenceData!$C$725),"")</x:f>
        <x:v/>
      </x:c>
      <x:c r="D725" t="str">
        <x:f>IFERROR(IF(0=LEN(ReferenceData!$D$725),"",ReferenceData!$D$725),"")</x:f>
        <x:v/>
      </x:c>
      <x:c r="E725" t="str">
        <x:f>IFERROR(IF(0=LEN(ReferenceData!$E$725),"",ReferenceData!$E$725),"")</x:f>
        <x:v>Expression</x:v>
      </x:c>
      <x:c r="F725">
        <x:f ca="1">IFERROR(IF(0=LEN(ReferenceData!$F$725),"",ReferenceData!$F$725),"")</x:f>
        <x:v>0</x:v>
      </x:c>
      <x:c r="G725">
        <x:f ca="1">IFERROR(IF(0=LEN(ReferenceData!$G$725),"",ReferenceData!$G$725),"")</x:f>
        <x:v>0</x:v>
      </x:c>
      <x:c r="H725">
        <x:f ca="1">IFERROR(IF(0=LEN(ReferenceData!$H$725),"",ReferenceData!$H$725),"")</x:f>
        <x:v>0</x:v>
      </x:c>
      <x:c r="I725">
        <x:f ca="1">IFERROR(IF(0=LEN(ReferenceData!$I$725),"",ReferenceData!$I$725),"")</x:f>
        <x:v>0</x:v>
      </x:c>
      <x:c r="J725">
        <x:f ca="1">IFERROR(IF(0=LEN(ReferenceData!$J$725),"",ReferenceData!$J$725),"")</x:f>
        <x:v>0</x:v>
      </x:c>
      <x:c r="K725">
        <x:f ca="1">IFERROR(IF(0=LEN(ReferenceData!$K$725),"",ReferenceData!$K$725),"")</x:f>
        <x:v>0</x:v>
      </x:c>
      <x:c r="L725">
        <x:f ca="1">IFERROR(IF(0=LEN(ReferenceData!$L$725),"",ReferenceData!$L$725),"")</x:f>
        <x:v>0</x:v>
      </x:c>
      <x:c r="M725">
        <x:f ca="1">IFERROR(IF(0=LEN(ReferenceData!$M$725),"",ReferenceData!$M$725),"")</x:f>
        <x:v>0</x:v>
      </x:c>
      <x:c r="N725">
        <x:f ca="1">IFERROR(IF(0=LEN(ReferenceData!$N$725),"",ReferenceData!$N$725),"")</x:f>
        <x:v>0</x:v>
      </x:c>
      <x:c r="O725">
        <x:f ca="1">IFERROR(IF(0=LEN(ReferenceData!$O$725),"",ReferenceData!$O$725),"")</x:f>
        <x:v>0</x:v>
      </x:c>
      <x:c r="P725">
        <x:f ca="1">IFERROR(IF(0=LEN(ReferenceData!$P$725),"",ReferenceData!$P$725),"")</x:f>
        <x:v>0</x:v>
      </x:c>
      <x:c r="Q725">
        <x:f ca="1">IFERROR(IF(0=LEN(ReferenceData!$Q$725),"",ReferenceData!$Q$725),"")</x:f>
        <x:v>0</x:v>
      </x:c>
      <x:c r="R725">
        <x:f ca="1">IFERROR(IF(0=LEN(ReferenceData!$R$725),"",ReferenceData!$R$725),"")</x:f>
        <x:v>0</x:v>
      </x:c>
      <x:c r="S725">
        <x:f ca="1">IFERROR(IF(0=LEN(ReferenceData!$S$725),"",ReferenceData!$S$725),"")</x:f>
        <x:v>0</x:v>
      </x:c>
    </x:row>
    <x:row r="726" spans="1:19" x14ac:dyDescent="0.25">
      <x:c r="A726" t="str">
        <x:f>IFERROR(IF(0=LEN(ReferenceData!$A$726),"",ReferenceData!$A$726),"")</x:f>
        <x:v xml:space="preserve">            AdvisorShares Drone Tech ETF</x:v>
      </x:c>
      <x:c r="B726" t="str">
        <x:f>IFERROR(IF(0=LEN(ReferenceData!$B$726),"",ReferenceData!$B$726),"")</x:f>
        <x:v>UAV US Equity</x:v>
      </x:c>
      <x:c r="C726" t="str">
        <x:f>IFERROR(IF(0=LEN(ReferenceData!$C$726),"",ReferenceData!$C$726),"")</x:f>
        <x:v/>
      </x:c>
      <x:c r="D726" t="str">
        <x:f>IFERROR(IF(0=LEN(ReferenceData!$D$726),"",ReferenceData!$D$726),"")</x:f>
        <x:v/>
      </x:c>
      <x:c r="E726" t="str">
        <x:f>IFERROR(IF(0=LEN(ReferenceData!$E$726),"",ReferenceData!$E$726),"")</x:f>
        <x:v>Expression</x:v>
      </x:c>
      <x:c r="F726" t="str">
        <x:f ca="1">IFERROR(IF(0=LEN(ReferenceData!$F$726),"",ReferenceData!$F$726),"")</x:f>
        <x:v/>
      </x:c>
      <x:c r="G726" t="str">
        <x:f ca="1">IFERROR(IF(0=LEN(ReferenceData!$G$726),"",ReferenceData!$G$726),"")</x:f>
        <x:v/>
      </x:c>
      <x:c r="H726" t="str">
        <x:f ca="1">IFERROR(IF(0=LEN(ReferenceData!$H$726),"",ReferenceData!$H$726),"")</x:f>
        <x:v/>
      </x:c>
      <x:c r="I726" t="str">
        <x:f ca="1">IFERROR(IF(0=LEN(ReferenceData!$I$726),"",ReferenceData!$I$726),"")</x:f>
        <x:v/>
      </x:c>
      <x:c r="J726" t="str">
        <x:f ca="1">IFERROR(IF(0=LEN(ReferenceData!$J$726),"",ReferenceData!$J$726),"")</x:f>
        <x:v/>
      </x:c>
      <x:c r="K726">
        <x:f ca="1">IFERROR(IF(0=LEN(ReferenceData!$K$726),"",ReferenceData!$K$726),"")</x:f>
        <x:v>0</x:v>
      </x:c>
      <x:c r="L726">
        <x:f ca="1">IFERROR(IF(0=LEN(ReferenceData!$L$726),"",ReferenceData!$L$726),"")</x:f>
        <x:v>0.10376000000000001</x:v>
      </x:c>
      <x:c r="M726">
        <x:f ca="1">IFERROR(IF(0=LEN(ReferenceData!$M$726),"",ReferenceData!$M$726),"")</x:f>
        <x:v>0</x:v>
      </x:c>
      <x:c r="N726">
        <x:f ca="1">IFERROR(IF(0=LEN(ReferenceData!$N$726),"",ReferenceData!$N$726),"")</x:f>
        <x:v>0</x:v>
      </x:c>
      <x:c r="O726">
        <x:f ca="1">IFERROR(IF(0=LEN(ReferenceData!$O$726),"",ReferenceData!$O$726),"")</x:f>
        <x:v>0</x:v>
      </x:c>
      <x:c r="P726">
        <x:f ca="1">IFERROR(IF(0=LEN(ReferenceData!$P$726),"",ReferenceData!$P$726),"")</x:f>
        <x:v>0.10443</x:v>
      </x:c>
      <x:c r="Q726">
        <x:f ca="1">IFERROR(IF(0=LEN(ReferenceData!$Q$726),"",ReferenceData!$Q$726),"")</x:f>
        <x:v>0</x:v>
      </x:c>
      <x:c r="R726">
        <x:f ca="1">IFERROR(IF(0=LEN(ReferenceData!$R$726),"",ReferenceData!$R$726),"")</x:f>
        <x:v>0</x:v>
      </x:c>
      <x:c r="S726">
        <x:f ca="1">IFERROR(IF(0=LEN(ReferenceData!$S$726),"",ReferenceData!$S$726),"")</x:f>
        <x:v>0</x:v>
      </x:c>
    </x:row>
    <x:row r="727" spans="1:19" x14ac:dyDescent="0.25">
      <x:c r="A727" t="str">
        <x:f>IFERROR(IF(0=LEN(ReferenceData!$A$727),"",ReferenceData!$A$727),"")</x:f>
        <x:v xml:space="preserve">        Natural Resources</x:v>
      </x:c>
      <x:c r="B727" t="str">
        <x:f>IFERROR(IF(0=LEN(ReferenceData!$B$727),"",ReferenceData!$B$727),"")</x:f>
        <x:v/>
      </x:c>
      <x:c r="C727" t="str">
        <x:f>IFERROR(IF(0=LEN(ReferenceData!$C$727),"",ReferenceData!$C$727),"")</x:f>
        <x:v/>
      </x:c>
      <x:c r="D727" t="str">
        <x:f>IFERROR(IF(0=LEN(ReferenceData!$D$727),"",ReferenceData!$D$727),"")</x:f>
        <x:v/>
      </x:c>
      <x:c r="E727" t="str">
        <x:f>IFERROR(IF(0=LEN(ReferenceData!$E$727),"",ReferenceData!$E$727),"")</x:f>
        <x:v>Sum</x:v>
      </x:c>
      <x:c r="F727">
        <x:f ca="1">IFERROR(IF(0=LEN(ReferenceData!$F$727),"",ReferenceData!$F$727),"")</x:f>
        <x:v>-12.178929999999996</x:v>
      </x:c>
      <x:c r="G727">
        <x:f ca="1">IFERROR(IF(0=LEN(ReferenceData!$G$727),"",ReferenceData!$G$727),"")</x:f>
        <x:v>90.303288000000009</x:v>
      </x:c>
      <x:c r="H727">
        <x:f ca="1">IFERROR(IF(0=LEN(ReferenceData!$H$727),"",ReferenceData!$H$727),"")</x:f>
        <x:v>178.63761199999996</x:v>
      </x:c>
      <x:c r="I727">
        <x:f ca="1">IFERROR(IF(0=LEN(ReferenceData!$I$727),"",ReferenceData!$I$727),"")</x:f>
        <x:v>34.312324999999994</x:v>
      </x:c>
      <x:c r="J727">
        <x:f ca="1">IFERROR(IF(0=LEN(ReferenceData!$J$727),"",ReferenceData!$J$727),"")</x:f>
        <x:v>43.128723999999998</x:v>
      </x:c>
      <x:c r="K727">
        <x:f ca="1">IFERROR(IF(0=LEN(ReferenceData!$K$727),"",ReferenceData!$K$727),"")</x:f>
        <x:v>-98.429243999999997</x:v>
      </x:c>
      <x:c r="L727">
        <x:f ca="1">IFERROR(IF(0=LEN(ReferenceData!$L$727),"",ReferenceData!$L$727),"")</x:f>
        <x:v>-364.48338099999989</x:v>
      </x:c>
      <x:c r="M727">
        <x:f ca="1">IFERROR(IF(0=LEN(ReferenceData!$M$727),"",ReferenceData!$M$727),"")</x:f>
        <x:v>28.562470999999988</x:v>
      </x:c>
      <x:c r="N727">
        <x:f ca="1">IFERROR(IF(0=LEN(ReferenceData!$N$727),"",ReferenceData!$N$727),"")</x:f>
        <x:v>26.837192000000002</x:v>
      </x:c>
      <x:c r="O727">
        <x:f ca="1">IFERROR(IF(0=LEN(ReferenceData!$O$727),"",ReferenceData!$O$727),"")</x:f>
        <x:v>35.133683000000005</x:v>
      </x:c>
      <x:c r="P727">
        <x:f ca="1">IFERROR(IF(0=LEN(ReferenceData!$P$727),"",ReferenceData!$P$727),"")</x:f>
        <x:v>183.94078900000002</x:v>
      </x:c>
      <x:c r="Q727">
        <x:f ca="1">IFERROR(IF(0=LEN(ReferenceData!$Q$727),"",ReferenceData!$Q$727),"")</x:f>
        <x:v>380.04897200000005</x:v>
      </x:c>
      <x:c r="R727">
        <x:f ca="1">IFERROR(IF(0=LEN(ReferenceData!$R$727),"",ReferenceData!$R$727),"")</x:f>
        <x:v>46.780006999999998</x:v>
      </x:c>
      <x:c r="S727">
        <x:f ca="1">IFERROR(IF(0=LEN(ReferenceData!$S$727),"",ReferenceData!$S$727),"")</x:f>
        <x:v>-218.71059599999998</x:v>
      </x:c>
    </x:row>
    <x:row r="728" spans="1:19" x14ac:dyDescent="0.25">
      <x:c r="A728" t="str">
        <x:f>IFERROR(IF(0=LEN(ReferenceData!$A$728),"",ReferenceData!$A$728),"")</x:f>
        <x:v xml:space="preserve">            FlexShares Morningstar Global</x:v>
      </x:c>
      <x:c r="B728" t="str">
        <x:f>IFERROR(IF(0=LEN(ReferenceData!$B$728),"",ReferenceData!$B$728),"")</x:f>
        <x:v>GUNR US Equity</x:v>
      </x:c>
      <x:c r="C728" t="str">
        <x:f>IFERROR(IF(0=LEN(ReferenceData!$C$728),"",ReferenceData!$C$728),"")</x:f>
        <x:v/>
      </x:c>
      <x:c r="D728" t="str">
        <x:f>IFERROR(IF(0=LEN(ReferenceData!$D$728),"",ReferenceData!$D$728),"")</x:f>
        <x:v/>
      </x:c>
      <x:c r="E728" t="str">
        <x:f>IFERROR(IF(0=LEN(ReferenceData!$E$728),"",ReferenceData!$E$728),"")</x:f>
        <x:v>Expression</x:v>
      </x:c>
      <x:c r="F728">
        <x:f ca="1">IFERROR(IF(0=LEN(ReferenceData!$F$728),"",ReferenceData!$F$728),"")</x:f>
        <x:v>-8.0293200000000002</x:v>
      </x:c>
      <x:c r="G728">
        <x:f ca="1">IFERROR(IF(0=LEN(ReferenceData!$G$728),"",ReferenceData!$G$728),"")</x:f>
        <x:v>0</x:v>
      </x:c>
      <x:c r="H728">
        <x:f ca="1">IFERROR(IF(0=LEN(ReferenceData!$H$728),"",ReferenceData!$H$728),"")</x:f>
        <x:v>28.470800000000001</x:v>
      </x:c>
      <x:c r="I728">
        <x:f ca="1">IFERROR(IF(0=LEN(ReferenceData!$I$728),"",ReferenceData!$I$728),"")</x:f>
        <x:v>0</x:v>
      </x:c>
      <x:c r="J728">
        <x:f ca="1">IFERROR(IF(0=LEN(ReferenceData!$J$728),"",ReferenceData!$J$728),"")</x:f>
        <x:v>27.018055</x:v>
      </x:c>
      <x:c r="K728">
        <x:f ca="1">IFERROR(IF(0=LEN(ReferenceData!$K$728),"",ReferenceData!$K$728),"")</x:f>
        <x:v>48.471164999999999</x:v>
      </x:c>
      <x:c r="L728">
        <x:f ca="1">IFERROR(IF(0=LEN(ReferenceData!$L$728),"",ReferenceData!$L$728),"")</x:f>
        <x:v>25.008240000000001</x:v>
      </x:c>
      <x:c r="M728">
        <x:f ca="1">IFERROR(IF(0=LEN(ReferenceData!$M$728),"",ReferenceData!$M$728),"")</x:f>
        <x:v>71.857309999999998</x:v>
      </x:c>
      <x:c r="N728">
        <x:f ca="1">IFERROR(IF(0=LEN(ReferenceData!$N$728),"",ReferenceData!$N$728),"")</x:f>
        <x:v>36.975810000000003</x:v>
      </x:c>
      <x:c r="O728">
        <x:f ca="1">IFERROR(IF(0=LEN(ReferenceData!$O$728),"",ReferenceData!$O$728),"")</x:f>
        <x:v>70.242315000000005</x:v>
      </x:c>
      <x:c r="P728">
        <x:f ca="1">IFERROR(IF(0=LEN(ReferenceData!$P$728),"",ReferenceData!$P$728),"")</x:f>
        <x:v>83.692070000000001</x:v>
      </x:c>
      <x:c r="Q728">
        <x:f ca="1">IFERROR(IF(0=LEN(ReferenceData!$Q$728),"",ReferenceData!$Q$728),"")</x:f>
        <x:v>218.14618999999999</x:v>
      </x:c>
      <x:c r="R728">
        <x:f ca="1">IFERROR(IF(0=LEN(ReferenceData!$R$728),"",ReferenceData!$R$728),"")</x:f>
        <x:v>8.7438800000000008</x:v>
      </x:c>
      <x:c r="S728">
        <x:f ca="1">IFERROR(IF(0=LEN(ReferenceData!$S$728),"",ReferenceData!$S$728),"")</x:f>
        <x:v>-143.722015</x:v>
      </x:c>
    </x:row>
    <x:row r="729" spans="1:19" x14ac:dyDescent="0.25">
      <x:c r="A729" t="str">
        <x:f>IFERROR(IF(0=LEN(ReferenceData!$A$729),"",ReferenceData!$A$729),"")</x:f>
        <x:v xml:space="preserve">            VanEck Natural Resources ETF</x:v>
      </x:c>
      <x:c r="B729" t="str">
        <x:f>IFERROR(IF(0=LEN(ReferenceData!$B$729),"",ReferenceData!$B$729),"")</x:f>
        <x:v>HAP US Equity</x:v>
      </x:c>
      <x:c r="C729" t="str">
        <x:f>IFERROR(IF(0=LEN(ReferenceData!$C$729),"",ReferenceData!$C$729),"")</x:f>
        <x:v/>
      </x:c>
      <x:c r="D729" t="str">
        <x:f>IFERROR(IF(0=LEN(ReferenceData!$D$729),"",ReferenceData!$D$729),"")</x:f>
        <x:v/>
      </x:c>
      <x:c r="E729" t="str">
        <x:f>IFERROR(IF(0=LEN(ReferenceData!$E$729),"",ReferenceData!$E$729),"")</x:f>
        <x:v>Expression</x:v>
      </x:c>
      <x:c r="F729">
        <x:f ca="1">IFERROR(IF(0=LEN(ReferenceData!$F$729),"",ReferenceData!$F$729),"")</x:f>
        <x:v>-4.8561360000000002</x:v>
      </x:c>
      <x:c r="G729">
        <x:f ca="1">IFERROR(IF(0=LEN(ReferenceData!$G$729),"",ReferenceData!$G$729),"")</x:f>
        <x:v>7.3745130000000003</x:v>
      </x:c>
      <x:c r="H729">
        <x:f ca="1">IFERROR(IF(0=LEN(ReferenceData!$H$729),"",ReferenceData!$H$729),"")</x:f>
        <x:v>0</x:v>
      </x:c>
      <x:c r="I729">
        <x:f ca="1">IFERROR(IF(0=LEN(ReferenceData!$I$729),"",ReferenceData!$I$729),"")</x:f>
        <x:v>4.7416010000000002</x:v>
      </x:c>
      <x:c r="J729">
        <x:f ca="1">IFERROR(IF(0=LEN(ReferenceData!$J$729),"",ReferenceData!$J$729),"")</x:f>
        <x:v>-7.3298810000000003</x:v>
      </x:c>
      <x:c r="K729">
        <x:f ca="1">IFERROR(IF(0=LEN(ReferenceData!$K$729),"",ReferenceData!$K$729),"")</x:f>
        <x:v>-7.2284040000000003</x:v>
      </x:c>
      <x:c r="L729">
        <x:f ca="1">IFERROR(IF(0=LEN(ReferenceData!$L$729),"",ReferenceData!$L$729),"")</x:f>
        <x:v>11.541342999999999</x:v>
      </x:c>
      <x:c r="M729">
        <x:f ca="1">IFERROR(IF(0=LEN(ReferenceData!$M$729),"",ReferenceData!$M$729),"")</x:f>
        <x:v>0</x:v>
      </x:c>
      <x:c r="N729">
        <x:f ca="1">IFERROR(IF(0=LEN(ReferenceData!$N$729),"",ReferenceData!$N$729),"")</x:f>
        <x:v>-2.535031</x:v>
      </x:c>
      <x:c r="O729">
        <x:f ca="1">IFERROR(IF(0=LEN(ReferenceData!$O$729),"",ReferenceData!$O$729),"")</x:f>
        <x:v>-7.54739</x:v>
      </x:c>
      <x:c r="P729">
        <x:f ca="1">IFERROR(IF(0=LEN(ReferenceData!$P$729),"",ReferenceData!$P$729),"")</x:f>
        <x:v>0</x:v>
      </x:c>
      <x:c r="Q729">
        <x:f ca="1">IFERROR(IF(0=LEN(ReferenceData!$Q$729),"",ReferenceData!$Q$729),"")</x:f>
        <x:v>7.6922860000000002</x:v>
      </x:c>
      <x:c r="R729">
        <x:f ca="1">IFERROR(IF(0=LEN(ReferenceData!$R$729),"",ReferenceData!$R$729),"")</x:f>
        <x:v>2.603958</x:v>
      </x:c>
      <x:c r="S729">
        <x:f ca="1">IFERROR(IF(0=LEN(ReferenceData!$S$729),"",ReferenceData!$S$729),"")</x:f>
        <x:v>0</x:v>
      </x:c>
    </x:row>
    <x:row r="730" spans="1:19" x14ac:dyDescent="0.25">
      <x:c r="A730" t="str">
        <x:f>IFERROR(IF(0=LEN(ReferenceData!$A$730),"",ReferenceData!$A$730),"")</x:f>
        <x:v xml:space="preserve">            First Trust Indxx Global Natur</x:v>
      </x:c>
      <x:c r="B730" t="str">
        <x:f>IFERROR(IF(0=LEN(ReferenceData!$B$730),"",ReferenceData!$B$730),"")</x:f>
        <x:v>FTRI US Equity</x:v>
      </x:c>
      <x:c r="C730" t="str">
        <x:f>IFERROR(IF(0=LEN(ReferenceData!$C$730),"",ReferenceData!$C$730),"")</x:f>
        <x:v/>
      </x:c>
      <x:c r="D730" t="str">
        <x:f>IFERROR(IF(0=LEN(ReferenceData!$D$730),"",ReferenceData!$D$730),"")</x:f>
        <x:v/>
      </x:c>
      <x:c r="E730" t="str">
        <x:f>IFERROR(IF(0=LEN(ReferenceData!$E$730),"",ReferenceData!$E$730),"")</x:f>
        <x:v>Expression</x:v>
      </x:c>
      <x:c r="F730">
        <x:f ca="1">IFERROR(IF(0=LEN(ReferenceData!$F$730),"",ReferenceData!$F$730),"")</x:f>
        <x:v>-5.6130100000000001</x:v>
      </x:c>
      <x:c r="G730">
        <x:f ca="1">IFERROR(IF(0=LEN(ReferenceData!$G$730),"",ReferenceData!$G$730),"")</x:f>
        <x:v>-5.6602480000000002</x:v>
      </x:c>
      <x:c r="H730">
        <x:f ca="1">IFERROR(IF(0=LEN(ReferenceData!$H$730),"",ReferenceData!$H$730),"")</x:f>
        <x:v>-3.913141</x:v>
      </x:c>
      <x:c r="I730">
        <x:f ca="1">IFERROR(IF(0=LEN(ReferenceData!$I$730),"",ReferenceData!$I$730),"")</x:f>
        <x:v>0.64937199999999995</x:v>
      </x:c>
      <x:c r="J730">
        <x:f ca="1">IFERROR(IF(0=LEN(ReferenceData!$J$730),"",ReferenceData!$J$730),"")</x:f>
        <x:v>-0.61599999999999999</x:v>
      </x:c>
      <x:c r="K730">
        <x:f ca="1">IFERROR(IF(0=LEN(ReferenceData!$K$730),"",ReferenceData!$K$730),"")</x:f>
        <x:v>-18.049499999999998</x:v>
      </x:c>
      <x:c r="L730">
        <x:f ca="1">IFERROR(IF(0=LEN(ReferenceData!$L$730),"",ReferenceData!$L$730),"")</x:f>
        <x:v>-21.224499999999999</x:v>
      </x:c>
      <x:c r="M730">
        <x:f ca="1">IFERROR(IF(0=LEN(ReferenceData!$M$730),"",ReferenceData!$M$730),"")</x:f>
        <x:v>-4.0830000000000002</x:v>
      </x:c>
      <x:c r="N730">
        <x:f ca="1">IFERROR(IF(0=LEN(ReferenceData!$N$730),"",ReferenceData!$N$730),"")</x:f>
        <x:v>-9.6910000000000007</x:v>
      </x:c>
      <x:c r="O730">
        <x:f ca="1">IFERROR(IF(0=LEN(ReferenceData!$O$730),"",ReferenceData!$O$730),"")</x:f>
        <x:v>9.8859999999999992</x:v>
      </x:c>
      <x:c r="P730">
        <x:f ca="1">IFERROR(IF(0=LEN(ReferenceData!$P$730),"",ReferenceData!$P$730),"")</x:f>
        <x:v>38.052235000000003</x:v>
      </x:c>
      <x:c r="Q730">
        <x:f ca="1">IFERROR(IF(0=LEN(ReferenceData!$Q$730),"",ReferenceData!$Q$730),"")</x:f>
        <x:v>16.677828000000002</x:v>
      </x:c>
      <x:c r="R730">
        <x:f ca="1">IFERROR(IF(0=LEN(ReferenceData!$R$730),"",ReferenceData!$R$730),"")</x:f>
        <x:v>17.136517000000001</x:v>
      </x:c>
      <x:c r="S730">
        <x:f ca="1">IFERROR(IF(0=LEN(ReferenceData!$S$730),"",ReferenceData!$S$730),"")</x:f>
        <x:v>7.7798619999999996</x:v>
      </x:c>
    </x:row>
    <x:row r="731" spans="1:19" x14ac:dyDescent="0.25">
      <x:c r="A731" t="str">
        <x:f>IFERROR(IF(0=LEN(ReferenceData!$A$731),"",ReferenceData!$A$731),"")</x:f>
        <x:v xml:space="preserve">            iShares North American Natural</x:v>
      </x:c>
      <x:c r="B731" t="str">
        <x:f>IFERROR(IF(0=LEN(ReferenceData!$B$731),"",ReferenceData!$B$731),"")</x:f>
        <x:v>IGE US Equity</x:v>
      </x:c>
      <x:c r="C731" t="str">
        <x:f>IFERROR(IF(0=LEN(ReferenceData!$C$731),"",ReferenceData!$C$731),"")</x:f>
        <x:v/>
      </x:c>
      <x:c r="D731" t="str">
        <x:f>IFERROR(IF(0=LEN(ReferenceData!$D$731),"",ReferenceData!$D$731),"")</x:f>
        <x:v/>
      </x:c>
      <x:c r="E731" t="str">
        <x:f>IFERROR(IF(0=LEN(ReferenceData!$E$731),"",ReferenceData!$E$731),"")</x:f>
        <x:v>Expression</x:v>
      </x:c>
      <x:c r="F731">
        <x:f ca="1">IFERROR(IF(0=LEN(ReferenceData!$F$731),"",ReferenceData!$F$731),"")</x:f>
        <x:v>4.0529229999999998</x:v>
      </x:c>
      <x:c r="G731">
        <x:f ca="1">IFERROR(IF(0=LEN(ReferenceData!$G$731),"",ReferenceData!$G$731),"")</x:f>
        <x:v>-3.706159</x:v>
      </x:c>
      <x:c r="H731">
        <x:f ca="1">IFERROR(IF(0=LEN(ReferenceData!$H$731),"",ReferenceData!$H$731),"")</x:f>
        <x:v>14.94731</x:v>
      </x:c>
      <x:c r="I731">
        <x:f ca="1">IFERROR(IF(0=LEN(ReferenceData!$I$731),"",ReferenceData!$I$731),"")</x:f>
        <x:v>-6.1371950000000002</x:v>
      </x:c>
      <x:c r="J731">
        <x:f ca="1">IFERROR(IF(0=LEN(ReferenceData!$J$731),"",ReferenceData!$J$731),"")</x:f>
        <x:v>-33.930700000000002</x:v>
      </x:c>
      <x:c r="K731">
        <x:f ca="1">IFERROR(IF(0=LEN(ReferenceData!$K$731),"",ReferenceData!$K$731),"")</x:f>
        <x:v>-130.71995000000001</x:v>
      </x:c>
      <x:c r="L731">
        <x:f ca="1">IFERROR(IF(0=LEN(ReferenceData!$L$731),"",ReferenceData!$L$731),"")</x:f>
        <x:v>-49.518155</x:v>
      </x:c>
      <x:c r="M731">
        <x:f ca="1">IFERROR(IF(0=LEN(ReferenceData!$M$731),"",ReferenceData!$M$731),"")</x:f>
        <x:v>-26.216750000000001</x:v>
      </x:c>
      <x:c r="N731">
        <x:f ca="1">IFERROR(IF(0=LEN(ReferenceData!$N$731),"",ReferenceData!$N$731),"")</x:f>
        <x:v>-15.716469999999999</x:v>
      </x:c>
      <x:c r="O731">
        <x:f ca="1">IFERROR(IF(0=LEN(ReferenceData!$O$731),"",ReferenceData!$O$731),"")</x:f>
        <x:v>-28.737964999999999</x:v>
      </x:c>
      <x:c r="P731">
        <x:f ca="1">IFERROR(IF(0=LEN(ReferenceData!$P$731),"",ReferenceData!$P$731),"")</x:f>
        <x:v>-27.241025</x:v>
      </x:c>
      <x:c r="Q731">
        <x:f ca="1">IFERROR(IF(0=LEN(ReferenceData!$Q$731),"",ReferenceData!$Q$731),"")</x:f>
        <x:v>9.9114999999999995E-2</x:v>
      </x:c>
      <x:c r="R731">
        <x:f ca="1">IFERROR(IF(0=LEN(ReferenceData!$R$731),"",ReferenceData!$R$731),"")</x:f>
        <x:v>37.722270000000002</x:v>
      </x:c>
      <x:c r="S731">
        <x:f ca="1">IFERROR(IF(0=LEN(ReferenceData!$S$731),"",ReferenceData!$S$731),"")</x:f>
        <x:v>-26.508510000000001</x:v>
      </x:c>
    </x:row>
    <x:row r="732" spans="1:19" x14ac:dyDescent="0.25">
      <x:c r="A732" t="str">
        <x:f>IFERROR(IF(0=LEN(ReferenceData!$A$732),"",ReferenceData!$A$732),"")</x:f>
        <x:v xml:space="preserve">            SPDR S&amp;P Global Natural Resour</x:v>
      </x:c>
      <x:c r="B732" t="str">
        <x:f>IFERROR(IF(0=LEN(ReferenceData!$B$732),"",ReferenceData!$B$732),"")</x:f>
        <x:v>GNR US Equity</x:v>
      </x:c>
      <x:c r="C732" t="str">
        <x:f>IFERROR(IF(0=LEN(ReferenceData!$C$732),"",ReferenceData!$C$732),"")</x:f>
        <x:v/>
      </x:c>
      <x:c r="D732" t="str">
        <x:f>IFERROR(IF(0=LEN(ReferenceData!$D$732),"",ReferenceData!$D$732),"")</x:f>
        <x:v/>
      </x:c>
      <x:c r="E732" t="str">
        <x:f>IFERROR(IF(0=LEN(ReferenceData!$E$732),"",ReferenceData!$E$732),"")</x:f>
        <x:v>Expression</x:v>
      </x:c>
      <x:c r="F732">
        <x:f ca="1">IFERROR(IF(0=LEN(ReferenceData!$F$732),"",ReferenceData!$F$732),"")</x:f>
        <x:v>44.607328000000003</x:v>
      </x:c>
      <x:c r="G732">
        <x:f ca="1">IFERROR(IF(0=LEN(ReferenceData!$G$732),"",ReferenceData!$G$732),"")</x:f>
        <x:v>163.224808</x:v>
      </x:c>
      <x:c r="H732">
        <x:f ca="1">IFERROR(IF(0=LEN(ReferenceData!$H$732),"",ReferenceData!$H$732),"")</x:f>
        <x:v>144.08596900000001</x:v>
      </x:c>
      <x:c r="I732">
        <x:f ca="1">IFERROR(IF(0=LEN(ReferenceData!$I$732),"",ReferenceData!$I$732),"")</x:f>
        <x:v>27.455407999999998</x:v>
      </x:c>
      <x:c r="J732">
        <x:f ca="1">IFERROR(IF(0=LEN(ReferenceData!$J$732),"",ReferenceData!$J$732),"")</x:f>
        <x:v>57.950789</x:v>
      </x:c>
      <x:c r="K732">
        <x:f ca="1">IFERROR(IF(0=LEN(ReferenceData!$K$732),"",ReferenceData!$K$732),"")</x:f>
        <x:v>0</x:v>
      </x:c>
      <x:c r="L732">
        <x:f ca="1">IFERROR(IF(0=LEN(ReferenceData!$L$732),"",ReferenceData!$L$732),"")</x:f>
        <x:v>-280.08968599999997</x:v>
      </x:c>
      <x:c r="M732">
        <x:f ca="1">IFERROR(IF(0=LEN(ReferenceData!$M$732),"",ReferenceData!$M$732),"")</x:f>
        <x:v>-7.6224030000000003</x:v>
      </x:c>
      <x:c r="N732">
        <x:f ca="1">IFERROR(IF(0=LEN(ReferenceData!$N$732),"",ReferenceData!$N$732),"")</x:f>
        <x:v>12.303691000000001</x:v>
      </x:c>
      <x:c r="O732">
        <x:f ca="1">IFERROR(IF(0=LEN(ReferenceData!$O$732),"",ReferenceData!$O$732),"")</x:f>
        <x:v>46.084147000000002</x:v>
      </x:c>
      <x:c r="P732">
        <x:f ca="1">IFERROR(IF(0=LEN(ReferenceData!$P$732),"",ReferenceData!$P$732),"")</x:f>
        <x:v>136.66505100000001</x:v>
      </x:c>
      <x:c r="Q732">
        <x:f ca="1">IFERROR(IF(0=LEN(ReferenceData!$Q$732),"",ReferenceData!$Q$732),"")</x:f>
        <x:v>128.31513200000001</x:v>
      </x:c>
      <x:c r="R732">
        <x:f ca="1">IFERROR(IF(0=LEN(ReferenceData!$R$732),"",ReferenceData!$R$732),"")</x:f>
        <x:v>-4.0152890000000001</x:v>
      </x:c>
      <x:c r="S732">
        <x:f ca="1">IFERROR(IF(0=LEN(ReferenceData!$S$732),"",ReferenceData!$S$732),"")</x:f>
        <x:v>-21.018757999999998</x:v>
      </x:c>
    </x:row>
    <x:row r="733" spans="1:19" x14ac:dyDescent="0.25">
      <x:c r="A733" t="str">
        <x:f>IFERROR(IF(0=LEN(ReferenceData!$A$733),"",ReferenceData!$A$733),"")</x:f>
        <x:v xml:space="preserve">            USCF SummerHaven SHPEN Index F</x:v>
      </x:c>
      <x:c r="B733" t="str">
        <x:f>IFERROR(IF(0=LEN(ReferenceData!$B$733),"",ReferenceData!$B$733),"")</x:f>
        <x:v>BUYN US Equity</x:v>
      </x:c>
      <x:c r="C733" t="str">
        <x:f>IFERROR(IF(0=LEN(ReferenceData!$C$733),"",ReferenceData!$C$733),"")</x:f>
        <x:v/>
      </x:c>
      <x:c r="D733" t="str">
        <x:f>IFERROR(IF(0=LEN(ReferenceData!$D$733),"",ReferenceData!$D$733),"")</x:f>
        <x:v/>
      </x:c>
      <x:c r="E733" t="str">
        <x:f>IFERROR(IF(0=LEN(ReferenceData!$E$733),"",ReferenceData!$E$733),"")</x:f>
        <x:v>Expression</x:v>
      </x:c>
      <x:c r="F733" t="str">
        <x:f ca="1">IFERROR(IF(0=LEN(ReferenceData!$F$733),"",ReferenceData!$F$733),"")</x:f>
        <x:v/>
      </x:c>
      <x:c r="G733" t="str">
        <x:f ca="1">IFERROR(IF(0=LEN(ReferenceData!$G$733),"",ReferenceData!$G$733),"")</x:f>
        <x:v/>
      </x:c>
      <x:c r="H733" t="str">
        <x:f ca="1">IFERROR(IF(0=LEN(ReferenceData!$H$733),"",ReferenceData!$H$733),"")</x:f>
        <x:v/>
      </x:c>
      <x:c r="I733" t="str">
        <x:f ca="1">IFERROR(IF(0=LEN(ReferenceData!$I$733),"",ReferenceData!$I$733),"")</x:f>
        <x:v/>
      </x:c>
      <x:c r="J733" t="str">
        <x:f ca="1">IFERROR(IF(0=LEN(ReferenceData!$J$733),"",ReferenceData!$J$733),"")</x:f>
        <x:v/>
      </x:c>
      <x:c r="K733" t="str">
        <x:f ca="1">IFERROR(IF(0=LEN(ReferenceData!$K$733),"",ReferenceData!$K$733),"")</x:f>
        <x:v/>
      </x:c>
      <x:c r="L733" t="str">
        <x:f ca="1">IFERROR(IF(0=LEN(ReferenceData!$L$733),"",ReferenceData!$L$733),"")</x:f>
        <x:v/>
      </x:c>
      <x:c r="M733" t="str">
        <x:f ca="1">IFERROR(IF(0=LEN(ReferenceData!$M$733),"",ReferenceData!$M$733),"")</x:f>
        <x:v/>
      </x:c>
      <x:c r="N733" t="str">
        <x:f ca="1">IFERROR(IF(0=LEN(ReferenceData!$N$733),"",ReferenceData!$N$733),"")</x:f>
        <x:v/>
      </x:c>
      <x:c r="O733" t="str">
        <x:f ca="1">IFERROR(IF(0=LEN(ReferenceData!$O$733),"",ReferenceData!$O$733),"")</x:f>
        <x:v/>
      </x:c>
      <x:c r="P733" t="str">
        <x:f ca="1">IFERROR(IF(0=LEN(ReferenceData!$P$733),"",ReferenceData!$P$733),"")</x:f>
        <x:v/>
      </x:c>
      <x:c r="Q733" t="str">
        <x:f ca="1">IFERROR(IF(0=LEN(ReferenceData!$Q$733),"",ReferenceData!$Q$733),"")</x:f>
        <x:v/>
      </x:c>
      <x:c r="R733" t="str">
        <x:f ca="1">IFERROR(IF(0=LEN(ReferenceData!$R$733),"",ReferenceData!$R$733),"")</x:f>
        <x:v/>
      </x:c>
      <x:c r="S733" t="str">
        <x:f ca="1">IFERROR(IF(0=LEN(ReferenceData!$S$733),"",ReferenceData!$S$733),"")</x:f>
        <x:v/>
      </x:c>
    </x:row>
    <x:row r="734" spans="1:19" x14ac:dyDescent="0.25">
      <x:c r="A734" t="str">
        <x:f>IFERROR(IF(0=LEN(ReferenceData!$A$734),"",ReferenceData!$A$734),"")</x:f>
        <x:v xml:space="preserve">            Invesco Global Water ETF</x:v>
      </x:c>
      <x:c r="B734" t="str">
        <x:f>IFERROR(IF(0=LEN(ReferenceData!$B$734),"",ReferenceData!$B$734),"")</x:f>
        <x:v>PIO US Equity</x:v>
      </x:c>
      <x:c r="C734" t="str">
        <x:f>IFERROR(IF(0=LEN(ReferenceData!$C$734),"",ReferenceData!$C$734),"")</x:f>
        <x:v/>
      </x:c>
      <x:c r="D734" t="str">
        <x:f>IFERROR(IF(0=LEN(ReferenceData!$D$734),"",ReferenceData!$D$734),"")</x:f>
        <x:v/>
      </x:c>
      <x:c r="E734" t="str">
        <x:f>IFERROR(IF(0=LEN(ReferenceData!$E$734),"",ReferenceData!$E$734),"")</x:f>
        <x:v>Expression</x:v>
      </x:c>
      <x:c r="F734">
        <x:f ca="1">IFERROR(IF(0=LEN(ReferenceData!$F$734),"",ReferenceData!$F$734),"")</x:f>
        <x:v>-5.1789870000000002</x:v>
      </x:c>
      <x:c r="G734">
        <x:f ca="1">IFERROR(IF(0=LEN(ReferenceData!$G$734),"",ReferenceData!$G$734),"")</x:f>
        <x:v>0</x:v>
      </x:c>
      <x:c r="H734">
        <x:f ca="1">IFERROR(IF(0=LEN(ReferenceData!$H$734),"",ReferenceData!$H$734),"")</x:f>
        <x:v>-3.4926940000000002</x:v>
      </x:c>
      <x:c r="I734">
        <x:f ca="1">IFERROR(IF(0=LEN(ReferenceData!$I$734),"",ReferenceData!$I$734),"")</x:f>
        <x:v>0</x:v>
      </x:c>
      <x:c r="J734">
        <x:f ca="1">IFERROR(IF(0=LEN(ReferenceData!$J$734),"",ReferenceData!$J$734),"")</x:f>
        <x:v>-12.576824999999999</x:v>
      </x:c>
      <x:c r="K734">
        <x:f ca="1">IFERROR(IF(0=LEN(ReferenceData!$K$734),"",ReferenceData!$K$734),"")</x:f>
        <x:v>-1.797434</x:v>
      </x:c>
      <x:c r="L734">
        <x:f ca="1">IFERROR(IF(0=LEN(ReferenceData!$L$734),"",ReferenceData!$L$734),"")</x:f>
        <x:v>-5.2767030000000004</x:v>
      </x:c>
      <x:c r="M734">
        <x:f ca="1">IFERROR(IF(0=LEN(ReferenceData!$M$734),"",ReferenceData!$M$734),"")</x:f>
        <x:v>0</x:v>
      </x:c>
      <x:c r="N734">
        <x:f ca="1">IFERROR(IF(0=LEN(ReferenceData!$N$734),"",ReferenceData!$N$734),"")</x:f>
        <x:v>-1.671959</x:v>
      </x:c>
      <x:c r="O734">
        <x:f ca="1">IFERROR(IF(0=LEN(ReferenceData!$O$734),"",ReferenceData!$O$734),"")</x:f>
        <x:v>0</x:v>
      </x:c>
      <x:c r="P734">
        <x:f ca="1">IFERROR(IF(0=LEN(ReferenceData!$P$734),"",ReferenceData!$P$734),"")</x:f>
        <x:v>-1.768095</x:v>
      </x:c>
      <x:c r="Q734">
        <x:f ca="1">IFERROR(IF(0=LEN(ReferenceData!$Q$734),"",ReferenceData!$Q$734),"")</x:f>
        <x:v>-4.9939730000000004</x:v>
      </x:c>
      <x:c r="R734">
        <x:f ca="1">IFERROR(IF(0=LEN(ReferenceData!$R$734),"",ReferenceData!$R$734),"")</x:f>
        <x:v>-3.3710119999999999</x:v>
      </x:c>
      <x:c r="S734">
        <x:f ca="1">IFERROR(IF(0=LEN(ReferenceData!$S$734),"",ReferenceData!$S$734),"")</x:f>
        <x:v>2.872655</x:v>
      </x:c>
    </x:row>
    <x:row r="735" spans="1:19" x14ac:dyDescent="0.25">
      <x:c r="A735" t="str">
        <x:f>IFERROR(IF(0=LEN(ReferenceData!$A$735),"",ReferenceData!$A$735),"")</x:f>
        <x:v xml:space="preserve">            Invesco Water Resources ETF</x:v>
      </x:c>
      <x:c r="B735" t="str">
        <x:f>IFERROR(IF(0=LEN(ReferenceData!$B$735),"",ReferenceData!$B$735),"")</x:f>
        <x:v>PHO US Equity</x:v>
      </x:c>
      <x:c r="C735" t="str">
        <x:f>IFERROR(IF(0=LEN(ReferenceData!$C$735),"",ReferenceData!$C$735),"")</x:f>
        <x:v/>
      </x:c>
      <x:c r="D735" t="str">
        <x:f>IFERROR(IF(0=LEN(ReferenceData!$D$735),"",ReferenceData!$D$735),"")</x:f>
        <x:v/>
      </x:c>
      <x:c r="E735" t="str">
        <x:f>IFERROR(IF(0=LEN(ReferenceData!$E$735),"",ReferenceData!$E$735),"")</x:f>
        <x:v>Expression</x:v>
      </x:c>
      <x:c r="F735">
        <x:f ca="1">IFERROR(IF(0=LEN(ReferenceData!$F$735),"",ReferenceData!$F$735),"")</x:f>
        <x:v>-8.3732530000000001</x:v>
      </x:c>
      <x:c r="G735">
        <x:f ca="1">IFERROR(IF(0=LEN(ReferenceData!$G$735),"",ReferenceData!$G$735),"")</x:f>
        <x:v>-17.543240000000001</x:v>
      </x:c>
      <x:c r="H735">
        <x:f ca="1">IFERROR(IF(0=LEN(ReferenceData!$H$735),"",ReferenceData!$H$735),"")</x:f>
        <x:v>-9.1498830000000009</x:v>
      </x:c>
      <x:c r="I735">
        <x:f ca="1">IFERROR(IF(0=LEN(ReferenceData!$I$735),"",ReferenceData!$I$735),"")</x:f>
        <x:v>3.4536009999999999</x:v>
      </x:c>
      <x:c r="J735">
        <x:f ca="1">IFERROR(IF(0=LEN(ReferenceData!$J$735),"",ReferenceData!$J$735),"")</x:f>
        <x:v>10.935025</x:v>
      </x:c>
      <x:c r="K735">
        <x:f ca="1">IFERROR(IF(0=LEN(ReferenceData!$K$735),"",ReferenceData!$K$735),"")</x:f>
        <x:v>4.7820489999999998</x:v>
      </x:c>
      <x:c r="L735">
        <x:f ca="1">IFERROR(IF(0=LEN(ReferenceData!$L$735),"",ReferenceData!$L$735),"")</x:f>
        <x:v>-10.404627</x:v>
      </x:c>
      <x:c r="M735">
        <x:f ca="1">IFERROR(IF(0=LEN(ReferenceData!$M$735),"",ReferenceData!$M$735),"")</x:f>
        <x:v>-11.463768</x:v>
      </x:c>
      <x:c r="N735">
        <x:f ca="1">IFERROR(IF(0=LEN(ReferenceData!$N$735),"",ReferenceData!$N$735),"")</x:f>
        <x:v>-7.11015</x:v>
      </x:c>
      <x:c r="O735">
        <x:f ca="1">IFERROR(IF(0=LEN(ReferenceData!$O$735),"",ReferenceData!$O$735),"")</x:f>
        <x:v>24.571899999999999</x:v>
      </x:c>
      <x:c r="P735">
        <x:f ca="1">IFERROR(IF(0=LEN(ReferenceData!$P$735),"",ReferenceData!$P$735),"")</x:f>
        <x:v>-6.3480780000000001</x:v>
      </x:c>
      <x:c r="Q735">
        <x:f ca="1">IFERROR(IF(0=LEN(ReferenceData!$Q$735),"",ReferenceData!$Q$735),"")</x:f>
        <x:v>1.8655060000000001</x:v>
      </x:c>
      <x:c r="R735">
        <x:f ca="1">IFERROR(IF(0=LEN(ReferenceData!$R$735),"",ReferenceData!$R$735),"")</x:f>
        <x:v>-8.9345510000000008</x:v>
      </x:c>
      <x:c r="S735">
        <x:f ca="1">IFERROR(IF(0=LEN(ReferenceData!$S$735),"",ReferenceData!$S$735),"")</x:f>
        <x:v>-0.52579699999999996</x:v>
      </x:c>
    </x:row>
    <x:row r="736" spans="1:19" x14ac:dyDescent="0.25">
      <x:c r="A736" t="str">
        <x:f>IFERROR(IF(0=LEN(ReferenceData!$A$736),"",ReferenceData!$A$736),"")</x:f>
        <x:v xml:space="preserve">            Invesco S&amp;P Global Water Index</x:v>
      </x:c>
      <x:c r="B736" t="str">
        <x:f>IFERROR(IF(0=LEN(ReferenceData!$B$736),"",ReferenceData!$B$736),"")</x:f>
        <x:v>CGW US Equity</x:v>
      </x:c>
      <x:c r="C736" t="str">
        <x:f>IFERROR(IF(0=LEN(ReferenceData!$C$736),"",ReferenceData!$C$736),"")</x:f>
        <x:v/>
      </x:c>
      <x:c r="D736" t="str">
        <x:f>IFERROR(IF(0=LEN(ReferenceData!$D$736),"",ReferenceData!$D$736),"")</x:f>
        <x:v/>
      </x:c>
      <x:c r="E736" t="str">
        <x:f>IFERROR(IF(0=LEN(ReferenceData!$E$736),"",ReferenceData!$E$736),"")</x:f>
        <x:v>Expression</x:v>
      </x:c>
      <x:c r="F736">
        <x:f ca="1">IFERROR(IF(0=LEN(ReferenceData!$F$736),"",ReferenceData!$F$736),"")</x:f>
        <x:v>-11.737114</x:v>
      </x:c>
      <x:c r="G736">
        <x:f ca="1">IFERROR(IF(0=LEN(ReferenceData!$G$736),"",ReferenceData!$G$736),"")</x:f>
        <x:v>-18.412780999999999</x:v>
      </x:c>
      <x:c r="H736">
        <x:f ca="1">IFERROR(IF(0=LEN(ReferenceData!$H$736),"",ReferenceData!$H$736),"")</x:f>
        <x:v>-3.8050329999999999</x:v>
      </x:c>
      <x:c r="I736">
        <x:f ca="1">IFERROR(IF(0=LEN(ReferenceData!$I$736),"",ReferenceData!$I$736),"")</x:f>
        <x:v>-8.0946859999999994</x:v>
      </x:c>
      <x:c r="J736">
        <x:f ca="1">IFERROR(IF(0=LEN(ReferenceData!$J$736),"",ReferenceData!$J$736),"")</x:f>
        <x:v>-8.6660810000000001</x:v>
      </x:c>
      <x:c r="K736">
        <x:f ca="1">IFERROR(IF(0=LEN(ReferenceData!$K$736),"",ReferenceData!$K$736),"")</x:f>
        <x:v>-4.0673899999999996</x:v>
      </x:c>
      <x:c r="L736">
        <x:f ca="1">IFERROR(IF(0=LEN(ReferenceData!$L$736),"",ReferenceData!$L$736),"")</x:f>
        <x:v>-11.807153</x:v>
      </x:c>
      <x:c r="M736">
        <x:f ca="1">IFERROR(IF(0=LEN(ReferenceData!$M$736),"",ReferenceData!$M$736),"")</x:f>
        <x:v>-0.49200199999999999</x:v>
      </x:c>
      <x:c r="N736">
        <x:f ca="1">IFERROR(IF(0=LEN(ReferenceData!$N$736),"",ReferenceData!$N$736),"")</x:f>
        <x:v>-3.8462990000000001</x:v>
      </x:c>
      <x:c r="O736">
        <x:f ca="1">IFERROR(IF(0=LEN(ReferenceData!$O$736),"",ReferenceData!$O$736),"")</x:f>
        <x:v>-36.519781999999999</x:v>
      </x:c>
      <x:c r="P736">
        <x:f ca="1">IFERROR(IF(0=LEN(ReferenceData!$P$736),"",ReferenceData!$P$736),"")</x:f>
        <x:v>3.9867919999999999</x:v>
      </x:c>
      <x:c r="Q736">
        <x:f ca="1">IFERROR(IF(0=LEN(ReferenceData!$Q$736),"",ReferenceData!$Q$736),"")</x:f>
        <x:v>0</x:v>
      </x:c>
      <x:c r="R736">
        <x:f ca="1">IFERROR(IF(0=LEN(ReferenceData!$R$736),"",ReferenceData!$R$736),"")</x:f>
        <x:v>-3.9195000000000002</x:v>
      </x:c>
      <x:c r="S736">
        <x:f ca="1">IFERROR(IF(0=LEN(ReferenceData!$S$736),"",ReferenceData!$S$736),"")</x:f>
        <x:v>0</x:v>
      </x:c>
    </x:row>
    <x:row r="737" spans="1:19" x14ac:dyDescent="0.25">
      <x:c r="A737" t="str">
        <x:f>IFERROR(IF(0=LEN(ReferenceData!$A$737),"",ReferenceData!$A$737),"")</x:f>
        <x:v xml:space="preserve">            Ecofin Global Water ESG Fund</x:v>
      </x:c>
      <x:c r="B737" t="str">
        <x:f>IFERROR(IF(0=LEN(ReferenceData!$B$737),"",ReferenceData!$B$737),"")</x:f>
        <x:v>EBLU US Equity</x:v>
      </x:c>
      <x:c r="C737" t="str">
        <x:f>IFERROR(IF(0=LEN(ReferenceData!$C$737),"",ReferenceData!$C$737),"")</x:f>
        <x:v/>
      </x:c>
      <x:c r="D737" t="str">
        <x:f>IFERROR(IF(0=LEN(ReferenceData!$D$737),"",ReferenceData!$D$737),"")</x:f>
        <x:v/>
      </x:c>
      <x:c r="E737" t="str">
        <x:f>IFERROR(IF(0=LEN(ReferenceData!$E$737),"",ReferenceData!$E$737),"")</x:f>
        <x:v>Expression</x:v>
      </x:c>
      <x:c r="F737">
        <x:f ca="1">IFERROR(IF(0=LEN(ReferenceData!$F$737),"",ReferenceData!$F$737),"")</x:f>
        <x:v>0</x:v>
      </x:c>
      <x:c r="G737">
        <x:f ca="1">IFERROR(IF(0=LEN(ReferenceData!$G$737),"",ReferenceData!$G$737),"")</x:f>
        <x:v>0</x:v>
      </x:c>
      <x:c r="H737">
        <x:f ca="1">IFERROR(IF(0=LEN(ReferenceData!$H$737),"",ReferenceData!$H$737),"")</x:f>
        <x:v>-1.9808349999999999</x:v>
      </x:c>
      <x:c r="I737">
        <x:f ca="1">IFERROR(IF(0=LEN(ReferenceData!$I$737),"",ReferenceData!$I$737),"")</x:f>
        <x:v>0</x:v>
      </x:c>
      <x:c r="J737">
        <x:f ca="1">IFERROR(IF(0=LEN(ReferenceData!$J$737),"",ReferenceData!$J$737),"")</x:f>
        <x:v>0</x:v>
      </x:c>
      <x:c r="K737">
        <x:f ca="1">IFERROR(IF(0=LEN(ReferenceData!$K$737),"",ReferenceData!$K$737),"")</x:f>
        <x:v>0</x:v>
      </x:c>
      <x:c r="L737">
        <x:f ca="1">IFERROR(IF(0=LEN(ReferenceData!$L$737),"",ReferenceData!$L$737),"")</x:f>
        <x:v>0</x:v>
      </x:c>
      <x:c r="M737">
        <x:f ca="1">IFERROR(IF(0=LEN(ReferenceData!$M$737),"",ReferenceData!$M$737),"")</x:f>
        <x:v>-1.9825649999999999</x:v>
      </x:c>
      <x:c r="N737">
        <x:f ca="1">IFERROR(IF(0=LEN(ReferenceData!$N$737),"",ReferenceData!$N$737),"")</x:f>
        <x:v>-1.89622</x:v>
      </x:c>
      <x:c r="O737">
        <x:f ca="1">IFERROR(IF(0=LEN(ReferenceData!$O$737),"",ReferenceData!$O$737),"")</x:f>
        <x:v>0</x:v>
      </x:c>
      <x:c r="P737">
        <x:f ca="1">IFERROR(IF(0=LEN(ReferenceData!$P$737),"",ReferenceData!$P$737),"")</x:f>
        <x:v>-9.7608999999999995</x:v>
      </x:c>
      <x:c r="Q737">
        <x:f ca="1">IFERROR(IF(0=LEN(ReferenceData!$Q$737),"",ReferenceData!$Q$737),"")</x:f>
        <x:v>-1.864045</x:v>
      </x:c>
      <x:c r="R737">
        <x:f ca="1">IFERROR(IF(0=LEN(ReferenceData!$R$737),"",ReferenceData!$R$737),"")</x:f>
        <x:v>-1.7499150000000001</x:v>
      </x:c>
      <x:c r="S737">
        <x:f ca="1">IFERROR(IF(0=LEN(ReferenceData!$S$737),"",ReferenceData!$S$737),"")</x:f>
        <x:v>0</x:v>
      </x:c>
    </x:row>
    <x:row r="738" spans="1:19" x14ac:dyDescent="0.25">
      <x:c r="A738" t="str">
        <x:f>IFERROR(IF(0=LEN(ReferenceData!$A$738),"",ReferenceData!$A$738),"")</x:f>
        <x:v xml:space="preserve">            First Trust Water ETF</x:v>
      </x:c>
      <x:c r="B738" t="str">
        <x:f>IFERROR(IF(0=LEN(ReferenceData!$B$738),"",ReferenceData!$B$738),"")</x:f>
        <x:v>FIW US Equity</x:v>
      </x:c>
      <x:c r="C738" t="str">
        <x:f>IFERROR(IF(0=LEN(ReferenceData!$C$738),"",ReferenceData!$C$738),"")</x:f>
        <x:v/>
      </x:c>
      <x:c r="D738" t="str">
        <x:f>IFERROR(IF(0=LEN(ReferenceData!$D$738),"",ReferenceData!$D$738),"")</x:f>
        <x:v/>
      </x:c>
      <x:c r="E738" t="str">
        <x:f>IFERROR(IF(0=LEN(ReferenceData!$E$738),"",ReferenceData!$E$738),"")</x:f>
        <x:v>Expression</x:v>
      </x:c>
      <x:c r="F738">
        <x:f ca="1">IFERROR(IF(0=LEN(ReferenceData!$F$738),"",ReferenceData!$F$738),"")</x:f>
        <x:v>-3.9383490000000001</x:v>
      </x:c>
      <x:c r="G738">
        <x:f ca="1">IFERROR(IF(0=LEN(ReferenceData!$G$738),"",ReferenceData!$G$738),"")</x:f>
        <x:v>-8.1658589999999993</x:v>
      </x:c>
      <x:c r="H738">
        <x:f ca="1">IFERROR(IF(0=LEN(ReferenceData!$H$738),"",ReferenceData!$H$738),"")</x:f>
        <x:v>5.0781859999999996</x:v>
      </x:c>
      <x:c r="I738">
        <x:f ca="1">IFERROR(IF(0=LEN(ReferenceData!$I$738),"",ReferenceData!$I$738),"")</x:f>
        <x:v>8.9849999999999994</x:v>
      </x:c>
      <x:c r="J738">
        <x:f ca="1">IFERROR(IF(0=LEN(ReferenceData!$J$738),"",ReferenceData!$J$738),"")</x:f>
        <x:v>9.0545000000000009</x:v>
      </x:c>
      <x:c r="K738">
        <x:f ca="1">IFERROR(IF(0=LEN(ReferenceData!$K$738),"",ReferenceData!$K$738),"")</x:f>
        <x:v>8.8544999999999998</x:v>
      </x:c>
      <x:c r="L738">
        <x:f ca="1">IFERROR(IF(0=LEN(ReferenceData!$L$738),"",ReferenceData!$L$738),"")</x:f>
        <x:v>16.728999999999999</x:v>
      </x:c>
      <x:c r="M738">
        <x:f ca="1">IFERROR(IF(0=LEN(ReferenceData!$M$738),"",ReferenceData!$M$738),"")</x:f>
        <x:v>12.180999999999999</x:v>
      </x:c>
      <x:c r="N738">
        <x:f ca="1">IFERROR(IF(0=LEN(ReferenceData!$N$738),"",ReferenceData!$N$738),"")</x:f>
        <x:v>-2.8969999999999998</x:v>
      </x:c>
      <x:c r="O738">
        <x:f ca="1">IFERROR(IF(0=LEN(ReferenceData!$O$738),"",ReferenceData!$O$738),"")</x:f>
        <x:v>4.2575000000000003</x:v>
      </x:c>
      <x:c r="P738">
        <x:f ca="1">IFERROR(IF(0=LEN(ReferenceData!$P$738),"",ReferenceData!$P$738),"")</x:f>
        <x:v>-20.616499999999998</x:v>
      </x:c>
      <x:c r="Q738">
        <x:f ca="1">IFERROR(IF(0=LEN(ReferenceData!$Q$738),"",ReferenceData!$Q$738),"")</x:f>
        <x:v>0</x:v>
      </x:c>
      <x:c r="R738">
        <x:f ca="1">IFERROR(IF(0=LEN(ReferenceData!$R$738),"",ReferenceData!$R$738),"")</x:f>
        <x:v>-11.647243</x:v>
      </x:c>
      <x:c r="S738">
        <x:f ca="1">IFERROR(IF(0=LEN(ReferenceData!$S$738),"",ReferenceData!$S$738),"")</x:f>
        <x:v>-3.6780349999999999</x:v>
      </x:c>
    </x:row>
    <x:row r="739" spans="1:19" x14ac:dyDescent="0.25">
      <x:c r="A739" t="str">
        <x:f>IFERROR(IF(0=LEN(ReferenceData!$A$739),"",ReferenceData!$A$739),"")</x:f>
        <x:v xml:space="preserve">            Global X Clean Water ETF</x:v>
      </x:c>
      <x:c r="B739" t="str">
        <x:f>IFERROR(IF(0=LEN(ReferenceData!$B$739),"",ReferenceData!$B$739),"")</x:f>
        <x:v>AQWA US Equity</x:v>
      </x:c>
      <x:c r="C739" t="str">
        <x:f>IFERROR(IF(0=LEN(ReferenceData!$C$739),"",ReferenceData!$C$739),"")</x:f>
        <x:v/>
      </x:c>
      <x:c r="D739" t="str">
        <x:f>IFERROR(IF(0=LEN(ReferenceData!$D$739),"",ReferenceData!$D$739),"")</x:f>
        <x:v/>
      </x:c>
      <x:c r="E739" t="str">
        <x:f>IFERROR(IF(0=LEN(ReferenceData!$E$739),"",ReferenceData!$E$739),"")</x:f>
        <x:v>Expression</x:v>
      </x:c>
      <x:c r="F739">
        <x:f ca="1">IFERROR(IF(0=LEN(ReferenceData!$F$739),"",ReferenceData!$F$739),"")</x:f>
        <x:v>0</x:v>
      </x:c>
      <x:c r="G739">
        <x:f ca="1">IFERROR(IF(0=LEN(ReferenceData!$G$739),"",ReferenceData!$G$739),"")</x:f>
        <x:v>0</x:v>
      </x:c>
      <x:c r="H739">
        <x:f ca="1">IFERROR(IF(0=LEN(ReferenceData!$H$739),"",ReferenceData!$H$739),"")</x:f>
        <x:v>0</x:v>
      </x:c>
      <x:c r="I739">
        <x:f ca="1">IFERROR(IF(0=LEN(ReferenceData!$I$739),"",ReferenceData!$I$739),"")</x:f>
        <x:v>0.61199999999999999</x:v>
      </x:c>
      <x:c r="J739">
        <x:f ca="1">IFERROR(IF(0=LEN(ReferenceData!$J$739),"",ReferenceData!$J$739),"")</x:f>
        <x:v>0.312</x:v>
      </x:c>
      <x:c r="K739">
        <x:f ca="1">IFERROR(IF(0=LEN(ReferenceData!$K$739),"",ReferenceData!$K$739),"")</x:f>
        <x:v>-0.45929999999999999</x:v>
      </x:c>
      <x:c r="L739">
        <x:f ca="1">IFERROR(IF(0=LEN(ReferenceData!$L$739),"",ReferenceData!$L$739),"")</x:f>
        <x:v>0</x:v>
      </x:c>
      <x:c r="M739">
        <x:f ca="1">IFERROR(IF(0=LEN(ReferenceData!$M$739),"",ReferenceData!$M$739),"")</x:f>
        <x:v>0</x:v>
      </x:c>
      <x:c r="N739">
        <x:f ca="1">IFERROR(IF(0=LEN(ReferenceData!$N$739),"",ReferenceData!$N$739),"")</x:f>
        <x:v>0</x:v>
      </x:c>
      <x:c r="O739">
        <x:f ca="1">IFERROR(IF(0=LEN(ReferenceData!$O$739),"",ReferenceData!$O$739),"")</x:f>
        <x:v>0</x:v>
      </x:c>
      <x:c r="P739">
        <x:f ca="1">IFERROR(IF(0=LEN(ReferenceData!$P$739),"",ReferenceData!$P$739),"")</x:f>
        <x:v>0</x:v>
      </x:c>
      <x:c r="Q739">
        <x:f ca="1">IFERROR(IF(0=LEN(ReferenceData!$Q$739),"",ReferenceData!$Q$739),"")</x:f>
        <x:v>0.71199999999999997</x:v>
      </x:c>
      <x:c r="R739">
        <x:f ca="1">IFERROR(IF(0=LEN(ReferenceData!$R$739),"",ReferenceData!$R$739),"")</x:f>
        <x:v>0</x:v>
      </x:c>
      <x:c r="S739">
        <x:f ca="1">IFERROR(IF(0=LEN(ReferenceData!$S$739),"",ReferenceData!$S$739),"")</x:f>
        <x:v>0</x:v>
      </x:c>
    </x:row>
    <x:row r="740" spans="1:19" x14ac:dyDescent="0.25">
      <x:c r="A740" t="str">
        <x:f>IFERROR(IF(0=LEN(ReferenceData!$A$740),"",ReferenceData!$A$740),"")</x:f>
        <x:v xml:space="preserve">            iShares MSCI Water Management</x:v>
      </x:c>
      <x:c r="B740" t="str">
        <x:f>IFERROR(IF(0=LEN(ReferenceData!$B$740),"",ReferenceData!$B$740),"")</x:f>
        <x:v>IWTR US Equity</x:v>
      </x:c>
      <x:c r="C740" t="str">
        <x:f>IFERROR(IF(0=LEN(ReferenceData!$C$740),"",ReferenceData!$C$740),"")</x:f>
        <x:v/>
      </x:c>
      <x:c r="D740" t="str">
        <x:f>IFERROR(IF(0=LEN(ReferenceData!$D$740),"",ReferenceData!$D$740),"")</x:f>
        <x:v/>
      </x:c>
      <x:c r="E740" t="str">
        <x:f>IFERROR(IF(0=LEN(ReferenceData!$E$740),"",ReferenceData!$E$740),"")</x:f>
        <x:v>Expression</x:v>
      </x:c>
      <x:c r="F740">
        <x:f ca="1">IFERROR(IF(0=LEN(ReferenceData!$F$740),"",ReferenceData!$F$740),"")</x:f>
        <x:v>0</x:v>
      </x:c>
      <x:c r="G740">
        <x:f ca="1">IFERROR(IF(0=LEN(ReferenceData!$G$740),"",ReferenceData!$G$740),"")</x:f>
        <x:v>0</x:v>
      </x:c>
      <x:c r="H740">
        <x:f ca="1">IFERROR(IF(0=LEN(ReferenceData!$H$740),"",ReferenceData!$H$740),"")</x:f>
        <x:v>0</x:v>
      </x:c>
      <x:c r="I740">
        <x:f ca="1">IFERROR(IF(0=LEN(ReferenceData!$I$740),"",ReferenceData!$I$740),"")</x:f>
        <x:v>0</x:v>
      </x:c>
      <x:c r="J740">
        <x:f ca="1">IFERROR(IF(0=LEN(ReferenceData!$J$740),"",ReferenceData!$J$740),"")</x:f>
        <x:v>0</x:v>
      </x:c>
      <x:c r="K740">
        <x:f ca="1">IFERROR(IF(0=LEN(ReferenceData!$K$740),"",ReferenceData!$K$740),"")</x:f>
        <x:v>0</x:v>
      </x:c>
      <x:c r="L740">
        <x:f ca="1">IFERROR(IF(0=LEN(ReferenceData!$L$740),"",ReferenceData!$L$740),"")</x:f>
        <x:v>0</x:v>
      </x:c>
      <x:c r="M740">
        <x:f ca="1">IFERROR(IF(0=LEN(ReferenceData!$M$740),"",ReferenceData!$M$740),"")</x:f>
        <x:v>0</x:v>
      </x:c>
      <x:c r="N740">
        <x:f ca="1">IFERROR(IF(0=LEN(ReferenceData!$N$740),"",ReferenceData!$N$740),"")</x:f>
        <x:v>0</x:v>
      </x:c>
      <x:c r="O740">
        <x:f ca="1">IFERROR(IF(0=LEN(ReferenceData!$O$740),"",ReferenceData!$O$740),"")</x:f>
        <x:v>0</x:v>
      </x:c>
      <x:c r="P740">
        <x:f ca="1">IFERROR(IF(0=LEN(ReferenceData!$P$740),"",ReferenceData!$P$740),"")</x:f>
        <x:v>0</x:v>
      </x:c>
      <x:c r="Q740">
        <x:f ca="1">IFERROR(IF(0=LEN(ReferenceData!$Q$740),"",ReferenceData!$Q$740),"")</x:f>
        <x:v>0</x:v>
      </x:c>
      <x:c r="R740">
        <x:f ca="1">IFERROR(IF(0=LEN(ReferenceData!$R$740),"",ReferenceData!$R$740),"")</x:f>
        <x:v>0</x:v>
      </x:c>
      <x:c r="S740">
        <x:f ca="1">IFERROR(IF(0=LEN(ReferenceData!$S$740),"",ReferenceData!$S$740),"")</x:f>
        <x:v>0</x:v>
      </x:c>
    </x:row>
    <x:row r="741" spans="1:19" x14ac:dyDescent="0.25">
      <x:c r="A741" t="str">
        <x:f>IFERROR(IF(0=LEN(ReferenceData!$A$741),"",ReferenceData!$A$741),"")</x:f>
        <x:v xml:space="preserve">            Sprott Energy Transition Mater</x:v>
      </x:c>
      <x:c r="B741" t="str">
        <x:f>IFERROR(IF(0=LEN(ReferenceData!$B$741),"",ReferenceData!$B$741),"")</x:f>
        <x:v>SETM US Equity</x:v>
      </x:c>
      <x:c r="C741" t="str">
        <x:f>IFERROR(IF(0=LEN(ReferenceData!$C$741),"",ReferenceData!$C$741),"")</x:f>
        <x:v/>
      </x:c>
      <x:c r="D741" t="str">
        <x:f>IFERROR(IF(0=LEN(ReferenceData!$D$741),"",ReferenceData!$D$741),"")</x:f>
        <x:v/>
      </x:c>
      <x:c r="E741" t="str">
        <x:f>IFERROR(IF(0=LEN(ReferenceData!$E$741),"",ReferenceData!$E$741),"")</x:f>
        <x:v>Expression</x:v>
      </x:c>
      <x:c r="F741">
        <x:f ca="1">IFERROR(IF(0=LEN(ReferenceData!$F$741),"",ReferenceData!$F$741),"")</x:f>
        <x:v>1.333515</x:v>
      </x:c>
      <x:c r="G741">
        <x:f ca="1">IFERROR(IF(0=LEN(ReferenceData!$G$741),"",ReferenceData!$G$741),"")</x:f>
        <x:v>0</x:v>
      </x:c>
      <x:c r="H741">
        <x:f ca="1">IFERROR(IF(0=LEN(ReferenceData!$H$741),"",ReferenceData!$H$741),"")</x:f>
        <x:v>1.272537</x:v>
      </x:c>
      <x:c r="I741">
        <x:f ca="1">IFERROR(IF(0=LEN(ReferenceData!$I$741),"",ReferenceData!$I$741),"")</x:f>
        <x:v>1.9459090000000001</x:v>
      </x:c>
      <x:c r="J741">
        <x:f ca="1">IFERROR(IF(0=LEN(ReferenceData!$J$741),"",ReferenceData!$J$741),"")</x:f>
        <x:v>0.87820799999999999</x:v>
      </x:c>
      <x:c r="K741">
        <x:f ca="1">IFERROR(IF(0=LEN(ReferenceData!$K$741),"",ReferenceData!$K$741),"")</x:f>
        <x:v>1.801804</x:v>
      </x:c>
      <x:c r="L741">
        <x:f ca="1">IFERROR(IF(0=LEN(ReferenceData!$L$741),"",ReferenceData!$L$741),"")</x:f>
        <x:v>-1.3373440000000001</x:v>
      </x:c>
      <x:c r="M741">
        <x:f ca="1">IFERROR(IF(0=LEN(ReferenceData!$M$741),"",ReferenceData!$M$741),"")</x:f>
        <x:v>0</x:v>
      </x:c>
      <x:c r="N741">
        <x:f ca="1">IFERROR(IF(0=LEN(ReferenceData!$N$741),"",ReferenceData!$N$741),"")</x:f>
        <x:v>3.1959749999999998</x:v>
      </x:c>
      <x:c r="O741">
        <x:f ca="1">IFERROR(IF(0=LEN(ReferenceData!$O$741),"",ReferenceData!$O$741),"")</x:f>
        <x:v>2.1341139999999998</x:v>
      </x:c>
      <x:c r="P741" t="str">
        <x:f ca="1">IFERROR(IF(0=LEN(ReferenceData!$P$741),"",ReferenceData!$P$741),"")</x:f>
        <x:v/>
      </x:c>
      <x:c r="Q741" t="str">
        <x:f ca="1">IFERROR(IF(0=LEN(ReferenceData!$Q$741),"",ReferenceData!$Q$741),"")</x:f>
        <x:v/>
      </x:c>
      <x:c r="R741" t="str">
        <x:f ca="1">IFERROR(IF(0=LEN(ReferenceData!$R$741),"",ReferenceData!$R$741),"")</x:f>
        <x:v/>
      </x:c>
      <x:c r="S741" t="str">
        <x:f ca="1">IFERROR(IF(0=LEN(ReferenceData!$S$741),"",ReferenceData!$S$741),"")</x:f>
        <x:v/>
      </x:c>
    </x:row>
    <x:row r="742" spans="1:19" x14ac:dyDescent="0.25">
      <x:c r="A742" t="str">
        <x:f>IFERROR(IF(0=LEN(ReferenceData!$A$742),"",ReferenceData!$A$742),"")</x:f>
        <x:v xml:space="preserve">            Optica Rare Earth &amp; Critical M</x:v>
      </x:c>
      <x:c r="B742" t="str">
        <x:f>IFERROR(IF(0=LEN(ReferenceData!$B$742),"",ReferenceData!$B$742),"")</x:f>
        <x:v>CRIT US Equity</x:v>
      </x:c>
      <x:c r="C742" t="str">
        <x:f>IFERROR(IF(0=LEN(ReferenceData!$C$742),"",ReferenceData!$C$742),"")</x:f>
        <x:v/>
      </x:c>
      <x:c r="D742" t="str">
        <x:f>IFERROR(IF(0=LEN(ReferenceData!$D$742),"",ReferenceData!$D$742),"")</x:f>
        <x:v/>
      </x:c>
      <x:c r="E742" t="str">
        <x:f>IFERROR(IF(0=LEN(ReferenceData!$E$742),"",ReferenceData!$E$742),"")</x:f>
        <x:v>Expression</x:v>
      </x:c>
      <x:c r="F742">
        <x:f ca="1">IFERROR(IF(0=LEN(ReferenceData!$F$742),"",ReferenceData!$F$742),"")</x:f>
        <x:v>0</x:v>
      </x:c>
      <x:c r="G742">
        <x:f ca="1">IFERROR(IF(0=LEN(ReferenceData!$G$742),"",ReferenceData!$G$742),"")</x:f>
        <x:v>0</x:v>
      </x:c>
      <x:c r="H742">
        <x:f ca="1">IFERROR(IF(0=LEN(ReferenceData!$H$742),"",ReferenceData!$H$742),"")</x:f>
        <x:v>0</x:v>
      </x:c>
      <x:c r="I742">
        <x:f ca="1">IFERROR(IF(0=LEN(ReferenceData!$I$742),"",ReferenceData!$I$742),"")</x:f>
        <x:v>0</x:v>
      </x:c>
      <x:c r="J742">
        <x:f ca="1">IFERROR(IF(0=LEN(ReferenceData!$J$742),"",ReferenceData!$J$742),"")</x:f>
        <x:v>0</x:v>
      </x:c>
      <x:c r="K742">
        <x:f ca="1">IFERROR(IF(0=LEN(ReferenceData!$K$742),"",ReferenceData!$K$742),"")</x:f>
        <x:v>0</x:v>
      </x:c>
      <x:c r="L742">
        <x:f ca="1">IFERROR(IF(0=LEN(ReferenceData!$L$742),"",ReferenceData!$L$742),"")</x:f>
        <x:v>0</x:v>
      </x:c>
      <x:c r="M742">
        <x:f ca="1">IFERROR(IF(0=LEN(ReferenceData!$M$742),"",ReferenceData!$M$742),"")</x:f>
        <x:v>0.3886</x:v>
      </x:c>
      <x:c r="N742">
        <x:f ca="1">IFERROR(IF(0=LEN(ReferenceData!$N$742),"",ReferenceData!$N$742),"")</x:f>
        <x:v>-0.2087</x:v>
      </x:c>
      <x:c r="O742">
        <x:f ca="1">IFERROR(IF(0=LEN(ReferenceData!$O$742),"",ReferenceData!$O$742),"")</x:f>
        <x:v>0.40920000000000001</x:v>
      </x:c>
      <x:c r="P742">
        <x:f ca="1">IFERROR(IF(0=LEN(ReferenceData!$P$742),"",ReferenceData!$P$742),"")</x:f>
        <x:v>-0.47799999999999998</x:v>
      </x:c>
      <x:c r="Q742">
        <x:f ca="1">IFERROR(IF(0=LEN(ReferenceData!$Q$742),"",ReferenceData!$Q$742),"")</x:f>
        <x:v>0</x:v>
      </x:c>
      <x:c r="R742">
        <x:f ca="1">IFERROR(IF(0=LEN(ReferenceData!$R$742),"",ReferenceData!$R$742),"")</x:f>
        <x:v>0</x:v>
      </x:c>
      <x:c r="S742">
        <x:f ca="1">IFERROR(IF(0=LEN(ReferenceData!$S$742),"",ReferenceData!$S$742),"")</x:f>
        <x:v>0</x:v>
      </x:c>
    </x:row>
    <x:row r="743" spans="1:19" x14ac:dyDescent="0.25">
      <x:c r="A743" t="str">
        <x:f>IFERROR(IF(0=LEN(ReferenceData!$A$743),"",ReferenceData!$A$743),"")</x:f>
        <x:v xml:space="preserve">            VanEck Rare Earth/Strategic Me</x:v>
      </x:c>
      <x:c r="B743" t="str">
        <x:f>IFERROR(IF(0=LEN(ReferenceData!$B$743),"",ReferenceData!$B$743),"")</x:f>
        <x:v>REMX US Equity</x:v>
      </x:c>
      <x:c r="C743" t="str">
        <x:f>IFERROR(IF(0=LEN(ReferenceData!$C$743),"",ReferenceData!$C$743),"")</x:f>
        <x:v/>
      </x:c>
      <x:c r="D743" t="str">
        <x:f>IFERROR(IF(0=LEN(ReferenceData!$D$743),"",ReferenceData!$D$743),"")</x:f>
        <x:v/>
      </x:c>
      <x:c r="E743" t="str">
        <x:f>IFERROR(IF(0=LEN(ReferenceData!$E$743),"",ReferenceData!$E$743),"")</x:f>
        <x:v>Expression</x:v>
      </x:c>
      <x:c r="F743">
        <x:f ca="1">IFERROR(IF(0=LEN(ReferenceData!$F$743),"",ReferenceData!$F$743),"")</x:f>
        <x:v>-14.446527</x:v>
      </x:c>
      <x:c r="G743">
        <x:f ca="1">IFERROR(IF(0=LEN(ReferenceData!$G$743),"",ReferenceData!$G$743),"")</x:f>
        <x:v>-26.807746000000002</x:v>
      </x:c>
      <x:c r="H743">
        <x:f ca="1">IFERROR(IF(0=LEN(ReferenceData!$H$743),"",ReferenceData!$H$743),"")</x:f>
        <x:v>7.124396</x:v>
      </x:c>
      <x:c r="I743">
        <x:f ca="1">IFERROR(IF(0=LEN(ReferenceData!$I$743),"",ReferenceData!$I$743),"")</x:f>
        <x:v>0.70131500000000002</x:v>
      </x:c>
      <x:c r="J743">
        <x:f ca="1">IFERROR(IF(0=LEN(ReferenceData!$J$743),"",ReferenceData!$J$743),"")</x:f>
        <x:v>9.9634E-2</x:v>
      </x:c>
      <x:c r="K743">
        <x:f ca="1">IFERROR(IF(0=LEN(ReferenceData!$K$743),"",ReferenceData!$K$743),"")</x:f>
        <x:v>-1.6784E-2</x:v>
      </x:c>
      <x:c r="L743">
        <x:f ca="1">IFERROR(IF(0=LEN(ReferenceData!$L$743),"",ReferenceData!$L$743),"")</x:f>
        <x:v>-38.103796000000003</x:v>
      </x:c>
      <x:c r="M743">
        <x:f ca="1">IFERROR(IF(0=LEN(ReferenceData!$M$743),"",ReferenceData!$M$743),"")</x:f>
        <x:v>-4.0039509999999998</x:v>
      </x:c>
      <x:c r="N743">
        <x:f ca="1">IFERROR(IF(0=LEN(ReferenceData!$N$743),"",ReferenceData!$N$743),"")</x:f>
        <x:v>19.934545</x:v>
      </x:c>
      <x:c r="O743">
        <x:f ca="1">IFERROR(IF(0=LEN(ReferenceData!$O$743),"",ReferenceData!$O$743),"")</x:f>
        <x:v>-49.646355999999997</x:v>
      </x:c>
      <x:c r="P743">
        <x:f ca="1">IFERROR(IF(0=LEN(ReferenceData!$P$743),"",ReferenceData!$P$743),"")</x:f>
        <x:v>-12.242761</x:v>
      </x:c>
      <x:c r="Q743">
        <x:f ca="1">IFERROR(IF(0=LEN(ReferenceData!$Q$743),"",ReferenceData!$Q$743),"")</x:f>
        <x:v>13.398933</x:v>
      </x:c>
      <x:c r="R743">
        <x:f ca="1">IFERROR(IF(0=LEN(ReferenceData!$R$743),"",ReferenceData!$R$743),"")</x:f>
        <x:v>14.210891999999999</x:v>
      </x:c>
      <x:c r="S743">
        <x:f ca="1">IFERROR(IF(0=LEN(ReferenceData!$S$743),"",ReferenceData!$S$743),"")</x:f>
        <x:v>-33.909998000000002</x:v>
      </x:c>
    </x:row>
    <x:row r="744" spans="1:19" x14ac:dyDescent="0.25">
      <x:c r="A744" t="str">
        <x:f>IFERROR(IF(0=LEN(ReferenceData!$A$744),"",ReferenceData!$A$744),"")</x:f>
        <x:v xml:space="preserve">        Infrastructure</x:v>
      </x:c>
      <x:c r="B744" t="str">
        <x:f>IFERROR(IF(0=LEN(ReferenceData!$B$744),"",ReferenceData!$B$744),"")</x:f>
        <x:v/>
      </x:c>
      <x:c r="C744" t="str">
        <x:f>IFERROR(IF(0=LEN(ReferenceData!$C$744),"",ReferenceData!$C$744),"")</x:f>
        <x:v/>
      </x:c>
      <x:c r="D744" t="str">
        <x:f>IFERROR(IF(0=LEN(ReferenceData!$D$744),"",ReferenceData!$D$744),"")</x:f>
        <x:v/>
      </x:c>
      <x:c r="E744" t="str">
        <x:f>IFERROR(IF(0=LEN(ReferenceData!$E$744),"",ReferenceData!$E$744),"")</x:f>
        <x:v>Sum</x:v>
      </x:c>
      <x:c r="F744">
        <x:f ca="1">IFERROR(IF(0=LEN(ReferenceData!$F$744),"",ReferenceData!$F$744),"")</x:f>
        <x:v>81.428031000000004</x:v>
      </x:c>
      <x:c r="G744">
        <x:f ca="1">IFERROR(IF(0=LEN(ReferenceData!$G$744),"",ReferenceData!$G$744),"")</x:f>
        <x:v>-41.738059000000007</x:v>
      </x:c>
      <x:c r="H744">
        <x:f ca="1">IFERROR(IF(0=LEN(ReferenceData!$H$744),"",ReferenceData!$H$744),"")</x:f>
        <x:v>-38.644263000000002</x:v>
      </x:c>
      <x:c r="I744">
        <x:f ca="1">IFERROR(IF(0=LEN(ReferenceData!$I$744),"",ReferenceData!$I$744),"")</x:f>
        <x:v>223.93315699999999</x:v>
      </x:c>
      <x:c r="J744">
        <x:f ca="1">IFERROR(IF(0=LEN(ReferenceData!$J$744),"",ReferenceData!$J$744),"")</x:f>
        <x:v>338.01260400000001</x:v>
      </x:c>
      <x:c r="K744">
        <x:f ca="1">IFERROR(IF(0=LEN(ReferenceData!$K$744),"",ReferenceData!$K$744),"")</x:f>
        <x:v>78.553227000000021</x:v>
      </x:c>
      <x:c r="L744">
        <x:f ca="1">IFERROR(IF(0=LEN(ReferenceData!$L$744),"",ReferenceData!$L$744),"")</x:f>
        <x:v>41.52518400000001</x:v>
      </x:c>
      <x:c r="M744">
        <x:f ca="1">IFERROR(IF(0=LEN(ReferenceData!$M$744),"",ReferenceData!$M$744),"")</x:f>
        <x:v>-16.847770000000004</x:v>
      </x:c>
      <x:c r="N744">
        <x:f ca="1">IFERROR(IF(0=LEN(ReferenceData!$N$744),"",ReferenceData!$N$744),"")</x:f>
        <x:v>187.38784999999996</x:v>
      </x:c>
      <x:c r="O744">
        <x:f ca="1">IFERROR(IF(0=LEN(ReferenceData!$O$744),"",ReferenceData!$O$744),"")</x:f>
        <x:v>-120.80783100000001</x:v>
      </x:c>
      <x:c r="P744">
        <x:f ca="1">IFERROR(IF(0=LEN(ReferenceData!$P$744),"",ReferenceData!$P$744),"")</x:f>
        <x:v>-405.55084399999998</x:v>
      </x:c>
      <x:c r="Q744">
        <x:f ca="1">IFERROR(IF(0=LEN(ReferenceData!$Q$744),"",ReferenceData!$Q$744),"")</x:f>
        <x:v>21.393010000000022</x:v>
      </x:c>
      <x:c r="R744">
        <x:f ca="1">IFERROR(IF(0=LEN(ReferenceData!$R$744),"",ReferenceData!$R$744),"")</x:f>
        <x:v>214.26468500000001</x:v>
      </x:c>
      <x:c r="S744">
        <x:f ca="1">IFERROR(IF(0=LEN(ReferenceData!$S$744),"",ReferenceData!$S$744),"")</x:f>
        <x:v>127.21500399999999</x:v>
      </x:c>
    </x:row>
    <x:row r="745" spans="1:19" x14ac:dyDescent="0.25">
      <x:c r="A745" t="str">
        <x:f>IFERROR(IF(0=LEN(ReferenceData!$A$745),"",ReferenceData!$A$745),"")</x:f>
        <x:v xml:space="preserve">            KraneShares MSCI One Belt One</x:v>
      </x:c>
      <x:c r="B745" t="str">
        <x:f>IFERROR(IF(0=LEN(ReferenceData!$B$745),"",ReferenceData!$B$745),"")</x:f>
        <x:v>OBOR US Equity</x:v>
      </x:c>
      <x:c r="C745" t="str">
        <x:f>IFERROR(IF(0=LEN(ReferenceData!$C$745),"",ReferenceData!$C$745),"")</x:f>
        <x:v/>
      </x:c>
      <x:c r="D745" t="str">
        <x:f>IFERROR(IF(0=LEN(ReferenceData!$D$745),"",ReferenceData!$D$745),"")</x:f>
        <x:v/>
      </x:c>
      <x:c r="E745" t="str">
        <x:f>IFERROR(IF(0=LEN(ReferenceData!$E$745),"",ReferenceData!$E$745),"")</x:f>
        <x:v>Expression</x:v>
      </x:c>
      <x:c r="F745">
        <x:f ca="1">IFERROR(IF(0=LEN(ReferenceData!$F$745),"",ReferenceData!$F$745),"")</x:f>
        <x:v>0</x:v>
      </x:c>
      <x:c r="G745">
        <x:f ca="1">IFERROR(IF(0=LEN(ReferenceData!$G$745),"",ReferenceData!$G$745),"")</x:f>
        <x:v>0</x:v>
      </x:c>
      <x:c r="H745">
        <x:f ca="1">IFERROR(IF(0=LEN(ReferenceData!$H$745),"",ReferenceData!$H$745),"")</x:f>
        <x:v>0</x:v>
      </x:c>
      <x:c r="I745">
        <x:f ca="1">IFERROR(IF(0=LEN(ReferenceData!$I$745),"",ReferenceData!$I$745),"")</x:f>
        <x:v>0</x:v>
      </x:c>
      <x:c r="J745">
        <x:f ca="1">IFERROR(IF(0=LEN(ReferenceData!$J$745),"",ReferenceData!$J$745),"")</x:f>
        <x:v>0</x:v>
      </x:c>
      <x:c r="K745">
        <x:f ca="1">IFERROR(IF(0=LEN(ReferenceData!$K$745),"",ReferenceData!$K$745),"")</x:f>
        <x:v>0</x:v>
      </x:c>
      <x:c r="L745">
        <x:f ca="1">IFERROR(IF(0=LEN(ReferenceData!$L$745),"",ReferenceData!$L$745),"")</x:f>
        <x:v>0</x:v>
      </x:c>
      <x:c r="M745">
        <x:f ca="1">IFERROR(IF(0=LEN(ReferenceData!$M$745),"",ReferenceData!$M$745),"")</x:f>
        <x:v>0</x:v>
      </x:c>
      <x:c r="N745">
        <x:f ca="1">IFERROR(IF(0=LEN(ReferenceData!$N$745),"",ReferenceData!$N$745),"")</x:f>
        <x:v>0</x:v>
      </x:c>
      <x:c r="O745">
        <x:f ca="1">IFERROR(IF(0=LEN(ReferenceData!$O$745),"",ReferenceData!$O$745),"")</x:f>
        <x:v>0</x:v>
      </x:c>
      <x:c r="P745">
        <x:f ca="1">IFERROR(IF(0=LEN(ReferenceData!$P$745),"",ReferenceData!$P$745),"")</x:f>
        <x:v>0</x:v>
      </x:c>
      <x:c r="Q745">
        <x:f ca="1">IFERROR(IF(0=LEN(ReferenceData!$Q$745),"",ReferenceData!$Q$745),"")</x:f>
        <x:v>0</x:v>
      </x:c>
      <x:c r="R745">
        <x:f ca="1">IFERROR(IF(0=LEN(ReferenceData!$R$745),"",ReferenceData!$R$745),"")</x:f>
        <x:v>0</x:v>
      </x:c>
      <x:c r="S745">
        <x:f ca="1">IFERROR(IF(0=LEN(ReferenceData!$S$745),"",ReferenceData!$S$745),"")</x:f>
        <x:v>0</x:v>
      </x:c>
    </x:row>
    <x:row r="746" spans="1:19" x14ac:dyDescent="0.25">
      <x:c r="A746" t="str">
        <x:f>IFERROR(IF(0=LEN(ReferenceData!$A$746),"",ReferenceData!$A$746),"")</x:f>
        <x:v xml:space="preserve">            SPDR S&amp;P Kensho Intelligent St</x:v>
      </x:c>
      <x:c r="B746" t="str">
        <x:f>IFERROR(IF(0=LEN(ReferenceData!$B$746),"",ReferenceData!$B$746),"")</x:f>
        <x:v>SIMS US Equity</x:v>
      </x:c>
      <x:c r="C746" t="str">
        <x:f>IFERROR(IF(0=LEN(ReferenceData!$C$746),"",ReferenceData!$C$746),"")</x:f>
        <x:v/>
      </x:c>
      <x:c r="D746" t="str">
        <x:f>IFERROR(IF(0=LEN(ReferenceData!$D$746),"",ReferenceData!$D$746),"")</x:f>
        <x:v/>
      </x:c>
      <x:c r="E746" t="str">
        <x:f>IFERROR(IF(0=LEN(ReferenceData!$E$746),"",ReferenceData!$E$746),"")</x:f>
        <x:v>Expression</x:v>
      </x:c>
      <x:c r="F746">
        <x:f ca="1">IFERROR(IF(0=LEN(ReferenceData!$F$746),"",ReferenceData!$F$746),"")</x:f>
        <x:v>0</x:v>
      </x:c>
      <x:c r="G746">
        <x:f ca="1">IFERROR(IF(0=LEN(ReferenceData!$G$746),"",ReferenceData!$G$746),"")</x:f>
        <x:v>-0.28559899999999999</x:v>
      </x:c>
      <x:c r="H746">
        <x:f ca="1">IFERROR(IF(0=LEN(ReferenceData!$H$746),"",ReferenceData!$H$746),"")</x:f>
        <x:v>0</x:v>
      </x:c>
      <x:c r="I746">
        <x:f ca="1">IFERROR(IF(0=LEN(ReferenceData!$I$746),"",ReferenceData!$I$746),"")</x:f>
        <x:v>0</x:v>
      </x:c>
      <x:c r="J746">
        <x:f ca="1">IFERROR(IF(0=LEN(ReferenceData!$J$746),"",ReferenceData!$J$746),"")</x:f>
        <x:v>0</x:v>
      </x:c>
      <x:c r="K746">
        <x:f ca="1">IFERROR(IF(0=LEN(ReferenceData!$K$746),"",ReferenceData!$K$746),"")</x:f>
        <x:v>-0.71248900000000004</x:v>
      </x:c>
      <x:c r="L746">
        <x:f ca="1">IFERROR(IF(0=LEN(ReferenceData!$L$746),"",ReferenceData!$L$746),"")</x:f>
        <x:v>-2.6707109999999998</x:v>
      </x:c>
      <x:c r="M746">
        <x:f ca="1">IFERROR(IF(0=LEN(ReferenceData!$M$746),"",ReferenceData!$M$746),"")</x:f>
        <x:v>0</x:v>
      </x:c>
      <x:c r="N746">
        <x:f ca="1">IFERROR(IF(0=LEN(ReferenceData!$N$746),"",ReferenceData!$N$746),"")</x:f>
        <x:v>0</x:v>
      </x:c>
      <x:c r="O746">
        <x:f ca="1">IFERROR(IF(0=LEN(ReferenceData!$O$746),"",ReferenceData!$O$746),"")</x:f>
        <x:v>0.37460599999999999</x:v>
      </x:c>
      <x:c r="P746">
        <x:f ca="1">IFERROR(IF(0=LEN(ReferenceData!$P$746),"",ReferenceData!$P$746),"")</x:f>
        <x:v>-0.35427199999999998</x:v>
      </x:c>
      <x:c r="Q746">
        <x:f ca="1">IFERROR(IF(0=LEN(ReferenceData!$Q$746),"",ReferenceData!$Q$746),"")</x:f>
        <x:v>-2.0167039999999998</x:v>
      </x:c>
      <x:c r="R746">
        <x:f ca="1">IFERROR(IF(0=LEN(ReferenceData!$R$746),"",ReferenceData!$R$746),"")</x:f>
        <x:v>-2.0979760000000001</x:v>
      </x:c>
      <x:c r="S746">
        <x:f ca="1">IFERROR(IF(0=LEN(ReferenceData!$S$746),"",ReferenceData!$S$746),"")</x:f>
        <x:v>-1.25478</x:v>
      </x:c>
    </x:row>
    <x:row r="747" spans="1:19" x14ac:dyDescent="0.25">
      <x:c r="A747" t="str">
        <x:f>IFERROR(IF(0=LEN(ReferenceData!$A$747),"",ReferenceData!$A$747),"")</x:f>
        <x:v xml:space="preserve">            iShares US Infrastructure ETF</x:v>
      </x:c>
      <x:c r="B747" t="str">
        <x:f>IFERROR(IF(0=LEN(ReferenceData!$B$747),"",ReferenceData!$B$747),"")</x:f>
        <x:v>IFRA US Equity</x:v>
      </x:c>
      <x:c r="C747" t="str">
        <x:f>IFERROR(IF(0=LEN(ReferenceData!$C$747),"",ReferenceData!$C$747),"")</x:f>
        <x:v/>
      </x:c>
      <x:c r="D747" t="str">
        <x:f>IFERROR(IF(0=LEN(ReferenceData!$D$747),"",ReferenceData!$D$747),"")</x:f>
        <x:v/>
      </x:c>
      <x:c r="E747" t="str">
        <x:f>IFERROR(IF(0=LEN(ReferenceData!$E$747),"",ReferenceData!$E$747),"")</x:f>
        <x:v>Expression</x:v>
      </x:c>
      <x:c r="F747">
        <x:f ca="1">IFERROR(IF(0=LEN(ReferenceData!$F$747),"",ReferenceData!$F$747),"")</x:f>
        <x:v>14.700488</x:v>
      </x:c>
      <x:c r="G747">
        <x:f ca="1">IFERROR(IF(0=LEN(ReferenceData!$G$747),"",ReferenceData!$G$747),"")</x:f>
        <x:v>21.459016999999999</x:v>
      </x:c>
      <x:c r="H747">
        <x:f ca="1">IFERROR(IF(0=LEN(ReferenceData!$H$747),"",ReferenceData!$H$747),"")</x:f>
        <x:v>4.1200380000000001</x:v>
      </x:c>
      <x:c r="I747">
        <x:f ca="1">IFERROR(IF(0=LEN(ReferenceData!$I$747),"",ReferenceData!$I$747),"")</x:f>
        <x:v>69.902680000000004</x:v>
      </x:c>
      <x:c r="J747">
        <x:f ca="1">IFERROR(IF(0=LEN(ReferenceData!$J$747),"",ReferenceData!$J$747),"")</x:f>
        <x:v>202.71939</x:v>
      </x:c>
      <x:c r="K747">
        <x:f ca="1">IFERROR(IF(0=LEN(ReferenceData!$K$747),"",ReferenceData!$K$747),"")</x:f>
        <x:v>5.7298150000000003</x:v>
      </x:c>
      <x:c r="L747">
        <x:f ca="1">IFERROR(IF(0=LEN(ReferenceData!$L$747),"",ReferenceData!$L$747),"")</x:f>
        <x:v>-1.4385E-2</x:v>
      </x:c>
      <x:c r="M747">
        <x:f ca="1">IFERROR(IF(0=LEN(ReferenceData!$M$747),"",ReferenceData!$M$747),"")</x:f>
        <x:v>3.7188349999999999</x:v>
      </x:c>
      <x:c r="N747">
        <x:f ca="1">IFERROR(IF(0=LEN(ReferenceData!$N$747),"",ReferenceData!$N$747),"")</x:f>
        <x:v>-29.47334</x:v>
      </x:c>
      <x:c r="O747">
        <x:f ca="1">IFERROR(IF(0=LEN(ReferenceData!$O$747),"",ReferenceData!$O$747),"")</x:f>
        <x:v>17.463480000000001</x:v>
      </x:c>
      <x:c r="P747">
        <x:f ca="1">IFERROR(IF(0=LEN(ReferenceData!$P$747),"",ReferenceData!$P$747),"")</x:f>
        <x:v>-5.7978649999999998</x:v>
      </x:c>
      <x:c r="Q747">
        <x:f ca="1">IFERROR(IF(0=LEN(ReferenceData!$Q$747),"",ReferenceData!$Q$747),"")</x:f>
        <x:v>5.2349449999999997</x:v>
      </x:c>
      <x:c r="R747">
        <x:f ca="1">IFERROR(IF(0=LEN(ReferenceData!$R$747),"",ReferenceData!$R$747),"")</x:f>
        <x:v>77.780330000000006</x:v>
      </x:c>
      <x:c r="S747">
        <x:f ca="1">IFERROR(IF(0=LEN(ReferenceData!$S$747),"",ReferenceData!$S$747),"")</x:f>
        <x:v>4.7260000000000003E-2</x:v>
      </x:c>
    </x:row>
    <x:row r="748" spans="1:19" x14ac:dyDescent="0.25">
      <x:c r="A748" t="str">
        <x:f>IFERROR(IF(0=LEN(ReferenceData!$A$748),"",ReferenceData!$A$748),"")</x:f>
        <x:v xml:space="preserve">            First Trust North American Ene</x:v>
      </x:c>
      <x:c r="B748" t="str">
        <x:f>IFERROR(IF(0=LEN(ReferenceData!$B$748),"",ReferenceData!$B$748),"")</x:f>
        <x:v>EMLP US Equity</x:v>
      </x:c>
      <x:c r="C748" t="str">
        <x:f>IFERROR(IF(0=LEN(ReferenceData!$C$748),"",ReferenceData!$C$748),"")</x:f>
        <x:v/>
      </x:c>
      <x:c r="D748" t="str">
        <x:f>IFERROR(IF(0=LEN(ReferenceData!$D$748),"",ReferenceData!$D$748),"")</x:f>
        <x:v/>
      </x:c>
      <x:c r="E748" t="str">
        <x:f>IFERROR(IF(0=LEN(ReferenceData!$E$748),"",ReferenceData!$E$748),"")</x:f>
        <x:v>Expression</x:v>
      </x:c>
      <x:c r="F748">
        <x:f ca="1">IFERROR(IF(0=LEN(ReferenceData!$F$748),"",ReferenceData!$F$748),"")</x:f>
        <x:v>-13.376156</x:v>
      </x:c>
      <x:c r="G748">
        <x:f ca="1">IFERROR(IF(0=LEN(ReferenceData!$G$748),"",ReferenceData!$G$748),"")</x:f>
        <x:v>-75.576667</x:v>
      </x:c>
      <x:c r="H748">
        <x:f ca="1">IFERROR(IF(0=LEN(ReferenceData!$H$748),"",ReferenceData!$H$748),"")</x:f>
        <x:v>14.345052000000001</x:v>
      </x:c>
      <x:c r="I748">
        <x:f ca="1">IFERROR(IF(0=LEN(ReferenceData!$I$748),"",ReferenceData!$I$748),"")</x:f>
        <x:v>-15.119446999999999</x:v>
      </x:c>
      <x:c r="J748">
        <x:f ca="1">IFERROR(IF(0=LEN(ReferenceData!$J$748),"",ReferenceData!$J$748),"")</x:f>
        <x:v>-5.7095000000000002</x:v>
      </x:c>
      <x:c r="K748">
        <x:f ca="1">IFERROR(IF(0=LEN(ReferenceData!$K$748),"",ReferenceData!$K$748),"")</x:f>
        <x:v>-22.808</x:v>
      </x:c>
      <x:c r="L748">
        <x:f ca="1">IFERROR(IF(0=LEN(ReferenceData!$L$748),"",ReferenceData!$L$748),"")</x:f>
        <x:v>-34.665999999999997</x:v>
      </x:c>
      <x:c r="M748">
        <x:f ca="1">IFERROR(IF(0=LEN(ReferenceData!$M$748),"",ReferenceData!$M$748),"")</x:f>
        <x:v>-16.193000000000001</x:v>
      </x:c>
      <x:c r="N748">
        <x:f ca="1">IFERROR(IF(0=LEN(ReferenceData!$N$748),"",ReferenceData!$N$748),"")</x:f>
        <x:v>-21.0975</x:v>
      </x:c>
      <x:c r="O748">
        <x:f ca="1">IFERROR(IF(0=LEN(ReferenceData!$O$748),"",ReferenceData!$O$748),"")</x:f>
        <x:v>-88.838499999999996</x:v>
      </x:c>
      <x:c r="P748">
        <x:f ca="1">IFERROR(IF(0=LEN(ReferenceData!$P$748),"",ReferenceData!$P$748),"")</x:f>
        <x:v>-16.3535</x:v>
      </x:c>
      <x:c r="Q748">
        <x:f ca="1">IFERROR(IF(0=LEN(ReferenceData!$Q$748),"",ReferenceData!$Q$748),"")</x:f>
        <x:v>-2.3708E-2</x:v>
      </x:c>
      <x:c r="R748">
        <x:f ca="1">IFERROR(IF(0=LEN(ReferenceData!$R$748),"",ReferenceData!$R$748),"")</x:f>
        <x:v>17.492804</x:v>
      </x:c>
      <x:c r="S748">
        <x:f ca="1">IFERROR(IF(0=LEN(ReferenceData!$S$748),"",ReferenceData!$S$748),"")</x:f>
        <x:v>25.857579000000001</x:v>
      </x:c>
    </x:row>
    <x:row r="749" spans="1:19" x14ac:dyDescent="0.25">
      <x:c r="A749" t="str">
        <x:f>IFERROR(IF(0=LEN(ReferenceData!$A$749),"",ReferenceData!$A$749),"")</x:f>
        <x:v xml:space="preserve">            FlexShares STOXX Global Broad</x:v>
      </x:c>
      <x:c r="B749" t="str">
        <x:f>IFERROR(IF(0=LEN(ReferenceData!$B$749),"",ReferenceData!$B$749),"")</x:f>
        <x:v>NFRA US Equity</x:v>
      </x:c>
      <x:c r="C749" t="str">
        <x:f>IFERROR(IF(0=LEN(ReferenceData!$C$749),"",ReferenceData!$C$749),"")</x:f>
        <x:v/>
      </x:c>
      <x:c r="D749" t="str">
        <x:f>IFERROR(IF(0=LEN(ReferenceData!$D$749),"",ReferenceData!$D$749),"")</x:f>
        <x:v/>
      </x:c>
      <x:c r="E749" t="str">
        <x:f>IFERROR(IF(0=LEN(ReferenceData!$E$749),"",ReferenceData!$E$749),"")</x:f>
        <x:v>Expression</x:v>
      </x:c>
      <x:c r="F749">
        <x:f ca="1">IFERROR(IF(0=LEN(ReferenceData!$F$749),"",ReferenceData!$F$749),"")</x:f>
        <x:v>-17.721025000000001</x:v>
      </x:c>
      <x:c r="G749">
        <x:f ca="1">IFERROR(IF(0=LEN(ReferenceData!$G$749),"",ReferenceData!$G$749),"")</x:f>
        <x:v>12.117095000000001</x:v>
      </x:c>
      <x:c r="H749">
        <x:f ca="1">IFERROR(IF(0=LEN(ReferenceData!$H$749),"",ReferenceData!$H$749),"")</x:f>
        <x:v>-34.387569999999997</x:v>
      </x:c>
      <x:c r="I749">
        <x:f ca="1">IFERROR(IF(0=LEN(ReferenceData!$I$749),"",ReferenceData!$I$749),"")</x:f>
        <x:v>-7.5442499999999999</x:v>
      </x:c>
      <x:c r="J749">
        <x:f ca="1">IFERROR(IF(0=LEN(ReferenceData!$J$749),"",ReferenceData!$J$749),"")</x:f>
        <x:v>-5.2927</x:v>
      </x:c>
      <x:c r="K749">
        <x:f ca="1">IFERROR(IF(0=LEN(ReferenceData!$K$749),"",ReferenceData!$K$749),"")</x:f>
        <x:v>-33.443114999999999</x:v>
      </x:c>
      <x:c r="L749">
        <x:f ca="1">IFERROR(IF(0=LEN(ReferenceData!$L$749),"",ReferenceData!$L$749),"")</x:f>
        <x:v>-36.85192</x:v>
      </x:c>
      <x:c r="M749">
        <x:f ca="1">IFERROR(IF(0=LEN(ReferenceData!$M$749),"",ReferenceData!$M$749),"")</x:f>
        <x:v>-31.917615000000001</x:v>
      </x:c>
      <x:c r="N749">
        <x:f ca="1">IFERROR(IF(0=LEN(ReferenceData!$N$749),"",ReferenceData!$N$749),"")</x:f>
        <x:v>-30.349489999999999</x:v>
      </x:c>
      <x:c r="O749">
        <x:f ca="1">IFERROR(IF(0=LEN(ReferenceData!$O$749),"",ReferenceData!$O$749),"")</x:f>
        <x:v>-41.076720000000002</x:v>
      </x:c>
      <x:c r="P749">
        <x:f ca="1">IFERROR(IF(0=LEN(ReferenceData!$P$749),"",ReferenceData!$P$749),"")</x:f>
        <x:v>-80.229680000000002</x:v>
      </x:c>
      <x:c r="Q749">
        <x:f ca="1">IFERROR(IF(0=LEN(ReferenceData!$Q$749),"",ReferenceData!$Q$749),"")</x:f>
        <x:v>-191.98737499999999</x:v>
      </x:c>
      <x:c r="R749">
        <x:f ca="1">IFERROR(IF(0=LEN(ReferenceData!$R$749),"",ReferenceData!$R$749),"")</x:f>
        <x:v>0</x:v>
      </x:c>
      <x:c r="S749">
        <x:f ca="1">IFERROR(IF(0=LEN(ReferenceData!$S$749),"",ReferenceData!$S$749),"")</x:f>
        <x:v>15.922935000000001</x:v>
      </x:c>
    </x:row>
    <x:row r="750" spans="1:19" x14ac:dyDescent="0.25">
      <x:c r="A750" t="str">
        <x:f>IFERROR(IF(0=LEN(ReferenceData!$A$750),"",ReferenceData!$A$750),"")</x:f>
        <x:v xml:space="preserve">            Global X US Infrastructure Dev</x:v>
      </x:c>
      <x:c r="B750" t="str">
        <x:f>IFERROR(IF(0=LEN(ReferenceData!$B$750),"",ReferenceData!$B$750),"")</x:f>
        <x:v>PAVE US Equity</x:v>
      </x:c>
      <x:c r="C750" t="str">
        <x:f>IFERROR(IF(0=LEN(ReferenceData!$C$750),"",ReferenceData!$C$750),"")</x:f>
        <x:v/>
      </x:c>
      <x:c r="D750" t="str">
        <x:f>IFERROR(IF(0=LEN(ReferenceData!$D$750),"",ReferenceData!$D$750),"")</x:f>
        <x:v/>
      </x:c>
      <x:c r="E750" t="str">
        <x:f>IFERROR(IF(0=LEN(ReferenceData!$E$750),"",ReferenceData!$E$750),"")</x:f>
        <x:v>Expression</x:v>
      </x:c>
      <x:c r="F750">
        <x:f ca="1">IFERROR(IF(0=LEN(ReferenceData!$F$750),"",ReferenceData!$F$750),"")</x:f>
        <x:v>72.810900000000004</x:v>
      </x:c>
      <x:c r="G750">
        <x:f ca="1">IFERROR(IF(0=LEN(ReferenceData!$G$750),"",ReferenceData!$G$750),"")</x:f>
        <x:v>52.261499999999998</x:v>
      </x:c>
      <x:c r="H750">
        <x:f ca="1">IFERROR(IF(0=LEN(ReferenceData!$H$750),"",ReferenceData!$H$750),"")</x:f>
        <x:v>65.645899999999997</x:v>
      </x:c>
      <x:c r="I750">
        <x:f ca="1">IFERROR(IF(0=LEN(ReferenceData!$I$750),"",ReferenceData!$I$750),"")</x:f>
        <x:v>234.7012</x:v>
      </x:c>
      <x:c r="J750">
        <x:f ca="1">IFERROR(IF(0=LEN(ReferenceData!$J$750),"",ReferenceData!$J$750),"")</x:f>
        <x:v>106.6793</x:v>
      </x:c>
      <x:c r="K750">
        <x:f ca="1">IFERROR(IF(0=LEN(ReferenceData!$K$750),"",ReferenceData!$K$750),"")</x:f>
        <x:v>213.43520000000001</x:v>
      </x:c>
      <x:c r="L750">
        <x:f ca="1">IFERROR(IF(0=LEN(ReferenceData!$L$750),"",ReferenceData!$L$750),"")</x:f>
        <x:v>111.0562</x:v>
      </x:c>
      <x:c r="M750">
        <x:f ca="1">IFERROR(IF(0=LEN(ReferenceData!$M$750),"",ReferenceData!$M$750),"")</x:f>
        <x:v>10.966200000000001</x:v>
      </x:c>
      <x:c r="N750">
        <x:f ca="1">IFERROR(IF(0=LEN(ReferenceData!$N$750),"",ReferenceData!$N$750),"")</x:f>
        <x:v>293.60879999999997</x:v>
      </x:c>
      <x:c r="O750">
        <x:f ca="1">IFERROR(IF(0=LEN(ReferenceData!$O$750),"",ReferenceData!$O$750),"")</x:f>
        <x:v>69.768299999999996</x:v>
      </x:c>
      <x:c r="P750">
        <x:f ca="1">IFERROR(IF(0=LEN(ReferenceData!$P$750),"",ReferenceData!$P$750),"")</x:f>
        <x:v>-93.823400000000007</x:v>
      </x:c>
      <x:c r="Q750">
        <x:f ca="1">IFERROR(IF(0=LEN(ReferenceData!$Q$750),"",ReferenceData!$Q$750),"")</x:f>
        <x:v>-28.763999999999999</x:v>
      </x:c>
      <x:c r="R750">
        <x:f ca="1">IFERROR(IF(0=LEN(ReferenceData!$R$750),"",ReferenceData!$R$750),"")</x:f>
        <x:v>-21.970199999999998</x:v>
      </x:c>
      <x:c r="S750">
        <x:f ca="1">IFERROR(IF(0=LEN(ReferenceData!$S$750),"",ReferenceData!$S$750),"")</x:f>
        <x:v>-68.439599999999999</x:v>
      </x:c>
    </x:row>
    <x:row r="751" spans="1:19" x14ac:dyDescent="0.25">
      <x:c r="A751" t="str">
        <x:f>IFERROR(IF(0=LEN(ReferenceData!$A$751),"",ReferenceData!$A$751),"")</x:f>
        <x:v xml:space="preserve">            iShares Emerging Markets Infra</x:v>
      </x:c>
      <x:c r="B751" t="str">
        <x:f>IFERROR(IF(0=LEN(ReferenceData!$B$751),"",ReferenceData!$B$751),"")</x:f>
        <x:v>EMIF US Equity</x:v>
      </x:c>
      <x:c r="C751" t="str">
        <x:f>IFERROR(IF(0=LEN(ReferenceData!$C$751),"",ReferenceData!$C$751),"")</x:f>
        <x:v/>
      </x:c>
      <x:c r="D751" t="str">
        <x:f>IFERROR(IF(0=LEN(ReferenceData!$D$751),"",ReferenceData!$D$751),"")</x:f>
        <x:v/>
      </x:c>
      <x:c r="E751" t="str">
        <x:f>IFERROR(IF(0=LEN(ReferenceData!$E$751),"",ReferenceData!$E$751),"")</x:f>
        <x:v>Expression</x:v>
      </x:c>
      <x:c r="F751">
        <x:f ca="1">IFERROR(IF(0=LEN(ReferenceData!$F$751),"",ReferenceData!$F$751),"")</x:f>
        <x:v>0</x:v>
      </x:c>
      <x:c r="G751">
        <x:f ca="1">IFERROR(IF(0=LEN(ReferenceData!$G$751),"",ReferenceData!$G$751),"")</x:f>
        <x:v>0</x:v>
      </x:c>
      <x:c r="H751">
        <x:f ca="1">IFERROR(IF(0=LEN(ReferenceData!$H$751),"",ReferenceData!$H$751),"")</x:f>
        <x:v>0</x:v>
      </x:c>
      <x:c r="I751">
        <x:f ca="1">IFERROR(IF(0=LEN(ReferenceData!$I$751),"",ReferenceData!$I$751),"")</x:f>
        <x:v>-1.0729649999999999</x:v>
      </x:c>
      <x:c r="J751">
        <x:f ca="1">IFERROR(IF(0=LEN(ReferenceData!$J$751),"",ReferenceData!$J$751),"")</x:f>
        <x:v>0</x:v>
      </x:c>
      <x:c r="K751">
        <x:f ca="1">IFERROR(IF(0=LEN(ReferenceData!$K$751),"",ReferenceData!$K$751),"")</x:f>
        <x:v>0</x:v>
      </x:c>
      <x:c r="L751">
        <x:f ca="1">IFERROR(IF(0=LEN(ReferenceData!$L$751),"",ReferenceData!$L$751),"")</x:f>
        <x:v>0</x:v>
      </x:c>
      <x:c r="M751">
        <x:f ca="1">IFERROR(IF(0=LEN(ReferenceData!$M$751),"",ReferenceData!$M$751),"")</x:f>
        <x:v>0</x:v>
      </x:c>
      <x:c r="N751">
        <x:f ca="1">IFERROR(IF(0=LEN(ReferenceData!$N$751),"",ReferenceData!$N$751),"")</x:f>
        <x:v>0</x:v>
      </x:c>
      <x:c r="O751">
        <x:f ca="1">IFERROR(IF(0=LEN(ReferenceData!$O$751),"",ReferenceData!$O$751),"")</x:f>
        <x:v>0</x:v>
      </x:c>
      <x:c r="P751">
        <x:f ca="1">IFERROR(IF(0=LEN(ReferenceData!$P$751),"",ReferenceData!$P$751),"")</x:f>
        <x:v>0</x:v>
      </x:c>
      <x:c r="Q751">
        <x:f ca="1">IFERROR(IF(0=LEN(ReferenceData!$Q$751),"",ReferenceData!$Q$751),"")</x:f>
        <x:v>0</x:v>
      </x:c>
      <x:c r="R751">
        <x:f ca="1">IFERROR(IF(0=LEN(ReferenceData!$R$751),"",ReferenceData!$R$751),"")</x:f>
        <x:v>0</x:v>
      </x:c>
      <x:c r="S751">
        <x:f ca="1">IFERROR(IF(0=LEN(ReferenceData!$S$751),"",ReferenceData!$S$751),"")</x:f>
        <x:v>0</x:v>
      </x:c>
    </x:row>
    <x:row r="752" spans="1:19" x14ac:dyDescent="0.25">
      <x:c r="A752" t="str">
        <x:f>IFERROR(IF(0=LEN(ReferenceData!$A$752),"",ReferenceData!$A$752),"")</x:f>
        <x:v xml:space="preserve">            iShares Global Infrastructure</x:v>
      </x:c>
      <x:c r="B752" t="str">
        <x:f>IFERROR(IF(0=LEN(ReferenceData!$B$752),"",ReferenceData!$B$752),"")</x:f>
        <x:v>IGF US Equity</x:v>
      </x:c>
      <x:c r="C752" t="str">
        <x:f>IFERROR(IF(0=LEN(ReferenceData!$C$752),"",ReferenceData!$C$752),"")</x:f>
        <x:v/>
      </x:c>
      <x:c r="D752" t="str">
        <x:f>IFERROR(IF(0=LEN(ReferenceData!$D$752),"",ReferenceData!$D$752),"")</x:f>
        <x:v/>
      </x:c>
      <x:c r="E752" t="str">
        <x:f>IFERROR(IF(0=LEN(ReferenceData!$E$752),"",ReferenceData!$E$752),"")</x:f>
        <x:v>Expression</x:v>
      </x:c>
      <x:c r="F752">
        <x:f ca="1">IFERROR(IF(0=LEN(ReferenceData!$F$752),"",ReferenceData!$F$752),"")</x:f>
        <x:v>17.980654000000001</x:v>
      </x:c>
      <x:c r="G752">
        <x:f ca="1">IFERROR(IF(0=LEN(ReferenceData!$G$752),"",ReferenceData!$G$752),"")</x:f>
        <x:v>-37.748843000000001</x:v>
      </x:c>
      <x:c r="H752">
        <x:f ca="1">IFERROR(IF(0=LEN(ReferenceData!$H$752),"",ReferenceData!$H$752),"")</x:f>
        <x:v>-79.403085000000004</x:v>
      </x:c>
      <x:c r="I752">
        <x:f ca="1">IFERROR(IF(0=LEN(ReferenceData!$I$752),"",ReferenceData!$I$752),"")</x:f>
        <x:v>-64.017600000000002</x:v>
      </x:c>
      <x:c r="J752">
        <x:f ca="1">IFERROR(IF(0=LEN(ReferenceData!$J$752),"",ReferenceData!$J$752),"")</x:f>
        <x:v>38.014800000000001</x:v>
      </x:c>
      <x:c r="K752">
        <x:f ca="1">IFERROR(IF(0=LEN(ReferenceData!$K$752),"",ReferenceData!$K$752),"")</x:f>
        <x:v>23.238299999999999</x:v>
      </x:c>
      <x:c r="L752">
        <x:f ca="1">IFERROR(IF(0=LEN(ReferenceData!$L$752),"",ReferenceData!$L$752),"")</x:f>
        <x:v>0</x:v>
      </x:c>
      <x:c r="M752">
        <x:f ca="1">IFERROR(IF(0=LEN(ReferenceData!$M$752),"",ReferenceData!$M$752),"")</x:f>
        <x:v>0</x:v>
      </x:c>
      <x:c r="N752">
        <x:f ca="1">IFERROR(IF(0=LEN(ReferenceData!$N$752),"",ReferenceData!$N$752),"")</x:f>
        <x:v>-27.847290000000001</x:v>
      </x:c>
      <x:c r="O752">
        <x:f ca="1">IFERROR(IF(0=LEN(ReferenceData!$O$752),"",ReferenceData!$O$752),"")</x:f>
        <x:v>-52.05415</x:v>
      </x:c>
      <x:c r="P752">
        <x:f ca="1">IFERROR(IF(0=LEN(ReferenceData!$P$752),"",ReferenceData!$P$752),"")</x:f>
        <x:v>-175.61222000000001</x:v>
      </x:c>
      <x:c r="Q752">
        <x:f ca="1">IFERROR(IF(0=LEN(ReferenceData!$Q$752),"",ReferenceData!$Q$752),"")</x:f>
        <x:v>231.18020000000001</x:v>
      </x:c>
      <x:c r="R752">
        <x:f ca="1">IFERROR(IF(0=LEN(ReferenceData!$R$752),"",ReferenceData!$R$752),"")</x:f>
        <x:v>111.43983</x:v>
      </x:c>
      <x:c r="S752">
        <x:f ca="1">IFERROR(IF(0=LEN(ReferenceData!$S$752),"",ReferenceData!$S$752),"")</x:f>
        <x:v>119.59577</x:v>
      </x:c>
    </x:row>
    <x:row r="753" spans="1:19" x14ac:dyDescent="0.25">
      <x:c r="A753" t="str">
        <x:f>IFERROR(IF(0=LEN(ReferenceData!$A$753),"",ReferenceData!$A$753),"")</x:f>
        <x:v xml:space="preserve">            Invesco Emerging Markets Infra</x:v>
      </x:c>
      <x:c r="B753" t="str">
        <x:f>IFERROR(IF(0=LEN(ReferenceData!$B$753),"",ReferenceData!$B$753),"")</x:f>
        <x:v>PXR US Equity</x:v>
      </x:c>
      <x:c r="C753" t="str">
        <x:f>IFERROR(IF(0=LEN(ReferenceData!$C$753),"",ReferenceData!$C$753),"")</x:f>
        <x:v/>
      </x:c>
      <x:c r="D753" t="str">
        <x:f>IFERROR(IF(0=LEN(ReferenceData!$D$753),"",ReferenceData!$D$753),"")</x:f>
        <x:v/>
      </x:c>
      <x:c r="E753" t="str">
        <x:f>IFERROR(IF(0=LEN(ReferenceData!$E$753),"",ReferenceData!$E$753),"")</x:f>
        <x:v>Expression</x:v>
      </x:c>
      <x:c r="F753" t="str">
        <x:f ca="1">IFERROR(IF(0=LEN(ReferenceData!$F$753),"",ReferenceData!$F$753),"")</x:f>
        <x:v/>
      </x:c>
      <x:c r="G753" t="str">
        <x:f ca="1">IFERROR(IF(0=LEN(ReferenceData!$G$753),"",ReferenceData!$G$753),"")</x:f>
        <x:v/>
      </x:c>
      <x:c r="H753" t="str">
        <x:f ca="1">IFERROR(IF(0=LEN(ReferenceData!$H$753),"",ReferenceData!$H$753),"")</x:f>
        <x:v/>
      </x:c>
      <x:c r="I753" t="str">
        <x:f ca="1">IFERROR(IF(0=LEN(ReferenceData!$I$753),"",ReferenceData!$I$753),"")</x:f>
        <x:v/>
      </x:c>
      <x:c r="J753" t="str">
        <x:f ca="1">IFERROR(IF(0=LEN(ReferenceData!$J$753),"",ReferenceData!$J$753),"")</x:f>
        <x:v/>
      </x:c>
      <x:c r="K753" t="str">
        <x:f ca="1">IFERROR(IF(0=LEN(ReferenceData!$K$753),"",ReferenceData!$K$753),"")</x:f>
        <x:v/>
      </x:c>
      <x:c r="L753" t="str">
        <x:f ca="1">IFERROR(IF(0=LEN(ReferenceData!$L$753),"",ReferenceData!$L$753),"")</x:f>
        <x:v/>
      </x:c>
      <x:c r="M753" t="str">
        <x:f ca="1">IFERROR(IF(0=LEN(ReferenceData!$M$753),"",ReferenceData!$M$753),"")</x:f>
        <x:v/>
      </x:c>
      <x:c r="N753" t="str">
        <x:f ca="1">IFERROR(IF(0=LEN(ReferenceData!$N$753),"",ReferenceData!$N$753),"")</x:f>
        <x:v/>
      </x:c>
      <x:c r="O753" t="str">
        <x:f ca="1">IFERROR(IF(0=LEN(ReferenceData!$O$753),"",ReferenceData!$O$753),"")</x:f>
        <x:v/>
      </x:c>
      <x:c r="P753" t="str">
        <x:f ca="1">IFERROR(IF(0=LEN(ReferenceData!$P$753),"",ReferenceData!$P$753),"")</x:f>
        <x:v/>
      </x:c>
      <x:c r="Q753" t="str">
        <x:f ca="1">IFERROR(IF(0=LEN(ReferenceData!$Q$753),"",ReferenceData!$Q$753),"")</x:f>
        <x:v/>
      </x:c>
      <x:c r="R753" t="str">
        <x:f ca="1">IFERROR(IF(0=LEN(ReferenceData!$R$753),"",ReferenceData!$R$753),"")</x:f>
        <x:v/>
      </x:c>
      <x:c r="S753" t="str">
        <x:f ca="1">IFERROR(IF(0=LEN(ReferenceData!$S$753),"",ReferenceData!$S$753),"")</x:f>
        <x:v/>
      </x:c>
    </x:row>
    <x:row r="754" spans="1:19" x14ac:dyDescent="0.25">
      <x:c r="A754" t="str">
        <x:f>IFERROR(IF(0=LEN(ReferenceData!$A$754),"",ReferenceData!$A$754),"")</x:f>
        <x:v xml:space="preserve">            SPDR S&amp;P Global Infrastructure</x:v>
      </x:c>
      <x:c r="B754" t="str">
        <x:f>IFERROR(IF(0=LEN(ReferenceData!$B$754),"",ReferenceData!$B$754),"")</x:f>
        <x:v>GII US Equity</x:v>
      </x:c>
      <x:c r="C754" t="str">
        <x:f>IFERROR(IF(0=LEN(ReferenceData!$C$754),"",ReferenceData!$C$754),"")</x:f>
        <x:v/>
      </x:c>
      <x:c r="D754" t="str">
        <x:f>IFERROR(IF(0=LEN(ReferenceData!$D$754),"",ReferenceData!$D$754),"")</x:f>
        <x:v/>
      </x:c>
      <x:c r="E754" t="str">
        <x:f>IFERROR(IF(0=LEN(ReferenceData!$E$754),"",ReferenceData!$E$754),"")</x:f>
        <x:v>Expression</x:v>
      </x:c>
      <x:c r="F754">
        <x:f ca="1">IFERROR(IF(0=LEN(ReferenceData!$F$754),"",ReferenceData!$F$754),"")</x:f>
        <x:v>0</x:v>
      </x:c>
      <x:c r="G754">
        <x:f ca="1">IFERROR(IF(0=LEN(ReferenceData!$G$754),"",ReferenceData!$G$754),"")</x:f>
        <x:v>-16.900331999999999</x:v>
      </x:c>
      <x:c r="H754">
        <x:f ca="1">IFERROR(IF(0=LEN(ReferenceData!$H$754),"",ReferenceData!$H$754),"")</x:f>
        <x:v>-10.241077000000001</x:v>
      </x:c>
      <x:c r="I754">
        <x:f ca="1">IFERROR(IF(0=LEN(ReferenceData!$I$754),"",ReferenceData!$I$754),"")</x:f>
        <x:v>0</x:v>
      </x:c>
      <x:c r="J754">
        <x:f ca="1">IFERROR(IF(0=LEN(ReferenceData!$J$754),"",ReferenceData!$J$754),"")</x:f>
        <x:v>0</x:v>
      </x:c>
      <x:c r="K754">
        <x:f ca="1">IFERROR(IF(0=LEN(ReferenceData!$K$754),"",ReferenceData!$K$754),"")</x:f>
        <x:v>-111.476467</x:v>
      </x:c>
      <x:c r="L754">
        <x:f ca="1">IFERROR(IF(0=LEN(ReferenceData!$L$754),"",ReferenceData!$L$754),"")</x:f>
        <x:v>0</x:v>
      </x:c>
      <x:c r="M754">
        <x:f ca="1">IFERROR(IF(0=LEN(ReferenceData!$M$754),"",ReferenceData!$M$754),"")</x:f>
        <x:v>13.825713</x:v>
      </x:c>
      <x:c r="N754">
        <x:f ca="1">IFERROR(IF(0=LEN(ReferenceData!$N$754),"",ReferenceData!$N$754),"")</x:f>
        <x:v>0</x:v>
      </x:c>
      <x:c r="O754">
        <x:f ca="1">IFERROR(IF(0=LEN(ReferenceData!$O$754),"",ReferenceData!$O$754),"")</x:f>
        <x:v>-5.4456410000000002</x:v>
      </x:c>
      <x:c r="P754">
        <x:f ca="1">IFERROR(IF(0=LEN(ReferenceData!$P$754),"",ReferenceData!$P$754),"")</x:f>
        <x:v>-8.3056719999999995</x:v>
      </x:c>
      <x:c r="Q754">
        <x:f ca="1">IFERROR(IF(0=LEN(ReferenceData!$Q$754),"",ReferenceData!$Q$754),"")</x:f>
        <x:v>0.437801</x:v>
      </x:c>
      <x:c r="R754">
        <x:f ca="1">IFERROR(IF(0=LEN(ReferenceData!$R$754),"",ReferenceData!$R$754),"")</x:f>
        <x:v>13.244716</x:v>
      </x:c>
      <x:c r="S754">
        <x:f ca="1">IFERROR(IF(0=LEN(ReferenceData!$S$754),"",ReferenceData!$S$754),"")</x:f>
        <x:v>14.174327999999999</x:v>
      </x:c>
    </x:row>
    <x:row r="755" spans="1:19" x14ac:dyDescent="0.25">
      <x:c r="A755" t="str">
        <x:f>IFERROR(IF(0=LEN(ReferenceData!$A$755),"",ReferenceData!$A$755),"")</x:f>
        <x:v xml:space="preserve">            ProShares DJ Brookfield Global</x:v>
      </x:c>
      <x:c r="B755" t="str">
        <x:f>IFERROR(IF(0=LEN(ReferenceData!$B$755),"",ReferenceData!$B$755),"")</x:f>
        <x:v>TOLZ US Equity</x:v>
      </x:c>
      <x:c r="C755" t="str">
        <x:f>IFERROR(IF(0=LEN(ReferenceData!$C$755),"",ReferenceData!$C$755),"")</x:f>
        <x:v/>
      </x:c>
      <x:c r="D755" t="str">
        <x:f>IFERROR(IF(0=LEN(ReferenceData!$D$755),"",ReferenceData!$D$755),"")</x:f>
        <x:v/>
      </x:c>
      <x:c r="E755" t="str">
        <x:f>IFERROR(IF(0=LEN(ReferenceData!$E$755),"",ReferenceData!$E$755),"")</x:f>
        <x:v>Expression</x:v>
      </x:c>
      <x:c r="F755">
        <x:f ca="1">IFERROR(IF(0=LEN(ReferenceData!$F$755),"",ReferenceData!$F$755),"")</x:f>
        <x:v>0</x:v>
      </x:c>
      <x:c r="G755">
        <x:f ca="1">IFERROR(IF(0=LEN(ReferenceData!$G$755),"",ReferenceData!$G$755),"")</x:f>
        <x:v>-0.82503800000000005</x:v>
      </x:c>
      <x:c r="H755">
        <x:f ca="1">IFERROR(IF(0=LEN(ReferenceData!$H$755),"",ReferenceData!$H$755),"")</x:f>
        <x:v>1.2764789999999999</x:v>
      </x:c>
      <x:c r="I755">
        <x:f ca="1">IFERROR(IF(0=LEN(ReferenceData!$I$755),"",ReferenceData!$I$755),"")</x:f>
        <x:v>2.2193200000000002</x:v>
      </x:c>
      <x:c r="J755">
        <x:f ca="1">IFERROR(IF(0=LEN(ReferenceData!$J$755),"",ReferenceData!$J$755),"")</x:f>
        <x:v>-7.7246860000000002</x:v>
      </x:c>
      <x:c r="K755">
        <x:f ca="1">IFERROR(IF(0=LEN(ReferenceData!$K$755),"",ReferenceData!$K$755),"")</x:f>
        <x:v>1.82504</x:v>
      </x:c>
      <x:c r="L755">
        <x:f ca="1">IFERROR(IF(0=LEN(ReferenceData!$L$755),"",ReferenceData!$L$755),"")</x:f>
        <x:v>0</x:v>
      </x:c>
      <x:c r="M755">
        <x:f ca="1">IFERROR(IF(0=LEN(ReferenceData!$M$755),"",ReferenceData!$M$755),"")</x:f>
        <x:v>-1.411753</x:v>
      </x:c>
      <x:c r="N755">
        <x:f ca="1">IFERROR(IF(0=LEN(ReferenceData!$N$755),"",ReferenceData!$N$755),"")</x:f>
        <x:v>2.5466700000000002</x:v>
      </x:c>
      <x:c r="O755">
        <x:f ca="1">IFERROR(IF(0=LEN(ReferenceData!$O$755),"",ReferenceData!$O$755),"")</x:f>
        <x:v>-20.265331</x:v>
      </x:c>
      <x:c r="P755">
        <x:f ca="1">IFERROR(IF(0=LEN(ReferenceData!$P$755),"",ReferenceData!$P$755),"")</x:f>
        <x:v>-24.362380000000002</x:v>
      </x:c>
      <x:c r="Q755">
        <x:f ca="1">IFERROR(IF(0=LEN(ReferenceData!$Q$755),"",ReferenceData!$Q$755),"")</x:f>
        <x:v>6.3709239999999996</x:v>
      </x:c>
      <x:c r="R755">
        <x:f ca="1">IFERROR(IF(0=LEN(ReferenceData!$R$755),"",ReferenceData!$R$755),"")</x:f>
        <x:v>18.375181000000001</x:v>
      </x:c>
      <x:c r="S755">
        <x:f ca="1">IFERROR(IF(0=LEN(ReferenceData!$S$755),"",ReferenceData!$S$755),"")</x:f>
        <x:v>21.311512</x:v>
      </x:c>
    </x:row>
    <x:row r="756" spans="1:19" x14ac:dyDescent="0.25">
      <x:c r="A756" t="str">
        <x:f>IFERROR(IF(0=LEN(ReferenceData!$A$756),"",ReferenceData!$A$756),"")</x:f>
        <x:v xml:space="preserve">            Columbia India Infrastructure</x:v>
      </x:c>
      <x:c r="B756" t="str">
        <x:f>IFERROR(IF(0=LEN(ReferenceData!$B$756),"",ReferenceData!$B$756),"")</x:f>
        <x:v>INXX US Equity</x:v>
      </x:c>
      <x:c r="C756" t="str">
        <x:f>IFERROR(IF(0=LEN(ReferenceData!$C$756),"",ReferenceData!$C$756),"")</x:f>
        <x:v/>
      </x:c>
      <x:c r="D756" t="str">
        <x:f>IFERROR(IF(0=LEN(ReferenceData!$D$756),"",ReferenceData!$D$756),"")</x:f>
        <x:v/>
      </x:c>
      <x:c r="E756" t="str">
        <x:f>IFERROR(IF(0=LEN(ReferenceData!$E$756),"",ReferenceData!$E$756),"")</x:f>
        <x:v>Expression</x:v>
      </x:c>
      <x:c r="F756" t="str">
        <x:f ca="1">IFERROR(IF(0=LEN(ReferenceData!$F$756),"",ReferenceData!$F$756),"")</x:f>
        <x:v/>
      </x:c>
      <x:c r="G756" t="str">
        <x:f ca="1">IFERROR(IF(0=LEN(ReferenceData!$G$756),"",ReferenceData!$G$756),"")</x:f>
        <x:v/>
      </x:c>
      <x:c r="H756" t="str">
        <x:f ca="1">IFERROR(IF(0=LEN(ReferenceData!$H$756),"",ReferenceData!$H$756),"")</x:f>
        <x:v/>
      </x:c>
      <x:c r="I756" t="str">
        <x:f ca="1">IFERROR(IF(0=LEN(ReferenceData!$I$756),"",ReferenceData!$I$756),"")</x:f>
        <x:v/>
      </x:c>
      <x:c r="J756" t="str">
        <x:f ca="1">IFERROR(IF(0=LEN(ReferenceData!$J$756),"",ReferenceData!$J$756),"")</x:f>
        <x:v/>
      </x:c>
      <x:c r="K756" t="str">
        <x:f ca="1">IFERROR(IF(0=LEN(ReferenceData!$K$756),"",ReferenceData!$K$756),"")</x:f>
        <x:v/>
      </x:c>
      <x:c r="L756" t="str">
        <x:f ca="1">IFERROR(IF(0=LEN(ReferenceData!$L$756),"",ReferenceData!$L$756),"")</x:f>
        <x:v/>
      </x:c>
      <x:c r="M756" t="str">
        <x:f ca="1">IFERROR(IF(0=LEN(ReferenceData!$M$756),"",ReferenceData!$M$756),"")</x:f>
        <x:v/>
      </x:c>
      <x:c r="N756" t="str">
        <x:f ca="1">IFERROR(IF(0=LEN(ReferenceData!$N$756),"",ReferenceData!$N$756),"")</x:f>
        <x:v/>
      </x:c>
      <x:c r="O756" t="str">
        <x:f ca="1">IFERROR(IF(0=LEN(ReferenceData!$O$756),"",ReferenceData!$O$756),"")</x:f>
        <x:v/>
      </x:c>
      <x:c r="P756" t="str">
        <x:f ca="1">IFERROR(IF(0=LEN(ReferenceData!$P$756),"",ReferenceData!$P$756),"")</x:f>
        <x:v/>
      </x:c>
      <x:c r="Q756" t="str">
        <x:f ca="1">IFERROR(IF(0=LEN(ReferenceData!$Q$756),"",ReferenceData!$Q$756),"")</x:f>
        <x:v/>
      </x:c>
      <x:c r="R756" t="str">
        <x:f ca="1">IFERROR(IF(0=LEN(ReferenceData!$R$756),"",ReferenceData!$R$756),"")</x:f>
        <x:v/>
      </x:c>
      <x:c r="S756" t="str">
        <x:f ca="1">IFERROR(IF(0=LEN(ReferenceData!$S$756),"",ReferenceData!$S$756),"")</x:f>
        <x:v/>
      </x:c>
    </x:row>
    <x:row r="757" spans="1:19" x14ac:dyDescent="0.25">
      <x:c r="A757" t="str">
        <x:f>IFERROR(IF(0=LEN(ReferenceData!$A$757),"",ReferenceData!$A$757),"")</x:f>
        <x:v xml:space="preserve">            Cushing Transportation &amp; MLP E</x:v>
      </x:c>
      <x:c r="B757" t="str">
        <x:f>IFERROR(IF(0=LEN(ReferenceData!$B$757),"",ReferenceData!$B$757),"")</x:f>
        <x:v>XLTY US Equity</x:v>
      </x:c>
      <x:c r="C757" t="str">
        <x:f>IFERROR(IF(0=LEN(ReferenceData!$C$757),"",ReferenceData!$C$757),"")</x:f>
        <x:v/>
      </x:c>
      <x:c r="D757" t="str">
        <x:f>IFERROR(IF(0=LEN(ReferenceData!$D$757),"",ReferenceData!$D$757),"")</x:f>
        <x:v/>
      </x:c>
      <x:c r="E757" t="str">
        <x:f>IFERROR(IF(0=LEN(ReferenceData!$E$757),"",ReferenceData!$E$757),"")</x:f>
        <x:v>Expression</x:v>
      </x:c>
      <x:c r="F757" t="str">
        <x:f ca="1">IFERROR(IF(0=LEN(ReferenceData!$F$757),"",ReferenceData!$F$757),"")</x:f>
        <x:v/>
      </x:c>
      <x:c r="G757" t="str">
        <x:f ca="1">IFERROR(IF(0=LEN(ReferenceData!$G$757),"",ReferenceData!$G$757),"")</x:f>
        <x:v/>
      </x:c>
      <x:c r="H757" t="str">
        <x:f ca="1">IFERROR(IF(0=LEN(ReferenceData!$H$757),"",ReferenceData!$H$757),"")</x:f>
        <x:v/>
      </x:c>
      <x:c r="I757" t="str">
        <x:f ca="1">IFERROR(IF(0=LEN(ReferenceData!$I$757),"",ReferenceData!$I$757),"")</x:f>
        <x:v/>
      </x:c>
      <x:c r="J757" t="str">
        <x:f ca="1">IFERROR(IF(0=LEN(ReferenceData!$J$757),"",ReferenceData!$J$757),"")</x:f>
        <x:v/>
      </x:c>
      <x:c r="K757" t="str">
        <x:f ca="1">IFERROR(IF(0=LEN(ReferenceData!$K$757),"",ReferenceData!$K$757),"")</x:f>
        <x:v/>
      </x:c>
      <x:c r="L757" t="str">
        <x:f ca="1">IFERROR(IF(0=LEN(ReferenceData!$L$757),"",ReferenceData!$L$757),"")</x:f>
        <x:v/>
      </x:c>
      <x:c r="M757" t="str">
        <x:f ca="1">IFERROR(IF(0=LEN(ReferenceData!$M$757),"",ReferenceData!$M$757),"")</x:f>
        <x:v/>
      </x:c>
      <x:c r="N757" t="str">
        <x:f ca="1">IFERROR(IF(0=LEN(ReferenceData!$N$757),"",ReferenceData!$N$757),"")</x:f>
        <x:v/>
      </x:c>
      <x:c r="O757" t="str">
        <x:f ca="1">IFERROR(IF(0=LEN(ReferenceData!$O$757),"",ReferenceData!$O$757),"")</x:f>
        <x:v/>
      </x:c>
      <x:c r="P757" t="str">
        <x:f ca="1">IFERROR(IF(0=LEN(ReferenceData!$P$757),"",ReferenceData!$P$757),"")</x:f>
        <x:v/>
      </x:c>
      <x:c r="Q757" t="str">
        <x:f ca="1">IFERROR(IF(0=LEN(ReferenceData!$Q$757),"",ReferenceData!$Q$757),"")</x:f>
        <x:v/>
      </x:c>
      <x:c r="R757" t="str">
        <x:f ca="1">IFERROR(IF(0=LEN(ReferenceData!$R$757),"",ReferenceData!$R$757),"")</x:f>
        <x:v/>
      </x:c>
      <x:c r="S757" t="str">
        <x:f ca="1">IFERROR(IF(0=LEN(ReferenceData!$S$757),"",ReferenceData!$S$757),"")</x:f>
        <x:v/>
      </x:c>
    </x:row>
    <x:row r="758" spans="1:19" x14ac:dyDescent="0.25">
      <x:c r="A758" t="str">
        <x:f>IFERROR(IF(0=LEN(ReferenceData!$A$758),"",ReferenceData!$A$758),"")</x:f>
        <x:v xml:space="preserve">            AGF Global Infrastructure ET</x:v>
      </x:c>
      <x:c r="B758" t="str">
        <x:f>IFERROR(IF(0=LEN(ReferenceData!$B$758),"",ReferenceData!$B$758),"")</x:f>
        <x:v>GLIF US Equity</x:v>
      </x:c>
      <x:c r="C758" t="str">
        <x:f>IFERROR(IF(0=LEN(ReferenceData!$C$758),"",ReferenceData!$C$758),"")</x:f>
        <x:v/>
      </x:c>
      <x:c r="D758" t="str">
        <x:f>IFERROR(IF(0=LEN(ReferenceData!$D$758),"",ReferenceData!$D$758),"")</x:f>
        <x:v/>
      </x:c>
      <x:c r="E758" t="str">
        <x:f>IFERROR(IF(0=LEN(ReferenceData!$E$758),"",ReferenceData!$E$758),"")</x:f>
        <x:v>Expression</x:v>
      </x:c>
      <x:c r="F758">
        <x:f ca="1">IFERROR(IF(0=LEN(ReferenceData!$F$758),"",ReferenceData!$F$758),"")</x:f>
        <x:v>0</x:v>
      </x:c>
      <x:c r="G758">
        <x:f ca="1">IFERROR(IF(0=LEN(ReferenceData!$G$758),"",ReferenceData!$G$758),"")</x:f>
        <x:v>0</x:v>
      </x:c>
      <x:c r="H758">
        <x:f ca="1">IFERROR(IF(0=LEN(ReferenceData!$H$758),"",ReferenceData!$H$758),"")</x:f>
        <x:v>0</x:v>
      </x:c>
      <x:c r="I758">
        <x:f ca="1">IFERROR(IF(0=LEN(ReferenceData!$I$758),"",ReferenceData!$I$758),"")</x:f>
        <x:v>0</x:v>
      </x:c>
      <x:c r="J758">
        <x:f ca="1">IFERROR(IF(0=LEN(ReferenceData!$J$758),"",ReferenceData!$J$758),"")</x:f>
        <x:v>0</x:v>
      </x:c>
      <x:c r="K758">
        <x:f ca="1">IFERROR(IF(0=LEN(ReferenceData!$K$758),"",ReferenceData!$K$758),"")</x:f>
        <x:v>0</x:v>
      </x:c>
      <x:c r="L758">
        <x:f ca="1">IFERROR(IF(0=LEN(ReferenceData!$L$758),"",ReferenceData!$L$758),"")</x:f>
        <x:v>0</x:v>
      </x:c>
      <x:c r="M758">
        <x:f ca="1">IFERROR(IF(0=LEN(ReferenceData!$M$758),"",ReferenceData!$M$758),"")</x:f>
        <x:v>0</x:v>
      </x:c>
      <x:c r="N758">
        <x:f ca="1">IFERROR(IF(0=LEN(ReferenceData!$N$758),"",ReferenceData!$N$758),"")</x:f>
        <x:v>0</x:v>
      </x:c>
      <x:c r="O758">
        <x:f ca="1">IFERROR(IF(0=LEN(ReferenceData!$O$758),"",ReferenceData!$O$758),"")</x:f>
        <x:v>0</x:v>
      </x:c>
      <x:c r="P758">
        <x:f ca="1">IFERROR(IF(0=LEN(ReferenceData!$P$758),"",ReferenceData!$P$758),"")</x:f>
        <x:v>0</x:v>
      </x:c>
      <x:c r="Q758">
        <x:f ca="1">IFERROR(IF(0=LEN(ReferenceData!$Q$758),"",ReferenceData!$Q$758),"")</x:f>
        <x:v>0</x:v>
      </x:c>
      <x:c r="R758">
        <x:f ca="1">IFERROR(IF(0=LEN(ReferenceData!$R$758),"",ReferenceData!$R$758),"")</x:f>
        <x:v>0</x:v>
      </x:c>
      <x:c r="S758">
        <x:f ca="1">IFERROR(IF(0=LEN(ReferenceData!$S$758),"",ReferenceData!$S$758),"")</x:f>
        <x:v>0</x:v>
      </x:c>
    </x:row>
    <x:row r="759" spans="1:19" x14ac:dyDescent="0.25">
      <x:c r="A759" t="str">
        <x:f>IFERROR(IF(0=LEN(ReferenceData!$A$759),"",ReferenceData!$A$759),"")</x:f>
        <x:v xml:space="preserve">            Sonicshares Global Shipping ET</x:v>
      </x:c>
      <x:c r="B759" t="str">
        <x:f>IFERROR(IF(0=LEN(ReferenceData!$B$759),"",ReferenceData!$B$759),"")</x:f>
        <x:v>BOAT US Equity</x:v>
      </x:c>
      <x:c r="C759" t="str">
        <x:f>IFERROR(IF(0=LEN(ReferenceData!$C$759),"",ReferenceData!$C$759),"")</x:f>
        <x:v/>
      </x:c>
      <x:c r="D759" t="str">
        <x:f>IFERROR(IF(0=LEN(ReferenceData!$D$759),"",ReferenceData!$D$759),"")</x:f>
        <x:v/>
      </x:c>
      <x:c r="E759" t="str">
        <x:f>IFERROR(IF(0=LEN(ReferenceData!$E$759),"",ReferenceData!$E$759),"")</x:f>
        <x:v>Expression</x:v>
      </x:c>
      <x:c r="F759">
        <x:f ca="1">IFERROR(IF(0=LEN(ReferenceData!$F$759),"",ReferenceData!$F$759),"")</x:f>
        <x:v>7.0331700000000001</x:v>
      </x:c>
      <x:c r="G759">
        <x:f ca="1">IFERROR(IF(0=LEN(ReferenceData!$G$759),"",ReferenceData!$G$759),"")</x:f>
        <x:v>4.1301050000000004</x:v>
      </x:c>
      <x:c r="H759">
        <x:f ca="1">IFERROR(IF(0=LEN(ReferenceData!$H$759),"",ReferenceData!$H$759),"")</x:f>
        <x:v>0</x:v>
      </x:c>
      <x:c r="I759">
        <x:f ca="1">IFERROR(IF(0=LEN(ReferenceData!$I$759),"",ReferenceData!$I$759),"")</x:f>
        <x:v>0.697322</x:v>
      </x:c>
      <x:c r="J759">
        <x:f ca="1">IFERROR(IF(0=LEN(ReferenceData!$J$759),"",ReferenceData!$J$759),"")</x:f>
        <x:v>0</x:v>
      </x:c>
      <x:c r="K759">
        <x:f ca="1">IFERROR(IF(0=LEN(ReferenceData!$K$759),"",ReferenceData!$K$759),"")</x:f>
        <x:v>-1.414892</x:v>
      </x:c>
      <x:c r="L759">
        <x:f ca="1">IFERROR(IF(0=LEN(ReferenceData!$L$759),"",ReferenceData!$L$759),"")</x:f>
        <x:v>0</x:v>
      </x:c>
      <x:c r="M759">
        <x:f ca="1">IFERROR(IF(0=LEN(ReferenceData!$M$759),"",ReferenceData!$M$759),"")</x:f>
        <x:v>0</x:v>
      </x:c>
      <x:c r="N759">
        <x:f ca="1">IFERROR(IF(0=LEN(ReferenceData!$N$759),"",ReferenceData!$N$759),"")</x:f>
        <x:v>0</x:v>
      </x:c>
      <x:c r="O759">
        <x:f ca="1">IFERROR(IF(0=LEN(ReferenceData!$O$759),"",ReferenceData!$O$759),"")</x:f>
        <x:v>0</x:v>
      </x:c>
      <x:c r="P759">
        <x:f ca="1">IFERROR(IF(0=LEN(ReferenceData!$P$759),"",ReferenceData!$P$759),"")</x:f>
        <x:v>0</x:v>
      </x:c>
      <x:c r="Q759">
        <x:f ca="1">IFERROR(IF(0=LEN(ReferenceData!$Q$759),"",ReferenceData!$Q$759),"")</x:f>
        <x:v>-0.70869300000000002</x:v>
      </x:c>
      <x:c r="R759">
        <x:f ca="1">IFERROR(IF(0=LEN(ReferenceData!$R$759),"",ReferenceData!$R$759),"")</x:f>
        <x:v>0</x:v>
      </x:c>
      <x:c r="S759">
        <x:f ca="1">IFERROR(IF(0=LEN(ReferenceData!$S$759),"",ReferenceData!$S$759),"")</x:f>
        <x:v>0</x:v>
      </x:c>
    </x:row>
    <x:row r="760" spans="1:19" x14ac:dyDescent="0.25">
      <x:c r="A760" t="str">
        <x:f>IFERROR(IF(0=LEN(ReferenceData!$A$760),"",ReferenceData!$A$760),"")</x:f>
        <x:v xml:space="preserve">            US Global Sea to Sky Cargo ETF</x:v>
      </x:c>
      <x:c r="B760" t="str">
        <x:f>IFERROR(IF(0=LEN(ReferenceData!$B$760),"",ReferenceData!$B$760),"")</x:f>
        <x:v>SEA US Equity</x:v>
      </x:c>
      <x:c r="C760" t="str">
        <x:f>IFERROR(IF(0=LEN(ReferenceData!$C$760),"",ReferenceData!$C$760),"")</x:f>
        <x:v/>
      </x:c>
      <x:c r="D760" t="str">
        <x:f>IFERROR(IF(0=LEN(ReferenceData!$D$760),"",ReferenceData!$D$760),"")</x:f>
        <x:v/>
      </x:c>
      <x:c r="E760" t="str">
        <x:f>IFERROR(IF(0=LEN(ReferenceData!$E$760),"",ReferenceData!$E$760),"")</x:f>
        <x:v>Expression</x:v>
      </x:c>
      <x:c r="F760">
        <x:f ca="1">IFERROR(IF(0=LEN(ReferenceData!$F$760),"",ReferenceData!$F$760),"")</x:f>
        <x:v>0</x:v>
      </x:c>
      <x:c r="G760">
        <x:f ca="1">IFERROR(IF(0=LEN(ReferenceData!$G$760),"",ReferenceData!$G$760),"")</x:f>
        <x:v>0.72338000000000002</x:v>
      </x:c>
      <x:c r="H760">
        <x:f ca="1">IFERROR(IF(0=LEN(ReferenceData!$H$760),"",ReferenceData!$H$760),"")</x:f>
        <x:v>0</x:v>
      </x:c>
      <x:c r="I760">
        <x:f ca="1">IFERROR(IF(0=LEN(ReferenceData!$I$760),"",ReferenceData!$I$760),"")</x:f>
        <x:v>0</x:v>
      </x:c>
      <x:c r="J760">
        <x:f ca="1">IFERROR(IF(0=LEN(ReferenceData!$J$760),"",ReferenceData!$J$760),"")</x:f>
        <x:v>0</x:v>
      </x:c>
      <x:c r="K760">
        <x:f ca="1">IFERROR(IF(0=LEN(ReferenceData!$K$760),"",ReferenceData!$K$760),"")</x:f>
        <x:v>0</x:v>
      </x:c>
      <x:c r="L760">
        <x:f ca="1">IFERROR(IF(0=LEN(ReferenceData!$L$760),"",ReferenceData!$L$760),"")</x:f>
        <x:v>0</x:v>
      </x:c>
      <x:c r="M760">
        <x:f ca="1">IFERROR(IF(0=LEN(ReferenceData!$M$760),"",ReferenceData!$M$760),"")</x:f>
        <x:v>0</x:v>
      </x:c>
      <x:c r="N760">
        <x:f ca="1">IFERROR(IF(0=LEN(ReferenceData!$N$760),"",ReferenceData!$N$760),"")</x:f>
        <x:v>0</x:v>
      </x:c>
      <x:c r="O760">
        <x:f ca="1">IFERROR(IF(0=LEN(ReferenceData!$O$760),"",ReferenceData!$O$760),"")</x:f>
        <x:v>-0.73387500000000006</x:v>
      </x:c>
      <x:c r="P760">
        <x:f ca="1">IFERROR(IF(0=LEN(ReferenceData!$P$760),"",ReferenceData!$P$760),"")</x:f>
        <x:v>-0.71185500000000002</x:v>
      </x:c>
      <x:c r="Q760">
        <x:f ca="1">IFERROR(IF(0=LEN(ReferenceData!$Q$760),"",ReferenceData!$Q$760),"")</x:f>
        <x:v>0.41961999999999999</x:v>
      </x:c>
      <x:c r="R760">
        <x:f ca="1">IFERROR(IF(0=LEN(ReferenceData!$R$760),"",ReferenceData!$R$760),"")</x:f>
        <x:v>0</x:v>
      </x:c>
      <x:c r="S760">
        <x:f ca="1">IFERROR(IF(0=LEN(ReferenceData!$S$760),"",ReferenceData!$S$760),"")</x:f>
        <x:v>0</x:v>
      </x:c>
    </x:row>
    <x:row r="761" spans="1:19" x14ac:dyDescent="0.25">
      <x:c r="A761" t="str">
        <x:f>IFERROR(IF(0=LEN(ReferenceData!$A$761),"",ReferenceData!$A$761),"")</x:f>
        <x:v xml:space="preserve">            BNY Mellon Global Infrastructu</x:v>
      </x:c>
      <x:c r="B761" t="str">
        <x:f>IFERROR(IF(0=LEN(ReferenceData!$B$761),"",ReferenceData!$B$761),"")</x:f>
        <x:v>BKGI US Equity</x:v>
      </x:c>
      <x:c r="C761" t="str">
        <x:f>IFERROR(IF(0=LEN(ReferenceData!$C$761),"",ReferenceData!$C$761),"")</x:f>
        <x:v/>
      </x:c>
      <x:c r="D761" t="str">
        <x:f>IFERROR(IF(0=LEN(ReferenceData!$D$761),"",ReferenceData!$D$761),"")</x:f>
        <x:v/>
      </x:c>
      <x:c r="E761" t="str">
        <x:f>IFERROR(IF(0=LEN(ReferenceData!$E$761),"",ReferenceData!$E$761),"")</x:f>
        <x:v>Expression</x:v>
      </x:c>
      <x:c r="F761">
        <x:f ca="1">IFERROR(IF(0=LEN(ReferenceData!$F$761),"",ReferenceData!$F$761),"")</x:f>
        <x:v>0</x:v>
      </x:c>
      <x:c r="G761">
        <x:f ca="1">IFERROR(IF(0=LEN(ReferenceData!$G$761),"",ReferenceData!$G$761),"")</x:f>
        <x:v>0</x:v>
      </x:c>
      <x:c r="H761">
        <x:f ca="1">IFERROR(IF(0=LEN(ReferenceData!$H$761),"",ReferenceData!$H$761),"")</x:f>
        <x:v>0</x:v>
      </x:c>
      <x:c r="I761">
        <x:f ca="1">IFERROR(IF(0=LEN(ReferenceData!$I$761),"",ReferenceData!$I$761),"")</x:f>
        <x:v>0</x:v>
      </x:c>
      <x:c r="J761">
        <x:f ca="1">IFERROR(IF(0=LEN(ReferenceData!$J$761),"",ReferenceData!$J$761),"")</x:f>
        <x:v>0</x:v>
      </x:c>
      <x:c r="K761">
        <x:f ca="1">IFERROR(IF(0=LEN(ReferenceData!$K$761),"",ReferenceData!$K$761),"")</x:f>
        <x:v>0</x:v>
      </x:c>
      <x:c r="L761">
        <x:f ca="1">IFERROR(IF(0=LEN(ReferenceData!$L$761),"",ReferenceData!$L$761),"")</x:f>
        <x:v>0</x:v>
      </x:c>
      <x:c r="M761">
        <x:f ca="1">IFERROR(IF(0=LEN(ReferenceData!$M$761),"",ReferenceData!$M$761),"")</x:f>
        <x:v>4.1638500000000001</x:v>
      </x:c>
      <x:c r="N761">
        <x:f ca="1">IFERROR(IF(0=LEN(ReferenceData!$N$761),"",ReferenceData!$N$761),"")</x:f>
        <x:v>0</x:v>
      </x:c>
      <x:c r="O761">
        <x:f ca="1">IFERROR(IF(0=LEN(ReferenceData!$O$761),"",ReferenceData!$O$761),"")</x:f>
        <x:v>0</x:v>
      </x:c>
      <x:c r="P761">
        <x:f ca="1">IFERROR(IF(0=LEN(ReferenceData!$P$761),"",ReferenceData!$P$761),"")</x:f>
        <x:v>0</x:v>
      </x:c>
      <x:c r="Q761">
        <x:f ca="1">IFERROR(IF(0=LEN(ReferenceData!$Q$761),"",ReferenceData!$Q$761),"")</x:f>
        <x:v>0</x:v>
      </x:c>
      <x:c r="R761">
        <x:f ca="1">IFERROR(IF(0=LEN(ReferenceData!$R$761),"",ReferenceData!$R$761),"")</x:f>
        <x:v>0</x:v>
      </x:c>
      <x:c r="S761" t="str">
        <x:f ca="1">IFERROR(IF(0=LEN(ReferenceData!$S$761),"",ReferenceData!$S$761),"")</x:f>
        <x:v/>
      </x:c>
    </x:row>
    <x:row r="762" spans="1:19" x14ac:dyDescent="0.25">
      <x:c r="A762" t="str">
        <x:f>IFERROR(IF(0=LEN(ReferenceData!$A$762),"",ReferenceData!$A$762),"")</x:f>
        <x:v xml:space="preserve">            JPMorgan Sustainable Infrastru</x:v>
      </x:c>
      <x:c r="B762" t="str">
        <x:f>IFERROR(IF(0=LEN(ReferenceData!$B$762),"",ReferenceData!$B$762),"")</x:f>
        <x:v>BLLD US Equity</x:v>
      </x:c>
      <x:c r="C762" t="str">
        <x:f>IFERROR(IF(0=LEN(ReferenceData!$C$762),"",ReferenceData!$C$762),"")</x:f>
        <x:v/>
      </x:c>
      <x:c r="D762" t="str">
        <x:f>IFERROR(IF(0=LEN(ReferenceData!$D$762),"",ReferenceData!$D$762),"")</x:f>
        <x:v/>
      </x:c>
      <x:c r="E762" t="str">
        <x:f>IFERROR(IF(0=LEN(ReferenceData!$E$762),"",ReferenceData!$E$762),"")</x:f>
        <x:v>Expression</x:v>
      </x:c>
      <x:c r="F762">
        <x:f ca="1">IFERROR(IF(0=LEN(ReferenceData!$F$762),"",ReferenceData!$F$762),"")</x:f>
        <x:v>0</x:v>
      </x:c>
      <x:c r="G762">
        <x:f ca="1">IFERROR(IF(0=LEN(ReferenceData!$G$762),"",ReferenceData!$G$762),"")</x:f>
        <x:v>0</x:v>
      </x:c>
      <x:c r="H762">
        <x:f ca="1">IFERROR(IF(0=LEN(ReferenceData!$H$762),"",ReferenceData!$H$762),"")</x:f>
        <x:v>0</x:v>
      </x:c>
      <x:c r="I762">
        <x:f ca="1">IFERROR(IF(0=LEN(ReferenceData!$I$762),"",ReferenceData!$I$762),"")</x:f>
        <x:v>0</x:v>
      </x:c>
      <x:c r="J762">
        <x:f ca="1">IFERROR(IF(0=LEN(ReferenceData!$J$762),"",ReferenceData!$J$762),"")</x:f>
        <x:v>9.3260000000000005</x:v>
      </x:c>
      <x:c r="K762">
        <x:f ca="1">IFERROR(IF(0=LEN(ReferenceData!$K$762),"",ReferenceData!$K$762),"")</x:f>
        <x:v>0</x:v>
      </x:c>
      <x:c r="L762">
        <x:f ca="1">IFERROR(IF(0=LEN(ReferenceData!$L$762),"",ReferenceData!$L$762),"")</x:f>
        <x:v>4.6719999999999997</x:v>
      </x:c>
      <x:c r="M762">
        <x:f ca="1">IFERROR(IF(0=LEN(ReferenceData!$M$762),"",ReferenceData!$M$762),"")</x:f>
        <x:v>0</x:v>
      </x:c>
      <x:c r="N762">
        <x:f ca="1">IFERROR(IF(0=LEN(ReferenceData!$N$762),"",ReferenceData!$N$762),"")</x:f>
        <x:v>0</x:v>
      </x:c>
      <x:c r="O762">
        <x:f ca="1">IFERROR(IF(0=LEN(ReferenceData!$O$762),"",ReferenceData!$O$762),"")</x:f>
        <x:v>0</x:v>
      </x:c>
      <x:c r="P762">
        <x:f ca="1">IFERROR(IF(0=LEN(ReferenceData!$P$762),"",ReferenceData!$P$762),"")</x:f>
        <x:v>0</x:v>
      </x:c>
      <x:c r="Q762">
        <x:f ca="1">IFERROR(IF(0=LEN(ReferenceData!$Q$762),"",ReferenceData!$Q$762),"")</x:f>
        <x:v>0</x:v>
      </x:c>
      <x:c r="R762">
        <x:f ca="1">IFERROR(IF(0=LEN(ReferenceData!$R$762),"",ReferenceData!$R$762),"")</x:f>
        <x:v>0</x:v>
      </x:c>
      <x:c r="S762">
        <x:f ca="1">IFERROR(IF(0=LEN(ReferenceData!$S$762),"",ReferenceData!$S$762),"")</x:f>
        <x:v>0</x:v>
      </x:c>
    </x:row>
    <x:row r="763" spans="1:19" x14ac:dyDescent="0.25">
      <x:c r="A763" t="str">
        <x:f>IFERROR(IF(0=LEN(ReferenceData!$A$763),"",ReferenceData!$A$763),"")</x:f>
        <x:v xml:space="preserve">            iShares Environmental Infrastr</x:v>
      </x:c>
      <x:c r="B763" t="str">
        <x:f>IFERROR(IF(0=LEN(ReferenceData!$B$763),"",ReferenceData!$B$763),"")</x:f>
        <x:v>EFRA US Equity</x:v>
      </x:c>
      <x:c r="C763" t="str">
        <x:f>IFERROR(IF(0=LEN(ReferenceData!$C$763),"",ReferenceData!$C$763),"")</x:f>
        <x:v/>
      </x:c>
      <x:c r="D763" t="str">
        <x:f>IFERROR(IF(0=LEN(ReferenceData!$D$763),"",ReferenceData!$D$763),"")</x:f>
        <x:v/>
      </x:c>
      <x:c r="E763" t="str">
        <x:f>IFERROR(IF(0=LEN(ReferenceData!$E$763),"",ReferenceData!$E$763),"")</x:f>
        <x:v>Expression</x:v>
      </x:c>
      <x:c r="F763">
        <x:f ca="1">IFERROR(IF(0=LEN(ReferenceData!$F$763),"",ReferenceData!$F$763),"")</x:f>
        <x:v>0</x:v>
      </x:c>
      <x:c r="G763">
        <x:f ca="1">IFERROR(IF(0=LEN(ReferenceData!$G$763),"",ReferenceData!$G$763),"")</x:f>
        <x:v>0</x:v>
      </x:c>
      <x:c r="H763">
        <x:f ca="1">IFERROR(IF(0=LEN(ReferenceData!$H$763),"",ReferenceData!$H$763),"")</x:f>
        <x:v>0</x:v>
      </x:c>
      <x:c r="I763">
        <x:f ca="1">IFERROR(IF(0=LEN(ReferenceData!$I$763),"",ReferenceData!$I$763),"")</x:f>
        <x:v>0</x:v>
      </x:c>
      <x:c r="J763">
        <x:f ca="1">IFERROR(IF(0=LEN(ReferenceData!$J$763),"",ReferenceData!$J$763),"")</x:f>
        <x:v>0</x:v>
      </x:c>
      <x:c r="K763">
        <x:f ca="1">IFERROR(IF(0=LEN(ReferenceData!$K$763),"",ReferenceData!$K$763),"")</x:f>
        <x:v>0</x:v>
      </x:c>
      <x:c r="L763">
        <x:f ca="1">IFERROR(IF(0=LEN(ReferenceData!$L$763),"",ReferenceData!$L$763),"")</x:f>
        <x:v>0</x:v>
      </x:c>
      <x:c r="M763">
        <x:f ca="1">IFERROR(IF(0=LEN(ReferenceData!$M$763),"",ReferenceData!$M$763),"")</x:f>
        <x:v>0</x:v>
      </x:c>
      <x:c r="N763">
        <x:f ca="1">IFERROR(IF(0=LEN(ReferenceData!$N$763),"",ReferenceData!$N$763),"")</x:f>
        <x:v>0</x:v>
      </x:c>
      <x:c r="O763">
        <x:f ca="1">IFERROR(IF(0=LEN(ReferenceData!$O$763),"",ReferenceData!$O$763),"")</x:f>
        <x:v>0</x:v>
      </x:c>
      <x:c r="P763">
        <x:f ca="1">IFERROR(IF(0=LEN(ReferenceData!$P$763),"",ReferenceData!$P$763),"")</x:f>
        <x:v>0</x:v>
      </x:c>
      <x:c r="Q763">
        <x:f ca="1">IFERROR(IF(0=LEN(ReferenceData!$Q$763),"",ReferenceData!$Q$763),"")</x:f>
        <x:v>0</x:v>
      </x:c>
      <x:c r="R763">
        <x:f ca="1">IFERROR(IF(0=LEN(ReferenceData!$R$763),"",ReferenceData!$R$763),"")</x:f>
        <x:v>0</x:v>
      </x:c>
      <x:c r="S763" t="str">
        <x:f ca="1">IFERROR(IF(0=LEN(ReferenceData!$S$763),"",ReferenceData!$S$763),"")</x:f>
        <x:v/>
      </x:c>
    </x:row>
    <x:row r="764" spans="1:19" x14ac:dyDescent="0.25">
      <x:c r="A764" t="str">
        <x:f>IFERROR(IF(0=LEN(ReferenceData!$A$764),"",ReferenceData!$A$764),"")</x:f>
        <x:v xml:space="preserve">            Procure Disaster Recovery ETF</x:v>
      </x:c>
      <x:c r="B764" t="str">
        <x:f>IFERROR(IF(0=LEN(ReferenceData!$B$764),"",ReferenceData!$B$764),"")</x:f>
        <x:v>FIXT US Equity</x:v>
      </x:c>
      <x:c r="C764" t="str">
        <x:f>IFERROR(IF(0=LEN(ReferenceData!$C$764),"",ReferenceData!$C$764),"")</x:f>
        <x:v/>
      </x:c>
      <x:c r="D764" t="str">
        <x:f>IFERROR(IF(0=LEN(ReferenceData!$D$764),"",ReferenceData!$D$764),"")</x:f>
        <x:v/>
      </x:c>
      <x:c r="E764" t="str">
        <x:f>IFERROR(IF(0=LEN(ReferenceData!$E$764),"",ReferenceData!$E$764),"")</x:f>
        <x:v>Expression</x:v>
      </x:c>
      <x:c r="F764">
        <x:f ca="1">IFERROR(IF(0=LEN(ReferenceData!$F$764),"",ReferenceData!$F$764),"")</x:f>
        <x:v>0</x:v>
      </x:c>
      <x:c r="G764">
        <x:f ca="1">IFERROR(IF(0=LEN(ReferenceData!$G$764),"",ReferenceData!$G$764),"")</x:f>
        <x:v>0</x:v>
      </x:c>
      <x:c r="H764">
        <x:f ca="1">IFERROR(IF(0=LEN(ReferenceData!$H$764),"",ReferenceData!$H$764),"")</x:f>
        <x:v>0</x:v>
      </x:c>
      <x:c r="I764">
        <x:f ca="1">IFERROR(IF(0=LEN(ReferenceData!$I$764),"",ReferenceData!$I$764),"")</x:f>
        <x:v>-2.8927399999999999</x:v>
      </x:c>
      <x:c r="J764">
        <x:f ca="1">IFERROR(IF(0=LEN(ReferenceData!$J$764),"",ReferenceData!$J$764),"")</x:f>
        <x:v>0</x:v>
      </x:c>
      <x:c r="K764">
        <x:f ca="1">IFERROR(IF(0=LEN(ReferenceData!$K$764),"",ReferenceData!$K$764),"")</x:f>
        <x:v>4.1798349999999997</x:v>
      </x:c>
      <x:c r="L764">
        <x:f ca="1">IFERROR(IF(0=LEN(ReferenceData!$L$764),"",ReferenceData!$L$764),"")</x:f>
        <x:v>0</x:v>
      </x:c>
      <x:c r="M764">
        <x:f ca="1">IFERROR(IF(0=LEN(ReferenceData!$M$764),"",ReferenceData!$M$764),"")</x:f>
        <x:v>0</x:v>
      </x:c>
      <x:c r="N764">
        <x:f ca="1">IFERROR(IF(0=LEN(ReferenceData!$N$764),"",ReferenceData!$N$764),"")</x:f>
        <x:v>0</x:v>
      </x:c>
      <x:c r="O764">
        <x:f ca="1">IFERROR(IF(0=LEN(ReferenceData!$O$764),"",ReferenceData!$O$764),"")</x:f>
        <x:v>0</x:v>
      </x:c>
      <x:c r="P764" t="str">
        <x:f ca="1">IFERROR(IF(0=LEN(ReferenceData!$P$764),"",ReferenceData!$P$764),"")</x:f>
        <x:v/>
      </x:c>
      <x:c r="Q764" t="str">
        <x:f ca="1">IFERROR(IF(0=LEN(ReferenceData!$Q$764),"",ReferenceData!$Q$764),"")</x:f>
        <x:v/>
      </x:c>
      <x:c r="R764" t="str">
        <x:f ca="1">IFERROR(IF(0=LEN(ReferenceData!$R$764),"",ReferenceData!$R$764),"")</x:f>
        <x:v/>
      </x:c>
      <x:c r="S764" t="str">
        <x:f ca="1">IFERROR(IF(0=LEN(ReferenceData!$S$764),"",ReferenceData!$S$764),"")</x:f>
        <x:v/>
      </x:c>
    </x:row>
    <x:row r="765" spans="1:19" x14ac:dyDescent="0.25">
      <x:c r="A765" t="str">
        <x:f>IFERROR(IF(0=LEN(ReferenceData!$A$765),"",ReferenceData!$A$765),"")</x:f>
        <x:v xml:space="preserve">            Clearbridge Sustainable Infras</x:v>
      </x:c>
      <x:c r="B765" t="str">
        <x:f>IFERROR(IF(0=LEN(ReferenceData!$B$765),"",ReferenceData!$B$765),"")</x:f>
        <x:v>INFR US Equity</x:v>
      </x:c>
      <x:c r="C765" t="str">
        <x:f>IFERROR(IF(0=LEN(ReferenceData!$C$765),"",ReferenceData!$C$765),"")</x:f>
        <x:v/>
      </x:c>
      <x:c r="D765" t="str">
        <x:f>IFERROR(IF(0=LEN(ReferenceData!$D$765),"",ReferenceData!$D$765),"")</x:f>
        <x:v/>
      </x:c>
      <x:c r="E765" t="str">
        <x:f>IFERROR(IF(0=LEN(ReferenceData!$E$765),"",ReferenceData!$E$765),"")</x:f>
        <x:v>Expression</x:v>
      </x:c>
      <x:c r="F765">
        <x:f ca="1">IFERROR(IF(0=LEN(ReferenceData!$F$765),"",ReferenceData!$F$765),"")</x:f>
        <x:v>0</x:v>
      </x:c>
      <x:c r="G765">
        <x:f ca="1">IFERROR(IF(0=LEN(ReferenceData!$G$765),"",ReferenceData!$G$765),"")</x:f>
        <x:v>-1.0926769999999999</x:v>
      </x:c>
      <x:c r="H765">
        <x:f ca="1">IFERROR(IF(0=LEN(ReferenceData!$H$765),"",ReferenceData!$H$765),"")</x:f>
        <x:v>0</x:v>
      </x:c>
      <x:c r="I765">
        <x:f ca="1">IFERROR(IF(0=LEN(ReferenceData!$I$765),"",ReferenceData!$I$765),"")</x:f>
        <x:v>7.0596370000000004</x:v>
      </x:c>
      <x:c r="J765">
        <x:f ca="1">IFERROR(IF(0=LEN(ReferenceData!$J$765),"",ReferenceData!$J$765),"")</x:f>
        <x:v>0</x:v>
      </x:c>
      <x:c r="K765">
        <x:f ca="1">IFERROR(IF(0=LEN(ReferenceData!$K$765),"",ReferenceData!$K$765),"")</x:f>
        <x:v>0</x:v>
      </x:c>
      <x:c r="L765">
        <x:f ca="1">IFERROR(IF(0=LEN(ReferenceData!$L$765),"",ReferenceData!$L$765),"")</x:f>
        <x:v>0</x:v>
      </x:c>
      <x:c r="M765">
        <x:f ca="1">IFERROR(IF(0=LEN(ReferenceData!$M$765),"",ReferenceData!$M$765),"")</x:f>
        <x:v>0</x:v>
      </x:c>
      <x:c r="N765">
        <x:f ca="1">IFERROR(IF(0=LEN(ReferenceData!$N$765),"",ReferenceData!$N$765),"")</x:f>
        <x:v>0</x:v>
      </x:c>
      <x:c r="O765">
        <x:f ca="1">IFERROR(IF(0=LEN(ReferenceData!$O$765),"",ReferenceData!$O$765),"")</x:f>
        <x:v>0</x:v>
      </x:c>
      <x:c r="P765">
        <x:f ca="1">IFERROR(IF(0=LEN(ReferenceData!$P$765),"",ReferenceData!$P$765),"")</x:f>
        <x:v>0</x:v>
      </x:c>
      <x:c r="Q765">
        <x:f ca="1">IFERROR(IF(0=LEN(ReferenceData!$Q$765),"",ReferenceData!$Q$765),"")</x:f>
        <x:v>1.25</x:v>
      </x:c>
      <x:c r="R765" t="str">
        <x:f ca="1">IFERROR(IF(0=LEN(ReferenceData!$R$765),"",ReferenceData!$R$765),"")</x:f>
        <x:v/>
      </x:c>
      <x:c r="S765" t="str">
        <x:f ca="1">IFERROR(IF(0=LEN(ReferenceData!$S$765),"",ReferenceData!$S$765),"")</x:f>
        <x:v/>
      </x:c>
    </x:row>
    <x:row r="766" spans="1:19" x14ac:dyDescent="0.25">
      <x:c r="A766" t="str">
        <x:f>IFERROR(IF(0=LEN(ReferenceData!$A$766),"",ReferenceData!$A$766),"")</x:f>
        <x:v xml:space="preserve">        EM Tech</x:v>
      </x:c>
      <x:c r="B766" t="str">
        <x:f>IFERROR(IF(0=LEN(ReferenceData!$B$766),"",ReferenceData!$B$766),"")</x:f>
        <x:v/>
      </x:c>
      <x:c r="C766" t="str">
        <x:f>IFERROR(IF(0=LEN(ReferenceData!$C$766),"",ReferenceData!$C$766),"")</x:f>
        <x:v/>
      </x:c>
      <x:c r="D766" t="str">
        <x:f>IFERROR(IF(0=LEN(ReferenceData!$D$766),"",ReferenceData!$D$766),"")</x:f>
        <x:v/>
      </x:c>
      <x:c r="E766" t="str">
        <x:f>IFERROR(IF(0=LEN(ReferenceData!$E$766),"",ReferenceData!$E$766),"")</x:f>
        <x:v>Sum</x:v>
      </x:c>
      <x:c r="F766">
        <x:f ca="1">IFERROR(IF(0=LEN(ReferenceData!$F$766),"",ReferenceData!$F$766),"")</x:f>
        <x:v>147.770478</x:v>
      </x:c>
      <x:c r="G766">
        <x:f ca="1">IFERROR(IF(0=LEN(ReferenceData!$G$766),"",ReferenceData!$G$766),"")</x:f>
        <x:v>-97.514813000000004</x:v>
      </x:c>
      <x:c r="H766">
        <x:f ca="1">IFERROR(IF(0=LEN(ReferenceData!$H$766),"",ReferenceData!$H$766),"")</x:f>
        <x:v>10.523691000000001</x:v>
      </x:c>
      <x:c r="I766">
        <x:f ca="1">IFERROR(IF(0=LEN(ReferenceData!$I$766),"",ReferenceData!$I$766),"")</x:f>
        <x:v>352.56730999999996</x:v>
      </x:c>
      <x:c r="J766">
        <x:f ca="1">IFERROR(IF(0=LEN(ReferenceData!$J$766),"",ReferenceData!$J$766),"")</x:f>
        <x:v>497.09906700000005</x:v>
      </x:c>
      <x:c r="K766">
        <x:f ca="1">IFERROR(IF(0=LEN(ReferenceData!$K$766),"",ReferenceData!$K$766),"")</x:f>
        <x:v>-21.243480999999992</x:v>
      </x:c>
      <x:c r="L766">
        <x:f ca="1">IFERROR(IF(0=LEN(ReferenceData!$L$766),"",ReferenceData!$L$766),"")</x:f>
        <x:v>-279.65035399999994</x:v>
      </x:c>
      <x:c r="M766">
        <x:f ca="1">IFERROR(IF(0=LEN(ReferenceData!$M$766),"",ReferenceData!$M$766),"")</x:f>
        <x:v>-82.806930000000023</x:v>
      </x:c>
      <x:c r="N766">
        <x:f ca="1">IFERROR(IF(0=LEN(ReferenceData!$N$766),"",ReferenceData!$N$766),"")</x:f>
        <x:v>-391.87785600000001</x:v>
      </x:c>
      <x:c r="O766">
        <x:f ca="1">IFERROR(IF(0=LEN(ReferenceData!$O$766),"",ReferenceData!$O$766),"")</x:f>
        <x:v>-527.79833200000007</x:v>
      </x:c>
      <x:c r="P766">
        <x:f ca="1">IFERROR(IF(0=LEN(ReferenceData!$P$766),"",ReferenceData!$P$766),"")</x:f>
        <x:v>425.65919000000002</x:v>
      </x:c>
      <x:c r="Q766">
        <x:f ca="1">IFERROR(IF(0=LEN(ReferenceData!$Q$766),"",ReferenceData!$Q$766),"")</x:f>
        <x:v>120.83516400000003</x:v>
      </x:c>
      <x:c r="R766">
        <x:f ca="1">IFERROR(IF(0=LEN(ReferenceData!$R$766),"",ReferenceData!$R$766),"")</x:f>
        <x:v>31.963424999999997</x:v>
      </x:c>
      <x:c r="S766">
        <x:f ca="1">IFERROR(IF(0=LEN(ReferenceData!$S$766),"",ReferenceData!$S$766),"")</x:f>
        <x:v>-79.320991000000006</x:v>
      </x:c>
    </x:row>
    <x:row r="767" spans="1:19" x14ac:dyDescent="0.25">
      <x:c r="A767" t="str">
        <x:f>IFERROR(IF(0=LEN(ReferenceData!$A$767),"",ReferenceData!$A$767),"")</x:f>
        <x:v xml:space="preserve">            KraneShares CSI China Internet</x:v>
      </x:c>
      <x:c r="B767" t="str">
        <x:f>IFERROR(IF(0=LEN(ReferenceData!$B$767),"",ReferenceData!$B$767),"")</x:f>
        <x:v>KWEB US Equity</x:v>
      </x:c>
      <x:c r="C767" t="str">
        <x:f>IFERROR(IF(0=LEN(ReferenceData!$C$767),"",ReferenceData!$C$767),"")</x:f>
        <x:v/>
      </x:c>
      <x:c r="D767" t="str">
        <x:f>IFERROR(IF(0=LEN(ReferenceData!$D$767),"",ReferenceData!$D$767),"")</x:f>
        <x:v/>
      </x:c>
      <x:c r="E767" t="str">
        <x:f>IFERROR(IF(0=LEN(ReferenceData!$E$767),"",ReferenceData!$E$767),"")</x:f>
        <x:v>Expression</x:v>
      </x:c>
      <x:c r="F767">
        <x:f ca="1">IFERROR(IF(0=LEN(ReferenceData!$F$767),"",ReferenceData!$F$767),"")</x:f>
        <x:v>169.23249999999999</x:v>
      </x:c>
      <x:c r="G767">
        <x:f ca="1">IFERROR(IF(0=LEN(ReferenceData!$G$767),"",ReferenceData!$G$767),"")</x:f>
        <x:v>-83.912999999999997</x:v>
      </x:c>
      <x:c r="H767">
        <x:f ca="1">IFERROR(IF(0=LEN(ReferenceData!$H$767),"",ReferenceData!$H$767),"")</x:f>
        <x:v>-22.279499999999999</x:v>
      </x:c>
      <x:c r="I767">
        <x:f ca="1">IFERROR(IF(0=LEN(ReferenceData!$I$767),"",ReferenceData!$I$767),"")</x:f>
        <x:v>310.0455</x:v>
      </x:c>
      <x:c r="J767">
        <x:f ca="1">IFERROR(IF(0=LEN(ReferenceData!$J$767),"",ReferenceData!$J$767),"")</x:f>
        <x:v>472.5095</x:v>
      </x:c>
      <x:c r="K767">
        <x:f ca="1">IFERROR(IF(0=LEN(ReferenceData!$K$767),"",ReferenceData!$K$767),"")</x:f>
        <x:v>-69.466499999999996</x:v>
      </x:c>
      <x:c r="L767">
        <x:f ca="1">IFERROR(IF(0=LEN(ReferenceData!$L$767),"",ReferenceData!$L$767),"")</x:f>
        <x:v>-305.60599999999999</x:v>
      </x:c>
      <x:c r="M767">
        <x:f ca="1">IFERROR(IF(0=LEN(ReferenceData!$M$767),"",ReferenceData!$M$767),"")</x:f>
        <x:v>-91.197000000000003</x:v>
      </x:c>
      <x:c r="N767">
        <x:f ca="1">IFERROR(IF(0=LEN(ReferenceData!$N$767),"",ReferenceData!$N$767),"")</x:f>
        <x:v>-401.76749999999998</x:v>
      </x:c>
      <x:c r="O767">
        <x:f ca="1">IFERROR(IF(0=LEN(ReferenceData!$O$767),"",ReferenceData!$O$767),"")</x:f>
        <x:v>-539.11199999999997</x:v>
      </x:c>
      <x:c r="P767">
        <x:f ca="1">IFERROR(IF(0=LEN(ReferenceData!$P$767),"",ReferenceData!$P$767),"")</x:f>
        <x:v>415.32799999999997</x:v>
      </x:c>
      <x:c r="Q767">
        <x:f ca="1">IFERROR(IF(0=LEN(ReferenceData!$Q$767),"",ReferenceData!$Q$767),"")</x:f>
        <x:v>168.07400000000001</x:v>
      </x:c>
      <x:c r="R767">
        <x:f ca="1">IFERROR(IF(0=LEN(ReferenceData!$R$767),"",ReferenceData!$R$767),"")</x:f>
        <x:v>38.523499999999999</x:v>
      </x:c>
      <x:c r="S767">
        <x:f ca="1">IFERROR(IF(0=LEN(ReferenceData!$S$767),"",ReferenceData!$S$767),"")</x:f>
        <x:v>-93.373000000000005</x:v>
      </x:c>
    </x:row>
    <x:row r="768" spans="1:19" x14ac:dyDescent="0.25">
      <x:c r="A768" t="str">
        <x:f>IFERROR(IF(0=LEN(ReferenceData!$A$768),"",ReferenceData!$A$768),"")</x:f>
        <x:v xml:space="preserve">            Direxion Daily CSI China Inter</x:v>
      </x:c>
      <x:c r="B768" t="str">
        <x:f>IFERROR(IF(0=LEN(ReferenceData!$B$768),"",ReferenceData!$B$768),"")</x:f>
        <x:v>CWEB US Equity</x:v>
      </x:c>
      <x:c r="C768" t="str">
        <x:f>IFERROR(IF(0=LEN(ReferenceData!$C$768),"",ReferenceData!$C$768),"")</x:f>
        <x:v/>
      </x:c>
      <x:c r="D768" t="str">
        <x:f>IFERROR(IF(0=LEN(ReferenceData!$D$768),"",ReferenceData!$D$768),"")</x:f>
        <x:v/>
      </x:c>
      <x:c r="E768" t="str">
        <x:f>IFERROR(IF(0=LEN(ReferenceData!$E$768),"",ReferenceData!$E$768),"")</x:f>
        <x:v>Expression</x:v>
      </x:c>
      <x:c r="F768">
        <x:f ca="1">IFERROR(IF(0=LEN(ReferenceData!$F$768),"",ReferenceData!$F$768),"")</x:f>
        <x:v>-6.4367720000000004</x:v>
      </x:c>
      <x:c r="G768">
        <x:f ca="1">IFERROR(IF(0=LEN(ReferenceData!$G$768),"",ReferenceData!$G$768),"")</x:f>
        <x:v>-5.5593130000000004</x:v>
      </x:c>
      <x:c r="H768">
        <x:f ca="1">IFERROR(IF(0=LEN(ReferenceData!$H$768),"",ReferenceData!$H$768),"")</x:f>
        <x:v>10.921975</x:v>
      </x:c>
      <x:c r="I768">
        <x:f ca="1">IFERROR(IF(0=LEN(ReferenceData!$I$768),"",ReferenceData!$I$768),"")</x:f>
        <x:v>32.131926999999997</x:v>
      </x:c>
      <x:c r="J768">
        <x:f ca="1">IFERROR(IF(0=LEN(ReferenceData!$J$768),"",ReferenceData!$J$768),"")</x:f>
        <x:v>1.451317</x:v>
      </x:c>
      <x:c r="K768">
        <x:f ca="1">IFERROR(IF(0=LEN(ReferenceData!$K$768),"",ReferenceData!$K$768),"")</x:f>
        <x:v>47.742494000000001</x:v>
      </x:c>
      <x:c r="L768">
        <x:f ca="1">IFERROR(IF(0=LEN(ReferenceData!$L$768),"",ReferenceData!$L$768),"")</x:f>
        <x:v>26.078545999999999</x:v>
      </x:c>
      <x:c r="M768">
        <x:f ca="1">IFERROR(IF(0=LEN(ReferenceData!$M$768),"",ReferenceData!$M$768),"")</x:f>
        <x:v>9.0823199999999993</x:v>
      </x:c>
      <x:c r="N768">
        <x:f ca="1">IFERROR(IF(0=LEN(ReferenceData!$N$768),"",ReferenceData!$N$768),"")</x:f>
        <x:v>15.197393999999999</x:v>
      </x:c>
      <x:c r="O768">
        <x:f ca="1">IFERROR(IF(0=LEN(ReferenceData!$O$768),"",ReferenceData!$O$768),"")</x:f>
        <x:v>3.8691680000000002</x:v>
      </x:c>
      <x:c r="P768">
        <x:f ca="1">IFERROR(IF(0=LEN(ReferenceData!$P$768),"",ReferenceData!$P$768),"")</x:f>
        <x:v>10.334218</x:v>
      </x:c>
      <x:c r="Q768">
        <x:f ca="1">IFERROR(IF(0=LEN(ReferenceData!$Q$768),"",ReferenceData!$Q$768),"")</x:f>
        <x:v>-22.952138999999999</x:v>
      </x:c>
      <x:c r="R768">
        <x:f ca="1">IFERROR(IF(0=LEN(ReferenceData!$R$768),"",ReferenceData!$R$768),"")</x:f>
        <x:v>-13.693574999999999</x:v>
      </x:c>
      <x:c r="S768">
        <x:f ca="1">IFERROR(IF(0=LEN(ReferenceData!$S$768),"",ReferenceData!$S$768),"")</x:f>
        <x:v>31.751759</x:v>
      </x:c>
    </x:row>
    <x:row r="769" spans="1:19" x14ac:dyDescent="0.25">
      <x:c r="A769" t="str">
        <x:f>IFERROR(IF(0=LEN(ReferenceData!$A$769),"",ReferenceData!$A$769),"")</x:f>
        <x:v xml:space="preserve">            Emerging Markets Internet and</x:v>
      </x:c>
      <x:c r="B769" t="str">
        <x:f>IFERROR(IF(0=LEN(ReferenceData!$B$769),"",ReferenceData!$B$769),"")</x:f>
        <x:v>EMQQ US Equity</x:v>
      </x:c>
      <x:c r="C769" t="str">
        <x:f>IFERROR(IF(0=LEN(ReferenceData!$C$769),"",ReferenceData!$C$769),"")</x:f>
        <x:v/>
      </x:c>
      <x:c r="D769" t="str">
        <x:f>IFERROR(IF(0=LEN(ReferenceData!$D$769),"",ReferenceData!$D$769),"")</x:f>
        <x:v/>
      </x:c>
      <x:c r="E769" t="str">
        <x:f>IFERROR(IF(0=LEN(ReferenceData!$E$769),"",ReferenceData!$E$769),"")</x:f>
        <x:v>Expression</x:v>
      </x:c>
      <x:c r="F769">
        <x:f ca="1">IFERROR(IF(0=LEN(ReferenceData!$F$769),"",ReferenceData!$F$769),"")</x:f>
        <x:v>-2.968</x:v>
      </x:c>
      <x:c r="G769">
        <x:f ca="1">IFERROR(IF(0=LEN(ReferenceData!$G$769),"",ReferenceData!$G$769),"")</x:f>
        <x:v>-18.637499999999999</x:v>
      </x:c>
      <x:c r="H769">
        <x:f ca="1">IFERROR(IF(0=LEN(ReferenceData!$H$769),"",ReferenceData!$H$769),"")</x:f>
        <x:v>-13.81</x:v>
      </x:c>
      <x:c r="I769">
        <x:f ca="1">IFERROR(IF(0=LEN(ReferenceData!$I$769),"",ReferenceData!$I$769),"")</x:f>
        <x:v>-9.3315000000000001</x:v>
      </x:c>
      <x:c r="J769">
        <x:f ca="1">IFERROR(IF(0=LEN(ReferenceData!$J$769),"",ReferenceData!$J$769),"")</x:f>
        <x:v>-10.551500000000001</x:v>
      </x:c>
      <x:c r="K769">
        <x:f ca="1">IFERROR(IF(0=LEN(ReferenceData!$K$769),"",ReferenceData!$K$769),"")</x:f>
        <x:v>-18.140999999999998</x:v>
      </x:c>
      <x:c r="L769">
        <x:f ca="1">IFERROR(IF(0=LEN(ReferenceData!$L$769),"",ReferenceData!$L$769),"")</x:f>
        <x:v>-13.4445</x:v>
      </x:c>
      <x:c r="M769">
        <x:f ca="1">IFERROR(IF(0=LEN(ReferenceData!$M$769),"",ReferenceData!$M$769),"")</x:f>
        <x:v>-2.9350000000000001</x:v>
      </x:c>
      <x:c r="N769">
        <x:f ca="1">IFERROR(IF(0=LEN(ReferenceData!$N$769),"",ReferenceData!$N$769),"")</x:f>
        <x:v>-6.1070000000000002</x:v>
      </x:c>
      <x:c r="O769">
        <x:f ca="1">IFERROR(IF(0=LEN(ReferenceData!$O$769),"",ReferenceData!$O$769),"")</x:f>
        <x:v>4.8464999999999998</x:v>
      </x:c>
      <x:c r="P769">
        <x:f ca="1">IFERROR(IF(0=LEN(ReferenceData!$P$769),"",ReferenceData!$P$769),"")</x:f>
        <x:v>0</x:v>
      </x:c>
      <x:c r="Q769">
        <x:f ca="1">IFERROR(IF(0=LEN(ReferenceData!$Q$769),"",ReferenceData!$Q$769),"")</x:f>
        <x:v>-25.583500000000001</x:v>
      </x:c>
      <x:c r="R769">
        <x:f ca="1">IFERROR(IF(0=LEN(ReferenceData!$R$769),"",ReferenceData!$R$769),"")</x:f>
        <x:v>6.6014999999999997</x:v>
      </x:c>
      <x:c r="S769">
        <x:f ca="1">IFERROR(IF(0=LEN(ReferenceData!$S$769),"",ReferenceData!$S$769),"")</x:f>
        <x:v>-17.936</x:v>
      </x:c>
    </x:row>
    <x:row r="770" spans="1:19" x14ac:dyDescent="0.25">
      <x:c r="A770" t="str">
        <x:f>IFERROR(IF(0=LEN(ReferenceData!$A$770),"",ReferenceData!$A$770),"")</x:f>
        <x:v xml:space="preserve">            Global X MSCI China Informatio</x:v>
      </x:c>
      <x:c r="B770" t="str">
        <x:f>IFERROR(IF(0=LEN(ReferenceData!$B$770),"",ReferenceData!$B$770),"")</x:f>
        <x:v>CHIK US Equity</x:v>
      </x:c>
      <x:c r="C770" t="str">
        <x:f>IFERROR(IF(0=LEN(ReferenceData!$C$770),"",ReferenceData!$C$770),"")</x:f>
        <x:v/>
      </x:c>
      <x:c r="D770" t="str">
        <x:f>IFERROR(IF(0=LEN(ReferenceData!$D$770),"",ReferenceData!$D$770),"")</x:f>
        <x:v/>
      </x:c>
      <x:c r="E770" t="str">
        <x:f>IFERROR(IF(0=LEN(ReferenceData!$E$770),"",ReferenceData!$E$770),"")</x:f>
        <x:v>Expression</x:v>
      </x:c>
      <x:c r="F770">
        <x:f ca="1">IFERROR(IF(0=LEN(ReferenceData!$F$770),"",ReferenceData!$F$770),"")</x:f>
        <x:v>0</x:v>
      </x:c>
      <x:c r="G770">
        <x:f ca="1">IFERROR(IF(0=LEN(ReferenceData!$G$770),"",ReferenceData!$G$770),"")</x:f>
        <x:v>0</x:v>
      </x:c>
      <x:c r="H770">
        <x:f ca="1">IFERROR(IF(0=LEN(ReferenceData!$H$770),"",ReferenceData!$H$770),"")</x:f>
        <x:v>0</x:v>
      </x:c>
      <x:c r="I770">
        <x:f ca="1">IFERROR(IF(0=LEN(ReferenceData!$I$770),"",ReferenceData!$I$770),"")</x:f>
        <x:v>-0.15509999999999999</x:v>
      </x:c>
      <x:c r="J770">
        <x:f ca="1">IFERROR(IF(0=LEN(ReferenceData!$J$770),"",ReferenceData!$J$770),"")</x:f>
        <x:v>0</x:v>
      </x:c>
      <x:c r="K770">
        <x:f ca="1">IFERROR(IF(0=LEN(ReferenceData!$K$770),"",ReferenceData!$K$770),"")</x:f>
        <x:v>-1.0014000000000001</x:v>
      </x:c>
      <x:c r="L770">
        <x:f ca="1">IFERROR(IF(0=LEN(ReferenceData!$L$770),"",ReferenceData!$L$770),"")</x:f>
        <x:v>0</x:v>
      </x:c>
      <x:c r="M770">
        <x:f ca="1">IFERROR(IF(0=LEN(ReferenceData!$M$770),"",ReferenceData!$M$770),"")</x:f>
        <x:v>-0.54749999999999999</x:v>
      </x:c>
      <x:c r="N770">
        <x:f ca="1">IFERROR(IF(0=LEN(ReferenceData!$N$770),"",ReferenceData!$N$770),"")</x:f>
        <x:v>0</x:v>
      </x:c>
      <x:c r="O770">
        <x:f ca="1">IFERROR(IF(0=LEN(ReferenceData!$O$770),"",ReferenceData!$O$770),"")</x:f>
        <x:v>0</x:v>
      </x:c>
      <x:c r="P770">
        <x:f ca="1">IFERROR(IF(0=LEN(ReferenceData!$P$770),"",ReferenceData!$P$770),"")</x:f>
        <x:v>0</x:v>
      </x:c>
      <x:c r="Q770">
        <x:f ca="1">IFERROR(IF(0=LEN(ReferenceData!$Q$770),"",ReferenceData!$Q$770),"")</x:f>
        <x:v>-0.4929</x:v>
      </x:c>
      <x:c r="R770">
        <x:f ca="1">IFERROR(IF(0=LEN(ReferenceData!$R$770),"",ReferenceData!$R$770),"")</x:f>
        <x:v>0</x:v>
      </x:c>
      <x:c r="S770">
        <x:f ca="1">IFERROR(IF(0=LEN(ReferenceData!$S$770),"",ReferenceData!$S$770),"")</x:f>
        <x:v>0</x:v>
      </x:c>
    </x:row>
    <x:row r="771" spans="1:19" x14ac:dyDescent="0.25">
      <x:c r="A771" t="str">
        <x:f>IFERROR(IF(0=LEN(ReferenceData!$A$771),"",ReferenceData!$A$771),"")</x:f>
        <x:v xml:space="preserve">            FMQQ The Next Frontier Interne</x:v>
      </x:c>
      <x:c r="B771" t="str">
        <x:f>IFERROR(IF(0=LEN(ReferenceData!$B$771),"",ReferenceData!$B$771),"")</x:f>
        <x:v>FMQQ US Equity</x:v>
      </x:c>
      <x:c r="C771" t="str">
        <x:f>IFERROR(IF(0=LEN(ReferenceData!$C$771),"",ReferenceData!$C$771),"")</x:f>
        <x:v/>
      </x:c>
      <x:c r="D771" t="str">
        <x:f>IFERROR(IF(0=LEN(ReferenceData!$D$771),"",ReferenceData!$D$771),"")</x:f>
        <x:v/>
      </x:c>
      <x:c r="E771" t="str">
        <x:f>IFERROR(IF(0=LEN(ReferenceData!$E$771),"",ReferenceData!$E$771),"")</x:f>
        <x:v>Expression</x:v>
      </x:c>
      <x:c r="F771">
        <x:f ca="1">IFERROR(IF(0=LEN(ReferenceData!$F$771),"",ReferenceData!$F$771),"")</x:f>
        <x:v>0</x:v>
      </x:c>
      <x:c r="G771">
        <x:f ca="1">IFERROR(IF(0=LEN(ReferenceData!$G$771),"",ReferenceData!$G$771),"")</x:f>
        <x:v>0</x:v>
      </x:c>
      <x:c r="H771">
        <x:f ca="1">IFERROR(IF(0=LEN(ReferenceData!$H$771),"",ReferenceData!$H$771),"")</x:f>
        <x:v>0</x:v>
      </x:c>
      <x:c r="I771">
        <x:f ca="1">IFERROR(IF(0=LEN(ReferenceData!$I$771),"",ReferenceData!$I$771),"")</x:f>
        <x:v>1.0529999999999999</x:v>
      </x:c>
      <x:c r="J771">
        <x:f ca="1">IFERROR(IF(0=LEN(ReferenceData!$J$771),"",ReferenceData!$J$771),"")</x:f>
        <x:v>0.53649999999999998</x:v>
      </x:c>
      <x:c r="K771">
        <x:f ca="1">IFERROR(IF(0=LEN(ReferenceData!$K$771),"",ReferenceData!$K$771),"")</x:f>
        <x:v>0</x:v>
      </x:c>
      <x:c r="L771">
        <x:f ca="1">IFERROR(IF(0=LEN(ReferenceData!$L$771),"",ReferenceData!$L$771),"")</x:f>
        <x:v>0</x:v>
      </x:c>
      <x:c r="M771">
        <x:f ca="1">IFERROR(IF(0=LEN(ReferenceData!$M$771),"",ReferenceData!$M$771),"")</x:f>
        <x:v>0</x:v>
      </x:c>
      <x:c r="N771">
        <x:f ca="1">IFERROR(IF(0=LEN(ReferenceData!$N$771),"",ReferenceData!$N$771),"")</x:f>
        <x:v>0.25950000000000001</x:v>
      </x:c>
      <x:c r="O771">
        <x:f ca="1">IFERROR(IF(0=LEN(ReferenceData!$O$771),"",ReferenceData!$O$771),"")</x:f>
        <x:v>0</x:v>
      </x:c>
      <x:c r="P771">
        <x:f ca="1">IFERROR(IF(0=LEN(ReferenceData!$P$771),"",ReferenceData!$P$771),"")</x:f>
        <x:v>0</x:v>
      </x:c>
      <x:c r="Q771">
        <x:f ca="1">IFERROR(IF(0=LEN(ReferenceData!$Q$771),"",ReferenceData!$Q$771),"")</x:f>
        <x:v>1.2335</x:v>
      </x:c>
      <x:c r="R771">
        <x:f ca="1">IFERROR(IF(0=LEN(ReferenceData!$R$771),"",ReferenceData!$R$771),"")</x:f>
        <x:v>0.53200000000000003</x:v>
      </x:c>
      <x:c r="S771">
        <x:f ca="1">IFERROR(IF(0=LEN(ReferenceData!$S$771),"",ReferenceData!$S$771),"")</x:f>
        <x:v>0.23624999999999999</x:v>
      </x:c>
    </x:row>
    <x:row r="772" spans="1:19" x14ac:dyDescent="0.25">
      <x:c r="A772" t="str">
        <x:f>IFERROR(IF(0=LEN(ReferenceData!$A$772),"",ReferenceData!$A$772),"")</x:f>
        <x:v xml:space="preserve">            Global X Emerging Markets Inte</x:v>
      </x:c>
      <x:c r="B772" t="str">
        <x:f>IFERROR(IF(0=LEN(ReferenceData!$B$772),"",ReferenceData!$B$772),"")</x:f>
        <x:v>EWEB US Equity</x:v>
      </x:c>
      <x:c r="C772" t="str">
        <x:f>IFERROR(IF(0=LEN(ReferenceData!$C$772),"",ReferenceData!$C$772),"")</x:f>
        <x:v/>
      </x:c>
      <x:c r="D772" t="str">
        <x:f>IFERROR(IF(0=LEN(ReferenceData!$D$772),"",ReferenceData!$D$772),"")</x:f>
        <x:v/>
      </x:c>
      <x:c r="E772" t="str">
        <x:f>IFERROR(IF(0=LEN(ReferenceData!$E$772),"",ReferenceData!$E$772),"")</x:f>
        <x:v>Expression</x:v>
      </x:c>
      <x:c r="F772">
        <x:f ca="1">IFERROR(IF(0=LEN(ReferenceData!$F$772),"",ReferenceData!$F$772),"")</x:f>
        <x:v>0</x:v>
      </x:c>
      <x:c r="G772">
        <x:f ca="1">IFERROR(IF(0=LEN(ReferenceData!$G$772),"",ReferenceData!$G$772),"")</x:f>
        <x:v>0</x:v>
      </x:c>
      <x:c r="H772">
        <x:f ca="1">IFERROR(IF(0=LEN(ReferenceData!$H$772),"",ReferenceData!$H$772),"")</x:f>
        <x:v>0</x:v>
      </x:c>
      <x:c r="I772">
        <x:f ca="1">IFERROR(IF(0=LEN(ReferenceData!$I$772),"",ReferenceData!$I$772),"")</x:f>
        <x:v>0</x:v>
      </x:c>
      <x:c r="J772">
        <x:f ca="1">IFERROR(IF(0=LEN(ReferenceData!$J$772),"",ReferenceData!$J$772),"")</x:f>
        <x:v>0</x:v>
      </x:c>
      <x:c r="K772">
        <x:f ca="1">IFERROR(IF(0=LEN(ReferenceData!$K$772),"",ReferenceData!$K$772),"")</x:f>
        <x:v>0</x:v>
      </x:c>
      <x:c r="L772">
        <x:f ca="1">IFERROR(IF(0=LEN(ReferenceData!$L$772),"",ReferenceData!$L$772),"")</x:f>
        <x:v>0</x:v>
      </x:c>
      <x:c r="M772">
        <x:f ca="1">IFERROR(IF(0=LEN(ReferenceData!$M$772),"",ReferenceData!$M$772),"")</x:f>
        <x:v>0</x:v>
      </x:c>
      <x:c r="N772">
        <x:f ca="1">IFERROR(IF(0=LEN(ReferenceData!$N$772),"",ReferenceData!$N$772),"")</x:f>
        <x:v>0</x:v>
      </x:c>
      <x:c r="O772">
        <x:f ca="1">IFERROR(IF(0=LEN(ReferenceData!$O$772),"",ReferenceData!$O$772),"")</x:f>
        <x:v>0</x:v>
      </x:c>
      <x:c r="P772">
        <x:f ca="1">IFERROR(IF(0=LEN(ReferenceData!$P$772),"",ReferenceData!$P$772),"")</x:f>
        <x:v>-3.0279999999999999E-3</x:v>
      </x:c>
      <x:c r="Q772">
        <x:f ca="1">IFERROR(IF(0=LEN(ReferenceData!$Q$772),"",ReferenceData!$Q$772),"")</x:f>
        <x:v>3.0000000000000001E-6</x:v>
      </x:c>
      <x:c r="R772">
        <x:f ca="1">IFERROR(IF(0=LEN(ReferenceData!$R$772),"",ReferenceData!$R$772),"")</x:f>
        <x:v>0</x:v>
      </x:c>
      <x:c r="S772">
        <x:f ca="1">IFERROR(IF(0=LEN(ReferenceData!$S$772),"",ReferenceData!$S$772),"")</x:f>
        <x:v>0</x:v>
      </x:c>
    </x:row>
    <x:row r="773" spans="1:19" x14ac:dyDescent="0.25">
      <x:c r="A773" t="str">
        <x:f>IFERROR(IF(0=LEN(ReferenceData!$A$773),"",ReferenceData!$A$773),"")</x:f>
        <x:v xml:space="preserve">            Vaneck Digital India ETF</x:v>
      </x:c>
      <x:c r="B773" t="str">
        <x:f>IFERROR(IF(0=LEN(ReferenceData!$B$773),"",ReferenceData!$B$773),"")</x:f>
        <x:v>DGIN US Equity</x:v>
      </x:c>
      <x:c r="C773" t="str">
        <x:f>IFERROR(IF(0=LEN(ReferenceData!$C$773),"",ReferenceData!$C$773),"")</x:f>
        <x:v/>
      </x:c>
      <x:c r="D773" t="str">
        <x:f>IFERROR(IF(0=LEN(ReferenceData!$D$773),"",ReferenceData!$D$773),"")</x:f>
        <x:v/>
      </x:c>
      <x:c r="E773" t="str">
        <x:f>IFERROR(IF(0=LEN(ReferenceData!$E$773),"",ReferenceData!$E$773),"")</x:f>
        <x:v>Expression</x:v>
      </x:c>
      <x:c r="F773">
        <x:f ca="1">IFERROR(IF(0=LEN(ReferenceData!$F$773),"",ReferenceData!$F$773),"")</x:f>
        <x:v>0</x:v>
      </x:c>
      <x:c r="G773">
        <x:f ca="1">IFERROR(IF(0=LEN(ReferenceData!$G$773),"",ReferenceData!$G$773),"")</x:f>
        <x:v>0</x:v>
      </x:c>
      <x:c r="H773">
        <x:f ca="1">IFERROR(IF(0=LEN(ReferenceData!$H$773),"",ReferenceData!$H$773),"")</x:f>
        <x:v>0.82736600000000005</x:v>
      </x:c>
      <x:c r="I773">
        <x:f ca="1">IFERROR(IF(0=LEN(ReferenceData!$I$773),"",ReferenceData!$I$773),"")</x:f>
        <x:v>0.79573300000000002</x:v>
      </x:c>
      <x:c r="J773">
        <x:f ca="1">IFERROR(IF(0=LEN(ReferenceData!$J$773),"",ReferenceData!$J$773),"")</x:f>
        <x:v>0</x:v>
      </x:c>
      <x:c r="K773">
        <x:f ca="1">IFERROR(IF(0=LEN(ReferenceData!$K$773),"",ReferenceData!$K$773),"")</x:f>
        <x:v>0.74167499999999997</x:v>
      </x:c>
      <x:c r="L773">
        <x:f ca="1">IFERROR(IF(0=LEN(ReferenceData!$L$773),"",ReferenceData!$L$773),"")</x:f>
        <x:v>0</x:v>
      </x:c>
      <x:c r="M773">
        <x:f ca="1">IFERROR(IF(0=LEN(ReferenceData!$M$773),"",ReferenceData!$M$773),"")</x:f>
        <x:v>0</x:v>
      </x:c>
      <x:c r="N773">
        <x:f ca="1">IFERROR(IF(0=LEN(ReferenceData!$N$773),"",ReferenceData!$N$773),"")</x:f>
        <x:v>0</x:v>
      </x:c>
      <x:c r="O773">
        <x:f ca="1">IFERROR(IF(0=LEN(ReferenceData!$O$773),"",ReferenceData!$O$773),"")</x:f>
        <x:v>0</x:v>
      </x:c>
      <x:c r="P773">
        <x:f ca="1">IFERROR(IF(0=LEN(ReferenceData!$P$773),"",ReferenceData!$P$773),"")</x:f>
        <x:v>0</x:v>
      </x:c>
      <x:c r="Q773">
        <x:f ca="1">IFERROR(IF(0=LEN(ReferenceData!$Q$773),"",ReferenceData!$Q$773),"")</x:f>
        <x:v>0</x:v>
      </x:c>
      <x:c r="R773">
        <x:f ca="1">IFERROR(IF(0=LEN(ReferenceData!$R$773),"",ReferenceData!$R$773),"")</x:f>
        <x:v>0</x:v>
      </x:c>
      <x:c r="S773">
        <x:f ca="1">IFERROR(IF(0=LEN(ReferenceData!$S$773),"",ReferenceData!$S$773),"")</x:f>
        <x:v>0</x:v>
      </x:c>
    </x:row>
    <x:row r="774" spans="1:19" x14ac:dyDescent="0.25">
      <x:c r="A774" t="str">
        <x:f>IFERROR(IF(0=LEN(ReferenceData!$A$774),"",ReferenceData!$A$774),"")</x:f>
        <x:v xml:space="preserve">            iShares MSCI China Multisector</x:v>
      </x:c>
      <x:c r="B774" t="str">
        <x:f>IFERROR(IF(0=LEN(ReferenceData!$B$774),"",ReferenceData!$B$774),"")</x:f>
        <x:v>TCHI US Equity</x:v>
      </x:c>
      <x:c r="C774" t="str">
        <x:f>IFERROR(IF(0=LEN(ReferenceData!$C$774),"",ReferenceData!$C$774),"")</x:f>
        <x:v/>
      </x:c>
      <x:c r="D774" t="str">
        <x:f>IFERROR(IF(0=LEN(ReferenceData!$D$774),"",ReferenceData!$D$774),"")</x:f>
        <x:v/>
      </x:c>
      <x:c r="E774" t="str">
        <x:f>IFERROR(IF(0=LEN(ReferenceData!$E$774),"",ReferenceData!$E$774),"")</x:f>
        <x:v>Expression</x:v>
      </x:c>
      <x:c r="F774">
        <x:f ca="1">IFERROR(IF(0=LEN(ReferenceData!$F$774),"",ReferenceData!$F$774),"")</x:f>
        <x:v>0</x:v>
      </x:c>
      <x:c r="G774">
        <x:f ca="1">IFERROR(IF(0=LEN(ReferenceData!$G$774),"",ReferenceData!$G$774),"")</x:f>
        <x:v>0</x:v>
      </x:c>
      <x:c r="H774">
        <x:f ca="1">IFERROR(IF(0=LEN(ReferenceData!$H$774),"",ReferenceData!$H$774),"")</x:f>
        <x:v>0</x:v>
      </x:c>
      <x:c r="I774">
        <x:f ca="1">IFERROR(IF(0=LEN(ReferenceData!$I$774),"",ReferenceData!$I$774),"")</x:f>
        <x:v>0</x:v>
      </x:c>
      <x:c r="J774">
        <x:f ca="1">IFERROR(IF(0=LEN(ReferenceData!$J$774),"",ReferenceData!$J$774),"")</x:f>
        <x:v>0</x:v>
      </x:c>
      <x:c r="K774">
        <x:f ca="1">IFERROR(IF(0=LEN(ReferenceData!$K$774),"",ReferenceData!$K$774),"")</x:f>
        <x:v>0</x:v>
      </x:c>
      <x:c r="L774">
        <x:f ca="1">IFERROR(IF(0=LEN(ReferenceData!$L$774),"",ReferenceData!$L$774),"")</x:f>
        <x:v>0</x:v>
      </x:c>
      <x:c r="M774">
        <x:f ca="1">IFERROR(IF(0=LEN(ReferenceData!$M$774),"",ReferenceData!$M$774),"")</x:f>
        <x:v>0</x:v>
      </x:c>
      <x:c r="N774">
        <x:f ca="1">IFERROR(IF(0=LEN(ReferenceData!$N$774),"",ReferenceData!$N$774),"")</x:f>
        <x:v>0</x:v>
      </x:c>
      <x:c r="O774">
        <x:f ca="1">IFERROR(IF(0=LEN(ReferenceData!$O$774),"",ReferenceData!$O$774),"")</x:f>
        <x:v>0</x:v>
      </x:c>
      <x:c r="P774">
        <x:f ca="1">IFERROR(IF(0=LEN(ReferenceData!$P$774),"",ReferenceData!$P$774),"")</x:f>
        <x:v>0</x:v>
      </x:c>
      <x:c r="Q774">
        <x:f ca="1">IFERROR(IF(0=LEN(ReferenceData!$Q$774),"",ReferenceData!$Q$774),"")</x:f>
        <x:v>0</x:v>
      </x:c>
      <x:c r="R774">
        <x:f ca="1">IFERROR(IF(0=LEN(ReferenceData!$R$774),"",ReferenceData!$R$774),"")</x:f>
        <x:v>0</x:v>
      </x:c>
      <x:c r="S774">
        <x:f ca="1">IFERROR(IF(0=LEN(ReferenceData!$S$774),"",ReferenceData!$S$774),"")</x:f>
        <x:v>0</x:v>
      </x:c>
    </x:row>
    <x:row r="775" spans="1:19" x14ac:dyDescent="0.25">
      <x:c r="A775" t="str">
        <x:f>IFERROR(IF(0=LEN(ReferenceData!$A$775),"",ReferenceData!$A$775),"")</x:f>
        <x:v xml:space="preserve">            Kraneshares China Internet And</x:v>
      </x:c>
      <x:c r="B775" t="str">
        <x:f>IFERROR(IF(0=LEN(ReferenceData!$B$775),"",ReferenceData!$B$775),"")</x:f>
        <x:v>KLIP US Equity</x:v>
      </x:c>
      <x:c r="C775" t="str">
        <x:f>IFERROR(IF(0=LEN(ReferenceData!$C$775),"",ReferenceData!$C$775),"")</x:f>
        <x:v/>
      </x:c>
      <x:c r="D775" t="str">
        <x:f>IFERROR(IF(0=LEN(ReferenceData!$D$775),"",ReferenceData!$D$775),"")</x:f>
        <x:v/>
      </x:c>
      <x:c r="E775" t="str">
        <x:f>IFERROR(IF(0=LEN(ReferenceData!$E$775),"",ReferenceData!$E$775),"")</x:f>
        <x:v>Expression</x:v>
      </x:c>
      <x:c r="F775">
        <x:f ca="1">IFERROR(IF(0=LEN(ReferenceData!$F$775),"",ReferenceData!$F$775),"")</x:f>
        <x:v>-12.05725</x:v>
      </x:c>
      <x:c r="G775">
        <x:f ca="1">IFERROR(IF(0=LEN(ReferenceData!$G$775),"",ReferenceData!$G$775),"")</x:f>
        <x:v>10.595000000000001</x:v>
      </x:c>
      <x:c r="H775">
        <x:f ca="1">IFERROR(IF(0=LEN(ReferenceData!$H$775),"",ReferenceData!$H$775),"")</x:f>
        <x:v>33.477249999999998</x:v>
      </x:c>
      <x:c r="I775">
        <x:f ca="1">IFERROR(IF(0=LEN(ReferenceData!$I$775),"",ReferenceData!$I$775),"")</x:f>
        <x:v>16.414249999999999</x:v>
      </x:c>
      <x:c r="J775">
        <x:f ca="1">IFERROR(IF(0=LEN(ReferenceData!$J$775),"",ReferenceData!$J$775),"")</x:f>
        <x:v>31.826250000000002</x:v>
      </x:c>
      <x:c r="K775">
        <x:f ca="1">IFERROR(IF(0=LEN(ReferenceData!$K$775),"",ReferenceData!$K$775),"")</x:f>
        <x:v>16.242249999999999</x:v>
      </x:c>
      <x:c r="L775">
        <x:f ca="1">IFERROR(IF(0=LEN(ReferenceData!$L$775),"",ReferenceData!$L$775),"")</x:f>
        <x:v>13.013500000000001</x:v>
      </x:c>
      <x:c r="M775">
        <x:f ca="1">IFERROR(IF(0=LEN(ReferenceData!$M$775),"",ReferenceData!$M$775),"")</x:f>
        <x:v>2.5892499999999998</x:v>
      </x:c>
      <x:c r="N775">
        <x:f ca="1">IFERROR(IF(0=LEN(ReferenceData!$N$775),"",ReferenceData!$N$775),"")</x:f>
        <x:v>0.53974999999999995</x:v>
      </x:c>
      <x:c r="O775">
        <x:f ca="1">IFERROR(IF(0=LEN(ReferenceData!$O$775),"",ReferenceData!$O$775),"")</x:f>
        <x:v>2.391</x:v>
      </x:c>
      <x:c r="P775">
        <x:f ca="1">IFERROR(IF(0=LEN(ReferenceData!$P$775),"",ReferenceData!$P$775),"")</x:f>
        <x:v>0</x:v>
      </x:c>
      <x:c r="Q775" t="str">
        <x:f ca="1">IFERROR(IF(0=LEN(ReferenceData!$Q$775),"",ReferenceData!$Q$775),"")</x:f>
        <x:v/>
      </x:c>
      <x:c r="R775" t="str">
        <x:f ca="1">IFERROR(IF(0=LEN(ReferenceData!$R$775),"",ReferenceData!$R$775),"")</x:f>
        <x:v/>
      </x:c>
      <x:c r="S775" t="str">
        <x:f ca="1">IFERROR(IF(0=LEN(ReferenceData!$S$775),"",ReferenceData!$S$775),"")</x:f>
        <x:v/>
      </x:c>
    </x:row>
    <x:row r="776" spans="1:19" x14ac:dyDescent="0.25">
      <x:c r="A776" t="str">
        <x:f>IFERROR(IF(0=LEN(ReferenceData!$A$776),"",ReferenceData!$A$776),"")</x:f>
        <x:v xml:space="preserve">            INQQ The India Internet &amp; Ecom</x:v>
      </x:c>
      <x:c r="B776" t="str">
        <x:f>IFERROR(IF(0=LEN(ReferenceData!$B$776),"",ReferenceData!$B$776),"")</x:f>
        <x:v>INQQ US Equity</x:v>
      </x:c>
      <x:c r="C776" t="str">
        <x:f>IFERROR(IF(0=LEN(ReferenceData!$C$776),"",ReferenceData!$C$776),"")</x:f>
        <x:v/>
      </x:c>
      <x:c r="D776" t="str">
        <x:f>IFERROR(IF(0=LEN(ReferenceData!$D$776),"",ReferenceData!$D$776),"")</x:f>
        <x:v/>
      </x:c>
      <x:c r="E776" t="str">
        <x:f>IFERROR(IF(0=LEN(ReferenceData!$E$776),"",ReferenceData!$E$776),"")</x:f>
        <x:v>Expression</x:v>
      </x:c>
      <x:c r="F776">
        <x:f ca="1">IFERROR(IF(0=LEN(ReferenceData!$F$776),"",ReferenceData!$F$776),"")</x:f>
        <x:v>0</x:v>
      </x:c>
      <x:c r="G776">
        <x:f ca="1">IFERROR(IF(0=LEN(ReferenceData!$G$776),"",ReferenceData!$G$776),"")</x:f>
        <x:v>0</x:v>
      </x:c>
      <x:c r="H776">
        <x:f ca="1">IFERROR(IF(0=LEN(ReferenceData!$H$776),"",ReferenceData!$H$776),"")</x:f>
        <x:v>1.3866000000000001</x:v>
      </x:c>
      <x:c r="I776">
        <x:f ca="1">IFERROR(IF(0=LEN(ReferenceData!$I$776),"",ReferenceData!$I$776),"")</x:f>
        <x:v>1.6134999999999999</x:v>
      </x:c>
      <x:c r="J776">
        <x:f ca="1">IFERROR(IF(0=LEN(ReferenceData!$J$776),"",ReferenceData!$J$776),"")</x:f>
        <x:v>1.327</x:v>
      </x:c>
      <x:c r="K776">
        <x:f ca="1">IFERROR(IF(0=LEN(ReferenceData!$K$776),"",ReferenceData!$K$776),"")</x:f>
        <x:v>2.6389999999999998</x:v>
      </x:c>
      <x:c r="L776">
        <x:f ca="1">IFERROR(IF(0=LEN(ReferenceData!$L$776),"",ReferenceData!$L$776),"")</x:f>
        <x:v>0.30809999999999998</x:v>
      </x:c>
      <x:c r="M776">
        <x:f ca="1">IFERROR(IF(0=LEN(ReferenceData!$M$776),"",ReferenceData!$M$776),"")</x:f>
        <x:v>0.20100000000000001</x:v>
      </x:c>
      <x:c r="N776">
        <x:f ca="1">IFERROR(IF(0=LEN(ReferenceData!$N$776),"",ReferenceData!$N$776),"")</x:f>
        <x:v>0</x:v>
      </x:c>
      <x:c r="O776">
        <x:f ca="1">IFERROR(IF(0=LEN(ReferenceData!$O$776),"",ReferenceData!$O$776),"")</x:f>
        <x:v>0.20699999999999999</x:v>
      </x:c>
      <x:c r="P776">
        <x:f ca="1">IFERROR(IF(0=LEN(ReferenceData!$P$776),"",ReferenceData!$P$776),"")</x:f>
        <x:v>0</x:v>
      </x:c>
      <x:c r="Q776">
        <x:f ca="1">IFERROR(IF(0=LEN(ReferenceData!$Q$776),"",ReferenceData!$Q$776),"")</x:f>
        <x:v>0.55620000000000003</x:v>
      </x:c>
      <x:c r="R776">
        <x:f ca="1">IFERROR(IF(0=LEN(ReferenceData!$R$776),"",ReferenceData!$R$776),"")</x:f>
        <x:v>0</x:v>
      </x:c>
      <x:c r="S776">
        <x:f ca="1">IFERROR(IF(0=LEN(ReferenceData!$S$776),"",ReferenceData!$S$776),"")</x:f>
        <x:v>0</x:v>
      </x:c>
    </x:row>
    <x:row r="777" spans="1:19" x14ac:dyDescent="0.25">
      <x:c r="A777" t="str">
        <x:f>IFERROR(IF(0=LEN(ReferenceData!$A$777),"",ReferenceData!$A$777),"")</x:f>
        <x:v xml:space="preserve">        FinTech</x:v>
      </x:c>
      <x:c r="B777" t="str">
        <x:f>IFERROR(IF(0=LEN(ReferenceData!$B$777),"",ReferenceData!$B$777),"")</x:f>
        <x:v/>
      </x:c>
      <x:c r="C777" t="str">
        <x:f>IFERROR(IF(0=LEN(ReferenceData!$C$777),"",ReferenceData!$C$777),"")</x:f>
        <x:v/>
      </x:c>
      <x:c r="D777" t="str">
        <x:f>IFERROR(IF(0=LEN(ReferenceData!$D$777),"",ReferenceData!$D$777),"")</x:f>
        <x:v/>
      </x:c>
      <x:c r="E777" t="str">
        <x:f>IFERROR(IF(0=LEN(ReferenceData!$E$777),"",ReferenceData!$E$777),"")</x:f>
        <x:v>Sum</x:v>
      </x:c>
      <x:c r="F777">
        <x:f ca="1">IFERROR(IF(0=LEN(ReferenceData!$F$777),"",ReferenceData!$F$777),"")</x:f>
        <x:v>-22.039434</x:v>
      </x:c>
      <x:c r="G777">
        <x:f ca="1">IFERROR(IF(0=LEN(ReferenceData!$G$777),"",ReferenceData!$G$777),"")</x:f>
        <x:v>-57.400293999999995</x:v>
      </x:c>
      <x:c r="H777">
        <x:f ca="1">IFERROR(IF(0=LEN(ReferenceData!$H$777),"",ReferenceData!$H$777),"")</x:f>
        <x:v>-26.182409999999997</x:v>
      </x:c>
      <x:c r="I777">
        <x:f ca="1">IFERROR(IF(0=LEN(ReferenceData!$I$777),"",ReferenceData!$I$777),"")</x:f>
        <x:v>-67.653715999999989</x:v>
      </x:c>
      <x:c r="J777">
        <x:f ca="1">IFERROR(IF(0=LEN(ReferenceData!$J$777),"",ReferenceData!$J$777),"")</x:f>
        <x:v>7.4487290000000002</x:v>
      </x:c>
      <x:c r="K777">
        <x:f ca="1">IFERROR(IF(0=LEN(ReferenceData!$K$777),"",ReferenceData!$K$777),"")</x:f>
        <x:v>-35.459355000000002</x:v>
      </x:c>
      <x:c r="L777">
        <x:f ca="1">IFERROR(IF(0=LEN(ReferenceData!$L$777),"",ReferenceData!$L$777),"")</x:f>
        <x:v>-22.437460000000002</x:v>
      </x:c>
      <x:c r="M777">
        <x:f ca="1">IFERROR(IF(0=LEN(ReferenceData!$M$777),"",ReferenceData!$M$777),"")</x:f>
        <x:v>-20.738085999999999</x:v>
      </x:c>
      <x:c r="N777">
        <x:f ca="1">IFERROR(IF(0=LEN(ReferenceData!$N$777),"",ReferenceData!$N$777),"")</x:f>
        <x:v>-63.07545799999999</x:v>
      </x:c>
      <x:c r="O777">
        <x:f ca="1">IFERROR(IF(0=LEN(ReferenceData!$O$777),"",ReferenceData!$O$777),"")</x:f>
        <x:v>-18.550027999999998</x:v>
      </x:c>
      <x:c r="P777">
        <x:f ca="1">IFERROR(IF(0=LEN(ReferenceData!$P$777),"",ReferenceData!$P$777),"")</x:f>
        <x:v>-40.088098000000002</x:v>
      </x:c>
      <x:c r="Q777">
        <x:f ca="1">IFERROR(IF(0=LEN(ReferenceData!$Q$777),"",ReferenceData!$Q$777),"")</x:f>
        <x:v>-64.910544999999999</x:v>
      </x:c>
      <x:c r="R777">
        <x:f ca="1">IFERROR(IF(0=LEN(ReferenceData!$R$777),"",ReferenceData!$R$777),"")</x:f>
        <x:v>-68.985530999999995</x:v>
      </x:c>
      <x:c r="S777">
        <x:f ca="1">IFERROR(IF(0=LEN(ReferenceData!$S$777),"",ReferenceData!$S$777),"")</x:f>
        <x:v>-16.019296999999998</x:v>
      </x:c>
    </x:row>
    <x:row r="778" spans="1:19" x14ac:dyDescent="0.25">
      <x:c r="A778" t="str">
        <x:f>IFERROR(IF(0=LEN(ReferenceData!$A$778),"",ReferenceData!$A$778),"")</x:f>
        <x:v xml:space="preserve">            Global X FinTech ETF</x:v>
      </x:c>
      <x:c r="B778" t="str">
        <x:f>IFERROR(IF(0=LEN(ReferenceData!$B$778),"",ReferenceData!$B$778),"")</x:f>
        <x:v>FINX US Equity</x:v>
      </x:c>
      <x:c r="C778" t="str">
        <x:f>IFERROR(IF(0=LEN(ReferenceData!$C$778),"",ReferenceData!$C$778),"")</x:f>
        <x:v/>
      </x:c>
      <x:c r="D778" t="str">
        <x:f>IFERROR(IF(0=LEN(ReferenceData!$D$778),"",ReferenceData!$D$778),"")</x:f>
        <x:v/>
      </x:c>
      <x:c r="E778" t="str">
        <x:f>IFERROR(IF(0=LEN(ReferenceData!$E$778),"",ReferenceData!$E$778),"")</x:f>
        <x:v>Expression</x:v>
      </x:c>
      <x:c r="F778">
        <x:f ca="1">IFERROR(IF(0=LEN(ReferenceData!$F$778),"",ReferenceData!$F$778),"")</x:f>
        <x:v>-7.1172000000000004</x:v>
      </x:c>
      <x:c r="G778">
        <x:f ca="1">IFERROR(IF(0=LEN(ReferenceData!$G$778),"",ReferenceData!$G$778),"")</x:f>
        <x:v>-8.4305000000000003</x:v>
      </x:c>
      <x:c r="H778">
        <x:f ca="1">IFERROR(IF(0=LEN(ReferenceData!$H$778),"",ReferenceData!$H$778),"")</x:f>
        <x:v>-9.6288</x:v>
      </x:c>
      <x:c r="I778">
        <x:f ca="1">IFERROR(IF(0=LEN(ReferenceData!$I$778),"",ReferenceData!$I$778),"")</x:f>
        <x:v>-19.696200000000001</x:v>
      </x:c>
      <x:c r="J778">
        <x:f ca="1">IFERROR(IF(0=LEN(ReferenceData!$J$778),"",ReferenceData!$J$778),"")</x:f>
        <x:v>3.7073999999999998</x:v>
      </x:c>
      <x:c r="K778">
        <x:f ca="1">IFERROR(IF(0=LEN(ReferenceData!$K$778),"",ReferenceData!$K$778),"")</x:f>
        <x:v>-9.57</x:v>
      </x:c>
      <x:c r="L778">
        <x:f ca="1">IFERROR(IF(0=LEN(ReferenceData!$L$778),"",ReferenceData!$L$778),"")</x:f>
        <x:v>-22.706900000000001</x:v>
      </x:c>
      <x:c r="M778">
        <x:f ca="1">IFERROR(IF(0=LEN(ReferenceData!$M$778),"",ReferenceData!$M$778),"")</x:f>
        <x:v>-1.6175999999999999</x:v>
      </x:c>
      <x:c r="N778">
        <x:f ca="1">IFERROR(IF(0=LEN(ReferenceData!$N$778),"",ReferenceData!$N$778),"")</x:f>
        <x:v>-7.9669999999999996</x:v>
      </x:c>
      <x:c r="O778">
        <x:f ca="1">IFERROR(IF(0=LEN(ReferenceData!$O$778),"",ReferenceData!$O$778),"")</x:f>
        <x:v>-6.2446000000000002</x:v>
      </x:c>
      <x:c r="P778">
        <x:f ca="1">IFERROR(IF(0=LEN(ReferenceData!$P$778),"",ReferenceData!$P$778),"")</x:f>
        <x:v>-22.330100000000002</x:v>
      </x:c>
      <x:c r="Q778">
        <x:f ca="1">IFERROR(IF(0=LEN(ReferenceData!$Q$778),"",ReferenceData!$Q$778),"")</x:f>
        <x:v>-23.942499999999999</x:v>
      </x:c>
      <x:c r="R778">
        <x:f ca="1">IFERROR(IF(0=LEN(ReferenceData!$R$778),"",ReferenceData!$R$778),"")</x:f>
        <x:v>-42.003799999999998</x:v>
      </x:c>
      <x:c r="S778">
        <x:f ca="1">IFERROR(IF(0=LEN(ReferenceData!$S$778),"",ReferenceData!$S$778),"")</x:f>
        <x:v>-3.0794999999999999</x:v>
      </x:c>
    </x:row>
    <x:row r="779" spans="1:19" x14ac:dyDescent="0.25">
      <x:c r="A779" t="str">
        <x:f>IFERROR(IF(0=LEN(ReferenceData!$A$779),"",ReferenceData!$A$779),"")</x:f>
        <x:v xml:space="preserve">            PureFunds Solactive FinTech ET</x:v>
      </x:c>
      <x:c r="B779" t="str">
        <x:f>IFERROR(IF(0=LEN(ReferenceData!$B$779),"",ReferenceData!$B$779),"")</x:f>
        <x:v>FINQ US Equity</x:v>
      </x:c>
      <x:c r="C779" t="str">
        <x:f>IFERROR(IF(0=LEN(ReferenceData!$C$779),"",ReferenceData!$C$779),"")</x:f>
        <x:v/>
      </x:c>
      <x:c r="D779" t="str">
        <x:f>IFERROR(IF(0=LEN(ReferenceData!$D$779),"",ReferenceData!$D$779),"")</x:f>
        <x:v/>
      </x:c>
      <x:c r="E779" t="str">
        <x:f>IFERROR(IF(0=LEN(ReferenceData!$E$779),"",ReferenceData!$E$779),"")</x:f>
        <x:v>Expression</x:v>
      </x:c>
      <x:c r="F779" t="str">
        <x:f ca="1">IFERROR(IF(0=LEN(ReferenceData!$F$779),"",ReferenceData!$F$779),"")</x:f>
        <x:v/>
      </x:c>
      <x:c r="G779" t="str">
        <x:f ca="1">IFERROR(IF(0=LEN(ReferenceData!$G$779),"",ReferenceData!$G$779),"")</x:f>
        <x:v/>
      </x:c>
      <x:c r="H779" t="str">
        <x:f ca="1">IFERROR(IF(0=LEN(ReferenceData!$H$779),"",ReferenceData!$H$779),"")</x:f>
        <x:v/>
      </x:c>
      <x:c r="I779" t="str">
        <x:f ca="1">IFERROR(IF(0=LEN(ReferenceData!$I$779),"",ReferenceData!$I$779),"")</x:f>
        <x:v/>
      </x:c>
      <x:c r="J779" t="str">
        <x:f ca="1">IFERROR(IF(0=LEN(ReferenceData!$J$779),"",ReferenceData!$J$779),"")</x:f>
        <x:v/>
      </x:c>
      <x:c r="K779" t="str">
        <x:f ca="1">IFERROR(IF(0=LEN(ReferenceData!$K$779),"",ReferenceData!$K$779),"")</x:f>
        <x:v/>
      </x:c>
      <x:c r="L779" t="str">
        <x:f ca="1">IFERROR(IF(0=LEN(ReferenceData!$L$779),"",ReferenceData!$L$779),"")</x:f>
        <x:v/>
      </x:c>
      <x:c r="M779" t="str">
        <x:f ca="1">IFERROR(IF(0=LEN(ReferenceData!$M$779),"",ReferenceData!$M$779),"")</x:f>
        <x:v/>
      </x:c>
      <x:c r="N779" t="str">
        <x:f ca="1">IFERROR(IF(0=LEN(ReferenceData!$N$779),"",ReferenceData!$N$779),"")</x:f>
        <x:v/>
      </x:c>
      <x:c r="O779" t="str">
        <x:f ca="1">IFERROR(IF(0=LEN(ReferenceData!$O$779),"",ReferenceData!$O$779),"")</x:f>
        <x:v/>
      </x:c>
      <x:c r="P779" t="str">
        <x:f ca="1">IFERROR(IF(0=LEN(ReferenceData!$P$779),"",ReferenceData!$P$779),"")</x:f>
        <x:v/>
      </x:c>
      <x:c r="Q779" t="str">
        <x:f ca="1">IFERROR(IF(0=LEN(ReferenceData!$Q$779),"",ReferenceData!$Q$779),"")</x:f>
        <x:v/>
      </x:c>
      <x:c r="R779" t="str">
        <x:f ca="1">IFERROR(IF(0=LEN(ReferenceData!$R$779),"",ReferenceData!$R$779),"")</x:f>
        <x:v/>
      </x:c>
      <x:c r="S779" t="str">
        <x:f ca="1">IFERROR(IF(0=LEN(ReferenceData!$S$779),"",ReferenceData!$S$779),"")</x:f>
        <x:v/>
      </x:c>
    </x:row>
    <x:row r="780" spans="1:19" x14ac:dyDescent="0.25">
      <x:c r="A780" t="str">
        <x:f>IFERROR(IF(0=LEN(ReferenceData!$A$780),"",ReferenceData!$A$780),"")</x:f>
        <x:v xml:space="preserve">            ARK Fintech Innovation ETF</x:v>
      </x:c>
      <x:c r="B780" t="str">
        <x:f>IFERROR(IF(0=LEN(ReferenceData!$B$780),"",ReferenceData!$B$780),"")</x:f>
        <x:v>ARKF US Equity</x:v>
      </x:c>
      <x:c r="C780" t="str">
        <x:f>IFERROR(IF(0=LEN(ReferenceData!$C$780),"",ReferenceData!$C$780),"")</x:f>
        <x:v/>
      </x:c>
      <x:c r="D780" t="str">
        <x:f>IFERROR(IF(0=LEN(ReferenceData!$D$780),"",ReferenceData!$D$780),"")</x:f>
        <x:v/>
      </x:c>
      <x:c r="E780" t="str">
        <x:f>IFERROR(IF(0=LEN(ReferenceData!$E$780),"",ReferenceData!$E$780),"")</x:f>
        <x:v>Expression</x:v>
      </x:c>
      <x:c r="F780">
        <x:f ca="1">IFERROR(IF(0=LEN(ReferenceData!$F$780),"",ReferenceData!$F$780),"")</x:f>
        <x:v>-5.1728740000000002</x:v>
      </x:c>
      <x:c r="G780">
        <x:f ca="1">IFERROR(IF(0=LEN(ReferenceData!$G$780),"",ReferenceData!$G$780),"")</x:f>
        <x:v>-23.946808999999998</x:v>
      </x:c>
      <x:c r="H780">
        <x:f ca="1">IFERROR(IF(0=LEN(ReferenceData!$H$780),"",ReferenceData!$H$780),"")</x:f>
        <x:v>0</x:v>
      </x:c>
      <x:c r="I780">
        <x:f ca="1">IFERROR(IF(0=LEN(ReferenceData!$I$780),"",ReferenceData!$I$780),"")</x:f>
        <x:v>-41.800120999999997</x:v>
      </x:c>
      <x:c r="J780">
        <x:f ca="1">IFERROR(IF(0=LEN(ReferenceData!$J$780),"",ReferenceData!$J$780),"")</x:f>
        <x:v>14.954559</x:v>
      </x:c>
      <x:c r="K780">
        <x:f ca="1">IFERROR(IF(0=LEN(ReferenceData!$K$780),"",ReferenceData!$K$780),"")</x:f>
        <x:v>-2.7835399999999999</x:v>
      </x:c>
      <x:c r="L780">
        <x:f ca="1">IFERROR(IF(0=LEN(ReferenceData!$L$780),"",ReferenceData!$L$780),"")</x:f>
        <x:v>16.685495</x:v>
      </x:c>
      <x:c r="M780">
        <x:f ca="1">IFERROR(IF(0=LEN(ReferenceData!$M$780),"",ReferenceData!$M$780),"")</x:f>
        <x:v>-12.364711</x:v>
      </x:c>
      <x:c r="N780">
        <x:f ca="1">IFERROR(IF(0=LEN(ReferenceData!$N$780),"",ReferenceData!$N$780),"")</x:f>
        <x:v>-40.178714999999997</x:v>
      </x:c>
      <x:c r="O780">
        <x:f ca="1">IFERROR(IF(0=LEN(ReferenceData!$O$780),"",ReferenceData!$O$780),"")</x:f>
        <x:v>0.98034200000000005</x:v>
      </x:c>
      <x:c r="P780">
        <x:f ca="1">IFERROR(IF(0=LEN(ReferenceData!$P$780),"",ReferenceData!$P$780),"")</x:f>
        <x:v>14.405638</x:v>
      </x:c>
      <x:c r="Q780">
        <x:f ca="1">IFERROR(IF(0=LEN(ReferenceData!$Q$780),"",ReferenceData!$Q$780),"")</x:f>
        <x:v>-29.025774999999999</x:v>
      </x:c>
      <x:c r="R780">
        <x:f ca="1">IFERROR(IF(0=LEN(ReferenceData!$R$780),"",ReferenceData!$R$780),"")</x:f>
        <x:v>-14.948945999999999</x:v>
      </x:c>
      <x:c r="S780">
        <x:f ca="1">IFERROR(IF(0=LEN(ReferenceData!$S$780),"",ReferenceData!$S$780),"")</x:f>
        <x:v>2.6864880000000002</x:v>
      </x:c>
    </x:row>
    <x:row r="781" spans="1:19" x14ac:dyDescent="0.25">
      <x:c r="A781" t="str">
        <x:f>IFERROR(IF(0=LEN(ReferenceData!$A$781),"",ReferenceData!$A$781),"")</x:f>
        <x:v xml:space="preserve">            ETFMG Prime Mobile Payments ET</x:v>
      </x:c>
      <x:c r="B781" t="str">
        <x:f>IFERROR(IF(0=LEN(ReferenceData!$B$781),"",ReferenceData!$B$781),"")</x:f>
        <x:v>IPAY US Equity</x:v>
      </x:c>
      <x:c r="C781" t="str">
        <x:f>IFERROR(IF(0=LEN(ReferenceData!$C$781),"",ReferenceData!$C$781),"")</x:f>
        <x:v/>
      </x:c>
      <x:c r="D781" t="str">
        <x:f>IFERROR(IF(0=LEN(ReferenceData!$D$781),"",ReferenceData!$D$781),"")</x:f>
        <x:v/>
      </x:c>
      <x:c r="E781" t="str">
        <x:f>IFERROR(IF(0=LEN(ReferenceData!$E$781),"",ReferenceData!$E$781),"")</x:f>
        <x:v>Expression</x:v>
      </x:c>
      <x:c r="F781">
        <x:f ca="1">IFERROR(IF(0=LEN(ReferenceData!$F$781),"",ReferenceData!$F$781),"")</x:f>
        <x:v>-9.7493599999999994</x:v>
      </x:c>
      <x:c r="G781">
        <x:f ca="1">IFERROR(IF(0=LEN(ReferenceData!$G$781),"",ReferenceData!$G$781),"")</x:f>
        <x:v>-25.022984999999998</x:v>
      </x:c>
      <x:c r="H781">
        <x:f ca="1">IFERROR(IF(0=LEN(ReferenceData!$H$781),"",ReferenceData!$H$781),"")</x:f>
        <x:v>-16.553609999999999</x:v>
      </x:c>
      <x:c r="I781">
        <x:f ca="1">IFERROR(IF(0=LEN(ReferenceData!$I$781),"",ReferenceData!$I$781),"")</x:f>
        <x:v>-6.1573950000000002</x:v>
      </x:c>
      <x:c r="J781">
        <x:f ca="1">IFERROR(IF(0=LEN(ReferenceData!$J$781),"",ReferenceData!$J$781),"")</x:f>
        <x:v>-11.213229999999999</x:v>
      </x:c>
      <x:c r="K781">
        <x:f ca="1">IFERROR(IF(0=LEN(ReferenceData!$K$781),"",ReferenceData!$K$781),"")</x:f>
        <x:v>-23.105815</x:v>
      </x:c>
      <x:c r="L781">
        <x:f ca="1">IFERROR(IF(0=LEN(ReferenceData!$L$781),"",ReferenceData!$L$781),"")</x:f>
        <x:v>-16.416055</x:v>
      </x:c>
      <x:c r="M781">
        <x:f ca="1">IFERROR(IF(0=LEN(ReferenceData!$M$781),"",ReferenceData!$M$781),"")</x:f>
        <x:v>-6.2293700000000003</x:v>
      </x:c>
      <x:c r="N781">
        <x:f ca="1">IFERROR(IF(0=LEN(ReferenceData!$N$781),"",ReferenceData!$N$781),"")</x:f>
        <x:v>-14.672314999999999</x:v>
      </x:c>
      <x:c r="O781">
        <x:f ca="1">IFERROR(IF(0=LEN(ReferenceData!$O$781),"",ReferenceData!$O$781),"")</x:f>
        <x:v>-13.285769999999999</x:v>
      </x:c>
      <x:c r="P781">
        <x:f ca="1">IFERROR(IF(0=LEN(ReferenceData!$P$781),"",ReferenceData!$P$781),"")</x:f>
        <x:v>-31.585094999999999</x:v>
      </x:c>
      <x:c r="Q781">
        <x:f ca="1">IFERROR(IF(0=LEN(ReferenceData!$Q$781),"",ReferenceData!$Q$781),"")</x:f>
        <x:v>-11.942270000000001</x:v>
      </x:c>
      <x:c r="R781">
        <x:f ca="1">IFERROR(IF(0=LEN(ReferenceData!$R$781),"",ReferenceData!$R$781),"")</x:f>
        <x:v>-12.032785000000001</x:v>
      </x:c>
      <x:c r="S781">
        <x:f ca="1">IFERROR(IF(0=LEN(ReferenceData!$S$781),"",ReferenceData!$S$781),"")</x:f>
        <x:v>-15.626284999999999</x:v>
      </x:c>
    </x:row>
    <x:row r="782" spans="1:19" x14ac:dyDescent="0.25">
      <x:c r="A782" t="str">
        <x:f>IFERROR(IF(0=LEN(ReferenceData!$A$782),"",ReferenceData!$A$782),"")</x:f>
        <x:v xml:space="preserve">            Ecofin Digital Payments Infras</x:v>
      </x:c>
      <x:c r="B782" t="str">
        <x:f>IFERROR(IF(0=LEN(ReferenceData!$B$782),"",ReferenceData!$B$782),"")</x:f>
        <x:v>TPAY US Equity</x:v>
      </x:c>
      <x:c r="C782" t="str">
        <x:f>IFERROR(IF(0=LEN(ReferenceData!$C$782),"",ReferenceData!$C$782),"")</x:f>
        <x:v/>
      </x:c>
      <x:c r="D782" t="str">
        <x:f>IFERROR(IF(0=LEN(ReferenceData!$D$782),"",ReferenceData!$D$782),"")</x:f>
        <x:v/>
      </x:c>
      <x:c r="E782" t="str">
        <x:f>IFERROR(IF(0=LEN(ReferenceData!$E$782),"",ReferenceData!$E$782),"")</x:f>
        <x:v>Expression</x:v>
      </x:c>
      <x:c r="F782" t="str">
        <x:f ca="1">IFERROR(IF(0=LEN(ReferenceData!$F$782),"",ReferenceData!$F$782),"")</x:f>
        <x:v/>
      </x:c>
      <x:c r="G782" t="str">
        <x:f ca="1">IFERROR(IF(0=LEN(ReferenceData!$G$782),"",ReferenceData!$G$782),"")</x:f>
        <x:v/>
      </x:c>
      <x:c r="H782" t="str">
        <x:f ca="1">IFERROR(IF(0=LEN(ReferenceData!$H$782),"",ReferenceData!$H$782),"")</x:f>
        <x:v/>
      </x:c>
      <x:c r="I782" t="str">
        <x:f ca="1">IFERROR(IF(0=LEN(ReferenceData!$I$782),"",ReferenceData!$I$782),"")</x:f>
        <x:v/>
      </x:c>
      <x:c r="J782" t="str">
        <x:f ca="1">IFERROR(IF(0=LEN(ReferenceData!$J$782),"",ReferenceData!$J$782),"")</x:f>
        <x:v/>
      </x:c>
      <x:c r="K782" t="str">
        <x:f ca="1">IFERROR(IF(0=LEN(ReferenceData!$K$782),"",ReferenceData!$K$782),"")</x:f>
        <x:v/>
      </x:c>
      <x:c r="L782" t="str">
        <x:f ca="1">IFERROR(IF(0=LEN(ReferenceData!$L$782),"",ReferenceData!$L$782),"")</x:f>
        <x:v/>
      </x:c>
      <x:c r="M782" t="str">
        <x:f ca="1">IFERROR(IF(0=LEN(ReferenceData!$M$782),"",ReferenceData!$M$782),"")</x:f>
        <x:v/>
      </x:c>
      <x:c r="N782" t="str">
        <x:f ca="1">IFERROR(IF(0=LEN(ReferenceData!$N$782),"",ReferenceData!$N$782),"")</x:f>
        <x:v/>
      </x:c>
      <x:c r="O782" t="str">
        <x:f ca="1">IFERROR(IF(0=LEN(ReferenceData!$O$782),"",ReferenceData!$O$782),"")</x:f>
        <x:v/>
      </x:c>
      <x:c r="P782" t="str">
        <x:f ca="1">IFERROR(IF(0=LEN(ReferenceData!$P$782),"",ReferenceData!$P$782),"")</x:f>
        <x:v/>
      </x:c>
      <x:c r="Q782" t="str">
        <x:f ca="1">IFERROR(IF(0=LEN(ReferenceData!$Q$782),"",ReferenceData!$Q$782),"")</x:f>
        <x:v/>
      </x:c>
      <x:c r="R782">
        <x:f ca="1">IFERROR(IF(0=LEN(ReferenceData!$R$782),"",ReferenceData!$R$782),"")</x:f>
        <x:v>0</x:v>
      </x:c>
      <x:c r="S782">
        <x:f ca="1">IFERROR(IF(0=LEN(ReferenceData!$S$782),"",ReferenceData!$S$782),"")</x:f>
        <x:v>0</x:v>
      </x:c>
    </x:row>
    <x:row r="783" spans="1:19" x14ac:dyDescent="0.25">
      <x:c r="A783" t="str">
        <x:f>IFERROR(IF(0=LEN(ReferenceData!$A$783),"",ReferenceData!$A$783),"")</x:f>
        <x:v xml:space="preserve">            UP Fintech China-US Internet T</x:v>
      </x:c>
      <x:c r="B783" t="str">
        <x:f>IFERROR(IF(0=LEN(ReferenceData!$B$783),"",ReferenceData!$B$783),"")</x:f>
        <x:v>TTTN US Equity</x:v>
      </x:c>
      <x:c r="C783" t="str">
        <x:f>IFERROR(IF(0=LEN(ReferenceData!$C$783),"",ReferenceData!$C$783),"")</x:f>
        <x:v/>
      </x:c>
      <x:c r="D783" t="str">
        <x:f>IFERROR(IF(0=LEN(ReferenceData!$D$783),"",ReferenceData!$D$783),"")</x:f>
        <x:v/>
      </x:c>
      <x:c r="E783" t="str">
        <x:f>IFERROR(IF(0=LEN(ReferenceData!$E$783),"",ReferenceData!$E$783),"")</x:f>
        <x:v>Expression</x:v>
      </x:c>
      <x:c r="F783" t="str">
        <x:f ca="1">IFERROR(IF(0=LEN(ReferenceData!$F$783),"",ReferenceData!$F$783),"")</x:f>
        <x:v/>
      </x:c>
      <x:c r="G783" t="str">
        <x:f ca="1">IFERROR(IF(0=LEN(ReferenceData!$G$783),"",ReferenceData!$G$783),"")</x:f>
        <x:v/>
      </x:c>
      <x:c r="H783" t="str">
        <x:f ca="1">IFERROR(IF(0=LEN(ReferenceData!$H$783),"",ReferenceData!$H$783),"")</x:f>
        <x:v/>
      </x:c>
      <x:c r="I783" t="str">
        <x:f ca="1">IFERROR(IF(0=LEN(ReferenceData!$I$783),"",ReferenceData!$I$783),"")</x:f>
        <x:v/>
      </x:c>
      <x:c r="J783" t="str">
        <x:f ca="1">IFERROR(IF(0=LEN(ReferenceData!$J$783),"",ReferenceData!$J$783),"")</x:f>
        <x:v/>
      </x:c>
      <x:c r="K783" t="str">
        <x:f ca="1">IFERROR(IF(0=LEN(ReferenceData!$K$783),"",ReferenceData!$K$783),"")</x:f>
        <x:v/>
      </x:c>
      <x:c r="L783" t="str">
        <x:f ca="1">IFERROR(IF(0=LEN(ReferenceData!$L$783),"",ReferenceData!$L$783),"")</x:f>
        <x:v/>
      </x:c>
      <x:c r="M783" t="str">
        <x:f ca="1">IFERROR(IF(0=LEN(ReferenceData!$M$783),"",ReferenceData!$M$783),"")</x:f>
        <x:v/>
      </x:c>
      <x:c r="N783" t="str">
        <x:f ca="1">IFERROR(IF(0=LEN(ReferenceData!$N$783),"",ReferenceData!$N$783),"")</x:f>
        <x:v/>
      </x:c>
      <x:c r="O783" t="str">
        <x:f ca="1">IFERROR(IF(0=LEN(ReferenceData!$O$783),"",ReferenceData!$O$783),"")</x:f>
        <x:v/>
      </x:c>
      <x:c r="P783" t="str">
        <x:f ca="1">IFERROR(IF(0=LEN(ReferenceData!$P$783),"",ReferenceData!$P$783),"")</x:f>
        <x:v/>
      </x:c>
      <x:c r="Q783" t="str">
        <x:f ca="1">IFERROR(IF(0=LEN(ReferenceData!$Q$783),"",ReferenceData!$Q$783),"")</x:f>
        <x:v/>
      </x:c>
      <x:c r="R783" t="str">
        <x:f ca="1">IFERROR(IF(0=LEN(ReferenceData!$R$783),"",ReferenceData!$R$783),"")</x:f>
        <x:v/>
      </x:c>
      <x:c r="S783" t="str">
        <x:f ca="1">IFERROR(IF(0=LEN(ReferenceData!$S$783),"",ReferenceData!$S$783),"")</x:f>
        <x:v/>
      </x:c>
    </x:row>
    <x:row r="784" spans="1:19" x14ac:dyDescent="0.25">
      <x:c r="A784" t="str">
        <x:f>IFERROR(IF(0=LEN(ReferenceData!$A$784),"",ReferenceData!$A$784),"")</x:f>
        <x:v xml:space="preserve">            Amplify CrowdBureau Online Len</x:v>
      </x:c>
      <x:c r="B784" t="str">
        <x:f>IFERROR(IF(0=LEN(ReferenceData!$B$784),"",ReferenceData!$B$784),"")</x:f>
        <x:v>LEND US Equity</x:v>
      </x:c>
      <x:c r="C784" t="str">
        <x:f>IFERROR(IF(0=LEN(ReferenceData!$C$784),"",ReferenceData!$C$784),"")</x:f>
        <x:v/>
      </x:c>
      <x:c r="D784" t="str">
        <x:f>IFERROR(IF(0=LEN(ReferenceData!$D$784),"",ReferenceData!$D$784),"")</x:f>
        <x:v/>
      </x:c>
      <x:c r="E784" t="str">
        <x:f>IFERROR(IF(0=LEN(ReferenceData!$E$784),"",ReferenceData!$E$784),"")</x:f>
        <x:v>Expression</x:v>
      </x:c>
      <x:c r="F784" t="str">
        <x:f ca="1">IFERROR(IF(0=LEN(ReferenceData!$F$784),"",ReferenceData!$F$784),"")</x:f>
        <x:v/>
      </x:c>
      <x:c r="G784" t="str">
        <x:f ca="1">IFERROR(IF(0=LEN(ReferenceData!$G$784),"",ReferenceData!$G$784),"")</x:f>
        <x:v/>
      </x:c>
      <x:c r="H784" t="str">
        <x:f ca="1">IFERROR(IF(0=LEN(ReferenceData!$H$784),"",ReferenceData!$H$784),"")</x:f>
        <x:v/>
      </x:c>
      <x:c r="I784" t="str">
        <x:f ca="1">IFERROR(IF(0=LEN(ReferenceData!$I$784),"",ReferenceData!$I$784),"")</x:f>
        <x:v/>
      </x:c>
      <x:c r="J784" t="str">
        <x:f ca="1">IFERROR(IF(0=LEN(ReferenceData!$J$784),"",ReferenceData!$J$784),"")</x:f>
        <x:v/>
      </x:c>
      <x:c r="K784" t="str">
        <x:f ca="1">IFERROR(IF(0=LEN(ReferenceData!$K$784),"",ReferenceData!$K$784),"")</x:f>
        <x:v/>
      </x:c>
      <x:c r="L784" t="str">
        <x:f ca="1">IFERROR(IF(0=LEN(ReferenceData!$L$784),"",ReferenceData!$L$784),"")</x:f>
        <x:v/>
      </x:c>
      <x:c r="M784" t="str">
        <x:f ca="1">IFERROR(IF(0=LEN(ReferenceData!$M$784),"",ReferenceData!$M$784),"")</x:f>
        <x:v/>
      </x:c>
      <x:c r="N784" t="str">
        <x:f ca="1">IFERROR(IF(0=LEN(ReferenceData!$N$784),"",ReferenceData!$N$784),"")</x:f>
        <x:v/>
      </x:c>
      <x:c r="O784" t="str">
        <x:f ca="1">IFERROR(IF(0=LEN(ReferenceData!$O$784),"",ReferenceData!$O$784),"")</x:f>
        <x:v/>
      </x:c>
      <x:c r="P784" t="str">
        <x:f ca="1">IFERROR(IF(0=LEN(ReferenceData!$P$784),"",ReferenceData!$P$784),"")</x:f>
        <x:v/>
      </x:c>
      <x:c r="Q784" t="str">
        <x:f ca="1">IFERROR(IF(0=LEN(ReferenceData!$Q$784),"",ReferenceData!$Q$784),"")</x:f>
        <x:v/>
      </x:c>
      <x:c r="R784" t="str">
        <x:f ca="1">IFERROR(IF(0=LEN(ReferenceData!$R$784),"",ReferenceData!$R$784),"")</x:f>
        <x:v/>
      </x:c>
      <x:c r="S784" t="str">
        <x:f ca="1">IFERROR(IF(0=LEN(ReferenceData!$S$784),"",ReferenceData!$S$784),"")</x:f>
        <x:v/>
      </x:c>
    </x:row>
    <x:row r="785" spans="1:19" x14ac:dyDescent="0.25">
      <x:c r="A785" t="str">
        <x:f>IFERROR(IF(0=LEN(ReferenceData!$A$785),"",ReferenceData!$A$785),"")</x:f>
        <x:v xml:space="preserve">            Simplify Volt Fintech Disrupti</x:v>
      </x:c>
      <x:c r="B785" t="str">
        <x:f>IFERROR(IF(0=LEN(ReferenceData!$B$785),"",ReferenceData!$B$785),"")</x:f>
        <x:v>VFIN US Equity</x:v>
      </x:c>
      <x:c r="C785" t="str">
        <x:f>IFERROR(IF(0=LEN(ReferenceData!$C$785),"",ReferenceData!$C$785),"")</x:f>
        <x:v/>
      </x:c>
      <x:c r="D785" t="str">
        <x:f>IFERROR(IF(0=LEN(ReferenceData!$D$785),"",ReferenceData!$D$785),"")</x:f>
        <x:v/>
      </x:c>
      <x:c r="E785" t="str">
        <x:f>IFERROR(IF(0=LEN(ReferenceData!$E$785),"",ReferenceData!$E$785),"")</x:f>
        <x:v>Expression</x:v>
      </x:c>
      <x:c r="F785" t="str">
        <x:f ca="1">IFERROR(IF(0=LEN(ReferenceData!$F$785),"",ReferenceData!$F$785),"")</x:f>
        <x:v/>
      </x:c>
      <x:c r="G785" t="str">
        <x:f ca="1">IFERROR(IF(0=LEN(ReferenceData!$G$785),"",ReferenceData!$G$785),"")</x:f>
        <x:v/>
      </x:c>
      <x:c r="H785" t="str">
        <x:f ca="1">IFERROR(IF(0=LEN(ReferenceData!$H$785),"",ReferenceData!$H$785),"")</x:f>
        <x:v/>
      </x:c>
      <x:c r="I785" t="str">
        <x:f ca="1">IFERROR(IF(0=LEN(ReferenceData!$I$785),"",ReferenceData!$I$785),"")</x:f>
        <x:v/>
      </x:c>
      <x:c r="J785" t="str">
        <x:f ca="1">IFERROR(IF(0=LEN(ReferenceData!$J$785),"",ReferenceData!$J$785),"")</x:f>
        <x:v/>
      </x:c>
      <x:c r="K785" t="str">
        <x:f ca="1">IFERROR(IF(0=LEN(ReferenceData!$K$785),"",ReferenceData!$K$785),"")</x:f>
        <x:v/>
      </x:c>
      <x:c r="L785" t="str">
        <x:f ca="1">IFERROR(IF(0=LEN(ReferenceData!$L$785),"",ReferenceData!$L$785),"")</x:f>
        <x:v/>
      </x:c>
      <x:c r="M785" t="str">
        <x:f ca="1">IFERROR(IF(0=LEN(ReferenceData!$M$785),"",ReferenceData!$M$785),"")</x:f>
        <x:v/>
      </x:c>
      <x:c r="N785" t="str">
        <x:f ca="1">IFERROR(IF(0=LEN(ReferenceData!$N$785),"",ReferenceData!$N$785),"")</x:f>
        <x:v/>
      </x:c>
      <x:c r="O785" t="str">
        <x:f ca="1">IFERROR(IF(0=LEN(ReferenceData!$O$785),"",ReferenceData!$O$785),"")</x:f>
        <x:v/>
      </x:c>
      <x:c r="P785" t="str">
        <x:f ca="1">IFERROR(IF(0=LEN(ReferenceData!$P$785),"",ReferenceData!$P$785),"")</x:f>
        <x:v/>
      </x:c>
      <x:c r="Q785" t="str">
        <x:f ca="1">IFERROR(IF(0=LEN(ReferenceData!$Q$785),"",ReferenceData!$Q$785),"")</x:f>
        <x:v/>
      </x:c>
      <x:c r="R785" t="str">
        <x:f ca="1">IFERROR(IF(0=LEN(ReferenceData!$R$785),"",ReferenceData!$R$785),"")</x:f>
        <x:v/>
      </x:c>
      <x:c r="S785" t="str">
        <x:f ca="1">IFERROR(IF(0=LEN(ReferenceData!$S$785),"",ReferenceData!$S$785),"")</x:f>
        <x:v/>
      </x:c>
    </x:row>
    <x:row r="786" spans="1:19" x14ac:dyDescent="0.25">
      <x:c r="A786" t="str">
        <x:f>IFERROR(IF(0=LEN(ReferenceData!$A$786),"",ReferenceData!$A$786),"")</x:f>
        <x:v xml:space="preserve">            Amplify Digital &amp; Online Tradi</x:v>
      </x:c>
      <x:c r="B786" t="str">
        <x:f>IFERROR(IF(0=LEN(ReferenceData!$B$786),"",ReferenceData!$B$786),"")</x:f>
        <x:v>BIDS US Equity</x:v>
      </x:c>
      <x:c r="C786" t="str">
        <x:f>IFERROR(IF(0=LEN(ReferenceData!$C$786),"",ReferenceData!$C$786),"")</x:f>
        <x:v/>
      </x:c>
      <x:c r="D786" t="str">
        <x:f>IFERROR(IF(0=LEN(ReferenceData!$D$786),"",ReferenceData!$D$786),"")</x:f>
        <x:v/>
      </x:c>
      <x:c r="E786" t="str">
        <x:f>IFERROR(IF(0=LEN(ReferenceData!$E$786),"",ReferenceData!$E$786),"")</x:f>
        <x:v>Expression</x:v>
      </x:c>
      <x:c r="F786" t="str">
        <x:f ca="1">IFERROR(IF(0=LEN(ReferenceData!$F$786),"",ReferenceData!$F$786),"")</x:f>
        <x:v/>
      </x:c>
      <x:c r="G786" t="str">
        <x:f ca="1">IFERROR(IF(0=LEN(ReferenceData!$G$786),"",ReferenceData!$G$786),"")</x:f>
        <x:v/>
      </x:c>
      <x:c r="H786" t="str">
        <x:f ca="1">IFERROR(IF(0=LEN(ReferenceData!$H$786),"",ReferenceData!$H$786),"")</x:f>
        <x:v/>
      </x:c>
      <x:c r="I786" t="str">
        <x:f ca="1">IFERROR(IF(0=LEN(ReferenceData!$I$786),"",ReferenceData!$I$786),"")</x:f>
        <x:v/>
      </x:c>
      <x:c r="J786">
        <x:f ca="1">IFERROR(IF(0=LEN(ReferenceData!$J$786),"",ReferenceData!$J$786),"")</x:f>
        <x:v>0</x:v>
      </x:c>
      <x:c r="K786">
        <x:f ca="1">IFERROR(IF(0=LEN(ReferenceData!$K$786),"",ReferenceData!$K$786),"")</x:f>
        <x:v>0</x:v>
      </x:c>
      <x:c r="L786">
        <x:f ca="1">IFERROR(IF(0=LEN(ReferenceData!$L$786),"",ReferenceData!$L$786),"")</x:f>
        <x:v>0</x:v>
      </x:c>
      <x:c r="M786">
        <x:f ca="1">IFERROR(IF(0=LEN(ReferenceData!$M$786),"",ReferenceData!$M$786),"")</x:f>
        <x:v>0</x:v>
      </x:c>
      <x:c r="N786">
        <x:f ca="1">IFERROR(IF(0=LEN(ReferenceData!$N$786),"",ReferenceData!$N$786),"")</x:f>
        <x:v>0</x:v>
      </x:c>
      <x:c r="O786">
        <x:f ca="1">IFERROR(IF(0=LEN(ReferenceData!$O$786),"",ReferenceData!$O$786),"")</x:f>
        <x:v>0</x:v>
      </x:c>
      <x:c r="P786">
        <x:f ca="1">IFERROR(IF(0=LEN(ReferenceData!$P$786),"",ReferenceData!$P$786),"")</x:f>
        <x:v>0</x:v>
      </x:c>
      <x:c r="Q786">
        <x:f ca="1">IFERROR(IF(0=LEN(ReferenceData!$Q$786),"",ReferenceData!$Q$786),"")</x:f>
        <x:v>0</x:v>
      </x:c>
      <x:c r="R786">
        <x:f ca="1">IFERROR(IF(0=LEN(ReferenceData!$R$786),"",ReferenceData!$R$786),"")</x:f>
        <x:v>0</x:v>
      </x:c>
      <x:c r="S786">
        <x:f ca="1">IFERROR(IF(0=LEN(ReferenceData!$S$786),"",ReferenceData!$S$786),"")</x:f>
        <x:v>0</x:v>
      </x:c>
    </x:row>
    <x:row r="787" spans="1:19" x14ac:dyDescent="0.25">
      <x:c r="A787" t="str">
        <x:f>IFERROR(IF(0=LEN(ReferenceData!$A$787),"",ReferenceData!$A$787),"")</x:f>
        <x:v xml:space="preserve">            Direxion Daily Fintech Bull 2x</x:v>
      </x:c>
      <x:c r="B787" t="str">
        <x:f>IFERROR(IF(0=LEN(ReferenceData!$B$787),"",ReferenceData!$B$787),"")</x:f>
        <x:v>FNTC US Equity</x:v>
      </x:c>
      <x:c r="C787" t="str">
        <x:f>IFERROR(IF(0=LEN(ReferenceData!$C$787),"",ReferenceData!$C$787),"")</x:f>
        <x:v/>
      </x:c>
      <x:c r="D787" t="str">
        <x:f>IFERROR(IF(0=LEN(ReferenceData!$D$787),"",ReferenceData!$D$787),"")</x:f>
        <x:v/>
      </x:c>
      <x:c r="E787" t="str">
        <x:f>IFERROR(IF(0=LEN(ReferenceData!$E$787),"",ReferenceData!$E$787),"")</x:f>
        <x:v>Expression</x:v>
      </x:c>
      <x:c r="F787" t="str">
        <x:f ca="1">IFERROR(IF(0=LEN(ReferenceData!$F$787),"",ReferenceData!$F$787),"")</x:f>
        <x:v/>
      </x:c>
      <x:c r="G787" t="str">
        <x:f ca="1">IFERROR(IF(0=LEN(ReferenceData!$G$787),"",ReferenceData!$G$787),"")</x:f>
        <x:v/>
      </x:c>
      <x:c r="H787" t="str">
        <x:f ca="1">IFERROR(IF(0=LEN(ReferenceData!$H$787),"",ReferenceData!$H$787),"")</x:f>
        <x:v/>
      </x:c>
      <x:c r="I787" t="str">
        <x:f ca="1">IFERROR(IF(0=LEN(ReferenceData!$I$787),"",ReferenceData!$I$787),"")</x:f>
        <x:v/>
      </x:c>
      <x:c r="J787" t="str">
        <x:f ca="1">IFERROR(IF(0=LEN(ReferenceData!$J$787),"",ReferenceData!$J$787),"")</x:f>
        <x:v/>
      </x:c>
      <x:c r="K787" t="str">
        <x:f ca="1">IFERROR(IF(0=LEN(ReferenceData!$K$787),"",ReferenceData!$K$787),"")</x:f>
        <x:v/>
      </x:c>
      <x:c r="L787" t="str">
        <x:f ca="1">IFERROR(IF(0=LEN(ReferenceData!$L$787),"",ReferenceData!$L$787),"")</x:f>
        <x:v/>
      </x:c>
      <x:c r="M787" t="str">
        <x:f ca="1">IFERROR(IF(0=LEN(ReferenceData!$M$787),"",ReferenceData!$M$787),"")</x:f>
        <x:v/>
      </x:c>
      <x:c r="N787" t="str">
        <x:f ca="1">IFERROR(IF(0=LEN(ReferenceData!$N$787),"",ReferenceData!$N$787),"")</x:f>
        <x:v/>
      </x:c>
      <x:c r="O787">
        <x:f ca="1">IFERROR(IF(0=LEN(ReferenceData!$O$787),"",ReferenceData!$O$787),"")</x:f>
        <x:v>0</x:v>
      </x:c>
      <x:c r="P787">
        <x:f ca="1">IFERROR(IF(0=LEN(ReferenceData!$P$787),"",ReferenceData!$P$787),"")</x:f>
        <x:v>-0.57854099999999997</x:v>
      </x:c>
      <x:c r="Q787">
        <x:f ca="1">IFERROR(IF(0=LEN(ReferenceData!$Q$787),"",ReferenceData!$Q$787),"")</x:f>
        <x:v>0</x:v>
      </x:c>
      <x:c r="R787">
        <x:f ca="1">IFERROR(IF(0=LEN(ReferenceData!$R$787),"",ReferenceData!$R$787),"")</x:f>
        <x:v>0</x:v>
      </x:c>
      <x:c r="S787">
        <x:f ca="1">IFERROR(IF(0=LEN(ReferenceData!$S$787),"",ReferenceData!$S$787),"")</x:f>
        <x:v>0</x:v>
      </x:c>
    </x:row>
    <x:row r="788" spans="1:19" x14ac:dyDescent="0.25">
      <x:c r="A788" t="str">
        <x:f>IFERROR(IF(0=LEN(ReferenceData!$A$788),"",ReferenceData!$A$788),"")</x:f>
        <x:v xml:space="preserve">            Grayscale Future of Finance ET</x:v>
      </x:c>
      <x:c r="B788" t="str">
        <x:f>IFERROR(IF(0=LEN(ReferenceData!$B$788),"",ReferenceData!$B$788),"")</x:f>
        <x:v>GFOF US Equity</x:v>
      </x:c>
      <x:c r="C788" t="str">
        <x:f>IFERROR(IF(0=LEN(ReferenceData!$C$788),"",ReferenceData!$C$788),"")</x:f>
        <x:v/>
      </x:c>
      <x:c r="D788" t="str">
        <x:f>IFERROR(IF(0=LEN(ReferenceData!$D$788),"",ReferenceData!$D$788),"")</x:f>
        <x:v/>
      </x:c>
      <x:c r="E788" t="str">
        <x:f>IFERROR(IF(0=LEN(ReferenceData!$E$788),"",ReferenceData!$E$788),"")</x:f>
        <x:v>Expression</x:v>
      </x:c>
      <x:c r="F788">
        <x:f ca="1">IFERROR(IF(0=LEN(ReferenceData!$F$788),"",ReferenceData!$F$788),"")</x:f>
        <x:v>0</x:v>
      </x:c>
      <x:c r="G788">
        <x:f ca="1">IFERROR(IF(0=LEN(ReferenceData!$G$788),"",ReferenceData!$G$788),"")</x:f>
        <x:v>0</x:v>
      </x:c>
      <x:c r="H788">
        <x:f ca="1">IFERROR(IF(0=LEN(ReferenceData!$H$788),"",ReferenceData!$H$788),"")</x:f>
        <x:v>0</x:v>
      </x:c>
      <x:c r="I788">
        <x:f ca="1">IFERROR(IF(0=LEN(ReferenceData!$I$788),"",ReferenceData!$I$788),"")</x:f>
        <x:v>0</x:v>
      </x:c>
      <x:c r="J788">
        <x:f ca="1">IFERROR(IF(0=LEN(ReferenceData!$J$788),"",ReferenceData!$J$788),"")</x:f>
        <x:v>0</x:v>
      </x:c>
      <x:c r="K788">
        <x:f ca="1">IFERROR(IF(0=LEN(ReferenceData!$K$788),"",ReferenceData!$K$788),"")</x:f>
        <x:v>0</x:v>
      </x:c>
      <x:c r="L788">
        <x:f ca="1">IFERROR(IF(0=LEN(ReferenceData!$L$788),"",ReferenceData!$L$788),"")</x:f>
        <x:v>0</x:v>
      </x:c>
      <x:c r="M788">
        <x:f ca="1">IFERROR(IF(0=LEN(ReferenceData!$M$788),"",ReferenceData!$M$788),"")</x:f>
        <x:v>0</x:v>
      </x:c>
      <x:c r="N788">
        <x:f ca="1">IFERROR(IF(0=LEN(ReferenceData!$N$788),"",ReferenceData!$N$788),"")</x:f>
        <x:v>-0.25742799999999999</x:v>
      </x:c>
      <x:c r="O788">
        <x:f ca="1">IFERROR(IF(0=LEN(ReferenceData!$O$788),"",ReferenceData!$O$788),"")</x:f>
        <x:v>0</x:v>
      </x:c>
      <x:c r="P788">
        <x:f ca="1">IFERROR(IF(0=LEN(ReferenceData!$P$788),"",ReferenceData!$P$788),"")</x:f>
        <x:v>0</x:v>
      </x:c>
      <x:c r="Q788">
        <x:f ca="1">IFERROR(IF(0=LEN(ReferenceData!$Q$788),"",ReferenceData!$Q$788),"")</x:f>
        <x:v>0</x:v>
      </x:c>
      <x:c r="R788">
        <x:f ca="1">IFERROR(IF(0=LEN(ReferenceData!$R$788),"",ReferenceData!$R$788),"")</x:f>
        <x:v>0</x:v>
      </x:c>
      <x:c r="S788">
        <x:f ca="1">IFERROR(IF(0=LEN(ReferenceData!$S$788),"",ReferenceData!$S$788),"")</x:f>
        <x:v>0</x:v>
      </x:c>
    </x:row>
    <x:row r="789" spans="1:19" x14ac:dyDescent="0.25">
      <x:c r="A789" t="str">
        <x:f>IFERROR(IF(0=LEN(ReferenceData!$A$789),"",ReferenceData!$A$789),"")</x:f>
        <x:v xml:space="preserve">            Blackrock Future Financial And</x:v>
      </x:c>
      <x:c r="B789" t="str">
        <x:f>IFERROR(IF(0=LEN(ReferenceData!$B$789),"",ReferenceData!$B$789),"")</x:f>
        <x:v>BPAY US Equity</x:v>
      </x:c>
      <x:c r="C789" t="str">
        <x:f>IFERROR(IF(0=LEN(ReferenceData!$C$789),"",ReferenceData!$C$789),"")</x:f>
        <x:v/>
      </x:c>
      <x:c r="D789" t="str">
        <x:f>IFERROR(IF(0=LEN(ReferenceData!$D$789),"",ReferenceData!$D$789),"")</x:f>
        <x:v/>
      </x:c>
      <x:c r="E789" t="str">
        <x:f>IFERROR(IF(0=LEN(ReferenceData!$E$789),"",ReferenceData!$E$789),"")</x:f>
        <x:v>Expression</x:v>
      </x:c>
      <x:c r="F789">
        <x:f ca="1">IFERROR(IF(0=LEN(ReferenceData!$F$789),"",ReferenceData!$F$789),"")</x:f>
        <x:v>0</x:v>
      </x:c>
      <x:c r="G789">
        <x:f ca="1">IFERROR(IF(0=LEN(ReferenceData!$G$789),"",ReferenceData!$G$789),"")</x:f>
        <x:v>0</x:v>
      </x:c>
      <x:c r="H789">
        <x:f ca="1">IFERROR(IF(0=LEN(ReferenceData!$H$789),"",ReferenceData!$H$789),"")</x:f>
        <x:v>0</x:v>
      </x:c>
      <x:c r="I789">
        <x:f ca="1">IFERROR(IF(0=LEN(ReferenceData!$I$789),"",ReferenceData!$I$789),"")</x:f>
        <x:v>0</x:v>
      </x:c>
      <x:c r="J789">
        <x:f ca="1">IFERROR(IF(0=LEN(ReferenceData!$J$789),"",ReferenceData!$J$789),"")</x:f>
        <x:v>0</x:v>
      </x:c>
      <x:c r="K789">
        <x:f ca="1">IFERROR(IF(0=LEN(ReferenceData!$K$789),"",ReferenceData!$K$789),"")</x:f>
        <x:v>0</x:v>
      </x:c>
      <x:c r="L789">
        <x:f ca="1">IFERROR(IF(0=LEN(ReferenceData!$L$789),"",ReferenceData!$L$789),"")</x:f>
        <x:v>0</x:v>
      </x:c>
      <x:c r="M789">
        <x:f ca="1">IFERROR(IF(0=LEN(ReferenceData!$M$789),"",ReferenceData!$M$789),"")</x:f>
        <x:v>0</x:v>
      </x:c>
      <x:c r="N789">
        <x:f ca="1">IFERROR(IF(0=LEN(ReferenceData!$N$789),"",ReferenceData!$N$789),"")</x:f>
        <x:v>0</x:v>
      </x:c>
      <x:c r="O789">
        <x:f ca="1">IFERROR(IF(0=LEN(ReferenceData!$O$789),"",ReferenceData!$O$789),"")</x:f>
        <x:v>0</x:v>
      </x:c>
      <x:c r="P789">
        <x:f ca="1">IFERROR(IF(0=LEN(ReferenceData!$P$789),"",ReferenceData!$P$789),"")</x:f>
        <x:v>0</x:v>
      </x:c>
      <x:c r="Q789">
        <x:f ca="1">IFERROR(IF(0=LEN(ReferenceData!$Q$789),"",ReferenceData!$Q$789),"")</x:f>
        <x:v>0</x:v>
      </x:c>
      <x:c r="R789">
        <x:f ca="1">IFERROR(IF(0=LEN(ReferenceData!$R$789),"",ReferenceData!$R$789),"")</x:f>
        <x:v>0</x:v>
      </x:c>
      <x:c r="S789">
        <x:f ca="1">IFERROR(IF(0=LEN(ReferenceData!$S$789),"",ReferenceData!$S$789),"")</x:f>
        <x:v>0</x:v>
      </x:c>
    </x:row>
    <x:row r="790" spans="1:19" x14ac:dyDescent="0.25">
      <x:c r="A790" t="str">
        <x:f>IFERROR(IF(0=LEN(ReferenceData!$A$790),"",ReferenceData!$A$790),"")</x:f>
        <x:v xml:space="preserve">            Amplify Emerging Markets FinTe</x:v>
      </x:c>
      <x:c r="B790" t="str">
        <x:f>IFERROR(IF(0=LEN(ReferenceData!$B$790),"",ReferenceData!$B$790),"")</x:f>
        <x:v>EMFQ US Equity</x:v>
      </x:c>
      <x:c r="C790" t="str">
        <x:f>IFERROR(IF(0=LEN(ReferenceData!$C$790),"",ReferenceData!$C$790),"")</x:f>
        <x:v/>
      </x:c>
      <x:c r="D790" t="str">
        <x:f>IFERROR(IF(0=LEN(ReferenceData!$D$790),"",ReferenceData!$D$790),"")</x:f>
        <x:v/>
      </x:c>
      <x:c r="E790" t="str">
        <x:f>IFERROR(IF(0=LEN(ReferenceData!$E$790),"",ReferenceData!$E$790),"")</x:f>
        <x:v>Expression</x:v>
      </x:c>
      <x:c r="F790">
        <x:f ca="1">IFERROR(IF(0=LEN(ReferenceData!$F$790),"",ReferenceData!$F$790),"")</x:f>
        <x:v>0</x:v>
      </x:c>
      <x:c r="G790">
        <x:f ca="1">IFERROR(IF(0=LEN(ReferenceData!$G$790),"",ReferenceData!$G$790),"")</x:f>
        <x:v>0</x:v>
      </x:c>
      <x:c r="H790">
        <x:f ca="1">IFERROR(IF(0=LEN(ReferenceData!$H$790),"",ReferenceData!$H$790),"")</x:f>
        <x:v>0</x:v>
      </x:c>
      <x:c r="I790">
        <x:f ca="1">IFERROR(IF(0=LEN(ReferenceData!$I$790),"",ReferenceData!$I$790),"")</x:f>
        <x:v>0</x:v>
      </x:c>
      <x:c r="J790">
        <x:f ca="1">IFERROR(IF(0=LEN(ReferenceData!$J$790),"",ReferenceData!$J$790),"")</x:f>
        <x:v>0</x:v>
      </x:c>
      <x:c r="K790">
        <x:f ca="1">IFERROR(IF(0=LEN(ReferenceData!$K$790),"",ReferenceData!$K$790),"")</x:f>
        <x:v>0</x:v>
      </x:c>
      <x:c r="L790">
        <x:f ca="1">IFERROR(IF(0=LEN(ReferenceData!$L$790),"",ReferenceData!$L$790),"")</x:f>
        <x:v>0</x:v>
      </x:c>
      <x:c r="M790">
        <x:f ca="1">IFERROR(IF(0=LEN(ReferenceData!$M$790),"",ReferenceData!$M$790),"")</x:f>
        <x:v>-0.52640500000000001</x:v>
      </x:c>
      <x:c r="N790">
        <x:f ca="1">IFERROR(IF(0=LEN(ReferenceData!$N$790),"",ReferenceData!$N$790),"")</x:f>
        <x:v>0</x:v>
      </x:c>
      <x:c r="O790">
        <x:f ca="1">IFERROR(IF(0=LEN(ReferenceData!$O$790),"",ReferenceData!$O$790),"")</x:f>
        <x:v>0</x:v>
      </x:c>
      <x:c r="P790">
        <x:f ca="1">IFERROR(IF(0=LEN(ReferenceData!$P$790),"",ReferenceData!$P$790),"")</x:f>
        <x:v>0</x:v>
      </x:c>
      <x:c r="Q790">
        <x:f ca="1">IFERROR(IF(0=LEN(ReferenceData!$Q$790),"",ReferenceData!$Q$790),"")</x:f>
        <x:v>0</x:v>
      </x:c>
      <x:c r="R790">
        <x:f ca="1">IFERROR(IF(0=LEN(ReferenceData!$R$790),"",ReferenceData!$R$790),"")</x:f>
        <x:v>0</x:v>
      </x:c>
      <x:c r="S790">
        <x:f ca="1">IFERROR(IF(0=LEN(ReferenceData!$S$790),"",ReferenceData!$S$790),"")</x:f>
        <x:v>0</x:v>
      </x:c>
    </x:row>
    <x:row r="791" spans="1:19" x14ac:dyDescent="0.25">
      <x:c r="A791" t="str">
        <x:f>IFERROR(IF(0=LEN(ReferenceData!$A$791),"",ReferenceData!$A$791),"")</x:f>
        <x:v xml:space="preserve">        Cybersecurity</x:v>
      </x:c>
      <x:c r="B791" t="str">
        <x:f>IFERROR(IF(0=LEN(ReferenceData!$B$791),"",ReferenceData!$B$791),"")</x:f>
        <x:v/>
      </x:c>
      <x:c r="C791" t="str">
        <x:f>IFERROR(IF(0=LEN(ReferenceData!$C$791),"",ReferenceData!$C$791),"")</x:f>
        <x:v/>
      </x:c>
      <x:c r="D791" t="str">
        <x:f>IFERROR(IF(0=LEN(ReferenceData!$D$791),"",ReferenceData!$D$791),"")</x:f>
        <x:v/>
      </x:c>
      <x:c r="E791" t="str">
        <x:f>IFERROR(IF(0=LEN(ReferenceData!$E$791),"",ReferenceData!$E$791),"")</x:f>
        <x:v>Sum</x:v>
      </x:c>
      <x:c r="F791">
        <x:f ca="1">IFERROR(IF(0=LEN(ReferenceData!$F$791),"",ReferenceData!$F$791),"")</x:f>
        <x:v>-24.366269000000003</x:v>
      </x:c>
      <x:c r="G791">
        <x:f ca="1">IFERROR(IF(0=LEN(ReferenceData!$G$791),"",ReferenceData!$G$791),"")</x:f>
        <x:v>52.480735000000003</x:v>
      </x:c>
      <x:c r="H791">
        <x:f ca="1">IFERROR(IF(0=LEN(ReferenceData!$H$791),"",ReferenceData!$H$791),"")</x:f>
        <x:v>-115.363496</x:v>
      </x:c>
      <x:c r="I791">
        <x:f ca="1">IFERROR(IF(0=LEN(ReferenceData!$I$791),"",ReferenceData!$I$791),"")</x:f>
        <x:v>-80.414818999999994</x:v>
      </x:c>
      <x:c r="J791">
        <x:f ca="1">IFERROR(IF(0=LEN(ReferenceData!$J$791),"",ReferenceData!$J$791),"")</x:f>
        <x:v>-42.876365000000007</x:v>
      </x:c>
      <x:c r="K791">
        <x:f ca="1">IFERROR(IF(0=LEN(ReferenceData!$K$791),"",ReferenceData!$K$791),"")</x:f>
        <x:v>-24.463252000000004</x:v>
      </x:c>
      <x:c r="L791">
        <x:f ca="1">IFERROR(IF(0=LEN(ReferenceData!$L$791),"",ReferenceData!$L$791),"")</x:f>
        <x:v>-102.82450999999999</x:v>
      </x:c>
      <x:c r="M791">
        <x:f ca="1">IFERROR(IF(0=LEN(ReferenceData!$M$791),"",ReferenceData!$M$791),"")</x:f>
        <x:v>-47.063189999999999</x:v>
      </x:c>
      <x:c r="N791">
        <x:f ca="1">IFERROR(IF(0=LEN(ReferenceData!$N$791),"",ReferenceData!$N$791),"")</x:f>
        <x:v>-68.40975499999999</x:v>
      </x:c>
      <x:c r="O791">
        <x:f ca="1">IFERROR(IF(0=LEN(ReferenceData!$O$791),"",ReferenceData!$O$791),"")</x:f>
        <x:v>-76.818446999999992</x:v>
      </x:c>
      <x:c r="P791">
        <x:f ca="1">IFERROR(IF(0=LEN(ReferenceData!$P$791),"",ReferenceData!$P$791),"")</x:f>
        <x:v>-257.40418699999998</x:v>
      </x:c>
      <x:c r="Q791">
        <x:f ca="1">IFERROR(IF(0=LEN(ReferenceData!$Q$791),"",ReferenceData!$Q$791),"")</x:f>
        <x:v>-270.04828000000003</x:v>
      </x:c>
      <x:c r="R791">
        <x:f ca="1">IFERROR(IF(0=LEN(ReferenceData!$R$791),"",ReferenceData!$R$791),"")</x:f>
        <x:v>-107.08821100000002</x:v>
      </x:c>
      <x:c r="S791">
        <x:f ca="1">IFERROR(IF(0=LEN(ReferenceData!$S$791),"",ReferenceData!$S$791),"")</x:f>
        <x:v>-4.5997420000000009</x:v>
      </x:c>
    </x:row>
    <x:row r="792" spans="1:19" x14ac:dyDescent="0.25">
      <x:c r="A792" t="str">
        <x:f>IFERROR(IF(0=LEN(ReferenceData!$A$792),"",ReferenceData!$A$792),"")</x:f>
        <x:v xml:space="preserve">            First Trust NASDAQ Cybersecuri</x:v>
      </x:c>
      <x:c r="B792" t="str">
        <x:f>IFERROR(IF(0=LEN(ReferenceData!$B$792),"",ReferenceData!$B$792),"")</x:f>
        <x:v>CIBR US Equity</x:v>
      </x:c>
      <x:c r="C792" t="str">
        <x:f>IFERROR(IF(0=LEN(ReferenceData!$C$792),"",ReferenceData!$C$792),"")</x:f>
        <x:v/>
      </x:c>
      <x:c r="D792" t="str">
        <x:f>IFERROR(IF(0=LEN(ReferenceData!$D$792),"",ReferenceData!$D$792),"")</x:f>
        <x:v/>
      </x:c>
      <x:c r="E792" t="str">
        <x:f>IFERROR(IF(0=LEN(ReferenceData!$E$792),"",ReferenceData!$E$792),"")</x:f>
        <x:v>Expression</x:v>
      </x:c>
      <x:c r="F792">
        <x:f ca="1">IFERROR(IF(0=LEN(ReferenceData!$F$792),"",ReferenceData!$F$792),"")</x:f>
        <x:v>-2.880725</x:v>
      </x:c>
      <x:c r="G792">
        <x:f ca="1">IFERROR(IF(0=LEN(ReferenceData!$G$792),"",ReferenceData!$G$792),"")</x:f>
        <x:v>20.513642000000001</x:v>
      </x:c>
      <x:c r="H792">
        <x:f ca="1">IFERROR(IF(0=LEN(ReferenceData!$H$792),"",ReferenceData!$H$792),"")</x:f>
        <x:v>-47.953232</x:v>
      </x:c>
      <x:c r="I792">
        <x:f ca="1">IFERROR(IF(0=LEN(ReferenceData!$I$792),"",ReferenceData!$I$792),"")</x:f>
        <x:v>-17.569898999999999</x:v>
      </x:c>
      <x:c r="J792">
        <x:f ca="1">IFERROR(IF(0=LEN(ReferenceData!$J$792),"",ReferenceData!$J$792),"")</x:f>
        <x:v>-2.1154999999999999</x:v>
      </x:c>
      <x:c r="K792">
        <x:f ca="1">IFERROR(IF(0=LEN(ReferenceData!$K$792),"",ReferenceData!$K$792),"")</x:f>
        <x:v>66.451499999999996</x:v>
      </x:c>
      <x:c r="L792">
        <x:f ca="1">IFERROR(IF(0=LEN(ReferenceData!$L$792),"",ReferenceData!$L$792),"")</x:f>
        <x:v>-109.3085</x:v>
      </x:c>
      <x:c r="M792">
        <x:f ca="1">IFERROR(IF(0=LEN(ReferenceData!$M$792),"",ReferenceData!$M$792),"")</x:f>
        <x:v>-65.792000000000002</x:v>
      </x:c>
      <x:c r="N792">
        <x:f ca="1">IFERROR(IF(0=LEN(ReferenceData!$N$792),"",ReferenceData!$N$792),"")</x:f>
        <x:v>-22.454499999999999</x:v>
      </x:c>
      <x:c r="O792">
        <x:f ca="1">IFERROR(IF(0=LEN(ReferenceData!$O$792),"",ReferenceData!$O$792),"")</x:f>
        <x:v>-48.140500000000003</x:v>
      </x:c>
      <x:c r="P792">
        <x:f ca="1">IFERROR(IF(0=LEN(ReferenceData!$P$792),"",ReferenceData!$P$792),"")</x:f>
        <x:v>-60.320121999999998</x:v>
      </x:c>
      <x:c r="Q792">
        <x:f ca="1">IFERROR(IF(0=LEN(ReferenceData!$Q$792),"",ReferenceData!$Q$792),"")</x:f>
        <x:v>-180.57202000000001</x:v>
      </x:c>
      <x:c r="R792">
        <x:f ca="1">IFERROR(IF(0=LEN(ReferenceData!$R$792),"",ReferenceData!$R$792),"")</x:f>
        <x:v>-56.242862000000002</x:v>
      </x:c>
      <x:c r="S792">
        <x:f ca="1">IFERROR(IF(0=LEN(ReferenceData!$S$792),"",ReferenceData!$S$792),"")</x:f>
        <x:v>2.557998</x:v>
      </x:c>
    </x:row>
    <x:row r="793" spans="1:19" x14ac:dyDescent="0.25">
      <x:c r="A793" t="str">
        <x:f>IFERROR(IF(0=LEN(ReferenceData!$A$793),"",ReferenceData!$A$793),"")</x:f>
        <x:v xml:space="preserve">            ETFMG Prime Cyber Security ETF</x:v>
      </x:c>
      <x:c r="B793" t="str">
        <x:f>IFERROR(IF(0=LEN(ReferenceData!$B$793),"",ReferenceData!$B$793),"")</x:f>
        <x:v>HACK US Equity</x:v>
      </x:c>
      <x:c r="C793" t="str">
        <x:f>IFERROR(IF(0=LEN(ReferenceData!$C$793),"",ReferenceData!$C$793),"")</x:f>
        <x:v/>
      </x:c>
      <x:c r="D793" t="str">
        <x:f>IFERROR(IF(0=LEN(ReferenceData!$D$793),"",ReferenceData!$D$793),"")</x:f>
        <x:v/>
      </x:c>
      <x:c r="E793" t="str">
        <x:f>IFERROR(IF(0=LEN(ReferenceData!$E$793),"",ReferenceData!$E$793),"")</x:f>
        <x:v>Expression</x:v>
      </x:c>
      <x:c r="F793">
        <x:f ca="1">IFERROR(IF(0=LEN(ReferenceData!$F$793),"",ReferenceData!$F$793),"")</x:f>
        <x:v>-10.964880000000001</x:v>
      </x:c>
      <x:c r="G793">
        <x:f ca="1">IFERROR(IF(0=LEN(ReferenceData!$G$793),"",ReferenceData!$G$793),"")</x:f>
        <x:v>0</x:v>
      </x:c>
      <x:c r="H793">
        <x:f ca="1">IFERROR(IF(0=LEN(ReferenceData!$H$793),"",ReferenceData!$H$793),"")</x:f>
        <x:v>-28.591139999999999</x:v>
      </x:c>
      <x:c r="I793">
        <x:f ca="1">IFERROR(IF(0=LEN(ReferenceData!$I$793),"",ReferenceData!$I$793),"")</x:f>
        <x:v>-20.166</x:v>
      </x:c>
      <x:c r="J793">
        <x:f ca="1">IFERROR(IF(0=LEN(ReferenceData!$J$793),"",ReferenceData!$J$793),"")</x:f>
        <x:v>-7.7304700000000004</x:v>
      </x:c>
      <x:c r="K793">
        <x:f ca="1">IFERROR(IF(0=LEN(ReferenceData!$K$793),"",ReferenceData!$K$793),"")</x:f>
        <x:v>-27.293714999999999</x:v>
      </x:c>
      <x:c r="L793">
        <x:f ca="1">IFERROR(IF(0=LEN(ReferenceData!$L$793),"",ReferenceData!$L$793),"")</x:f>
        <x:v>-25.103439999999999</x:v>
      </x:c>
      <x:c r="M793">
        <x:f ca="1">IFERROR(IF(0=LEN(ReferenceData!$M$793),"",ReferenceData!$M$793),"")</x:f>
        <x:v>-14.112275</x:v>
      </x:c>
      <x:c r="N793">
        <x:f ca="1">IFERROR(IF(0=LEN(ReferenceData!$N$793),"",ReferenceData!$N$793),"")</x:f>
        <x:v>-20.987414999999999</x:v>
      </x:c>
      <x:c r="O793">
        <x:f ca="1">IFERROR(IF(0=LEN(ReferenceData!$O$793),"",ReferenceData!$O$793),"")</x:f>
        <x:v>-9.3493300000000001</x:v>
      </x:c>
      <x:c r="P793">
        <x:f ca="1">IFERROR(IF(0=LEN(ReferenceData!$P$793),"",ReferenceData!$P$793),"")</x:f>
        <x:v>-24.440435000000001</x:v>
      </x:c>
      <x:c r="Q793">
        <x:f ca="1">IFERROR(IF(0=LEN(ReferenceData!$Q$793),"",ReferenceData!$Q$793),"")</x:f>
        <x:v>-33.77176</x:v>
      </x:c>
      <x:c r="R793">
        <x:f ca="1">IFERROR(IF(0=LEN(ReferenceData!$R$793),"",ReferenceData!$R$793),"")</x:f>
        <x:v>-19.871955</x:v>
      </x:c>
      <x:c r="S793">
        <x:f ca="1">IFERROR(IF(0=LEN(ReferenceData!$S$793),"",ReferenceData!$S$793),"")</x:f>
        <x:v>-22.215585000000001</x:v>
      </x:c>
    </x:row>
    <x:row r="794" spans="1:19" x14ac:dyDescent="0.25">
      <x:c r="A794" t="str">
        <x:f>IFERROR(IF(0=LEN(ReferenceData!$A$794),"",ReferenceData!$A$794),"")</x:f>
        <x:v xml:space="preserve">            Global X Cybersecurity ETF</x:v>
      </x:c>
      <x:c r="B794" t="str">
        <x:f>IFERROR(IF(0=LEN(ReferenceData!$B$794),"",ReferenceData!$B$794),"")</x:f>
        <x:v>BUG US Equity</x:v>
      </x:c>
      <x:c r="C794" t="str">
        <x:f>IFERROR(IF(0=LEN(ReferenceData!$C$794),"",ReferenceData!$C$794),"")</x:f>
        <x:v/>
      </x:c>
      <x:c r="D794" t="str">
        <x:f>IFERROR(IF(0=LEN(ReferenceData!$D$794),"",ReferenceData!$D$794),"")</x:f>
        <x:v/>
      </x:c>
      <x:c r="E794" t="str">
        <x:f>IFERROR(IF(0=LEN(ReferenceData!$E$794),"",ReferenceData!$E$794),"")</x:f>
        <x:v>Expression</x:v>
      </x:c>
      <x:c r="F794">
        <x:f ca="1">IFERROR(IF(0=LEN(ReferenceData!$F$794),"",ReferenceData!$F$794),"")</x:f>
        <x:v>-10.212199999999999</x:v>
      </x:c>
      <x:c r="G794">
        <x:f ca="1">IFERROR(IF(0=LEN(ReferenceData!$G$794),"",ReferenceData!$G$794),"")</x:f>
        <x:v>-7.5846999999999998</x:v>
      </x:c>
      <x:c r="H794">
        <x:f ca="1">IFERROR(IF(0=LEN(ReferenceData!$H$794),"",ReferenceData!$H$794),"")</x:f>
        <x:v>-35.041899999999998</x:v>
      </x:c>
      <x:c r="I794">
        <x:f ca="1">IFERROR(IF(0=LEN(ReferenceData!$I$794),"",ReferenceData!$I$794),"")</x:f>
        <x:v>-29.3111</x:v>
      </x:c>
      <x:c r="J794">
        <x:f ca="1">IFERROR(IF(0=LEN(ReferenceData!$J$794),"",ReferenceData!$J$794),"")</x:f>
        <x:v>-53.046100000000003</x:v>
      </x:c>
      <x:c r="K794">
        <x:f ca="1">IFERROR(IF(0=LEN(ReferenceData!$K$794),"",ReferenceData!$K$794),"")</x:f>
        <x:v>-62.4863</x:v>
      </x:c>
      <x:c r="L794">
        <x:f ca="1">IFERROR(IF(0=LEN(ReferenceData!$L$794),"",ReferenceData!$L$794),"")</x:f>
        <x:v>31.4054</x:v>
      </x:c>
      <x:c r="M794">
        <x:f ca="1">IFERROR(IF(0=LEN(ReferenceData!$M$794),"",ReferenceData!$M$794),"")</x:f>
        <x:v>-14.336600000000001</x:v>
      </x:c>
      <x:c r="N794">
        <x:f ca="1">IFERROR(IF(0=LEN(ReferenceData!$N$794),"",ReferenceData!$N$794),"")</x:f>
        <x:v>-12.047499999999999</x:v>
      </x:c>
      <x:c r="O794">
        <x:f ca="1">IFERROR(IF(0=LEN(ReferenceData!$O$794),"",ReferenceData!$O$794),"")</x:f>
        <x:v>-6.1969000000000003</x:v>
      </x:c>
      <x:c r="P794">
        <x:f ca="1">IFERROR(IF(0=LEN(ReferenceData!$P$794),"",ReferenceData!$P$794),"")</x:f>
        <x:v>-159.41239999999999</x:v>
      </x:c>
      <x:c r="Q794">
        <x:f ca="1">IFERROR(IF(0=LEN(ReferenceData!$Q$794),"",ReferenceData!$Q$794),"")</x:f>
        <x:v>-55.704500000000003</x:v>
      </x:c>
      <x:c r="R794">
        <x:f ca="1">IFERROR(IF(0=LEN(ReferenceData!$R$794),"",ReferenceData!$R$794),"")</x:f>
        <x:v>-39.642000000000003</x:v>
      </x:c>
      <x:c r="S794">
        <x:f ca="1">IFERROR(IF(0=LEN(ReferenceData!$S$794),"",ReferenceData!$S$794),"")</x:f>
        <x:v>16.406099999999999</x:v>
      </x:c>
    </x:row>
    <x:row r="795" spans="1:19" x14ac:dyDescent="0.25">
      <x:c r="A795" t="str">
        <x:f>IFERROR(IF(0=LEN(ReferenceData!$A$795),"",ReferenceData!$A$795),"")</x:f>
        <x:v xml:space="preserve">            WisdomTree Cybersecurity Fund</x:v>
      </x:c>
      <x:c r="B795" t="str">
        <x:f>IFERROR(IF(0=LEN(ReferenceData!$B$795),"",ReferenceData!$B$795),"")</x:f>
        <x:v>WCBR US Equity</x:v>
      </x:c>
      <x:c r="C795" t="str">
        <x:f>IFERROR(IF(0=LEN(ReferenceData!$C$795),"",ReferenceData!$C$795),"")</x:f>
        <x:v/>
      </x:c>
      <x:c r="D795" t="str">
        <x:f>IFERROR(IF(0=LEN(ReferenceData!$D$795),"",ReferenceData!$D$795),"")</x:f>
        <x:v/>
      </x:c>
      <x:c r="E795" t="str">
        <x:f>IFERROR(IF(0=LEN(ReferenceData!$E$795),"",ReferenceData!$E$795),"")</x:f>
        <x:v>Expression</x:v>
      </x:c>
      <x:c r="F795">
        <x:f ca="1">IFERROR(IF(0=LEN(ReferenceData!$F$795),"",ReferenceData!$F$795),"")</x:f>
        <x:v>0</x:v>
      </x:c>
      <x:c r="G795">
        <x:f ca="1">IFERROR(IF(0=LEN(ReferenceData!$G$795),"",ReferenceData!$G$795),"")</x:f>
        <x:v>0</x:v>
      </x:c>
      <x:c r="H795">
        <x:f ca="1">IFERROR(IF(0=LEN(ReferenceData!$H$795),"",ReferenceData!$H$795),"")</x:f>
        <x:v>0</x:v>
      </x:c>
      <x:c r="I795">
        <x:f ca="1">IFERROR(IF(0=LEN(ReferenceData!$I$795),"",ReferenceData!$I$795),"")</x:f>
        <x:v>0</x:v>
      </x:c>
      <x:c r="J795">
        <x:f ca="1">IFERROR(IF(0=LEN(ReferenceData!$J$795),"",ReferenceData!$J$795),"")</x:f>
        <x:v>0</x:v>
      </x:c>
      <x:c r="K795">
        <x:f ca="1">IFERROR(IF(0=LEN(ReferenceData!$K$795),"",ReferenceData!$K$795),"")</x:f>
        <x:v>0.76157799999999998</x:v>
      </x:c>
      <x:c r="L795">
        <x:f ca="1">IFERROR(IF(0=LEN(ReferenceData!$L$795),"",ReferenceData!$L$795),"")</x:f>
        <x:v>0</x:v>
      </x:c>
      <x:c r="M795">
        <x:f ca="1">IFERROR(IF(0=LEN(ReferenceData!$M$795),"",ReferenceData!$M$795),"")</x:f>
        <x:v>0</x:v>
      </x:c>
      <x:c r="N795">
        <x:f ca="1">IFERROR(IF(0=LEN(ReferenceData!$N$795),"",ReferenceData!$N$795),"")</x:f>
        <x:v>-0.72973500000000002</x:v>
      </x:c>
      <x:c r="O795">
        <x:f ca="1">IFERROR(IF(0=LEN(ReferenceData!$O$795),"",ReferenceData!$O$795),"")</x:f>
        <x:v>-0.92905700000000002</x:v>
      </x:c>
      <x:c r="P795">
        <x:f ca="1">IFERROR(IF(0=LEN(ReferenceData!$P$795),"",ReferenceData!$P$795),"")</x:f>
        <x:v>0</x:v>
      </x:c>
      <x:c r="Q795">
        <x:f ca="1">IFERROR(IF(0=LEN(ReferenceData!$Q$795),"",ReferenceData!$Q$795),"")</x:f>
        <x:v>0</x:v>
      </x:c>
      <x:c r="R795">
        <x:f ca="1">IFERROR(IF(0=LEN(ReferenceData!$R$795),"",ReferenceData!$R$795),"")</x:f>
        <x:v>-0.14719699999999999</x:v>
      </x:c>
      <x:c r="S795">
        <x:f ca="1">IFERROR(IF(0=LEN(ReferenceData!$S$795),"",ReferenceData!$S$795),"")</x:f>
        <x:v>-1.348255</x:v>
      </x:c>
    </x:row>
    <x:row r="796" spans="1:19" x14ac:dyDescent="0.25">
      <x:c r="A796" t="str">
        <x:f>IFERROR(IF(0=LEN(ReferenceData!$A$796),"",ReferenceData!$A$796),"")</x:f>
        <x:v xml:space="preserve">            ProShares Ultra Nasdaq Cyberse</x:v>
      </x:c>
      <x:c r="B796" t="str">
        <x:f>IFERROR(IF(0=LEN(ReferenceData!$B$796),"",ReferenceData!$B$796),"")</x:f>
        <x:v>UCYB US Equity</x:v>
      </x:c>
      <x:c r="C796" t="str">
        <x:f>IFERROR(IF(0=LEN(ReferenceData!$C$796),"",ReferenceData!$C$796),"")</x:f>
        <x:v/>
      </x:c>
      <x:c r="D796" t="str">
        <x:f>IFERROR(IF(0=LEN(ReferenceData!$D$796),"",ReferenceData!$D$796),"")</x:f>
        <x:v/>
      </x:c>
      <x:c r="E796" t="str">
        <x:f>IFERROR(IF(0=LEN(ReferenceData!$E$796),"",ReferenceData!$E$796),"")</x:f>
        <x:v>Expression</x:v>
      </x:c>
      <x:c r="F796">
        <x:f ca="1">IFERROR(IF(0=LEN(ReferenceData!$F$796),"",ReferenceData!$F$796),"")</x:f>
        <x:v>-0.30846400000000002</x:v>
      </x:c>
      <x:c r="G796">
        <x:f ca="1">IFERROR(IF(0=LEN(ReferenceData!$G$796),"",ReferenceData!$G$796),"")</x:f>
        <x:v>0</x:v>
      </x:c>
      <x:c r="H796">
        <x:f ca="1">IFERROR(IF(0=LEN(ReferenceData!$H$796),"",ReferenceData!$H$796),"")</x:f>
        <x:v>0</x:v>
      </x:c>
      <x:c r="I796">
        <x:f ca="1">IFERROR(IF(0=LEN(ReferenceData!$I$796),"",ReferenceData!$I$796),"")</x:f>
        <x:v>0</x:v>
      </x:c>
      <x:c r="J796">
        <x:f ca="1">IFERROR(IF(0=LEN(ReferenceData!$J$796),"",ReferenceData!$J$796),"")</x:f>
        <x:v>0</x:v>
      </x:c>
      <x:c r="K796">
        <x:f ca="1">IFERROR(IF(0=LEN(ReferenceData!$K$796),"",ReferenceData!$K$796),"")</x:f>
        <x:v>0</x:v>
      </x:c>
      <x:c r="L796">
        <x:f ca="1">IFERROR(IF(0=LEN(ReferenceData!$L$796),"",ReferenceData!$L$796),"")</x:f>
        <x:v>0</x:v>
      </x:c>
      <x:c r="M796">
        <x:f ca="1">IFERROR(IF(0=LEN(ReferenceData!$M$796),"",ReferenceData!$M$796),"")</x:f>
        <x:v>-0.70114500000000002</x:v>
      </x:c>
      <x:c r="N796">
        <x:f ca="1">IFERROR(IF(0=LEN(ReferenceData!$N$796),"",ReferenceData!$N$796),"")</x:f>
        <x:v>0</x:v>
      </x:c>
      <x:c r="O796">
        <x:f ca="1">IFERROR(IF(0=LEN(ReferenceData!$O$796),"",ReferenceData!$O$796),"")</x:f>
        <x:v>0</x:v>
      </x:c>
      <x:c r="P796">
        <x:f ca="1">IFERROR(IF(0=LEN(ReferenceData!$P$796),"",ReferenceData!$P$796),"")</x:f>
        <x:v>0</x:v>
      </x:c>
      <x:c r="Q796">
        <x:f ca="1">IFERROR(IF(0=LEN(ReferenceData!$Q$796),"",ReferenceData!$Q$796),"")</x:f>
        <x:v>0</x:v>
      </x:c>
      <x:c r="R796">
        <x:f ca="1">IFERROR(IF(0=LEN(ReferenceData!$R$796),"",ReferenceData!$R$796),"")</x:f>
        <x:v>0.63927800000000001</x:v>
      </x:c>
      <x:c r="S796">
        <x:f ca="1">IFERROR(IF(0=LEN(ReferenceData!$S$796),"",ReferenceData!$S$796),"")</x:f>
        <x:v>0</x:v>
      </x:c>
    </x:row>
    <x:row r="797" spans="1:19" x14ac:dyDescent="0.25">
      <x:c r="A797" t="str">
        <x:f>IFERROR(IF(0=LEN(ReferenceData!$A$797),"",ReferenceData!$A$797),"")</x:f>
        <x:v xml:space="preserve">            iShares Cybersecurity and Tech</x:v>
      </x:c>
      <x:c r="B797" t="str">
        <x:f>IFERROR(IF(0=LEN(ReferenceData!$B$797),"",ReferenceData!$B$797),"")</x:f>
        <x:v>IHAK US Equity</x:v>
      </x:c>
      <x:c r="C797" t="str">
        <x:f>IFERROR(IF(0=LEN(ReferenceData!$C$797),"",ReferenceData!$C$797),"")</x:f>
        <x:v/>
      </x:c>
      <x:c r="D797" t="str">
        <x:f>IFERROR(IF(0=LEN(ReferenceData!$D$797),"",ReferenceData!$D$797),"")</x:f>
        <x:v/>
      </x:c>
      <x:c r="E797" t="str">
        <x:f>IFERROR(IF(0=LEN(ReferenceData!$E$797),"",ReferenceData!$E$797),"")</x:f>
        <x:v>Expression</x:v>
      </x:c>
      <x:c r="F797">
        <x:f ca="1">IFERROR(IF(0=LEN(ReferenceData!$F$797),"",ReferenceData!$F$797),"")</x:f>
        <x:v>0</x:v>
      </x:c>
      <x:c r="G797">
        <x:f ca="1">IFERROR(IF(0=LEN(ReferenceData!$G$797),"",ReferenceData!$G$797),"")</x:f>
        <x:v>39.551793000000004</x:v>
      </x:c>
      <x:c r="H797">
        <x:f ca="1">IFERROR(IF(0=LEN(ReferenceData!$H$797),"",ReferenceData!$H$797),"")</x:f>
        <x:v>-3.7772239999999999</x:v>
      </x:c>
      <x:c r="I797">
        <x:f ca="1">IFERROR(IF(0=LEN(ReferenceData!$I$797),"",ReferenceData!$I$797),"")</x:f>
        <x:v>-13.36782</x:v>
      </x:c>
      <x:c r="J797">
        <x:f ca="1">IFERROR(IF(0=LEN(ReferenceData!$J$797),"",ReferenceData!$J$797),"")</x:f>
        <x:v>20.015705000000001</x:v>
      </x:c>
      <x:c r="K797">
        <x:f ca="1">IFERROR(IF(0=LEN(ReferenceData!$K$797),"",ReferenceData!$K$797),"")</x:f>
        <x:v>-1.896315</x:v>
      </x:c>
      <x:c r="L797">
        <x:f ca="1">IFERROR(IF(0=LEN(ReferenceData!$L$797),"",ReferenceData!$L$797),"")</x:f>
        <x:v>0.18203</x:v>
      </x:c>
      <x:c r="M797">
        <x:f ca="1">IFERROR(IF(0=LEN(ReferenceData!$M$797),"",ReferenceData!$M$797),"")</x:f>
        <x:v>47.878830000000001</x:v>
      </x:c>
      <x:c r="N797">
        <x:f ca="1">IFERROR(IF(0=LEN(ReferenceData!$N$797),"",ReferenceData!$N$797),"")</x:f>
        <x:v>-12.190605</x:v>
      </x:c>
      <x:c r="O797">
        <x:f ca="1">IFERROR(IF(0=LEN(ReferenceData!$O$797),"",ReferenceData!$O$797),"")</x:f>
        <x:v>-12.20266</x:v>
      </x:c>
      <x:c r="P797">
        <x:f ca="1">IFERROR(IF(0=LEN(ReferenceData!$P$797),"",ReferenceData!$P$797),"")</x:f>
        <x:v>-13.23123</x:v>
      </x:c>
      <x:c r="Q797">
        <x:f ca="1">IFERROR(IF(0=LEN(ReferenceData!$Q$797),"",ReferenceData!$Q$797),"")</x:f>
        <x:v>0</x:v>
      </x:c>
      <x:c r="R797">
        <x:f ca="1">IFERROR(IF(0=LEN(ReferenceData!$R$797),"",ReferenceData!$R$797),"")</x:f>
        <x:v>8.1765249999999998</x:v>
      </x:c>
      <x:c r="S797">
        <x:f ca="1">IFERROR(IF(0=LEN(ReferenceData!$S$797),"",ReferenceData!$S$797),"")</x:f>
        <x:v>0</x:v>
      </x:c>
    </x:row>
    <x:row r="798" spans="1:19" x14ac:dyDescent="0.25">
      <x:c r="A798" t="str">
        <x:f>IFERROR(IF(0=LEN(ReferenceData!$A$798),"",ReferenceData!$A$798),"")</x:f>
        <x:v xml:space="preserve">            Direxion Daily Cyber Security</x:v>
      </x:c>
      <x:c r="B798" t="str">
        <x:f>IFERROR(IF(0=LEN(ReferenceData!$B$798),"",ReferenceData!$B$798),"")</x:f>
        <x:v>HAKK US Equity</x:v>
      </x:c>
      <x:c r="C798" t="str">
        <x:f>IFERROR(IF(0=LEN(ReferenceData!$C$798),"",ReferenceData!$C$798),"")</x:f>
        <x:v/>
      </x:c>
      <x:c r="D798" t="str">
        <x:f>IFERROR(IF(0=LEN(ReferenceData!$D$798),"",ReferenceData!$D$798),"")</x:f>
        <x:v/>
      </x:c>
      <x:c r="E798" t="str">
        <x:f>IFERROR(IF(0=LEN(ReferenceData!$E$798),"",ReferenceData!$E$798),"")</x:f>
        <x:v>Expression</x:v>
      </x:c>
      <x:c r="F798" t="str">
        <x:f ca="1">IFERROR(IF(0=LEN(ReferenceData!$F$798),"",ReferenceData!$F$798),"")</x:f>
        <x:v/>
      </x:c>
      <x:c r="G798" t="str">
        <x:f ca="1">IFERROR(IF(0=LEN(ReferenceData!$G$798),"",ReferenceData!$G$798),"")</x:f>
        <x:v/>
      </x:c>
      <x:c r="H798" t="str">
        <x:f ca="1">IFERROR(IF(0=LEN(ReferenceData!$H$798),"",ReferenceData!$H$798),"")</x:f>
        <x:v/>
      </x:c>
      <x:c r="I798" t="str">
        <x:f ca="1">IFERROR(IF(0=LEN(ReferenceData!$I$798),"",ReferenceData!$I$798),"")</x:f>
        <x:v/>
      </x:c>
      <x:c r="J798" t="str">
        <x:f ca="1">IFERROR(IF(0=LEN(ReferenceData!$J$798),"",ReferenceData!$J$798),"")</x:f>
        <x:v/>
      </x:c>
      <x:c r="K798" t="str">
        <x:f ca="1">IFERROR(IF(0=LEN(ReferenceData!$K$798),"",ReferenceData!$K$798),"")</x:f>
        <x:v/>
      </x:c>
      <x:c r="L798" t="str">
        <x:f ca="1">IFERROR(IF(0=LEN(ReferenceData!$L$798),"",ReferenceData!$L$798),"")</x:f>
        <x:v/>
      </x:c>
      <x:c r="M798" t="str">
        <x:f ca="1">IFERROR(IF(0=LEN(ReferenceData!$M$798),"",ReferenceData!$M$798),"")</x:f>
        <x:v/>
      </x:c>
      <x:c r="N798" t="str">
        <x:f ca="1">IFERROR(IF(0=LEN(ReferenceData!$N$798),"",ReferenceData!$N$798),"")</x:f>
        <x:v/>
      </x:c>
      <x:c r="O798" t="str">
        <x:f ca="1">IFERROR(IF(0=LEN(ReferenceData!$O$798),"",ReferenceData!$O$798),"")</x:f>
        <x:v/>
      </x:c>
      <x:c r="P798" t="str">
        <x:f ca="1">IFERROR(IF(0=LEN(ReferenceData!$P$798),"",ReferenceData!$P$798),"")</x:f>
        <x:v/>
      </x:c>
      <x:c r="Q798" t="str">
        <x:f ca="1">IFERROR(IF(0=LEN(ReferenceData!$Q$798),"",ReferenceData!$Q$798),"")</x:f>
        <x:v/>
      </x:c>
      <x:c r="R798" t="str">
        <x:f ca="1">IFERROR(IF(0=LEN(ReferenceData!$R$798),"",ReferenceData!$R$798),"")</x:f>
        <x:v/>
      </x:c>
      <x:c r="S798" t="str">
        <x:f ca="1">IFERROR(IF(0=LEN(ReferenceData!$S$798),"",ReferenceData!$S$798),"")</x:f>
        <x:v/>
      </x:c>
    </x:row>
    <x:row r="799" spans="1:19" x14ac:dyDescent="0.25">
      <x:c r="A799" t="str">
        <x:f>IFERROR(IF(0=LEN(ReferenceData!$A$799),"",ReferenceData!$A$799),"")</x:f>
        <x:v xml:space="preserve">        IPO &amp; SPAC</x:v>
      </x:c>
      <x:c r="B799" t="str">
        <x:f>IFERROR(IF(0=LEN(ReferenceData!$B$799),"",ReferenceData!$B$799),"")</x:f>
        <x:v/>
      </x:c>
      <x:c r="C799" t="str">
        <x:f>IFERROR(IF(0=LEN(ReferenceData!$C$799),"",ReferenceData!$C$799),"")</x:f>
        <x:v/>
      </x:c>
      <x:c r="D799" t="str">
        <x:f>IFERROR(IF(0=LEN(ReferenceData!$D$799),"",ReferenceData!$D$799),"")</x:f>
        <x:v/>
      </x:c>
      <x:c r="E799" t="str">
        <x:f>IFERROR(IF(0=LEN(ReferenceData!$E$799),"",ReferenceData!$E$799),"")</x:f>
        <x:v>Sum</x:v>
      </x:c>
      <x:c r="F799">
        <x:f ca="1">IFERROR(IF(0=LEN(ReferenceData!$F$799),"",ReferenceData!$F$799),"")</x:f>
        <x:v>-14.693273999999999</x:v>
      </x:c>
      <x:c r="G799">
        <x:f ca="1">IFERROR(IF(0=LEN(ReferenceData!$G$799),"",ReferenceData!$G$799),"")</x:f>
        <x:v>-43.803617000000003</x:v>
      </x:c>
      <x:c r="H799">
        <x:f ca="1">IFERROR(IF(0=LEN(ReferenceData!$H$799),"",ReferenceData!$H$799),"")</x:f>
        <x:v>-43.573739000000003</x:v>
      </x:c>
      <x:c r="I799">
        <x:f ca="1">IFERROR(IF(0=LEN(ReferenceData!$I$799),"",ReferenceData!$I$799),"")</x:f>
        <x:v>-40.183495999999991</x:v>
      </x:c>
      <x:c r="J799">
        <x:f ca="1">IFERROR(IF(0=LEN(ReferenceData!$J$799),"",ReferenceData!$J$799),"")</x:f>
        <x:v>25.301720000000003</x:v>
      </x:c>
      <x:c r="K799">
        <x:f ca="1">IFERROR(IF(0=LEN(ReferenceData!$K$799),"",ReferenceData!$K$799),"")</x:f>
        <x:v>-12.722337000000001</x:v>
      </x:c>
      <x:c r="L799">
        <x:f ca="1">IFERROR(IF(0=LEN(ReferenceData!$L$799),"",ReferenceData!$L$799),"")</x:f>
        <x:v>-40.620241999999998</x:v>
      </x:c>
      <x:c r="M799">
        <x:f ca="1">IFERROR(IF(0=LEN(ReferenceData!$M$799),"",ReferenceData!$M$799),"")</x:f>
        <x:v>-19.345807999999998</x:v>
      </x:c>
      <x:c r="N799">
        <x:f ca="1">IFERROR(IF(0=LEN(ReferenceData!$N$799),"",ReferenceData!$N$799),"")</x:f>
        <x:v>-40.672008999999996</x:v>
      </x:c>
      <x:c r="O799">
        <x:f ca="1">IFERROR(IF(0=LEN(ReferenceData!$O$799),"",ReferenceData!$O$799),"")</x:f>
        <x:v>-3.9001279999999996</x:v>
      </x:c>
      <x:c r="P799">
        <x:f ca="1">IFERROR(IF(0=LEN(ReferenceData!$P$799),"",ReferenceData!$P$799),"")</x:f>
        <x:v>-42.128499999999995</x:v>
      </x:c>
      <x:c r="Q799">
        <x:f ca="1">IFERROR(IF(0=LEN(ReferenceData!$Q$799),"",ReferenceData!$Q$799),"")</x:f>
        <x:v>-86.908894000000004</x:v>
      </x:c>
      <x:c r="R799">
        <x:f ca="1">IFERROR(IF(0=LEN(ReferenceData!$R$799),"",ReferenceData!$R$799),"")</x:f>
        <x:v>-61.188541999999998</x:v>
      </x:c>
      <x:c r="S799">
        <x:f ca="1">IFERROR(IF(0=LEN(ReferenceData!$S$799),"",ReferenceData!$S$799),"")</x:f>
        <x:v>-68.869551999999999</x:v>
      </x:c>
    </x:row>
    <x:row r="800" spans="1:19" x14ac:dyDescent="0.25">
      <x:c r="A800" t="str">
        <x:f>IFERROR(IF(0=LEN(ReferenceData!$A$800),"",ReferenceData!$A$800),"")</x:f>
        <x:v xml:space="preserve">            Renaissance IPO ETF</x:v>
      </x:c>
      <x:c r="B800" t="str">
        <x:f>IFERROR(IF(0=LEN(ReferenceData!$B$800),"",ReferenceData!$B$800),"")</x:f>
        <x:v>IPO US Equity</x:v>
      </x:c>
      <x:c r="C800" t="str">
        <x:f>IFERROR(IF(0=LEN(ReferenceData!$C$800),"",ReferenceData!$C$800),"")</x:f>
        <x:v/>
      </x:c>
      <x:c r="D800" t="str">
        <x:f>IFERROR(IF(0=LEN(ReferenceData!$D$800),"",ReferenceData!$D$800),"")</x:f>
        <x:v/>
      </x:c>
      <x:c r="E800" t="str">
        <x:f>IFERROR(IF(0=LEN(ReferenceData!$E$800),"",ReferenceData!$E$800),"")</x:f>
        <x:v>Expression</x:v>
      </x:c>
      <x:c r="F800">
        <x:f ca="1">IFERROR(IF(0=LEN(ReferenceData!$F$800),"",ReferenceData!$F$800),"")</x:f>
        <x:v>3.139195</x:v>
      </x:c>
      <x:c r="G800">
        <x:f ca="1">IFERROR(IF(0=LEN(ReferenceData!$G$800),"",ReferenceData!$G$800),"")</x:f>
        <x:v>-16.680154999999999</x:v>
      </x:c>
      <x:c r="H800">
        <x:f ca="1">IFERROR(IF(0=LEN(ReferenceData!$H$800),"",ReferenceData!$H$800),"")</x:f>
        <x:v>-4.8414619999999999</x:v>
      </x:c>
      <x:c r="I800">
        <x:f ca="1">IFERROR(IF(0=LEN(ReferenceData!$I$800),"",ReferenceData!$I$800),"")</x:f>
        <x:v>-25.471678000000001</x:v>
      </x:c>
      <x:c r="J800">
        <x:f ca="1">IFERROR(IF(0=LEN(ReferenceData!$J$800),"",ReferenceData!$J$800),"")</x:f>
        <x:v>43.076633999999999</x:v>
      </x:c>
      <x:c r="K800">
        <x:f ca="1">IFERROR(IF(0=LEN(ReferenceData!$K$800),"",ReferenceData!$K$800),"")</x:f>
        <x:v>17.347442999999998</x:v>
      </x:c>
      <x:c r="L800">
        <x:f ca="1">IFERROR(IF(0=LEN(ReferenceData!$L$800),"",ReferenceData!$L$800),"")</x:f>
        <x:v>7.4656539999999998</x:v>
      </x:c>
      <x:c r="M800">
        <x:f ca="1">IFERROR(IF(0=LEN(ReferenceData!$M$800),"",ReferenceData!$M$800),"")</x:f>
        <x:v>0</x:v>
      </x:c>
      <x:c r="N800">
        <x:f ca="1">IFERROR(IF(0=LEN(ReferenceData!$N$800),"",ReferenceData!$N$800),"")</x:f>
        <x:v>-9.8901070000000004</x:v>
      </x:c>
      <x:c r="O800">
        <x:f ca="1">IFERROR(IF(0=LEN(ReferenceData!$O$800),"",ReferenceData!$O$800),"")</x:f>
        <x:v>7.0712380000000001</x:v>
      </x:c>
      <x:c r="P800">
        <x:f ca="1">IFERROR(IF(0=LEN(ReferenceData!$P$800),"",ReferenceData!$P$800),"")</x:f>
        <x:v>-8.8262850000000004</x:v>
      </x:c>
      <x:c r="Q800">
        <x:f ca="1">IFERROR(IF(0=LEN(ReferenceData!$Q$800),"",ReferenceData!$Q$800),"")</x:f>
        <x:v>-4.8842509999999999</x:v>
      </x:c>
      <x:c r="R800">
        <x:f ca="1">IFERROR(IF(0=LEN(ReferenceData!$R$800),"",ReferenceData!$R$800),"")</x:f>
        <x:v>-5.3123069999999997</x:v>
      </x:c>
      <x:c r="S800">
        <x:f ca="1">IFERROR(IF(0=LEN(ReferenceData!$S$800),"",ReferenceData!$S$800),"")</x:f>
        <x:v>1.5674809999999999</x:v>
      </x:c>
    </x:row>
    <x:row r="801" spans="1:19" x14ac:dyDescent="0.25">
      <x:c r="A801" t="str">
        <x:f>IFERROR(IF(0=LEN(ReferenceData!$A$801),"",ReferenceData!$A$801),"")</x:f>
        <x:v xml:space="preserve">            Renaissance International IPO</x:v>
      </x:c>
      <x:c r="B801" t="str">
        <x:f>IFERROR(IF(0=LEN(ReferenceData!$B$801),"",ReferenceData!$B$801),"")</x:f>
        <x:v>IPOS US Equity</x:v>
      </x:c>
      <x:c r="C801" t="str">
        <x:f>IFERROR(IF(0=LEN(ReferenceData!$C$801),"",ReferenceData!$C$801),"")</x:f>
        <x:v/>
      </x:c>
      <x:c r="D801" t="str">
        <x:f>IFERROR(IF(0=LEN(ReferenceData!$D$801),"",ReferenceData!$D$801),"")</x:f>
        <x:v/>
      </x:c>
      <x:c r="E801" t="str">
        <x:f>IFERROR(IF(0=LEN(ReferenceData!$E$801),"",ReferenceData!$E$801),"")</x:f>
        <x:v>Expression</x:v>
      </x:c>
      <x:c r="F801">
        <x:f ca="1">IFERROR(IF(0=LEN(ReferenceData!$F$801),"",ReferenceData!$F$801),"")</x:f>
        <x:v>0</x:v>
      </x:c>
      <x:c r="G801">
        <x:f ca="1">IFERROR(IF(0=LEN(ReferenceData!$G$801),"",ReferenceData!$G$801),"")</x:f>
        <x:v>0</x:v>
      </x:c>
      <x:c r="H801">
        <x:f ca="1">IFERROR(IF(0=LEN(ReferenceData!$H$801),"",ReferenceData!$H$801),"")</x:f>
        <x:v>0</x:v>
      </x:c>
      <x:c r="I801">
        <x:f ca="1">IFERROR(IF(0=LEN(ReferenceData!$I$801),"",ReferenceData!$I$801),"")</x:f>
        <x:v>0</x:v>
      </x:c>
      <x:c r="J801">
        <x:f ca="1">IFERROR(IF(0=LEN(ReferenceData!$J$801),"",ReferenceData!$J$801),"")</x:f>
        <x:v>0</x:v>
      </x:c>
      <x:c r="K801">
        <x:f ca="1">IFERROR(IF(0=LEN(ReferenceData!$K$801),"",ReferenceData!$K$801),"")</x:f>
        <x:v>0</x:v>
      </x:c>
      <x:c r="L801">
        <x:f ca="1">IFERROR(IF(0=LEN(ReferenceData!$L$801),"",ReferenceData!$L$801),"")</x:f>
        <x:v>0</x:v>
      </x:c>
      <x:c r="M801">
        <x:f ca="1">IFERROR(IF(0=LEN(ReferenceData!$M$801),"",ReferenceData!$M$801),"")</x:f>
        <x:v>0</x:v>
      </x:c>
      <x:c r="N801">
        <x:f ca="1">IFERROR(IF(0=LEN(ReferenceData!$N$801),"",ReferenceData!$N$801),"")</x:f>
        <x:v>-0.81875600000000004</x:v>
      </x:c>
      <x:c r="O801">
        <x:f ca="1">IFERROR(IF(0=LEN(ReferenceData!$O$801),"",ReferenceData!$O$801),"")</x:f>
        <x:v>0</x:v>
      </x:c>
      <x:c r="P801">
        <x:f ca="1">IFERROR(IF(0=LEN(ReferenceData!$P$801),"",ReferenceData!$P$801),"")</x:f>
        <x:v>0</x:v>
      </x:c>
      <x:c r="Q801">
        <x:f ca="1">IFERROR(IF(0=LEN(ReferenceData!$Q$801),"",ReferenceData!$Q$801),"")</x:f>
        <x:v>-0.86392999999999998</x:v>
      </x:c>
      <x:c r="R801">
        <x:f ca="1">IFERROR(IF(0=LEN(ReferenceData!$R$801),"",ReferenceData!$R$801),"")</x:f>
        <x:v>0</x:v>
      </x:c>
      <x:c r="S801">
        <x:f ca="1">IFERROR(IF(0=LEN(ReferenceData!$S$801),"",ReferenceData!$S$801),"")</x:f>
        <x:v>-0.75820100000000001</x:v>
      </x:c>
    </x:row>
    <x:row r="802" spans="1:19" x14ac:dyDescent="0.25">
      <x:c r="A802" t="str">
        <x:f>IFERROR(IF(0=LEN(ReferenceData!$A$802),"",ReferenceData!$A$802),"")</x:f>
        <x:v xml:space="preserve">            First Trust US Equity Opportun</x:v>
      </x:c>
      <x:c r="B802" t="str">
        <x:f>IFERROR(IF(0=LEN(ReferenceData!$B$802),"",ReferenceData!$B$802),"")</x:f>
        <x:v>FPX US Equity</x:v>
      </x:c>
      <x:c r="C802" t="str">
        <x:f>IFERROR(IF(0=LEN(ReferenceData!$C$802),"",ReferenceData!$C$802),"")</x:f>
        <x:v/>
      </x:c>
      <x:c r="D802" t="str">
        <x:f>IFERROR(IF(0=LEN(ReferenceData!$D$802),"",ReferenceData!$D$802),"")</x:f>
        <x:v/>
      </x:c>
      <x:c r="E802" t="str">
        <x:f>IFERROR(IF(0=LEN(ReferenceData!$E$802),"",ReferenceData!$E$802),"")</x:f>
        <x:v>Expression</x:v>
      </x:c>
      <x:c r="F802">
        <x:f ca="1">IFERROR(IF(0=LEN(ReferenceData!$F$802),"",ReferenceData!$F$802),"")</x:f>
        <x:v>-12.175901</x:v>
      </x:c>
      <x:c r="G802">
        <x:f ca="1">IFERROR(IF(0=LEN(ReferenceData!$G$802),"",ReferenceData!$G$802),"")</x:f>
        <x:v>-24.248709999999999</x:v>
      </x:c>
      <x:c r="H802">
        <x:f ca="1">IFERROR(IF(0=LEN(ReferenceData!$H$802),"",ReferenceData!$H$802),"")</x:f>
        <x:v>-33.902534000000003</x:v>
      </x:c>
      <x:c r="I802">
        <x:f ca="1">IFERROR(IF(0=LEN(ReferenceData!$I$802),"",ReferenceData!$I$802),"")</x:f>
        <x:v>-8.2270409999999998</x:v>
      </x:c>
      <x:c r="J802">
        <x:f ca="1">IFERROR(IF(0=LEN(ReferenceData!$J$802),"",ReferenceData!$J$802),"")</x:f>
        <x:v>0.2535</x:v>
      </x:c>
      <x:c r="K802">
        <x:f ca="1">IFERROR(IF(0=LEN(ReferenceData!$K$802),"",ReferenceData!$K$802),"")</x:f>
        <x:v>-21.36</x:v>
      </x:c>
      <x:c r="L802">
        <x:f ca="1">IFERROR(IF(0=LEN(ReferenceData!$L$802),"",ReferenceData!$L$802),"")</x:f>
        <x:v>-16.201499999999999</x:v>
      </x:c>
      <x:c r="M802">
        <x:f ca="1">IFERROR(IF(0=LEN(ReferenceData!$M$802),"",ReferenceData!$M$802),"")</x:f>
        <x:v>-12.2835</x:v>
      </x:c>
      <x:c r="N802">
        <x:f ca="1">IFERROR(IF(0=LEN(ReferenceData!$N$802),"",ReferenceData!$N$802),"")</x:f>
        <x:v>-20.279499999999999</x:v>
      </x:c>
      <x:c r="O802">
        <x:f ca="1">IFERROR(IF(0=LEN(ReferenceData!$O$802),"",ReferenceData!$O$802),"")</x:f>
        <x:v>-8.4734999999999996</x:v>
      </x:c>
      <x:c r="P802">
        <x:f ca="1">IFERROR(IF(0=LEN(ReferenceData!$P$802),"",ReferenceData!$P$802),"")</x:f>
        <x:v>-24.477499999999999</x:v>
      </x:c>
      <x:c r="Q802">
        <x:f ca="1">IFERROR(IF(0=LEN(ReferenceData!$Q$802),"",ReferenceData!$Q$802),"")</x:f>
        <x:v>-28.108485999999999</x:v>
      </x:c>
      <x:c r="R802">
        <x:f ca="1">IFERROR(IF(0=LEN(ReferenceData!$R$802),"",ReferenceData!$R$802),"")</x:f>
        <x:v>-29.701329999999999</x:v>
      </x:c>
      <x:c r="S802">
        <x:f ca="1">IFERROR(IF(0=LEN(ReferenceData!$S$802),"",ReferenceData!$S$802),"")</x:f>
        <x:v>-41.952016</x:v>
      </x:c>
    </x:row>
    <x:row r="803" spans="1:19" x14ac:dyDescent="0.25">
      <x:c r="A803" t="str">
        <x:f>IFERROR(IF(0=LEN(ReferenceData!$A$803),"",ReferenceData!$A$803),"")</x:f>
        <x:v xml:space="preserve">            Invesco S&amp;P Spin-Off ETF</x:v>
      </x:c>
      <x:c r="B803" t="str">
        <x:f>IFERROR(IF(0=LEN(ReferenceData!$B$803),"",ReferenceData!$B$803),"")</x:f>
        <x:v>CSD US Equity</x:v>
      </x:c>
      <x:c r="C803" t="str">
        <x:f>IFERROR(IF(0=LEN(ReferenceData!$C$803),"",ReferenceData!$C$803),"")</x:f>
        <x:v/>
      </x:c>
      <x:c r="D803" t="str">
        <x:f>IFERROR(IF(0=LEN(ReferenceData!$D$803),"",ReferenceData!$D$803),"")</x:f>
        <x:v/>
      </x:c>
      <x:c r="E803" t="str">
        <x:f>IFERROR(IF(0=LEN(ReferenceData!$E$803),"",ReferenceData!$E$803),"")</x:f>
        <x:v>Expression</x:v>
      </x:c>
      <x:c r="F803">
        <x:f ca="1">IFERROR(IF(0=LEN(ReferenceData!$F$803),"",ReferenceData!$F$803),"")</x:f>
        <x:v>-1.6662490000000001</x:v>
      </x:c>
      <x:c r="G803">
        <x:f ca="1">IFERROR(IF(0=LEN(ReferenceData!$G$803),"",ReferenceData!$G$803),"")</x:f>
        <x:v>0</x:v>
      </x:c>
      <x:c r="H803">
        <x:f ca="1">IFERROR(IF(0=LEN(ReferenceData!$H$803),"",ReferenceData!$H$803),"")</x:f>
        <x:v>0</x:v>
      </x:c>
      <x:c r="I803">
        <x:f ca="1">IFERROR(IF(0=LEN(ReferenceData!$I$803),"",ReferenceData!$I$803),"")</x:f>
        <x:v>-1.1381349999999999</x:v>
      </x:c>
      <x:c r="J803">
        <x:f ca="1">IFERROR(IF(0=LEN(ReferenceData!$J$803),"",ReferenceData!$J$803),"")</x:f>
        <x:v>-0.59388600000000002</x:v>
      </x:c>
      <x:c r="K803">
        <x:f ca="1">IFERROR(IF(0=LEN(ReferenceData!$K$803),"",ReferenceData!$K$803),"")</x:f>
        <x:v>-0.56056600000000001</x:v>
      </x:c>
      <x:c r="L803">
        <x:f ca="1">IFERROR(IF(0=LEN(ReferenceData!$L$803),"",ReferenceData!$L$803),"")</x:f>
        <x:v>-0.54801900000000003</x:v>
      </x:c>
      <x:c r="M803">
        <x:f ca="1">IFERROR(IF(0=LEN(ReferenceData!$M$803),"",ReferenceData!$M$803),"")</x:f>
        <x:v>0</x:v>
      </x:c>
      <x:c r="N803">
        <x:f ca="1">IFERROR(IF(0=LEN(ReferenceData!$N$803),"",ReferenceData!$N$803),"")</x:f>
        <x:v>-1.662615</x:v>
      </x:c>
      <x:c r="O803">
        <x:f ca="1">IFERROR(IF(0=LEN(ReferenceData!$O$803),"",ReferenceData!$O$803),"")</x:f>
        <x:v>-1.1866380000000001</x:v>
      </x:c>
      <x:c r="P803">
        <x:f ca="1">IFERROR(IF(0=LEN(ReferenceData!$P$803),"",ReferenceData!$P$803),"")</x:f>
        <x:v>-0.54117700000000002</x:v>
      </x:c>
      <x:c r="Q803">
        <x:f ca="1">IFERROR(IF(0=LEN(ReferenceData!$Q$803),"",ReferenceData!$Q$803),"")</x:f>
        <x:v>-0.51566699999999999</x:v>
      </x:c>
      <x:c r="R803">
        <x:f ca="1">IFERROR(IF(0=LEN(ReferenceData!$R$803),"",ReferenceData!$R$803),"")</x:f>
        <x:v>-0.552176</x:v>
      </x:c>
      <x:c r="S803">
        <x:f ca="1">IFERROR(IF(0=LEN(ReferenceData!$S$803),"",ReferenceData!$S$803),"")</x:f>
        <x:v>-1.050233</x:v>
      </x:c>
    </x:row>
    <x:row r="804" spans="1:19" x14ac:dyDescent="0.25">
      <x:c r="A804" t="str">
        <x:f>IFERROR(IF(0=LEN(ReferenceData!$A$804),"",ReferenceData!$A$804),"")</x:f>
        <x:v xml:space="preserve">            First Trust International Equi</x:v>
      </x:c>
      <x:c r="B804" t="str">
        <x:f>IFERROR(IF(0=LEN(ReferenceData!$B$804),"",ReferenceData!$B$804),"")</x:f>
        <x:v>FPXI US Equity</x:v>
      </x:c>
      <x:c r="C804" t="str">
        <x:f>IFERROR(IF(0=LEN(ReferenceData!$C$804),"",ReferenceData!$C$804),"")</x:f>
        <x:v/>
      </x:c>
      <x:c r="D804" t="str">
        <x:f>IFERROR(IF(0=LEN(ReferenceData!$D$804),"",ReferenceData!$D$804),"")</x:f>
        <x:v/>
      </x:c>
      <x:c r="E804" t="str">
        <x:f>IFERROR(IF(0=LEN(ReferenceData!$E$804),"",ReferenceData!$E$804),"")</x:f>
        <x:v>Expression</x:v>
      </x:c>
      <x:c r="F804">
        <x:f ca="1">IFERROR(IF(0=LEN(ReferenceData!$F$804),"",ReferenceData!$F$804),"")</x:f>
        <x:v>-3.9903189999999999</x:v>
      </x:c>
      <x:c r="G804">
        <x:f ca="1">IFERROR(IF(0=LEN(ReferenceData!$G$804),"",ReferenceData!$G$804),"")</x:f>
        <x:v>-1.8679060000000001</x:v>
      </x:c>
      <x:c r="H804">
        <x:f ca="1">IFERROR(IF(0=LEN(ReferenceData!$H$804),"",ReferenceData!$H$804),"")</x:f>
        <x:v>-3.9660000000000002</x:v>
      </x:c>
      <x:c r="I804">
        <x:f ca="1">IFERROR(IF(0=LEN(ReferenceData!$I$804),"",ReferenceData!$I$804),"")</x:f>
        <x:v>-6.1690050000000003</x:v>
      </x:c>
      <x:c r="J804">
        <x:f ca="1">IFERROR(IF(0=LEN(ReferenceData!$J$804),"",ReferenceData!$J$804),"")</x:f>
        <x:v>-14.206</x:v>
      </x:c>
      <x:c r="K804">
        <x:f ca="1">IFERROR(IF(0=LEN(ReferenceData!$K$804),"",ReferenceData!$K$804),"")</x:f>
        <x:v>-7.8855000000000004</x:v>
      </x:c>
      <x:c r="L804">
        <x:f ca="1">IFERROR(IF(0=LEN(ReferenceData!$L$804),"",ReferenceData!$L$804),"")</x:f>
        <x:v>-27.427</x:v>
      </x:c>
      <x:c r="M804">
        <x:f ca="1">IFERROR(IF(0=LEN(ReferenceData!$M$804),"",ReferenceData!$M$804),"")</x:f>
        <x:v>-8.0990000000000002</x:v>
      </x:c>
      <x:c r="N804">
        <x:f ca="1">IFERROR(IF(0=LEN(ReferenceData!$N$804),"",ReferenceData!$N$804),"")</x:f>
        <x:v>-10.0185</x:v>
      </x:c>
      <x:c r="O804">
        <x:f ca="1">IFERROR(IF(0=LEN(ReferenceData!$O$804),"",ReferenceData!$O$804),"")</x:f>
        <x:v>0</x:v>
      </x:c>
      <x:c r="P804">
        <x:f ca="1">IFERROR(IF(0=LEN(ReferenceData!$P$804),"",ReferenceData!$P$804),"")</x:f>
        <x:v>-12.2225</x:v>
      </x:c>
      <x:c r="Q804">
        <x:f ca="1">IFERROR(IF(0=LEN(ReferenceData!$Q$804),"",ReferenceData!$Q$804),"")</x:f>
        <x:v>-44.99</x:v>
      </x:c>
      <x:c r="R804">
        <x:f ca="1">IFERROR(IF(0=LEN(ReferenceData!$R$804),"",ReferenceData!$R$804),"")</x:f>
        <x:v>-18.879601999999998</x:v>
      </x:c>
      <x:c r="S804">
        <x:f ca="1">IFERROR(IF(0=LEN(ReferenceData!$S$804),"",ReferenceData!$S$804),"")</x:f>
        <x:v>-26.329753</x:v>
      </x:c>
    </x:row>
    <x:row r="805" spans="1:19" x14ac:dyDescent="0.25">
      <x:c r="A805" t="str">
        <x:f>IFERROR(IF(0=LEN(ReferenceData!$A$805),"",ReferenceData!$A$805),"")</x:f>
        <x:v xml:space="preserve">            First Trust IPOX Europe Equity</x:v>
      </x:c>
      <x:c r="B805" t="str">
        <x:f>IFERROR(IF(0=LEN(ReferenceData!$B$805),"",ReferenceData!$B$805),"")</x:f>
        <x:v>FPXE US Equity</x:v>
      </x:c>
      <x:c r="C805" t="str">
        <x:f>IFERROR(IF(0=LEN(ReferenceData!$C$805),"",ReferenceData!$C$805),"")</x:f>
        <x:v/>
      </x:c>
      <x:c r="D805" t="str">
        <x:f>IFERROR(IF(0=LEN(ReferenceData!$D$805),"",ReferenceData!$D$805),"")</x:f>
        <x:v/>
      </x:c>
      <x:c r="E805" t="str">
        <x:f>IFERROR(IF(0=LEN(ReferenceData!$E$805),"",ReferenceData!$E$805),"")</x:f>
        <x:v>Expression</x:v>
      </x:c>
      <x:c r="F805">
        <x:f ca="1">IFERROR(IF(0=LEN(ReferenceData!$F$805),"",ReferenceData!$F$805),"")</x:f>
        <x:v>0</x:v>
      </x:c>
      <x:c r="G805">
        <x:f ca="1">IFERROR(IF(0=LEN(ReferenceData!$G$805),"",ReferenceData!$G$805),"")</x:f>
        <x:v>0</x:v>
      </x:c>
      <x:c r="H805">
        <x:f ca="1">IFERROR(IF(0=LEN(ReferenceData!$H$805),"",ReferenceData!$H$805),"")</x:f>
        <x:v>-1.080131</x:v>
      </x:c>
      <x:c r="I805">
        <x:f ca="1">IFERROR(IF(0=LEN(ReferenceData!$I$805),"",ReferenceData!$I$805),"")</x:f>
        <x:v>0</x:v>
      </x:c>
      <x:c r="J805">
        <x:f ca="1">IFERROR(IF(0=LEN(ReferenceData!$J$805),"",ReferenceData!$J$805),"")</x:f>
        <x:v>0</x:v>
      </x:c>
      <x:c r="K805">
        <x:f ca="1">IFERROR(IF(0=LEN(ReferenceData!$K$805),"",ReferenceData!$K$805),"")</x:f>
        <x:v>0</x:v>
      </x:c>
      <x:c r="L805">
        <x:f ca="1">IFERROR(IF(0=LEN(ReferenceData!$L$805),"",ReferenceData!$L$805),"")</x:f>
        <x:v>0</x:v>
      </x:c>
      <x:c r="M805">
        <x:f ca="1">IFERROR(IF(0=LEN(ReferenceData!$M$805),"",ReferenceData!$M$805),"")</x:f>
        <x:v>0</x:v>
      </x:c>
      <x:c r="N805">
        <x:f ca="1">IFERROR(IF(0=LEN(ReferenceData!$N$805),"",ReferenceData!$N$805),"")</x:f>
        <x:v>0</x:v>
      </x:c>
      <x:c r="O805">
        <x:f ca="1">IFERROR(IF(0=LEN(ReferenceData!$O$805),"",ReferenceData!$O$805),"")</x:f>
        <x:v>-1.0794999999999999</x:v>
      </x:c>
      <x:c r="P805">
        <x:f ca="1">IFERROR(IF(0=LEN(ReferenceData!$P$805),"",ReferenceData!$P$805),"")</x:f>
        <x:v>0</x:v>
      </x:c>
      <x:c r="Q805">
        <x:f ca="1">IFERROR(IF(0=LEN(ReferenceData!$Q$805),"",ReferenceData!$Q$805),"")</x:f>
        <x:v>0</x:v>
      </x:c>
      <x:c r="R805">
        <x:f ca="1">IFERROR(IF(0=LEN(ReferenceData!$R$805),"",ReferenceData!$R$805),"")</x:f>
        <x:v>0</x:v>
      </x:c>
      <x:c r="S805">
        <x:f ca="1">IFERROR(IF(0=LEN(ReferenceData!$S$805),"",ReferenceData!$S$805),"")</x:f>
        <x:v>0</x:v>
      </x:c>
    </x:row>
    <x:row r="806" spans="1:19" x14ac:dyDescent="0.25">
      <x:c r="A806" t="str">
        <x:f>IFERROR(IF(0=LEN(ReferenceData!$A$806),"",ReferenceData!$A$806),"")</x:f>
        <x:v xml:space="preserve">            Defiance NextGen SPAC Derived</x:v>
      </x:c>
      <x:c r="B806" t="str">
        <x:f>IFERROR(IF(0=LEN(ReferenceData!$B$806),"",ReferenceData!$B$806),"")</x:f>
        <x:v>SPAK US Equity</x:v>
      </x:c>
      <x:c r="C806" t="str">
        <x:f>IFERROR(IF(0=LEN(ReferenceData!$C$806),"",ReferenceData!$C$806),"")</x:f>
        <x:v/>
      </x:c>
      <x:c r="D806" t="str">
        <x:f>IFERROR(IF(0=LEN(ReferenceData!$D$806),"",ReferenceData!$D$806),"")</x:f>
        <x:v/>
      </x:c>
      <x:c r="E806" t="str">
        <x:f>IFERROR(IF(0=LEN(ReferenceData!$E$806),"",ReferenceData!$E$806),"")</x:f>
        <x:v>Expression</x:v>
      </x:c>
      <x:c r="F806" t="str">
        <x:f ca="1">IFERROR(IF(0=LEN(ReferenceData!$F$806),"",ReferenceData!$F$806),"")</x:f>
        <x:v/>
      </x:c>
      <x:c r="G806" t="str">
        <x:f ca="1">IFERROR(IF(0=LEN(ReferenceData!$G$806),"",ReferenceData!$G$806),"")</x:f>
        <x:v/>
      </x:c>
      <x:c r="H806" t="str">
        <x:f ca="1">IFERROR(IF(0=LEN(ReferenceData!$H$806),"",ReferenceData!$H$806),"")</x:f>
        <x:v/>
      </x:c>
      <x:c r="I806" t="str">
        <x:f ca="1">IFERROR(IF(0=LEN(ReferenceData!$I$806),"",ReferenceData!$I$806),"")</x:f>
        <x:v/>
      </x:c>
      <x:c r="J806" t="str">
        <x:f ca="1">IFERROR(IF(0=LEN(ReferenceData!$J$806),"",ReferenceData!$J$806),"")</x:f>
        <x:v/>
      </x:c>
      <x:c r="K806" t="str">
        <x:f ca="1">IFERROR(IF(0=LEN(ReferenceData!$K$806),"",ReferenceData!$K$806),"")</x:f>
        <x:v/>
      </x:c>
      <x:c r="L806" t="str">
        <x:f ca="1">IFERROR(IF(0=LEN(ReferenceData!$L$806),"",ReferenceData!$L$806),"")</x:f>
        <x:v/>
      </x:c>
      <x:c r="M806" t="str">
        <x:f ca="1">IFERROR(IF(0=LEN(ReferenceData!$M$806),"",ReferenceData!$M$806),"")</x:f>
        <x:v/>
      </x:c>
      <x:c r="N806" t="str">
        <x:f ca="1">IFERROR(IF(0=LEN(ReferenceData!$N$806),"",ReferenceData!$N$806),"")</x:f>
        <x:v/>
      </x:c>
      <x:c r="O806" t="str">
        <x:f ca="1">IFERROR(IF(0=LEN(ReferenceData!$O$806),"",ReferenceData!$O$806),"")</x:f>
        <x:v/>
      </x:c>
      <x:c r="P806" t="str">
        <x:f ca="1">IFERROR(IF(0=LEN(ReferenceData!$P$806),"",ReferenceData!$P$806),"")</x:f>
        <x:v/>
      </x:c>
      <x:c r="Q806" t="str">
        <x:f ca="1">IFERROR(IF(0=LEN(ReferenceData!$Q$806),"",ReferenceData!$Q$806),"")</x:f>
        <x:v/>
      </x:c>
      <x:c r="R806" t="str">
        <x:f ca="1">IFERROR(IF(0=LEN(ReferenceData!$R$806),"",ReferenceData!$R$806),"")</x:f>
        <x:v/>
      </x:c>
      <x:c r="S806" t="str">
        <x:f ca="1">IFERROR(IF(0=LEN(ReferenceData!$S$806),"",ReferenceData!$S$806),"")</x:f>
        <x:v/>
      </x:c>
    </x:row>
    <x:row r="807" spans="1:19" x14ac:dyDescent="0.25">
      <x:c r="A807" t="str">
        <x:f>IFERROR(IF(0=LEN(ReferenceData!$A$807),"",ReferenceData!$A$807),"")</x:f>
        <x:v xml:space="preserve">            SPAC &amp; New Issue ETF</x:v>
      </x:c>
      <x:c r="B807" t="str">
        <x:f>IFERROR(IF(0=LEN(ReferenceData!$B$807),"",ReferenceData!$B$807),"")</x:f>
        <x:v>SPCX US Equity</x:v>
      </x:c>
      <x:c r="C807" t="str">
        <x:f>IFERROR(IF(0=LEN(ReferenceData!$C$807),"",ReferenceData!$C$807),"")</x:f>
        <x:v/>
      </x:c>
      <x:c r="D807" t="str">
        <x:f>IFERROR(IF(0=LEN(ReferenceData!$D$807),"",ReferenceData!$D$807),"")</x:f>
        <x:v/>
      </x:c>
      <x:c r="E807" t="str">
        <x:f>IFERROR(IF(0=LEN(ReferenceData!$E$807),"",ReferenceData!$E$807),"")</x:f>
        <x:v>Expression</x:v>
      </x:c>
      <x:c r="F807">
        <x:f ca="1">IFERROR(IF(0=LEN(ReferenceData!$F$807),"",ReferenceData!$F$807),"")</x:f>
        <x:v>0</x:v>
      </x:c>
      <x:c r="G807">
        <x:f ca="1">IFERROR(IF(0=LEN(ReferenceData!$G$807),"",ReferenceData!$G$807),"")</x:f>
        <x:v>-0.58801999999999999</x:v>
      </x:c>
      <x:c r="H807">
        <x:f ca="1">IFERROR(IF(0=LEN(ReferenceData!$H$807),"",ReferenceData!$H$807),"")</x:f>
        <x:v>0</x:v>
      </x:c>
      <x:c r="I807">
        <x:f ca="1">IFERROR(IF(0=LEN(ReferenceData!$I$807),"",ReferenceData!$I$807),"")</x:f>
        <x:v>-0.59500500000000001</x:v>
      </x:c>
      <x:c r="J807">
        <x:f ca="1">IFERROR(IF(0=LEN(ReferenceData!$J$807),"",ReferenceData!$J$807),"")</x:f>
        <x:v>0</x:v>
      </x:c>
      <x:c r="K807">
        <x:f ca="1">IFERROR(IF(0=LEN(ReferenceData!$K$807),"",ReferenceData!$K$807),"")</x:f>
        <x:v>0</x:v>
      </x:c>
      <x:c r="L807">
        <x:f ca="1">IFERROR(IF(0=LEN(ReferenceData!$L$807),"",ReferenceData!$L$807),"")</x:f>
        <x:v>-1.1875279999999999</x:v>
      </x:c>
      <x:c r="M807">
        <x:f ca="1">IFERROR(IF(0=LEN(ReferenceData!$M$807),"",ReferenceData!$M$807),"")</x:f>
        <x:v>0</x:v>
      </x:c>
      <x:c r="N807">
        <x:f ca="1">IFERROR(IF(0=LEN(ReferenceData!$N$807),"",ReferenceData!$N$807),"")</x:f>
        <x:v>-1.7929120000000001</x:v>
      </x:c>
      <x:c r="O807">
        <x:f ca="1">IFERROR(IF(0=LEN(ReferenceData!$O$807),"",ReferenceData!$O$807),"")</x:f>
        <x:v>-1.1845030000000001</x:v>
      </x:c>
      <x:c r="P807">
        <x:f ca="1">IFERROR(IF(0=LEN(ReferenceData!$P$807),"",ReferenceData!$P$807),"")</x:f>
        <x:v>-1.8383670000000001</x:v>
      </x:c>
      <x:c r="Q807">
        <x:f ca="1">IFERROR(IF(0=LEN(ReferenceData!$Q$807),"",ReferenceData!$Q$807),"")</x:f>
        <x:v>3.7093000000000001E-2</x:v>
      </x:c>
      <x:c r="R807">
        <x:f ca="1">IFERROR(IF(0=LEN(ReferenceData!$R$807),"",ReferenceData!$R$807),"")</x:f>
        <x:v>-3.9319649999999999</x:v>
      </x:c>
      <x:c r="S807">
        <x:f ca="1">IFERROR(IF(0=LEN(ReferenceData!$S$807),"",ReferenceData!$S$807),"")</x:f>
        <x:v>-0.65742699999999998</x:v>
      </x:c>
    </x:row>
    <x:row r="808" spans="1:19" x14ac:dyDescent="0.25">
      <x:c r="A808" t="str">
        <x:f>IFERROR(IF(0=LEN(ReferenceData!$A$808),"",ReferenceData!$A$808),"")</x:f>
        <x:v xml:space="preserve">            Morgan Creek-Exos SPAC Origina</x:v>
      </x:c>
      <x:c r="B808" t="str">
        <x:f>IFERROR(IF(0=LEN(ReferenceData!$B$808),"",ReferenceData!$B$808),"")</x:f>
        <x:v>SPXZ US Equity</x:v>
      </x:c>
      <x:c r="C808" t="str">
        <x:f>IFERROR(IF(0=LEN(ReferenceData!$C$808),"",ReferenceData!$C$808),"")</x:f>
        <x:v/>
      </x:c>
      <x:c r="D808" t="str">
        <x:f>IFERROR(IF(0=LEN(ReferenceData!$D$808),"",ReferenceData!$D$808),"")</x:f>
        <x:v/>
      </x:c>
      <x:c r="E808" t="str">
        <x:f>IFERROR(IF(0=LEN(ReferenceData!$E$808),"",ReferenceData!$E$808),"")</x:f>
        <x:v>Expression</x:v>
      </x:c>
      <x:c r="F808" t="str">
        <x:f ca="1">IFERROR(IF(0=LEN(ReferenceData!$F$808),"",ReferenceData!$F$808),"")</x:f>
        <x:v/>
      </x:c>
      <x:c r="G808" t="str">
        <x:f ca="1">IFERROR(IF(0=LEN(ReferenceData!$G$808),"",ReferenceData!$G$808),"")</x:f>
        <x:v/>
      </x:c>
      <x:c r="H808" t="str">
        <x:f ca="1">IFERROR(IF(0=LEN(ReferenceData!$H$808),"",ReferenceData!$H$808),"")</x:f>
        <x:v/>
      </x:c>
      <x:c r="I808" t="str">
        <x:f ca="1">IFERROR(IF(0=LEN(ReferenceData!$I$808),"",ReferenceData!$I$808),"")</x:f>
        <x:v/>
      </x:c>
      <x:c r="J808" t="str">
        <x:f ca="1">IFERROR(IF(0=LEN(ReferenceData!$J$808),"",ReferenceData!$J$808),"")</x:f>
        <x:v/>
      </x:c>
      <x:c r="K808" t="str">
        <x:f ca="1">IFERROR(IF(0=LEN(ReferenceData!$K$808),"",ReferenceData!$K$808),"")</x:f>
        <x:v/>
      </x:c>
      <x:c r="L808" t="str">
        <x:f ca="1">IFERROR(IF(0=LEN(ReferenceData!$L$808),"",ReferenceData!$L$808),"")</x:f>
        <x:v/>
      </x:c>
      <x:c r="M808" t="str">
        <x:f ca="1">IFERROR(IF(0=LEN(ReferenceData!$M$808),"",ReferenceData!$M$808),"")</x:f>
        <x:v/>
      </x:c>
      <x:c r="N808" t="str">
        <x:f ca="1">IFERROR(IF(0=LEN(ReferenceData!$N$808),"",ReferenceData!$N$808),"")</x:f>
        <x:v/>
      </x:c>
      <x:c r="O808" t="str">
        <x:f ca="1">IFERROR(IF(0=LEN(ReferenceData!$O$808),"",ReferenceData!$O$808),"")</x:f>
        <x:v/>
      </x:c>
      <x:c r="P808" t="str">
        <x:f ca="1">IFERROR(IF(0=LEN(ReferenceData!$P$808),"",ReferenceData!$P$808),"")</x:f>
        <x:v/>
      </x:c>
      <x:c r="Q808" t="str">
        <x:f ca="1">IFERROR(IF(0=LEN(ReferenceData!$Q$808),"",ReferenceData!$Q$808),"")</x:f>
        <x:v/>
      </x:c>
      <x:c r="R808" t="str">
        <x:f ca="1">IFERROR(IF(0=LEN(ReferenceData!$R$808),"",ReferenceData!$R$808),"")</x:f>
        <x:v/>
      </x:c>
      <x:c r="S808" t="str">
        <x:f ca="1">IFERROR(IF(0=LEN(ReferenceData!$S$808),"",ReferenceData!$S$808),"")</x:f>
        <x:v/>
      </x:c>
    </x:row>
    <x:row r="809" spans="1:19" x14ac:dyDescent="0.25">
      <x:c r="A809" t="str">
        <x:f>IFERROR(IF(0=LEN(ReferenceData!$A$809),"",ReferenceData!$A$809),"")</x:f>
        <x:v xml:space="preserve">            AXS de-Spac ETF</x:v>
      </x:c>
      <x:c r="B809" t="str">
        <x:f>IFERROR(IF(0=LEN(ReferenceData!$B$809),"",ReferenceData!$B$809),"")</x:f>
        <x:v>DSPC US Equity</x:v>
      </x:c>
      <x:c r="C809" t="str">
        <x:f>IFERROR(IF(0=LEN(ReferenceData!$C$809),"",ReferenceData!$C$809),"")</x:f>
        <x:v/>
      </x:c>
      <x:c r="D809" t="str">
        <x:f>IFERROR(IF(0=LEN(ReferenceData!$D$809),"",ReferenceData!$D$809),"")</x:f>
        <x:v/>
      </x:c>
      <x:c r="E809" t="str">
        <x:f>IFERROR(IF(0=LEN(ReferenceData!$E$809),"",ReferenceData!$E$809),"")</x:f>
        <x:v>Expression</x:v>
      </x:c>
      <x:c r="F809" t="str">
        <x:f ca="1">IFERROR(IF(0=LEN(ReferenceData!$F$809),"",ReferenceData!$F$809),"")</x:f>
        <x:v/>
      </x:c>
      <x:c r="G809" t="str">
        <x:f ca="1">IFERROR(IF(0=LEN(ReferenceData!$G$809),"",ReferenceData!$G$809),"")</x:f>
        <x:v/>
      </x:c>
      <x:c r="H809" t="str">
        <x:f ca="1">IFERROR(IF(0=LEN(ReferenceData!$H$809),"",ReferenceData!$H$809),"")</x:f>
        <x:v/>
      </x:c>
      <x:c r="I809" t="str">
        <x:f ca="1">IFERROR(IF(0=LEN(ReferenceData!$I$809),"",ReferenceData!$I$809),"")</x:f>
        <x:v/>
      </x:c>
      <x:c r="J809" t="str">
        <x:f ca="1">IFERROR(IF(0=LEN(ReferenceData!$J$809),"",ReferenceData!$J$809),"")</x:f>
        <x:v/>
      </x:c>
      <x:c r="K809" t="str">
        <x:f ca="1">IFERROR(IF(0=LEN(ReferenceData!$K$809),"",ReferenceData!$K$809),"")</x:f>
        <x:v/>
      </x:c>
      <x:c r="L809" t="str">
        <x:f ca="1">IFERROR(IF(0=LEN(ReferenceData!$L$809),"",ReferenceData!$L$809),"")</x:f>
        <x:v/>
      </x:c>
      <x:c r="M809" t="str">
        <x:f ca="1">IFERROR(IF(0=LEN(ReferenceData!$M$809),"",ReferenceData!$M$809),"")</x:f>
        <x:v/>
      </x:c>
      <x:c r="N809" t="str">
        <x:f ca="1">IFERROR(IF(0=LEN(ReferenceData!$N$809),"",ReferenceData!$N$809),"")</x:f>
        <x:v/>
      </x:c>
      <x:c r="O809" t="str">
        <x:f ca="1">IFERROR(IF(0=LEN(ReferenceData!$O$809),"",ReferenceData!$O$809),"")</x:f>
        <x:v/>
      </x:c>
      <x:c r="P809">
        <x:f ca="1">IFERROR(IF(0=LEN(ReferenceData!$P$809),"",ReferenceData!$P$809),"")</x:f>
        <x:v>-0.27552500000000002</x:v>
      </x:c>
      <x:c r="Q809">
        <x:f ca="1">IFERROR(IF(0=LEN(ReferenceData!$Q$809),"",ReferenceData!$Q$809),"")</x:f>
        <x:v>0</x:v>
      </x:c>
      <x:c r="R809">
        <x:f ca="1">IFERROR(IF(0=LEN(ReferenceData!$R$809),"",ReferenceData!$R$809),"")</x:f>
        <x:v>0</x:v>
      </x:c>
      <x:c r="S809">
        <x:f ca="1">IFERROR(IF(0=LEN(ReferenceData!$S$809),"",ReferenceData!$S$809),"")</x:f>
        <x:v>0</x:v>
      </x:c>
    </x:row>
    <x:row r="810" spans="1:19" x14ac:dyDescent="0.25">
      <x:c r="A810" t="str">
        <x:f>IFERROR(IF(0=LEN(ReferenceData!$A$810),"",ReferenceData!$A$810),"")</x:f>
        <x:v xml:space="preserve">            AXS Short de-Spac ETF</x:v>
      </x:c>
      <x:c r="B810" t="str">
        <x:f>IFERROR(IF(0=LEN(ReferenceData!$B$810),"",ReferenceData!$B$810),"")</x:f>
        <x:v>SOGU US Equity</x:v>
      </x:c>
      <x:c r="C810" t="str">
        <x:f>IFERROR(IF(0=LEN(ReferenceData!$C$810),"",ReferenceData!$C$810),"")</x:f>
        <x:v/>
      </x:c>
      <x:c r="D810" t="str">
        <x:f>IFERROR(IF(0=LEN(ReferenceData!$D$810),"",ReferenceData!$D$810),"")</x:f>
        <x:v/>
      </x:c>
      <x:c r="E810" t="str">
        <x:f>IFERROR(IF(0=LEN(ReferenceData!$E$810),"",ReferenceData!$E$810),"")</x:f>
        <x:v>Expression</x:v>
      </x:c>
      <x:c r="F810" t="str">
        <x:f ca="1">IFERROR(IF(0=LEN(ReferenceData!$F$810),"",ReferenceData!$F$810),"")</x:f>
        <x:v/>
      </x:c>
      <x:c r="G810" t="str">
        <x:f ca="1">IFERROR(IF(0=LEN(ReferenceData!$G$810),"",ReferenceData!$G$810),"")</x:f>
        <x:v/>
      </x:c>
      <x:c r="H810" t="str">
        <x:f ca="1">IFERROR(IF(0=LEN(ReferenceData!$H$810),"",ReferenceData!$H$810),"")</x:f>
        <x:v/>
      </x:c>
      <x:c r="I810" t="str">
        <x:f ca="1">IFERROR(IF(0=LEN(ReferenceData!$I$810),"",ReferenceData!$I$810),"")</x:f>
        <x:v/>
      </x:c>
      <x:c r="J810" t="str">
        <x:f ca="1">IFERROR(IF(0=LEN(ReferenceData!$J$810),"",ReferenceData!$J$810),"")</x:f>
        <x:v/>
      </x:c>
      <x:c r="K810">
        <x:f ca="1">IFERROR(IF(0=LEN(ReferenceData!$K$810),"",ReferenceData!$K$810),"")</x:f>
        <x:v>0</x:v>
      </x:c>
      <x:c r="L810">
        <x:f ca="1">IFERROR(IF(0=LEN(ReferenceData!$L$810),"",ReferenceData!$L$810),"")</x:f>
        <x:v>0.230045</x:v>
      </x:c>
      <x:c r="M810">
        <x:f ca="1">IFERROR(IF(0=LEN(ReferenceData!$M$810),"",ReferenceData!$M$810),"")</x:f>
        <x:v>0</x:v>
      </x:c>
      <x:c r="N810">
        <x:f ca="1">IFERROR(IF(0=LEN(ReferenceData!$N$810),"",ReferenceData!$N$810),"")</x:f>
        <x:v>6.6800000000000002E-3</x:v>
      </x:c>
      <x:c r="O810">
        <x:f ca="1">IFERROR(IF(0=LEN(ReferenceData!$O$810),"",ReferenceData!$O$810),"")</x:f>
        <x:v>0</x:v>
      </x:c>
      <x:c r="P810">
        <x:f ca="1">IFERROR(IF(0=LEN(ReferenceData!$P$810),"",ReferenceData!$P$810),"")</x:f>
        <x:v>0</x:v>
      </x:c>
      <x:c r="Q810">
        <x:f ca="1">IFERROR(IF(0=LEN(ReferenceData!$Q$810),"",ReferenceData!$Q$810),"")</x:f>
        <x:v>-6.7421379999999997</x:v>
      </x:c>
      <x:c r="R810">
        <x:f ca="1">IFERROR(IF(0=LEN(ReferenceData!$R$810),"",ReferenceData!$R$810),"")</x:f>
        <x:v>-2.500645</x:v>
      </x:c>
      <x:c r="S810">
        <x:f ca="1">IFERROR(IF(0=LEN(ReferenceData!$S$810),"",ReferenceData!$S$810),"")</x:f>
        <x:v>0</x:v>
      </x:c>
    </x:row>
    <x:row r="811" spans="1:19" x14ac:dyDescent="0.25">
      <x:c r="A811" t="str">
        <x:f>IFERROR(IF(0=LEN(ReferenceData!$A$811),"",ReferenceData!$A$811),"")</x:f>
        <x:v xml:space="preserve">            Robinson Alternative Yield Pre</x:v>
      </x:c>
      <x:c r="B811" t="str">
        <x:f>IFERROR(IF(0=LEN(ReferenceData!$B$811),"",ReferenceData!$B$811),"")</x:f>
        <x:v>SPAX US Equity</x:v>
      </x:c>
      <x:c r="C811" t="str">
        <x:f>IFERROR(IF(0=LEN(ReferenceData!$C$811),"",ReferenceData!$C$811),"")</x:f>
        <x:v/>
      </x:c>
      <x:c r="D811" t="str">
        <x:f>IFERROR(IF(0=LEN(ReferenceData!$D$811),"",ReferenceData!$D$811),"")</x:f>
        <x:v/>
      </x:c>
      <x:c r="E811" t="str">
        <x:f>IFERROR(IF(0=LEN(ReferenceData!$E$811),"",ReferenceData!$E$811),"")</x:f>
        <x:v>Expression</x:v>
      </x:c>
      <x:c r="F811">
        <x:f ca="1">IFERROR(IF(0=LEN(ReferenceData!$F$811),"",ReferenceData!$F$811),"")</x:f>
        <x:v>0</x:v>
      </x:c>
      <x:c r="G811">
        <x:f ca="1">IFERROR(IF(0=LEN(ReferenceData!$G$811),"",ReferenceData!$G$811),"")</x:f>
        <x:v>-1.0742849999999999</x:v>
      </x:c>
      <x:c r="H811">
        <x:f ca="1">IFERROR(IF(0=LEN(ReferenceData!$H$811),"",ReferenceData!$H$811),"")</x:f>
        <x:v>0</x:v>
      </x:c>
      <x:c r="I811">
        <x:f ca="1">IFERROR(IF(0=LEN(ReferenceData!$I$811),"",ReferenceData!$I$811),"")</x:f>
        <x:v>-3.7741169999999999</x:v>
      </x:c>
      <x:c r="J811">
        <x:f ca="1">IFERROR(IF(0=LEN(ReferenceData!$J$811),"",ReferenceData!$J$811),"")</x:f>
        <x:v>-3.2285279999999998</x:v>
      </x:c>
      <x:c r="K811">
        <x:f ca="1">IFERROR(IF(0=LEN(ReferenceData!$K$811),"",ReferenceData!$K$811),"")</x:f>
        <x:v>0</x:v>
      </x:c>
      <x:c r="L811">
        <x:f ca="1">IFERROR(IF(0=LEN(ReferenceData!$L$811),"",ReferenceData!$L$811),"")</x:f>
        <x:v>-0.52948499999999998</x:v>
      </x:c>
      <x:c r="M811">
        <x:f ca="1">IFERROR(IF(0=LEN(ReferenceData!$M$811),"",ReferenceData!$M$811),"")</x:f>
        <x:v>0</x:v>
      </x:c>
      <x:c r="N811">
        <x:f ca="1">IFERROR(IF(0=LEN(ReferenceData!$N$811),"",ReferenceData!$N$811),"")</x:f>
        <x:v>0</x:v>
      </x:c>
      <x:c r="O811">
        <x:f ca="1">IFERROR(IF(0=LEN(ReferenceData!$O$811),"",ReferenceData!$O$811),"")</x:f>
        <x:v>0</x:v>
      </x:c>
      <x:c r="P811">
        <x:f ca="1">IFERROR(IF(0=LEN(ReferenceData!$P$811),"",ReferenceData!$P$811),"")</x:f>
        <x:v>0</x:v>
      </x:c>
      <x:c r="Q811">
        <x:f ca="1">IFERROR(IF(0=LEN(ReferenceData!$Q$811),"",ReferenceData!$Q$811),"")</x:f>
        <x:v>0</x:v>
      </x:c>
      <x:c r="R811">
        <x:f ca="1">IFERROR(IF(0=LEN(ReferenceData!$R$811),"",ReferenceData!$R$811),"")</x:f>
        <x:v>0.51908699999999997</x:v>
      </x:c>
      <x:c r="S811">
        <x:f ca="1">IFERROR(IF(0=LEN(ReferenceData!$S$811),"",ReferenceData!$S$811),"")</x:f>
        <x:v>0.51644000000000001</x:v>
      </x:c>
    </x:row>
    <x:row r="812" spans="1:19" x14ac:dyDescent="0.25">
      <x:c r="A812" t="str">
        <x:f>IFERROR(IF(0=LEN(ReferenceData!$A$812),"",ReferenceData!$A$812),"")</x:f>
        <x:v xml:space="preserve">            Crossingbridge Pre-Merger Spac</x:v>
      </x:c>
      <x:c r="B812" t="str">
        <x:f>IFERROR(IF(0=LEN(ReferenceData!$B$812),"",ReferenceData!$B$812),"")</x:f>
        <x:v>SPC US Equity</x:v>
      </x:c>
      <x:c r="C812" t="str">
        <x:f>IFERROR(IF(0=LEN(ReferenceData!$C$812),"",ReferenceData!$C$812),"")</x:f>
        <x:v/>
      </x:c>
      <x:c r="D812" t="str">
        <x:f>IFERROR(IF(0=LEN(ReferenceData!$D$812),"",ReferenceData!$D$812),"")</x:f>
        <x:v/>
      </x:c>
      <x:c r="E812" t="str">
        <x:f>IFERROR(IF(0=LEN(ReferenceData!$E$812),"",ReferenceData!$E$812),"")</x:f>
        <x:v>Expression</x:v>
      </x:c>
      <x:c r="F812">
        <x:f ca="1">IFERROR(IF(0=LEN(ReferenceData!$F$812),"",ReferenceData!$F$812),"")</x:f>
        <x:v>0</x:v>
      </x:c>
      <x:c r="G812">
        <x:f ca="1">IFERROR(IF(0=LEN(ReferenceData!$G$812),"",ReferenceData!$G$812),"")</x:f>
        <x:v>0.65545900000000001</x:v>
      </x:c>
      <x:c r="H812">
        <x:f ca="1">IFERROR(IF(0=LEN(ReferenceData!$H$812),"",ReferenceData!$H$812),"")</x:f>
        <x:v>0.216388</x:v>
      </x:c>
      <x:c r="I812">
        <x:f ca="1">IFERROR(IF(0=LEN(ReferenceData!$I$812),"",ReferenceData!$I$812),"")</x:f>
        <x:v>3.2337349999999998</x:v>
      </x:c>
      <x:c r="J812">
        <x:f ca="1">IFERROR(IF(0=LEN(ReferenceData!$J$812),"",ReferenceData!$J$812),"")</x:f>
        <x:v>0</x:v>
      </x:c>
      <x:c r="K812">
        <x:f ca="1">IFERROR(IF(0=LEN(ReferenceData!$K$812),"",ReferenceData!$K$812),"")</x:f>
        <x:v>0</x:v>
      </x:c>
      <x:c r="L812">
        <x:f ca="1">IFERROR(IF(0=LEN(ReferenceData!$L$812),"",ReferenceData!$L$812),"")</x:f>
        <x:v>-3.3850820000000001</x:v>
      </x:c>
      <x:c r="M812">
        <x:f ca="1">IFERROR(IF(0=LEN(ReferenceData!$M$812),"",ReferenceData!$M$812),"")</x:f>
        <x:v>1.4776469999999999</x:v>
      </x:c>
      <x:c r="N812">
        <x:f ca="1">IFERROR(IF(0=LEN(ReferenceData!$N$812),"",ReferenceData!$N$812),"")</x:f>
        <x:v>-1.6801919999999999</x:v>
      </x:c>
      <x:c r="O812">
        <x:f ca="1">IFERROR(IF(0=LEN(ReferenceData!$O$812),"",ReferenceData!$O$812),"")</x:f>
        <x:v>0</x:v>
      </x:c>
      <x:c r="P812">
        <x:f ca="1">IFERROR(IF(0=LEN(ReferenceData!$P$812),"",ReferenceData!$P$812),"")</x:f>
        <x:v>4.1475799999999996</x:v>
      </x:c>
      <x:c r="Q812">
        <x:f ca="1">IFERROR(IF(0=LEN(ReferenceData!$Q$812),"",ReferenceData!$Q$812),"")</x:f>
        <x:v>-0.84151500000000001</x:v>
      </x:c>
      <x:c r="R812">
        <x:f ca="1">IFERROR(IF(0=LEN(ReferenceData!$R$812),"",ReferenceData!$R$812),"")</x:f>
        <x:v>-0.82960400000000001</x:v>
      </x:c>
      <x:c r="S812">
        <x:f ca="1">IFERROR(IF(0=LEN(ReferenceData!$S$812),"",ReferenceData!$S$812),"")</x:f>
        <x:v>-0.205843</x:v>
      </x:c>
    </x:row>
    <x:row r="813" spans="1:19" x14ac:dyDescent="0.25">
      <x:c r="A813" t="str">
        <x:f>IFERROR(IF(0=LEN(ReferenceData!$A$813),"",ReferenceData!$A$813),"")</x:f>
        <x:v xml:space="preserve">            Rivernorth Enhanced Pre-Merger</x:v>
      </x:c>
      <x:c r="B813" t="str">
        <x:f>IFERROR(IF(0=LEN(ReferenceData!$B$813),"",ReferenceData!$B$813),"")</x:f>
        <x:v>SPCZ US Equity</x:v>
      </x:c>
      <x:c r="C813" t="str">
        <x:f>IFERROR(IF(0=LEN(ReferenceData!$C$813),"",ReferenceData!$C$813),"")</x:f>
        <x:v/>
      </x:c>
      <x:c r="D813" t="str">
        <x:f>IFERROR(IF(0=LEN(ReferenceData!$D$813),"",ReferenceData!$D$813),"")</x:f>
        <x:v/>
      </x:c>
      <x:c r="E813" t="str">
        <x:f>IFERROR(IF(0=LEN(ReferenceData!$E$813),"",ReferenceData!$E$813),"")</x:f>
        <x:v>Expression</x:v>
      </x:c>
      <x:c r="F813">
        <x:f ca="1">IFERROR(IF(0=LEN(ReferenceData!$F$813),"",ReferenceData!$F$813),"")</x:f>
        <x:v>0</x:v>
      </x:c>
      <x:c r="G813">
        <x:f ca="1">IFERROR(IF(0=LEN(ReferenceData!$G$813),"",ReferenceData!$G$813),"")</x:f>
        <x:v>0</x:v>
      </x:c>
      <x:c r="H813">
        <x:f ca="1">IFERROR(IF(0=LEN(ReferenceData!$H$813),"",ReferenceData!$H$813),"")</x:f>
        <x:v>0</x:v>
      </x:c>
      <x:c r="I813">
        <x:f ca="1">IFERROR(IF(0=LEN(ReferenceData!$I$813),"",ReferenceData!$I$813),"")</x:f>
        <x:v>0</x:v>
      </x:c>
      <x:c r="J813">
        <x:f ca="1">IFERROR(IF(0=LEN(ReferenceData!$J$813),"",ReferenceData!$J$813),"")</x:f>
        <x:v>0</x:v>
      </x:c>
      <x:c r="K813">
        <x:f ca="1">IFERROR(IF(0=LEN(ReferenceData!$K$813),"",ReferenceData!$K$813),"")</x:f>
        <x:v>-0.263714</x:v>
      </x:c>
      <x:c r="L813">
        <x:f ca="1">IFERROR(IF(0=LEN(ReferenceData!$L$813),"",ReferenceData!$L$813),"")</x:f>
        <x:v>0</x:v>
      </x:c>
      <x:c r="M813">
        <x:f ca="1">IFERROR(IF(0=LEN(ReferenceData!$M$813),"",ReferenceData!$M$813),"")</x:f>
        <x:v>0.51931000000000005</x:v>
      </x:c>
      <x:c r="N813">
        <x:f ca="1">IFERROR(IF(0=LEN(ReferenceData!$N$813),"",ReferenceData!$N$813),"")</x:f>
        <x:v>-0.25921899999999998</x:v>
      </x:c>
      <x:c r="O813">
        <x:f ca="1">IFERROR(IF(0=LEN(ReferenceData!$O$813),"",ReferenceData!$O$813),"")</x:f>
        <x:v>0</x:v>
      </x:c>
      <x:c r="P813">
        <x:f ca="1">IFERROR(IF(0=LEN(ReferenceData!$P$813),"",ReferenceData!$P$813),"")</x:f>
        <x:v>1.9136329999999999</x:v>
      </x:c>
      <x:c r="Q813">
        <x:f ca="1">IFERROR(IF(0=LEN(ReferenceData!$Q$813),"",ReferenceData!$Q$813),"")</x:f>
        <x:v>0</x:v>
      </x:c>
      <x:c r="R813">
        <x:f ca="1">IFERROR(IF(0=LEN(ReferenceData!$R$813),"",ReferenceData!$R$813),"")</x:f>
        <x:v>0</x:v>
      </x:c>
      <x:c r="S813">
        <x:f ca="1">IFERROR(IF(0=LEN(ReferenceData!$S$813),"",ReferenceData!$S$813),"")</x:f>
        <x:v>0</x:v>
      </x:c>
    </x:row>
    <x:row r="814" spans="1:19" x14ac:dyDescent="0.25">
      <x:c r="A814" t="str">
        <x:f>IFERROR(IF(0=LEN(ReferenceData!$A$814),"",ReferenceData!$A$814),"")</x:f>
        <x:v xml:space="preserve">            Horizon Kinetics Spac Active E</x:v>
      </x:c>
      <x:c r="B814" t="str">
        <x:f>IFERROR(IF(0=LEN(ReferenceData!$B$814),"",ReferenceData!$B$814),"")</x:f>
        <x:v>SPAQ US Equity</x:v>
      </x:c>
      <x:c r="C814" t="str">
        <x:f>IFERROR(IF(0=LEN(ReferenceData!$C$814),"",ReferenceData!$C$814),"")</x:f>
        <x:v/>
      </x:c>
      <x:c r="D814" t="str">
        <x:f>IFERROR(IF(0=LEN(ReferenceData!$D$814),"",ReferenceData!$D$814),"")</x:f>
        <x:v/>
      </x:c>
      <x:c r="E814" t="str">
        <x:f>IFERROR(IF(0=LEN(ReferenceData!$E$814),"",ReferenceData!$E$814),"")</x:f>
        <x:v>Expression</x:v>
      </x:c>
      <x:c r="F814">
        <x:f ca="1">IFERROR(IF(0=LEN(ReferenceData!$F$814),"",ReferenceData!$F$814),"")</x:f>
        <x:v>0</x:v>
      </x:c>
      <x:c r="G814">
        <x:f ca="1">IFERROR(IF(0=LEN(ReferenceData!$G$814),"",ReferenceData!$G$814),"")</x:f>
        <x:v>0</x:v>
      </x:c>
      <x:c r="H814">
        <x:f ca="1">IFERROR(IF(0=LEN(ReferenceData!$H$814),"",ReferenceData!$H$814),"")</x:f>
        <x:v>0</x:v>
      </x:c>
      <x:c r="I814">
        <x:f ca="1">IFERROR(IF(0=LEN(ReferenceData!$I$814),"",ReferenceData!$I$814),"")</x:f>
        <x:v>1.9577500000000001</x:v>
      </x:c>
      <x:c r="J814">
        <x:f ca="1">IFERROR(IF(0=LEN(ReferenceData!$J$814),"",ReferenceData!$J$814),"")</x:f>
        <x:v>0</x:v>
      </x:c>
      <x:c r="K814">
        <x:f ca="1">IFERROR(IF(0=LEN(ReferenceData!$K$814),"",ReferenceData!$K$814),"")</x:f>
        <x:v>0</x:v>
      </x:c>
      <x:c r="L814">
        <x:f ca="1">IFERROR(IF(0=LEN(ReferenceData!$L$814),"",ReferenceData!$L$814),"")</x:f>
        <x:v>0.962673</x:v>
      </x:c>
      <x:c r="M814">
        <x:f ca="1">IFERROR(IF(0=LEN(ReferenceData!$M$814),"",ReferenceData!$M$814),"")</x:f>
        <x:v>-0.96026500000000004</x:v>
      </x:c>
      <x:c r="N814">
        <x:f ca="1">IFERROR(IF(0=LEN(ReferenceData!$N$814),"",ReferenceData!$N$814),"")</x:f>
        <x:v>5.7231120000000004</x:v>
      </x:c>
      <x:c r="O814">
        <x:f ca="1">IFERROR(IF(0=LEN(ReferenceData!$O$814),"",ReferenceData!$O$814),"")</x:f>
        <x:v>0.95277500000000004</x:v>
      </x:c>
      <x:c r="P814">
        <x:f ca="1">IFERROR(IF(0=LEN(ReferenceData!$P$814),"",ReferenceData!$P$814),"")</x:f>
        <x:v>-8.3590000000000001E-3</x:v>
      </x:c>
      <x:c r="Q814" t="str">
        <x:f ca="1">IFERROR(IF(0=LEN(ReferenceData!$Q$814),"",ReferenceData!$Q$814),"")</x:f>
        <x:v/>
      </x:c>
      <x:c r="R814" t="str">
        <x:f ca="1">IFERROR(IF(0=LEN(ReferenceData!$R$814),"",ReferenceData!$R$814),"")</x:f>
        <x:v/>
      </x:c>
      <x:c r="S814" t="str">
        <x:f ca="1">IFERROR(IF(0=LEN(ReferenceData!$S$814),"",ReferenceData!$S$814),"")</x:f>
        <x:v/>
      </x:c>
    </x:row>
    <x:row r="815" spans="1:19" x14ac:dyDescent="0.25">
      <x:c r="A815" t="str">
        <x:f>IFERROR(IF(0=LEN(ReferenceData!$A$815),"",ReferenceData!$A$815),"")</x:f>
        <x:v xml:space="preserve">        Electric Car &amp; Battery</x:v>
      </x:c>
      <x:c r="B815" t="str">
        <x:f>IFERROR(IF(0=LEN(ReferenceData!$B$815),"",ReferenceData!$B$815),"")</x:f>
        <x:v/>
      </x:c>
      <x:c r="C815" t="str">
        <x:f>IFERROR(IF(0=LEN(ReferenceData!$C$815),"",ReferenceData!$C$815),"")</x:f>
        <x:v/>
      </x:c>
      <x:c r="D815" t="str">
        <x:f>IFERROR(IF(0=LEN(ReferenceData!$D$815),"",ReferenceData!$D$815),"")</x:f>
        <x:v/>
      </x:c>
      <x:c r="E815" t="str">
        <x:f>IFERROR(IF(0=LEN(ReferenceData!$E$815),"",ReferenceData!$E$815),"")</x:f>
        <x:v>Sum</x:v>
      </x:c>
      <x:c r="F815">
        <x:f ca="1">IFERROR(IF(0=LEN(ReferenceData!$F$815),"",ReferenceData!$F$815),"")</x:f>
        <x:v>19.208580999999999</x:v>
      </x:c>
      <x:c r="G815">
        <x:f ca="1">IFERROR(IF(0=LEN(ReferenceData!$G$815),"",ReferenceData!$G$815),"")</x:f>
        <x:v>-157.41346099999998</x:v>
      </x:c>
      <x:c r="H815">
        <x:f ca="1">IFERROR(IF(0=LEN(ReferenceData!$H$815),"",ReferenceData!$H$815),"")</x:f>
        <x:v>-76.481262999999998</x:v>
      </x:c>
      <x:c r="I815">
        <x:f ca="1">IFERROR(IF(0=LEN(ReferenceData!$I$815),"",ReferenceData!$I$815),"")</x:f>
        <x:v>-217.14033899999995</x:v>
      </x:c>
      <x:c r="J815">
        <x:f ca="1">IFERROR(IF(0=LEN(ReferenceData!$J$815),"",ReferenceData!$J$815),"")</x:f>
        <x:v>-33.405766</x:v>
      </x:c>
      <x:c r="K815">
        <x:f ca="1">IFERROR(IF(0=LEN(ReferenceData!$K$815),"",ReferenceData!$K$815),"")</x:f>
        <x:v>-44.799077000000011</x:v>
      </x:c>
      <x:c r="L815">
        <x:f ca="1">IFERROR(IF(0=LEN(ReferenceData!$L$815),"",ReferenceData!$L$815),"")</x:f>
        <x:v>-76.189624999999992</x:v>
      </x:c>
      <x:c r="M815">
        <x:f ca="1">IFERROR(IF(0=LEN(ReferenceData!$M$815),"",ReferenceData!$M$815),"")</x:f>
        <x:v>-73.948029000000005</x:v>
      </x:c>
      <x:c r="N815">
        <x:f ca="1">IFERROR(IF(0=LEN(ReferenceData!$N$815),"",ReferenceData!$N$815),"")</x:f>
        <x:v>-43.928471000000002</x:v>
      </x:c>
      <x:c r="O815">
        <x:f ca="1">IFERROR(IF(0=LEN(ReferenceData!$O$815),"",ReferenceData!$O$815),"")</x:f>
        <x:v>-26.443064</x:v>
      </x:c>
      <x:c r="P815">
        <x:f ca="1">IFERROR(IF(0=LEN(ReferenceData!$P$815),"",ReferenceData!$P$815),"")</x:f>
        <x:v>-102.21052299999998</x:v>
      </x:c>
      <x:c r="Q815">
        <x:f ca="1">IFERROR(IF(0=LEN(ReferenceData!$Q$815),"",ReferenceData!$Q$815),"")</x:f>
        <x:v>-205.50545099999999</x:v>
      </x:c>
      <x:c r="R815">
        <x:f ca="1">IFERROR(IF(0=LEN(ReferenceData!$R$815),"",ReferenceData!$R$815),"")</x:f>
        <x:v>-67.848271999999994</x:v>
      </x:c>
      <x:c r="S815">
        <x:f ca="1">IFERROR(IF(0=LEN(ReferenceData!$S$815),"",ReferenceData!$S$815),"")</x:f>
        <x:v>-160.54839000000001</x:v>
      </x:c>
    </x:row>
    <x:row r="816" spans="1:19" x14ac:dyDescent="0.25">
      <x:c r="A816" t="str">
        <x:f>IFERROR(IF(0=LEN(ReferenceData!$A$816),"",ReferenceData!$A$816),"")</x:f>
        <x:v xml:space="preserve">            KraneShares Electric Vehicles</x:v>
      </x:c>
      <x:c r="B816" t="str">
        <x:f>IFERROR(IF(0=LEN(ReferenceData!$B$816),"",ReferenceData!$B$816),"")</x:f>
        <x:v>KARS US Equity</x:v>
      </x:c>
      <x:c r="C816" t="str">
        <x:f>IFERROR(IF(0=LEN(ReferenceData!$C$816),"",ReferenceData!$C$816),"")</x:f>
        <x:v/>
      </x:c>
      <x:c r="D816" t="str">
        <x:f>IFERROR(IF(0=LEN(ReferenceData!$D$816),"",ReferenceData!$D$816),"")</x:f>
        <x:v/>
      </x:c>
      <x:c r="E816" t="str">
        <x:f>IFERROR(IF(0=LEN(ReferenceData!$E$816),"",ReferenceData!$E$816),"")</x:f>
        <x:v>Expression</x:v>
      </x:c>
      <x:c r="F816">
        <x:f ca="1">IFERROR(IF(0=LEN(ReferenceData!$F$816),"",ReferenceData!$F$816),"")</x:f>
        <x:v>0</x:v>
      </x:c>
      <x:c r="G816">
        <x:f ca="1">IFERROR(IF(0=LEN(ReferenceData!$G$816),"",ReferenceData!$G$816),"")</x:f>
        <x:v>-2.5565000000000002</x:v>
      </x:c>
      <x:c r="H816">
        <x:f ca="1">IFERROR(IF(0=LEN(ReferenceData!$H$816),"",ReferenceData!$H$816),"")</x:f>
        <x:v>0</x:v>
      </x:c>
      <x:c r="I816">
        <x:f ca="1">IFERROR(IF(0=LEN(ReferenceData!$I$816),"",ReferenceData!$I$816),"")</x:f>
        <x:v>4.4135</x:v>
      </x:c>
      <x:c r="J816">
        <x:f ca="1">IFERROR(IF(0=LEN(ReferenceData!$J$816),"",ReferenceData!$J$816),"")</x:f>
        <x:v>0</x:v>
      </x:c>
      <x:c r="K816">
        <x:f ca="1">IFERROR(IF(0=LEN(ReferenceData!$K$816),"",ReferenceData!$K$816),"")</x:f>
        <x:v>-6</x:v>
      </x:c>
      <x:c r="L816">
        <x:f ca="1">IFERROR(IF(0=LEN(ReferenceData!$L$816),"",ReferenceData!$L$816),"")</x:f>
        <x:v>-2.863</x:v>
      </x:c>
      <x:c r="M816">
        <x:f ca="1">IFERROR(IF(0=LEN(ReferenceData!$M$816),"",ReferenceData!$M$816),"")</x:f>
        <x:v>0</x:v>
      </x:c>
      <x:c r="N816">
        <x:f ca="1">IFERROR(IF(0=LEN(ReferenceData!$N$816),"",ReferenceData!$N$816),"")</x:f>
        <x:v>-4.43</x:v>
      </x:c>
      <x:c r="O816">
        <x:f ca="1">IFERROR(IF(0=LEN(ReferenceData!$O$816),"",ReferenceData!$O$816),"")</x:f>
        <x:v>0</x:v>
      </x:c>
      <x:c r="P816">
        <x:f ca="1">IFERROR(IF(0=LEN(ReferenceData!$P$816),"",ReferenceData!$P$816),"")</x:f>
        <x:v>-9.1479999999999997</x:v>
      </x:c>
      <x:c r="Q816">
        <x:f ca="1">IFERROR(IF(0=LEN(ReferenceData!$Q$816),"",ReferenceData!$Q$816),"")</x:f>
        <x:v>-6.2130000000000001</x:v>
      </x:c>
      <x:c r="R816">
        <x:f ca="1">IFERROR(IF(0=LEN(ReferenceData!$R$816),"",ReferenceData!$R$816),"")</x:f>
        <x:v>0</x:v>
      </x:c>
      <x:c r="S816">
        <x:f ca="1">IFERROR(IF(0=LEN(ReferenceData!$S$816),"",ReferenceData!$S$816),"")</x:f>
        <x:v>-9.0845000000000002</x:v>
      </x:c>
    </x:row>
    <x:row r="817" spans="1:19" x14ac:dyDescent="0.25">
      <x:c r="A817" t="str">
        <x:f>IFERROR(IF(0=LEN(ReferenceData!$A$817),"",ReferenceData!$A$817),"")</x:f>
        <x:v xml:space="preserve">            SPDR S&amp;P Kensho Smart Mobility</x:v>
      </x:c>
      <x:c r="B817" t="str">
        <x:f>IFERROR(IF(0=LEN(ReferenceData!$B$817),"",ReferenceData!$B$817),"")</x:f>
        <x:v>HAIL US Equity</x:v>
      </x:c>
      <x:c r="C817" t="str">
        <x:f>IFERROR(IF(0=LEN(ReferenceData!$C$817),"",ReferenceData!$C$817),"")</x:f>
        <x:v/>
      </x:c>
      <x:c r="D817" t="str">
        <x:f>IFERROR(IF(0=LEN(ReferenceData!$D$817),"",ReferenceData!$D$817),"")</x:f>
        <x:v/>
      </x:c>
      <x:c r="E817" t="str">
        <x:f>IFERROR(IF(0=LEN(ReferenceData!$E$817),"",ReferenceData!$E$817),"")</x:f>
        <x:v>Expression</x:v>
      </x:c>
      <x:c r="F817">
        <x:f ca="1">IFERROR(IF(0=LEN(ReferenceData!$F$817),"",ReferenceData!$F$817),"")</x:f>
        <x:v>-0.80892299999999995</x:v>
      </x:c>
      <x:c r="G817">
        <x:f ca="1">IFERROR(IF(0=LEN(ReferenceData!$G$817),"",ReferenceData!$G$817),"")</x:f>
        <x:v>-0.57076400000000005</x:v>
      </x:c>
      <x:c r="H817">
        <x:f ca="1">IFERROR(IF(0=LEN(ReferenceData!$H$817),"",ReferenceData!$H$817),"")</x:f>
        <x:v>-0.63245799999999996</x:v>
      </x:c>
      <x:c r="I817">
        <x:f ca="1">IFERROR(IF(0=LEN(ReferenceData!$I$817),"",ReferenceData!$I$817),"")</x:f>
        <x:v>-0.96514100000000003</x:v>
      </x:c>
      <x:c r="J817">
        <x:f ca="1">IFERROR(IF(0=LEN(ReferenceData!$J$817),"",ReferenceData!$J$817),"")</x:f>
        <x:v>-1.070166</x:v>
      </x:c>
      <x:c r="K817">
        <x:f ca="1">IFERROR(IF(0=LEN(ReferenceData!$K$817),"",ReferenceData!$K$817),"")</x:f>
        <x:v>-1.9966200000000001</x:v>
      </x:c>
      <x:c r="L817">
        <x:f ca="1">IFERROR(IF(0=LEN(ReferenceData!$L$817),"",ReferenceData!$L$817),"")</x:f>
        <x:v>-0.87285000000000001</x:v>
      </x:c>
      <x:c r="M817">
        <x:f ca="1">IFERROR(IF(0=LEN(ReferenceData!$M$817),"",ReferenceData!$M$817),"")</x:f>
        <x:v>-2.0802510000000001</x:v>
      </x:c>
      <x:c r="N817">
        <x:f ca="1">IFERROR(IF(0=LEN(ReferenceData!$N$817),"",ReferenceData!$N$817),"")</x:f>
        <x:v>-0.88123399999999996</x:v>
      </x:c>
      <x:c r="O817">
        <x:f ca="1">IFERROR(IF(0=LEN(ReferenceData!$O$817),"",ReferenceData!$O$817),"")</x:f>
        <x:v>-0.36013000000000001</x:v>
      </x:c>
      <x:c r="P817">
        <x:f ca="1">IFERROR(IF(0=LEN(ReferenceData!$P$817),"",ReferenceData!$P$817),"")</x:f>
        <x:v>-2.5854659999999998</x:v>
      </x:c>
      <x:c r="Q817">
        <x:f ca="1">IFERROR(IF(0=LEN(ReferenceData!$Q$817),"",ReferenceData!$Q$817),"")</x:f>
        <x:v>-4.0407760000000001</x:v>
      </x:c>
      <x:c r="R817">
        <x:f ca="1">IFERROR(IF(0=LEN(ReferenceData!$R$817),"",ReferenceData!$R$817),"")</x:f>
        <x:v>-0.69353399999999998</x:v>
      </x:c>
      <x:c r="S817">
        <x:f ca="1">IFERROR(IF(0=LEN(ReferenceData!$S$817),"",ReferenceData!$S$817),"")</x:f>
        <x:v>-1.954483</x:v>
      </x:c>
    </x:row>
    <x:row r="818" spans="1:19" x14ac:dyDescent="0.25">
      <x:c r="A818" t="str">
        <x:f>IFERROR(IF(0=LEN(ReferenceData!$A$818),"",ReferenceData!$A$818),"")</x:f>
        <x:v xml:space="preserve">            Capital Link Global Green Ener</x:v>
      </x:c>
      <x:c r="B818" t="str">
        <x:f>IFERROR(IF(0=LEN(ReferenceData!$B$818),"",ReferenceData!$B$818),"")</x:f>
        <x:v>EKAR US Equity</x:v>
      </x:c>
      <x:c r="C818" t="str">
        <x:f>IFERROR(IF(0=LEN(ReferenceData!$C$818),"",ReferenceData!$C$818),"")</x:f>
        <x:v/>
      </x:c>
      <x:c r="D818" t="str">
        <x:f>IFERROR(IF(0=LEN(ReferenceData!$D$818),"",ReferenceData!$D$818),"")</x:f>
        <x:v/>
      </x:c>
      <x:c r="E818" t="str">
        <x:f>IFERROR(IF(0=LEN(ReferenceData!$E$818),"",ReferenceData!$E$818),"")</x:f>
        <x:v>Expression</x:v>
      </x:c>
      <x:c r="F818" t="str">
        <x:f ca="1">IFERROR(IF(0=LEN(ReferenceData!$F$818),"",ReferenceData!$F$818),"")</x:f>
        <x:v/>
      </x:c>
      <x:c r="G818" t="str">
        <x:f ca="1">IFERROR(IF(0=LEN(ReferenceData!$G$818),"",ReferenceData!$G$818),"")</x:f>
        <x:v/>
      </x:c>
      <x:c r="H818" t="str">
        <x:f ca="1">IFERROR(IF(0=LEN(ReferenceData!$H$818),"",ReferenceData!$H$818),"")</x:f>
        <x:v/>
      </x:c>
      <x:c r="I818" t="str">
        <x:f ca="1">IFERROR(IF(0=LEN(ReferenceData!$I$818),"",ReferenceData!$I$818),"")</x:f>
        <x:v/>
      </x:c>
      <x:c r="J818" t="str">
        <x:f ca="1">IFERROR(IF(0=LEN(ReferenceData!$J$818),"",ReferenceData!$J$818),"")</x:f>
        <x:v/>
      </x:c>
      <x:c r="K818" t="str">
        <x:f ca="1">IFERROR(IF(0=LEN(ReferenceData!$K$818),"",ReferenceData!$K$818),"")</x:f>
        <x:v/>
      </x:c>
      <x:c r="L818" t="str">
        <x:f ca="1">IFERROR(IF(0=LEN(ReferenceData!$L$818),"",ReferenceData!$L$818),"")</x:f>
        <x:v/>
      </x:c>
      <x:c r="M818" t="str">
        <x:f ca="1">IFERROR(IF(0=LEN(ReferenceData!$M$818),"",ReferenceData!$M$818),"")</x:f>
        <x:v/>
      </x:c>
      <x:c r="N818" t="str">
        <x:f ca="1">IFERROR(IF(0=LEN(ReferenceData!$N$818),"",ReferenceData!$N$818),"")</x:f>
        <x:v/>
      </x:c>
      <x:c r="O818" t="str">
        <x:f ca="1">IFERROR(IF(0=LEN(ReferenceData!$O$818),"",ReferenceData!$O$818),"")</x:f>
        <x:v/>
      </x:c>
      <x:c r="P818">
        <x:f ca="1">IFERROR(IF(0=LEN(ReferenceData!$P$818),"",ReferenceData!$P$818),"")</x:f>
        <x:v>0</x:v>
      </x:c>
      <x:c r="Q818">
        <x:f ca="1">IFERROR(IF(0=LEN(ReferenceData!$Q$818),"",ReferenceData!$Q$818),"")</x:f>
        <x:v>0</x:v>
      </x:c>
      <x:c r="R818">
        <x:f ca="1">IFERROR(IF(0=LEN(ReferenceData!$R$818),"",ReferenceData!$R$818),"")</x:f>
        <x:v>0</x:v>
      </x:c>
      <x:c r="S818">
        <x:f ca="1">IFERROR(IF(0=LEN(ReferenceData!$S$818),"",ReferenceData!$S$818),"")</x:f>
        <x:v>0</x:v>
      </x:c>
    </x:row>
    <x:row r="819" spans="1:19" x14ac:dyDescent="0.25">
      <x:c r="A819" t="str">
        <x:f>IFERROR(IF(0=LEN(ReferenceData!$A$819),"",ReferenceData!$A$819),"")</x:f>
        <x:v xml:space="preserve">            Global X Lithium &amp; Battery Tec</x:v>
      </x:c>
      <x:c r="B819" t="str">
        <x:f>IFERROR(IF(0=LEN(ReferenceData!$B$819),"",ReferenceData!$B$819),"")</x:f>
        <x:v>LIT US Equity</x:v>
      </x:c>
      <x:c r="C819" t="str">
        <x:f>IFERROR(IF(0=LEN(ReferenceData!$C$819),"",ReferenceData!$C$819),"")</x:f>
        <x:v/>
      </x:c>
      <x:c r="D819" t="str">
        <x:f>IFERROR(IF(0=LEN(ReferenceData!$D$819),"",ReferenceData!$D$819),"")</x:f>
        <x:v/>
      </x:c>
      <x:c r="E819" t="str">
        <x:f>IFERROR(IF(0=LEN(ReferenceData!$E$819),"",ReferenceData!$E$819),"")</x:f>
        <x:v>Expression</x:v>
      </x:c>
      <x:c r="F819">
        <x:f ca="1">IFERROR(IF(0=LEN(ReferenceData!$F$819),"",ReferenceData!$F$819),"")</x:f>
        <x:v>26.904</x:v>
      </x:c>
      <x:c r="G819">
        <x:f ca="1">IFERROR(IF(0=LEN(ReferenceData!$G$819),"",ReferenceData!$G$819),"")</x:f>
        <x:v>-129.70679999999999</x:v>
      </x:c>
      <x:c r="H819">
        <x:f ca="1">IFERROR(IF(0=LEN(ReferenceData!$H$819),"",ReferenceData!$H$819),"")</x:f>
        <x:v>-54.565899999999999</x:v>
      </x:c>
      <x:c r="I819">
        <x:f ca="1">IFERROR(IF(0=LEN(ReferenceData!$I$819),"",ReferenceData!$I$819),"")</x:f>
        <x:v>-159.18109999999999</x:v>
      </x:c>
      <x:c r="J819">
        <x:f ca="1">IFERROR(IF(0=LEN(ReferenceData!$J$819),"",ReferenceData!$J$819),"")</x:f>
        <x:v>-30.7683</x:v>
      </x:c>
      <x:c r="K819">
        <x:f ca="1">IFERROR(IF(0=LEN(ReferenceData!$K$819),"",ReferenceData!$K$819),"")</x:f>
        <x:v>-14.430300000000001</x:v>
      </x:c>
      <x:c r="L819">
        <x:f ca="1">IFERROR(IF(0=LEN(ReferenceData!$L$819),"",ReferenceData!$L$819),"")</x:f>
        <x:v>-44.758600000000001</x:v>
      </x:c>
      <x:c r="M819">
        <x:f ca="1">IFERROR(IF(0=LEN(ReferenceData!$M$819),"",ReferenceData!$M$819),"")</x:f>
        <x:v>-56.972700000000003</x:v>
      </x:c>
      <x:c r="N819">
        <x:f ca="1">IFERROR(IF(0=LEN(ReferenceData!$N$819),"",ReferenceData!$N$819),"")</x:f>
        <x:v>-18.294</x:v>
      </x:c>
      <x:c r="O819">
        <x:f ca="1">IFERROR(IF(0=LEN(ReferenceData!$O$819),"",ReferenceData!$O$819),"")</x:f>
        <x:v>-23.019600000000001</x:v>
      </x:c>
      <x:c r="P819">
        <x:f ca="1">IFERROR(IF(0=LEN(ReferenceData!$P$819),"",ReferenceData!$P$819),"")</x:f>
        <x:v>-76.4161</x:v>
      </x:c>
      <x:c r="Q819">
        <x:f ca="1">IFERROR(IF(0=LEN(ReferenceData!$Q$819),"",ReferenceData!$Q$819),"")</x:f>
        <x:v>-161.25049999999999</x:v>
      </x:c>
      <x:c r="R819">
        <x:f ca="1">IFERROR(IF(0=LEN(ReferenceData!$R$819),"",ReferenceData!$R$819),"")</x:f>
        <x:v>-55.129800000000003</x:v>
      </x:c>
      <x:c r="S819">
        <x:f ca="1">IFERROR(IF(0=LEN(ReferenceData!$S$819),"",ReferenceData!$S$819),"")</x:f>
        <x:v>-116.6942</x:v>
      </x:c>
    </x:row>
    <x:row r="820" spans="1:19" x14ac:dyDescent="0.25">
      <x:c r="A820" t="str">
        <x:f>IFERROR(IF(0=LEN(ReferenceData!$A$820),"",ReferenceData!$A$820),"")</x:f>
        <x:v xml:space="preserve">            Global X Autonomous &amp; Electric</x:v>
      </x:c>
      <x:c r="B820" t="str">
        <x:f>IFERROR(IF(0=LEN(ReferenceData!$B$820),"",ReferenceData!$B$820),"")</x:f>
        <x:v>DRIV US Equity</x:v>
      </x:c>
      <x:c r="C820" t="str">
        <x:f>IFERROR(IF(0=LEN(ReferenceData!$C$820),"",ReferenceData!$C$820),"")</x:f>
        <x:v/>
      </x:c>
      <x:c r="D820" t="str">
        <x:f>IFERROR(IF(0=LEN(ReferenceData!$D$820),"",ReferenceData!$D$820),"")</x:f>
        <x:v/>
      </x:c>
      <x:c r="E820" t="str">
        <x:f>IFERROR(IF(0=LEN(ReferenceData!$E$820),"",ReferenceData!$E$820),"")</x:f>
        <x:v>Expression</x:v>
      </x:c>
      <x:c r="F820">
        <x:f ca="1">IFERROR(IF(0=LEN(ReferenceData!$F$820),"",ReferenceData!$F$820),"")</x:f>
        <x:v>-2.6183999999999998</x:v>
      </x:c>
      <x:c r="G820">
        <x:f ca="1">IFERROR(IF(0=LEN(ReferenceData!$G$820),"",ReferenceData!$G$820),"")</x:f>
        <x:v>-19.925799999999999</x:v>
      </x:c>
      <x:c r="H820">
        <x:f ca="1">IFERROR(IF(0=LEN(ReferenceData!$H$820),"",ReferenceData!$H$820),"")</x:f>
        <x:v>-12.236000000000001</x:v>
      </x:c>
      <x:c r="I820">
        <x:f ca="1">IFERROR(IF(0=LEN(ReferenceData!$I$820),"",ReferenceData!$I$820),"")</x:f>
        <x:v>-59.490400000000001</x:v>
      </x:c>
      <x:c r="J820">
        <x:f ca="1">IFERROR(IF(0=LEN(ReferenceData!$J$820),"",ReferenceData!$J$820),"")</x:f>
        <x:v>0.56699999999999995</x:v>
      </x:c>
      <x:c r="K820">
        <x:f ca="1">IFERROR(IF(0=LEN(ReferenceData!$K$820),"",ReferenceData!$K$820),"")</x:f>
        <x:v>-15.6075</x:v>
      </x:c>
      <x:c r="L820">
        <x:f ca="1">IFERROR(IF(0=LEN(ReferenceData!$L$820),"",ReferenceData!$L$820),"")</x:f>
        <x:v>-17.191700000000001</x:v>
      </x:c>
      <x:c r="M820">
        <x:f ca="1">IFERROR(IF(0=LEN(ReferenceData!$M$820),"",ReferenceData!$M$820),"")</x:f>
        <x:v>-16.733499999999999</x:v>
      </x:c>
      <x:c r="N820">
        <x:f ca="1">IFERROR(IF(0=LEN(ReferenceData!$N$820),"",ReferenceData!$N$820),"")</x:f>
        <x:v>-15.4924</x:v>
      </x:c>
      <x:c r="O820">
        <x:f ca="1">IFERROR(IF(0=LEN(ReferenceData!$O$820),"",ReferenceData!$O$820),"")</x:f>
        <x:v>-8.9110999999999994</x:v>
      </x:c>
      <x:c r="P820">
        <x:f ca="1">IFERROR(IF(0=LEN(ReferenceData!$P$820),"",ReferenceData!$P$820),"")</x:f>
        <x:v>-9.7608999999999995</x:v>
      </x:c>
      <x:c r="Q820">
        <x:f ca="1">IFERROR(IF(0=LEN(ReferenceData!$Q$820),"",ReferenceData!$Q$820),"")</x:f>
        <x:v>-12.291499999999999</x:v>
      </x:c>
      <x:c r="R820">
        <x:f ca="1">IFERROR(IF(0=LEN(ReferenceData!$R$820),"",ReferenceData!$R$820),"")</x:f>
        <x:v>-9.0928000000000004</x:v>
      </x:c>
      <x:c r="S820">
        <x:f ca="1">IFERROR(IF(0=LEN(ReferenceData!$S$820),"",ReferenceData!$S$820),"")</x:f>
        <x:v>-30.412700000000001</x:v>
      </x:c>
    </x:row>
    <x:row r="821" spans="1:19" x14ac:dyDescent="0.25">
      <x:c r="A821" t="str">
        <x:f>IFERROR(IF(0=LEN(ReferenceData!$A$821),"",ReferenceData!$A$821),"")</x:f>
        <x:v xml:space="preserve">            iShares Self-Driving EV and Te</x:v>
      </x:c>
      <x:c r="B821" t="str">
        <x:f>IFERROR(IF(0=LEN(ReferenceData!$B$821),"",ReferenceData!$B$821),"")</x:f>
        <x:v>IDRV US Equity</x:v>
      </x:c>
      <x:c r="C821" t="str">
        <x:f>IFERROR(IF(0=LEN(ReferenceData!$C$821),"",ReferenceData!$C$821),"")</x:f>
        <x:v/>
      </x:c>
      <x:c r="D821" t="str">
        <x:f>IFERROR(IF(0=LEN(ReferenceData!$D$821),"",ReferenceData!$D$821),"")</x:f>
        <x:v/>
      </x:c>
      <x:c r="E821" t="str">
        <x:f>IFERROR(IF(0=LEN(ReferenceData!$E$821),"",ReferenceData!$E$821),"")</x:f>
        <x:v>Expression</x:v>
      </x:c>
      <x:c r="F821">
        <x:f ca="1">IFERROR(IF(0=LEN(ReferenceData!$F$821),"",ReferenceData!$F$821),"")</x:f>
        <x:v>-3.2675360000000002</x:v>
      </x:c>
      <x:c r="G821">
        <x:f ca="1">IFERROR(IF(0=LEN(ReferenceData!$G$821),"",ReferenceData!$G$821),"")</x:f>
        <x:v>-3.5460470000000002</x:v>
      </x:c>
      <x:c r="H821">
        <x:f ca="1">IFERROR(IF(0=LEN(ReferenceData!$H$821),"",ReferenceData!$H$821),"")</x:f>
        <x:v>-7.3130199999999999</x:v>
      </x:c>
      <x:c r="I821">
        <x:f ca="1">IFERROR(IF(0=LEN(ReferenceData!$I$821),"",ReferenceData!$I$821),"")</x:f>
        <x:v>-3.9506399999999999</x:v>
      </x:c>
      <x:c r="J821">
        <x:f ca="1">IFERROR(IF(0=LEN(ReferenceData!$J$821),"",ReferenceData!$J$821),"")</x:f>
        <x:v>0</x:v>
      </x:c>
      <x:c r="K821">
        <x:f ca="1">IFERROR(IF(0=LEN(ReferenceData!$K$821),"",ReferenceData!$K$821),"")</x:f>
        <x:v>-4.0492800000000004</x:v>
      </x:c>
      <x:c r="L821">
        <x:f ca="1">IFERROR(IF(0=LEN(ReferenceData!$L$821),"",ReferenceData!$L$821),"")</x:f>
        <x:v>-3.7113</x:v>
      </x:c>
      <x:c r="M821">
        <x:f ca="1">IFERROR(IF(0=LEN(ReferenceData!$M$821),"",ReferenceData!$M$821),"")</x:f>
        <x:v>0</x:v>
      </x:c>
      <x:c r="N821">
        <x:f ca="1">IFERROR(IF(0=LEN(ReferenceData!$N$821),"",ReferenceData!$N$821),"")</x:f>
        <x:v>-3.62154</x:v>
      </x:c>
      <x:c r="O821">
        <x:f ca="1">IFERROR(IF(0=LEN(ReferenceData!$O$821),"",ReferenceData!$O$821),"")</x:f>
        <x:v>0</x:v>
      </x:c>
      <x:c r="P821">
        <x:f ca="1">IFERROR(IF(0=LEN(ReferenceData!$P$821),"",ReferenceData!$P$821),"")</x:f>
        <x:v>-3.4009100000000001</x:v>
      </x:c>
      <x:c r="Q821">
        <x:f ca="1">IFERROR(IF(0=LEN(ReferenceData!$Q$821),"",ReferenceData!$Q$821),"")</x:f>
        <x:v>-18.393719999999998</x:v>
      </x:c>
      <x:c r="R821">
        <x:f ca="1">IFERROR(IF(0=LEN(ReferenceData!$R$821),"",ReferenceData!$R$821),"")</x:f>
        <x:v>-3.6616900000000001</x:v>
      </x:c>
      <x:c r="S821">
        <x:f ca="1">IFERROR(IF(0=LEN(ReferenceData!$S$821),"",ReferenceData!$S$821),"")</x:f>
        <x:v>0</x:v>
      </x:c>
    </x:row>
    <x:row r="822" spans="1:19" x14ac:dyDescent="0.25">
      <x:c r="A822" t="str">
        <x:f>IFERROR(IF(0=LEN(ReferenceData!$A$822),"",ReferenceData!$A$822),"")</x:f>
        <x:v xml:space="preserve">            SmartETFs Smart Transportation</x:v>
      </x:c>
      <x:c r="B822" t="str">
        <x:f>IFERROR(IF(0=LEN(ReferenceData!$B$822),"",ReferenceData!$B$822),"")</x:f>
        <x:v>MOTO US Equity</x:v>
      </x:c>
      <x:c r="C822" t="str">
        <x:f>IFERROR(IF(0=LEN(ReferenceData!$C$822),"",ReferenceData!$C$822),"")</x:f>
        <x:v/>
      </x:c>
      <x:c r="D822" t="str">
        <x:f>IFERROR(IF(0=LEN(ReferenceData!$D$822),"",ReferenceData!$D$822),"")</x:f>
        <x:v/>
      </x:c>
      <x:c r="E822" t="str">
        <x:f>IFERROR(IF(0=LEN(ReferenceData!$E$822),"",ReferenceData!$E$822),"")</x:f>
        <x:v>Expression</x:v>
      </x:c>
      <x:c r="F822">
        <x:f ca="1">IFERROR(IF(0=LEN(ReferenceData!$F$822),"",ReferenceData!$F$822),"")</x:f>
        <x:v>0</x:v>
      </x:c>
      <x:c r="G822">
        <x:f ca="1">IFERROR(IF(0=LEN(ReferenceData!$G$822),"",ReferenceData!$G$822),"")</x:f>
        <x:v>0</x:v>
      </x:c>
      <x:c r="H822">
        <x:f ca="1">IFERROR(IF(0=LEN(ReferenceData!$H$822),"",ReferenceData!$H$822),"")</x:f>
        <x:v>0</x:v>
      </x:c>
      <x:c r="I822">
        <x:f ca="1">IFERROR(IF(0=LEN(ReferenceData!$I$822),"",ReferenceData!$I$822),"")</x:f>
        <x:v>1.0275529999999999</x:v>
      </x:c>
      <x:c r="J822">
        <x:f ca="1">IFERROR(IF(0=LEN(ReferenceData!$J$822),"",ReferenceData!$J$822),"")</x:f>
        <x:v>0</x:v>
      </x:c>
      <x:c r="K822">
        <x:f ca="1">IFERROR(IF(0=LEN(ReferenceData!$K$822),"",ReferenceData!$K$822),"")</x:f>
        <x:v>0</x:v>
      </x:c>
      <x:c r="L822">
        <x:f ca="1">IFERROR(IF(0=LEN(ReferenceData!$L$822),"",ReferenceData!$L$822),"")</x:f>
        <x:v>0</x:v>
      </x:c>
      <x:c r="M822">
        <x:f ca="1">IFERROR(IF(0=LEN(ReferenceData!$M$822),"",ReferenceData!$M$822),"")</x:f>
        <x:v>0.96433999999999997</x:v>
      </x:c>
      <x:c r="N822">
        <x:f ca="1">IFERROR(IF(0=LEN(ReferenceData!$N$822),"",ReferenceData!$N$822),"")</x:f>
        <x:v>0</x:v>
      </x:c>
      <x:c r="O822">
        <x:f ca="1">IFERROR(IF(0=LEN(ReferenceData!$O$822),"",ReferenceData!$O$822),"")</x:f>
        <x:v>0</x:v>
      </x:c>
      <x:c r="P822">
        <x:f ca="1">IFERROR(IF(0=LEN(ReferenceData!$P$822),"",ReferenceData!$P$822),"")</x:f>
        <x:v>-0.89914700000000003</x:v>
      </x:c>
      <x:c r="Q822">
        <x:f ca="1">IFERROR(IF(0=LEN(ReferenceData!$Q$822),"",ReferenceData!$Q$822),"")</x:f>
        <x:v>0</x:v>
      </x:c>
      <x:c r="R822">
        <x:f ca="1">IFERROR(IF(0=LEN(ReferenceData!$R$822),"",ReferenceData!$R$822),"")</x:f>
        <x:v>0</x:v>
      </x:c>
      <x:c r="S822">
        <x:f ca="1">IFERROR(IF(0=LEN(ReferenceData!$S$822),"",ReferenceData!$S$822),"")</x:f>
        <x:v>0</x:v>
      </x:c>
    </x:row>
    <x:row r="823" spans="1:19" x14ac:dyDescent="0.25">
      <x:c r="A823" t="str">
        <x:f>IFERROR(IF(0=LEN(ReferenceData!$A$823),"",ReferenceData!$A$823),"")</x:f>
        <x:v xml:space="preserve">            Simplify Volt Robocar Disrupti</x:v>
      </x:c>
      <x:c r="B823" t="str">
        <x:f>IFERROR(IF(0=LEN(ReferenceData!$B$823),"",ReferenceData!$B$823),"")</x:f>
        <x:v>VCAR US Equity</x:v>
      </x:c>
      <x:c r="C823" t="str">
        <x:f>IFERROR(IF(0=LEN(ReferenceData!$C$823),"",ReferenceData!$C$823),"")</x:f>
        <x:v/>
      </x:c>
      <x:c r="D823" t="str">
        <x:f>IFERROR(IF(0=LEN(ReferenceData!$D$823),"",ReferenceData!$D$823),"")</x:f>
        <x:v/>
      </x:c>
      <x:c r="E823" t="str">
        <x:f>IFERROR(IF(0=LEN(ReferenceData!$E$823),"",ReferenceData!$E$823),"")</x:f>
        <x:v>Expression</x:v>
      </x:c>
      <x:c r="F823">
        <x:f ca="1">IFERROR(IF(0=LEN(ReferenceData!$F$823),"",ReferenceData!$F$823),"")</x:f>
        <x:v>0</x:v>
      </x:c>
      <x:c r="G823">
        <x:f ca="1">IFERROR(IF(0=LEN(ReferenceData!$G$823),"",ReferenceData!$G$823),"")</x:f>
        <x:v>0</x:v>
      </x:c>
      <x:c r="H823">
        <x:f ca="1">IFERROR(IF(0=LEN(ReferenceData!$H$823),"",ReferenceData!$H$823),"")</x:f>
        <x:v>0</x:v>
      </x:c>
      <x:c r="I823">
        <x:f ca="1">IFERROR(IF(0=LEN(ReferenceData!$I$823),"",ReferenceData!$I$823),"")</x:f>
        <x:v>0</x:v>
      </x:c>
      <x:c r="J823">
        <x:f ca="1">IFERROR(IF(0=LEN(ReferenceData!$J$823),"",ReferenceData!$J$823),"")</x:f>
        <x:v>0</x:v>
      </x:c>
      <x:c r="K823">
        <x:f ca="1">IFERROR(IF(0=LEN(ReferenceData!$K$823),"",ReferenceData!$K$823),"")</x:f>
        <x:v>0.46570800000000001</x:v>
      </x:c>
      <x:c r="L823">
        <x:f ca="1">IFERROR(IF(0=LEN(ReferenceData!$L$823),"",ReferenceData!$L$823),"")</x:f>
        <x:v>0</x:v>
      </x:c>
      <x:c r="M823">
        <x:f ca="1">IFERROR(IF(0=LEN(ReferenceData!$M$823),"",ReferenceData!$M$823),"")</x:f>
        <x:v>0</x:v>
      </x:c>
      <x:c r="N823">
        <x:f ca="1">IFERROR(IF(0=LEN(ReferenceData!$N$823),"",ReferenceData!$N$823),"")</x:f>
        <x:v>-3.1670000000000001E-3</x:v>
      </x:c>
      <x:c r="O823">
        <x:f ca="1">IFERROR(IF(0=LEN(ReferenceData!$O$823),"",ReferenceData!$O$823),"")</x:f>
        <x:v>0</x:v>
      </x:c>
      <x:c r="P823">
        <x:f ca="1">IFERROR(IF(0=LEN(ReferenceData!$P$823),"",ReferenceData!$P$823),"")</x:f>
        <x:v>0</x:v>
      </x:c>
      <x:c r="Q823">
        <x:f ca="1">IFERROR(IF(0=LEN(ReferenceData!$Q$823),"",ReferenceData!$Q$823),"")</x:f>
        <x:v>0</x:v>
      </x:c>
      <x:c r="R823">
        <x:f ca="1">IFERROR(IF(0=LEN(ReferenceData!$R$823),"",ReferenceData!$R$823),"")</x:f>
        <x:v>-0.18176200000000001</x:v>
      </x:c>
      <x:c r="S823">
        <x:f ca="1">IFERROR(IF(0=LEN(ReferenceData!$S$823),"",ReferenceData!$S$823),"")</x:f>
        <x:v>0</x:v>
      </x:c>
    </x:row>
    <x:row r="824" spans="1:19" x14ac:dyDescent="0.25">
      <x:c r="A824" t="str">
        <x:f>IFERROR(IF(0=LEN(ReferenceData!$A$824),"",ReferenceData!$A$824),"")</x:f>
        <x:v xml:space="preserve">            WisdomTree Battery Value Chain</x:v>
      </x:c>
      <x:c r="B824" t="str">
        <x:f>IFERROR(IF(0=LEN(ReferenceData!$B$824),"",ReferenceData!$B$824),"")</x:f>
        <x:v>WBAT US Equity</x:v>
      </x:c>
      <x:c r="C824" t="str">
        <x:f>IFERROR(IF(0=LEN(ReferenceData!$C$824),"",ReferenceData!$C$824),"")</x:f>
        <x:v/>
      </x:c>
      <x:c r="D824" t="str">
        <x:f>IFERROR(IF(0=LEN(ReferenceData!$D$824),"",ReferenceData!$D$824),"")</x:f>
        <x:v/>
      </x:c>
      <x:c r="E824" t="str">
        <x:f>IFERROR(IF(0=LEN(ReferenceData!$E$824),"",ReferenceData!$E$824),"")</x:f>
        <x:v>Expression</x:v>
      </x:c>
      <x:c r="F824">
        <x:f ca="1">IFERROR(IF(0=LEN(ReferenceData!$F$824),"",ReferenceData!$F$824),"")</x:f>
        <x:v>0</x:v>
      </x:c>
      <x:c r="G824">
        <x:f ca="1">IFERROR(IF(0=LEN(ReferenceData!$G$824),"",ReferenceData!$G$824),"")</x:f>
        <x:v>0</x:v>
      </x:c>
      <x:c r="H824">
        <x:f ca="1">IFERROR(IF(0=LEN(ReferenceData!$H$824),"",ReferenceData!$H$824),"")</x:f>
        <x:v>0</x:v>
      </x:c>
      <x:c r="I824">
        <x:f ca="1">IFERROR(IF(0=LEN(ReferenceData!$I$824),"",ReferenceData!$I$824),"")</x:f>
        <x:v>0</x:v>
      </x:c>
      <x:c r="J824">
        <x:f ca="1">IFERROR(IF(0=LEN(ReferenceData!$J$824),"",ReferenceData!$J$824),"")</x:f>
        <x:v>0</x:v>
      </x:c>
      <x:c r="K824">
        <x:f ca="1">IFERROR(IF(0=LEN(ReferenceData!$K$824),"",ReferenceData!$K$824),"")</x:f>
        <x:v>0</x:v>
      </x:c>
      <x:c r="L824">
        <x:f ca="1">IFERROR(IF(0=LEN(ReferenceData!$L$824),"",ReferenceData!$L$824),"")</x:f>
        <x:v>0</x:v>
      </x:c>
      <x:c r="M824">
        <x:f ca="1">IFERROR(IF(0=LEN(ReferenceData!$M$824),"",ReferenceData!$M$824),"")</x:f>
        <x:v>0</x:v>
      </x:c>
      <x:c r="N824">
        <x:f ca="1">IFERROR(IF(0=LEN(ReferenceData!$N$824),"",ReferenceData!$N$824),"")</x:f>
        <x:v>0</x:v>
      </x:c>
      <x:c r="O824">
        <x:f ca="1">IFERROR(IF(0=LEN(ReferenceData!$O$824),"",ReferenceData!$O$824),"")</x:f>
        <x:v>0</x:v>
      </x:c>
      <x:c r="P824">
        <x:f ca="1">IFERROR(IF(0=LEN(ReferenceData!$P$824),"",ReferenceData!$P$824),"")</x:f>
        <x:v>0</x:v>
      </x:c>
      <x:c r="Q824">
        <x:f ca="1">IFERROR(IF(0=LEN(ReferenceData!$Q$824),"",ReferenceData!$Q$824),"")</x:f>
        <x:v>0</x:v>
      </x:c>
      <x:c r="R824">
        <x:f ca="1">IFERROR(IF(0=LEN(ReferenceData!$R$824),"",ReferenceData!$R$824),"")</x:f>
        <x:v>0</x:v>
      </x:c>
      <x:c r="S824">
        <x:f ca="1">IFERROR(IF(0=LEN(ReferenceData!$S$824),"",ReferenceData!$S$824),"")</x:f>
        <x:v>0</x:v>
      </x:c>
    </x:row>
    <x:row r="825" spans="1:19" x14ac:dyDescent="0.25">
      <x:c r="A825" t="str">
        <x:f>IFERROR(IF(0=LEN(ReferenceData!$A$825),"",ReferenceData!$A$825),"")</x:f>
        <x:v xml:space="preserve">            Fidelity Electric Vehicles and</x:v>
      </x:c>
      <x:c r="B825" t="str">
        <x:f>IFERROR(IF(0=LEN(ReferenceData!$B$825),"",ReferenceData!$B$825),"")</x:f>
        <x:v>FDRV US Equity</x:v>
      </x:c>
      <x:c r="C825" t="str">
        <x:f>IFERROR(IF(0=LEN(ReferenceData!$C$825),"",ReferenceData!$C$825),"")</x:f>
        <x:v/>
      </x:c>
      <x:c r="D825" t="str">
        <x:f>IFERROR(IF(0=LEN(ReferenceData!$D$825),"",ReferenceData!$D$825),"")</x:f>
        <x:v/>
      </x:c>
      <x:c r="E825" t="str">
        <x:f>IFERROR(IF(0=LEN(ReferenceData!$E$825),"",ReferenceData!$E$825),"")</x:f>
        <x:v>Expression</x:v>
      </x:c>
      <x:c r="F825">
        <x:f ca="1">IFERROR(IF(0=LEN(ReferenceData!$F$825),"",ReferenceData!$F$825),"")</x:f>
        <x:v>0</x:v>
      </x:c>
      <x:c r="G825">
        <x:f ca="1">IFERROR(IF(0=LEN(ReferenceData!$G$825),"",ReferenceData!$G$825),"")</x:f>
        <x:v>0</x:v>
      </x:c>
      <x:c r="H825">
        <x:f ca="1">IFERROR(IF(0=LEN(ReferenceData!$H$825),"",ReferenceData!$H$825),"")</x:f>
        <x:v>0</x:v>
      </x:c>
      <x:c r="I825">
        <x:f ca="1">IFERROR(IF(0=LEN(ReferenceData!$I$825),"",ReferenceData!$I$825),"")</x:f>
        <x:v>1.005889</x:v>
      </x:c>
      <x:c r="J825">
        <x:f ca="1">IFERROR(IF(0=LEN(ReferenceData!$J$825),"",ReferenceData!$J$825),"")</x:f>
        <x:v>0</x:v>
      </x:c>
      <x:c r="K825">
        <x:f ca="1">IFERROR(IF(0=LEN(ReferenceData!$K$825),"",ReferenceData!$K$825),"")</x:f>
        <x:v>0</x:v>
      </x:c>
      <x:c r="L825">
        <x:f ca="1">IFERROR(IF(0=LEN(ReferenceData!$L$825),"",ReferenceData!$L$825),"")</x:f>
        <x:v>0</x:v>
      </x:c>
      <x:c r="M825">
        <x:f ca="1">IFERROR(IF(0=LEN(ReferenceData!$M$825),"",ReferenceData!$M$825),"")</x:f>
        <x:v>0.87408200000000003</x:v>
      </x:c>
      <x:c r="N825">
        <x:f ca="1">IFERROR(IF(0=LEN(ReferenceData!$N$825),"",ReferenceData!$N$825),"")</x:f>
        <x:v>0</x:v>
      </x:c>
      <x:c r="O825">
        <x:f ca="1">IFERROR(IF(0=LEN(ReferenceData!$O$825),"",ReferenceData!$O$825),"")</x:f>
        <x:v>3.792996</x:v>
      </x:c>
      <x:c r="P825">
        <x:f ca="1">IFERROR(IF(0=LEN(ReferenceData!$P$825),"",ReferenceData!$P$825),"")</x:f>
        <x:v>0</x:v>
      </x:c>
      <x:c r="Q825">
        <x:f ca="1">IFERROR(IF(0=LEN(ReferenceData!$Q$825),"",ReferenceData!$Q$825),"")</x:f>
        <x:v>0</x:v>
      </x:c>
      <x:c r="R825">
        <x:f ca="1">IFERROR(IF(0=LEN(ReferenceData!$R$825),"",ReferenceData!$R$825),"")</x:f>
        <x:v>1.562279</x:v>
      </x:c>
      <x:c r="S825">
        <x:f ca="1">IFERROR(IF(0=LEN(ReferenceData!$S$825),"",ReferenceData!$S$825),"")</x:f>
        <x:v>0.79944300000000001</x:v>
      </x:c>
    </x:row>
    <x:row r="826" spans="1:19" x14ac:dyDescent="0.25">
      <x:c r="A826" t="str">
        <x:f>IFERROR(IF(0=LEN(ReferenceData!$A$826),"",ReferenceData!$A$826),"")</x:f>
        <x:v xml:space="preserve">            Amplify Lithium &amp; Battery Tech</x:v>
      </x:c>
      <x:c r="B826" t="str">
        <x:f>IFERROR(IF(0=LEN(ReferenceData!$B$826),"",ReferenceData!$B$826),"")</x:f>
        <x:v>BATT US Equity</x:v>
      </x:c>
      <x:c r="C826" t="str">
        <x:f>IFERROR(IF(0=LEN(ReferenceData!$C$826),"",ReferenceData!$C$826),"")</x:f>
        <x:v/>
      </x:c>
      <x:c r="D826" t="str">
        <x:f>IFERROR(IF(0=LEN(ReferenceData!$D$826),"",ReferenceData!$D$826),"")</x:f>
        <x:v/>
      </x:c>
      <x:c r="E826" t="str">
        <x:f>IFERROR(IF(0=LEN(ReferenceData!$E$826),"",ReferenceData!$E$826),"")</x:f>
        <x:v>Expression</x:v>
      </x:c>
      <x:c r="F826">
        <x:f ca="1">IFERROR(IF(0=LEN(ReferenceData!$F$826),"",ReferenceData!$F$826),"")</x:f>
        <x:v>-1.0005599999999999</x:v>
      </x:c>
      <x:c r="G826">
        <x:f ca="1">IFERROR(IF(0=LEN(ReferenceData!$G$826),"",ReferenceData!$G$826),"")</x:f>
        <x:v>-1.10755</x:v>
      </x:c>
      <x:c r="H826">
        <x:f ca="1">IFERROR(IF(0=LEN(ReferenceData!$H$826),"",ReferenceData!$H$826),"")</x:f>
        <x:v>-1.7338849999999999</x:v>
      </x:c>
      <x:c r="I826">
        <x:f ca="1">IFERROR(IF(0=LEN(ReferenceData!$I$826),"",ReferenceData!$I$826),"")</x:f>
        <x:v>0</x:v>
      </x:c>
      <x:c r="J826">
        <x:f ca="1">IFERROR(IF(0=LEN(ReferenceData!$J$826),"",ReferenceData!$J$826),"")</x:f>
        <x:v>-2.1343000000000001</x:v>
      </x:c>
      <x:c r="K826">
        <x:f ca="1">IFERROR(IF(0=LEN(ReferenceData!$K$826),"",ReferenceData!$K$826),"")</x:f>
        <x:v>-3.1810849999999999</x:v>
      </x:c>
      <x:c r="L826">
        <x:f ca="1">IFERROR(IF(0=LEN(ReferenceData!$L$826),"",ReferenceData!$L$826),"")</x:f>
        <x:v>-6.7921750000000003</x:v>
      </x:c>
      <x:c r="M826">
        <x:f ca="1">IFERROR(IF(0=LEN(ReferenceData!$M$826),"",ReferenceData!$M$826),"")</x:f>
        <x:v>0</x:v>
      </x:c>
      <x:c r="N826">
        <x:f ca="1">IFERROR(IF(0=LEN(ReferenceData!$N$826),"",ReferenceData!$N$826),"")</x:f>
        <x:v>-1.2061299999999999</x:v>
      </x:c>
      <x:c r="O826">
        <x:f ca="1">IFERROR(IF(0=LEN(ReferenceData!$O$826),"",ReferenceData!$O$826),"")</x:f>
        <x:v>2.05477</x:v>
      </x:c>
      <x:c r="P826">
        <x:f ca="1">IFERROR(IF(0=LEN(ReferenceData!$P$826),"",ReferenceData!$P$826),"")</x:f>
        <x:v>0</x:v>
      </x:c>
      <x:c r="Q826">
        <x:f ca="1">IFERROR(IF(0=LEN(ReferenceData!$Q$826),"",ReferenceData!$Q$826),"")</x:f>
        <x:v>-3.3159550000000002</x:v>
      </x:c>
      <x:c r="R826">
        <x:f ca="1">IFERROR(IF(0=LEN(ReferenceData!$R$826),"",ReferenceData!$R$826),"")</x:f>
        <x:v>-0.65096500000000002</x:v>
      </x:c>
      <x:c r="S826">
        <x:f ca="1">IFERROR(IF(0=LEN(ReferenceData!$S$826),"",ReferenceData!$S$826),"")</x:f>
        <x:v>-3.2019500000000001</x:v>
      </x:c>
    </x:row>
    <x:row r="827" spans="1:19" x14ac:dyDescent="0.25">
      <x:c r="A827" t="str">
        <x:f>IFERROR(IF(0=LEN(ReferenceData!$A$827),"",ReferenceData!$A$827),"")</x:f>
        <x:v xml:space="preserve">        Cannabis and Psychedelics</x:v>
      </x:c>
      <x:c r="B827" t="str">
        <x:f>IFERROR(IF(0=LEN(ReferenceData!$B$827),"",ReferenceData!$B$827),"")</x:f>
        <x:v/>
      </x:c>
      <x:c r="C827" t="str">
        <x:f>IFERROR(IF(0=LEN(ReferenceData!$C$827),"",ReferenceData!$C$827),"")</x:f>
        <x:v/>
      </x:c>
      <x:c r="D827" t="str">
        <x:f>IFERROR(IF(0=LEN(ReferenceData!$D$827),"",ReferenceData!$D$827),"")</x:f>
        <x:v/>
      </x:c>
      <x:c r="E827" t="str">
        <x:f>IFERROR(IF(0=LEN(ReferenceData!$E$827),"",ReferenceData!$E$827),"")</x:f>
        <x:v>Sum</x:v>
      </x:c>
      <x:c r="F827">
        <x:f ca="1">IFERROR(IF(0=LEN(ReferenceData!$F$827),"",ReferenceData!$F$827),"")</x:f>
        <x:v>0.90107799999999982</x:v>
      </x:c>
      <x:c r="G827">
        <x:f ca="1">IFERROR(IF(0=LEN(ReferenceData!$G$827),"",ReferenceData!$G$827),"")</x:f>
        <x:v>54.758195000000001</x:v>
      </x:c>
      <x:c r="H827">
        <x:f ca="1">IFERROR(IF(0=LEN(ReferenceData!$H$827),"",ReferenceData!$H$827),"")</x:f>
        <x:v>59.769309999999997</x:v>
      </x:c>
      <x:c r="I827">
        <x:f ca="1">IFERROR(IF(0=LEN(ReferenceData!$I$827),"",ReferenceData!$I$827),"")</x:f>
        <x:v>12.494908000000001</x:v>
      </x:c>
      <x:c r="J827">
        <x:f ca="1">IFERROR(IF(0=LEN(ReferenceData!$J$827),"",ReferenceData!$J$827),"")</x:f>
        <x:v>15.392932999999999</x:v>
      </x:c>
      <x:c r="K827">
        <x:f ca="1">IFERROR(IF(0=LEN(ReferenceData!$K$827),"",ReferenceData!$K$827),"")</x:f>
        <x:v>12.866684999999999</x:v>
      </x:c>
      <x:c r="L827">
        <x:f ca="1">IFERROR(IF(0=LEN(ReferenceData!$L$827),"",ReferenceData!$L$827),"")</x:f>
        <x:v>8.6256330000000005</x:v>
      </x:c>
      <x:c r="M827">
        <x:f ca="1">IFERROR(IF(0=LEN(ReferenceData!$M$827),"",ReferenceData!$M$827),"")</x:f>
        <x:v>3.8702739999999998</x:v>
      </x:c>
      <x:c r="N827">
        <x:f ca="1">IFERROR(IF(0=LEN(ReferenceData!$N$827),"",ReferenceData!$N$827),"")</x:f>
        <x:v>54.796711000000002</x:v>
      </x:c>
      <x:c r="O827">
        <x:f ca="1">IFERROR(IF(0=LEN(ReferenceData!$O$827),"",ReferenceData!$O$827),"")</x:f>
        <x:v>29.388268000000004</x:v>
      </x:c>
      <x:c r="P827">
        <x:f ca="1">IFERROR(IF(0=LEN(ReferenceData!$P$827),"",ReferenceData!$P$827),"")</x:f>
        <x:v>-19.892228999999993</x:v>
      </x:c>
      <x:c r="Q827">
        <x:f ca="1">IFERROR(IF(0=LEN(ReferenceData!$Q$827),"",ReferenceData!$Q$827),"")</x:f>
        <x:v>7.1912680000000009</x:v>
      </x:c>
      <x:c r="R827">
        <x:f ca="1">IFERROR(IF(0=LEN(ReferenceData!$R$827),"",ReferenceData!$R$827),"")</x:f>
        <x:v>57.196499000000003</x:v>
      </x:c>
      <x:c r="S827">
        <x:f ca="1">IFERROR(IF(0=LEN(ReferenceData!$S$827),"",ReferenceData!$S$827),"")</x:f>
        <x:v>65.221092000000013</x:v>
      </x:c>
    </x:row>
    <x:row r="828" spans="1:19" x14ac:dyDescent="0.25">
      <x:c r="A828" t="str">
        <x:f>IFERROR(IF(0=LEN(ReferenceData!$A$828),"",ReferenceData!$A$828),"")</x:f>
        <x:v xml:space="preserve">            ETFMG Alternative Harvest ETF</x:v>
      </x:c>
      <x:c r="B828" t="str">
        <x:f>IFERROR(IF(0=LEN(ReferenceData!$B$828),"",ReferenceData!$B$828),"")</x:f>
        <x:v>MJ US Equity</x:v>
      </x:c>
      <x:c r="C828" t="str">
        <x:f>IFERROR(IF(0=LEN(ReferenceData!$C$828),"",ReferenceData!$C$828),"")</x:f>
        <x:v/>
      </x:c>
      <x:c r="D828" t="str">
        <x:f>IFERROR(IF(0=LEN(ReferenceData!$D$828),"",ReferenceData!$D$828),"")</x:f>
        <x:v/>
      </x:c>
      <x:c r="E828" t="str">
        <x:f>IFERROR(IF(0=LEN(ReferenceData!$E$828),"",ReferenceData!$E$828),"")</x:f>
        <x:v>Expression</x:v>
      </x:c>
      <x:c r="F828">
        <x:f ca="1">IFERROR(IF(0=LEN(ReferenceData!$F$828),"",ReferenceData!$F$828),"")</x:f>
        <x:v>0</x:v>
      </x:c>
      <x:c r="G828">
        <x:f ca="1">IFERROR(IF(0=LEN(ReferenceData!$G$828),"",ReferenceData!$G$828),"")</x:f>
        <x:v>-6.8392499999999998</x:v>
      </x:c>
      <x:c r="H828">
        <x:f ca="1">IFERROR(IF(0=LEN(ReferenceData!$H$828),"",ReferenceData!$H$828),"")</x:f>
        <x:v>0</x:v>
      </x:c>
      <x:c r="I828">
        <x:f ca="1">IFERROR(IF(0=LEN(ReferenceData!$I$828),"",ReferenceData!$I$828),"")</x:f>
        <x:v>2.7335150000000001</x:v>
      </x:c>
      <x:c r="J828">
        <x:f ca="1">IFERROR(IF(0=LEN(ReferenceData!$J$828),"",ReferenceData!$J$828),"")</x:f>
        <x:v>0</x:v>
      </x:c>
      <x:c r="K828">
        <x:f ca="1">IFERROR(IF(0=LEN(ReferenceData!$K$828),"",ReferenceData!$K$828),"")</x:f>
        <x:v>1.5253000000000001</x:v>
      </x:c>
      <x:c r="L828">
        <x:f ca="1">IFERROR(IF(0=LEN(ReferenceData!$L$828),"",ReferenceData!$L$828),"")</x:f>
        <x:v>2.1039599999999998</x:v>
      </x:c>
      <x:c r="M828">
        <x:f ca="1">IFERROR(IF(0=LEN(ReferenceData!$M$828),"",ReferenceData!$M$828),"")</x:f>
        <x:v>0</x:v>
      </x:c>
      <x:c r="N828">
        <x:f ca="1">IFERROR(IF(0=LEN(ReferenceData!$N$828),"",ReferenceData!$N$828),"")</x:f>
        <x:v>0</x:v>
      </x:c>
      <x:c r="O828">
        <x:f ca="1">IFERROR(IF(0=LEN(ReferenceData!$O$828),"",ReferenceData!$O$828),"")</x:f>
        <x:v>-3.4671449999999999</x:v>
      </x:c>
      <x:c r="P828">
        <x:f ca="1">IFERROR(IF(0=LEN(ReferenceData!$P$828),"",ReferenceData!$P$828),"")</x:f>
        <x:v>-4.070735</x:v>
      </x:c>
      <x:c r="Q828">
        <x:f ca="1">IFERROR(IF(0=LEN(ReferenceData!$Q$828),"",ReferenceData!$Q$828),"")</x:f>
        <x:v>-2.7304900000000001</x:v>
      </x:c>
      <x:c r="R828">
        <x:f ca="1">IFERROR(IF(0=LEN(ReferenceData!$R$828),"",ReferenceData!$R$828),"")</x:f>
        <x:v>0</x:v>
      </x:c>
      <x:c r="S828">
        <x:f ca="1">IFERROR(IF(0=LEN(ReferenceData!$S$828),"",ReferenceData!$S$828),"")</x:f>
        <x:v>6.6323400000000001</x:v>
      </x:c>
    </x:row>
    <x:row r="829" spans="1:19" x14ac:dyDescent="0.25">
      <x:c r="A829" t="str">
        <x:f>IFERROR(IF(0=LEN(ReferenceData!$A$829),"",ReferenceData!$A$829),"")</x:f>
        <x:v xml:space="preserve">            AdvisorShares Pure Cannabis ET</x:v>
      </x:c>
      <x:c r="B829" t="str">
        <x:f>IFERROR(IF(0=LEN(ReferenceData!$B$829),"",ReferenceData!$B$829),"")</x:f>
        <x:v>YOLO US Equity</x:v>
      </x:c>
      <x:c r="C829" t="str">
        <x:f>IFERROR(IF(0=LEN(ReferenceData!$C$829),"",ReferenceData!$C$829),"")</x:f>
        <x:v/>
      </x:c>
      <x:c r="D829" t="str">
        <x:f>IFERROR(IF(0=LEN(ReferenceData!$D$829),"",ReferenceData!$D$829),"")</x:f>
        <x:v/>
      </x:c>
      <x:c r="E829" t="str">
        <x:f>IFERROR(IF(0=LEN(ReferenceData!$E$829),"",ReferenceData!$E$829),"")</x:f>
        <x:v>Expression</x:v>
      </x:c>
      <x:c r="F829">
        <x:f ca="1">IFERROR(IF(0=LEN(ReferenceData!$F$829),"",ReferenceData!$F$829),"")</x:f>
        <x:v>0</x:v>
      </x:c>
      <x:c r="G829">
        <x:f ca="1">IFERROR(IF(0=LEN(ReferenceData!$G$829),"",ReferenceData!$G$829),"")</x:f>
        <x:v>0</x:v>
      </x:c>
      <x:c r="H829">
        <x:f ca="1">IFERROR(IF(0=LEN(ReferenceData!$H$829),"",ReferenceData!$H$829),"")</x:f>
        <x:v>0</x:v>
      </x:c>
      <x:c r="I829">
        <x:f ca="1">IFERROR(IF(0=LEN(ReferenceData!$I$829),"",ReferenceData!$I$829),"")</x:f>
        <x:v>-0.38633699999999999</x:v>
      </x:c>
      <x:c r="J829">
        <x:f ca="1">IFERROR(IF(0=LEN(ReferenceData!$J$829),"",ReferenceData!$J$829),"")</x:f>
        <x:v>0</x:v>
      </x:c>
      <x:c r="K829">
        <x:f ca="1">IFERROR(IF(0=LEN(ReferenceData!$K$829),"",ReferenceData!$K$829),"")</x:f>
        <x:v>0</x:v>
      </x:c>
      <x:c r="L829">
        <x:f ca="1">IFERROR(IF(0=LEN(ReferenceData!$L$829),"",ReferenceData!$L$829),"")</x:f>
        <x:v>0</x:v>
      </x:c>
      <x:c r="M829">
        <x:f ca="1">IFERROR(IF(0=LEN(ReferenceData!$M$829),"",ReferenceData!$M$829),"")</x:f>
        <x:v>0</x:v>
      </x:c>
      <x:c r="N829">
        <x:f ca="1">IFERROR(IF(0=LEN(ReferenceData!$N$829),"",ReferenceData!$N$829),"")</x:f>
        <x:v>-1.2169760000000001</x:v>
      </x:c>
      <x:c r="O829">
        <x:f ca="1">IFERROR(IF(0=LEN(ReferenceData!$O$829),"",ReferenceData!$O$829),"")</x:f>
        <x:v>-0.63035699999999995</x:v>
      </x:c>
      <x:c r="P829">
        <x:f ca="1">IFERROR(IF(0=LEN(ReferenceData!$P$829),"",ReferenceData!$P$829),"")</x:f>
        <x:v>0</x:v>
      </x:c>
      <x:c r="Q829">
        <x:f ca="1">IFERROR(IF(0=LEN(ReferenceData!$Q$829),"",ReferenceData!$Q$829),"")</x:f>
        <x:v>0</x:v>
      </x:c>
      <x:c r="R829">
        <x:f ca="1">IFERROR(IF(0=LEN(ReferenceData!$R$829),"",ReferenceData!$R$829),"")</x:f>
        <x:v>0</x:v>
      </x:c>
      <x:c r="S829">
        <x:f ca="1">IFERROR(IF(0=LEN(ReferenceData!$S$829),"",ReferenceData!$S$829),"")</x:f>
        <x:v>0</x:v>
      </x:c>
    </x:row>
    <x:row r="830" spans="1:19" x14ac:dyDescent="0.25">
      <x:c r="A830" t="str">
        <x:f>IFERROR(IF(0=LEN(ReferenceData!$A$830),"",ReferenceData!$A$830),"")</x:f>
        <x:v xml:space="preserve">            MicroSectors Cannabis 2X Lever</x:v>
      </x:c>
      <x:c r="B830" t="str">
        <x:f>IFERROR(IF(0=LEN(ReferenceData!$B$830),"",ReferenceData!$B$830),"")</x:f>
        <x:v>MJO US Equity</x:v>
      </x:c>
      <x:c r="C830" t="str">
        <x:f>IFERROR(IF(0=LEN(ReferenceData!$C$830),"",ReferenceData!$C$830),"")</x:f>
        <x:v/>
      </x:c>
      <x:c r="D830" t="str">
        <x:f>IFERROR(IF(0=LEN(ReferenceData!$D$830),"",ReferenceData!$D$830),"")</x:f>
        <x:v/>
      </x:c>
      <x:c r="E830" t="str">
        <x:f>IFERROR(IF(0=LEN(ReferenceData!$E$830),"",ReferenceData!$E$830),"")</x:f>
        <x:v>Expression</x:v>
      </x:c>
      <x:c r="F830" t="str">
        <x:f ca="1">IFERROR(IF(0=LEN(ReferenceData!$F$830),"",ReferenceData!$F$830),"")</x:f>
        <x:v/>
      </x:c>
      <x:c r="G830" t="str">
        <x:f ca="1">IFERROR(IF(0=LEN(ReferenceData!$G$830),"",ReferenceData!$G$830),"")</x:f>
        <x:v/>
      </x:c>
      <x:c r="H830" t="str">
        <x:f ca="1">IFERROR(IF(0=LEN(ReferenceData!$H$830),"",ReferenceData!$H$830),"")</x:f>
        <x:v/>
      </x:c>
      <x:c r="I830" t="str">
        <x:f ca="1">IFERROR(IF(0=LEN(ReferenceData!$I$830),"",ReferenceData!$I$830),"")</x:f>
        <x:v/>
      </x:c>
      <x:c r="J830" t="str">
        <x:f ca="1">IFERROR(IF(0=LEN(ReferenceData!$J$830),"",ReferenceData!$J$830),"")</x:f>
        <x:v/>
      </x:c>
      <x:c r="K830" t="str">
        <x:f ca="1">IFERROR(IF(0=LEN(ReferenceData!$K$830),"",ReferenceData!$K$830),"")</x:f>
        <x:v/>
      </x:c>
      <x:c r="L830" t="str">
        <x:f ca="1">IFERROR(IF(0=LEN(ReferenceData!$L$830),"",ReferenceData!$L$830),"")</x:f>
        <x:v/>
      </x:c>
      <x:c r="M830" t="str">
        <x:f ca="1">IFERROR(IF(0=LEN(ReferenceData!$M$830),"",ReferenceData!$M$830),"")</x:f>
        <x:v/>
      </x:c>
      <x:c r="N830" t="str">
        <x:f ca="1">IFERROR(IF(0=LEN(ReferenceData!$N$830),"",ReferenceData!$N$830),"")</x:f>
        <x:v/>
      </x:c>
      <x:c r="O830" t="str">
        <x:f ca="1">IFERROR(IF(0=LEN(ReferenceData!$O$830),"",ReferenceData!$O$830),"")</x:f>
        <x:v/>
      </x:c>
      <x:c r="P830" t="str">
        <x:f ca="1">IFERROR(IF(0=LEN(ReferenceData!$P$830),"",ReferenceData!$P$830),"")</x:f>
        <x:v/>
      </x:c>
      <x:c r="Q830" t="str">
        <x:f ca="1">IFERROR(IF(0=LEN(ReferenceData!$Q$830),"",ReferenceData!$Q$830),"")</x:f>
        <x:v/>
      </x:c>
      <x:c r="R830" t="str">
        <x:f ca="1">IFERROR(IF(0=LEN(ReferenceData!$R$830),"",ReferenceData!$R$830),"")</x:f>
        <x:v/>
      </x:c>
      <x:c r="S830" t="str">
        <x:f ca="1">IFERROR(IF(0=LEN(ReferenceData!$S$830),"",ReferenceData!$S$830),"")</x:f>
        <x:v/>
      </x:c>
    </x:row>
    <x:row r="831" spans="1:19" x14ac:dyDescent="0.25">
      <x:c r="A831" t="str">
        <x:f>IFERROR(IF(0=LEN(ReferenceData!$A$831),"",ReferenceData!$A$831),"")</x:f>
        <x:v xml:space="preserve">            MicroSectors Cannabis ETNs</x:v>
      </x:c>
      <x:c r="B831" t="str">
        <x:f>IFERROR(IF(0=LEN(ReferenceData!$B$831),"",ReferenceData!$B$831),"")</x:f>
        <x:v>MJJ US Equity</x:v>
      </x:c>
      <x:c r="C831" t="str">
        <x:f>IFERROR(IF(0=LEN(ReferenceData!$C$831),"",ReferenceData!$C$831),"")</x:f>
        <x:v/>
      </x:c>
      <x:c r="D831" t="str">
        <x:f>IFERROR(IF(0=LEN(ReferenceData!$D$831),"",ReferenceData!$D$831),"")</x:f>
        <x:v/>
      </x:c>
      <x:c r="E831" t="str">
        <x:f>IFERROR(IF(0=LEN(ReferenceData!$E$831),"",ReferenceData!$E$831),"")</x:f>
        <x:v>Expression</x:v>
      </x:c>
      <x:c r="F831" t="str">
        <x:f ca="1">IFERROR(IF(0=LEN(ReferenceData!$F$831),"",ReferenceData!$F$831),"")</x:f>
        <x:v/>
      </x:c>
      <x:c r="G831" t="str">
        <x:f ca="1">IFERROR(IF(0=LEN(ReferenceData!$G$831),"",ReferenceData!$G$831),"")</x:f>
        <x:v/>
      </x:c>
      <x:c r="H831" t="str">
        <x:f ca="1">IFERROR(IF(0=LEN(ReferenceData!$H$831),"",ReferenceData!$H$831),"")</x:f>
        <x:v/>
      </x:c>
      <x:c r="I831" t="str">
        <x:f ca="1">IFERROR(IF(0=LEN(ReferenceData!$I$831),"",ReferenceData!$I$831),"")</x:f>
        <x:v/>
      </x:c>
      <x:c r="J831" t="str">
        <x:f ca="1">IFERROR(IF(0=LEN(ReferenceData!$J$831),"",ReferenceData!$J$831),"")</x:f>
        <x:v/>
      </x:c>
      <x:c r="K831" t="str">
        <x:f ca="1">IFERROR(IF(0=LEN(ReferenceData!$K$831),"",ReferenceData!$K$831),"")</x:f>
        <x:v/>
      </x:c>
      <x:c r="L831" t="str">
        <x:f ca="1">IFERROR(IF(0=LEN(ReferenceData!$L$831),"",ReferenceData!$L$831),"")</x:f>
        <x:v/>
      </x:c>
      <x:c r="M831" t="str">
        <x:f ca="1">IFERROR(IF(0=LEN(ReferenceData!$M$831),"",ReferenceData!$M$831),"")</x:f>
        <x:v/>
      </x:c>
      <x:c r="N831" t="str">
        <x:f ca="1">IFERROR(IF(0=LEN(ReferenceData!$N$831),"",ReferenceData!$N$831),"")</x:f>
        <x:v/>
      </x:c>
      <x:c r="O831" t="str">
        <x:f ca="1">IFERROR(IF(0=LEN(ReferenceData!$O$831),"",ReferenceData!$O$831),"")</x:f>
        <x:v/>
      </x:c>
      <x:c r="P831" t="str">
        <x:f ca="1">IFERROR(IF(0=LEN(ReferenceData!$P$831),"",ReferenceData!$P$831),"")</x:f>
        <x:v/>
      </x:c>
      <x:c r="Q831" t="str">
        <x:f ca="1">IFERROR(IF(0=LEN(ReferenceData!$Q$831),"",ReferenceData!$Q$831),"")</x:f>
        <x:v/>
      </x:c>
      <x:c r="R831" t="str">
        <x:f ca="1">IFERROR(IF(0=LEN(ReferenceData!$R$831),"",ReferenceData!$R$831),"")</x:f>
        <x:v/>
      </x:c>
      <x:c r="S831" t="str">
        <x:f ca="1">IFERROR(IF(0=LEN(ReferenceData!$S$831),"",ReferenceData!$S$831),"")</x:f>
        <x:v/>
      </x:c>
    </x:row>
    <x:row r="832" spans="1:19" x14ac:dyDescent="0.25">
      <x:c r="A832" t="str">
        <x:f>IFERROR(IF(0=LEN(ReferenceData!$A$832),"",ReferenceData!$A$832),"")</x:f>
        <x:v xml:space="preserve">            Global X Cannabis ETF</x:v>
      </x:c>
      <x:c r="B832" t="str">
        <x:f>IFERROR(IF(0=LEN(ReferenceData!$B$832),"",ReferenceData!$B$832),"")</x:f>
        <x:v>POTX US Equity</x:v>
      </x:c>
      <x:c r="C832" t="str">
        <x:f>IFERROR(IF(0=LEN(ReferenceData!$C$832),"",ReferenceData!$C$832),"")</x:f>
        <x:v/>
      </x:c>
      <x:c r="D832" t="str">
        <x:f>IFERROR(IF(0=LEN(ReferenceData!$D$832),"",ReferenceData!$D$832),"")</x:f>
        <x:v/>
      </x:c>
      <x:c r="E832" t="str">
        <x:f>IFERROR(IF(0=LEN(ReferenceData!$E$832),"",ReferenceData!$E$832),"")</x:f>
        <x:v>Expression</x:v>
      </x:c>
      <x:c r="F832">
        <x:f ca="1">IFERROR(IF(0=LEN(ReferenceData!$F$832),"",ReferenceData!$F$832),"")</x:f>
        <x:v>-0.37869999999999998</x:v>
      </x:c>
      <x:c r="G832">
        <x:f ca="1">IFERROR(IF(0=LEN(ReferenceData!$G$832),"",ReferenceData!$G$832),"")</x:f>
        <x:v>0</x:v>
      </x:c>
      <x:c r="H832">
        <x:f ca="1">IFERROR(IF(0=LEN(ReferenceData!$H$832),"",ReferenceData!$H$832),"")</x:f>
        <x:v>2.9817</x:v>
      </x:c>
      <x:c r="I832">
        <x:f ca="1">IFERROR(IF(0=LEN(ReferenceData!$I$832),"",ReferenceData!$I$832),"")</x:f>
        <x:v>0.69079999999999997</x:v>
      </x:c>
      <x:c r="J832">
        <x:f ca="1">IFERROR(IF(0=LEN(ReferenceData!$J$832),"",ReferenceData!$J$832),"")</x:f>
        <x:v>0.32600000000000001</x:v>
      </x:c>
      <x:c r="K832">
        <x:f ca="1">IFERROR(IF(0=LEN(ReferenceData!$K$832),"",ReferenceData!$K$832),"")</x:f>
        <x:v>2.9504999999999999</x:v>
      </x:c>
      <x:c r="L832">
        <x:f ca="1">IFERROR(IF(0=LEN(ReferenceData!$L$832),"",ReferenceData!$L$832),"")</x:f>
        <x:v>0</x:v>
      </x:c>
      <x:c r="M832">
        <x:f ca="1">IFERROR(IF(0=LEN(ReferenceData!$M$832),"",ReferenceData!$M$832),"")</x:f>
        <x:v>-0.35120000000000001</x:v>
      </x:c>
      <x:c r="N832">
        <x:f ca="1">IFERROR(IF(0=LEN(ReferenceData!$N$832),"",ReferenceData!$N$832),"")</x:f>
        <x:v>0</x:v>
      </x:c>
      <x:c r="O832">
        <x:f ca="1">IFERROR(IF(0=LEN(ReferenceData!$O$832),"",ReferenceData!$O$832),"")</x:f>
        <x:v>3.0234000000000001</x:v>
      </x:c>
      <x:c r="P832">
        <x:f ca="1">IFERROR(IF(0=LEN(ReferenceData!$P$832),"",ReferenceData!$P$832),"")</x:f>
        <x:v>4.3905000000000003</x:v>
      </x:c>
      <x:c r="Q832">
        <x:f ca="1">IFERROR(IF(0=LEN(ReferenceData!$Q$832),"",ReferenceData!$Q$832),"")</x:f>
        <x:v>0</x:v>
      </x:c>
      <x:c r="R832">
        <x:f ca="1">IFERROR(IF(0=LEN(ReferenceData!$R$832),"",ReferenceData!$R$832),"")</x:f>
        <x:v>1.196</x:v>
      </x:c>
      <x:c r="S832">
        <x:f ca="1">IFERROR(IF(0=LEN(ReferenceData!$S$832),"",ReferenceData!$S$832),"")</x:f>
        <x:v>1.6763999999999999</x:v>
      </x:c>
    </x:row>
    <x:row r="833" spans="1:19" x14ac:dyDescent="0.25">
      <x:c r="A833" t="str">
        <x:f>IFERROR(IF(0=LEN(ReferenceData!$A$833),"",ReferenceData!$A$833),"")</x:f>
        <x:v xml:space="preserve">            Cambria Cannabis ETF</x:v>
      </x:c>
      <x:c r="B833" t="str">
        <x:f>IFERROR(IF(0=LEN(ReferenceData!$B$833),"",ReferenceData!$B$833),"")</x:f>
        <x:v>TOKE US Equity</x:v>
      </x:c>
      <x:c r="C833" t="str">
        <x:f>IFERROR(IF(0=LEN(ReferenceData!$C$833),"",ReferenceData!$C$833),"")</x:f>
        <x:v/>
      </x:c>
      <x:c r="D833" t="str">
        <x:f>IFERROR(IF(0=LEN(ReferenceData!$D$833),"",ReferenceData!$D$833),"")</x:f>
        <x:v/>
      </x:c>
      <x:c r="E833" t="str">
        <x:f>IFERROR(IF(0=LEN(ReferenceData!$E$833),"",ReferenceData!$E$833),"")</x:f>
        <x:v>Expression</x:v>
      </x:c>
      <x:c r="F833">
        <x:f ca="1">IFERROR(IF(0=LEN(ReferenceData!$F$833),"",ReferenceData!$F$833),"")</x:f>
        <x:v>0</x:v>
      </x:c>
      <x:c r="G833">
        <x:f ca="1">IFERROR(IF(0=LEN(ReferenceData!$G$833),"",ReferenceData!$G$833),"")</x:f>
        <x:v>0</x:v>
      </x:c>
      <x:c r="H833">
        <x:f ca="1">IFERROR(IF(0=LEN(ReferenceData!$H$833),"",ReferenceData!$H$833),"")</x:f>
        <x:v>0</x:v>
      </x:c>
      <x:c r="I833">
        <x:f ca="1">IFERROR(IF(0=LEN(ReferenceData!$I$833),"",ReferenceData!$I$833),"")</x:f>
        <x:v>0</x:v>
      </x:c>
      <x:c r="J833">
        <x:f ca="1">IFERROR(IF(0=LEN(ReferenceData!$J$833),"",ReferenceData!$J$833),"")</x:f>
        <x:v>0</x:v>
      </x:c>
      <x:c r="K833">
        <x:f ca="1">IFERROR(IF(0=LEN(ReferenceData!$K$833),"",ReferenceData!$K$833),"")</x:f>
        <x:v>0</x:v>
      </x:c>
      <x:c r="L833">
        <x:f ca="1">IFERROR(IF(0=LEN(ReferenceData!$L$833),"",ReferenceData!$L$833),"")</x:f>
        <x:v>-0.30299999999999999</x:v>
      </x:c>
      <x:c r="M833">
        <x:f ca="1">IFERROR(IF(0=LEN(ReferenceData!$M$833),"",ReferenceData!$M$833),"")</x:f>
        <x:v>0</x:v>
      </x:c>
      <x:c r="N833">
        <x:f ca="1">IFERROR(IF(0=LEN(ReferenceData!$N$833),"",ReferenceData!$N$833),"")</x:f>
        <x:v>0</x:v>
      </x:c>
      <x:c r="O833">
        <x:f ca="1">IFERROR(IF(0=LEN(ReferenceData!$O$833),"",ReferenceData!$O$833),"")</x:f>
        <x:v>0</x:v>
      </x:c>
      <x:c r="P833">
        <x:f ca="1">IFERROR(IF(0=LEN(ReferenceData!$P$833),"",ReferenceData!$P$833),"")</x:f>
        <x:v>-1.4179999999999999</x:v>
      </x:c>
      <x:c r="Q833">
        <x:f ca="1">IFERROR(IF(0=LEN(ReferenceData!$Q$833),"",ReferenceData!$Q$833),"")</x:f>
        <x:v>-0.3705</x:v>
      </x:c>
      <x:c r="R833">
        <x:f ca="1">IFERROR(IF(0=LEN(ReferenceData!$R$833),"",ReferenceData!$R$833),"")</x:f>
        <x:v>1.1379999999999999</x:v>
      </x:c>
      <x:c r="S833">
        <x:f ca="1">IFERROR(IF(0=LEN(ReferenceData!$S$833),"",ReferenceData!$S$833),"")</x:f>
        <x:v>0</x:v>
      </x:c>
    </x:row>
    <x:row r="834" spans="1:19" x14ac:dyDescent="0.25">
      <x:c r="A834" t="str">
        <x:f>IFERROR(IF(0=LEN(ReferenceData!$A$834),"",ReferenceData!$A$834),"")</x:f>
        <x:v xml:space="preserve">            Amplify Seymour Cannabis ETF</x:v>
      </x:c>
      <x:c r="B834" t="str">
        <x:f>IFERROR(IF(0=LEN(ReferenceData!$B$834),"",ReferenceData!$B$834),"")</x:f>
        <x:v>CNBS US Equity</x:v>
      </x:c>
      <x:c r="C834" t="str">
        <x:f>IFERROR(IF(0=LEN(ReferenceData!$C$834),"",ReferenceData!$C$834),"")</x:f>
        <x:v/>
      </x:c>
      <x:c r="D834" t="str">
        <x:f>IFERROR(IF(0=LEN(ReferenceData!$D$834),"",ReferenceData!$D$834),"")</x:f>
        <x:v/>
      </x:c>
      <x:c r="E834" t="str">
        <x:f>IFERROR(IF(0=LEN(ReferenceData!$E$834),"",ReferenceData!$E$834),"")</x:f>
        <x:v>Expression</x:v>
      </x:c>
      <x:c r="F834">
        <x:f ca="1">IFERROR(IF(0=LEN(ReferenceData!$F$834),"",ReferenceData!$F$834),"")</x:f>
        <x:v>0</x:v>
      </x:c>
      <x:c r="G834">
        <x:f ca="1">IFERROR(IF(0=LEN(ReferenceData!$G$834),"",ReferenceData!$G$834),"")</x:f>
        <x:v>0</x:v>
      </x:c>
      <x:c r="H834">
        <x:f ca="1">IFERROR(IF(0=LEN(ReferenceData!$H$834),"",ReferenceData!$H$834),"")</x:f>
        <x:v>0</x:v>
      </x:c>
      <x:c r="I834">
        <x:f ca="1">IFERROR(IF(0=LEN(ReferenceData!$I$834),"",ReferenceData!$I$834),"")</x:f>
        <x:v>0</x:v>
      </x:c>
      <x:c r="J834">
        <x:f ca="1">IFERROR(IF(0=LEN(ReferenceData!$J$834),"",ReferenceData!$J$834),"")</x:f>
        <x:v>0</x:v>
      </x:c>
      <x:c r="K834">
        <x:f ca="1">IFERROR(IF(0=LEN(ReferenceData!$K$834),"",ReferenceData!$K$834),"")</x:f>
        <x:v>0.19220000000000001</x:v>
      </x:c>
      <x:c r="L834">
        <x:f ca="1">IFERROR(IF(0=LEN(ReferenceData!$L$834),"",ReferenceData!$L$834),"")</x:f>
        <x:v>0</x:v>
      </x:c>
      <x:c r="M834">
        <x:f ca="1">IFERROR(IF(0=LEN(ReferenceData!$M$834),"",ReferenceData!$M$834),"")</x:f>
        <x:v>0</x:v>
      </x:c>
      <x:c r="N834">
        <x:f ca="1">IFERROR(IF(0=LEN(ReferenceData!$N$834),"",ReferenceData!$N$834),"")</x:f>
        <x:v>0.49869999999999998</x:v>
      </x:c>
      <x:c r="O834">
        <x:f ca="1">IFERROR(IF(0=LEN(ReferenceData!$O$834),"",ReferenceData!$O$834),"")</x:f>
        <x:v>0</x:v>
      </x:c>
      <x:c r="P834">
        <x:f ca="1">IFERROR(IF(0=LEN(ReferenceData!$P$834),"",ReferenceData!$P$834),"")</x:f>
        <x:v>0</x:v>
      </x:c>
      <x:c r="Q834">
        <x:f ca="1">IFERROR(IF(0=LEN(ReferenceData!$Q$834),"",ReferenceData!$Q$834),"")</x:f>
        <x:v>0.64178000000000002</x:v>
      </x:c>
      <x:c r="R834">
        <x:f ca="1">IFERROR(IF(0=LEN(ReferenceData!$R$834),"",ReferenceData!$R$834),"")</x:f>
        <x:v>0</x:v>
      </x:c>
      <x:c r="S834">
        <x:f ca="1">IFERROR(IF(0=LEN(ReferenceData!$S$834),"",ReferenceData!$S$834),"")</x:f>
        <x:v>0</x:v>
      </x:c>
    </x:row>
    <x:row r="835" spans="1:19" x14ac:dyDescent="0.25">
      <x:c r="A835" t="str">
        <x:f>IFERROR(IF(0=LEN(ReferenceData!$A$835),"",ReferenceData!$A$835),"")</x:f>
        <x:v xml:space="preserve">            AXS Cannabis ETF</x:v>
      </x:c>
      <x:c r="B835" t="str">
        <x:f>IFERROR(IF(0=LEN(ReferenceData!$B$835),"",ReferenceData!$B$835),"")</x:f>
        <x:v>THCX US Equity</x:v>
      </x:c>
      <x:c r="C835" t="str">
        <x:f>IFERROR(IF(0=LEN(ReferenceData!$C$835),"",ReferenceData!$C$835),"")</x:f>
        <x:v/>
      </x:c>
      <x:c r="D835" t="str">
        <x:f>IFERROR(IF(0=LEN(ReferenceData!$D$835),"",ReferenceData!$D$835),"")</x:f>
        <x:v/>
      </x:c>
      <x:c r="E835" t="str">
        <x:f>IFERROR(IF(0=LEN(ReferenceData!$E$835),"",ReferenceData!$E$835),"")</x:f>
        <x:v>Expression</x:v>
      </x:c>
      <x:c r="F835">
        <x:f ca="1">IFERROR(IF(0=LEN(ReferenceData!$F$835),"",ReferenceData!$F$835),"")</x:f>
        <x:v>0.77027500000000004</x:v>
      </x:c>
      <x:c r="G835">
        <x:f ca="1">IFERROR(IF(0=LEN(ReferenceData!$G$835),"",ReferenceData!$G$835),"")</x:f>
        <x:v>0</x:v>
      </x:c>
      <x:c r="H835">
        <x:f ca="1">IFERROR(IF(0=LEN(ReferenceData!$H$835),"",ReferenceData!$H$835),"")</x:f>
        <x:v>-5.1099999999999995E-4</x:v>
      </x:c>
      <x:c r="I835">
        <x:f ca="1">IFERROR(IF(0=LEN(ReferenceData!$I$835),"",ReferenceData!$I$835),"")</x:f>
        <x:v>-0.39763399999999999</x:v>
      </x:c>
      <x:c r="J835">
        <x:f ca="1">IFERROR(IF(0=LEN(ReferenceData!$J$835),"",ReferenceData!$J$835),"")</x:f>
        <x:v>0</x:v>
      </x:c>
      <x:c r="K835">
        <x:f ca="1">IFERROR(IF(0=LEN(ReferenceData!$K$835),"",ReferenceData!$K$835),"")</x:f>
        <x:v>0</x:v>
      </x:c>
      <x:c r="L835">
        <x:f ca="1">IFERROR(IF(0=LEN(ReferenceData!$L$835),"",ReferenceData!$L$835),"")</x:f>
        <x:v>0</x:v>
      </x:c>
      <x:c r="M835">
        <x:f ca="1">IFERROR(IF(0=LEN(ReferenceData!$M$835),"",ReferenceData!$M$835),"")</x:f>
        <x:v>-0.36247800000000002</x:v>
      </x:c>
      <x:c r="N835">
        <x:f ca="1">IFERROR(IF(0=LEN(ReferenceData!$N$835),"",ReferenceData!$N$835),"")</x:f>
        <x:v>0</x:v>
      </x:c>
      <x:c r="O835">
        <x:f ca="1">IFERROR(IF(0=LEN(ReferenceData!$O$835),"",ReferenceData!$O$835),"")</x:f>
        <x:v>0</x:v>
      </x:c>
      <x:c r="P835">
        <x:f ca="1">IFERROR(IF(0=LEN(ReferenceData!$P$835),"",ReferenceData!$P$835),"")</x:f>
        <x:v>-0.53343600000000002</x:v>
      </x:c>
      <x:c r="Q835">
        <x:f ca="1">IFERROR(IF(0=LEN(ReferenceData!$Q$835),"",ReferenceData!$Q$835),"")</x:f>
        <x:v>0</x:v>
      </x:c>
      <x:c r="R835">
        <x:f ca="1">IFERROR(IF(0=LEN(ReferenceData!$R$835),"",ReferenceData!$R$835),"")</x:f>
        <x:v>0</x:v>
      </x:c>
      <x:c r="S835">
        <x:f ca="1">IFERROR(IF(0=LEN(ReferenceData!$S$835),"",ReferenceData!$S$835),"")</x:f>
        <x:v>0</x:v>
      </x:c>
    </x:row>
    <x:row r="836" spans="1:19" x14ac:dyDescent="0.25">
      <x:c r="A836" t="str">
        <x:f>IFERROR(IF(0=LEN(ReferenceData!$A$836),"",ReferenceData!$A$836),"")</x:f>
        <x:v xml:space="preserve">            AdvisorShares Vice ETF</x:v>
      </x:c>
      <x:c r="B836" t="str">
        <x:f>IFERROR(IF(0=LEN(ReferenceData!$B$836),"",ReferenceData!$B$836),"")</x:f>
        <x:v>VICE US Equity</x:v>
      </x:c>
      <x:c r="C836" t="str">
        <x:f>IFERROR(IF(0=LEN(ReferenceData!$C$836),"",ReferenceData!$C$836),"")</x:f>
        <x:v/>
      </x:c>
      <x:c r="D836" t="str">
        <x:f>IFERROR(IF(0=LEN(ReferenceData!$D$836),"",ReferenceData!$D$836),"")</x:f>
        <x:v/>
      </x:c>
      <x:c r="E836" t="str">
        <x:f>IFERROR(IF(0=LEN(ReferenceData!$E$836),"",ReferenceData!$E$836),"")</x:f>
        <x:v>Expression</x:v>
      </x:c>
      <x:c r="F836">
        <x:f ca="1">IFERROR(IF(0=LEN(ReferenceData!$F$836),"",ReferenceData!$F$836),"")</x:f>
        <x:v>0</x:v>
      </x:c>
      <x:c r="G836">
        <x:f ca="1">IFERROR(IF(0=LEN(ReferenceData!$G$836),"",ReferenceData!$G$836),"")</x:f>
        <x:v>0</x:v>
      </x:c>
      <x:c r="H836">
        <x:f ca="1">IFERROR(IF(0=LEN(ReferenceData!$H$836),"",ReferenceData!$H$836),"")</x:f>
        <x:v>-0.90000199999999997</x:v>
      </x:c>
      <x:c r="I836">
        <x:f ca="1">IFERROR(IF(0=LEN(ReferenceData!$I$836),"",ReferenceData!$I$836),"")</x:f>
        <x:v>-0.42833700000000002</x:v>
      </x:c>
      <x:c r="J836">
        <x:f ca="1">IFERROR(IF(0=LEN(ReferenceData!$J$836),"",ReferenceData!$J$836),"")</x:f>
        <x:v>0</x:v>
      </x:c>
      <x:c r="K836">
        <x:f ca="1">IFERROR(IF(0=LEN(ReferenceData!$K$836),"",ReferenceData!$K$836),"")</x:f>
        <x:v>1.428E-3</x:v>
      </x:c>
      <x:c r="L836">
        <x:f ca="1">IFERROR(IF(0=LEN(ReferenceData!$L$836),"",ReferenceData!$L$836),"")</x:f>
        <x:v>0.27965000000000001</x:v>
      </x:c>
      <x:c r="M836">
        <x:f ca="1">IFERROR(IF(0=LEN(ReferenceData!$M$836),"",ReferenceData!$M$836),"")</x:f>
        <x:v>0.43174099999999999</x:v>
      </x:c>
      <x:c r="N836">
        <x:f ca="1">IFERROR(IF(0=LEN(ReferenceData!$N$836),"",ReferenceData!$N$836),"")</x:f>
        <x:v>0</x:v>
      </x:c>
      <x:c r="O836">
        <x:f ca="1">IFERROR(IF(0=LEN(ReferenceData!$O$836),"",ReferenceData!$O$836),"")</x:f>
        <x:v>0</x:v>
      </x:c>
      <x:c r="P836">
        <x:f ca="1">IFERROR(IF(0=LEN(ReferenceData!$P$836),"",ReferenceData!$P$836),"")</x:f>
        <x:v>0</x:v>
      </x:c>
      <x:c r="Q836">
        <x:f ca="1">IFERROR(IF(0=LEN(ReferenceData!$Q$836),"",ReferenceData!$Q$836),"")</x:f>
        <x:v>-0.53755299999999995</x:v>
      </x:c>
      <x:c r="R836">
        <x:f ca="1">IFERROR(IF(0=LEN(ReferenceData!$R$836),"",ReferenceData!$R$836),"")</x:f>
        <x:v>0</x:v>
      </x:c>
      <x:c r="S836">
        <x:f ca="1">IFERROR(IF(0=LEN(ReferenceData!$S$836),"",ReferenceData!$S$836),"")</x:f>
        <x:v>-0.24135599999999999</x:v>
      </x:c>
    </x:row>
    <x:row r="837" spans="1:19" x14ac:dyDescent="0.25">
      <x:c r="A837" t="str">
        <x:f>IFERROR(IF(0=LEN(ReferenceData!$A$837),"",ReferenceData!$A$837),"")</x:f>
        <x:v xml:space="preserve">            AdvisorShares Pure US Cannabis</x:v>
      </x:c>
      <x:c r="B837" t="str">
        <x:f>IFERROR(IF(0=LEN(ReferenceData!$B$837),"",ReferenceData!$B$837),"")</x:f>
        <x:v>MSOS US Equity</x:v>
      </x:c>
      <x:c r="C837" t="str">
        <x:f>IFERROR(IF(0=LEN(ReferenceData!$C$837),"",ReferenceData!$C$837),"")</x:f>
        <x:v/>
      </x:c>
      <x:c r="D837" t="str">
        <x:f>IFERROR(IF(0=LEN(ReferenceData!$D$837),"",ReferenceData!$D$837),"")</x:f>
        <x:v/>
      </x:c>
      <x:c r="E837" t="str">
        <x:f>IFERROR(IF(0=LEN(ReferenceData!$E$837),"",ReferenceData!$E$837),"")</x:f>
        <x:v>Expression</x:v>
      </x:c>
      <x:c r="F837">
        <x:f ca="1">IFERROR(IF(0=LEN(ReferenceData!$F$837),"",ReferenceData!$F$837),"")</x:f>
        <x:v>-1.3144849999999999</x:v>
      </x:c>
      <x:c r="G837">
        <x:f ca="1">IFERROR(IF(0=LEN(ReferenceData!$G$837),"",ReferenceData!$G$837),"")</x:f>
        <x:v>59.309980000000003</x:v>
      </x:c>
      <x:c r="H837">
        <x:f ca="1">IFERROR(IF(0=LEN(ReferenceData!$H$837),"",ReferenceData!$H$837),"")</x:f>
        <x:v>45.457476999999997</x:v>
      </x:c>
      <x:c r="I837">
        <x:f ca="1">IFERROR(IF(0=LEN(ReferenceData!$I$837),"",ReferenceData!$I$837),"")</x:f>
        <x:v>20.894870000000001</x:v>
      </x:c>
      <x:c r="J837">
        <x:f ca="1">IFERROR(IF(0=LEN(ReferenceData!$J$837),"",ReferenceData!$J$837),"")</x:f>
        <x:v>11.702921</x:v>
      </x:c>
      <x:c r="K837">
        <x:f ca="1">IFERROR(IF(0=LEN(ReferenceData!$K$837),"",ReferenceData!$K$837),"")</x:f>
        <x:v>5.5464349999999998</x:v>
      </x:c>
      <x:c r="L837">
        <x:f ca="1">IFERROR(IF(0=LEN(ReferenceData!$L$837),"",ReferenceData!$L$837),"")</x:f>
        <x:v>10.205985</x:v>
      </x:c>
      <x:c r="M837">
        <x:f ca="1">IFERROR(IF(0=LEN(ReferenceData!$M$837),"",ReferenceData!$M$837),"")</x:f>
        <x:v>1.6662809999999999</x:v>
      </x:c>
      <x:c r="N837">
        <x:f ca="1">IFERROR(IF(0=LEN(ReferenceData!$N$837),"",ReferenceData!$N$837),"")</x:f>
        <x:v>-3.1768839999999998</x:v>
      </x:c>
      <x:c r="O837">
        <x:f ca="1">IFERROR(IF(0=LEN(ReferenceData!$O$837),"",ReferenceData!$O$837),"")</x:f>
        <x:v>3.102293</x:v>
      </x:c>
      <x:c r="P837">
        <x:f ca="1">IFERROR(IF(0=LEN(ReferenceData!$P$837),"",ReferenceData!$P$837),"")</x:f>
        <x:v>-21.722391999999999</x:v>
      </x:c>
      <x:c r="Q837">
        <x:f ca="1">IFERROR(IF(0=LEN(ReferenceData!$Q$837),"",ReferenceData!$Q$837),"")</x:f>
        <x:v>3.2176070000000001</x:v>
      </x:c>
      <x:c r="R837">
        <x:f ca="1">IFERROR(IF(0=LEN(ReferenceData!$R$837),"",ReferenceData!$R$837),"")</x:f>
        <x:v>61.575138000000003</x:v>
      </x:c>
      <x:c r="S837">
        <x:f ca="1">IFERROR(IF(0=LEN(ReferenceData!$S$837),"",ReferenceData!$S$837),"")</x:f>
        <x:v>50.880695000000003</x:v>
      </x:c>
    </x:row>
    <x:row r="838" spans="1:19" x14ac:dyDescent="0.25">
      <x:c r="A838" t="str">
        <x:f>IFERROR(IF(0=LEN(ReferenceData!$A$838),"",ReferenceData!$A$838),"")</x:f>
        <x:v xml:space="preserve">            ETFMG US Alternative Harvest E</x:v>
      </x:c>
      <x:c r="B838" t="str">
        <x:f>IFERROR(IF(0=LEN(ReferenceData!$B$838),"",ReferenceData!$B$838),"")</x:f>
        <x:v>MJUS US Equity</x:v>
      </x:c>
      <x:c r="C838" t="str">
        <x:f>IFERROR(IF(0=LEN(ReferenceData!$C$838),"",ReferenceData!$C$838),"")</x:f>
        <x:v/>
      </x:c>
      <x:c r="D838" t="str">
        <x:f>IFERROR(IF(0=LEN(ReferenceData!$D$838),"",ReferenceData!$D$838),"")</x:f>
        <x:v/>
      </x:c>
      <x:c r="E838" t="str">
        <x:f>IFERROR(IF(0=LEN(ReferenceData!$E$838),"",ReferenceData!$E$838),"")</x:f>
        <x:v>Expression</x:v>
      </x:c>
      <x:c r="F838">
        <x:f ca="1">IFERROR(IF(0=LEN(ReferenceData!$F$838),"",ReferenceData!$F$838),"")</x:f>
        <x:v>0</x:v>
      </x:c>
      <x:c r="G838">
        <x:f ca="1">IFERROR(IF(0=LEN(ReferenceData!$G$838),"",ReferenceData!$G$838),"")</x:f>
        <x:v>0</x:v>
      </x:c>
      <x:c r="H838">
        <x:f ca="1">IFERROR(IF(0=LEN(ReferenceData!$H$838),"",ReferenceData!$H$838),"")</x:f>
        <x:v>0.27356000000000003</x:v>
      </x:c>
      <x:c r="I838">
        <x:f ca="1">IFERROR(IF(0=LEN(ReferenceData!$I$838),"",ReferenceData!$I$838),"")</x:f>
        <x:v>-11.816224</x:v>
      </x:c>
      <x:c r="J838">
        <x:f ca="1">IFERROR(IF(0=LEN(ReferenceData!$J$838),"",ReferenceData!$J$838),"")</x:f>
        <x:v>0.32749200000000001</x:v>
      </x:c>
      <x:c r="K838">
        <x:f ca="1">IFERROR(IF(0=LEN(ReferenceData!$K$838),"",ReferenceData!$K$838),"")</x:f>
        <x:v>0.33354699999999998</x:v>
      </x:c>
      <x:c r="L838">
        <x:f ca="1">IFERROR(IF(0=LEN(ReferenceData!$L$838),"",ReferenceData!$L$838),"")</x:f>
        <x:v>-6.3497849999999998</x:v>
      </x:c>
      <x:c r="M838">
        <x:f ca="1">IFERROR(IF(0=LEN(ReferenceData!$M$838),"",ReferenceData!$M$838),"")</x:f>
        <x:v>1.23031</x:v>
      </x:c>
      <x:c r="N838">
        <x:f ca="1">IFERROR(IF(0=LEN(ReferenceData!$N$838),"",ReferenceData!$N$838),"")</x:f>
        <x:v>57.000639999999997</x:v>
      </x:c>
      <x:c r="O838">
        <x:f ca="1">IFERROR(IF(0=LEN(ReferenceData!$O$838),"",ReferenceData!$O$838),"")</x:f>
        <x:v>26.001345000000001</x:v>
      </x:c>
      <x:c r="P838">
        <x:f ca="1">IFERROR(IF(0=LEN(ReferenceData!$P$838),"",ReferenceData!$P$838),"")</x:f>
        <x:v>2.5930149999999998</x:v>
      </x:c>
      <x:c r="Q838">
        <x:f ca="1">IFERROR(IF(0=LEN(ReferenceData!$Q$838),"",ReferenceData!$Q$838),"")</x:f>
        <x:v>0.57575500000000002</x:v>
      </x:c>
      <x:c r="R838">
        <x:f ca="1">IFERROR(IF(0=LEN(ReferenceData!$R$838),"",ReferenceData!$R$838),"")</x:f>
        <x:v>-9.2950859999999995</x:v>
      </x:c>
      <x:c r="S838">
        <x:f ca="1">IFERROR(IF(0=LEN(ReferenceData!$S$838),"",ReferenceData!$S$838),"")</x:f>
        <x:v>2.3524799999999999</x:v>
      </x:c>
    </x:row>
    <x:row r="839" spans="1:19" x14ac:dyDescent="0.25">
      <x:c r="A839" t="str">
        <x:f>IFERROR(IF(0=LEN(ReferenceData!$A$839),"",ReferenceData!$A$839),"")</x:f>
        <x:v xml:space="preserve">            ETFMG 2X Daily Alternative Har</x:v>
      </x:c>
      <x:c r="B839" t="str">
        <x:f>IFERROR(IF(0=LEN(ReferenceData!$B$839),"",ReferenceData!$B$839),"")</x:f>
        <x:v>MJXL US Equity</x:v>
      </x:c>
      <x:c r="C839" t="str">
        <x:f>IFERROR(IF(0=LEN(ReferenceData!$C$839),"",ReferenceData!$C$839),"")</x:f>
        <x:v/>
      </x:c>
      <x:c r="D839" t="str">
        <x:f>IFERROR(IF(0=LEN(ReferenceData!$D$839),"",ReferenceData!$D$839),"")</x:f>
        <x:v/>
      </x:c>
      <x:c r="E839" t="str">
        <x:f>IFERROR(IF(0=LEN(ReferenceData!$E$839),"",ReferenceData!$E$839),"")</x:f>
        <x:v>Expression</x:v>
      </x:c>
      <x:c r="F839" t="str">
        <x:f ca="1">IFERROR(IF(0=LEN(ReferenceData!$F$839),"",ReferenceData!$F$839),"")</x:f>
        <x:v/>
      </x:c>
      <x:c r="G839" t="str">
        <x:f ca="1">IFERROR(IF(0=LEN(ReferenceData!$G$839),"",ReferenceData!$G$839),"")</x:f>
        <x:v/>
      </x:c>
      <x:c r="H839" t="str">
        <x:f ca="1">IFERROR(IF(0=LEN(ReferenceData!$H$839),"",ReferenceData!$H$839),"")</x:f>
        <x:v/>
      </x:c>
      <x:c r="I839" t="str">
        <x:f ca="1">IFERROR(IF(0=LEN(ReferenceData!$I$839),"",ReferenceData!$I$839),"")</x:f>
        <x:v/>
      </x:c>
      <x:c r="J839" t="str">
        <x:f ca="1">IFERROR(IF(0=LEN(ReferenceData!$J$839),"",ReferenceData!$J$839),"")</x:f>
        <x:v/>
      </x:c>
      <x:c r="K839" t="str">
        <x:f ca="1">IFERROR(IF(0=LEN(ReferenceData!$K$839),"",ReferenceData!$K$839),"")</x:f>
        <x:v/>
      </x:c>
      <x:c r="L839" t="str">
        <x:f ca="1">IFERROR(IF(0=LEN(ReferenceData!$L$839),"",ReferenceData!$L$839),"")</x:f>
        <x:v/>
      </x:c>
      <x:c r="M839" t="str">
        <x:f ca="1">IFERROR(IF(0=LEN(ReferenceData!$M$839),"",ReferenceData!$M$839),"")</x:f>
        <x:v/>
      </x:c>
      <x:c r="N839" t="str">
        <x:f ca="1">IFERROR(IF(0=LEN(ReferenceData!$N$839),"",ReferenceData!$N$839),"")</x:f>
        <x:v/>
      </x:c>
      <x:c r="O839" t="str">
        <x:f ca="1">IFERROR(IF(0=LEN(ReferenceData!$O$839),"",ReferenceData!$O$839),"")</x:f>
        <x:v/>
      </x:c>
      <x:c r="P839" t="str">
        <x:f ca="1">IFERROR(IF(0=LEN(ReferenceData!$P$839),"",ReferenceData!$P$839),"")</x:f>
        <x:v/>
      </x:c>
      <x:c r="Q839">
        <x:f ca="1">IFERROR(IF(0=LEN(ReferenceData!$Q$839),"",ReferenceData!$Q$839),"")</x:f>
        <x:v>3.7547999999999998E-2</x:v>
      </x:c>
      <x:c r="R839">
        <x:f ca="1">IFERROR(IF(0=LEN(ReferenceData!$R$839),"",ReferenceData!$R$839),"")</x:f>
        <x:v>5.6590000000000001E-2</x:v>
      </x:c>
      <x:c r="S839">
        <x:f ca="1">IFERROR(IF(0=LEN(ReferenceData!$S$839),"",ReferenceData!$S$839),"")</x:f>
        <x:v>2.8164000000000002E-2</x:v>
      </x:c>
    </x:row>
    <x:row r="840" spans="1:19" x14ac:dyDescent="0.25">
      <x:c r="A840" t="str">
        <x:f>IFERROR(IF(0=LEN(ReferenceData!$A$840),"",ReferenceData!$A$840),"")</x:f>
        <x:v xml:space="preserve">            Defiance Next Gen Altered Expe</x:v>
      </x:c>
      <x:c r="B840" t="str">
        <x:f>IFERROR(IF(0=LEN(ReferenceData!$B$840),"",ReferenceData!$B$840),"")</x:f>
        <x:v>PSY US Equity</x:v>
      </x:c>
      <x:c r="C840" t="str">
        <x:f>IFERROR(IF(0=LEN(ReferenceData!$C$840),"",ReferenceData!$C$840),"")</x:f>
        <x:v/>
      </x:c>
      <x:c r="D840" t="str">
        <x:f>IFERROR(IF(0=LEN(ReferenceData!$D$840),"",ReferenceData!$D$840),"")</x:f>
        <x:v/>
      </x:c>
      <x:c r="E840" t="str">
        <x:f>IFERROR(IF(0=LEN(ReferenceData!$E$840),"",ReferenceData!$E$840),"")</x:f>
        <x:v>Expression</x:v>
      </x:c>
      <x:c r="F840" t="str">
        <x:f ca="1">IFERROR(IF(0=LEN(ReferenceData!$F$840),"",ReferenceData!$F$840),"")</x:f>
        <x:v/>
      </x:c>
      <x:c r="G840" t="str">
        <x:f ca="1">IFERROR(IF(0=LEN(ReferenceData!$G$840),"",ReferenceData!$G$840),"")</x:f>
        <x:v/>
      </x:c>
      <x:c r="H840" t="str">
        <x:f ca="1">IFERROR(IF(0=LEN(ReferenceData!$H$840),"",ReferenceData!$H$840),"")</x:f>
        <x:v/>
      </x:c>
      <x:c r="I840" t="str">
        <x:f ca="1">IFERROR(IF(0=LEN(ReferenceData!$I$840),"",ReferenceData!$I$840),"")</x:f>
        <x:v/>
      </x:c>
      <x:c r="J840" t="str">
        <x:f ca="1">IFERROR(IF(0=LEN(ReferenceData!$J$840),"",ReferenceData!$J$840),"")</x:f>
        <x:v/>
      </x:c>
      <x:c r="K840" t="str">
        <x:f ca="1">IFERROR(IF(0=LEN(ReferenceData!$K$840),"",ReferenceData!$K$840),"")</x:f>
        <x:v/>
      </x:c>
      <x:c r="L840" t="str">
        <x:f ca="1">IFERROR(IF(0=LEN(ReferenceData!$L$840),"",ReferenceData!$L$840),"")</x:f>
        <x:v/>
      </x:c>
      <x:c r="M840" t="str">
        <x:f ca="1">IFERROR(IF(0=LEN(ReferenceData!$M$840),"",ReferenceData!$M$840),"")</x:f>
        <x:v/>
      </x:c>
      <x:c r="N840" t="str">
        <x:f ca="1">IFERROR(IF(0=LEN(ReferenceData!$N$840),"",ReferenceData!$N$840),"")</x:f>
        <x:v/>
      </x:c>
      <x:c r="O840" t="str">
        <x:f ca="1">IFERROR(IF(0=LEN(ReferenceData!$O$840),"",ReferenceData!$O$840),"")</x:f>
        <x:v/>
      </x:c>
      <x:c r="P840" t="str">
        <x:f ca="1">IFERROR(IF(0=LEN(ReferenceData!$P$840),"",ReferenceData!$P$840),"")</x:f>
        <x:v/>
      </x:c>
      <x:c r="Q840" t="str">
        <x:f ca="1">IFERROR(IF(0=LEN(ReferenceData!$Q$840),"",ReferenceData!$Q$840),"")</x:f>
        <x:v/>
      </x:c>
      <x:c r="R840" t="str">
        <x:f ca="1">IFERROR(IF(0=LEN(ReferenceData!$R$840),"",ReferenceData!$R$840),"")</x:f>
        <x:v/>
      </x:c>
      <x:c r="S840" t="str">
        <x:f ca="1">IFERROR(IF(0=LEN(ReferenceData!$S$840),"",ReferenceData!$S$840),"")</x:f>
        <x:v/>
      </x:c>
    </x:row>
    <x:row r="841" spans="1:19" x14ac:dyDescent="0.25">
      <x:c r="A841" t="str">
        <x:f>IFERROR(IF(0=LEN(ReferenceData!$A$841),"",ReferenceData!$A$841),"")</x:f>
        <x:v xml:space="preserve">            Advisorshares Psychedelics ETF</x:v>
      </x:c>
      <x:c r="B841" t="str">
        <x:f>IFERROR(IF(0=LEN(ReferenceData!$B$841),"",ReferenceData!$B$841),"")</x:f>
        <x:v>PSIL US Equity</x:v>
      </x:c>
      <x:c r="C841" t="str">
        <x:f>IFERROR(IF(0=LEN(ReferenceData!$C$841),"",ReferenceData!$C$841),"")</x:f>
        <x:v/>
      </x:c>
      <x:c r="D841" t="str">
        <x:f>IFERROR(IF(0=LEN(ReferenceData!$D$841),"",ReferenceData!$D$841),"")</x:f>
        <x:v/>
      </x:c>
      <x:c r="E841" t="str">
        <x:f>IFERROR(IF(0=LEN(ReferenceData!$E$841),"",ReferenceData!$E$841),"")</x:f>
        <x:v>Expression</x:v>
      </x:c>
      <x:c r="F841">
        <x:f ca="1">IFERROR(IF(0=LEN(ReferenceData!$F$841),"",ReferenceData!$F$841),"")</x:f>
        <x:v>0</x:v>
      </x:c>
      <x:c r="G841">
        <x:f ca="1">IFERROR(IF(0=LEN(ReferenceData!$G$841),"",ReferenceData!$G$841),"")</x:f>
        <x:v>0.40612599999999999</x:v>
      </x:c>
      <x:c r="H841">
        <x:f ca="1">IFERROR(IF(0=LEN(ReferenceData!$H$841),"",ReferenceData!$H$841),"")</x:f>
        <x:v>0.278003</x:v>
      </x:c>
      <x:c r="I841">
        <x:f ca="1">IFERROR(IF(0=LEN(ReferenceData!$I$841),"",ReferenceData!$I$841),"")</x:f>
        <x:v>6.9855E-2</x:v>
      </x:c>
      <x:c r="J841">
        <x:f ca="1">IFERROR(IF(0=LEN(ReferenceData!$J$841),"",ReferenceData!$J$841),"")</x:f>
        <x:v>0.43521599999999999</x:v>
      </x:c>
      <x:c r="K841">
        <x:f ca="1">IFERROR(IF(0=LEN(ReferenceData!$K$841),"",ReferenceData!$K$841),"")</x:f>
        <x:v>0.22117700000000001</x:v>
      </x:c>
      <x:c r="L841">
        <x:f ca="1">IFERROR(IF(0=LEN(ReferenceData!$L$841),"",ReferenceData!$L$841),"")</x:f>
        <x:v>0.19356999999999999</x:v>
      </x:c>
      <x:c r="M841">
        <x:f ca="1">IFERROR(IF(0=LEN(ReferenceData!$M$841),"",ReferenceData!$M$841),"")</x:f>
        <x:v>9.6782999999999994E-2</x:v>
      </x:c>
      <x:c r="N841">
        <x:f ca="1">IFERROR(IF(0=LEN(ReferenceData!$N$841),"",ReferenceData!$N$841),"")</x:f>
        <x:v>0.15806999999999999</x:v>
      </x:c>
      <x:c r="O841">
        <x:f ca="1">IFERROR(IF(0=LEN(ReferenceData!$O$841),"",ReferenceData!$O$841),"")</x:f>
        <x:v>0.17160300000000001</x:v>
      </x:c>
      <x:c r="P841">
        <x:f ca="1">IFERROR(IF(0=LEN(ReferenceData!$P$841),"",ReferenceData!$P$841),"")</x:f>
        <x:v>0.131551</x:v>
      </x:c>
      <x:c r="Q841">
        <x:f ca="1">IFERROR(IF(0=LEN(ReferenceData!$Q$841),"",ReferenceData!$Q$841),"")</x:f>
        <x:v>3.4542999999999997E-2</x:v>
      </x:c>
      <x:c r="R841">
        <x:f ca="1">IFERROR(IF(0=LEN(ReferenceData!$R$841),"",ReferenceData!$R$841),"")</x:f>
        <x:v>0.25557999999999997</x:v>
      </x:c>
      <x:c r="S841">
        <x:f ca="1">IFERROR(IF(0=LEN(ReferenceData!$S$841),"",ReferenceData!$S$841),"")</x:f>
        <x:v>0.35393400000000003</x:v>
      </x:c>
    </x:row>
    <x:row r="842" spans="1:19" x14ac:dyDescent="0.25">
      <x:c r="A842" t="str">
        <x:f>IFERROR(IF(0=LEN(ReferenceData!$A$842),"",ReferenceData!$A$842),"")</x:f>
        <x:v xml:space="preserve">            Advisorshares Poseidon Dynamic</x:v>
      </x:c>
      <x:c r="B842" t="str">
        <x:f>IFERROR(IF(0=LEN(ReferenceData!$B$842),"",ReferenceData!$B$842),"")</x:f>
        <x:v>PSDN US Equity</x:v>
      </x:c>
      <x:c r="C842" t="str">
        <x:f>IFERROR(IF(0=LEN(ReferenceData!$C$842),"",ReferenceData!$C$842),"")</x:f>
        <x:v/>
      </x:c>
      <x:c r="D842" t="str">
        <x:f>IFERROR(IF(0=LEN(ReferenceData!$D$842),"",ReferenceData!$D$842),"")</x:f>
        <x:v/>
      </x:c>
      <x:c r="E842" t="str">
        <x:f>IFERROR(IF(0=LEN(ReferenceData!$E$842),"",ReferenceData!$E$842),"")</x:f>
        <x:v>Expression</x:v>
      </x:c>
      <x:c r="F842" t="str">
        <x:f ca="1">IFERROR(IF(0=LEN(ReferenceData!$F$842),"",ReferenceData!$F$842),"")</x:f>
        <x:v/>
      </x:c>
      <x:c r="G842" t="str">
        <x:f ca="1">IFERROR(IF(0=LEN(ReferenceData!$G$842),"",ReferenceData!$G$842),"")</x:f>
        <x:v/>
      </x:c>
      <x:c r="H842" t="str">
        <x:f ca="1">IFERROR(IF(0=LEN(ReferenceData!$H$842),"",ReferenceData!$H$842),"")</x:f>
        <x:v/>
      </x:c>
      <x:c r="I842">
        <x:f ca="1">IFERROR(IF(0=LEN(ReferenceData!$I$842),"",ReferenceData!$I$842),"")</x:f>
        <x:v>0</x:v>
      </x:c>
      <x:c r="J842">
        <x:f ca="1">IFERROR(IF(0=LEN(ReferenceData!$J$842),"",ReferenceData!$J$842),"")</x:f>
        <x:v>9.3034000000000006E-2</x:v>
      </x:c>
      <x:c r="K842">
        <x:f ca="1">IFERROR(IF(0=LEN(ReferenceData!$K$842),"",ReferenceData!$K$842),"")</x:f>
        <x:v>7.8692999999999999E-2</x:v>
      </x:c>
      <x:c r="L842">
        <x:f ca="1">IFERROR(IF(0=LEN(ReferenceData!$L$842),"",ReferenceData!$L$842),"")</x:f>
        <x:v>0</x:v>
      </x:c>
      <x:c r="M842">
        <x:f ca="1">IFERROR(IF(0=LEN(ReferenceData!$M$842),"",ReferenceData!$M$842),"")</x:f>
        <x:v>0</x:v>
      </x:c>
      <x:c r="N842">
        <x:f ca="1">IFERROR(IF(0=LEN(ReferenceData!$N$842),"",ReferenceData!$N$842),"")</x:f>
        <x:v>0.41054800000000002</x:v>
      </x:c>
      <x:c r="O842">
        <x:f ca="1">IFERROR(IF(0=LEN(ReferenceData!$O$842),"",ReferenceData!$O$842),"")</x:f>
        <x:v>0.32352999999999998</x:v>
      </x:c>
      <x:c r="P842">
        <x:f ca="1">IFERROR(IF(0=LEN(ReferenceData!$P$842),"",ReferenceData!$P$842),"")</x:f>
        <x:v>7.2170000000000003E-3</x:v>
      </x:c>
      <x:c r="Q842">
        <x:f ca="1">IFERROR(IF(0=LEN(ReferenceData!$Q$842),"",ReferenceData!$Q$842),"")</x:f>
        <x:v>0.53125699999999998</x:v>
      </x:c>
      <x:c r="R842">
        <x:f ca="1">IFERROR(IF(0=LEN(ReferenceData!$R$842),"",ReferenceData!$R$842),"")</x:f>
        <x:v>0</x:v>
      </x:c>
      <x:c r="S842">
        <x:f ca="1">IFERROR(IF(0=LEN(ReferenceData!$S$842),"",ReferenceData!$S$842),"")</x:f>
        <x:v>9.9602999999999997E-2</x:v>
      </x:c>
    </x:row>
    <x:row r="843" spans="1:19" x14ac:dyDescent="0.25">
      <x:c r="A843" t="str">
        <x:f>IFERROR(IF(0=LEN(ReferenceData!$A$843),"",ReferenceData!$A$843),"")</x:f>
        <x:v xml:space="preserve">            ETFMG 2x Daily Inverse Alterna</x:v>
      </x:c>
      <x:c r="B843" t="str">
        <x:f>IFERROR(IF(0=LEN(ReferenceData!$B$843),"",ReferenceData!$B$843),"")</x:f>
        <x:v>MJIN US Equity</x:v>
      </x:c>
      <x:c r="C843" t="str">
        <x:f>IFERROR(IF(0=LEN(ReferenceData!$C$843),"",ReferenceData!$C$843),"")</x:f>
        <x:v/>
      </x:c>
      <x:c r="D843" t="str">
        <x:f>IFERROR(IF(0=LEN(ReferenceData!$D$843),"",ReferenceData!$D$843),"")</x:f>
        <x:v/>
      </x:c>
      <x:c r="E843" t="str">
        <x:f>IFERROR(IF(0=LEN(ReferenceData!$E$843),"",ReferenceData!$E$843),"")</x:f>
        <x:v>Expression</x:v>
      </x:c>
      <x:c r="F843" t="str">
        <x:f ca="1">IFERROR(IF(0=LEN(ReferenceData!$F$843),"",ReferenceData!$F$843),"")</x:f>
        <x:v/>
      </x:c>
      <x:c r="G843" t="str">
        <x:f ca="1">IFERROR(IF(0=LEN(ReferenceData!$G$843),"",ReferenceData!$G$843),"")</x:f>
        <x:v/>
      </x:c>
      <x:c r="H843" t="str">
        <x:f ca="1">IFERROR(IF(0=LEN(ReferenceData!$H$843),"",ReferenceData!$H$843),"")</x:f>
        <x:v/>
      </x:c>
      <x:c r="I843" t="str">
        <x:f ca="1">IFERROR(IF(0=LEN(ReferenceData!$I$843),"",ReferenceData!$I$843),"")</x:f>
        <x:v/>
      </x:c>
      <x:c r="J843" t="str">
        <x:f ca="1">IFERROR(IF(0=LEN(ReferenceData!$J$843),"",ReferenceData!$J$843),"")</x:f>
        <x:v/>
      </x:c>
      <x:c r="K843" t="str">
        <x:f ca="1">IFERROR(IF(0=LEN(ReferenceData!$K$843),"",ReferenceData!$K$843),"")</x:f>
        <x:v/>
      </x:c>
      <x:c r="L843" t="str">
        <x:f ca="1">IFERROR(IF(0=LEN(ReferenceData!$L$843),"",ReferenceData!$L$843),"")</x:f>
        <x:v/>
      </x:c>
      <x:c r="M843" t="str">
        <x:f ca="1">IFERROR(IF(0=LEN(ReferenceData!$M$843),"",ReferenceData!$M$843),"")</x:f>
        <x:v/>
      </x:c>
      <x:c r="N843" t="str">
        <x:f ca="1">IFERROR(IF(0=LEN(ReferenceData!$N$843),"",ReferenceData!$N$843),"")</x:f>
        <x:v/>
      </x:c>
      <x:c r="O843" t="str">
        <x:f ca="1">IFERROR(IF(0=LEN(ReferenceData!$O$843),"",ReferenceData!$O$843),"")</x:f>
        <x:v/>
      </x:c>
      <x:c r="P843" t="str">
        <x:f ca="1">IFERROR(IF(0=LEN(ReferenceData!$P$843),"",ReferenceData!$P$843),"")</x:f>
        <x:v/>
      </x:c>
      <x:c r="Q843" t="str">
        <x:f ca="1">IFERROR(IF(0=LEN(ReferenceData!$Q$843),"",ReferenceData!$Q$843),"")</x:f>
        <x:v/>
      </x:c>
      <x:c r="R843">
        <x:f ca="1">IFERROR(IF(0=LEN(ReferenceData!$R$843),"",ReferenceData!$R$843),"")</x:f>
        <x:v>0</x:v>
      </x:c>
      <x:c r="S843">
        <x:f ca="1">IFERROR(IF(0=LEN(ReferenceData!$S$843),"",ReferenceData!$S$843),"")</x:f>
        <x:v>0</x:v>
      </x:c>
    </x:row>
    <x:row r="844" spans="1:19" x14ac:dyDescent="0.25">
      <x:c r="A844" t="str">
        <x:f>IFERROR(IF(0=LEN(ReferenceData!$A$844),"",ReferenceData!$A$844),"")</x:f>
        <x:v xml:space="preserve">            Cannabis Growth ETF</x:v>
      </x:c>
      <x:c r="B844" t="str">
        <x:f>IFERROR(IF(0=LEN(ReferenceData!$B$844),"",ReferenceData!$B$844),"")</x:f>
        <x:v>BUDX US Equity</x:v>
      </x:c>
      <x:c r="C844" t="str">
        <x:f>IFERROR(IF(0=LEN(ReferenceData!$C$844),"",ReferenceData!$C$844),"")</x:f>
        <x:v/>
      </x:c>
      <x:c r="D844" t="str">
        <x:f>IFERROR(IF(0=LEN(ReferenceData!$D$844),"",ReferenceData!$D$844),"")</x:f>
        <x:v/>
      </x:c>
      <x:c r="E844" t="str">
        <x:f>IFERROR(IF(0=LEN(ReferenceData!$E$844),"",ReferenceData!$E$844),"")</x:f>
        <x:v>Expression</x:v>
      </x:c>
      <x:c r="F844" t="str">
        <x:f ca="1">IFERROR(IF(0=LEN(ReferenceData!$F$844),"",ReferenceData!$F$844),"")</x:f>
        <x:v/>
      </x:c>
      <x:c r="G844" t="str">
        <x:f ca="1">IFERROR(IF(0=LEN(ReferenceData!$G$844),"",ReferenceData!$G$844),"")</x:f>
        <x:v/>
      </x:c>
      <x:c r="H844" t="str">
        <x:f ca="1">IFERROR(IF(0=LEN(ReferenceData!$H$844),"",ReferenceData!$H$844),"")</x:f>
        <x:v/>
      </x:c>
      <x:c r="I844" t="str">
        <x:f ca="1">IFERROR(IF(0=LEN(ReferenceData!$I$844),"",ReferenceData!$I$844),"")</x:f>
        <x:v/>
      </x:c>
      <x:c r="J844" t="str">
        <x:f ca="1">IFERROR(IF(0=LEN(ReferenceData!$J$844),"",ReferenceData!$J$844),"")</x:f>
        <x:v/>
      </x:c>
      <x:c r="K844" t="str">
        <x:f ca="1">IFERROR(IF(0=LEN(ReferenceData!$K$844),"",ReferenceData!$K$844),"")</x:f>
        <x:v/>
      </x:c>
      <x:c r="L844" t="str">
        <x:f ca="1">IFERROR(IF(0=LEN(ReferenceData!$L$844),"",ReferenceData!$L$844),"")</x:f>
        <x:v/>
      </x:c>
      <x:c r="M844" t="str">
        <x:f ca="1">IFERROR(IF(0=LEN(ReferenceData!$M$844),"",ReferenceData!$M$844),"")</x:f>
        <x:v/>
      </x:c>
      <x:c r="N844" t="str">
        <x:f ca="1">IFERROR(IF(0=LEN(ReferenceData!$N$844),"",ReferenceData!$N$844),"")</x:f>
        <x:v/>
      </x:c>
      <x:c r="O844" t="str">
        <x:f ca="1">IFERROR(IF(0=LEN(ReferenceData!$O$844),"",ReferenceData!$O$844),"")</x:f>
        <x:v/>
      </x:c>
      <x:c r="P844" t="str">
        <x:f ca="1">IFERROR(IF(0=LEN(ReferenceData!$P$844),"",ReferenceData!$P$844),"")</x:f>
        <x:v/>
      </x:c>
      <x:c r="Q844" t="str">
        <x:f ca="1">IFERROR(IF(0=LEN(ReferenceData!$Q$844),"",ReferenceData!$Q$844),"")</x:f>
        <x:v/>
      </x:c>
      <x:c r="R844" t="str">
        <x:f ca="1">IFERROR(IF(0=LEN(ReferenceData!$R$844),"",ReferenceData!$R$844),"")</x:f>
        <x:v/>
      </x:c>
      <x:c r="S844" t="str">
        <x:f ca="1">IFERROR(IF(0=LEN(ReferenceData!$S$844),"",ReferenceData!$S$844),"")</x:f>
        <x:v/>
      </x:c>
    </x:row>
    <x:row r="845" spans="1:19" x14ac:dyDescent="0.25">
      <x:c r="A845" t="str">
        <x:f>IFERROR(IF(0=LEN(ReferenceData!$A$845),"",ReferenceData!$A$845),"")</x:f>
        <x:v xml:space="preserve">            BAD ETF</x:v>
      </x:c>
      <x:c r="B845" t="str">
        <x:f>IFERROR(IF(0=LEN(ReferenceData!$B$845),"",ReferenceData!$B$845),"")</x:f>
        <x:v>BAD US Equity</x:v>
      </x:c>
      <x:c r="C845" t="str">
        <x:f>IFERROR(IF(0=LEN(ReferenceData!$C$845),"",ReferenceData!$C$845),"")</x:f>
        <x:v/>
      </x:c>
      <x:c r="D845" t="str">
        <x:f>IFERROR(IF(0=LEN(ReferenceData!$D$845),"",ReferenceData!$D$845),"")</x:f>
        <x:v/>
      </x:c>
      <x:c r="E845" t="str">
        <x:f>IFERROR(IF(0=LEN(ReferenceData!$E$845),"",ReferenceData!$E$845),"")</x:f>
        <x:v>Expression</x:v>
      </x:c>
      <x:c r="F845">
        <x:f ca="1">IFERROR(IF(0=LEN(ReferenceData!$F$845),"",ReferenceData!$F$845),"")</x:f>
        <x:v>-0.46444400000000002</x:v>
      </x:c>
      <x:c r="G845">
        <x:f ca="1">IFERROR(IF(0=LEN(ReferenceData!$G$845),"",ReferenceData!$G$845),"")</x:f>
        <x:v>0</x:v>
      </x:c>
      <x:c r="H845">
        <x:f ca="1">IFERROR(IF(0=LEN(ReferenceData!$H$845),"",ReferenceData!$H$845),"")</x:f>
        <x:v>0.271484</x:v>
      </x:c>
      <x:c r="I845">
        <x:f ca="1">IFERROR(IF(0=LEN(ReferenceData!$I$845),"",ReferenceData!$I$845),"")</x:f>
        <x:v>0</x:v>
      </x:c>
      <x:c r="J845">
        <x:f ca="1">IFERROR(IF(0=LEN(ReferenceData!$J$845),"",ReferenceData!$J$845),"")</x:f>
        <x:v>0</x:v>
      </x:c>
      <x:c r="K845">
        <x:f ca="1">IFERROR(IF(0=LEN(ReferenceData!$K$845),"",ReferenceData!$K$845),"")</x:f>
        <x:v>1.267212</x:v>
      </x:c>
      <x:c r="L845">
        <x:f ca="1">IFERROR(IF(0=LEN(ReferenceData!$L$845),"",ReferenceData!$L$845),"")</x:f>
        <x:v>0.246722</x:v>
      </x:c>
      <x:c r="M845">
        <x:f ca="1">IFERROR(IF(0=LEN(ReferenceData!$M$845),"",ReferenceData!$M$845),"")</x:f>
        <x:v>0</x:v>
      </x:c>
      <x:c r="N845">
        <x:f ca="1">IFERROR(IF(0=LEN(ReferenceData!$N$845),"",ReferenceData!$N$845),"")</x:f>
        <x:v>1.4376E-2</x:v>
      </x:c>
      <x:c r="O845">
        <x:f ca="1">IFERROR(IF(0=LEN(ReferenceData!$O$845),"",ReferenceData!$O$845),"")</x:f>
        <x:v>0</x:v>
      </x:c>
      <x:c r="P845">
        <x:f ca="1">IFERROR(IF(0=LEN(ReferenceData!$P$845),"",ReferenceData!$P$845),"")</x:f>
        <x:v>0</x:v>
      </x:c>
      <x:c r="Q845">
        <x:f ca="1">IFERROR(IF(0=LEN(ReferenceData!$Q$845),"",ReferenceData!$Q$845),"")</x:f>
        <x:v>0.27681600000000001</x:v>
      </x:c>
      <x:c r="R845">
        <x:f ca="1">IFERROR(IF(0=LEN(ReferenceData!$R$845),"",ReferenceData!$R$845),"")</x:f>
        <x:v>0</x:v>
      </x:c>
      <x:c r="S845">
        <x:f ca="1">IFERROR(IF(0=LEN(ReferenceData!$S$845),"",ReferenceData!$S$845),"")</x:f>
        <x:v>0</x:v>
      </x:c>
    </x:row>
    <x:row r="846" spans="1:19" x14ac:dyDescent="0.25">
      <x:c r="A846" t="str">
        <x:f>IFERROR(IF(0=LEN(ReferenceData!$A$846),"",ReferenceData!$A$846),"")</x:f>
        <x:v xml:space="preserve">            PSYK ETF</x:v>
      </x:c>
      <x:c r="B846" t="str">
        <x:f>IFERROR(IF(0=LEN(ReferenceData!$B$846),"",ReferenceData!$B$846),"")</x:f>
        <x:v>PSYK US Equity</x:v>
      </x:c>
      <x:c r="C846" t="str">
        <x:f>IFERROR(IF(0=LEN(ReferenceData!$C$846),"",ReferenceData!$C$846),"")</x:f>
        <x:v/>
      </x:c>
      <x:c r="D846" t="str">
        <x:f>IFERROR(IF(0=LEN(ReferenceData!$D$846),"",ReferenceData!$D$846),"")</x:f>
        <x:v/>
      </x:c>
      <x:c r="E846" t="str">
        <x:f>IFERROR(IF(0=LEN(ReferenceData!$E$846),"",ReferenceData!$E$846),"")</x:f>
        <x:v>Expression</x:v>
      </x:c>
      <x:c r="F846" t="str">
        <x:f ca="1">IFERROR(IF(0=LEN(ReferenceData!$F$846),"",ReferenceData!$F$846),"")</x:f>
        <x:v/>
      </x:c>
      <x:c r="G846" t="str">
        <x:f ca="1">IFERROR(IF(0=LEN(ReferenceData!$G$846),"",ReferenceData!$G$846),"")</x:f>
        <x:v/>
      </x:c>
      <x:c r="H846" t="str">
        <x:f ca="1">IFERROR(IF(0=LEN(ReferenceData!$H$846),"",ReferenceData!$H$846),"")</x:f>
        <x:v/>
      </x:c>
      <x:c r="I846" t="str">
        <x:f ca="1">IFERROR(IF(0=LEN(ReferenceData!$I$846),"",ReferenceData!$I$846),"")</x:f>
        <x:v/>
      </x:c>
      <x:c r="J846" t="str">
        <x:f ca="1">IFERROR(IF(0=LEN(ReferenceData!$J$846),"",ReferenceData!$J$846),"")</x:f>
        <x:v/>
      </x:c>
      <x:c r="K846" t="str">
        <x:f ca="1">IFERROR(IF(0=LEN(ReferenceData!$K$846),"",ReferenceData!$K$846),"")</x:f>
        <x:v/>
      </x:c>
      <x:c r="L846" t="str">
        <x:f ca="1">IFERROR(IF(0=LEN(ReferenceData!$L$846),"",ReferenceData!$L$846),"")</x:f>
        <x:v/>
      </x:c>
      <x:c r="M846" t="str">
        <x:f ca="1">IFERROR(IF(0=LEN(ReferenceData!$M$846),"",ReferenceData!$M$846),"")</x:f>
        <x:v/>
      </x:c>
      <x:c r="N846">
        <x:f ca="1">IFERROR(IF(0=LEN(ReferenceData!$N$846),"",ReferenceData!$N$846),"")</x:f>
        <x:v>0</x:v>
      </x:c>
      <x:c r="O846">
        <x:f ca="1">IFERROR(IF(0=LEN(ReferenceData!$O$846),"",ReferenceData!$O$846),"")</x:f>
        <x:v>0</x:v>
      </x:c>
      <x:c r="P846">
        <x:f ca="1">IFERROR(IF(0=LEN(ReferenceData!$P$846),"",ReferenceData!$P$846),"")</x:f>
        <x:v>0</x:v>
      </x:c>
      <x:c r="Q846">
        <x:f ca="1">IFERROR(IF(0=LEN(ReferenceData!$Q$846),"",ReferenceData!$Q$846),"")</x:f>
        <x:v>5.0350000000000004E-3</x:v>
      </x:c>
      <x:c r="R846">
        <x:f ca="1">IFERROR(IF(0=LEN(ReferenceData!$R$846),"",ReferenceData!$R$846),"")</x:f>
        <x:v>0</x:v>
      </x:c>
      <x:c r="S846">
        <x:f ca="1">IFERROR(IF(0=LEN(ReferenceData!$S$846),"",ReferenceData!$S$846),"")</x:f>
        <x:v>0.57497200000000004</x:v>
      </x:c>
    </x:row>
    <x:row r="847" spans="1:19" x14ac:dyDescent="0.25">
      <x:c r="A847" t="str">
        <x:f>IFERROR(IF(0=LEN(ReferenceData!$A$847),"",ReferenceData!$A$847),"")</x:f>
        <x:v xml:space="preserve">            AdvisorShares MSOS 2x Daily ET</x:v>
      </x:c>
      <x:c r="B847" t="str">
        <x:f>IFERROR(IF(0=LEN(ReferenceData!$B$847),"",ReferenceData!$B$847),"")</x:f>
        <x:v>MSOX US Equity</x:v>
      </x:c>
      <x:c r="C847" t="str">
        <x:f>IFERROR(IF(0=LEN(ReferenceData!$C$847),"",ReferenceData!$C$847),"")</x:f>
        <x:v/>
      </x:c>
      <x:c r="D847" t="str">
        <x:f>IFERROR(IF(0=LEN(ReferenceData!$D$847),"",ReferenceData!$D$847),"")</x:f>
        <x:v/>
      </x:c>
      <x:c r="E847" t="str">
        <x:f>IFERROR(IF(0=LEN(ReferenceData!$E$847),"",ReferenceData!$E$847),"")</x:f>
        <x:v>Expression</x:v>
      </x:c>
      <x:c r="F847">
        <x:f ca="1">IFERROR(IF(0=LEN(ReferenceData!$F$847),"",ReferenceData!$F$847),"")</x:f>
        <x:v>2.2884319999999998</x:v>
      </x:c>
      <x:c r="G847">
        <x:f ca="1">IFERROR(IF(0=LEN(ReferenceData!$G$847),"",ReferenceData!$G$847),"")</x:f>
        <x:v>1.8813390000000001</x:v>
      </x:c>
      <x:c r="H847">
        <x:f ca="1">IFERROR(IF(0=LEN(ReferenceData!$H$847),"",ReferenceData!$H$847),"")</x:f>
        <x:v>11.049526999999999</x:v>
      </x:c>
      <x:c r="I847">
        <x:f ca="1">IFERROR(IF(0=LEN(ReferenceData!$I$847),"",ReferenceData!$I$847),"")</x:f>
        <x:v>1.1344000000000001</x:v>
      </x:c>
      <x:c r="J847">
        <x:f ca="1">IFERROR(IF(0=LEN(ReferenceData!$J$847),"",ReferenceData!$J$847),"")</x:f>
        <x:v>2.50827</x:v>
      </x:c>
      <x:c r="K847">
        <x:f ca="1">IFERROR(IF(0=LEN(ReferenceData!$K$847),"",ReferenceData!$K$847),"")</x:f>
        <x:v>0.750193</x:v>
      </x:c>
      <x:c r="L847">
        <x:f ca="1">IFERROR(IF(0=LEN(ReferenceData!$L$847),"",ReferenceData!$L$847),"")</x:f>
        <x:v>1.6356980000000001</x:v>
      </x:c>
      <x:c r="M847">
        <x:f ca="1">IFERROR(IF(0=LEN(ReferenceData!$M$847),"",ReferenceData!$M$847),"")</x:f>
        <x:v>1.0539769999999999</x:v>
      </x:c>
      <x:c r="N847">
        <x:f ca="1">IFERROR(IF(0=LEN(ReferenceData!$N$847),"",ReferenceData!$N$847),"")</x:f>
        <x:v>1.1082369999999999</x:v>
      </x:c>
      <x:c r="O847">
        <x:f ca="1">IFERROR(IF(0=LEN(ReferenceData!$O$847),"",ReferenceData!$O$847),"")</x:f>
        <x:v>0.86359900000000001</x:v>
      </x:c>
      <x:c r="P847">
        <x:f ca="1">IFERROR(IF(0=LEN(ReferenceData!$P$847),"",ReferenceData!$P$847),"")</x:f>
        <x:v>0.28950799999999999</x:v>
      </x:c>
      <x:c r="Q847">
        <x:f ca="1">IFERROR(IF(0=LEN(ReferenceData!$Q$847),"",ReferenceData!$Q$847),"")</x:f>
        <x:v>5.3690300000000004</x:v>
      </x:c>
      <x:c r="R847">
        <x:f ca="1">IFERROR(IF(0=LEN(ReferenceData!$R$847),"",ReferenceData!$R$847),"")</x:f>
        <x:v>2.2702770000000001</x:v>
      </x:c>
      <x:c r="S847">
        <x:f ca="1">IFERROR(IF(0=LEN(ReferenceData!$S$847),"",ReferenceData!$S$847),"")</x:f>
        <x:v>2.4608850000000002</x:v>
      </x:c>
    </x:row>
    <x:row r="848" spans="1:19" x14ac:dyDescent="0.25">
      <x:c r="A848" t="str">
        <x:f>IFERROR(IF(0=LEN(ReferenceData!$A$848),"",ReferenceData!$A$848),"")</x:f>
        <x:v xml:space="preserve">            Roundhill Cannabis ETF</x:v>
      </x:c>
      <x:c r="B848" t="str">
        <x:f>IFERROR(IF(0=LEN(ReferenceData!$B$848),"",ReferenceData!$B$848),"")</x:f>
        <x:v>WEED US Equity</x:v>
      </x:c>
      <x:c r="C848" t="str">
        <x:f>IFERROR(IF(0=LEN(ReferenceData!$C$848),"",ReferenceData!$C$848),"")</x:f>
        <x:v/>
      </x:c>
      <x:c r="D848" t="str">
        <x:f>IFERROR(IF(0=LEN(ReferenceData!$D$848),"",ReferenceData!$D$848),"")</x:f>
        <x:v/>
      </x:c>
      <x:c r="E848" t="str">
        <x:f>IFERROR(IF(0=LEN(ReferenceData!$E$848),"",ReferenceData!$E$848),"")</x:f>
        <x:v>Expression</x:v>
      </x:c>
      <x:c r="F848">
        <x:f ca="1">IFERROR(IF(0=LEN(ReferenceData!$F$848),"",ReferenceData!$F$848),"")</x:f>
        <x:v>0</x:v>
      </x:c>
      <x:c r="G848">
        <x:f ca="1">IFERROR(IF(0=LEN(ReferenceData!$G$848),"",ReferenceData!$G$848),"")</x:f>
        <x:v>0</x:v>
      </x:c>
      <x:c r="H848">
        <x:f ca="1">IFERROR(IF(0=LEN(ReferenceData!$H$848),"",ReferenceData!$H$848),"")</x:f>
        <x:v>0.358072</x:v>
      </x:c>
      <x:c r="I848">
        <x:f ca="1">IFERROR(IF(0=LEN(ReferenceData!$I$848),"",ReferenceData!$I$848),"")</x:f>
        <x:v>0</x:v>
      </x:c>
      <x:c r="J848">
        <x:f ca="1">IFERROR(IF(0=LEN(ReferenceData!$J$848),"",ReferenceData!$J$848),"")</x:f>
        <x:v>0</x:v>
      </x:c>
      <x:c r="K848">
        <x:f ca="1">IFERROR(IF(0=LEN(ReferenceData!$K$848),"",ReferenceData!$K$848),"")</x:f>
        <x:v>0</x:v>
      </x:c>
      <x:c r="L848">
        <x:f ca="1">IFERROR(IF(0=LEN(ReferenceData!$L$848),"",ReferenceData!$L$848),"")</x:f>
        <x:v>0.61283299999999996</x:v>
      </x:c>
      <x:c r="M848">
        <x:f ca="1">IFERROR(IF(0=LEN(ReferenceData!$M$848),"",ReferenceData!$M$848),"")</x:f>
        <x:v>0.10485999999999999</x:v>
      </x:c>
      <x:c r="N848">
        <x:f ca="1">IFERROR(IF(0=LEN(ReferenceData!$N$848),"",ReferenceData!$N$848),"")</x:f>
        <x:v>0</x:v>
      </x:c>
      <x:c r="O848">
        <x:f ca="1">IFERROR(IF(0=LEN(ReferenceData!$O$848),"",ReferenceData!$O$848),"")</x:f>
        <x:v>0</x:v>
      </x:c>
      <x:c r="P848">
        <x:f ca="1">IFERROR(IF(0=LEN(ReferenceData!$P$848),"",ReferenceData!$P$848),"")</x:f>
        <x:v>0.44054300000000002</x:v>
      </x:c>
      <x:c r="Q848">
        <x:f ca="1">IFERROR(IF(0=LEN(ReferenceData!$Q$848),"",ReferenceData!$Q$848),"")</x:f>
        <x:v>0.14044000000000001</x:v>
      </x:c>
      <x:c r="R848">
        <x:f ca="1">IFERROR(IF(0=LEN(ReferenceData!$R$848),"",ReferenceData!$R$848),"")</x:f>
        <x:v>0</x:v>
      </x:c>
      <x:c r="S848">
        <x:f ca="1">IFERROR(IF(0=LEN(ReferenceData!$S$848),"",ReferenceData!$S$848),"")</x:f>
        <x:v>0.40297500000000003</x:v>
      </x:c>
    </x:row>
    <x:row r="849" spans="1:19" x14ac:dyDescent="0.25">
      <x:c r="A849" t="str">
        <x:f>IFERROR(IF(0=LEN(ReferenceData!$A$849),"",ReferenceData!$A$849),"")</x:f>
        <x:v xml:space="preserve">        Consumer</x:v>
      </x:c>
      <x:c r="B849" t="str">
        <x:f>IFERROR(IF(0=LEN(ReferenceData!$B$849),"",ReferenceData!$B$849),"")</x:f>
        <x:v/>
      </x:c>
      <x:c r="C849" t="str">
        <x:f>IFERROR(IF(0=LEN(ReferenceData!$C$849),"",ReferenceData!$C$849),"")</x:f>
        <x:v/>
      </x:c>
      <x:c r="D849" t="str">
        <x:f>IFERROR(IF(0=LEN(ReferenceData!$D$849),"",ReferenceData!$D$849),"")</x:f>
        <x:v/>
      </x:c>
      <x:c r="E849" t="str">
        <x:f>IFERROR(IF(0=LEN(ReferenceData!$E$849),"",ReferenceData!$E$849),"")</x:f>
        <x:v>Sum</x:v>
      </x:c>
      <x:c r="F849">
        <x:f ca="1">IFERROR(IF(0=LEN(ReferenceData!$F$849),"",ReferenceData!$F$849),"")</x:f>
        <x:v>-92.668408000000014</x:v>
      </x:c>
      <x:c r="G849">
        <x:f ca="1">IFERROR(IF(0=LEN(ReferenceData!$G$849),"",ReferenceData!$G$849),"")</x:f>
        <x:v>-2.2110629999999993</x:v>
      </x:c>
      <x:c r="H849">
        <x:f ca="1">IFERROR(IF(0=LEN(ReferenceData!$H$849),"",ReferenceData!$H$849),"")</x:f>
        <x:v>-7.3605969999999985</x:v>
      </x:c>
      <x:c r="I849">
        <x:f ca="1">IFERROR(IF(0=LEN(ReferenceData!$I$849),"",ReferenceData!$I$849),"")</x:f>
        <x:v>-16.702311000000002</x:v>
      </x:c>
      <x:c r="J849">
        <x:f ca="1">IFERROR(IF(0=LEN(ReferenceData!$J$849),"",ReferenceData!$J$849),"")</x:f>
        <x:v>44.787393000000009</x:v>
      </x:c>
      <x:c r="K849">
        <x:f ca="1">IFERROR(IF(0=LEN(ReferenceData!$K$849),"",ReferenceData!$K$849),"")</x:f>
        <x:v>-47.799282000000005</x:v>
      </x:c>
      <x:c r="L849">
        <x:f ca="1">IFERROR(IF(0=LEN(ReferenceData!$L$849),"",ReferenceData!$L$849),"")</x:f>
        <x:v>-15.586086</x:v>
      </x:c>
      <x:c r="M849">
        <x:f ca="1">IFERROR(IF(0=LEN(ReferenceData!$M$849),"",ReferenceData!$M$849),"")</x:f>
        <x:v>-4.5876669999999988</x:v>
      </x:c>
      <x:c r="N849">
        <x:f ca="1">IFERROR(IF(0=LEN(ReferenceData!$N$849),"",ReferenceData!$N$849),"")</x:f>
        <x:v>25.370228000000001</x:v>
      </x:c>
      <x:c r="O849">
        <x:f ca="1">IFERROR(IF(0=LEN(ReferenceData!$O$849),"",ReferenceData!$O$849),"")</x:f>
        <x:v>-30.333984000000004</x:v>
      </x:c>
      <x:c r="P849">
        <x:f ca="1">IFERROR(IF(0=LEN(ReferenceData!$P$849),"",ReferenceData!$P$849),"")</x:f>
        <x:v>5.9351170000000018</x:v>
      </x:c>
      <x:c r="Q849">
        <x:f ca="1">IFERROR(IF(0=LEN(ReferenceData!$Q$849),"",ReferenceData!$Q$849),"")</x:f>
        <x:v>24.391849999999998</x:v>
      </x:c>
      <x:c r="R849">
        <x:f ca="1">IFERROR(IF(0=LEN(ReferenceData!$R$849),"",ReferenceData!$R$849),"")</x:f>
        <x:v>-11.102916</x:v>
      </x:c>
      <x:c r="S849">
        <x:f ca="1">IFERROR(IF(0=LEN(ReferenceData!$S$849),"",ReferenceData!$S$849),"")</x:f>
        <x:v>-30.368023999999998</x:v>
      </x:c>
    </x:row>
    <x:row r="850" spans="1:19" x14ac:dyDescent="0.25">
      <x:c r="A850" t="str">
        <x:f>IFERROR(IF(0=LEN(ReferenceData!$A$850),"",ReferenceData!$A$850),"")</x:f>
        <x:v xml:space="preserve">            IQ Global Agribusiness Small C</x:v>
      </x:c>
      <x:c r="B850" t="str">
        <x:f>IFERROR(IF(0=LEN(ReferenceData!$B$850),"",ReferenceData!$B$850),"")</x:f>
        <x:v>CROP US Equity</x:v>
      </x:c>
      <x:c r="C850" t="str">
        <x:f>IFERROR(IF(0=LEN(ReferenceData!$C$850),"",ReferenceData!$C$850),"")</x:f>
        <x:v/>
      </x:c>
      <x:c r="D850" t="str">
        <x:f>IFERROR(IF(0=LEN(ReferenceData!$D$850),"",ReferenceData!$D$850),"")</x:f>
        <x:v/>
      </x:c>
      <x:c r="E850" t="str">
        <x:f>IFERROR(IF(0=LEN(ReferenceData!$E$850),"",ReferenceData!$E$850),"")</x:f>
        <x:v>Expression</x:v>
      </x:c>
      <x:c r="F850" t="str">
        <x:f ca="1">IFERROR(IF(0=LEN(ReferenceData!$F$850),"",ReferenceData!$F$850),"")</x:f>
        <x:v/>
      </x:c>
      <x:c r="G850" t="str">
        <x:f ca="1">IFERROR(IF(0=LEN(ReferenceData!$G$850),"",ReferenceData!$G$850),"")</x:f>
        <x:v/>
      </x:c>
      <x:c r="H850" t="str">
        <x:f ca="1">IFERROR(IF(0=LEN(ReferenceData!$H$850),"",ReferenceData!$H$850),"")</x:f>
        <x:v/>
      </x:c>
      <x:c r="I850" t="str">
        <x:f ca="1">IFERROR(IF(0=LEN(ReferenceData!$I$850),"",ReferenceData!$I$850),"")</x:f>
        <x:v/>
      </x:c>
      <x:c r="J850" t="str">
        <x:f ca="1">IFERROR(IF(0=LEN(ReferenceData!$J$850),"",ReferenceData!$J$850),"")</x:f>
        <x:v/>
      </x:c>
      <x:c r="K850" t="str">
        <x:f ca="1">IFERROR(IF(0=LEN(ReferenceData!$K$850),"",ReferenceData!$K$850),"")</x:f>
        <x:v/>
      </x:c>
      <x:c r="L850" t="str">
        <x:f ca="1">IFERROR(IF(0=LEN(ReferenceData!$L$850),"",ReferenceData!$L$850),"")</x:f>
        <x:v/>
      </x:c>
      <x:c r="M850" t="str">
        <x:f ca="1">IFERROR(IF(0=LEN(ReferenceData!$M$850),"",ReferenceData!$M$850),"")</x:f>
        <x:v/>
      </x:c>
      <x:c r="N850" t="str">
        <x:f ca="1">IFERROR(IF(0=LEN(ReferenceData!$N$850),"",ReferenceData!$N$850),"")</x:f>
        <x:v/>
      </x:c>
      <x:c r="O850" t="str">
        <x:f ca="1">IFERROR(IF(0=LEN(ReferenceData!$O$850),"",ReferenceData!$O$850),"")</x:f>
        <x:v/>
      </x:c>
      <x:c r="P850" t="str">
        <x:f ca="1">IFERROR(IF(0=LEN(ReferenceData!$P$850),"",ReferenceData!$P$850),"")</x:f>
        <x:v/>
      </x:c>
      <x:c r="Q850" t="str">
        <x:f ca="1">IFERROR(IF(0=LEN(ReferenceData!$Q$850),"",ReferenceData!$Q$850),"")</x:f>
        <x:v/>
      </x:c>
      <x:c r="R850" t="str">
        <x:f ca="1">IFERROR(IF(0=LEN(ReferenceData!$R$850),"",ReferenceData!$R$850),"")</x:f>
        <x:v/>
      </x:c>
      <x:c r="S850" t="str">
        <x:f ca="1">IFERROR(IF(0=LEN(ReferenceData!$S$850),"",ReferenceData!$S$850),"")</x:f>
        <x:v/>
      </x:c>
    </x:row>
    <x:row r="851" spans="1:19" x14ac:dyDescent="0.25">
      <x:c r="A851" t="str">
        <x:f>IFERROR(IF(0=LEN(ReferenceData!$A$851),"",ReferenceData!$A$851),"")</x:f>
        <x:v xml:space="preserve">            Global X Iconic US Brands ETF</x:v>
      </x:c>
      <x:c r="B851" t="str">
        <x:f>IFERROR(IF(0=LEN(ReferenceData!$B$851),"",ReferenceData!$B$851),"")</x:f>
        <x:v>LOGO US Equity</x:v>
      </x:c>
      <x:c r="C851" t="str">
        <x:f>IFERROR(IF(0=LEN(ReferenceData!$C$851),"",ReferenceData!$C$851),"")</x:f>
        <x:v/>
      </x:c>
      <x:c r="D851" t="str">
        <x:f>IFERROR(IF(0=LEN(ReferenceData!$D$851),"",ReferenceData!$D$851),"")</x:f>
        <x:v/>
      </x:c>
      <x:c r="E851" t="str">
        <x:f>IFERROR(IF(0=LEN(ReferenceData!$E$851),"",ReferenceData!$E$851),"")</x:f>
        <x:v>Expression</x:v>
      </x:c>
      <x:c r="F851" t="str">
        <x:f ca="1">IFERROR(IF(0=LEN(ReferenceData!$F$851),"",ReferenceData!$F$851),"")</x:f>
        <x:v/>
      </x:c>
      <x:c r="G851" t="str">
        <x:f ca="1">IFERROR(IF(0=LEN(ReferenceData!$G$851),"",ReferenceData!$G$851),"")</x:f>
        <x:v/>
      </x:c>
      <x:c r="H851" t="str">
        <x:f ca="1">IFERROR(IF(0=LEN(ReferenceData!$H$851),"",ReferenceData!$H$851),"")</x:f>
        <x:v/>
      </x:c>
      <x:c r="I851" t="str">
        <x:f ca="1">IFERROR(IF(0=LEN(ReferenceData!$I$851),"",ReferenceData!$I$851),"")</x:f>
        <x:v/>
      </x:c>
      <x:c r="J851" t="str">
        <x:f ca="1">IFERROR(IF(0=LEN(ReferenceData!$J$851),"",ReferenceData!$J$851),"")</x:f>
        <x:v/>
      </x:c>
      <x:c r="K851" t="str">
        <x:f ca="1">IFERROR(IF(0=LEN(ReferenceData!$K$851),"",ReferenceData!$K$851),"")</x:f>
        <x:v/>
      </x:c>
      <x:c r="L851" t="str">
        <x:f ca="1">IFERROR(IF(0=LEN(ReferenceData!$L$851),"",ReferenceData!$L$851),"")</x:f>
        <x:v/>
      </x:c>
      <x:c r="M851" t="str">
        <x:f ca="1">IFERROR(IF(0=LEN(ReferenceData!$M$851),"",ReferenceData!$M$851),"")</x:f>
        <x:v/>
      </x:c>
      <x:c r="N851" t="str">
        <x:f ca="1">IFERROR(IF(0=LEN(ReferenceData!$N$851),"",ReferenceData!$N$851),"")</x:f>
        <x:v/>
      </x:c>
      <x:c r="O851" t="str">
        <x:f ca="1">IFERROR(IF(0=LEN(ReferenceData!$O$851),"",ReferenceData!$O$851),"")</x:f>
        <x:v/>
      </x:c>
      <x:c r="P851" t="str">
        <x:f ca="1">IFERROR(IF(0=LEN(ReferenceData!$P$851),"",ReferenceData!$P$851),"")</x:f>
        <x:v/>
      </x:c>
      <x:c r="Q851" t="str">
        <x:f ca="1">IFERROR(IF(0=LEN(ReferenceData!$Q$851),"",ReferenceData!$Q$851),"")</x:f>
        <x:v/>
      </x:c>
      <x:c r="R851" t="str">
        <x:f ca="1">IFERROR(IF(0=LEN(ReferenceData!$R$851),"",ReferenceData!$R$851),"")</x:f>
        <x:v/>
      </x:c>
      <x:c r="S851" t="str">
        <x:f ca="1">IFERROR(IF(0=LEN(ReferenceData!$S$851),"",ReferenceData!$S$851),"")</x:f>
        <x:v/>
      </x:c>
    </x:row>
    <x:row r="852" spans="1:19" x14ac:dyDescent="0.25">
      <x:c r="A852" t="str">
        <x:f>IFERROR(IF(0=LEN(ReferenceData!$A$852),"",ReferenceData!$A$852),"")</x:f>
        <x:v xml:space="preserve">            The Organics ETF</x:v>
      </x:c>
      <x:c r="B852" t="str">
        <x:f>IFERROR(IF(0=LEN(ReferenceData!$B$852),"",ReferenceData!$B$852),"")</x:f>
        <x:v>ORG US Equity</x:v>
      </x:c>
      <x:c r="C852" t="str">
        <x:f>IFERROR(IF(0=LEN(ReferenceData!$C$852),"",ReferenceData!$C$852),"")</x:f>
        <x:v/>
      </x:c>
      <x:c r="D852" t="str">
        <x:f>IFERROR(IF(0=LEN(ReferenceData!$D$852),"",ReferenceData!$D$852),"")</x:f>
        <x:v/>
      </x:c>
      <x:c r="E852" t="str">
        <x:f>IFERROR(IF(0=LEN(ReferenceData!$E$852),"",ReferenceData!$E$852),"")</x:f>
        <x:v>Expression</x:v>
      </x:c>
      <x:c r="F852" t="str">
        <x:f ca="1">IFERROR(IF(0=LEN(ReferenceData!$F$852),"",ReferenceData!$F$852),"")</x:f>
        <x:v/>
      </x:c>
      <x:c r="G852" t="str">
        <x:f ca="1">IFERROR(IF(0=LEN(ReferenceData!$G$852),"",ReferenceData!$G$852),"")</x:f>
        <x:v/>
      </x:c>
      <x:c r="H852" t="str">
        <x:f ca="1">IFERROR(IF(0=LEN(ReferenceData!$H$852),"",ReferenceData!$H$852),"")</x:f>
        <x:v/>
      </x:c>
      <x:c r="I852" t="str">
        <x:f ca="1">IFERROR(IF(0=LEN(ReferenceData!$I$852),"",ReferenceData!$I$852),"")</x:f>
        <x:v/>
      </x:c>
      <x:c r="J852" t="str">
        <x:f ca="1">IFERROR(IF(0=LEN(ReferenceData!$J$852),"",ReferenceData!$J$852),"")</x:f>
        <x:v/>
      </x:c>
      <x:c r="K852" t="str">
        <x:f ca="1">IFERROR(IF(0=LEN(ReferenceData!$K$852),"",ReferenceData!$K$852),"")</x:f>
        <x:v/>
      </x:c>
      <x:c r="L852" t="str">
        <x:f ca="1">IFERROR(IF(0=LEN(ReferenceData!$L$852),"",ReferenceData!$L$852),"")</x:f>
        <x:v/>
      </x:c>
      <x:c r="M852" t="str">
        <x:f ca="1">IFERROR(IF(0=LEN(ReferenceData!$M$852),"",ReferenceData!$M$852),"")</x:f>
        <x:v/>
      </x:c>
      <x:c r="N852" t="str">
        <x:f ca="1">IFERROR(IF(0=LEN(ReferenceData!$N$852),"",ReferenceData!$N$852),"")</x:f>
        <x:v/>
      </x:c>
      <x:c r="O852" t="str">
        <x:f ca="1">IFERROR(IF(0=LEN(ReferenceData!$O$852),"",ReferenceData!$O$852),"")</x:f>
        <x:v/>
      </x:c>
      <x:c r="P852" t="str">
        <x:f ca="1">IFERROR(IF(0=LEN(ReferenceData!$P$852),"",ReferenceData!$P$852),"")</x:f>
        <x:v/>
      </x:c>
      <x:c r="Q852" t="str">
        <x:f ca="1">IFERROR(IF(0=LEN(ReferenceData!$Q$852),"",ReferenceData!$Q$852),"")</x:f>
        <x:v/>
      </x:c>
      <x:c r="R852" t="str">
        <x:f ca="1">IFERROR(IF(0=LEN(ReferenceData!$R$852),"",ReferenceData!$R$852),"")</x:f>
        <x:v/>
      </x:c>
      <x:c r="S852" t="str">
        <x:f ca="1">IFERROR(IF(0=LEN(ReferenceData!$S$852),"",ReferenceData!$S$852),"")</x:f>
        <x:v/>
      </x:c>
    </x:row>
    <x:row r="853" spans="1:19" x14ac:dyDescent="0.25">
      <x:c r="A853" t="str">
        <x:f>IFERROR(IF(0=LEN(ReferenceData!$A$853),"",ReferenceData!$A$853),"")</x:f>
        <x:v xml:space="preserve">            Proshares Online Retail ETF</x:v>
      </x:c>
      <x:c r="B853" t="str">
        <x:f>IFERROR(IF(0=LEN(ReferenceData!$B$853),"",ReferenceData!$B$853),"")</x:f>
        <x:v>ONLN US Equity</x:v>
      </x:c>
      <x:c r="C853" t="str">
        <x:f>IFERROR(IF(0=LEN(ReferenceData!$C$853),"",ReferenceData!$C$853),"")</x:f>
        <x:v/>
      </x:c>
      <x:c r="D853" t="str">
        <x:f>IFERROR(IF(0=LEN(ReferenceData!$D$853),"",ReferenceData!$D$853),"")</x:f>
        <x:v/>
      </x:c>
      <x:c r="E853" t="str">
        <x:f>IFERROR(IF(0=LEN(ReferenceData!$E$853),"",ReferenceData!$E$853),"")</x:f>
        <x:v>Expression</x:v>
      </x:c>
      <x:c r="F853">
        <x:f ca="1">IFERROR(IF(0=LEN(ReferenceData!$F$853),"",ReferenceData!$F$853),"")</x:f>
        <x:v>0.94045199999999995</x:v>
      </x:c>
      <x:c r="G853">
        <x:f ca="1">IFERROR(IF(0=LEN(ReferenceData!$G$853),"",ReferenceData!$G$853),"")</x:f>
        <x:v>2.7413319999999999</x:v>
      </x:c>
      <x:c r="H853">
        <x:f ca="1">IFERROR(IF(0=LEN(ReferenceData!$H$853),"",ReferenceData!$H$853),"")</x:f>
        <x:v>-2.2441900000000001</x:v>
      </x:c>
      <x:c r="I853">
        <x:f ca="1">IFERROR(IF(0=LEN(ReferenceData!$I$853),"",ReferenceData!$I$853),"")</x:f>
        <x:v>-2.826311</x:v>
      </x:c>
      <x:c r="J853">
        <x:f ca="1">IFERROR(IF(0=LEN(ReferenceData!$J$853),"",ReferenceData!$J$853),"")</x:f>
        <x:v>-1.0248900000000001</x:v>
      </x:c>
      <x:c r="K853">
        <x:f ca="1">IFERROR(IF(0=LEN(ReferenceData!$K$853),"",ReferenceData!$K$853),"")</x:f>
        <x:v>-2.9518230000000001</x:v>
      </x:c>
      <x:c r="L853">
        <x:f ca="1">IFERROR(IF(0=LEN(ReferenceData!$L$853),"",ReferenceData!$L$853),"")</x:f>
        <x:v>-2.1362009999999998</x:v>
      </x:c>
      <x:c r="M853">
        <x:f ca="1">IFERROR(IF(0=LEN(ReferenceData!$M$853),"",ReferenceData!$M$853),"")</x:f>
        <x:v>-2.9922979999999999</x:v>
      </x:c>
      <x:c r="N853">
        <x:f ca="1">IFERROR(IF(0=LEN(ReferenceData!$N$853),"",ReferenceData!$N$853),"")</x:f>
        <x:v>-2.7031480000000001</x:v>
      </x:c>
      <x:c r="O853">
        <x:f ca="1">IFERROR(IF(0=LEN(ReferenceData!$O$853),"",ReferenceData!$O$853),"")</x:f>
        <x:v>-33.037339000000003</x:v>
      </x:c>
      <x:c r="P853">
        <x:f ca="1">IFERROR(IF(0=LEN(ReferenceData!$P$853),"",ReferenceData!$P$853),"")</x:f>
        <x:v>13.774278000000001</x:v>
      </x:c>
      <x:c r="Q853">
        <x:f ca="1">IFERROR(IF(0=LEN(ReferenceData!$Q$853),"",ReferenceData!$Q$853),"")</x:f>
        <x:v>2.28783</x:v>
      </x:c>
      <x:c r="R853">
        <x:f ca="1">IFERROR(IF(0=LEN(ReferenceData!$R$853),"",ReferenceData!$R$853),"")</x:f>
        <x:v>-3.7705350000000002</x:v>
      </x:c>
      <x:c r="S853">
        <x:f ca="1">IFERROR(IF(0=LEN(ReferenceData!$S$853),"",ReferenceData!$S$853),"")</x:f>
        <x:v>-9.2228639999999995</x:v>
      </x:c>
    </x:row>
    <x:row r="854" spans="1:19" x14ac:dyDescent="0.25">
      <x:c r="A854" t="str">
        <x:f>IFERROR(IF(0=LEN(ReferenceData!$A$854),"",ReferenceData!$A$854),"")</x:f>
        <x:v xml:space="preserve">            Columbia India Consumer ETF</x:v>
      </x:c>
      <x:c r="B854" t="str">
        <x:f>IFERROR(IF(0=LEN(ReferenceData!$B$854),"",ReferenceData!$B$854),"")</x:f>
        <x:v>INCO US Equity</x:v>
      </x:c>
      <x:c r="C854" t="str">
        <x:f>IFERROR(IF(0=LEN(ReferenceData!$C$854),"",ReferenceData!$C$854),"")</x:f>
        <x:v/>
      </x:c>
      <x:c r="D854" t="str">
        <x:f>IFERROR(IF(0=LEN(ReferenceData!$D$854),"",ReferenceData!$D$854),"")</x:f>
        <x:v/>
      </x:c>
      <x:c r="E854" t="str">
        <x:f>IFERROR(IF(0=LEN(ReferenceData!$E$854),"",ReferenceData!$E$854),"")</x:f>
        <x:v>Expression</x:v>
      </x:c>
      <x:c r="F854">
        <x:f ca="1">IFERROR(IF(0=LEN(ReferenceData!$F$854),"",ReferenceData!$F$854),"")</x:f>
        <x:v>0</x:v>
      </x:c>
      <x:c r="G854">
        <x:f ca="1">IFERROR(IF(0=LEN(ReferenceData!$G$854),"",ReferenceData!$G$854),"")</x:f>
        <x:v>0</x:v>
      </x:c>
      <x:c r="H854">
        <x:f ca="1">IFERROR(IF(0=LEN(ReferenceData!$H$854),"",ReferenceData!$H$854),"")</x:f>
        <x:v>0</x:v>
      </x:c>
      <x:c r="I854">
        <x:f ca="1">IFERROR(IF(0=LEN(ReferenceData!$I$854),"",ReferenceData!$I$854),"")</x:f>
        <x:v>0</x:v>
      </x:c>
      <x:c r="J854">
        <x:f ca="1">IFERROR(IF(0=LEN(ReferenceData!$J$854),"",ReferenceData!$J$854),"")</x:f>
        <x:v>26.174769000000001</x:v>
      </x:c>
      <x:c r="K854">
        <x:f ca="1">IFERROR(IF(0=LEN(ReferenceData!$K$854),"",ReferenceData!$K$854),"")</x:f>
        <x:v>5.0087999999999999</x:v>
      </x:c>
      <x:c r="L854">
        <x:f ca="1">IFERROR(IF(0=LEN(ReferenceData!$L$854),"",ReferenceData!$L$854),"")</x:f>
        <x:v>2.4627940000000001</x:v>
      </x:c>
      <x:c r="M854">
        <x:f ca="1">IFERROR(IF(0=LEN(ReferenceData!$M$854),"",ReferenceData!$M$854),"")</x:f>
        <x:v>0</x:v>
      </x:c>
      <x:c r="N854">
        <x:f ca="1">IFERROR(IF(0=LEN(ReferenceData!$N$854),"",ReferenceData!$N$854),"")</x:f>
        <x:v>0</x:v>
      </x:c>
      <x:c r="O854">
        <x:f ca="1">IFERROR(IF(0=LEN(ReferenceData!$O$854),"",ReferenceData!$O$854),"")</x:f>
        <x:v>0</x:v>
      </x:c>
      <x:c r="P854">
        <x:f ca="1">IFERROR(IF(0=LEN(ReferenceData!$P$854),"",ReferenceData!$P$854),"")</x:f>
        <x:v>2.2860269999999998</x:v>
      </x:c>
      <x:c r="Q854">
        <x:f ca="1">IFERROR(IF(0=LEN(ReferenceData!$Q$854),"",ReferenceData!$Q$854),"")</x:f>
        <x:v>0</x:v>
      </x:c>
      <x:c r="R854">
        <x:f ca="1">IFERROR(IF(0=LEN(ReferenceData!$R$854),"",ReferenceData!$R$854),"")</x:f>
        <x:v>0</x:v>
      </x:c>
      <x:c r="S854">
        <x:f ca="1">IFERROR(IF(0=LEN(ReferenceData!$S$854),"",ReferenceData!$S$854),"")</x:f>
        <x:v>0</x:v>
      </x:c>
    </x:row>
    <x:row r="855" spans="1:19" x14ac:dyDescent="0.25">
      <x:c r="A855" t="str">
        <x:f>IFERROR(IF(0=LEN(ReferenceData!$A$855),"",ReferenceData!$A$855),"")</x:f>
        <x:v xml:space="preserve">            Columbia Emerging Markets Cons</x:v>
      </x:c>
      <x:c r="B855" t="str">
        <x:f>IFERROR(IF(0=LEN(ReferenceData!$B$855),"",ReferenceData!$B$855),"")</x:f>
        <x:v>ECON US Equity</x:v>
      </x:c>
      <x:c r="C855" t="str">
        <x:f>IFERROR(IF(0=LEN(ReferenceData!$C$855),"",ReferenceData!$C$855),"")</x:f>
        <x:v/>
      </x:c>
      <x:c r="D855" t="str">
        <x:f>IFERROR(IF(0=LEN(ReferenceData!$D$855),"",ReferenceData!$D$855),"")</x:f>
        <x:v/>
      </x:c>
      <x:c r="E855" t="str">
        <x:f>IFERROR(IF(0=LEN(ReferenceData!$E$855),"",ReferenceData!$E$855),"")</x:f>
        <x:v>Expression</x:v>
      </x:c>
      <x:c r="F855">
        <x:f ca="1">IFERROR(IF(0=LEN(ReferenceData!$F$855),"",ReferenceData!$F$855),"")</x:f>
        <x:v>0</x:v>
      </x:c>
      <x:c r="G855">
        <x:f ca="1">IFERROR(IF(0=LEN(ReferenceData!$G$855),"",ReferenceData!$G$855),"")</x:f>
        <x:v>-1.9773829999999999</x:v>
      </x:c>
      <x:c r="H855">
        <x:f ca="1">IFERROR(IF(0=LEN(ReferenceData!$H$855),"",ReferenceData!$H$855),"")</x:f>
        <x:v>0</x:v>
      </x:c>
      <x:c r="I855">
        <x:f ca="1">IFERROR(IF(0=LEN(ReferenceData!$I$855),"",ReferenceData!$I$855),"")</x:f>
        <x:v>-2.1257000000000001</x:v>
      </x:c>
      <x:c r="J855">
        <x:f ca="1">IFERROR(IF(0=LEN(ReferenceData!$J$855),"",ReferenceData!$J$855),"")</x:f>
        <x:v>0</x:v>
      </x:c>
      <x:c r="K855">
        <x:f ca="1">IFERROR(IF(0=LEN(ReferenceData!$K$855),"",ReferenceData!$K$855),"")</x:f>
        <x:v>-2.0379999999999998</x:v>
      </x:c>
      <x:c r="L855">
        <x:f ca="1">IFERROR(IF(0=LEN(ReferenceData!$L$855),"",ReferenceData!$L$855),"")</x:f>
        <x:v>-12.999275000000001</x:v>
      </x:c>
      <x:c r="M855">
        <x:f ca="1">IFERROR(IF(0=LEN(ReferenceData!$M$855),"",ReferenceData!$M$855),"")</x:f>
        <x:v>-0.99623600000000001</x:v>
      </x:c>
      <x:c r="N855">
        <x:f ca="1">IFERROR(IF(0=LEN(ReferenceData!$N$855),"",ReferenceData!$N$855),"")</x:f>
        <x:v>-1.9567000000000001</x:v>
      </x:c>
      <x:c r="O855">
        <x:f ca="1">IFERROR(IF(0=LEN(ReferenceData!$O$855),"",ReferenceData!$O$855),"")</x:f>
        <x:v>0</x:v>
      </x:c>
      <x:c r="P855">
        <x:f ca="1">IFERROR(IF(0=LEN(ReferenceData!$P$855),"",ReferenceData!$P$855),"")</x:f>
        <x:v>6.3483720000000003</x:v>
      </x:c>
      <x:c r="Q855">
        <x:f ca="1">IFERROR(IF(0=LEN(ReferenceData!$Q$855),"",ReferenceData!$Q$855),"")</x:f>
        <x:v>-8.0496289999999995</x:v>
      </x:c>
      <x:c r="R855">
        <x:f ca="1">IFERROR(IF(0=LEN(ReferenceData!$R$855),"",ReferenceData!$R$855),"")</x:f>
        <x:v>-5.8420509999999997</x:v>
      </x:c>
      <x:c r="S855">
        <x:f ca="1">IFERROR(IF(0=LEN(ReferenceData!$S$855),"",ReferenceData!$S$855),"")</x:f>
        <x:v>0</x:v>
      </x:c>
    </x:row>
    <x:row r="856" spans="1:19" x14ac:dyDescent="0.25">
      <x:c r="A856" t="str">
        <x:f>IFERROR(IF(0=LEN(ReferenceData!$A$856),"",ReferenceData!$A$856),"")</x:f>
        <x:v xml:space="preserve">            Global X Funds Global X Health</x:v>
      </x:c>
      <x:c r="B856" t="str">
        <x:f>IFERROR(IF(0=LEN(ReferenceData!$B$856),"",ReferenceData!$B$856),"")</x:f>
        <x:v>BFIT US Equity</x:v>
      </x:c>
      <x:c r="C856" t="str">
        <x:f>IFERROR(IF(0=LEN(ReferenceData!$C$856),"",ReferenceData!$C$856),"")</x:f>
        <x:v/>
      </x:c>
      <x:c r="D856" t="str">
        <x:f>IFERROR(IF(0=LEN(ReferenceData!$D$856),"",ReferenceData!$D$856),"")</x:f>
        <x:v/>
      </x:c>
      <x:c r="E856" t="str">
        <x:f>IFERROR(IF(0=LEN(ReferenceData!$E$856),"",ReferenceData!$E$856),"")</x:f>
        <x:v>Expression</x:v>
      </x:c>
      <x:c r="F856">
        <x:f ca="1">IFERROR(IF(0=LEN(ReferenceData!$F$856),"",ReferenceData!$F$856),"")</x:f>
        <x:v>0</x:v>
      </x:c>
      <x:c r="G856">
        <x:f ca="1">IFERROR(IF(0=LEN(ReferenceData!$G$856),"",ReferenceData!$G$856),"")</x:f>
        <x:v>0</x:v>
      </x:c>
      <x:c r="H856">
        <x:f ca="1">IFERROR(IF(0=LEN(ReferenceData!$H$856),"",ReferenceData!$H$856),"")</x:f>
        <x:v>-4.1022999999999996</x:v>
      </x:c>
      <x:c r="I856">
        <x:f ca="1">IFERROR(IF(0=LEN(ReferenceData!$I$856),"",ReferenceData!$I$856),"")</x:f>
        <x:v>-1.6155999999999999</x:v>
      </x:c>
      <x:c r="J856">
        <x:f ca="1">IFERROR(IF(0=LEN(ReferenceData!$J$856),"",ReferenceData!$J$856),"")</x:f>
        <x:v>0</x:v>
      </x:c>
      <x:c r="K856">
        <x:f ca="1">IFERROR(IF(0=LEN(ReferenceData!$K$856),"",ReferenceData!$K$856),"")</x:f>
        <x:v>-1.0605</x:v>
      </x:c>
      <x:c r="L856">
        <x:f ca="1">IFERROR(IF(0=LEN(ReferenceData!$L$856),"",ReferenceData!$L$856),"")</x:f>
        <x:v>-3.5937999999999999</x:v>
      </x:c>
      <x:c r="M856">
        <x:f ca="1">IFERROR(IF(0=LEN(ReferenceData!$M$856),"",ReferenceData!$M$856),"")</x:f>
        <x:v>-0.46739999999999998</x:v>
      </x:c>
      <x:c r="N856">
        <x:f ca="1">IFERROR(IF(0=LEN(ReferenceData!$N$856),"",ReferenceData!$N$856),"")</x:f>
        <x:v>-0.45</x:v>
      </x:c>
      <x:c r="O856">
        <x:f ca="1">IFERROR(IF(0=LEN(ReferenceData!$O$856),"",ReferenceData!$O$856),"")</x:f>
        <x:v>0</x:v>
      </x:c>
      <x:c r="P856">
        <x:f ca="1">IFERROR(IF(0=LEN(ReferenceData!$P$856),"",ReferenceData!$P$856),"")</x:f>
        <x:v>-2.0411999999999999</x:v>
      </x:c>
      <x:c r="Q856">
        <x:f ca="1">IFERROR(IF(0=LEN(ReferenceData!$Q$856),"",ReferenceData!$Q$856),"")</x:f>
        <x:v>0</x:v>
      </x:c>
      <x:c r="R856">
        <x:f ca="1">IFERROR(IF(0=LEN(ReferenceData!$R$856),"",ReferenceData!$R$856),"")</x:f>
        <x:v>0</x:v>
      </x:c>
      <x:c r="S856">
        <x:f ca="1">IFERROR(IF(0=LEN(ReferenceData!$S$856),"",ReferenceData!$S$856),"")</x:f>
        <x:v>-0.184</x:v>
      </x:c>
    </x:row>
    <x:row r="857" spans="1:19" x14ac:dyDescent="0.25">
      <x:c r="A857" t="str">
        <x:f>IFERROR(IF(0=LEN(ReferenceData!$A$857),"",ReferenceData!$A$857),"")</x:f>
        <x:v xml:space="preserve">            The Health and Fitness ETF</x:v>
      </x:c>
      <x:c r="B857" t="str">
        <x:f>IFERROR(IF(0=LEN(ReferenceData!$B$857),"",ReferenceData!$B$857),"")</x:f>
        <x:v>FITS US Equity</x:v>
      </x:c>
      <x:c r="C857" t="str">
        <x:f>IFERROR(IF(0=LEN(ReferenceData!$C$857),"",ReferenceData!$C$857),"")</x:f>
        <x:v/>
      </x:c>
      <x:c r="D857" t="str">
        <x:f>IFERROR(IF(0=LEN(ReferenceData!$D$857),"",ReferenceData!$D$857),"")</x:f>
        <x:v/>
      </x:c>
      <x:c r="E857" t="str">
        <x:f>IFERROR(IF(0=LEN(ReferenceData!$E$857),"",ReferenceData!$E$857),"")</x:f>
        <x:v>Expression</x:v>
      </x:c>
      <x:c r="F857" t="str">
        <x:f ca="1">IFERROR(IF(0=LEN(ReferenceData!$F$857),"",ReferenceData!$F$857),"")</x:f>
        <x:v/>
      </x:c>
      <x:c r="G857" t="str">
        <x:f ca="1">IFERROR(IF(0=LEN(ReferenceData!$G$857),"",ReferenceData!$G$857),"")</x:f>
        <x:v/>
      </x:c>
      <x:c r="H857" t="str">
        <x:f ca="1">IFERROR(IF(0=LEN(ReferenceData!$H$857),"",ReferenceData!$H$857),"")</x:f>
        <x:v/>
      </x:c>
      <x:c r="I857" t="str">
        <x:f ca="1">IFERROR(IF(0=LEN(ReferenceData!$I$857),"",ReferenceData!$I$857),"")</x:f>
        <x:v/>
      </x:c>
      <x:c r="J857" t="str">
        <x:f ca="1">IFERROR(IF(0=LEN(ReferenceData!$J$857),"",ReferenceData!$J$857),"")</x:f>
        <x:v/>
      </x:c>
      <x:c r="K857" t="str">
        <x:f ca="1">IFERROR(IF(0=LEN(ReferenceData!$K$857),"",ReferenceData!$K$857),"")</x:f>
        <x:v/>
      </x:c>
      <x:c r="L857" t="str">
        <x:f ca="1">IFERROR(IF(0=LEN(ReferenceData!$L$857),"",ReferenceData!$L$857),"")</x:f>
        <x:v/>
      </x:c>
      <x:c r="M857" t="str">
        <x:f ca="1">IFERROR(IF(0=LEN(ReferenceData!$M$857),"",ReferenceData!$M$857),"")</x:f>
        <x:v/>
      </x:c>
      <x:c r="N857" t="str">
        <x:f ca="1">IFERROR(IF(0=LEN(ReferenceData!$N$857),"",ReferenceData!$N$857),"")</x:f>
        <x:v/>
      </x:c>
      <x:c r="O857" t="str">
        <x:f ca="1">IFERROR(IF(0=LEN(ReferenceData!$O$857),"",ReferenceData!$O$857),"")</x:f>
        <x:v/>
      </x:c>
      <x:c r="P857" t="str">
        <x:f ca="1">IFERROR(IF(0=LEN(ReferenceData!$P$857),"",ReferenceData!$P$857),"")</x:f>
        <x:v/>
      </x:c>
      <x:c r="Q857" t="str">
        <x:f ca="1">IFERROR(IF(0=LEN(ReferenceData!$Q$857),"",ReferenceData!$Q$857),"")</x:f>
        <x:v/>
      </x:c>
      <x:c r="R857" t="str">
        <x:f ca="1">IFERROR(IF(0=LEN(ReferenceData!$R$857),"",ReferenceData!$R$857),"")</x:f>
        <x:v/>
      </x:c>
      <x:c r="S857" t="str">
        <x:f ca="1">IFERROR(IF(0=LEN(ReferenceData!$S$857),"",ReferenceData!$S$857),"")</x:f>
        <x:v/>
      </x:c>
    </x:row>
    <x:row r="858" spans="1:19" x14ac:dyDescent="0.25">
      <x:c r="A858" t="str">
        <x:f>IFERROR(IF(0=LEN(ReferenceData!$A$858),"",ReferenceData!$A$858),"")</x:f>
        <x:v xml:space="preserve">            Amplify Emerging Markets FinTe</x:v>
      </x:c>
      <x:c r="B858" t="str">
        <x:f>IFERROR(IF(0=LEN(ReferenceData!$B$858),"",ReferenceData!$B$858),"")</x:f>
        <x:v>XBUY US Equity</x:v>
      </x:c>
      <x:c r="C858" t="str">
        <x:f>IFERROR(IF(0=LEN(ReferenceData!$C$858),"",ReferenceData!$C$858),"")</x:f>
        <x:v/>
      </x:c>
      <x:c r="D858" t="str">
        <x:f>IFERROR(IF(0=LEN(ReferenceData!$D$858),"",ReferenceData!$D$858),"")</x:f>
        <x:v/>
      </x:c>
      <x:c r="E858" t="str">
        <x:f>IFERROR(IF(0=LEN(ReferenceData!$E$858),"",ReferenceData!$E$858),"")</x:f>
        <x:v>Expression</x:v>
      </x:c>
      <x:c r="F858">
        <x:f ca="1">IFERROR(IF(0=LEN(ReferenceData!$F$858),"",ReferenceData!$F$858),"")</x:f>
        <x:v>0</x:v>
      </x:c>
      <x:c r="G858">
        <x:f ca="1">IFERROR(IF(0=LEN(ReferenceData!$G$858),"",ReferenceData!$G$858),"")</x:f>
        <x:v>0</x:v>
      </x:c>
      <x:c r="H858">
        <x:f ca="1">IFERROR(IF(0=LEN(ReferenceData!$H$858),"",ReferenceData!$H$858),"")</x:f>
        <x:v>0</x:v>
      </x:c>
      <x:c r="I858">
        <x:f ca="1">IFERROR(IF(0=LEN(ReferenceData!$I$858),"",ReferenceData!$I$858),"")</x:f>
        <x:v>0</x:v>
      </x:c>
      <x:c r="J858">
        <x:f ca="1">IFERROR(IF(0=LEN(ReferenceData!$J$858),"",ReferenceData!$J$858),"")</x:f>
        <x:v>0</x:v>
      </x:c>
      <x:c r="K858">
        <x:f ca="1">IFERROR(IF(0=LEN(ReferenceData!$K$858),"",ReferenceData!$K$858),"")</x:f>
        <x:v>0</x:v>
      </x:c>
      <x:c r="L858">
        <x:f ca="1">IFERROR(IF(0=LEN(ReferenceData!$L$858),"",ReferenceData!$L$858),"")</x:f>
        <x:v>0</x:v>
      </x:c>
      <x:c r="M858">
        <x:f ca="1">IFERROR(IF(0=LEN(ReferenceData!$M$858),"",ReferenceData!$M$858),"")</x:f>
        <x:v>-0.52640500000000001</x:v>
      </x:c>
      <x:c r="N858">
        <x:f ca="1">IFERROR(IF(0=LEN(ReferenceData!$N$858),"",ReferenceData!$N$858),"")</x:f>
        <x:v>0</x:v>
      </x:c>
      <x:c r="O858">
        <x:f ca="1">IFERROR(IF(0=LEN(ReferenceData!$O$858),"",ReferenceData!$O$858),"")</x:f>
        <x:v>0</x:v>
      </x:c>
      <x:c r="P858">
        <x:f ca="1">IFERROR(IF(0=LEN(ReferenceData!$P$858),"",ReferenceData!$P$858),"")</x:f>
        <x:v>0</x:v>
      </x:c>
      <x:c r="Q858">
        <x:f ca="1">IFERROR(IF(0=LEN(ReferenceData!$Q$858),"",ReferenceData!$Q$858),"")</x:f>
        <x:v>0</x:v>
      </x:c>
      <x:c r="R858">
        <x:f ca="1">IFERROR(IF(0=LEN(ReferenceData!$R$858),"",ReferenceData!$R$858),"")</x:f>
        <x:v>0</x:v>
      </x:c>
      <x:c r="S858">
        <x:f ca="1">IFERROR(IF(0=LEN(ReferenceData!$S$858),"",ReferenceData!$S$858),"")</x:f>
        <x:v>0</x:v>
      </x:c>
    </x:row>
    <x:row r="859" spans="1:19" x14ac:dyDescent="0.25">
      <x:c r="A859" t="str">
        <x:f>IFERROR(IF(0=LEN(ReferenceData!$A$859),"",ReferenceData!$A$859),"")</x:f>
        <x:v xml:space="preserve">            Franklin Disruptive Commerce E</x:v>
      </x:c>
      <x:c r="B859" t="str">
        <x:f>IFERROR(IF(0=LEN(ReferenceData!$B$859),"",ReferenceData!$B$859),"")</x:f>
        <x:v>BUYZ US Equity</x:v>
      </x:c>
      <x:c r="C859" t="str">
        <x:f>IFERROR(IF(0=LEN(ReferenceData!$C$859),"",ReferenceData!$C$859),"")</x:f>
        <x:v/>
      </x:c>
      <x:c r="D859" t="str">
        <x:f>IFERROR(IF(0=LEN(ReferenceData!$D$859),"",ReferenceData!$D$859),"")</x:f>
        <x:v/>
      </x:c>
      <x:c r="E859" t="str">
        <x:f>IFERROR(IF(0=LEN(ReferenceData!$E$859),"",ReferenceData!$E$859),"")</x:f>
        <x:v>Expression</x:v>
      </x:c>
      <x:c r="F859">
        <x:f ca="1">IFERROR(IF(0=LEN(ReferenceData!$F$859),"",ReferenceData!$F$859),"")</x:f>
        <x:v>0</x:v>
      </x:c>
      <x:c r="G859">
        <x:f ca="1">IFERROR(IF(0=LEN(ReferenceData!$G$859),"",ReferenceData!$G$859),"")</x:f>
        <x:v>-1.1627069999999999</x:v>
      </x:c>
      <x:c r="H859">
        <x:f ca="1">IFERROR(IF(0=LEN(ReferenceData!$H$859),"",ReferenceData!$H$859),"")</x:f>
        <x:v>0</x:v>
      </x:c>
      <x:c r="I859">
        <x:f ca="1">IFERROR(IF(0=LEN(ReferenceData!$I$859),"",ReferenceData!$I$859),"")</x:f>
        <x:v>0</x:v>
      </x:c>
      <x:c r="J859">
        <x:f ca="1">IFERROR(IF(0=LEN(ReferenceData!$J$859),"",ReferenceData!$J$859),"")</x:f>
        <x:v>0</x:v>
      </x:c>
      <x:c r="K859">
        <x:f ca="1">IFERROR(IF(0=LEN(ReferenceData!$K$859),"",ReferenceData!$K$859),"")</x:f>
        <x:v>0</x:v>
      </x:c>
      <x:c r="L859">
        <x:f ca="1">IFERROR(IF(0=LEN(ReferenceData!$L$859),"",ReferenceData!$L$859),"")</x:f>
        <x:v>0</x:v>
      </x:c>
      <x:c r="M859">
        <x:f ca="1">IFERROR(IF(0=LEN(ReferenceData!$M$859),"",ReferenceData!$M$859),"")</x:f>
        <x:v>0</x:v>
      </x:c>
      <x:c r="N859">
        <x:f ca="1">IFERROR(IF(0=LEN(ReferenceData!$N$859),"",ReferenceData!$N$859),"")</x:f>
        <x:v>0</x:v>
      </x:c>
      <x:c r="O859">
        <x:f ca="1">IFERROR(IF(0=LEN(ReferenceData!$O$859),"",ReferenceData!$O$859),"")</x:f>
        <x:v>0</x:v>
      </x:c>
      <x:c r="P859">
        <x:f ca="1">IFERROR(IF(0=LEN(ReferenceData!$P$859),"",ReferenceData!$P$859),"")</x:f>
        <x:v>0</x:v>
      </x:c>
      <x:c r="Q859">
        <x:f ca="1">IFERROR(IF(0=LEN(ReferenceData!$Q$859),"",ReferenceData!$Q$859),"")</x:f>
        <x:v>0</x:v>
      </x:c>
      <x:c r="R859">
        <x:f ca="1">IFERROR(IF(0=LEN(ReferenceData!$R$859),"",ReferenceData!$R$859),"")</x:f>
        <x:v>0</x:v>
      </x:c>
      <x:c r="S859">
        <x:f ca="1">IFERROR(IF(0=LEN(ReferenceData!$S$859),"",ReferenceData!$S$859),"")</x:f>
        <x:v>0</x:v>
      </x:c>
    </x:row>
    <x:row r="860" spans="1:19" x14ac:dyDescent="0.25">
      <x:c r="A860" t="str">
        <x:f>IFERROR(IF(0=LEN(ReferenceData!$A$860),"",ReferenceData!$A$860),"")</x:f>
        <x:v xml:space="preserve">            Direxion Connected Consumer ET</x:v>
      </x:c>
      <x:c r="B860" t="str">
        <x:f>IFERROR(IF(0=LEN(ReferenceData!$B$860),"",ReferenceData!$B$860),"")</x:f>
        <x:v>CCON US Equity</x:v>
      </x:c>
      <x:c r="C860" t="str">
        <x:f>IFERROR(IF(0=LEN(ReferenceData!$C$860),"",ReferenceData!$C$860),"")</x:f>
        <x:v/>
      </x:c>
      <x:c r="D860" t="str">
        <x:f>IFERROR(IF(0=LEN(ReferenceData!$D$860),"",ReferenceData!$D$860),"")</x:f>
        <x:v/>
      </x:c>
      <x:c r="E860" t="str">
        <x:f>IFERROR(IF(0=LEN(ReferenceData!$E$860),"",ReferenceData!$E$860),"")</x:f>
        <x:v>Expression</x:v>
      </x:c>
      <x:c r="F860" t="str">
        <x:f ca="1">IFERROR(IF(0=LEN(ReferenceData!$F$860),"",ReferenceData!$F$860),"")</x:f>
        <x:v/>
      </x:c>
      <x:c r="G860" t="str">
        <x:f ca="1">IFERROR(IF(0=LEN(ReferenceData!$G$860),"",ReferenceData!$G$860),"")</x:f>
        <x:v/>
      </x:c>
      <x:c r="H860" t="str">
        <x:f ca="1">IFERROR(IF(0=LEN(ReferenceData!$H$860),"",ReferenceData!$H$860),"")</x:f>
        <x:v/>
      </x:c>
      <x:c r="I860" t="str">
        <x:f ca="1">IFERROR(IF(0=LEN(ReferenceData!$I$860),"",ReferenceData!$I$860),"")</x:f>
        <x:v/>
      </x:c>
      <x:c r="J860" t="str">
        <x:f ca="1">IFERROR(IF(0=LEN(ReferenceData!$J$860),"",ReferenceData!$J$860),"")</x:f>
        <x:v/>
      </x:c>
      <x:c r="K860" t="str">
        <x:f ca="1">IFERROR(IF(0=LEN(ReferenceData!$K$860),"",ReferenceData!$K$860),"")</x:f>
        <x:v/>
      </x:c>
      <x:c r="L860" t="str">
        <x:f ca="1">IFERROR(IF(0=LEN(ReferenceData!$L$860),"",ReferenceData!$L$860),"")</x:f>
        <x:v/>
      </x:c>
      <x:c r="M860" t="str">
        <x:f ca="1">IFERROR(IF(0=LEN(ReferenceData!$M$860),"",ReferenceData!$M$860),"")</x:f>
        <x:v/>
      </x:c>
      <x:c r="N860" t="str">
        <x:f ca="1">IFERROR(IF(0=LEN(ReferenceData!$N$860),"",ReferenceData!$N$860),"")</x:f>
        <x:v/>
      </x:c>
      <x:c r="O860" t="str">
        <x:f ca="1">IFERROR(IF(0=LEN(ReferenceData!$O$860),"",ReferenceData!$O$860),"")</x:f>
        <x:v/>
      </x:c>
      <x:c r="P860" t="str">
        <x:f ca="1">IFERROR(IF(0=LEN(ReferenceData!$P$860),"",ReferenceData!$P$860),"")</x:f>
        <x:v/>
      </x:c>
      <x:c r="Q860" t="str">
        <x:f ca="1">IFERROR(IF(0=LEN(ReferenceData!$Q$860),"",ReferenceData!$Q$860),"")</x:f>
        <x:v/>
      </x:c>
      <x:c r="R860" t="str">
        <x:f ca="1">IFERROR(IF(0=LEN(ReferenceData!$R$860),"",ReferenceData!$R$860),"")</x:f>
        <x:v/>
      </x:c>
      <x:c r="S860" t="str">
        <x:f ca="1">IFERROR(IF(0=LEN(ReferenceData!$S$860),"",ReferenceData!$S$860),"")</x:f>
        <x:v/>
      </x:c>
    </x:row>
    <x:row r="861" spans="1:19" x14ac:dyDescent="0.25">
      <x:c r="A861" t="str">
        <x:f>IFERROR(IF(0=LEN(ReferenceData!$A$861),"",ReferenceData!$A$861),"")</x:f>
        <x:v xml:space="preserve">            Emles Luxury Goods ETF</x:v>
      </x:c>
      <x:c r="B861" t="str">
        <x:f>IFERROR(IF(0=LEN(ReferenceData!$B$861),"",ReferenceData!$B$861),"")</x:f>
        <x:v>LUXE US Equity</x:v>
      </x:c>
      <x:c r="C861" t="str">
        <x:f>IFERROR(IF(0=LEN(ReferenceData!$C$861),"",ReferenceData!$C$861),"")</x:f>
        <x:v/>
      </x:c>
      <x:c r="D861" t="str">
        <x:f>IFERROR(IF(0=LEN(ReferenceData!$D$861),"",ReferenceData!$D$861),"")</x:f>
        <x:v/>
      </x:c>
      <x:c r="E861" t="str">
        <x:f>IFERROR(IF(0=LEN(ReferenceData!$E$861),"",ReferenceData!$E$861),"")</x:f>
        <x:v>Expression</x:v>
      </x:c>
      <x:c r="F861" t="str">
        <x:f ca="1">IFERROR(IF(0=LEN(ReferenceData!$F$861),"",ReferenceData!$F$861),"")</x:f>
        <x:v/>
      </x:c>
      <x:c r="G861" t="str">
        <x:f ca="1">IFERROR(IF(0=LEN(ReferenceData!$G$861),"",ReferenceData!$G$861),"")</x:f>
        <x:v/>
      </x:c>
      <x:c r="H861" t="str">
        <x:f ca="1">IFERROR(IF(0=LEN(ReferenceData!$H$861),"",ReferenceData!$H$861),"")</x:f>
        <x:v/>
      </x:c>
      <x:c r="I861" t="str">
        <x:f ca="1">IFERROR(IF(0=LEN(ReferenceData!$I$861),"",ReferenceData!$I$861),"")</x:f>
        <x:v/>
      </x:c>
      <x:c r="J861" t="str">
        <x:f ca="1">IFERROR(IF(0=LEN(ReferenceData!$J$861),"",ReferenceData!$J$861),"")</x:f>
        <x:v/>
      </x:c>
      <x:c r="K861" t="str">
        <x:f ca="1">IFERROR(IF(0=LEN(ReferenceData!$K$861),"",ReferenceData!$K$861),"")</x:f>
        <x:v/>
      </x:c>
      <x:c r="L861" t="str">
        <x:f ca="1">IFERROR(IF(0=LEN(ReferenceData!$L$861),"",ReferenceData!$L$861),"")</x:f>
        <x:v/>
      </x:c>
      <x:c r="M861" t="str">
        <x:f ca="1">IFERROR(IF(0=LEN(ReferenceData!$M$861),"",ReferenceData!$M$861),"")</x:f>
        <x:v/>
      </x:c>
      <x:c r="N861" t="str">
        <x:f ca="1">IFERROR(IF(0=LEN(ReferenceData!$N$861),"",ReferenceData!$N$861),"")</x:f>
        <x:v/>
      </x:c>
      <x:c r="O861" t="str">
        <x:f ca="1">IFERROR(IF(0=LEN(ReferenceData!$O$861),"",ReferenceData!$O$861),"")</x:f>
        <x:v/>
      </x:c>
      <x:c r="P861" t="str">
        <x:f ca="1">IFERROR(IF(0=LEN(ReferenceData!$P$861),"",ReferenceData!$P$861),"")</x:f>
        <x:v/>
      </x:c>
      <x:c r="Q861" t="str">
        <x:f ca="1">IFERROR(IF(0=LEN(ReferenceData!$Q$861),"",ReferenceData!$Q$861),"")</x:f>
        <x:v/>
      </x:c>
      <x:c r="R861" t="str">
        <x:f ca="1">IFERROR(IF(0=LEN(ReferenceData!$R$861),"",ReferenceData!$R$861),"")</x:f>
        <x:v/>
      </x:c>
      <x:c r="S861">
        <x:f ca="1">IFERROR(IF(0=LEN(ReferenceData!$S$861),"",ReferenceData!$S$861),"")</x:f>
        <x:v>0</x:v>
      </x:c>
    </x:row>
    <x:row r="862" spans="1:19" x14ac:dyDescent="0.25">
      <x:c r="A862" t="str">
        <x:f>IFERROR(IF(0=LEN(ReferenceData!$A$862),"",ReferenceData!$A$862),"")</x:f>
        <x:v xml:space="preserve">            Roundhill Sports Betting &amp; iGa</x:v>
      </x:c>
      <x:c r="B862" t="str">
        <x:f>IFERROR(IF(0=LEN(ReferenceData!$B$862),"",ReferenceData!$B$862),"")</x:f>
        <x:v>BETZ US Equity</x:v>
      </x:c>
      <x:c r="C862" t="str">
        <x:f>IFERROR(IF(0=LEN(ReferenceData!$C$862),"",ReferenceData!$C$862),"")</x:f>
        <x:v/>
      </x:c>
      <x:c r="D862" t="str">
        <x:f>IFERROR(IF(0=LEN(ReferenceData!$D$862),"",ReferenceData!$D$862),"")</x:f>
        <x:v/>
      </x:c>
      <x:c r="E862" t="str">
        <x:f>IFERROR(IF(0=LEN(ReferenceData!$E$862),"",ReferenceData!$E$862),"")</x:f>
        <x:v>Expression</x:v>
      </x:c>
      <x:c r="F862">
        <x:f ca="1">IFERROR(IF(0=LEN(ReferenceData!$F$862),"",ReferenceData!$F$862),"")</x:f>
        <x:v>0</x:v>
      </x:c>
      <x:c r="G862">
        <x:f ca="1">IFERROR(IF(0=LEN(ReferenceData!$G$862),"",ReferenceData!$G$862),"")</x:f>
        <x:v>-2.7018770000000001</x:v>
      </x:c>
      <x:c r="H862">
        <x:f ca="1">IFERROR(IF(0=LEN(ReferenceData!$H$862),"",ReferenceData!$H$862),"")</x:f>
        <x:v>0</x:v>
      </x:c>
      <x:c r="I862">
        <x:f ca="1">IFERROR(IF(0=LEN(ReferenceData!$I$862),"",ReferenceData!$I$862),"")</x:f>
        <x:v>-3.9587699999999999</x:v>
      </x:c>
      <x:c r="J862">
        <x:f ca="1">IFERROR(IF(0=LEN(ReferenceData!$J$862),"",ReferenceData!$J$862),"")</x:f>
        <x:v>-4.0463899999999997</x:v>
      </x:c>
      <x:c r="K862">
        <x:f ca="1">IFERROR(IF(0=LEN(ReferenceData!$K$862),"",ReferenceData!$K$862),"")</x:f>
        <x:v>-20.445778000000001</x:v>
      </x:c>
      <x:c r="L862">
        <x:f ca="1">IFERROR(IF(0=LEN(ReferenceData!$L$862),"",ReferenceData!$L$862),"")</x:f>
        <x:v>0</x:v>
      </x:c>
      <x:c r="M862">
        <x:f ca="1">IFERROR(IF(0=LEN(ReferenceData!$M$862),"",ReferenceData!$M$862),"")</x:f>
        <x:v>-2.4051800000000001</x:v>
      </x:c>
      <x:c r="N862">
        <x:f ca="1">IFERROR(IF(0=LEN(ReferenceData!$N$862),"",ReferenceData!$N$862),"")</x:f>
        <x:v>-1.962437</x:v>
      </x:c>
      <x:c r="O862">
        <x:f ca="1">IFERROR(IF(0=LEN(ReferenceData!$O$862),"",ReferenceData!$O$862),"")</x:f>
        <x:v>0.397675</x:v>
      </x:c>
      <x:c r="P862">
        <x:f ca="1">IFERROR(IF(0=LEN(ReferenceData!$P$862),"",ReferenceData!$P$862),"")</x:f>
        <x:v>-2.3201700000000001</x:v>
      </x:c>
      <x:c r="Q862">
        <x:f ca="1">IFERROR(IF(0=LEN(ReferenceData!$Q$862),"",ReferenceData!$Q$862),"")</x:f>
        <x:v>11.73915</x:v>
      </x:c>
      <x:c r="R862">
        <x:f ca="1">IFERROR(IF(0=LEN(ReferenceData!$R$862),"",ReferenceData!$R$862),"")</x:f>
        <x:v>-1.4903299999999999</x:v>
      </x:c>
      <x:c r="S862">
        <x:f ca="1">IFERROR(IF(0=LEN(ReferenceData!$S$862),"",ReferenceData!$S$862),"")</x:f>
        <x:v>-7.4814850000000002</x:v>
      </x:c>
    </x:row>
    <x:row r="863" spans="1:19" x14ac:dyDescent="0.25">
      <x:c r="A863" t="str">
        <x:f>IFERROR(IF(0=LEN(ReferenceData!$A$863),"",ReferenceData!$A$863),"")</x:f>
        <x:v xml:space="preserve">            Goldman Sachs Future Consumer</x:v>
      </x:c>
      <x:c r="B863" t="str">
        <x:f>IFERROR(IF(0=LEN(ReferenceData!$B$863),"",ReferenceData!$B$863),"")</x:f>
        <x:v>GBUY US Equity</x:v>
      </x:c>
      <x:c r="C863" t="str">
        <x:f>IFERROR(IF(0=LEN(ReferenceData!$C$863),"",ReferenceData!$C$863),"")</x:f>
        <x:v/>
      </x:c>
      <x:c r="D863" t="str">
        <x:f>IFERROR(IF(0=LEN(ReferenceData!$D$863),"",ReferenceData!$D$863),"")</x:f>
        <x:v/>
      </x:c>
      <x:c r="E863" t="str">
        <x:f>IFERROR(IF(0=LEN(ReferenceData!$E$863),"",ReferenceData!$E$863),"")</x:f>
        <x:v>Expression</x:v>
      </x:c>
      <x:c r="F863">
        <x:f ca="1">IFERROR(IF(0=LEN(ReferenceData!$F$863),"",ReferenceData!$F$863),"")</x:f>
        <x:v>-91.399995000000004</x:v>
      </x:c>
      <x:c r="G863">
        <x:f ca="1">IFERROR(IF(0=LEN(ReferenceData!$G$863),"",ReferenceData!$G$863),"")</x:f>
        <x:v>15.424302000000001</x:v>
      </x:c>
      <x:c r="H863">
        <x:f ca="1">IFERROR(IF(0=LEN(ReferenceData!$H$863),"",ReferenceData!$H$863),"")</x:f>
        <x:v>1.288438</x:v>
      </x:c>
      <x:c r="I863">
        <x:f ca="1">IFERROR(IF(0=LEN(ReferenceData!$I$863),"",ReferenceData!$I$863),"")</x:f>
        <x:v>0.69901999999999997</x:v>
      </x:c>
      <x:c r="J863">
        <x:f ca="1">IFERROR(IF(0=LEN(ReferenceData!$J$863),"",ReferenceData!$J$863),"")</x:f>
        <x:v>11.563658999999999</x:v>
      </x:c>
      <x:c r="K863">
        <x:f ca="1">IFERROR(IF(0=LEN(ReferenceData!$K$863),"",ReferenceData!$K$863),"")</x:f>
        <x:v>-1.381151</x:v>
      </x:c>
      <x:c r="L863">
        <x:f ca="1">IFERROR(IF(0=LEN(ReferenceData!$L$863),"",ReferenceData!$L$863),"")</x:f>
        <x:v>0.680396</x:v>
      </x:c>
      <x:c r="M863">
        <x:f ca="1">IFERROR(IF(0=LEN(ReferenceData!$M$863),"",ReferenceData!$M$863),"")</x:f>
        <x:v>0.65733200000000003</x:v>
      </x:c>
      <x:c r="N863">
        <x:f ca="1">IFERROR(IF(0=LEN(ReferenceData!$N$863),"",ReferenceData!$N$863),"")</x:f>
        <x:v>35.233623000000001</x:v>
      </x:c>
      <x:c r="O863">
        <x:f ca="1">IFERROR(IF(0=LEN(ReferenceData!$O$863),"",ReferenceData!$O$863),"")</x:f>
        <x:v>0</x:v>
      </x:c>
      <x:c r="P863">
        <x:f ca="1">IFERROR(IF(0=LEN(ReferenceData!$P$863),"",ReferenceData!$P$863),"")</x:f>
        <x:v>1.30965</x:v>
      </x:c>
      <x:c r="Q863">
        <x:f ca="1">IFERROR(IF(0=LEN(ReferenceData!$Q$863),"",ReferenceData!$Q$863),"")</x:f>
        <x:v>9.9250889999999998</x:v>
      </x:c>
      <x:c r="R863">
        <x:f ca="1">IFERROR(IF(0=LEN(ReferenceData!$R$863),"",ReferenceData!$R$863),"")</x:f>
        <x:v>0</x:v>
      </x:c>
      <x:c r="S863">
        <x:f ca="1">IFERROR(IF(0=LEN(ReferenceData!$S$863),"",ReferenceData!$S$863),"")</x:f>
        <x:v>0</x:v>
      </x:c>
    </x:row>
    <x:row r="864" spans="1:19" x14ac:dyDescent="0.25">
      <x:c r="A864" t="str">
        <x:f>IFERROR(IF(0=LEN(ReferenceData!$A$864),"",ReferenceData!$A$864),"")</x:f>
        <x:v xml:space="preserve">            ProShares On-Demand ETF</x:v>
      </x:c>
      <x:c r="B864" t="str">
        <x:f>IFERROR(IF(0=LEN(ReferenceData!$B$864),"",ReferenceData!$B$864),"")</x:f>
        <x:v>OND US Equity</x:v>
      </x:c>
      <x:c r="C864" t="str">
        <x:f>IFERROR(IF(0=LEN(ReferenceData!$C$864),"",ReferenceData!$C$864),"")</x:f>
        <x:v/>
      </x:c>
      <x:c r="D864" t="str">
        <x:f>IFERROR(IF(0=LEN(ReferenceData!$D$864),"",ReferenceData!$D$864),"")</x:f>
        <x:v/>
      </x:c>
      <x:c r="E864" t="str">
        <x:f>IFERROR(IF(0=LEN(ReferenceData!$E$864),"",ReferenceData!$E$864),"")</x:f>
        <x:v>Expression</x:v>
      </x:c>
      <x:c r="F864">
        <x:f ca="1">IFERROR(IF(0=LEN(ReferenceData!$F$864),"",ReferenceData!$F$864),"")</x:f>
        <x:v>0</x:v>
      </x:c>
      <x:c r="G864">
        <x:f ca="1">IFERROR(IF(0=LEN(ReferenceData!$G$864),"",ReferenceData!$G$864),"")</x:f>
        <x:v>0</x:v>
      </x:c>
      <x:c r="H864">
        <x:f ca="1">IFERROR(IF(0=LEN(ReferenceData!$H$864),"",ReferenceData!$H$864),"")</x:f>
        <x:v>0</x:v>
      </x:c>
      <x:c r="I864">
        <x:f ca="1">IFERROR(IF(0=LEN(ReferenceData!$I$864),"",ReferenceData!$I$864),"")</x:f>
        <x:v>0</x:v>
      </x:c>
      <x:c r="J864">
        <x:f ca="1">IFERROR(IF(0=LEN(ReferenceData!$J$864),"",ReferenceData!$J$864),"")</x:f>
        <x:v>0</x:v>
      </x:c>
      <x:c r="K864">
        <x:f ca="1">IFERROR(IF(0=LEN(ReferenceData!$K$864),"",ReferenceData!$K$864),"")</x:f>
        <x:v>0</x:v>
      </x:c>
      <x:c r="L864">
        <x:f ca="1">IFERROR(IF(0=LEN(ReferenceData!$L$864),"",ReferenceData!$L$864),"")</x:f>
        <x:v>0</x:v>
      </x:c>
      <x:c r="M864">
        <x:f ca="1">IFERROR(IF(0=LEN(ReferenceData!$M$864),"",ReferenceData!$M$864),"")</x:f>
        <x:v>0</x:v>
      </x:c>
      <x:c r="N864">
        <x:f ca="1">IFERROR(IF(0=LEN(ReferenceData!$N$864),"",ReferenceData!$N$864),"")</x:f>
        <x:v>-0.54320500000000005</x:v>
      </x:c>
      <x:c r="O864">
        <x:f ca="1">IFERROR(IF(0=LEN(ReferenceData!$O$864),"",ReferenceData!$O$864),"")</x:f>
        <x:v>0</x:v>
      </x:c>
      <x:c r="P864">
        <x:f ca="1">IFERROR(IF(0=LEN(ReferenceData!$P$864),"",ReferenceData!$P$864),"")</x:f>
        <x:v>0</x:v>
      </x:c>
      <x:c r="Q864">
        <x:f ca="1">IFERROR(IF(0=LEN(ReferenceData!$Q$864),"",ReferenceData!$Q$864),"")</x:f>
        <x:v>0</x:v>
      </x:c>
      <x:c r="R864">
        <x:f ca="1">IFERROR(IF(0=LEN(ReferenceData!$R$864),"",ReferenceData!$R$864),"")</x:f>
        <x:v>0</x:v>
      </x:c>
      <x:c r="S864">
        <x:f ca="1">IFERROR(IF(0=LEN(ReferenceData!$S$864),"",ReferenceData!$S$864),"")</x:f>
        <x:v>0</x:v>
      </x:c>
    </x:row>
    <x:row r="865" spans="1:19" x14ac:dyDescent="0.25">
      <x:c r="A865" t="str">
        <x:f>IFERROR(IF(0=LEN(ReferenceData!$A$865),"",ReferenceData!$A$865),"")</x:f>
        <x:v xml:space="preserve">            Amplify Online Retail ETF</x:v>
      </x:c>
      <x:c r="B865" t="str">
        <x:f>IFERROR(IF(0=LEN(ReferenceData!$B$865),"",ReferenceData!$B$865),"")</x:f>
        <x:v>IBUY US Equity</x:v>
      </x:c>
      <x:c r="C865" t="str">
        <x:f>IFERROR(IF(0=LEN(ReferenceData!$C$865),"",ReferenceData!$C$865),"")</x:f>
        <x:v/>
      </x:c>
      <x:c r="D865" t="str">
        <x:f>IFERROR(IF(0=LEN(ReferenceData!$D$865),"",ReferenceData!$D$865),"")</x:f>
        <x:v/>
      </x:c>
      <x:c r="E865" t="str">
        <x:f>IFERROR(IF(0=LEN(ReferenceData!$E$865),"",ReferenceData!$E$865),"")</x:f>
        <x:v>Expression</x:v>
      </x:c>
      <x:c r="F865">
        <x:f ca="1">IFERROR(IF(0=LEN(ReferenceData!$F$865),"",ReferenceData!$F$865),"")</x:f>
        <x:v>-2.2088649999999999</x:v>
      </x:c>
      <x:c r="G865">
        <x:f ca="1">IFERROR(IF(0=LEN(ReferenceData!$G$865),"",ReferenceData!$G$865),"")</x:f>
        <x:v>-14.53473</x:v>
      </x:c>
      <x:c r="H865">
        <x:f ca="1">IFERROR(IF(0=LEN(ReferenceData!$H$865),"",ReferenceData!$H$865),"")</x:f>
        <x:v>-2.3025449999999998</x:v>
      </x:c>
      <x:c r="I865">
        <x:f ca="1">IFERROR(IF(0=LEN(ReferenceData!$I$865),"",ReferenceData!$I$865),"")</x:f>
        <x:v>-6.8749500000000001</x:v>
      </x:c>
      <x:c r="J865">
        <x:f ca="1">IFERROR(IF(0=LEN(ReferenceData!$J$865),"",ReferenceData!$J$865),"")</x:f>
        <x:v>12.120245000000001</x:v>
      </x:c>
      <x:c r="K865">
        <x:f ca="1">IFERROR(IF(0=LEN(ReferenceData!$K$865),"",ReferenceData!$K$865),"")</x:f>
        <x:v>-24.93083</x:v>
      </x:c>
      <x:c r="L865">
        <x:f ca="1">IFERROR(IF(0=LEN(ReferenceData!$L$865),"",ReferenceData!$L$865),"")</x:f>
        <x:v>0</x:v>
      </x:c>
      <x:c r="M865">
        <x:f ca="1">IFERROR(IF(0=LEN(ReferenceData!$M$865),"",ReferenceData!$M$865),"")</x:f>
        <x:v>2.1425200000000002</x:v>
      </x:c>
      <x:c r="N865">
        <x:f ca="1">IFERROR(IF(0=LEN(ReferenceData!$N$865),"",ReferenceData!$N$865),"")</x:f>
        <x:v>-2.2479049999999998</x:v>
      </x:c>
      <x:c r="O865">
        <x:f ca="1">IFERROR(IF(0=LEN(ReferenceData!$O$865),"",ReferenceData!$O$865),"")</x:f>
        <x:v>2.3056800000000002</x:v>
      </x:c>
      <x:c r="P865">
        <x:f ca="1">IFERROR(IF(0=LEN(ReferenceData!$P$865),"",ReferenceData!$P$865),"")</x:f>
        <x:v>-13.42184</x:v>
      </x:c>
      <x:c r="Q865">
        <x:f ca="1">IFERROR(IF(0=LEN(ReferenceData!$Q$865),"",ReferenceData!$Q$865),"")</x:f>
        <x:v>8.4894099999999995</x:v>
      </x:c>
      <x:c r="R865">
        <x:f ca="1">IFERROR(IF(0=LEN(ReferenceData!$R$865),"",ReferenceData!$R$865),"")</x:f>
        <x:v>0</x:v>
      </x:c>
      <x:c r="S865">
        <x:f ca="1">IFERROR(IF(0=LEN(ReferenceData!$S$865),"",ReferenceData!$S$865),"")</x:f>
        <x:v>-13.479675</x:v>
      </x:c>
    </x:row>
    <x:row r="866" spans="1:19" x14ac:dyDescent="0.25">
      <x:c r="A866" t="str">
        <x:f>IFERROR(IF(0=LEN(ReferenceData!$A$866),"",ReferenceData!$A$866),"")</x:f>
        <x:v xml:space="preserve">            Neuberger Berman Next Generati</x:v>
      </x:c>
      <x:c r="B866" t="str">
        <x:f>IFERROR(IF(0=LEN(ReferenceData!$B$866),"",ReferenceData!$B$866),"")</x:f>
        <x:v>NBCC US Equity</x:v>
      </x:c>
      <x:c r="C866" t="str">
        <x:f>IFERROR(IF(0=LEN(ReferenceData!$C$866),"",ReferenceData!$C$866),"")</x:f>
        <x:v/>
      </x:c>
      <x:c r="D866" t="str">
        <x:f>IFERROR(IF(0=LEN(ReferenceData!$D$866),"",ReferenceData!$D$866),"")</x:f>
        <x:v/>
      </x:c>
      <x:c r="E866" t="str">
        <x:f>IFERROR(IF(0=LEN(ReferenceData!$E$866),"",ReferenceData!$E$866),"")</x:f>
        <x:v>Expression</x:v>
      </x:c>
      <x:c r="F866">
        <x:f ca="1">IFERROR(IF(0=LEN(ReferenceData!$F$866),"",ReferenceData!$F$866),"")</x:f>
        <x:v>0</x:v>
      </x:c>
      <x:c r="G866">
        <x:f ca="1">IFERROR(IF(0=LEN(ReferenceData!$G$866),"",ReferenceData!$G$866),"")</x:f>
        <x:v>0</x:v>
      </x:c>
      <x:c r="H866">
        <x:f ca="1">IFERROR(IF(0=LEN(ReferenceData!$H$866),"",ReferenceData!$H$866),"")</x:f>
        <x:v>0</x:v>
      </x:c>
      <x:c r="I866">
        <x:f ca="1">IFERROR(IF(0=LEN(ReferenceData!$I$866),"",ReferenceData!$I$866),"")</x:f>
        <x:v>0</x:v>
      </x:c>
      <x:c r="J866">
        <x:f ca="1">IFERROR(IF(0=LEN(ReferenceData!$J$866),"",ReferenceData!$J$866),"")</x:f>
        <x:v>0</x:v>
      </x:c>
      <x:c r="K866">
        <x:f ca="1">IFERROR(IF(0=LEN(ReferenceData!$K$866),"",ReferenceData!$K$866),"")</x:f>
        <x:v>0</x:v>
      </x:c>
      <x:c r="L866">
        <x:f ca="1">IFERROR(IF(0=LEN(ReferenceData!$L$866),"",ReferenceData!$L$866),"")</x:f>
        <x:v>0</x:v>
      </x:c>
      <x:c r="M866">
        <x:f ca="1">IFERROR(IF(0=LEN(ReferenceData!$M$866),"",ReferenceData!$M$866),"")</x:f>
        <x:v>0</x:v>
      </x:c>
      <x:c r="N866">
        <x:f ca="1">IFERROR(IF(0=LEN(ReferenceData!$N$866),"",ReferenceData!$N$866),"")</x:f>
        <x:v>0</x:v>
      </x:c>
      <x:c r="O866">
        <x:f ca="1">IFERROR(IF(0=LEN(ReferenceData!$O$866),"",ReferenceData!$O$866),"")</x:f>
        <x:v>0</x:v>
      </x:c>
      <x:c r="P866">
        <x:f ca="1">IFERROR(IF(0=LEN(ReferenceData!$P$866),"",ReferenceData!$P$866),"")</x:f>
        <x:v>0</x:v>
      </x:c>
      <x:c r="Q866">
        <x:f ca="1">IFERROR(IF(0=LEN(ReferenceData!$Q$866),"",ReferenceData!$Q$866),"")</x:f>
        <x:v>0</x:v>
      </x:c>
      <x:c r="R866">
        <x:f ca="1">IFERROR(IF(0=LEN(ReferenceData!$R$866),"",ReferenceData!$R$866),"")</x:f>
        <x:v>0</x:v>
      </x:c>
      <x:c r="S866">
        <x:f ca="1">IFERROR(IF(0=LEN(ReferenceData!$S$866),"",ReferenceData!$S$866),"")</x:f>
        <x:v>0</x:v>
      </x:c>
    </x:row>
    <x:row r="867" spans="1:19" x14ac:dyDescent="0.25">
      <x:c r="A867" t="str">
        <x:f>IFERROR(IF(0=LEN(ReferenceData!$A$867),"",ReferenceData!$A$867),"")</x:f>
        <x:v xml:space="preserve">        Broad/ Other</x:v>
      </x:c>
      <x:c r="B867" t="str">
        <x:f>IFERROR(IF(0=LEN(ReferenceData!$B$867),"",ReferenceData!$B$867),"")</x:f>
        <x:v/>
      </x:c>
      <x:c r="C867" t="str">
        <x:f>IFERROR(IF(0=LEN(ReferenceData!$C$867),"",ReferenceData!$C$867),"")</x:f>
        <x:v/>
      </x:c>
      <x:c r="D867" t="str">
        <x:f>IFERROR(IF(0=LEN(ReferenceData!$D$867),"",ReferenceData!$D$867),"")</x:f>
        <x:v/>
      </x:c>
      <x:c r="E867" t="str">
        <x:f>IFERROR(IF(0=LEN(ReferenceData!$E$867),"",ReferenceData!$E$867),"")</x:f>
        <x:v>Sum</x:v>
      </x:c>
      <x:c r="F867">
        <x:f ca="1">IFERROR(IF(0=LEN(ReferenceData!$F$867),"",ReferenceData!$F$867),"")</x:f>
        <x:v>-26.911553000000001</x:v>
      </x:c>
      <x:c r="G867">
        <x:f ca="1">IFERROR(IF(0=LEN(ReferenceData!$G$867),"",ReferenceData!$G$867),"")</x:f>
        <x:v>-43.390701999999997</x:v>
      </x:c>
      <x:c r="H867">
        <x:f ca="1">IFERROR(IF(0=LEN(ReferenceData!$H$867),"",ReferenceData!$H$867),"")</x:f>
        <x:v>-10.142296999999999</x:v>
      </x:c>
      <x:c r="I867">
        <x:f ca="1">IFERROR(IF(0=LEN(ReferenceData!$I$867),"",ReferenceData!$I$867),"")</x:f>
        <x:v>-1.4942519999999995</x:v>
      </x:c>
      <x:c r="J867">
        <x:f ca="1">IFERROR(IF(0=LEN(ReferenceData!$J$867),"",ReferenceData!$J$867),"")</x:f>
        <x:v>-11.274118</x:v>
      </x:c>
      <x:c r="K867">
        <x:f ca="1">IFERROR(IF(0=LEN(ReferenceData!$K$867),"",ReferenceData!$K$867),"")</x:f>
        <x:v>-4.3766560000000005</x:v>
      </x:c>
      <x:c r="L867">
        <x:f ca="1">IFERROR(IF(0=LEN(ReferenceData!$L$867),"",ReferenceData!$L$867),"")</x:f>
        <x:v>-1.1518559999999995</x:v>
      </x:c>
      <x:c r="M867">
        <x:f ca="1">IFERROR(IF(0=LEN(ReferenceData!$M$867),"",ReferenceData!$M$867),"")</x:f>
        <x:v>3.3492639999999998</x:v>
      </x:c>
      <x:c r="N867">
        <x:f ca="1">IFERROR(IF(0=LEN(ReferenceData!$N$867),"",ReferenceData!$N$867),"")</x:f>
        <x:v>-7.9255000000000004</x:v>
      </x:c>
      <x:c r="O867">
        <x:f ca="1">IFERROR(IF(0=LEN(ReferenceData!$O$867),"",ReferenceData!$O$867),"")</x:f>
        <x:v>5.9325910000000039</x:v>
      </x:c>
      <x:c r="P867">
        <x:f ca="1">IFERROR(IF(0=LEN(ReferenceData!$P$867),"",ReferenceData!$P$867),"")</x:f>
        <x:v>5.8135069999999995</x:v>
      </x:c>
      <x:c r="Q867">
        <x:f ca="1">IFERROR(IF(0=LEN(ReferenceData!$Q$867),"",ReferenceData!$Q$867),"")</x:f>
        <x:v>15.577337</x:v>
      </x:c>
      <x:c r="R867">
        <x:f ca="1">IFERROR(IF(0=LEN(ReferenceData!$R$867),"",ReferenceData!$R$867),"")</x:f>
        <x:v>-1.7191989999999988</x:v>
      </x:c>
      <x:c r="S867">
        <x:f ca="1">IFERROR(IF(0=LEN(ReferenceData!$S$867),"",ReferenceData!$S$867),"")</x:f>
        <x:v>216.63319999999999</x:v>
      </x:c>
    </x:row>
    <x:row r="868" spans="1:19" x14ac:dyDescent="0.25">
      <x:c r="A868" t="str">
        <x:f>IFERROR(IF(0=LEN(ReferenceData!$A$868),"",ReferenceData!$A$868),"")</x:f>
        <x:v xml:space="preserve">            ARK Israel Innovative Technolo</x:v>
      </x:c>
      <x:c r="B868" t="str">
        <x:f>IFERROR(IF(0=LEN(ReferenceData!$B$868),"",ReferenceData!$B$868),"")</x:f>
        <x:v>IZRL US Equity</x:v>
      </x:c>
      <x:c r="C868" t="str">
        <x:f>IFERROR(IF(0=LEN(ReferenceData!$C$868),"",ReferenceData!$C$868),"")</x:f>
        <x:v/>
      </x:c>
      <x:c r="D868" t="str">
        <x:f>IFERROR(IF(0=LEN(ReferenceData!$D$868),"",ReferenceData!$D$868),"")</x:f>
        <x:v/>
      </x:c>
      <x:c r="E868" t="str">
        <x:f>IFERROR(IF(0=LEN(ReferenceData!$E$868),"",ReferenceData!$E$868),"")</x:f>
        <x:v>Expression</x:v>
      </x:c>
      <x:c r="F868">
        <x:f ca="1">IFERROR(IF(0=LEN(ReferenceData!$F$868),"",ReferenceData!$F$868),"")</x:f>
        <x:v>-2.0570810000000002</x:v>
      </x:c>
      <x:c r="G868">
        <x:f ca="1">IFERROR(IF(0=LEN(ReferenceData!$G$868),"",ReferenceData!$G$868),"")</x:f>
        <x:v>-7.1890790000000004</x:v>
      </x:c>
      <x:c r="H868">
        <x:f ca="1">IFERROR(IF(0=LEN(ReferenceData!$H$868),"",ReferenceData!$H$868),"")</x:f>
        <x:v>0</x:v>
      </x:c>
      <x:c r="I868">
        <x:f ca="1">IFERROR(IF(0=LEN(ReferenceData!$I$868),"",ReferenceData!$I$868),"")</x:f>
        <x:v>2.4608449999999999</x:v>
      </x:c>
      <x:c r="J868">
        <x:f ca="1">IFERROR(IF(0=LEN(ReferenceData!$J$868),"",ReferenceData!$J$868),"")</x:f>
        <x:v>-4.9918870000000002</x:v>
      </x:c>
      <x:c r="K868">
        <x:f ca="1">IFERROR(IF(0=LEN(ReferenceData!$K$868),"",ReferenceData!$K$868),"")</x:f>
        <x:v>-2.4115549999999999</x:v>
      </x:c>
      <x:c r="L868">
        <x:f ca="1">IFERROR(IF(0=LEN(ReferenceData!$L$868),"",ReferenceData!$L$868),"")</x:f>
        <x:v>-3.502783</x:v>
      </x:c>
      <x:c r="M868">
        <x:f ca="1">IFERROR(IF(0=LEN(ReferenceData!$M$868),"",ReferenceData!$M$868),"")</x:f>
        <x:v>0</x:v>
      </x:c>
      <x:c r="N868">
        <x:f ca="1">IFERROR(IF(0=LEN(ReferenceData!$N$868),"",ReferenceData!$N$868),"")</x:f>
        <x:v>-0.88348199999999999</x:v>
      </x:c>
      <x:c r="O868">
        <x:f ca="1">IFERROR(IF(0=LEN(ReferenceData!$O$868),"",ReferenceData!$O$868),"")</x:f>
        <x:v>0</x:v>
      </x:c>
      <x:c r="P868">
        <x:f ca="1">IFERROR(IF(0=LEN(ReferenceData!$P$868),"",ReferenceData!$P$868),"")</x:f>
        <x:v>-4.5148710000000003</x:v>
      </x:c>
      <x:c r="Q868">
        <x:f ca="1">IFERROR(IF(0=LEN(ReferenceData!$Q$868),"",ReferenceData!$Q$868),"")</x:f>
        <x:v>2.6262210000000001</x:v>
      </x:c>
      <x:c r="R868">
        <x:f ca="1">IFERROR(IF(0=LEN(ReferenceData!$R$868),"",ReferenceData!$R$868),"")</x:f>
        <x:v>-0.89834899999999995</x:v>
      </x:c>
      <x:c r="S868">
        <x:f ca="1">IFERROR(IF(0=LEN(ReferenceData!$S$868),"",ReferenceData!$S$868),"")</x:f>
        <x:v>-2.6162329999999998</x:v>
      </x:c>
    </x:row>
    <x:row r="869" spans="1:19" x14ac:dyDescent="0.25">
      <x:c r="A869" t="str">
        <x:f>IFERROR(IF(0=LEN(ReferenceData!$A$869),"",ReferenceData!$A$869),"")</x:f>
        <x:v xml:space="preserve">            The 3D Printing ETF</x:v>
      </x:c>
      <x:c r="B869" t="str">
        <x:f>IFERROR(IF(0=LEN(ReferenceData!$B$869),"",ReferenceData!$B$869),"")</x:f>
        <x:v>PRNT US Equity</x:v>
      </x:c>
      <x:c r="C869" t="str">
        <x:f>IFERROR(IF(0=LEN(ReferenceData!$C$869),"",ReferenceData!$C$869),"")</x:f>
        <x:v/>
      </x:c>
      <x:c r="D869" t="str">
        <x:f>IFERROR(IF(0=LEN(ReferenceData!$D$869),"",ReferenceData!$D$869),"")</x:f>
        <x:v/>
      </x:c>
      <x:c r="E869" t="str">
        <x:f>IFERROR(IF(0=LEN(ReferenceData!$E$869),"",ReferenceData!$E$869),"")</x:f>
        <x:v>Expression</x:v>
      </x:c>
      <x:c r="F869">
        <x:f ca="1">IFERROR(IF(0=LEN(ReferenceData!$F$869),"",ReferenceData!$F$869),"")</x:f>
        <x:v>0</x:v>
      </x:c>
      <x:c r="G869">
        <x:f ca="1">IFERROR(IF(0=LEN(ReferenceData!$G$869),"",ReferenceData!$G$869),"")</x:f>
        <x:v>-2.9207580000000002</x:v>
      </x:c>
      <x:c r="H869">
        <x:f ca="1">IFERROR(IF(0=LEN(ReferenceData!$H$869),"",ReferenceData!$H$869),"")</x:f>
        <x:v>-3.0474350000000001</x:v>
      </x:c>
      <x:c r="I869">
        <x:f ca="1">IFERROR(IF(0=LEN(ReferenceData!$I$869),"",ReferenceData!$I$869),"")</x:f>
        <x:v>-5.5826209999999996</x:v>
      </x:c>
      <x:c r="J869">
        <x:f ca="1">IFERROR(IF(0=LEN(ReferenceData!$J$869),"",ReferenceData!$J$869),"")</x:f>
        <x:v>-1.2475590000000001</x:v>
      </x:c>
      <x:c r="K869">
        <x:f ca="1">IFERROR(IF(0=LEN(ReferenceData!$K$869),"",ReferenceData!$K$869),"")</x:f>
        <x:v>-0.98722100000000002</x:v>
      </x:c>
      <x:c r="L869">
        <x:f ca="1">IFERROR(IF(0=LEN(ReferenceData!$L$869),"",ReferenceData!$L$869),"")</x:f>
        <x:v>-2.160507</x:v>
      </x:c>
      <x:c r="M869">
        <x:f ca="1">IFERROR(IF(0=LEN(ReferenceData!$M$869),"",ReferenceData!$M$869),"")</x:f>
        <x:v>-1.1246590000000001</x:v>
      </x:c>
      <x:c r="N869">
        <x:f ca="1">IFERROR(IF(0=LEN(ReferenceData!$N$869),"",ReferenceData!$N$869),"")</x:f>
        <x:v>-4.3785910000000001</x:v>
      </x:c>
      <x:c r="O869">
        <x:f ca="1">IFERROR(IF(0=LEN(ReferenceData!$O$869),"",ReferenceData!$O$869),"")</x:f>
        <x:v>-4.9033600000000002</x:v>
      </x:c>
      <x:c r="P869">
        <x:f ca="1">IFERROR(IF(0=LEN(ReferenceData!$P$869),"",ReferenceData!$P$869),"")</x:f>
        <x:v>-5.5683889999999998</x:v>
      </x:c>
      <x:c r="Q869">
        <x:f ca="1">IFERROR(IF(0=LEN(ReferenceData!$Q$869),"",ReferenceData!$Q$869),"")</x:f>
        <x:v>-1.0916429999999999</x:v>
      </x:c>
      <x:c r="R869">
        <x:f ca="1">IFERROR(IF(0=LEN(ReferenceData!$R$869),"",ReferenceData!$R$869),"")</x:f>
        <x:v>0</x:v>
      </x:c>
      <x:c r="S869">
        <x:f ca="1">IFERROR(IF(0=LEN(ReferenceData!$S$869),"",ReferenceData!$S$869),"")</x:f>
        <x:v>-7.0532130000000004</x:v>
      </x:c>
    </x:row>
    <x:row r="870" spans="1:19" x14ac:dyDescent="0.25">
      <x:c r="A870" t="str">
        <x:f>IFERROR(IF(0=LEN(ReferenceData!$A$870),"",ReferenceData!$A$870),"")</x:f>
        <x:v xml:space="preserve">            Knowledge Leaders Developed Wo</x:v>
      </x:c>
      <x:c r="B870" t="str">
        <x:f>IFERROR(IF(0=LEN(ReferenceData!$B$870),"",ReferenceData!$B$870),"")</x:f>
        <x:v>KLDW US Equity</x:v>
      </x:c>
      <x:c r="C870" t="str">
        <x:f>IFERROR(IF(0=LEN(ReferenceData!$C$870),"",ReferenceData!$C$870),"")</x:f>
        <x:v/>
      </x:c>
      <x:c r="D870" t="str">
        <x:f>IFERROR(IF(0=LEN(ReferenceData!$D$870),"",ReferenceData!$D$870),"")</x:f>
        <x:v/>
      </x:c>
      <x:c r="E870" t="str">
        <x:f>IFERROR(IF(0=LEN(ReferenceData!$E$870),"",ReferenceData!$E$870),"")</x:f>
        <x:v>Expression</x:v>
      </x:c>
      <x:c r="F870">
        <x:f ca="1">IFERROR(IF(0=LEN(ReferenceData!$F$870),"",ReferenceData!$F$870),"")</x:f>
        <x:v>0</x:v>
      </x:c>
      <x:c r="G870">
        <x:f ca="1">IFERROR(IF(0=LEN(ReferenceData!$G$870),"",ReferenceData!$G$870),"")</x:f>
        <x:v>-3.7908499999999998</x:v>
      </x:c>
      <x:c r="H870">
        <x:f ca="1">IFERROR(IF(0=LEN(ReferenceData!$H$870),"",ReferenceData!$H$870),"")</x:f>
        <x:v>0</x:v>
      </x:c>
      <x:c r="I870">
        <x:f ca="1">IFERROR(IF(0=LEN(ReferenceData!$I$870),"",ReferenceData!$I$870),"")</x:f>
        <x:v>0</x:v>
      </x:c>
      <x:c r="J870">
        <x:f ca="1">IFERROR(IF(0=LEN(ReferenceData!$J$870),"",ReferenceData!$J$870),"")</x:f>
        <x:v>0</x:v>
      </x:c>
      <x:c r="K870">
        <x:f ca="1">IFERROR(IF(0=LEN(ReferenceData!$K$870),"",ReferenceData!$K$870),"")</x:f>
        <x:v>0</x:v>
      </x:c>
      <x:c r="L870">
        <x:f ca="1">IFERROR(IF(0=LEN(ReferenceData!$L$870),"",ReferenceData!$L$870),"")</x:f>
        <x:v>0</x:v>
      </x:c>
      <x:c r="M870">
        <x:f ca="1">IFERROR(IF(0=LEN(ReferenceData!$M$870),"",ReferenceData!$M$870),"")</x:f>
        <x:v>-4.0047300000000003</x:v>
      </x:c>
      <x:c r="N870">
        <x:f ca="1">IFERROR(IF(0=LEN(ReferenceData!$N$870),"",ReferenceData!$N$870),"")</x:f>
        <x:v>0</x:v>
      </x:c>
      <x:c r="O870">
        <x:f ca="1">IFERROR(IF(0=LEN(ReferenceData!$O$870),"",ReferenceData!$O$870),"")</x:f>
        <x:v>-3.9115000000000002</x:v>
      </x:c>
      <x:c r="P870">
        <x:f ca="1">IFERROR(IF(0=LEN(ReferenceData!$P$870),"",ReferenceData!$P$870),"")</x:f>
        <x:v>0</x:v>
      </x:c>
      <x:c r="Q870">
        <x:f ca="1">IFERROR(IF(0=LEN(ReferenceData!$Q$870),"",ReferenceData!$Q$870),"")</x:f>
        <x:v>0</x:v>
      </x:c>
      <x:c r="R870">
        <x:f ca="1">IFERROR(IF(0=LEN(ReferenceData!$R$870),"",ReferenceData!$R$870),"")</x:f>
        <x:v>-5.0421649999999998</x:v>
      </x:c>
      <x:c r="S870">
        <x:f ca="1">IFERROR(IF(0=LEN(ReferenceData!$S$870),"",ReferenceData!$S$870),"")</x:f>
        <x:v>-1.684995</x:v>
      </x:c>
    </x:row>
    <x:row r="871" spans="1:19" x14ac:dyDescent="0.25">
      <x:c r="A871" t="str">
        <x:f>IFERROR(IF(0=LEN(ReferenceData!$A$871),"",ReferenceData!$A$871),"")</x:f>
        <x:v xml:space="preserve">            Nashville Area ETF</x:v>
      </x:c>
      <x:c r="B871" t="str">
        <x:f>IFERROR(IF(0=LEN(ReferenceData!$B$871),"",ReferenceData!$B$871),"")</x:f>
        <x:v>NASH US Equity</x:v>
      </x:c>
      <x:c r="C871" t="str">
        <x:f>IFERROR(IF(0=LEN(ReferenceData!$C$871),"",ReferenceData!$C$871),"")</x:f>
        <x:v/>
      </x:c>
      <x:c r="D871" t="str">
        <x:f>IFERROR(IF(0=LEN(ReferenceData!$D$871),"",ReferenceData!$D$871),"")</x:f>
        <x:v/>
      </x:c>
      <x:c r="E871" t="str">
        <x:f>IFERROR(IF(0=LEN(ReferenceData!$E$871),"",ReferenceData!$E$871),"")</x:f>
        <x:v>Expression</x:v>
      </x:c>
      <x:c r="F871" t="str">
        <x:f ca="1">IFERROR(IF(0=LEN(ReferenceData!$F$871),"",ReferenceData!$F$871),"")</x:f>
        <x:v/>
      </x:c>
      <x:c r="G871" t="str">
        <x:f ca="1">IFERROR(IF(0=LEN(ReferenceData!$G$871),"",ReferenceData!$G$871),"")</x:f>
        <x:v/>
      </x:c>
      <x:c r="H871" t="str">
        <x:f ca="1">IFERROR(IF(0=LEN(ReferenceData!$H$871),"",ReferenceData!$H$871),"")</x:f>
        <x:v/>
      </x:c>
      <x:c r="I871" t="str">
        <x:f ca="1">IFERROR(IF(0=LEN(ReferenceData!$I$871),"",ReferenceData!$I$871),"")</x:f>
        <x:v/>
      </x:c>
      <x:c r="J871" t="str">
        <x:f ca="1">IFERROR(IF(0=LEN(ReferenceData!$J$871),"",ReferenceData!$J$871),"")</x:f>
        <x:v/>
      </x:c>
      <x:c r="K871" t="str">
        <x:f ca="1">IFERROR(IF(0=LEN(ReferenceData!$K$871),"",ReferenceData!$K$871),"")</x:f>
        <x:v/>
      </x:c>
      <x:c r="L871" t="str">
        <x:f ca="1">IFERROR(IF(0=LEN(ReferenceData!$L$871),"",ReferenceData!$L$871),"")</x:f>
        <x:v/>
      </x:c>
      <x:c r="M871" t="str">
        <x:f ca="1">IFERROR(IF(0=LEN(ReferenceData!$M$871),"",ReferenceData!$M$871),"")</x:f>
        <x:v/>
      </x:c>
      <x:c r="N871" t="str">
        <x:f ca="1">IFERROR(IF(0=LEN(ReferenceData!$N$871),"",ReferenceData!$N$871),"")</x:f>
        <x:v/>
      </x:c>
      <x:c r="O871" t="str">
        <x:f ca="1">IFERROR(IF(0=LEN(ReferenceData!$O$871),"",ReferenceData!$O$871),"")</x:f>
        <x:v/>
      </x:c>
      <x:c r="P871" t="str">
        <x:f ca="1">IFERROR(IF(0=LEN(ReferenceData!$P$871),"",ReferenceData!$P$871),"")</x:f>
        <x:v/>
      </x:c>
      <x:c r="Q871" t="str">
        <x:f ca="1">IFERROR(IF(0=LEN(ReferenceData!$Q$871),"",ReferenceData!$Q$871),"")</x:f>
        <x:v/>
      </x:c>
      <x:c r="R871" t="str">
        <x:f ca="1">IFERROR(IF(0=LEN(ReferenceData!$R$871),"",ReferenceData!$R$871),"")</x:f>
        <x:v/>
      </x:c>
      <x:c r="S871" t="str">
        <x:f ca="1">IFERROR(IF(0=LEN(ReferenceData!$S$871),"",ReferenceData!$S$871),"")</x:f>
        <x:v/>
      </x:c>
    </x:row>
    <x:row r="872" spans="1:19" x14ac:dyDescent="0.25">
      <x:c r="A872" t="str">
        <x:f>IFERROR(IF(0=LEN(ReferenceData!$A$872),"",ReferenceData!$A$872),"")</x:f>
        <x:v xml:space="preserve">            Buzz US Sentiment Leaders ETF</x:v>
      </x:c>
      <x:c r="B872" t="str">
        <x:f>IFERROR(IF(0=LEN(ReferenceData!$B$872),"",ReferenceData!$B$872),"")</x:f>
        <x:v>BUZ US Equity</x:v>
      </x:c>
      <x:c r="C872" t="str">
        <x:f>IFERROR(IF(0=LEN(ReferenceData!$C$872),"",ReferenceData!$C$872),"")</x:f>
        <x:v/>
      </x:c>
      <x:c r="D872" t="str">
        <x:f>IFERROR(IF(0=LEN(ReferenceData!$D$872),"",ReferenceData!$D$872),"")</x:f>
        <x:v/>
      </x:c>
      <x:c r="E872" t="str">
        <x:f>IFERROR(IF(0=LEN(ReferenceData!$E$872),"",ReferenceData!$E$872),"")</x:f>
        <x:v>Expression</x:v>
      </x:c>
      <x:c r="F872" t="str">
        <x:f ca="1">IFERROR(IF(0=LEN(ReferenceData!$F$872),"",ReferenceData!$F$872),"")</x:f>
        <x:v/>
      </x:c>
      <x:c r="G872" t="str">
        <x:f ca="1">IFERROR(IF(0=LEN(ReferenceData!$G$872),"",ReferenceData!$G$872),"")</x:f>
        <x:v/>
      </x:c>
      <x:c r="H872" t="str">
        <x:f ca="1">IFERROR(IF(0=LEN(ReferenceData!$H$872),"",ReferenceData!$H$872),"")</x:f>
        <x:v/>
      </x:c>
      <x:c r="I872" t="str">
        <x:f ca="1">IFERROR(IF(0=LEN(ReferenceData!$I$872),"",ReferenceData!$I$872),"")</x:f>
        <x:v/>
      </x:c>
      <x:c r="J872" t="str">
        <x:f ca="1">IFERROR(IF(0=LEN(ReferenceData!$J$872),"",ReferenceData!$J$872),"")</x:f>
        <x:v/>
      </x:c>
      <x:c r="K872" t="str">
        <x:f ca="1">IFERROR(IF(0=LEN(ReferenceData!$K$872),"",ReferenceData!$K$872),"")</x:f>
        <x:v/>
      </x:c>
      <x:c r="L872" t="str">
        <x:f ca="1">IFERROR(IF(0=LEN(ReferenceData!$L$872),"",ReferenceData!$L$872),"")</x:f>
        <x:v/>
      </x:c>
      <x:c r="M872" t="str">
        <x:f ca="1">IFERROR(IF(0=LEN(ReferenceData!$M$872),"",ReferenceData!$M$872),"")</x:f>
        <x:v/>
      </x:c>
      <x:c r="N872" t="str">
        <x:f ca="1">IFERROR(IF(0=LEN(ReferenceData!$N$872),"",ReferenceData!$N$872),"")</x:f>
        <x:v/>
      </x:c>
      <x:c r="O872" t="str">
        <x:f ca="1">IFERROR(IF(0=LEN(ReferenceData!$O$872),"",ReferenceData!$O$872),"")</x:f>
        <x:v/>
      </x:c>
      <x:c r="P872" t="str">
        <x:f ca="1">IFERROR(IF(0=LEN(ReferenceData!$P$872),"",ReferenceData!$P$872),"")</x:f>
        <x:v/>
      </x:c>
      <x:c r="Q872" t="str">
        <x:f ca="1">IFERROR(IF(0=LEN(ReferenceData!$Q$872),"",ReferenceData!$Q$872),"")</x:f>
        <x:v/>
      </x:c>
      <x:c r="R872" t="str">
        <x:f ca="1">IFERROR(IF(0=LEN(ReferenceData!$R$872),"",ReferenceData!$R$872),"")</x:f>
        <x:v/>
      </x:c>
      <x:c r="S872" t="str">
        <x:f ca="1">IFERROR(IF(0=LEN(ReferenceData!$S$872),"",ReferenceData!$S$872),"")</x:f>
        <x:v/>
      </x:c>
    </x:row>
    <x:row r="873" spans="1:19" x14ac:dyDescent="0.25">
      <x:c r="A873" t="str">
        <x:f>IFERROR(IF(0=LEN(ReferenceData!$A$873),"",ReferenceData!$A$873),"")</x:f>
        <x:v xml:space="preserve">            VanEck Vectors Spin-Off ETF</x:v>
      </x:c>
      <x:c r="B873" t="str">
        <x:f>IFERROR(IF(0=LEN(ReferenceData!$B$873),"",ReferenceData!$B$873),"")</x:f>
        <x:v>SPUN US Equity</x:v>
      </x:c>
      <x:c r="C873" t="str">
        <x:f>IFERROR(IF(0=LEN(ReferenceData!$C$873),"",ReferenceData!$C$873),"")</x:f>
        <x:v/>
      </x:c>
      <x:c r="D873" t="str">
        <x:f>IFERROR(IF(0=LEN(ReferenceData!$D$873),"",ReferenceData!$D$873),"")</x:f>
        <x:v/>
      </x:c>
      <x:c r="E873" t="str">
        <x:f>IFERROR(IF(0=LEN(ReferenceData!$E$873),"",ReferenceData!$E$873),"")</x:f>
        <x:v>Expression</x:v>
      </x:c>
      <x:c r="F873" t="str">
        <x:f ca="1">IFERROR(IF(0=LEN(ReferenceData!$F$873),"",ReferenceData!$F$873),"")</x:f>
        <x:v/>
      </x:c>
      <x:c r="G873" t="str">
        <x:f ca="1">IFERROR(IF(0=LEN(ReferenceData!$G$873),"",ReferenceData!$G$873),"")</x:f>
        <x:v/>
      </x:c>
      <x:c r="H873" t="str">
        <x:f ca="1">IFERROR(IF(0=LEN(ReferenceData!$H$873),"",ReferenceData!$H$873),"")</x:f>
        <x:v/>
      </x:c>
      <x:c r="I873" t="str">
        <x:f ca="1">IFERROR(IF(0=LEN(ReferenceData!$I$873),"",ReferenceData!$I$873),"")</x:f>
        <x:v/>
      </x:c>
      <x:c r="J873" t="str">
        <x:f ca="1">IFERROR(IF(0=LEN(ReferenceData!$J$873),"",ReferenceData!$J$873),"")</x:f>
        <x:v/>
      </x:c>
      <x:c r="K873" t="str">
        <x:f ca="1">IFERROR(IF(0=LEN(ReferenceData!$K$873),"",ReferenceData!$K$873),"")</x:f>
        <x:v/>
      </x:c>
      <x:c r="L873" t="str">
        <x:f ca="1">IFERROR(IF(0=LEN(ReferenceData!$L$873),"",ReferenceData!$L$873),"")</x:f>
        <x:v/>
      </x:c>
      <x:c r="M873" t="str">
        <x:f ca="1">IFERROR(IF(0=LEN(ReferenceData!$M$873),"",ReferenceData!$M$873),"")</x:f>
        <x:v/>
      </x:c>
      <x:c r="N873" t="str">
        <x:f ca="1">IFERROR(IF(0=LEN(ReferenceData!$N$873),"",ReferenceData!$N$873),"")</x:f>
        <x:v/>
      </x:c>
      <x:c r="O873" t="str">
        <x:f ca="1">IFERROR(IF(0=LEN(ReferenceData!$O$873),"",ReferenceData!$O$873),"")</x:f>
        <x:v/>
      </x:c>
      <x:c r="P873" t="str">
        <x:f ca="1">IFERROR(IF(0=LEN(ReferenceData!$P$873),"",ReferenceData!$P$873),"")</x:f>
        <x:v/>
      </x:c>
      <x:c r="Q873" t="str">
        <x:f ca="1">IFERROR(IF(0=LEN(ReferenceData!$Q$873),"",ReferenceData!$Q$873),"")</x:f>
        <x:v/>
      </x:c>
      <x:c r="R873" t="str">
        <x:f ca="1">IFERROR(IF(0=LEN(ReferenceData!$R$873),"",ReferenceData!$R$873),"")</x:f>
        <x:v/>
      </x:c>
      <x:c r="S873" t="str">
        <x:f ca="1">IFERROR(IF(0=LEN(ReferenceData!$S$873),"",ReferenceData!$S$873),"")</x:f>
        <x:v/>
      </x:c>
    </x:row>
    <x:row r="874" spans="1:19" x14ac:dyDescent="0.25">
      <x:c r="A874" t="str">
        <x:f>IFERROR(IF(0=LEN(ReferenceData!$A$874),"",ReferenceData!$A$874),"")</x:f>
        <x:v xml:space="preserve">            Global X Founder - Run Compani</x:v>
      </x:c>
      <x:c r="B874" t="str">
        <x:f>IFERROR(IF(0=LEN(ReferenceData!$B$874),"",ReferenceData!$B$874),"")</x:f>
        <x:v>BOSS US Equity</x:v>
      </x:c>
      <x:c r="C874" t="str">
        <x:f>IFERROR(IF(0=LEN(ReferenceData!$C$874),"",ReferenceData!$C$874),"")</x:f>
        <x:v/>
      </x:c>
      <x:c r="D874" t="str">
        <x:f>IFERROR(IF(0=LEN(ReferenceData!$D$874),"",ReferenceData!$D$874),"")</x:f>
        <x:v/>
      </x:c>
      <x:c r="E874" t="str">
        <x:f>IFERROR(IF(0=LEN(ReferenceData!$E$874),"",ReferenceData!$E$874),"")</x:f>
        <x:v>Expression</x:v>
      </x:c>
      <x:c r="F874">
        <x:f ca="1">IFERROR(IF(0=LEN(ReferenceData!$F$874),"",ReferenceData!$F$874),"")</x:f>
        <x:v>0</x:v>
      </x:c>
      <x:c r="G874">
        <x:f ca="1">IFERROR(IF(0=LEN(ReferenceData!$G$874),"",ReferenceData!$G$874),"")</x:f>
        <x:v>0</x:v>
      </x:c>
      <x:c r="H874">
        <x:f ca="1">IFERROR(IF(0=LEN(ReferenceData!$H$874),"",ReferenceData!$H$874),"")</x:f>
        <x:v>0</x:v>
      </x:c>
      <x:c r="I874">
        <x:f ca="1">IFERROR(IF(0=LEN(ReferenceData!$I$874),"",ReferenceData!$I$874),"")</x:f>
        <x:v>0</x:v>
      </x:c>
      <x:c r="J874">
        <x:f ca="1">IFERROR(IF(0=LEN(ReferenceData!$J$874),"",ReferenceData!$J$874),"")</x:f>
        <x:v>0</x:v>
      </x:c>
      <x:c r="K874">
        <x:f ca="1">IFERROR(IF(0=LEN(ReferenceData!$K$874),"",ReferenceData!$K$874),"")</x:f>
        <x:v>-0.50560000000000005</x:v>
      </x:c>
      <x:c r="L874">
        <x:f ca="1">IFERROR(IF(0=LEN(ReferenceData!$L$874),"",ReferenceData!$L$874),"")</x:f>
        <x:v>0</x:v>
      </x:c>
      <x:c r="M874">
        <x:f ca="1">IFERROR(IF(0=LEN(ReferenceData!$M$874),"",ReferenceData!$M$874),"")</x:f>
        <x:v>0</x:v>
      </x:c>
      <x:c r="N874">
        <x:f ca="1">IFERROR(IF(0=LEN(ReferenceData!$N$874),"",ReferenceData!$N$874),"")</x:f>
        <x:v>-0.6966</x:v>
      </x:c>
      <x:c r="O874">
        <x:f ca="1">IFERROR(IF(0=LEN(ReferenceData!$O$874),"",ReferenceData!$O$874),"")</x:f>
        <x:v>0</x:v>
      </x:c>
      <x:c r="P874">
        <x:f ca="1">IFERROR(IF(0=LEN(ReferenceData!$P$874),"",ReferenceData!$P$874),"")</x:f>
        <x:v>-0.70469999999999999</x:v>
      </x:c>
      <x:c r="Q874">
        <x:f ca="1">IFERROR(IF(0=LEN(ReferenceData!$Q$874),"",ReferenceData!$Q$874),"")</x:f>
        <x:v>0</x:v>
      </x:c>
      <x:c r="R874">
        <x:f ca="1">IFERROR(IF(0=LEN(ReferenceData!$R$874),"",ReferenceData!$R$874),"")</x:f>
        <x:v>-0.47570000000000001</x:v>
      </x:c>
      <x:c r="S874">
        <x:f ca="1">IFERROR(IF(0=LEN(ReferenceData!$S$874),"",ReferenceData!$S$874),"")</x:f>
        <x:v>0</x:v>
      </x:c>
    </x:row>
    <x:row r="875" spans="1:19" x14ac:dyDescent="0.25">
      <x:c r="A875" t="str">
        <x:f>IFERROR(IF(0=LEN(ReferenceData!$A$875),"",ReferenceData!$A$875),"")</x:f>
        <x:v xml:space="preserve">            ProSports Sponsors ETF</x:v>
      </x:c>
      <x:c r="B875" t="str">
        <x:f>IFERROR(IF(0=LEN(ReferenceData!$B$875),"",ReferenceData!$B$875),"")</x:f>
        <x:v>FANZ US Equity</x:v>
      </x:c>
      <x:c r="C875" t="str">
        <x:f>IFERROR(IF(0=LEN(ReferenceData!$C$875),"",ReferenceData!$C$875),"")</x:f>
        <x:v/>
      </x:c>
      <x:c r="D875" t="str">
        <x:f>IFERROR(IF(0=LEN(ReferenceData!$D$875),"",ReferenceData!$D$875),"")</x:f>
        <x:v/>
      </x:c>
      <x:c r="E875" t="str">
        <x:f>IFERROR(IF(0=LEN(ReferenceData!$E$875),"",ReferenceData!$E$875),"")</x:f>
        <x:v>Expression</x:v>
      </x:c>
      <x:c r="F875" t="str">
        <x:f ca="1">IFERROR(IF(0=LEN(ReferenceData!$F$875),"",ReferenceData!$F$875),"")</x:f>
        <x:v/>
      </x:c>
      <x:c r="G875" t="str">
        <x:f ca="1">IFERROR(IF(0=LEN(ReferenceData!$G$875),"",ReferenceData!$G$875),"")</x:f>
        <x:v/>
      </x:c>
      <x:c r="H875" t="str">
        <x:f ca="1">IFERROR(IF(0=LEN(ReferenceData!$H$875),"",ReferenceData!$H$875),"")</x:f>
        <x:v/>
      </x:c>
      <x:c r="I875" t="str">
        <x:f ca="1">IFERROR(IF(0=LEN(ReferenceData!$I$875),"",ReferenceData!$I$875),"")</x:f>
        <x:v/>
      </x:c>
      <x:c r="J875" t="str">
        <x:f ca="1">IFERROR(IF(0=LEN(ReferenceData!$J$875),"",ReferenceData!$J$875),"")</x:f>
        <x:v/>
      </x:c>
      <x:c r="K875" t="str">
        <x:f ca="1">IFERROR(IF(0=LEN(ReferenceData!$K$875),"",ReferenceData!$K$875),"")</x:f>
        <x:v/>
      </x:c>
      <x:c r="L875" t="str">
        <x:f ca="1">IFERROR(IF(0=LEN(ReferenceData!$L$875),"",ReferenceData!$L$875),"")</x:f>
        <x:v/>
      </x:c>
      <x:c r="M875" t="str">
        <x:f ca="1">IFERROR(IF(0=LEN(ReferenceData!$M$875),"",ReferenceData!$M$875),"")</x:f>
        <x:v/>
      </x:c>
      <x:c r="N875" t="str">
        <x:f ca="1">IFERROR(IF(0=LEN(ReferenceData!$N$875),"",ReferenceData!$N$875),"")</x:f>
        <x:v/>
      </x:c>
      <x:c r="O875" t="str">
        <x:f ca="1">IFERROR(IF(0=LEN(ReferenceData!$O$875),"",ReferenceData!$O$875),"")</x:f>
        <x:v/>
      </x:c>
      <x:c r="P875" t="str">
        <x:f ca="1">IFERROR(IF(0=LEN(ReferenceData!$P$875),"",ReferenceData!$P$875),"")</x:f>
        <x:v/>
      </x:c>
      <x:c r="Q875" t="str">
        <x:f ca="1">IFERROR(IF(0=LEN(ReferenceData!$Q$875),"",ReferenceData!$Q$875),"")</x:f>
        <x:v/>
      </x:c>
      <x:c r="R875" t="str">
        <x:f ca="1">IFERROR(IF(0=LEN(ReferenceData!$R$875),"",ReferenceData!$R$875),"")</x:f>
        <x:v/>
      </x:c>
      <x:c r="S875" t="str">
        <x:f ca="1">IFERROR(IF(0=LEN(ReferenceData!$S$875),"",ReferenceData!$S$875),"")</x:f>
        <x:v/>
      </x:c>
    </x:row>
    <x:row r="876" spans="1:19" x14ac:dyDescent="0.25">
      <x:c r="A876" t="str">
        <x:f>IFERROR(IF(0=LEN(ReferenceData!$A$876),"",ReferenceData!$A$876),"")</x:f>
        <x:v xml:space="preserve">            Point Bridge America First ETF</x:v>
      </x:c>
      <x:c r="B876" t="str">
        <x:f>IFERROR(IF(0=LEN(ReferenceData!$B$876),"",ReferenceData!$B$876),"")</x:f>
        <x:v>MAGA US Equity</x:v>
      </x:c>
      <x:c r="C876" t="str">
        <x:f>IFERROR(IF(0=LEN(ReferenceData!$C$876),"",ReferenceData!$C$876),"")</x:f>
        <x:v/>
      </x:c>
      <x:c r="D876" t="str">
        <x:f>IFERROR(IF(0=LEN(ReferenceData!$D$876),"",ReferenceData!$D$876),"")</x:f>
        <x:v/>
      </x:c>
      <x:c r="E876" t="str">
        <x:f>IFERROR(IF(0=LEN(ReferenceData!$E$876),"",ReferenceData!$E$876),"")</x:f>
        <x:v>Expression</x:v>
      </x:c>
      <x:c r="F876">
        <x:f ca="1">IFERROR(IF(0=LEN(ReferenceData!$F$876),"",ReferenceData!$F$876),"")</x:f>
        <x:v>0</x:v>
      </x:c>
      <x:c r="G876">
        <x:f ca="1">IFERROR(IF(0=LEN(ReferenceData!$G$876),"",ReferenceData!$G$876),"")</x:f>
        <x:v>0</x:v>
      </x:c>
      <x:c r="H876">
        <x:f ca="1">IFERROR(IF(0=LEN(ReferenceData!$H$876),"",ReferenceData!$H$876),"")</x:f>
        <x:v>1.1670000000000001E-3</x:v>
      </x:c>
      <x:c r="I876">
        <x:f ca="1">IFERROR(IF(0=LEN(ReferenceData!$I$876),"",ReferenceData!$I$876),"")</x:f>
        <x:v>0</x:v>
      </x:c>
      <x:c r="J876">
        <x:f ca="1">IFERROR(IF(0=LEN(ReferenceData!$J$876),"",ReferenceData!$J$876),"")</x:f>
        <x:v>0</x:v>
      </x:c>
      <x:c r="K876">
        <x:f ca="1">IFERROR(IF(0=LEN(ReferenceData!$K$876),"",ReferenceData!$K$876),"")</x:f>
        <x:v>-0.92605800000000005</x:v>
      </x:c>
      <x:c r="L876">
        <x:f ca="1">IFERROR(IF(0=LEN(ReferenceData!$L$876),"",ReferenceData!$L$876),"")</x:f>
        <x:v>0</x:v>
      </x:c>
      <x:c r="M876">
        <x:f ca="1">IFERROR(IF(0=LEN(ReferenceData!$M$876),"",ReferenceData!$M$876),"")</x:f>
        <x:v>0</x:v>
      </x:c>
      <x:c r="N876">
        <x:f ca="1">IFERROR(IF(0=LEN(ReferenceData!$N$876),"",ReferenceData!$N$876),"")</x:f>
        <x:v>0.92622800000000005</x:v>
      </x:c>
      <x:c r="O876">
        <x:f ca="1">IFERROR(IF(0=LEN(ReferenceData!$O$876),"",ReferenceData!$O$876),"")</x:f>
        <x:v>0</x:v>
      </x:c>
      <x:c r="P876">
        <x:f ca="1">IFERROR(IF(0=LEN(ReferenceData!$P$876),"",ReferenceData!$P$876),"")</x:f>
        <x:v>-4.1320000000000003E-2</x:v>
      </x:c>
      <x:c r="Q876">
        <x:f ca="1">IFERROR(IF(0=LEN(ReferenceData!$Q$876),"",ReferenceData!$Q$876),"")</x:f>
        <x:v>0.99034500000000003</x:v>
      </x:c>
      <x:c r="R876">
        <x:f ca="1">IFERROR(IF(0=LEN(ReferenceData!$R$876),"",ReferenceData!$R$876),"")</x:f>
        <x:v>1.9864550000000001</x:v>
      </x:c>
      <x:c r="S876">
        <x:f ca="1">IFERROR(IF(0=LEN(ReferenceData!$S$876),"",ReferenceData!$S$876),"")</x:f>
        <x:v>0</x:v>
      </x:c>
    </x:row>
    <x:row r="877" spans="1:19" x14ac:dyDescent="0.25">
      <x:c r="A877" t="str">
        <x:f>IFERROR(IF(0=LEN(ReferenceData!$A$877),"",ReferenceData!$A$877),"")</x:f>
        <x:v xml:space="preserve">            ETF Series Solutions-Brand Val</x:v>
      </x:c>
      <x:c r="B877" t="str">
        <x:f>IFERROR(IF(0=LEN(ReferenceData!$B$877),"",ReferenceData!$B$877),"")</x:f>
        <x:v>BVAL US Equity</x:v>
      </x:c>
      <x:c r="C877" t="str">
        <x:f>IFERROR(IF(0=LEN(ReferenceData!$C$877),"",ReferenceData!$C$877),"")</x:f>
        <x:v/>
      </x:c>
      <x:c r="D877" t="str">
        <x:f>IFERROR(IF(0=LEN(ReferenceData!$D$877),"",ReferenceData!$D$877),"")</x:f>
        <x:v/>
      </x:c>
      <x:c r="E877" t="str">
        <x:f>IFERROR(IF(0=LEN(ReferenceData!$E$877),"",ReferenceData!$E$877),"")</x:f>
        <x:v>Expression</x:v>
      </x:c>
      <x:c r="F877" t="str">
        <x:f ca="1">IFERROR(IF(0=LEN(ReferenceData!$F$877),"",ReferenceData!$F$877),"")</x:f>
        <x:v/>
      </x:c>
      <x:c r="G877" t="str">
        <x:f ca="1">IFERROR(IF(0=LEN(ReferenceData!$G$877),"",ReferenceData!$G$877),"")</x:f>
        <x:v/>
      </x:c>
      <x:c r="H877" t="str">
        <x:f ca="1">IFERROR(IF(0=LEN(ReferenceData!$H$877),"",ReferenceData!$H$877),"")</x:f>
        <x:v/>
      </x:c>
      <x:c r="I877" t="str">
        <x:f ca="1">IFERROR(IF(0=LEN(ReferenceData!$I$877),"",ReferenceData!$I$877),"")</x:f>
        <x:v/>
      </x:c>
      <x:c r="J877" t="str">
        <x:f ca="1">IFERROR(IF(0=LEN(ReferenceData!$J$877),"",ReferenceData!$J$877),"")</x:f>
        <x:v/>
      </x:c>
      <x:c r="K877" t="str">
        <x:f ca="1">IFERROR(IF(0=LEN(ReferenceData!$K$877),"",ReferenceData!$K$877),"")</x:f>
        <x:v/>
      </x:c>
      <x:c r="L877" t="str">
        <x:f ca="1">IFERROR(IF(0=LEN(ReferenceData!$L$877),"",ReferenceData!$L$877),"")</x:f>
        <x:v/>
      </x:c>
      <x:c r="M877" t="str">
        <x:f ca="1">IFERROR(IF(0=LEN(ReferenceData!$M$877),"",ReferenceData!$M$877),"")</x:f>
        <x:v/>
      </x:c>
      <x:c r="N877" t="str">
        <x:f ca="1">IFERROR(IF(0=LEN(ReferenceData!$N$877),"",ReferenceData!$N$877),"")</x:f>
        <x:v/>
      </x:c>
      <x:c r="O877" t="str">
        <x:f ca="1">IFERROR(IF(0=LEN(ReferenceData!$O$877),"",ReferenceData!$O$877),"")</x:f>
        <x:v/>
      </x:c>
      <x:c r="P877" t="str">
        <x:f ca="1">IFERROR(IF(0=LEN(ReferenceData!$P$877),"",ReferenceData!$P$877),"")</x:f>
        <x:v/>
      </x:c>
      <x:c r="Q877" t="str">
        <x:f ca="1">IFERROR(IF(0=LEN(ReferenceData!$Q$877),"",ReferenceData!$Q$877),"")</x:f>
        <x:v/>
      </x:c>
      <x:c r="R877" t="str">
        <x:f ca="1">IFERROR(IF(0=LEN(ReferenceData!$R$877),"",ReferenceData!$R$877),"")</x:f>
        <x:v/>
      </x:c>
      <x:c r="S877" t="str">
        <x:f ca="1">IFERROR(IF(0=LEN(ReferenceData!$S$877),"",ReferenceData!$S$877),"")</x:f>
        <x:v/>
      </x:c>
    </x:row>
    <x:row r="878" spans="1:19" x14ac:dyDescent="0.25">
      <x:c r="A878" t="str">
        <x:f>IFERROR(IF(0=LEN(ReferenceData!$A$878),"",ReferenceData!$A$878),"")</x:f>
        <x:v xml:space="preserve">            SPDR S&amp;P Kensho Future Securit</x:v>
      </x:c>
      <x:c r="B878" t="str">
        <x:f>IFERROR(IF(0=LEN(ReferenceData!$B$878),"",ReferenceData!$B$878),"")</x:f>
        <x:v>FITE US Equity</x:v>
      </x:c>
      <x:c r="C878" t="str">
        <x:f>IFERROR(IF(0=LEN(ReferenceData!$C$878),"",ReferenceData!$C$878),"")</x:f>
        <x:v/>
      </x:c>
      <x:c r="D878" t="str">
        <x:f>IFERROR(IF(0=LEN(ReferenceData!$D$878),"",ReferenceData!$D$878),"")</x:f>
        <x:v/>
      </x:c>
      <x:c r="E878" t="str">
        <x:f>IFERROR(IF(0=LEN(ReferenceData!$E$878),"",ReferenceData!$E$878),"")</x:f>
        <x:v>Expression</x:v>
      </x:c>
      <x:c r="F878">
        <x:f ca="1">IFERROR(IF(0=LEN(ReferenceData!$F$878),"",ReferenceData!$F$878),"")</x:f>
        <x:v>0.95180299999999995</x:v>
      </x:c>
      <x:c r="G878">
        <x:f ca="1">IFERROR(IF(0=LEN(ReferenceData!$G$878),"",ReferenceData!$G$878),"")</x:f>
        <x:v>0</x:v>
      </x:c>
      <x:c r="H878">
        <x:f ca="1">IFERROR(IF(0=LEN(ReferenceData!$H$878),"",ReferenceData!$H$878),"")</x:f>
        <x:v>0</x:v>
      </x:c>
      <x:c r="I878">
        <x:f ca="1">IFERROR(IF(0=LEN(ReferenceData!$I$878),"",ReferenceData!$I$878),"")</x:f>
        <x:v>3.8265009999999999</x:v>
      </x:c>
      <x:c r="J878">
        <x:f ca="1">IFERROR(IF(0=LEN(ReferenceData!$J$878),"",ReferenceData!$J$878),"")</x:f>
        <x:v>-2.9230719999999999</x:v>
      </x:c>
      <x:c r="K878">
        <x:f ca="1">IFERROR(IF(0=LEN(ReferenceData!$K$878),"",ReferenceData!$K$878),"")</x:f>
        <x:v>2.4104950000000001</x:v>
      </x:c>
      <x:c r="L878">
        <x:f ca="1">IFERROR(IF(0=LEN(ReferenceData!$L$878),"",ReferenceData!$L$878),"")</x:f>
        <x:v>0</x:v>
      </x:c>
      <x:c r="M878">
        <x:f ca="1">IFERROR(IF(0=LEN(ReferenceData!$M$878),"",ReferenceData!$M$878),"")</x:f>
        <x:v>-0.93553799999999998</x:v>
      </x:c>
      <x:c r="N878">
        <x:f ca="1">IFERROR(IF(0=LEN(ReferenceData!$N$878),"",ReferenceData!$N$878),"")</x:f>
        <x:v>0</x:v>
      </x:c>
      <x:c r="O878">
        <x:f ca="1">IFERROR(IF(0=LEN(ReferenceData!$O$878),"",ReferenceData!$O$878),"")</x:f>
        <x:v>0.45899200000000001</x:v>
      </x:c>
      <x:c r="P878">
        <x:f ca="1">IFERROR(IF(0=LEN(ReferenceData!$P$878),"",ReferenceData!$P$878),"")</x:f>
        <x:v>0</x:v>
      </x:c>
      <x:c r="Q878">
        <x:f ca="1">IFERROR(IF(0=LEN(ReferenceData!$Q$878),"",ReferenceData!$Q$878),"")</x:f>
        <x:v>-0.84945999999999999</x:v>
      </x:c>
      <x:c r="R878">
        <x:f ca="1">IFERROR(IF(0=LEN(ReferenceData!$R$878),"",ReferenceData!$R$878),"")</x:f>
        <x:v>-0.89002800000000004</x:v>
      </x:c>
      <x:c r="S878">
        <x:f ca="1">IFERROR(IF(0=LEN(ReferenceData!$S$878),"",ReferenceData!$S$878),"")</x:f>
        <x:v>-1.382403</x:v>
      </x:c>
    </x:row>
    <x:row r="879" spans="1:19" x14ac:dyDescent="0.25">
      <x:c r="A879" t="str">
        <x:f>IFERROR(IF(0=LEN(ReferenceData!$A$879),"",ReferenceData!$A$879),"")</x:f>
        <x:v xml:space="preserve">            Democratic Policies Fund</x:v>
      </x:c>
      <x:c r="B879" t="str">
        <x:f>IFERROR(IF(0=LEN(ReferenceData!$B$879),"",ReferenceData!$B$879),"")</x:f>
        <x:v>DEMS US Equity</x:v>
      </x:c>
      <x:c r="C879" t="str">
        <x:f>IFERROR(IF(0=LEN(ReferenceData!$C$879),"",ReferenceData!$C$879),"")</x:f>
        <x:v/>
      </x:c>
      <x:c r="D879" t="str">
        <x:f>IFERROR(IF(0=LEN(ReferenceData!$D$879),"",ReferenceData!$D$879),"")</x:f>
        <x:v/>
      </x:c>
      <x:c r="E879" t="str">
        <x:f>IFERROR(IF(0=LEN(ReferenceData!$E$879),"",ReferenceData!$E$879),"")</x:f>
        <x:v>Expression</x:v>
      </x:c>
      <x:c r="F879" t="str">
        <x:f ca="1">IFERROR(IF(0=LEN(ReferenceData!$F$879),"",ReferenceData!$F$879),"")</x:f>
        <x:v/>
      </x:c>
      <x:c r="G879" t="str">
        <x:f ca="1">IFERROR(IF(0=LEN(ReferenceData!$G$879),"",ReferenceData!$G$879),"")</x:f>
        <x:v/>
      </x:c>
      <x:c r="H879" t="str">
        <x:f ca="1">IFERROR(IF(0=LEN(ReferenceData!$H$879),"",ReferenceData!$H$879),"")</x:f>
        <x:v/>
      </x:c>
      <x:c r="I879" t="str">
        <x:f ca="1">IFERROR(IF(0=LEN(ReferenceData!$I$879),"",ReferenceData!$I$879),"")</x:f>
        <x:v/>
      </x:c>
      <x:c r="J879" t="str">
        <x:f ca="1">IFERROR(IF(0=LEN(ReferenceData!$J$879),"",ReferenceData!$J$879),"")</x:f>
        <x:v/>
      </x:c>
      <x:c r="K879" t="str">
        <x:f ca="1">IFERROR(IF(0=LEN(ReferenceData!$K$879),"",ReferenceData!$K$879),"")</x:f>
        <x:v/>
      </x:c>
      <x:c r="L879" t="str">
        <x:f ca="1">IFERROR(IF(0=LEN(ReferenceData!$L$879),"",ReferenceData!$L$879),"")</x:f>
        <x:v/>
      </x:c>
      <x:c r="M879" t="str">
        <x:f ca="1">IFERROR(IF(0=LEN(ReferenceData!$M$879),"",ReferenceData!$M$879),"")</x:f>
        <x:v/>
      </x:c>
      <x:c r="N879" t="str">
        <x:f ca="1">IFERROR(IF(0=LEN(ReferenceData!$N$879),"",ReferenceData!$N$879),"")</x:f>
        <x:v/>
      </x:c>
      <x:c r="O879" t="str">
        <x:f ca="1">IFERROR(IF(0=LEN(ReferenceData!$O$879),"",ReferenceData!$O$879),"")</x:f>
        <x:v/>
      </x:c>
      <x:c r="P879" t="str">
        <x:f ca="1">IFERROR(IF(0=LEN(ReferenceData!$P$879),"",ReferenceData!$P$879),"")</x:f>
        <x:v/>
      </x:c>
      <x:c r="Q879" t="str">
        <x:f ca="1">IFERROR(IF(0=LEN(ReferenceData!$Q$879),"",ReferenceData!$Q$879),"")</x:f>
        <x:v/>
      </x:c>
      <x:c r="R879" t="str">
        <x:f ca="1">IFERROR(IF(0=LEN(ReferenceData!$R$879),"",ReferenceData!$R$879),"")</x:f>
        <x:v/>
      </x:c>
      <x:c r="S879" t="str">
        <x:f ca="1">IFERROR(IF(0=LEN(ReferenceData!$S$879),"",ReferenceData!$S$879),"")</x:f>
        <x:v/>
      </x:c>
    </x:row>
    <x:row r="880" spans="1:19" x14ac:dyDescent="0.25">
      <x:c r="A880" t="str">
        <x:f>IFERROR(IF(0=LEN(ReferenceData!$A$880),"",ReferenceData!$A$880),"")</x:f>
        <x:v xml:space="preserve">            Republican Policies Fund</x:v>
      </x:c>
      <x:c r="B880" t="str">
        <x:f>IFERROR(IF(0=LEN(ReferenceData!$B$880),"",ReferenceData!$B$880),"")</x:f>
        <x:v>GOP US Equity</x:v>
      </x:c>
      <x:c r="C880" t="str">
        <x:f>IFERROR(IF(0=LEN(ReferenceData!$C$880),"",ReferenceData!$C$880),"")</x:f>
        <x:v/>
      </x:c>
      <x:c r="D880" t="str">
        <x:f>IFERROR(IF(0=LEN(ReferenceData!$D$880),"",ReferenceData!$D$880),"")</x:f>
        <x:v/>
      </x:c>
      <x:c r="E880" t="str">
        <x:f>IFERROR(IF(0=LEN(ReferenceData!$E$880),"",ReferenceData!$E$880),"")</x:f>
        <x:v>Expression</x:v>
      </x:c>
      <x:c r="F880" t="str">
        <x:f ca="1">IFERROR(IF(0=LEN(ReferenceData!$F$880),"",ReferenceData!$F$880),"")</x:f>
        <x:v/>
      </x:c>
      <x:c r="G880" t="str">
        <x:f ca="1">IFERROR(IF(0=LEN(ReferenceData!$G$880),"",ReferenceData!$G$880),"")</x:f>
        <x:v/>
      </x:c>
      <x:c r="H880" t="str">
        <x:f ca="1">IFERROR(IF(0=LEN(ReferenceData!$H$880),"",ReferenceData!$H$880),"")</x:f>
        <x:v/>
      </x:c>
      <x:c r="I880" t="str">
        <x:f ca="1">IFERROR(IF(0=LEN(ReferenceData!$I$880),"",ReferenceData!$I$880),"")</x:f>
        <x:v/>
      </x:c>
      <x:c r="J880" t="str">
        <x:f ca="1">IFERROR(IF(0=LEN(ReferenceData!$J$880),"",ReferenceData!$J$880),"")</x:f>
        <x:v/>
      </x:c>
      <x:c r="K880" t="str">
        <x:f ca="1">IFERROR(IF(0=LEN(ReferenceData!$K$880),"",ReferenceData!$K$880),"")</x:f>
        <x:v/>
      </x:c>
      <x:c r="L880" t="str">
        <x:f ca="1">IFERROR(IF(0=LEN(ReferenceData!$L$880),"",ReferenceData!$L$880),"")</x:f>
        <x:v/>
      </x:c>
      <x:c r="M880" t="str">
        <x:f ca="1">IFERROR(IF(0=LEN(ReferenceData!$M$880),"",ReferenceData!$M$880),"")</x:f>
        <x:v/>
      </x:c>
      <x:c r="N880" t="str">
        <x:f ca="1">IFERROR(IF(0=LEN(ReferenceData!$N$880),"",ReferenceData!$N$880),"")</x:f>
        <x:v/>
      </x:c>
      <x:c r="O880" t="str">
        <x:f ca="1">IFERROR(IF(0=LEN(ReferenceData!$O$880),"",ReferenceData!$O$880),"")</x:f>
        <x:v/>
      </x:c>
      <x:c r="P880" t="str">
        <x:f ca="1">IFERROR(IF(0=LEN(ReferenceData!$P$880),"",ReferenceData!$P$880),"")</x:f>
        <x:v/>
      </x:c>
      <x:c r="Q880" t="str">
        <x:f ca="1">IFERROR(IF(0=LEN(ReferenceData!$Q$880),"",ReferenceData!$Q$880),"")</x:f>
        <x:v/>
      </x:c>
      <x:c r="R880" t="str">
        <x:f ca="1">IFERROR(IF(0=LEN(ReferenceData!$R$880),"",ReferenceData!$R$880),"")</x:f>
        <x:v/>
      </x:c>
      <x:c r="S880" t="str">
        <x:f ca="1">IFERROR(IF(0=LEN(ReferenceData!$S$880),"",ReferenceData!$S$880),"")</x:f>
        <x:v/>
      </x:c>
    </x:row>
    <x:row r="881" spans="1:19" x14ac:dyDescent="0.25">
      <x:c r="A881" t="str">
        <x:f>IFERROR(IF(0=LEN(ReferenceData!$A$881),"",ReferenceData!$A$881),"")</x:f>
        <x:v xml:space="preserve">            EventShares US Legislative Opp</x:v>
      </x:c>
      <x:c r="B881" t="str">
        <x:f>IFERROR(IF(0=LEN(ReferenceData!$B$881),"",ReferenceData!$B$881),"")</x:f>
        <x:v>PLCY US Equity</x:v>
      </x:c>
      <x:c r="C881" t="str">
        <x:f>IFERROR(IF(0=LEN(ReferenceData!$C$881),"",ReferenceData!$C$881),"")</x:f>
        <x:v/>
      </x:c>
      <x:c r="D881" t="str">
        <x:f>IFERROR(IF(0=LEN(ReferenceData!$D$881),"",ReferenceData!$D$881),"")</x:f>
        <x:v/>
      </x:c>
      <x:c r="E881" t="str">
        <x:f>IFERROR(IF(0=LEN(ReferenceData!$E$881),"",ReferenceData!$E$881),"")</x:f>
        <x:v>Expression</x:v>
      </x:c>
      <x:c r="F881" t="str">
        <x:f ca="1">IFERROR(IF(0=LEN(ReferenceData!$F$881),"",ReferenceData!$F$881),"")</x:f>
        <x:v/>
      </x:c>
      <x:c r="G881" t="str">
        <x:f ca="1">IFERROR(IF(0=LEN(ReferenceData!$G$881),"",ReferenceData!$G$881),"")</x:f>
        <x:v/>
      </x:c>
      <x:c r="H881" t="str">
        <x:f ca="1">IFERROR(IF(0=LEN(ReferenceData!$H$881),"",ReferenceData!$H$881),"")</x:f>
        <x:v/>
      </x:c>
      <x:c r="I881" t="str">
        <x:f ca="1">IFERROR(IF(0=LEN(ReferenceData!$I$881),"",ReferenceData!$I$881),"")</x:f>
        <x:v/>
      </x:c>
      <x:c r="J881" t="str">
        <x:f ca="1">IFERROR(IF(0=LEN(ReferenceData!$J$881),"",ReferenceData!$J$881),"")</x:f>
        <x:v/>
      </x:c>
      <x:c r="K881" t="str">
        <x:f ca="1">IFERROR(IF(0=LEN(ReferenceData!$K$881),"",ReferenceData!$K$881),"")</x:f>
        <x:v/>
      </x:c>
      <x:c r="L881" t="str">
        <x:f ca="1">IFERROR(IF(0=LEN(ReferenceData!$L$881),"",ReferenceData!$L$881),"")</x:f>
        <x:v/>
      </x:c>
      <x:c r="M881" t="str">
        <x:f ca="1">IFERROR(IF(0=LEN(ReferenceData!$M$881),"",ReferenceData!$M$881),"")</x:f>
        <x:v/>
      </x:c>
      <x:c r="N881" t="str">
        <x:f ca="1">IFERROR(IF(0=LEN(ReferenceData!$N$881),"",ReferenceData!$N$881),"")</x:f>
        <x:v/>
      </x:c>
      <x:c r="O881" t="str">
        <x:f ca="1">IFERROR(IF(0=LEN(ReferenceData!$O$881),"",ReferenceData!$O$881),"")</x:f>
        <x:v/>
      </x:c>
      <x:c r="P881" t="str">
        <x:f ca="1">IFERROR(IF(0=LEN(ReferenceData!$P$881),"",ReferenceData!$P$881),"")</x:f>
        <x:v/>
      </x:c>
      <x:c r="Q881" t="str">
        <x:f ca="1">IFERROR(IF(0=LEN(ReferenceData!$Q$881),"",ReferenceData!$Q$881),"")</x:f>
        <x:v/>
      </x:c>
      <x:c r="R881" t="str">
        <x:f ca="1">IFERROR(IF(0=LEN(ReferenceData!$R$881),"",ReferenceData!$R$881),"")</x:f>
        <x:v/>
      </x:c>
      <x:c r="S881" t="str">
        <x:f ca="1">IFERROR(IF(0=LEN(ReferenceData!$S$881),"",ReferenceData!$S$881),"")</x:f>
        <x:v/>
      </x:c>
    </x:row>
    <x:row r="882" spans="1:19" x14ac:dyDescent="0.25">
      <x:c r="A882" t="str">
        <x:f>IFERROR(IF(0=LEN(ReferenceData!$A$882),"",ReferenceData!$A$882),"")</x:f>
        <x:v xml:space="preserve">            Pacer US Export Leaders ETF</x:v>
      </x:c>
      <x:c r="B882" t="str">
        <x:f>IFERROR(IF(0=LEN(ReferenceData!$B$882),"",ReferenceData!$B$882),"")</x:f>
        <x:v>PEXL US Equity</x:v>
      </x:c>
      <x:c r="C882" t="str">
        <x:f>IFERROR(IF(0=LEN(ReferenceData!$C$882),"",ReferenceData!$C$882),"")</x:f>
        <x:v/>
      </x:c>
      <x:c r="D882" t="str">
        <x:f>IFERROR(IF(0=LEN(ReferenceData!$D$882),"",ReferenceData!$D$882),"")</x:f>
        <x:v/>
      </x:c>
      <x:c r="E882" t="str">
        <x:f>IFERROR(IF(0=LEN(ReferenceData!$E$882),"",ReferenceData!$E$882),"")</x:f>
        <x:v>Expression</x:v>
      </x:c>
      <x:c r="F882">
        <x:f ca="1">IFERROR(IF(0=LEN(ReferenceData!$F$882),"",ReferenceData!$F$882),"")</x:f>
        <x:v>0</x:v>
      </x:c>
      <x:c r="G882">
        <x:f ca="1">IFERROR(IF(0=LEN(ReferenceData!$G$882),"",ReferenceData!$G$882),"")</x:f>
        <x:v>4.0779100000000001</x:v>
      </x:c>
      <x:c r="H882">
        <x:f ca="1">IFERROR(IF(0=LEN(ReferenceData!$H$882),"",ReferenceData!$H$882),"")</x:f>
        <x:v>0</x:v>
      </x:c>
      <x:c r="I882">
        <x:f ca="1">IFERROR(IF(0=LEN(ReferenceData!$I$882),"",ReferenceData!$I$882),"")</x:f>
        <x:v>2.1154850000000001</x:v>
      </x:c>
      <x:c r="J882">
        <x:f ca="1">IFERROR(IF(0=LEN(ReferenceData!$J$882),"",ReferenceData!$J$882),"")</x:f>
        <x:v>2.218045</x:v>
      </x:c>
      <x:c r="K882">
        <x:f ca="1">IFERROR(IF(0=LEN(ReferenceData!$K$882),"",ReferenceData!$K$882),"")</x:f>
        <x:v>3.8769999999999999E-2</x:v>
      </x:c>
      <x:c r="L882">
        <x:f ca="1">IFERROR(IF(0=LEN(ReferenceData!$L$882),"",ReferenceData!$L$882),"")</x:f>
        <x:v>8.0778449999999999</x:v>
      </x:c>
      <x:c r="M882">
        <x:f ca="1">IFERROR(IF(0=LEN(ReferenceData!$M$882),"",ReferenceData!$M$882),"")</x:f>
        <x:v>2.0514649999999999</x:v>
      </x:c>
      <x:c r="N882">
        <x:f ca="1">IFERROR(IF(0=LEN(ReferenceData!$N$882),"",ReferenceData!$N$882),"")</x:f>
        <x:v>3.989995</x:v>
      </x:c>
      <x:c r="O882">
        <x:f ca="1">IFERROR(IF(0=LEN(ReferenceData!$O$882),"",ReferenceData!$O$882),"")</x:f>
        <x:v>2.0469050000000002</x:v>
      </x:c>
      <x:c r="P882">
        <x:f ca="1">IFERROR(IF(0=LEN(ReferenceData!$P$882),"",ReferenceData!$P$882),"")</x:f>
        <x:v>0</x:v>
      </x:c>
      <x:c r="Q882">
        <x:f ca="1">IFERROR(IF(0=LEN(ReferenceData!$Q$882),"",ReferenceData!$Q$882),"")</x:f>
        <x:v>0</x:v>
      </x:c>
      <x:c r="R882">
        <x:f ca="1">IFERROR(IF(0=LEN(ReferenceData!$R$882),"",ReferenceData!$R$882),"")</x:f>
        <x:v>1.89195</x:v>
      </x:c>
      <x:c r="S882">
        <x:f ca="1">IFERROR(IF(0=LEN(ReferenceData!$S$882),"",ReferenceData!$S$882),"")</x:f>
        <x:v>0</x:v>
      </x:c>
    </x:row>
    <x:row r="883" spans="1:19" x14ac:dyDescent="0.25">
      <x:c r="A883" t="str">
        <x:f>IFERROR(IF(0=LEN(ReferenceData!$A$883),"",ReferenceData!$A$883),"")</x:f>
        <x:v xml:space="preserve">            Direxion Msci Defensives Over</x:v>
      </x:c>
      <x:c r="B883" t="str">
        <x:f>IFERROR(IF(0=LEN(ReferenceData!$B$883),"",ReferenceData!$B$883),"")</x:f>
        <x:v>RWDC US Equity</x:v>
      </x:c>
      <x:c r="C883" t="str">
        <x:f>IFERROR(IF(0=LEN(ReferenceData!$C$883),"",ReferenceData!$C$883),"")</x:f>
        <x:v/>
      </x:c>
      <x:c r="D883" t="str">
        <x:f>IFERROR(IF(0=LEN(ReferenceData!$D$883),"",ReferenceData!$D$883),"")</x:f>
        <x:v/>
      </x:c>
      <x:c r="E883" t="str">
        <x:f>IFERROR(IF(0=LEN(ReferenceData!$E$883),"",ReferenceData!$E$883),"")</x:f>
        <x:v>Expression</x:v>
      </x:c>
      <x:c r="F883" t="str">
        <x:f ca="1">IFERROR(IF(0=LEN(ReferenceData!$F$883),"",ReferenceData!$F$883),"")</x:f>
        <x:v/>
      </x:c>
      <x:c r="G883" t="str">
        <x:f ca="1">IFERROR(IF(0=LEN(ReferenceData!$G$883),"",ReferenceData!$G$883),"")</x:f>
        <x:v/>
      </x:c>
      <x:c r="H883" t="str">
        <x:f ca="1">IFERROR(IF(0=LEN(ReferenceData!$H$883),"",ReferenceData!$H$883),"")</x:f>
        <x:v/>
      </x:c>
      <x:c r="I883" t="str">
        <x:f ca="1">IFERROR(IF(0=LEN(ReferenceData!$I$883),"",ReferenceData!$I$883),"")</x:f>
        <x:v/>
      </x:c>
      <x:c r="J883" t="str">
        <x:f ca="1">IFERROR(IF(0=LEN(ReferenceData!$J$883),"",ReferenceData!$J$883),"")</x:f>
        <x:v/>
      </x:c>
      <x:c r="K883" t="str">
        <x:f ca="1">IFERROR(IF(0=LEN(ReferenceData!$K$883),"",ReferenceData!$K$883),"")</x:f>
        <x:v/>
      </x:c>
      <x:c r="L883" t="str">
        <x:f ca="1">IFERROR(IF(0=LEN(ReferenceData!$L$883),"",ReferenceData!$L$883),"")</x:f>
        <x:v/>
      </x:c>
      <x:c r="M883" t="str">
        <x:f ca="1">IFERROR(IF(0=LEN(ReferenceData!$M$883),"",ReferenceData!$M$883),"")</x:f>
        <x:v/>
      </x:c>
      <x:c r="N883" t="str">
        <x:f ca="1">IFERROR(IF(0=LEN(ReferenceData!$N$883),"",ReferenceData!$N$883),"")</x:f>
        <x:v/>
      </x:c>
      <x:c r="O883" t="str">
        <x:f ca="1">IFERROR(IF(0=LEN(ReferenceData!$O$883),"",ReferenceData!$O$883),"")</x:f>
        <x:v/>
      </x:c>
      <x:c r="P883" t="str">
        <x:f ca="1">IFERROR(IF(0=LEN(ReferenceData!$P$883),"",ReferenceData!$P$883),"")</x:f>
        <x:v/>
      </x:c>
      <x:c r="Q883" t="str">
        <x:f ca="1">IFERROR(IF(0=LEN(ReferenceData!$Q$883),"",ReferenceData!$Q$883),"")</x:f>
        <x:v/>
      </x:c>
      <x:c r="R883" t="str">
        <x:f ca="1">IFERROR(IF(0=LEN(ReferenceData!$R$883),"",ReferenceData!$R$883),"")</x:f>
        <x:v/>
      </x:c>
      <x:c r="S883" t="str">
        <x:f ca="1">IFERROR(IF(0=LEN(ReferenceData!$S$883),"",ReferenceData!$S$883),"")</x:f>
        <x:v/>
      </x:c>
    </x:row>
    <x:row r="884" spans="1:19" x14ac:dyDescent="0.25">
      <x:c r="A884" t="str">
        <x:f>IFERROR(IF(0=LEN(ReferenceData!$A$884),"",ReferenceData!$A$884),"")</x:f>
        <x:v xml:space="preserve">            Direxion Msci Cyclicals Over D</x:v>
      </x:c>
      <x:c r="B884" t="str">
        <x:f>IFERROR(IF(0=LEN(ReferenceData!$B$884),"",ReferenceData!$B$884),"")</x:f>
        <x:v>RWCD US Equity</x:v>
      </x:c>
      <x:c r="C884" t="str">
        <x:f>IFERROR(IF(0=LEN(ReferenceData!$C$884),"",ReferenceData!$C$884),"")</x:f>
        <x:v/>
      </x:c>
      <x:c r="D884" t="str">
        <x:f>IFERROR(IF(0=LEN(ReferenceData!$D$884),"",ReferenceData!$D$884),"")</x:f>
        <x:v/>
      </x:c>
      <x:c r="E884" t="str">
        <x:f>IFERROR(IF(0=LEN(ReferenceData!$E$884),"",ReferenceData!$E$884),"")</x:f>
        <x:v>Expression</x:v>
      </x:c>
      <x:c r="F884" t="str">
        <x:f ca="1">IFERROR(IF(0=LEN(ReferenceData!$F$884),"",ReferenceData!$F$884),"")</x:f>
        <x:v/>
      </x:c>
      <x:c r="G884" t="str">
        <x:f ca="1">IFERROR(IF(0=LEN(ReferenceData!$G$884),"",ReferenceData!$G$884),"")</x:f>
        <x:v/>
      </x:c>
      <x:c r="H884" t="str">
        <x:f ca="1">IFERROR(IF(0=LEN(ReferenceData!$H$884),"",ReferenceData!$H$884),"")</x:f>
        <x:v/>
      </x:c>
      <x:c r="I884" t="str">
        <x:f ca="1">IFERROR(IF(0=LEN(ReferenceData!$I$884),"",ReferenceData!$I$884),"")</x:f>
        <x:v/>
      </x:c>
      <x:c r="J884" t="str">
        <x:f ca="1">IFERROR(IF(0=LEN(ReferenceData!$J$884),"",ReferenceData!$J$884),"")</x:f>
        <x:v/>
      </x:c>
      <x:c r="K884" t="str">
        <x:f ca="1">IFERROR(IF(0=LEN(ReferenceData!$K$884),"",ReferenceData!$K$884),"")</x:f>
        <x:v/>
      </x:c>
      <x:c r="L884" t="str">
        <x:f ca="1">IFERROR(IF(0=LEN(ReferenceData!$L$884),"",ReferenceData!$L$884),"")</x:f>
        <x:v/>
      </x:c>
      <x:c r="M884" t="str">
        <x:f ca="1">IFERROR(IF(0=LEN(ReferenceData!$M$884),"",ReferenceData!$M$884),"")</x:f>
        <x:v/>
      </x:c>
      <x:c r="N884" t="str">
        <x:f ca="1">IFERROR(IF(0=LEN(ReferenceData!$N$884),"",ReferenceData!$N$884),"")</x:f>
        <x:v/>
      </x:c>
      <x:c r="O884" t="str">
        <x:f ca="1">IFERROR(IF(0=LEN(ReferenceData!$O$884),"",ReferenceData!$O$884),"")</x:f>
        <x:v/>
      </x:c>
      <x:c r="P884" t="str">
        <x:f ca="1">IFERROR(IF(0=LEN(ReferenceData!$P$884),"",ReferenceData!$P$884),"")</x:f>
        <x:v/>
      </x:c>
      <x:c r="Q884" t="str">
        <x:f ca="1">IFERROR(IF(0=LEN(ReferenceData!$Q$884),"",ReferenceData!$Q$884),"")</x:f>
        <x:v/>
      </x:c>
      <x:c r="R884" t="str">
        <x:f ca="1">IFERROR(IF(0=LEN(ReferenceData!$R$884),"",ReferenceData!$R$884),"")</x:f>
        <x:v/>
      </x:c>
      <x:c r="S884" t="str">
        <x:f ca="1">IFERROR(IF(0=LEN(ReferenceData!$S$884),"",ReferenceData!$S$884),"")</x:f>
        <x:v/>
      </x:c>
    </x:row>
    <x:row r="885" spans="1:19" x14ac:dyDescent="0.25">
      <x:c r="A885" t="str">
        <x:f>IFERROR(IF(0=LEN(ReferenceData!$A$885),"",ReferenceData!$A$885),"")</x:f>
        <x:v xml:space="preserve">            Goldman Sachs Manufacturing Re</x:v>
      </x:c>
      <x:c r="B885" t="str">
        <x:f>IFERROR(IF(0=LEN(ReferenceData!$B$885),"",ReferenceData!$B$885),"")</x:f>
        <x:v>GMAN US Equity</x:v>
      </x:c>
      <x:c r="C885" t="str">
        <x:f>IFERROR(IF(0=LEN(ReferenceData!$C$885),"",ReferenceData!$C$885),"")</x:f>
        <x:v/>
      </x:c>
      <x:c r="D885" t="str">
        <x:f>IFERROR(IF(0=LEN(ReferenceData!$D$885),"",ReferenceData!$D$885),"")</x:f>
        <x:v/>
      </x:c>
      <x:c r="E885" t="str">
        <x:f>IFERROR(IF(0=LEN(ReferenceData!$E$885),"",ReferenceData!$E$885),"")</x:f>
        <x:v>Expression</x:v>
      </x:c>
      <x:c r="F885" t="str">
        <x:f ca="1">IFERROR(IF(0=LEN(ReferenceData!$F$885),"",ReferenceData!$F$885),"")</x:f>
        <x:v/>
      </x:c>
      <x:c r="G885" t="str">
        <x:f ca="1">IFERROR(IF(0=LEN(ReferenceData!$G$885),"",ReferenceData!$G$885),"")</x:f>
        <x:v/>
      </x:c>
      <x:c r="H885" t="str">
        <x:f ca="1">IFERROR(IF(0=LEN(ReferenceData!$H$885),"",ReferenceData!$H$885),"")</x:f>
        <x:v/>
      </x:c>
      <x:c r="I885" t="str">
        <x:f ca="1">IFERROR(IF(0=LEN(ReferenceData!$I$885),"",ReferenceData!$I$885),"")</x:f>
        <x:v/>
      </x:c>
      <x:c r="J885" t="str">
        <x:f ca="1">IFERROR(IF(0=LEN(ReferenceData!$J$885),"",ReferenceData!$J$885),"")</x:f>
        <x:v/>
      </x:c>
      <x:c r="K885" t="str">
        <x:f ca="1">IFERROR(IF(0=LEN(ReferenceData!$K$885),"",ReferenceData!$K$885),"")</x:f>
        <x:v/>
      </x:c>
      <x:c r="L885" t="str">
        <x:f ca="1">IFERROR(IF(0=LEN(ReferenceData!$L$885),"",ReferenceData!$L$885),"")</x:f>
        <x:v/>
      </x:c>
      <x:c r="M885" t="str">
        <x:f ca="1">IFERROR(IF(0=LEN(ReferenceData!$M$885),"",ReferenceData!$M$885),"")</x:f>
        <x:v/>
      </x:c>
      <x:c r="N885" t="str">
        <x:f ca="1">IFERROR(IF(0=LEN(ReferenceData!$N$885),"",ReferenceData!$N$885),"")</x:f>
        <x:v/>
      </x:c>
      <x:c r="O885" t="str">
        <x:f ca="1">IFERROR(IF(0=LEN(ReferenceData!$O$885),"",ReferenceData!$O$885),"")</x:f>
        <x:v/>
      </x:c>
      <x:c r="P885" t="str">
        <x:f ca="1">IFERROR(IF(0=LEN(ReferenceData!$P$885),"",ReferenceData!$P$885),"")</x:f>
        <x:v/>
      </x:c>
      <x:c r="Q885" t="str">
        <x:f ca="1">IFERROR(IF(0=LEN(ReferenceData!$Q$885),"",ReferenceData!$Q$885),"")</x:f>
        <x:v/>
      </x:c>
      <x:c r="R885" t="str">
        <x:f ca="1">IFERROR(IF(0=LEN(ReferenceData!$R$885),"",ReferenceData!$R$885),"")</x:f>
        <x:v/>
      </x:c>
      <x:c r="S885" t="str">
        <x:f ca="1">IFERROR(IF(0=LEN(ReferenceData!$S$885),"",ReferenceData!$S$885),"")</x:f>
        <x:v/>
      </x:c>
    </x:row>
    <x:row r="886" spans="1:19" x14ac:dyDescent="0.25">
      <x:c r="A886" t="str">
        <x:f>IFERROR(IF(0=LEN(ReferenceData!$A$886),"",ReferenceData!$A$886),"")</x:f>
        <x:v xml:space="preserve">            Proshares Pet Care ETF</x:v>
      </x:c>
      <x:c r="B886" t="str">
        <x:f>IFERROR(IF(0=LEN(ReferenceData!$B$886),"",ReferenceData!$B$886),"")</x:f>
        <x:v>PAWZ US Equity</x:v>
      </x:c>
      <x:c r="C886" t="str">
        <x:f>IFERROR(IF(0=LEN(ReferenceData!$C$886),"",ReferenceData!$C$886),"")</x:f>
        <x:v/>
      </x:c>
      <x:c r="D886" t="str">
        <x:f>IFERROR(IF(0=LEN(ReferenceData!$D$886),"",ReferenceData!$D$886),"")</x:f>
        <x:v/>
      </x:c>
      <x:c r="E886" t="str">
        <x:f>IFERROR(IF(0=LEN(ReferenceData!$E$886),"",ReferenceData!$E$886),"")</x:f>
        <x:v>Expression</x:v>
      </x:c>
      <x:c r="F886">
        <x:f ca="1">IFERROR(IF(0=LEN(ReferenceData!$F$886),"",ReferenceData!$F$886),"")</x:f>
        <x:v>-2.2303649999999999</x:v>
      </x:c>
      <x:c r="G886">
        <x:f ca="1">IFERROR(IF(0=LEN(ReferenceData!$G$886),"",ReferenceData!$G$886),"")</x:f>
        <x:v>-2.1774849999999999</x:v>
      </x:c>
      <x:c r="H886">
        <x:f ca="1">IFERROR(IF(0=LEN(ReferenceData!$H$886),"",ReferenceData!$H$886),"")</x:f>
        <x:v>-2.2186499999999998</x:v>
      </x:c>
      <x:c r="I886">
        <x:f ca="1">IFERROR(IF(0=LEN(ReferenceData!$I$886),"",ReferenceData!$I$886),"")</x:f>
        <x:v>-3.7815219999999998</x:v>
      </x:c>
      <x:c r="J886">
        <x:f ca="1">IFERROR(IF(0=LEN(ReferenceData!$J$886),"",ReferenceData!$J$886),"")</x:f>
        <x:v>0</x:v>
      </x:c>
      <x:c r="K886">
        <x:f ca="1">IFERROR(IF(0=LEN(ReferenceData!$K$886),"",ReferenceData!$K$886),"")</x:f>
        <x:v>0</x:v>
      </x:c>
      <x:c r="L886">
        <x:f ca="1">IFERROR(IF(0=LEN(ReferenceData!$L$886),"",ReferenceData!$L$886),"")</x:f>
        <x:v>-2.6093199999999999</x:v>
      </x:c>
      <x:c r="M886">
        <x:f ca="1">IFERROR(IF(0=LEN(ReferenceData!$M$886),"",ReferenceData!$M$886),"")</x:f>
        <x:v>-3.7501470000000001</x:v>
      </x:c>
      <x:c r="N886">
        <x:f ca="1">IFERROR(IF(0=LEN(ReferenceData!$N$886),"",ReferenceData!$N$886),"")</x:f>
        <x:v>-2.4611999999999998</x:v>
      </x:c>
      <x:c r="O886">
        <x:f ca="1">IFERROR(IF(0=LEN(ReferenceData!$O$886),"",ReferenceData!$O$886),"")</x:f>
        <x:v>0</x:v>
      </x:c>
      <x:c r="P886">
        <x:f ca="1">IFERROR(IF(0=LEN(ReferenceData!$P$886),"",ReferenceData!$P$886),"")</x:f>
        <x:v>-8.9970379999999999</x:v>
      </x:c>
      <x:c r="Q886">
        <x:f ca="1">IFERROR(IF(0=LEN(ReferenceData!$Q$886),"",ReferenceData!$Q$886),"")</x:f>
        <x:v>-2.4721950000000001</x:v>
      </x:c>
      <x:c r="R886">
        <x:f ca="1">IFERROR(IF(0=LEN(ReferenceData!$R$886),"",ReferenceData!$R$886),"")</x:f>
        <x:v>-7.3162469999999997</x:v>
      </x:c>
      <x:c r="S886">
        <x:f ca="1">IFERROR(IF(0=LEN(ReferenceData!$S$886),"",ReferenceData!$S$886),"")</x:f>
        <x:v>-5.668615</x:v>
      </x:c>
    </x:row>
    <x:row r="887" spans="1:19" x14ac:dyDescent="0.25">
      <x:c r="A887" t="str">
        <x:f>IFERROR(IF(0=LEN(ReferenceData!$A$887),"",ReferenceData!$A$887),"")</x:f>
        <x:v xml:space="preserve">            US Vegan Climate ETF</x:v>
      </x:c>
      <x:c r="B887" t="str">
        <x:f>IFERROR(IF(0=LEN(ReferenceData!$B$887),"",ReferenceData!$B$887),"")</x:f>
        <x:v>VEGN US Equity</x:v>
      </x:c>
      <x:c r="C887" t="str">
        <x:f>IFERROR(IF(0=LEN(ReferenceData!$C$887),"",ReferenceData!$C$887),"")</x:f>
        <x:v/>
      </x:c>
      <x:c r="D887" t="str">
        <x:f>IFERROR(IF(0=LEN(ReferenceData!$D$887),"",ReferenceData!$D$887),"")</x:f>
        <x:v/>
      </x:c>
      <x:c r="E887" t="str">
        <x:f>IFERROR(IF(0=LEN(ReferenceData!$E$887),"",ReferenceData!$E$887),"")</x:f>
        <x:v>Expression</x:v>
      </x:c>
      <x:c r="F887">
        <x:f ca="1">IFERROR(IF(0=LEN(ReferenceData!$F$887),"",ReferenceData!$F$887),"")</x:f>
        <x:v>0</x:v>
      </x:c>
      <x:c r="G887">
        <x:f ca="1">IFERROR(IF(0=LEN(ReferenceData!$G$887),"",ReferenceData!$G$887),"")</x:f>
        <x:v>0.95071499999999998</x:v>
      </x:c>
      <x:c r="H887">
        <x:f ca="1">IFERROR(IF(0=LEN(ReferenceData!$H$887),"",ReferenceData!$H$887),"")</x:f>
        <x:v>0.95459499999999997</x:v>
      </x:c>
      <x:c r="I887">
        <x:f ca="1">IFERROR(IF(0=LEN(ReferenceData!$I$887),"",ReferenceData!$I$887),"")</x:f>
        <x:v>0.98386499999999999</x:v>
      </x:c>
      <x:c r="J887">
        <x:f ca="1">IFERROR(IF(0=LEN(ReferenceData!$J$887),"",ReferenceData!$J$887),"")</x:f>
        <x:v>0</x:v>
      </x:c>
      <x:c r="K887">
        <x:f ca="1">IFERROR(IF(0=LEN(ReferenceData!$K$887),"",ReferenceData!$K$887),"")</x:f>
        <x:v>0</x:v>
      </x:c>
      <x:c r="L887">
        <x:f ca="1">IFERROR(IF(0=LEN(ReferenceData!$L$887),"",ReferenceData!$L$887),"")</x:f>
        <x:v>-1.7267999999999999</x:v>
      </x:c>
      <x:c r="M887">
        <x:f ca="1">IFERROR(IF(0=LEN(ReferenceData!$M$887),"",ReferenceData!$M$887),"")</x:f>
        <x:v>0</x:v>
      </x:c>
      <x:c r="N887">
        <x:f ca="1">IFERROR(IF(0=LEN(ReferenceData!$N$887),"",ReferenceData!$N$887),"")</x:f>
        <x:v>0</x:v>
      </x:c>
      <x:c r="O887">
        <x:f ca="1">IFERROR(IF(0=LEN(ReferenceData!$O$887),"",ReferenceData!$O$887),"")</x:f>
        <x:v>0</x:v>
      </x:c>
      <x:c r="P887">
        <x:f ca="1">IFERROR(IF(0=LEN(ReferenceData!$P$887),"",ReferenceData!$P$887),"")</x:f>
        <x:v>0</x:v>
      </x:c>
      <x:c r="Q887">
        <x:f ca="1">IFERROR(IF(0=LEN(ReferenceData!$Q$887),"",ReferenceData!$Q$887),"")</x:f>
        <x:v>0</x:v>
      </x:c>
      <x:c r="R887">
        <x:f ca="1">IFERROR(IF(0=LEN(ReferenceData!$R$887),"",ReferenceData!$R$887),"")</x:f>
        <x:v>0</x:v>
      </x:c>
      <x:c r="S887">
        <x:f ca="1">IFERROR(IF(0=LEN(ReferenceData!$S$887),"",ReferenceData!$S$887),"")</x:f>
        <x:v>0</x:v>
      </x:c>
    </x:row>
    <x:row r="888" spans="1:19" x14ac:dyDescent="0.25">
      <x:c r="A888" t="str">
        <x:f>IFERROR(IF(0=LEN(ReferenceData!$A$888),"",ReferenceData!$A$888),"")</x:f>
        <x:v xml:space="preserve">            SoFi Be Your Own Boss ETF</x:v>
      </x:c>
      <x:c r="B888" t="str">
        <x:f>IFERROR(IF(0=LEN(ReferenceData!$B$888),"",ReferenceData!$B$888),"")</x:f>
        <x:v>GIGE US Equity</x:v>
      </x:c>
      <x:c r="C888" t="str">
        <x:f>IFERROR(IF(0=LEN(ReferenceData!$C$888),"",ReferenceData!$C$888),"")</x:f>
        <x:v/>
      </x:c>
      <x:c r="D888" t="str">
        <x:f>IFERROR(IF(0=LEN(ReferenceData!$D$888),"",ReferenceData!$D$888),"")</x:f>
        <x:v/>
      </x:c>
      <x:c r="E888" t="str">
        <x:f>IFERROR(IF(0=LEN(ReferenceData!$E$888),"",ReferenceData!$E$888),"")</x:f>
        <x:v>Expression</x:v>
      </x:c>
      <x:c r="F888">
        <x:f ca="1">IFERROR(IF(0=LEN(ReferenceData!$F$888),"",ReferenceData!$F$888),"")</x:f>
        <x:v>0</x:v>
      </x:c>
      <x:c r="G888">
        <x:f ca="1">IFERROR(IF(0=LEN(ReferenceData!$G$888),"",ReferenceData!$G$888),"")</x:f>
        <x:v>0</x:v>
      </x:c>
      <x:c r="H888">
        <x:f ca="1">IFERROR(IF(0=LEN(ReferenceData!$H$888),"",ReferenceData!$H$888),"")</x:f>
        <x:v>0</x:v>
      </x:c>
      <x:c r="I888">
        <x:f ca="1">IFERROR(IF(0=LEN(ReferenceData!$I$888),"",ReferenceData!$I$888),"")</x:f>
        <x:v>-0.32597999999999999</x:v>
      </x:c>
      <x:c r="J888">
        <x:f ca="1">IFERROR(IF(0=LEN(ReferenceData!$J$888),"",ReferenceData!$J$888),"")</x:f>
        <x:v>0</x:v>
      </x:c>
      <x:c r="K888">
        <x:f ca="1">IFERROR(IF(0=LEN(ReferenceData!$K$888),"",ReferenceData!$K$888),"")</x:f>
        <x:v>0</x:v>
      </x:c>
      <x:c r="L888">
        <x:f ca="1">IFERROR(IF(0=LEN(ReferenceData!$L$888),"",ReferenceData!$L$888),"")</x:f>
        <x:v>0</x:v>
      </x:c>
      <x:c r="M888">
        <x:f ca="1">IFERROR(IF(0=LEN(ReferenceData!$M$888),"",ReferenceData!$M$888),"")</x:f>
        <x:v>-0.79201999999999995</x:v>
      </x:c>
      <x:c r="N888">
        <x:f ca="1">IFERROR(IF(0=LEN(ReferenceData!$N$888),"",ReferenceData!$N$888),"")</x:f>
        <x:v>0</x:v>
      </x:c>
      <x:c r="O888">
        <x:f ca="1">IFERROR(IF(0=LEN(ReferenceData!$O$888),"",ReferenceData!$O$888),"")</x:f>
        <x:v>-0.851105</x:v>
      </x:c>
      <x:c r="P888">
        <x:f ca="1">IFERROR(IF(0=LEN(ReferenceData!$P$888),"",ReferenceData!$P$888),"")</x:f>
        <x:v>0</x:v>
      </x:c>
      <x:c r="Q888">
        <x:f ca="1">IFERROR(IF(0=LEN(ReferenceData!$Q$888),"",ReferenceData!$Q$888),"")</x:f>
        <x:v>0</x:v>
      </x:c>
      <x:c r="R888">
        <x:f ca="1">IFERROR(IF(0=LEN(ReferenceData!$R$888),"",ReferenceData!$R$888),"")</x:f>
        <x:v>0</x:v>
      </x:c>
      <x:c r="S888">
        <x:f ca="1">IFERROR(IF(0=LEN(ReferenceData!$S$888),"",ReferenceData!$S$888),"")</x:f>
        <x:v>0</x:v>
      </x:c>
    </x:row>
    <x:row r="889" spans="1:19" x14ac:dyDescent="0.25">
      <x:c r="A889" t="str">
        <x:f>IFERROR(IF(0=LEN(ReferenceData!$A$889),"",ReferenceData!$A$889),"")</x:f>
        <x:v xml:space="preserve">            Pacer Biothreat ETF</x:v>
      </x:c>
      <x:c r="B889" t="str">
        <x:f>IFERROR(IF(0=LEN(ReferenceData!$B$889),"",ReferenceData!$B$889),"")</x:f>
        <x:v>VIRS US Equity</x:v>
      </x:c>
      <x:c r="C889" t="str">
        <x:f>IFERROR(IF(0=LEN(ReferenceData!$C$889),"",ReferenceData!$C$889),"")</x:f>
        <x:v/>
      </x:c>
      <x:c r="D889" t="str">
        <x:f>IFERROR(IF(0=LEN(ReferenceData!$D$889),"",ReferenceData!$D$889),"")</x:f>
        <x:v/>
      </x:c>
      <x:c r="E889" t="str">
        <x:f>IFERROR(IF(0=LEN(ReferenceData!$E$889),"",ReferenceData!$E$889),"")</x:f>
        <x:v>Expression</x:v>
      </x:c>
      <x:c r="F889">
        <x:f ca="1">IFERROR(IF(0=LEN(ReferenceData!$F$889),"",ReferenceData!$F$889),"")</x:f>
        <x:v>0</x:v>
      </x:c>
      <x:c r="G889">
        <x:f ca="1">IFERROR(IF(0=LEN(ReferenceData!$G$889),"",ReferenceData!$G$889),"")</x:f>
        <x:v>0</x:v>
      </x:c>
      <x:c r="H889">
        <x:f ca="1">IFERROR(IF(0=LEN(ReferenceData!$H$889),"",ReferenceData!$H$889),"")</x:f>
        <x:v>0</x:v>
      </x:c>
      <x:c r="I889">
        <x:f ca="1">IFERROR(IF(0=LEN(ReferenceData!$I$889),"",ReferenceData!$I$889),"")</x:f>
        <x:v>0</x:v>
      </x:c>
      <x:c r="J889">
        <x:f ca="1">IFERROR(IF(0=LEN(ReferenceData!$J$889),"",ReferenceData!$J$889),"")</x:f>
        <x:v>0</x:v>
      </x:c>
      <x:c r="K889">
        <x:f ca="1">IFERROR(IF(0=LEN(ReferenceData!$K$889),"",ReferenceData!$K$889),"")</x:f>
        <x:v>3.2469999999999999E-3</x:v>
      </x:c>
      <x:c r="L889">
        <x:f ca="1">IFERROR(IF(0=LEN(ReferenceData!$L$889),"",ReferenceData!$L$889),"")</x:f>
        <x:v>0</x:v>
      </x:c>
      <x:c r="M889">
        <x:f ca="1">IFERROR(IF(0=LEN(ReferenceData!$M$889),"",ReferenceData!$M$889),"")</x:f>
        <x:v>0</x:v>
      </x:c>
      <x:c r="N889">
        <x:f ca="1">IFERROR(IF(0=LEN(ReferenceData!$N$889),"",ReferenceData!$N$889),"")</x:f>
        <x:v>0</x:v>
      </x:c>
      <x:c r="O889">
        <x:f ca="1">IFERROR(IF(0=LEN(ReferenceData!$O$889),"",ReferenceData!$O$889),"")</x:f>
        <x:v>0</x:v>
      </x:c>
      <x:c r="P889">
        <x:f ca="1">IFERROR(IF(0=LEN(ReferenceData!$P$889),"",ReferenceData!$P$889),"")</x:f>
        <x:v>0</x:v>
      </x:c>
      <x:c r="Q889">
        <x:f ca="1">IFERROR(IF(0=LEN(ReferenceData!$Q$889),"",ReferenceData!$Q$889),"")</x:f>
        <x:v>-0.74356500000000003</x:v>
      </x:c>
      <x:c r="R889">
        <x:f ca="1">IFERROR(IF(0=LEN(ReferenceData!$R$889),"",ReferenceData!$R$889),"")</x:f>
        <x:v>0</x:v>
      </x:c>
      <x:c r="S889">
        <x:f ca="1">IFERROR(IF(0=LEN(ReferenceData!$S$889),"",ReferenceData!$S$889),"")</x:f>
        <x:v>0</x:v>
      </x:c>
    </x:row>
    <x:row r="890" spans="1:19" x14ac:dyDescent="0.25">
      <x:c r="A890" t="str">
        <x:f>IFERROR(IF(0=LEN(ReferenceData!$A$890),"",ReferenceData!$A$890),"")</x:f>
        <x:v xml:space="preserve">            Global X Education ETF</x:v>
      </x:c>
      <x:c r="B890" t="str">
        <x:f>IFERROR(IF(0=LEN(ReferenceData!$B$890),"",ReferenceData!$B$890),"")</x:f>
        <x:v>EDUT US Equity</x:v>
      </x:c>
      <x:c r="C890" t="str">
        <x:f>IFERROR(IF(0=LEN(ReferenceData!$C$890),"",ReferenceData!$C$890),"")</x:f>
        <x:v/>
      </x:c>
      <x:c r="D890" t="str">
        <x:f>IFERROR(IF(0=LEN(ReferenceData!$D$890),"",ReferenceData!$D$890),"")</x:f>
        <x:v/>
      </x:c>
      <x:c r="E890" t="str">
        <x:f>IFERROR(IF(0=LEN(ReferenceData!$E$890),"",ReferenceData!$E$890),"")</x:f>
        <x:v>Expression</x:v>
      </x:c>
      <x:c r="F890">
        <x:f ca="1">IFERROR(IF(0=LEN(ReferenceData!$F$890),"",ReferenceData!$F$890),"")</x:f>
        <x:v>0</x:v>
      </x:c>
      <x:c r="G890">
        <x:f ca="1">IFERROR(IF(0=LEN(ReferenceData!$G$890),"",ReferenceData!$G$890),"")</x:f>
        <x:v>0</x:v>
      </x:c>
      <x:c r="H890">
        <x:f ca="1">IFERROR(IF(0=LEN(ReferenceData!$H$890),"",ReferenceData!$H$890),"")</x:f>
        <x:v>0</x:v>
      </x:c>
      <x:c r="I890">
        <x:f ca="1">IFERROR(IF(0=LEN(ReferenceData!$I$890),"",ReferenceData!$I$890),"")</x:f>
        <x:v>-0.21390000000000001</x:v>
      </x:c>
      <x:c r="J890">
        <x:f ca="1">IFERROR(IF(0=LEN(ReferenceData!$J$890),"",ReferenceData!$J$890),"")</x:f>
        <x:v>0</x:v>
      </x:c>
      <x:c r="K890">
        <x:f ca="1">IFERROR(IF(0=LEN(ReferenceData!$K$890),"",ReferenceData!$K$890),"")</x:f>
        <x:v>0</x:v>
      </x:c>
      <x:c r="L890">
        <x:f ca="1">IFERROR(IF(0=LEN(ReferenceData!$L$890),"",ReferenceData!$L$890),"")</x:f>
        <x:v>-0.193</x:v>
      </x:c>
      <x:c r="M890">
        <x:f ca="1">IFERROR(IF(0=LEN(ReferenceData!$M$890),"",ReferenceData!$M$890),"")</x:f>
        <x:v>0</x:v>
      </x:c>
      <x:c r="N890">
        <x:f ca="1">IFERROR(IF(0=LEN(ReferenceData!$N$890),"",ReferenceData!$N$890),"")</x:f>
        <x:v>0</x:v>
      </x:c>
      <x:c r="O890">
        <x:f ca="1">IFERROR(IF(0=LEN(ReferenceData!$O$890),"",ReferenceData!$O$890),"")</x:f>
        <x:v>0</x:v>
      </x:c>
      <x:c r="P890">
        <x:f ca="1">IFERROR(IF(0=LEN(ReferenceData!$P$890),"",ReferenceData!$P$890),"")</x:f>
        <x:v>-3.447E-3</x:v>
      </x:c>
      <x:c r="Q890">
        <x:f ca="1">IFERROR(IF(0=LEN(ReferenceData!$Q$890),"",ReferenceData!$Q$890),"")</x:f>
        <x:v>3.0000000000000001E-6</x:v>
      </x:c>
      <x:c r="R890">
        <x:f ca="1">IFERROR(IF(0=LEN(ReferenceData!$R$890),"",ReferenceData!$R$890),"")</x:f>
        <x:v>0</x:v>
      </x:c>
      <x:c r="S890">
        <x:f ca="1">IFERROR(IF(0=LEN(ReferenceData!$S$890),"",ReferenceData!$S$890),"")</x:f>
        <x:v>0</x:v>
      </x:c>
    </x:row>
    <x:row r="891" spans="1:19" x14ac:dyDescent="0.25">
      <x:c r="A891" t="str">
        <x:f>IFERROR(IF(0=LEN(ReferenceData!$A$891),"",ReferenceData!$A$891),"")</x:f>
        <x:v xml:space="preserve">            Emles Made in America ETF</x:v>
      </x:c>
      <x:c r="B891" t="str">
        <x:f>IFERROR(IF(0=LEN(ReferenceData!$B$891),"",ReferenceData!$B$891),"")</x:f>
        <x:v>AMER US Equity</x:v>
      </x:c>
      <x:c r="C891" t="str">
        <x:f>IFERROR(IF(0=LEN(ReferenceData!$C$891),"",ReferenceData!$C$891),"")</x:f>
        <x:v/>
      </x:c>
      <x:c r="D891" t="str">
        <x:f>IFERROR(IF(0=LEN(ReferenceData!$D$891),"",ReferenceData!$D$891),"")</x:f>
        <x:v/>
      </x:c>
      <x:c r="E891" t="str">
        <x:f>IFERROR(IF(0=LEN(ReferenceData!$E$891),"",ReferenceData!$E$891),"")</x:f>
        <x:v>Expression</x:v>
      </x:c>
      <x:c r="F891" t="str">
        <x:f ca="1">IFERROR(IF(0=LEN(ReferenceData!$F$891),"",ReferenceData!$F$891),"")</x:f>
        <x:v/>
      </x:c>
      <x:c r="G891" t="str">
        <x:f ca="1">IFERROR(IF(0=LEN(ReferenceData!$G$891),"",ReferenceData!$G$891),"")</x:f>
        <x:v/>
      </x:c>
      <x:c r="H891" t="str">
        <x:f ca="1">IFERROR(IF(0=LEN(ReferenceData!$H$891),"",ReferenceData!$H$891),"")</x:f>
        <x:v/>
      </x:c>
      <x:c r="I891" t="str">
        <x:f ca="1">IFERROR(IF(0=LEN(ReferenceData!$I$891),"",ReferenceData!$I$891),"")</x:f>
        <x:v/>
      </x:c>
      <x:c r="J891" t="str">
        <x:f ca="1">IFERROR(IF(0=LEN(ReferenceData!$J$891),"",ReferenceData!$J$891),"")</x:f>
        <x:v/>
      </x:c>
      <x:c r="K891" t="str">
        <x:f ca="1">IFERROR(IF(0=LEN(ReferenceData!$K$891),"",ReferenceData!$K$891),"")</x:f>
        <x:v/>
      </x:c>
      <x:c r="L891" t="str">
        <x:f ca="1">IFERROR(IF(0=LEN(ReferenceData!$L$891),"",ReferenceData!$L$891),"")</x:f>
        <x:v/>
      </x:c>
      <x:c r="M891" t="str">
        <x:f ca="1">IFERROR(IF(0=LEN(ReferenceData!$M$891),"",ReferenceData!$M$891),"")</x:f>
        <x:v/>
      </x:c>
      <x:c r="N891" t="str">
        <x:f ca="1">IFERROR(IF(0=LEN(ReferenceData!$N$891),"",ReferenceData!$N$891),"")</x:f>
        <x:v/>
      </x:c>
      <x:c r="O891" t="str">
        <x:f ca="1">IFERROR(IF(0=LEN(ReferenceData!$O$891),"",ReferenceData!$O$891),"")</x:f>
        <x:v/>
      </x:c>
      <x:c r="P891" t="str">
        <x:f ca="1">IFERROR(IF(0=LEN(ReferenceData!$P$891),"",ReferenceData!$P$891),"")</x:f>
        <x:v/>
      </x:c>
      <x:c r="Q891" t="str">
        <x:f ca="1">IFERROR(IF(0=LEN(ReferenceData!$Q$891),"",ReferenceData!$Q$891),"")</x:f>
        <x:v/>
      </x:c>
      <x:c r="R891" t="str">
        <x:f ca="1">IFERROR(IF(0=LEN(ReferenceData!$R$891),"",ReferenceData!$R$891),"")</x:f>
        <x:v/>
      </x:c>
      <x:c r="S891">
        <x:f ca="1">IFERROR(IF(0=LEN(ReferenceData!$S$891),"",ReferenceData!$S$891),"")</x:f>
        <x:v>-3.7229999999999999E-2</x:v>
      </x:c>
    </x:row>
    <x:row r="892" spans="1:19" x14ac:dyDescent="0.25">
      <x:c r="A892" t="str">
        <x:f>IFERROR(IF(0=LEN(ReferenceData!$A$892),"",ReferenceData!$A$892),"")</x:f>
        <x:v xml:space="preserve">            Emles Federal Contractors ETF</x:v>
      </x:c>
      <x:c r="B892" t="str">
        <x:f>IFERROR(IF(0=LEN(ReferenceData!$B$892),"",ReferenceData!$B$892),"")</x:f>
        <x:v>FEDX US Equity</x:v>
      </x:c>
      <x:c r="C892" t="str">
        <x:f>IFERROR(IF(0=LEN(ReferenceData!$C$892),"",ReferenceData!$C$892),"")</x:f>
        <x:v/>
      </x:c>
      <x:c r="D892" t="str">
        <x:f>IFERROR(IF(0=LEN(ReferenceData!$D$892),"",ReferenceData!$D$892),"")</x:f>
        <x:v/>
      </x:c>
      <x:c r="E892" t="str">
        <x:f>IFERROR(IF(0=LEN(ReferenceData!$E$892),"",ReferenceData!$E$892),"")</x:f>
        <x:v>Expression</x:v>
      </x:c>
      <x:c r="F892" t="str">
        <x:f ca="1">IFERROR(IF(0=LEN(ReferenceData!$F$892),"",ReferenceData!$F$892),"")</x:f>
        <x:v/>
      </x:c>
      <x:c r="G892" t="str">
        <x:f ca="1">IFERROR(IF(0=LEN(ReferenceData!$G$892),"",ReferenceData!$G$892),"")</x:f>
        <x:v/>
      </x:c>
      <x:c r="H892" t="str">
        <x:f ca="1">IFERROR(IF(0=LEN(ReferenceData!$H$892),"",ReferenceData!$H$892),"")</x:f>
        <x:v/>
      </x:c>
      <x:c r="I892" t="str">
        <x:f ca="1">IFERROR(IF(0=LEN(ReferenceData!$I$892),"",ReferenceData!$I$892),"")</x:f>
        <x:v/>
      </x:c>
      <x:c r="J892" t="str">
        <x:f ca="1">IFERROR(IF(0=LEN(ReferenceData!$J$892),"",ReferenceData!$J$892),"")</x:f>
        <x:v/>
      </x:c>
      <x:c r="K892" t="str">
        <x:f ca="1">IFERROR(IF(0=LEN(ReferenceData!$K$892),"",ReferenceData!$K$892),"")</x:f>
        <x:v/>
      </x:c>
      <x:c r="L892" t="str">
        <x:f ca="1">IFERROR(IF(0=LEN(ReferenceData!$L$892),"",ReferenceData!$L$892),"")</x:f>
        <x:v/>
      </x:c>
      <x:c r="M892" t="str">
        <x:f ca="1">IFERROR(IF(0=LEN(ReferenceData!$M$892),"",ReferenceData!$M$892),"")</x:f>
        <x:v/>
      </x:c>
      <x:c r="N892" t="str">
        <x:f ca="1">IFERROR(IF(0=LEN(ReferenceData!$N$892),"",ReferenceData!$N$892),"")</x:f>
        <x:v/>
      </x:c>
      <x:c r="O892" t="str">
        <x:f ca="1">IFERROR(IF(0=LEN(ReferenceData!$O$892),"",ReferenceData!$O$892),"")</x:f>
        <x:v/>
      </x:c>
      <x:c r="P892" t="str">
        <x:f ca="1">IFERROR(IF(0=LEN(ReferenceData!$P$892),"",ReferenceData!$P$892),"")</x:f>
        <x:v/>
      </x:c>
      <x:c r="Q892" t="str">
        <x:f ca="1">IFERROR(IF(0=LEN(ReferenceData!$Q$892),"",ReferenceData!$Q$892),"")</x:f>
        <x:v/>
      </x:c>
      <x:c r="R892" t="str">
        <x:f ca="1">IFERROR(IF(0=LEN(ReferenceData!$R$892),"",ReferenceData!$R$892),"")</x:f>
        <x:v/>
      </x:c>
      <x:c r="S892">
        <x:f ca="1">IFERROR(IF(0=LEN(ReferenceData!$S$892),"",ReferenceData!$S$892),"")</x:f>
        <x:v>-1.2522949999999999</x:v>
      </x:c>
    </x:row>
    <x:row r="893" spans="1:19" x14ac:dyDescent="0.25">
      <x:c r="A893" t="str">
        <x:f>IFERROR(IF(0=LEN(ReferenceData!$A$893),"",ReferenceData!$A$893),"")</x:f>
        <x:v xml:space="preserve">            Simplify Volt Pop Culture Disr</x:v>
      </x:c>
      <x:c r="B893" t="str">
        <x:f>IFERROR(IF(0=LEN(ReferenceData!$B$893),"",ReferenceData!$B$893),"")</x:f>
        <x:v>VPOP US Equity</x:v>
      </x:c>
      <x:c r="C893" t="str">
        <x:f>IFERROR(IF(0=LEN(ReferenceData!$C$893),"",ReferenceData!$C$893),"")</x:f>
        <x:v/>
      </x:c>
      <x:c r="D893" t="str">
        <x:f>IFERROR(IF(0=LEN(ReferenceData!$D$893),"",ReferenceData!$D$893),"")</x:f>
        <x:v/>
      </x:c>
      <x:c r="E893" t="str">
        <x:f>IFERROR(IF(0=LEN(ReferenceData!$E$893),"",ReferenceData!$E$893),"")</x:f>
        <x:v>Expression</x:v>
      </x:c>
      <x:c r="F893" t="str">
        <x:f ca="1">IFERROR(IF(0=LEN(ReferenceData!$F$893),"",ReferenceData!$F$893),"")</x:f>
        <x:v/>
      </x:c>
      <x:c r="G893" t="str">
        <x:f ca="1">IFERROR(IF(0=LEN(ReferenceData!$G$893),"",ReferenceData!$G$893),"")</x:f>
        <x:v/>
      </x:c>
      <x:c r="H893" t="str">
        <x:f ca="1">IFERROR(IF(0=LEN(ReferenceData!$H$893),"",ReferenceData!$H$893),"")</x:f>
        <x:v/>
      </x:c>
      <x:c r="I893" t="str">
        <x:f ca="1">IFERROR(IF(0=LEN(ReferenceData!$I$893),"",ReferenceData!$I$893),"")</x:f>
        <x:v/>
      </x:c>
      <x:c r="J893" t="str">
        <x:f ca="1">IFERROR(IF(0=LEN(ReferenceData!$J$893),"",ReferenceData!$J$893),"")</x:f>
        <x:v/>
      </x:c>
      <x:c r="K893" t="str">
        <x:f ca="1">IFERROR(IF(0=LEN(ReferenceData!$K$893),"",ReferenceData!$K$893),"")</x:f>
        <x:v/>
      </x:c>
      <x:c r="L893" t="str">
        <x:f ca="1">IFERROR(IF(0=LEN(ReferenceData!$L$893),"",ReferenceData!$L$893),"")</x:f>
        <x:v/>
      </x:c>
      <x:c r="M893" t="str">
        <x:f ca="1">IFERROR(IF(0=LEN(ReferenceData!$M$893),"",ReferenceData!$M$893),"")</x:f>
        <x:v/>
      </x:c>
      <x:c r="N893" t="str">
        <x:f ca="1">IFERROR(IF(0=LEN(ReferenceData!$N$893),"",ReferenceData!$N$893),"")</x:f>
        <x:v/>
      </x:c>
      <x:c r="O893" t="str">
        <x:f ca="1">IFERROR(IF(0=LEN(ReferenceData!$O$893),"",ReferenceData!$O$893),"")</x:f>
        <x:v/>
      </x:c>
      <x:c r="P893" t="str">
        <x:f ca="1">IFERROR(IF(0=LEN(ReferenceData!$P$893),"",ReferenceData!$P$893),"")</x:f>
        <x:v/>
      </x:c>
      <x:c r="Q893" t="str">
        <x:f ca="1">IFERROR(IF(0=LEN(ReferenceData!$Q$893),"",ReferenceData!$Q$893),"")</x:f>
        <x:v/>
      </x:c>
      <x:c r="R893" t="str">
        <x:f ca="1">IFERROR(IF(0=LEN(ReferenceData!$R$893),"",ReferenceData!$R$893),"")</x:f>
        <x:v/>
      </x:c>
      <x:c r="S893" t="str">
        <x:f ca="1">IFERROR(IF(0=LEN(ReferenceData!$S$893),"",ReferenceData!$S$893),"")</x:f>
        <x:v/>
      </x:c>
    </x:row>
    <x:row r="894" spans="1:19" x14ac:dyDescent="0.25">
      <x:c r="A894" t="str">
        <x:f>IFERROR(IF(0=LEN(ReferenceData!$A$894),"",ReferenceData!$A$894),"")</x:f>
        <x:v xml:space="preserve">            Roundhill Pro Sports Media &amp; A</x:v>
      </x:c>
      <x:c r="B894" t="str">
        <x:f>IFERROR(IF(0=LEN(ReferenceData!$B$894),"",ReferenceData!$B$894),"")</x:f>
        <x:v>MVP US Equity</x:v>
      </x:c>
      <x:c r="C894" t="str">
        <x:f>IFERROR(IF(0=LEN(ReferenceData!$C$894),"",ReferenceData!$C$894),"")</x:f>
        <x:v/>
      </x:c>
      <x:c r="D894" t="str">
        <x:f>IFERROR(IF(0=LEN(ReferenceData!$D$894),"",ReferenceData!$D$894),"")</x:f>
        <x:v/>
      </x:c>
      <x:c r="E894" t="str">
        <x:f>IFERROR(IF(0=LEN(ReferenceData!$E$894),"",ReferenceData!$E$894),"")</x:f>
        <x:v>Expression</x:v>
      </x:c>
      <x:c r="F894" t="str">
        <x:f ca="1">IFERROR(IF(0=LEN(ReferenceData!$F$894),"",ReferenceData!$F$894),"")</x:f>
        <x:v/>
      </x:c>
      <x:c r="G894" t="str">
        <x:f ca="1">IFERROR(IF(0=LEN(ReferenceData!$G$894),"",ReferenceData!$G$894),"")</x:f>
        <x:v/>
      </x:c>
      <x:c r="H894" t="str">
        <x:f ca="1">IFERROR(IF(0=LEN(ReferenceData!$H$894),"",ReferenceData!$H$894),"")</x:f>
        <x:v/>
      </x:c>
      <x:c r="I894" t="str">
        <x:f ca="1">IFERROR(IF(0=LEN(ReferenceData!$I$894),"",ReferenceData!$I$894),"")</x:f>
        <x:v/>
      </x:c>
      <x:c r="J894" t="str">
        <x:f ca="1">IFERROR(IF(0=LEN(ReferenceData!$J$894),"",ReferenceData!$J$894),"")</x:f>
        <x:v/>
      </x:c>
      <x:c r="K894" t="str">
        <x:f ca="1">IFERROR(IF(0=LEN(ReferenceData!$K$894),"",ReferenceData!$K$894),"")</x:f>
        <x:v/>
      </x:c>
      <x:c r="L894" t="str">
        <x:f ca="1">IFERROR(IF(0=LEN(ReferenceData!$L$894),"",ReferenceData!$L$894),"")</x:f>
        <x:v/>
      </x:c>
      <x:c r="M894" t="str">
        <x:f ca="1">IFERROR(IF(0=LEN(ReferenceData!$M$894),"",ReferenceData!$M$894),"")</x:f>
        <x:v/>
      </x:c>
      <x:c r="N894" t="str">
        <x:f ca="1">IFERROR(IF(0=LEN(ReferenceData!$N$894),"",ReferenceData!$N$894),"")</x:f>
        <x:v/>
      </x:c>
      <x:c r="O894" t="str">
        <x:f ca="1">IFERROR(IF(0=LEN(ReferenceData!$O$894),"",ReferenceData!$O$894),"")</x:f>
        <x:v/>
      </x:c>
      <x:c r="P894" t="str">
        <x:f ca="1">IFERROR(IF(0=LEN(ReferenceData!$P$894),"",ReferenceData!$P$894),"")</x:f>
        <x:v/>
      </x:c>
      <x:c r="Q894" t="str">
        <x:f ca="1">IFERROR(IF(0=LEN(ReferenceData!$Q$894),"",ReferenceData!$Q$894),"")</x:f>
        <x:v/>
      </x:c>
      <x:c r="R894" t="str">
        <x:f ca="1">IFERROR(IF(0=LEN(ReferenceData!$R$894),"",ReferenceData!$R$894),"")</x:f>
        <x:v/>
      </x:c>
      <x:c r="S894" t="str">
        <x:f ca="1">IFERROR(IF(0=LEN(ReferenceData!$S$894),"",ReferenceData!$S$894),"")</x:f>
        <x:v/>
      </x:c>
    </x:row>
    <x:row r="895" spans="1:19" x14ac:dyDescent="0.25">
      <x:c r="A895" t="str">
        <x:f>IFERROR(IF(0=LEN(ReferenceData!$A$895),"",ReferenceData!$A$895),"")</x:f>
        <x:v xml:space="preserve">            LeaderShares Activist Leaders</x:v>
      </x:c>
      <x:c r="B895" t="str">
        <x:f>IFERROR(IF(0=LEN(ReferenceData!$B$895),"",ReferenceData!$B$895),"")</x:f>
        <x:v>ACTV US Equity</x:v>
      </x:c>
      <x:c r="C895" t="str">
        <x:f>IFERROR(IF(0=LEN(ReferenceData!$C$895),"",ReferenceData!$C$895),"")</x:f>
        <x:v/>
      </x:c>
      <x:c r="D895" t="str">
        <x:f>IFERROR(IF(0=LEN(ReferenceData!$D$895),"",ReferenceData!$D$895),"")</x:f>
        <x:v/>
      </x:c>
      <x:c r="E895" t="str">
        <x:f>IFERROR(IF(0=LEN(ReferenceData!$E$895),"",ReferenceData!$E$895),"")</x:f>
        <x:v>Expression</x:v>
      </x:c>
      <x:c r="F895">
        <x:f ca="1">IFERROR(IF(0=LEN(ReferenceData!$F$895),"",ReferenceData!$F$895),"")</x:f>
        <x:v>-11.596</x:v>
      </x:c>
      <x:c r="G895">
        <x:f ca="1">IFERROR(IF(0=LEN(ReferenceData!$G$895),"",ReferenceData!$G$895),"")</x:f>
        <x:v>0.68925000000000003</x:v>
      </x:c>
      <x:c r="H895">
        <x:f ca="1">IFERROR(IF(0=LEN(ReferenceData!$H$895),"",ReferenceData!$H$895),"")</x:f>
        <x:v>-1.524</x:v>
      </x:c>
      <x:c r="I895">
        <x:f ca="1">IFERROR(IF(0=LEN(ReferenceData!$I$895),"",ReferenceData!$I$895),"")</x:f>
        <x:v>1.375E-2</x:v>
      </x:c>
      <x:c r="J895">
        <x:f ca="1">IFERROR(IF(0=LEN(ReferenceData!$J$895),"",ReferenceData!$J$895),"")</x:f>
        <x:v>1.4390000000000001</x:v>
      </x:c>
      <x:c r="K895">
        <x:f ca="1">IFERROR(IF(0=LEN(ReferenceData!$K$895),"",ReferenceData!$K$895),"")</x:f>
        <x:v>-1.2E-2</x:v>
      </x:c>
      <x:c r="L895">
        <x:f ca="1">IFERROR(IF(0=LEN(ReferenceData!$L$895),"",ReferenceData!$L$895),"")</x:f>
        <x:v>3.2000000000000001E-2</x:v>
      </x:c>
      <x:c r="M895">
        <x:f ca="1">IFERROR(IF(0=LEN(ReferenceData!$M$895),"",ReferenceData!$M$895),"")</x:f>
        <x:v>1.4610000000000001</x:v>
      </x:c>
      <x:c r="N895">
        <x:f ca="1">IFERROR(IF(0=LEN(ReferenceData!$N$895),"",ReferenceData!$N$895),"")</x:f>
        <x:v>1.49675</x:v>
      </x:c>
      <x:c r="O895">
        <x:f ca="1">IFERROR(IF(0=LEN(ReferenceData!$O$895),"",ReferenceData!$O$895),"")</x:f>
        <x:v>3.3042500000000001</x:v>
      </x:c>
      <x:c r="P895">
        <x:f ca="1">IFERROR(IF(0=LEN(ReferenceData!$P$895),"",ReferenceData!$P$895),"")</x:f>
        <x:v>-7.1999999999999995E-2</x:v>
      </x:c>
      <x:c r="Q895">
        <x:f ca="1">IFERROR(IF(0=LEN(ReferenceData!$Q$895),"",ReferenceData!$Q$895),"")</x:f>
        <x:v>2.2130000000000001</x:v>
      </x:c>
      <x:c r="R895">
        <x:f ca="1">IFERROR(IF(0=LEN(ReferenceData!$R$895),"",ReferenceData!$R$895),"")</x:f>
        <x:v>-0.14174999999999999</x:v>
      </x:c>
      <x:c r="S895">
        <x:f ca="1">IFERROR(IF(0=LEN(ReferenceData!$S$895),"",ReferenceData!$S$895),"")</x:f>
        <x:v>1.37825</x:v>
      </x:c>
    </x:row>
    <x:row r="896" spans="1:19" x14ac:dyDescent="0.25">
      <x:c r="A896" t="str">
        <x:f>IFERROR(IF(0=LEN(ReferenceData!$A$896),"",ReferenceData!$A$896),"")</x:f>
        <x:v xml:space="preserve">            VanEck Social Sentiment ETF</x:v>
      </x:c>
      <x:c r="B896" t="str">
        <x:f>IFERROR(IF(0=LEN(ReferenceData!$B$896),"",ReferenceData!$B$896),"")</x:f>
        <x:v>BUZZ US Equity</x:v>
      </x:c>
      <x:c r="C896" t="str">
        <x:f>IFERROR(IF(0=LEN(ReferenceData!$C$896),"",ReferenceData!$C$896),"")</x:f>
        <x:v/>
      </x:c>
      <x:c r="D896" t="str">
        <x:f>IFERROR(IF(0=LEN(ReferenceData!$D$896),"",ReferenceData!$D$896),"")</x:f>
        <x:v/>
      </x:c>
      <x:c r="E896" t="str">
        <x:f>IFERROR(IF(0=LEN(ReferenceData!$E$896),"",ReferenceData!$E$896),"")</x:f>
        <x:v>Expression</x:v>
      </x:c>
      <x:c r="F896">
        <x:f ca="1">IFERROR(IF(0=LEN(ReferenceData!$F$896),"",ReferenceData!$F$896),"")</x:f>
        <x:v>-3.1244999999999998E-2</x:v>
      </x:c>
      <x:c r="G896">
        <x:f ca="1">IFERROR(IF(0=LEN(ReferenceData!$G$896),"",ReferenceData!$G$896),"")</x:f>
        <x:v>-1.243134</x:v>
      </x:c>
      <x:c r="H896">
        <x:f ca="1">IFERROR(IF(0=LEN(ReferenceData!$H$896),"",ReferenceData!$H$896),"")</x:f>
        <x:v>-0.94581000000000004</x:v>
      </x:c>
      <x:c r="I896">
        <x:f ca="1">IFERROR(IF(0=LEN(ReferenceData!$I$896),"",ReferenceData!$I$896),"")</x:f>
        <x:v>8.3389000000000005E-2</x:v>
      </x:c>
      <x:c r="J896">
        <x:f ca="1">IFERROR(IF(0=LEN(ReferenceData!$J$896),"",ReferenceData!$J$896),"")</x:f>
        <x:v>-1.598741</x:v>
      </x:c>
      <x:c r="K896">
        <x:f ca="1">IFERROR(IF(0=LEN(ReferenceData!$K$896),"",ReferenceData!$K$896),"")</x:f>
        <x:v>-0.970329</x:v>
      </x:c>
      <x:c r="L896">
        <x:f ca="1">IFERROR(IF(0=LEN(ReferenceData!$L$896),"",ReferenceData!$L$896),"")</x:f>
        <x:v>-2.1078060000000001</x:v>
      </x:c>
      <x:c r="M896">
        <x:f ca="1">IFERROR(IF(0=LEN(ReferenceData!$M$896),"",ReferenceData!$M$896),"")</x:f>
        <x:v>0.589341</x:v>
      </x:c>
      <x:c r="N896">
        <x:f ca="1">IFERROR(IF(0=LEN(ReferenceData!$N$896),"",ReferenceData!$N$896),"")</x:f>
        <x:v>-2.1757149999999998</x:v>
      </x:c>
      <x:c r="O896">
        <x:f ca="1">IFERROR(IF(0=LEN(ReferenceData!$O$896),"",ReferenceData!$O$896),"")</x:f>
        <x:v>-1.1379060000000001</x:v>
      </x:c>
      <x:c r="P896">
        <x:f ca="1">IFERROR(IF(0=LEN(ReferenceData!$P$896),"",ReferenceData!$P$896),"")</x:f>
        <x:v>-1.587685</x:v>
      </x:c>
      <x:c r="Q896">
        <x:f ca="1">IFERROR(IF(0=LEN(ReferenceData!$Q$896),"",ReferenceData!$Q$896),"")</x:f>
        <x:v>-0.38333299999999998</x:v>
      </x:c>
      <x:c r="R896">
        <x:f ca="1">IFERROR(IF(0=LEN(ReferenceData!$R$896),"",ReferenceData!$R$896),"")</x:f>
        <x:v>-2.2841840000000002</x:v>
      </x:c>
      <x:c r="S896">
        <x:f ca="1">IFERROR(IF(0=LEN(ReferenceData!$S$896),"",ReferenceData!$S$896),"")</x:f>
        <x:v>-1.696E-3</x:v>
      </x:c>
    </x:row>
    <x:row r="897" spans="1:19" x14ac:dyDescent="0.25">
      <x:c r="A897" t="str">
        <x:f>IFERROR(IF(0=LEN(ReferenceData!$A$897),"",ReferenceData!$A$897),"")</x:f>
        <x:v xml:space="preserve">            Principal Millennials ETF</x:v>
      </x:c>
      <x:c r="B897" t="str">
        <x:f>IFERROR(IF(0=LEN(ReferenceData!$B$897),"",ReferenceData!$B$897),"")</x:f>
        <x:v>GENY US Equity</x:v>
      </x:c>
      <x:c r="C897" t="str">
        <x:f>IFERROR(IF(0=LEN(ReferenceData!$C$897),"",ReferenceData!$C$897),"")</x:f>
        <x:v/>
      </x:c>
      <x:c r="D897" t="str">
        <x:f>IFERROR(IF(0=LEN(ReferenceData!$D$897),"",ReferenceData!$D$897),"")</x:f>
        <x:v/>
      </x:c>
      <x:c r="E897" t="str">
        <x:f>IFERROR(IF(0=LEN(ReferenceData!$E$897),"",ReferenceData!$E$897),"")</x:f>
        <x:v>Expression</x:v>
      </x:c>
      <x:c r="F897" t="str">
        <x:f ca="1">IFERROR(IF(0=LEN(ReferenceData!$F$897),"",ReferenceData!$F$897),"")</x:f>
        <x:v/>
      </x:c>
      <x:c r="G897">
        <x:f ca="1">IFERROR(IF(0=LEN(ReferenceData!$G$897),"",ReferenceData!$G$897),"")</x:f>
        <x:v>-17.351966999999998</x:v>
      </x:c>
      <x:c r="H897">
        <x:f ca="1">IFERROR(IF(0=LEN(ReferenceData!$H$897),"",ReferenceData!$H$897),"")</x:f>
        <x:v>0</x:v>
      </x:c>
      <x:c r="I897">
        <x:f ca="1">IFERROR(IF(0=LEN(ReferenceData!$I$897),"",ReferenceData!$I$897),"")</x:f>
        <x:v>2.1894290000000001</x:v>
      </x:c>
      <x:c r="J897">
        <x:f ca="1">IFERROR(IF(0=LEN(ReferenceData!$J$897),"",ReferenceData!$J$897),"")</x:f>
        <x:v>0</x:v>
      </x:c>
      <x:c r="K897">
        <x:f ca="1">IFERROR(IF(0=LEN(ReferenceData!$K$897),"",ReferenceData!$K$897),"")</x:f>
        <x:v>0</x:v>
      </x:c>
      <x:c r="L897">
        <x:f ca="1">IFERROR(IF(0=LEN(ReferenceData!$L$897),"",ReferenceData!$L$897),"")</x:f>
        <x:v>0</x:v>
      </x:c>
      <x:c r="M897">
        <x:f ca="1">IFERROR(IF(0=LEN(ReferenceData!$M$897),"",ReferenceData!$M$897),"")</x:f>
        <x:v>0</x:v>
      </x:c>
      <x:c r="N897">
        <x:f ca="1">IFERROR(IF(0=LEN(ReferenceData!$N$897),"",ReferenceData!$N$897),"")</x:f>
        <x:v>2.1186050000000001</x:v>
      </x:c>
      <x:c r="O897">
        <x:f ca="1">IFERROR(IF(0=LEN(ReferenceData!$O$897),"",ReferenceData!$O$897),"")</x:f>
        <x:v>0</x:v>
      </x:c>
      <x:c r="P897">
        <x:f ca="1">IFERROR(IF(0=LEN(ReferenceData!$P$897),"",ReferenceData!$P$897),"")</x:f>
        <x:v>0</x:v>
      </x:c>
      <x:c r="Q897">
        <x:f ca="1">IFERROR(IF(0=LEN(ReferenceData!$Q$897),"",ReferenceData!$Q$897),"")</x:f>
        <x:v>0</x:v>
      </x:c>
      <x:c r="R897">
        <x:f ca="1">IFERROR(IF(0=LEN(ReferenceData!$R$897),"",ReferenceData!$R$897),"")</x:f>
        <x:v>0</x:v>
      </x:c>
      <x:c r="S897">
        <x:f ca="1">IFERROR(IF(0=LEN(ReferenceData!$S$897),"",ReferenceData!$S$897),"")</x:f>
        <x:v>1.7295510000000001</x:v>
      </x:c>
    </x:row>
    <x:row r="898" spans="1:19" x14ac:dyDescent="0.25">
      <x:c r="A898" t="str">
        <x:f>IFERROR(IF(0=LEN(ReferenceData!$A$898),"",ReferenceData!$A$898),"")</x:f>
        <x:v xml:space="preserve">            Global X Funds Global X Millen</x:v>
      </x:c>
      <x:c r="B898" t="str">
        <x:f>IFERROR(IF(0=LEN(ReferenceData!$B$898),"",ReferenceData!$B$898),"")</x:f>
        <x:v>MILN US Equity</x:v>
      </x:c>
      <x:c r="C898" t="str">
        <x:f>IFERROR(IF(0=LEN(ReferenceData!$C$898),"",ReferenceData!$C$898),"")</x:f>
        <x:v/>
      </x:c>
      <x:c r="D898" t="str">
        <x:f>IFERROR(IF(0=LEN(ReferenceData!$D$898),"",ReferenceData!$D$898),"")</x:f>
        <x:v/>
      </x:c>
      <x:c r="E898" t="str">
        <x:f>IFERROR(IF(0=LEN(ReferenceData!$E$898),"",ReferenceData!$E$898),"")</x:f>
        <x:v>Expression</x:v>
      </x:c>
      <x:c r="F898">
        <x:f ca="1">IFERROR(IF(0=LEN(ReferenceData!$F$898),"",ReferenceData!$F$898),"")</x:f>
        <x:v>-0.3075</x:v>
      </x:c>
      <x:c r="G898">
        <x:f ca="1">IFERROR(IF(0=LEN(ReferenceData!$G$898),"",ReferenceData!$G$898),"")</x:f>
        <x:v>0.28810000000000002</x:v>
      </x:c>
      <x:c r="H898">
        <x:f ca="1">IFERROR(IF(0=LEN(ReferenceData!$H$898),"",ReferenceData!$H$898),"")</x:f>
        <x:v>-0.60519999999999996</x:v>
      </x:c>
      <x:c r="I898">
        <x:f ca="1">IFERROR(IF(0=LEN(ReferenceData!$I$898),"",ReferenceData!$I$898),"")</x:f>
        <x:v>1.0500000000000001E-2</x:v>
      </x:c>
      <x:c r="J898">
        <x:f ca="1">IFERROR(IF(0=LEN(ReferenceData!$J$898),"",ReferenceData!$J$898),"")</x:f>
        <x:v>1.3371</x:v>
      </x:c>
      <x:c r="K898">
        <x:f ca="1">IFERROR(IF(0=LEN(ReferenceData!$K$898),"",ReferenceData!$K$898),"")</x:f>
        <x:v>-2.8298999999999999</x:v>
      </x:c>
      <x:c r="L898">
        <x:f ca="1">IFERROR(IF(0=LEN(ReferenceData!$L$898),"",ReferenceData!$L$898),"")</x:f>
        <x:v>-0.88900000000000001</x:v>
      </x:c>
      <x:c r="M898">
        <x:f ca="1">IFERROR(IF(0=LEN(ReferenceData!$M$898),"",ReferenceData!$M$898),"")</x:f>
        <x:v>-1.4830000000000001</x:v>
      </x:c>
      <x:c r="N898">
        <x:f ca="1">IFERROR(IF(0=LEN(ReferenceData!$N$898),"",ReferenceData!$N$898),"")</x:f>
        <x:v>-2.3433000000000002</x:v>
      </x:c>
      <x:c r="O898">
        <x:f ca="1">IFERROR(IF(0=LEN(ReferenceData!$O$898),"",ReferenceData!$O$898),"")</x:f>
        <x:v>-3.3317999999999999</x:v>
      </x:c>
      <x:c r="P898">
        <x:f ca="1">IFERROR(IF(0=LEN(ReferenceData!$P$898),"",ReferenceData!$P$898),"")</x:f>
        <x:v>0.63319999999999999</x:v>
      </x:c>
      <x:c r="Q898">
        <x:f ca="1">IFERROR(IF(0=LEN(ReferenceData!$Q$898),"",ReferenceData!$Q$898),"")</x:f>
        <x:v>-4.5171000000000001</x:v>
      </x:c>
      <x:c r="R898">
        <x:f ca="1">IFERROR(IF(0=LEN(ReferenceData!$R$898),"",ReferenceData!$R$898),"")</x:f>
        <x:v>-1.0660000000000001</x:v>
      </x:c>
      <x:c r="S898">
        <x:f ca="1">IFERROR(IF(0=LEN(ReferenceData!$S$898),"",ReferenceData!$S$898),"")</x:f>
        <x:v>-2.3874</x:v>
      </x:c>
    </x:row>
    <x:row r="899" spans="1:19" x14ac:dyDescent="0.25">
      <x:c r="A899" t="str">
        <x:f>IFERROR(IF(0=LEN(ReferenceData!$A$899),"",ReferenceData!$A$899),"")</x:f>
        <x:v xml:space="preserve">            Roundhill Meme ETF</x:v>
      </x:c>
      <x:c r="B899" t="str">
        <x:f>IFERROR(IF(0=LEN(ReferenceData!$B$899),"",ReferenceData!$B$899),"")</x:f>
        <x:v>MEME US Equity</x:v>
      </x:c>
      <x:c r="C899" t="str">
        <x:f>IFERROR(IF(0=LEN(ReferenceData!$C$899),"",ReferenceData!$C$899),"")</x:f>
        <x:v/>
      </x:c>
      <x:c r="D899" t="str">
        <x:f>IFERROR(IF(0=LEN(ReferenceData!$D$899),"",ReferenceData!$D$899),"")</x:f>
        <x:v/>
      </x:c>
      <x:c r="E899" t="str">
        <x:f>IFERROR(IF(0=LEN(ReferenceData!$E$899),"",ReferenceData!$E$899),"")</x:f>
        <x:v>Expression</x:v>
      </x:c>
      <x:c r="F899">
        <x:f ca="1">IFERROR(IF(0=LEN(ReferenceData!$F$899),"",ReferenceData!$F$899),"")</x:f>
        <x:v>0</x:v>
      </x:c>
      <x:c r="G899">
        <x:f ca="1">IFERROR(IF(0=LEN(ReferenceData!$G$899),"",ReferenceData!$G$899),"")</x:f>
        <x:v>-0.30508999999999997</x:v>
      </x:c>
      <x:c r="H899">
        <x:f ca="1">IFERROR(IF(0=LEN(ReferenceData!$H$899),"",ReferenceData!$H$899),"")</x:f>
        <x:v>4.6259999999999999E-3</x:v>
      </x:c>
      <x:c r="I899">
        <x:f ca="1">IFERROR(IF(0=LEN(ReferenceData!$I$899),"",ReferenceData!$I$899),"")</x:f>
        <x:v>0.44704100000000002</x:v>
      </x:c>
      <x:c r="J899">
        <x:f ca="1">IFERROR(IF(0=LEN(ReferenceData!$J$899),"",ReferenceData!$J$899),"")</x:f>
        <x:v>2.0018479999999998</x:v>
      </x:c>
      <x:c r="K899">
        <x:f ca="1">IFERROR(IF(0=LEN(ReferenceData!$K$899),"",ReferenceData!$K$899),"")</x:f>
        <x:v>2.183E-3</x:v>
      </x:c>
      <x:c r="L899">
        <x:f ca="1">IFERROR(IF(0=LEN(ReferenceData!$L$899),"",ReferenceData!$L$899),"")</x:f>
        <x:v>0</x:v>
      </x:c>
      <x:c r="M899">
        <x:f ca="1">IFERROR(IF(0=LEN(ReferenceData!$M$899),"",ReferenceData!$M$899),"")</x:f>
        <x:v>8.2299999999999995E-3</x:v>
      </x:c>
      <x:c r="N899">
        <x:f ca="1">IFERROR(IF(0=LEN(ReferenceData!$N$899),"",ReferenceData!$N$899),"")</x:f>
        <x:v>-1.2345E-2</x:v>
      </x:c>
      <x:c r="O899">
        <x:f ca="1">IFERROR(IF(0=LEN(ReferenceData!$O$899),"",ReferenceData!$O$899),"")</x:f>
        <x:v>-0.33022000000000001</x:v>
      </x:c>
      <x:c r="P899">
        <x:f ca="1">IFERROR(IF(0=LEN(ReferenceData!$P$899),"",ReferenceData!$P$899),"")</x:f>
        <x:v>0.32549499999999998</x:v>
      </x:c>
      <x:c r="Q899">
        <x:f ca="1">IFERROR(IF(0=LEN(ReferenceData!$Q$899),"",ReferenceData!$Q$899),"")</x:f>
        <x:v>7.6800000000000002E-3</x:v>
      </x:c>
      <x:c r="R899">
        <x:f ca="1">IFERROR(IF(0=LEN(ReferenceData!$R$899),"",ReferenceData!$R$899),"")</x:f>
        <x:v>9.1549999999999999E-3</x:v>
      </x:c>
      <x:c r="S899">
        <x:f ca="1">IFERROR(IF(0=LEN(ReferenceData!$S$899),"",ReferenceData!$S$899),"")</x:f>
        <x:v>0</x:v>
      </x:c>
    </x:row>
    <x:row r="900" spans="1:19" x14ac:dyDescent="0.25">
      <x:c r="A900" t="str">
        <x:f>IFERROR(IF(0=LEN(ReferenceData!$A$900),"",ReferenceData!$A$900),"")</x:f>
        <x:v xml:space="preserve">            Direxion Nanotechnology ETF</x:v>
      </x:c>
      <x:c r="B900" t="str">
        <x:f>IFERROR(IF(0=LEN(ReferenceData!$B$900),"",ReferenceData!$B$900),"")</x:f>
        <x:v>TYNE US Equity</x:v>
      </x:c>
      <x:c r="C900" t="str">
        <x:f>IFERROR(IF(0=LEN(ReferenceData!$C$900),"",ReferenceData!$C$900),"")</x:f>
        <x:v/>
      </x:c>
      <x:c r="D900" t="str">
        <x:f>IFERROR(IF(0=LEN(ReferenceData!$D$900),"",ReferenceData!$D$900),"")</x:f>
        <x:v/>
      </x:c>
      <x:c r="E900" t="str">
        <x:f>IFERROR(IF(0=LEN(ReferenceData!$E$900),"",ReferenceData!$E$900),"")</x:f>
        <x:v>Expression</x:v>
      </x:c>
      <x:c r="F900" t="str">
        <x:f ca="1">IFERROR(IF(0=LEN(ReferenceData!$F$900),"",ReferenceData!$F$900),"")</x:f>
        <x:v/>
      </x:c>
      <x:c r="G900" t="str">
        <x:f ca="1">IFERROR(IF(0=LEN(ReferenceData!$G$900),"",ReferenceData!$G$900),"")</x:f>
        <x:v/>
      </x:c>
      <x:c r="H900" t="str">
        <x:f ca="1">IFERROR(IF(0=LEN(ReferenceData!$H$900),"",ReferenceData!$H$900),"")</x:f>
        <x:v/>
      </x:c>
      <x:c r="I900" t="str">
        <x:f ca="1">IFERROR(IF(0=LEN(ReferenceData!$I$900),"",ReferenceData!$I$900),"")</x:f>
        <x:v/>
      </x:c>
      <x:c r="J900" t="str">
        <x:f ca="1">IFERROR(IF(0=LEN(ReferenceData!$J$900),"",ReferenceData!$J$900),"")</x:f>
        <x:v/>
      </x:c>
      <x:c r="K900" t="str">
        <x:f ca="1">IFERROR(IF(0=LEN(ReferenceData!$K$900),"",ReferenceData!$K$900),"")</x:f>
        <x:v/>
      </x:c>
      <x:c r="L900" t="str">
        <x:f ca="1">IFERROR(IF(0=LEN(ReferenceData!$L$900),"",ReferenceData!$L$900),"")</x:f>
        <x:v/>
      </x:c>
      <x:c r="M900" t="str">
        <x:f ca="1">IFERROR(IF(0=LEN(ReferenceData!$M$900),"",ReferenceData!$M$900),"")</x:f>
        <x:v/>
      </x:c>
      <x:c r="N900" t="str">
        <x:f ca="1">IFERROR(IF(0=LEN(ReferenceData!$N$900),"",ReferenceData!$N$900),"")</x:f>
        <x:v/>
      </x:c>
      <x:c r="O900">
        <x:f ca="1">IFERROR(IF(0=LEN(ReferenceData!$O$900),"",ReferenceData!$O$900),"")</x:f>
        <x:v>-0.43040099999999998</x:v>
      </x:c>
      <x:c r="P900">
        <x:f ca="1">IFERROR(IF(0=LEN(ReferenceData!$P$900),"",ReferenceData!$P$900),"")</x:f>
        <x:v>0</x:v>
      </x:c>
      <x:c r="Q900">
        <x:f ca="1">IFERROR(IF(0=LEN(ReferenceData!$Q$900),"",ReferenceData!$Q$900),"")</x:f>
        <x:v>-0.42488300000000001</x:v>
      </x:c>
      <x:c r="R900">
        <x:f ca="1">IFERROR(IF(0=LEN(ReferenceData!$R$900),"",ReferenceData!$R$900),"")</x:f>
        <x:v>0</x:v>
      </x:c>
      <x:c r="S900">
        <x:f ca="1">IFERROR(IF(0=LEN(ReferenceData!$S$900),"",ReferenceData!$S$900),"")</x:f>
        <x:v>0</x:v>
      </x:c>
    </x:row>
    <x:row r="901" spans="1:19" x14ac:dyDescent="0.25">
      <x:c r="A901" t="str">
        <x:f>IFERROR(IF(0=LEN(ReferenceData!$A$901),"",ReferenceData!$A$901),"")</x:f>
        <x:v xml:space="preserve">            HARBOR ETF Trust - Harbor Corp</x:v>
      </x:c>
      <x:c r="B901" t="str">
        <x:f>IFERROR(IF(0=LEN(ReferenceData!$B$901),"",ReferenceData!$B$901),"")</x:f>
        <x:v>HAPY US Equity</x:v>
      </x:c>
      <x:c r="C901" t="str">
        <x:f>IFERROR(IF(0=LEN(ReferenceData!$C$901),"",ReferenceData!$C$901),"")</x:f>
        <x:v/>
      </x:c>
      <x:c r="D901" t="str">
        <x:f>IFERROR(IF(0=LEN(ReferenceData!$D$901),"",ReferenceData!$D$901),"")</x:f>
        <x:v/>
      </x:c>
      <x:c r="E901" t="str">
        <x:f>IFERROR(IF(0=LEN(ReferenceData!$E$901),"",ReferenceData!$E$901),"")</x:f>
        <x:v>Expression</x:v>
      </x:c>
      <x:c r="F901">
        <x:f ca="1">IFERROR(IF(0=LEN(ReferenceData!$F$901),"",ReferenceData!$F$901),"")</x:f>
        <x:v>-1.7964999999999998E-2</x:v>
      </x:c>
      <x:c r="G901">
        <x:f ca="1">IFERROR(IF(0=LEN(ReferenceData!$G$901),"",ReferenceData!$G$901),"")</x:f>
        <x:v>0</x:v>
      </x:c>
      <x:c r="H901">
        <x:f ca="1">IFERROR(IF(0=LEN(ReferenceData!$H$901),"",ReferenceData!$H$901),"")</x:f>
        <x:v>0</x:v>
      </x:c>
      <x:c r="I901">
        <x:f ca="1">IFERROR(IF(0=LEN(ReferenceData!$I$901),"",ReferenceData!$I$901),"")</x:f>
        <x:v>-6.4819999999999999E-3</x:v>
      </x:c>
      <x:c r="J901">
        <x:f ca="1">IFERROR(IF(0=LEN(ReferenceData!$J$901),"",ReferenceData!$J$901),"")</x:f>
        <x:v>0</x:v>
      </x:c>
      <x:c r="K901">
        <x:f ca="1">IFERROR(IF(0=LEN(ReferenceData!$K$901),"",ReferenceData!$K$901),"")</x:f>
        <x:v>0</x:v>
      </x:c>
      <x:c r="L901">
        <x:f ca="1">IFERROR(IF(0=LEN(ReferenceData!$L$901),"",ReferenceData!$L$901),"")</x:f>
        <x:v>-0.40934799999999999</x:v>
      </x:c>
      <x:c r="M901">
        <x:f ca="1">IFERROR(IF(0=LEN(ReferenceData!$M$901),"",ReferenceData!$M$901),"")</x:f>
        <x:v>0</x:v>
      </x:c>
      <x:c r="N901">
        <x:f ca="1">IFERROR(IF(0=LEN(ReferenceData!$N$901),"",ReferenceData!$N$901),"")</x:f>
        <x:v>0</x:v>
      </x:c>
      <x:c r="O901">
        <x:f ca="1">IFERROR(IF(0=LEN(ReferenceData!$O$901),"",ReferenceData!$O$901),"")</x:f>
        <x:v>0</x:v>
      </x:c>
      <x:c r="P901">
        <x:f ca="1">IFERROR(IF(0=LEN(ReferenceData!$P$901),"",ReferenceData!$P$901),"")</x:f>
        <x:v>2.9060510000000002</x:v>
      </x:c>
      <x:c r="Q901">
        <x:f ca="1">IFERROR(IF(0=LEN(ReferenceData!$Q$901),"",ReferenceData!$Q$901),"")</x:f>
        <x:v>0</x:v>
      </x:c>
      <x:c r="R901">
        <x:f ca="1">IFERROR(IF(0=LEN(ReferenceData!$R$901),"",ReferenceData!$R$901),"")</x:f>
        <x:v>0</x:v>
      </x:c>
      <x:c r="S901">
        <x:f ca="1">IFERROR(IF(0=LEN(ReferenceData!$S$901),"",ReferenceData!$S$901),"")</x:f>
        <x:v>0</x:v>
      </x:c>
    </x:row>
    <x:row r="902" spans="1:19" x14ac:dyDescent="0.25">
      <x:c r="A902" t="str">
        <x:f>IFERROR(IF(0=LEN(ReferenceData!$A$902),"",ReferenceData!$A$902),"")</x:f>
        <x:v xml:space="preserve">            Strategas Global Policy Opport</x:v>
      </x:c>
      <x:c r="B902" t="str">
        <x:f>IFERROR(IF(0=LEN(ReferenceData!$B$902),"",ReferenceData!$B$902),"")</x:f>
        <x:v>SAGP US Equity</x:v>
      </x:c>
      <x:c r="C902" t="str">
        <x:f>IFERROR(IF(0=LEN(ReferenceData!$C$902),"",ReferenceData!$C$902),"")</x:f>
        <x:v/>
      </x:c>
      <x:c r="D902" t="str">
        <x:f>IFERROR(IF(0=LEN(ReferenceData!$D$902),"",ReferenceData!$D$902),"")</x:f>
        <x:v/>
      </x:c>
      <x:c r="E902" t="str">
        <x:f>IFERROR(IF(0=LEN(ReferenceData!$E$902),"",ReferenceData!$E$902),"")</x:f>
        <x:v>Expression</x:v>
      </x:c>
      <x:c r="F902">
        <x:f ca="1">IFERROR(IF(0=LEN(ReferenceData!$F$902),"",ReferenceData!$F$902),"")</x:f>
        <x:v>-3.7423999999999999</x:v>
      </x:c>
      <x:c r="G902">
        <x:f ca="1">IFERROR(IF(0=LEN(ReferenceData!$G$902),"",ReferenceData!$G$902),"")</x:f>
        <x:v>0.46579999999999999</x:v>
      </x:c>
      <x:c r="H902">
        <x:f ca="1">IFERROR(IF(0=LEN(ReferenceData!$H$902),"",ReferenceData!$H$902),"")</x:f>
        <x:v>0.2482</x:v>
      </x:c>
      <x:c r="I902">
        <x:f ca="1">IFERROR(IF(0=LEN(ReferenceData!$I$902),"",ReferenceData!$I$902),"")</x:f>
        <x:v>0.2477</x:v>
      </x:c>
      <x:c r="J902">
        <x:f ca="1">IFERROR(IF(0=LEN(ReferenceData!$J$902),"",ReferenceData!$J$902),"")</x:f>
        <x:v>0</x:v>
      </x:c>
      <x:c r="K902">
        <x:f ca="1">IFERROR(IF(0=LEN(ReferenceData!$K$902),"",ReferenceData!$K$902),"")</x:f>
        <x:v>0.49959999999999999</x:v>
      </x:c>
      <x:c r="L902">
        <x:f ca="1">IFERROR(IF(0=LEN(ReferenceData!$L$902),"",ReferenceData!$L$902),"")</x:f>
        <x:v>1.2145999999999999</x:v>
      </x:c>
      <x:c r="M902">
        <x:f ca="1">IFERROR(IF(0=LEN(ReferenceData!$M$902),"",ReferenceData!$M$902),"")</x:f>
        <x:v>1.4757</x:v>
      </x:c>
      <x:c r="N902">
        <x:f ca="1">IFERROR(IF(0=LEN(ReferenceData!$N$902),"",ReferenceData!$N$902),"")</x:f>
        <x:v>2.1505000000000001</x:v>
      </x:c>
      <x:c r="O902">
        <x:f ca="1">IFERROR(IF(0=LEN(ReferenceData!$O$902),"",ReferenceData!$O$902),"")</x:f>
        <x:v>4.4438000000000004</x:v>
      </x:c>
      <x:c r="P902">
        <x:f ca="1">IFERROR(IF(0=LEN(ReferenceData!$P$902),"",ReferenceData!$P$902),"")</x:f>
        <x:v>3.1890999999999998</x:v>
      </x:c>
      <x:c r="Q902">
        <x:f ca="1">IFERROR(IF(0=LEN(ReferenceData!$Q$902),"",ReferenceData!$Q$902),"")</x:f>
        <x:v>1.1889000000000001</x:v>
      </x:c>
      <x:c r="R902">
        <x:f ca="1">IFERROR(IF(0=LEN(ReferenceData!$R$902),"",ReferenceData!$R$902),"")</x:f>
        <x:v>0.22339999999999999</x:v>
      </x:c>
      <x:c r="S902">
        <x:f ca="1">IFERROR(IF(0=LEN(ReferenceData!$S$902),"",ReferenceData!$S$902),"")</x:f>
        <x:v>1.3223</x:v>
      </x:c>
    </x:row>
    <x:row r="903" spans="1:19" x14ac:dyDescent="0.25">
      <x:c r="A903" t="str">
        <x:f>IFERROR(IF(0=LEN(ReferenceData!$A$903),"",ReferenceData!$A$903),"")</x:f>
        <x:v xml:space="preserve">            Strategas Macro Thematic Oppor</x:v>
      </x:c>
      <x:c r="B903" t="str">
        <x:f>IFERROR(IF(0=LEN(ReferenceData!$B$903),"",ReferenceData!$B$903),"")</x:f>
        <x:v>SAMT US Equity</x:v>
      </x:c>
      <x:c r="C903" t="str">
        <x:f>IFERROR(IF(0=LEN(ReferenceData!$C$903),"",ReferenceData!$C$903),"")</x:f>
        <x:v/>
      </x:c>
      <x:c r="D903" t="str">
        <x:f>IFERROR(IF(0=LEN(ReferenceData!$D$903),"",ReferenceData!$D$903),"")</x:f>
        <x:v/>
      </x:c>
      <x:c r="E903" t="str">
        <x:f>IFERROR(IF(0=LEN(ReferenceData!$E$903),"",ReferenceData!$E$903),"")</x:f>
        <x:v>Expression</x:v>
      </x:c>
      <x:c r="F903">
        <x:f ca="1">IFERROR(IF(0=LEN(ReferenceData!$F$903),"",ReferenceData!$F$903),"")</x:f>
        <x:v>0</x:v>
      </x:c>
      <x:c r="G903">
        <x:f ca="1">IFERROR(IF(0=LEN(ReferenceData!$G$903),"",ReferenceData!$G$903),"")</x:f>
        <x:v>-0.22720000000000001</x:v>
      </x:c>
      <x:c r="H903">
        <x:f ca="1">IFERROR(IF(0=LEN(ReferenceData!$H$903),"",ReferenceData!$H$903),"")</x:f>
        <x:v>0</x:v>
      </x:c>
      <x:c r="I903">
        <x:f ca="1">IFERROR(IF(0=LEN(ReferenceData!$I$903),"",ReferenceData!$I$903),"")</x:f>
        <x:v>0.69540000000000002</x:v>
      </x:c>
      <x:c r="J903">
        <x:f ca="1">IFERROR(IF(0=LEN(ReferenceData!$J$903),"",ReferenceData!$J$903),"")</x:f>
        <x:v>-5.6102999999999996</x:v>
      </x:c>
      <x:c r="K903">
        <x:f ca="1">IFERROR(IF(0=LEN(ReferenceData!$K$903),"",ReferenceData!$K$903),"")</x:f>
        <x:v>0</x:v>
      </x:c>
      <x:c r="L903">
        <x:f ca="1">IFERROR(IF(0=LEN(ReferenceData!$L$903),"",ReferenceData!$L$903),"")</x:f>
        <x:v>-1.8044</x:v>
      </x:c>
      <x:c r="M903">
        <x:f ca="1">IFERROR(IF(0=LEN(ReferenceData!$M$903),"",ReferenceData!$M$903),"")</x:f>
        <x:v>-1.5781000000000001</x:v>
      </x:c>
      <x:c r="N903">
        <x:f ca="1">IFERROR(IF(0=LEN(ReferenceData!$N$903),"",ReferenceData!$N$903),"")</x:f>
        <x:v>-6.2900999999999998</x:v>
      </x:c>
      <x:c r="O903">
        <x:f ca="1">IFERROR(IF(0=LEN(ReferenceData!$O$903),"",ReferenceData!$O$903),"")</x:f>
        <x:v>-0.4612</x:v>
      </x:c>
      <x:c r="P903">
        <x:f ca="1">IFERROR(IF(0=LEN(ReferenceData!$P$903),"",ReferenceData!$P$903),"")</x:f>
        <x:v>4.3710000000000004</x:v>
      </x:c>
      <x:c r="Q903">
        <x:f ca="1">IFERROR(IF(0=LEN(ReferenceData!$Q$903),"",ReferenceData!$Q$903),"")</x:f>
        <x:v>3.2625999999999999</x:v>
      </x:c>
      <x:c r="R903">
        <x:f ca="1">IFERROR(IF(0=LEN(ReferenceData!$R$903),"",ReferenceData!$R$903),"")</x:f>
        <x:v>4.4295</x:v>
      </x:c>
      <x:c r="S903">
        <x:f ca="1">IFERROR(IF(0=LEN(ReferenceData!$S$903),"",ReferenceData!$S$903),"")</x:f>
        <x:v>9.6191999999999993</x:v>
      </x:c>
    </x:row>
    <x:row r="904" spans="1:19" x14ac:dyDescent="0.25">
      <x:c r="A904" t="str">
        <x:f>IFERROR(IF(0=LEN(ReferenceData!$A$904),"",ReferenceData!$A$904),"")</x:f>
        <x:v xml:space="preserve">            Amplify Inflation Fighter ETF</x:v>
      </x:c>
      <x:c r="B904" t="str">
        <x:f>IFERROR(IF(0=LEN(ReferenceData!$B$904),"",ReferenceData!$B$904),"")</x:f>
        <x:v>IWIN US Equity</x:v>
      </x:c>
      <x:c r="C904" t="str">
        <x:f>IFERROR(IF(0=LEN(ReferenceData!$C$904),"",ReferenceData!$C$904),"")</x:f>
        <x:v/>
      </x:c>
      <x:c r="D904" t="str">
        <x:f>IFERROR(IF(0=LEN(ReferenceData!$D$904),"",ReferenceData!$D$904),"")</x:f>
        <x:v/>
      </x:c>
      <x:c r="E904" t="str">
        <x:f>IFERROR(IF(0=LEN(ReferenceData!$E$904),"",ReferenceData!$E$904),"")</x:f>
        <x:v>Expression</x:v>
      </x:c>
      <x:c r="F904">
        <x:f ca="1">IFERROR(IF(0=LEN(ReferenceData!$F$904),"",ReferenceData!$F$904),"")</x:f>
        <x:v>0</x:v>
      </x:c>
      <x:c r="G904">
        <x:f ca="1">IFERROR(IF(0=LEN(ReferenceData!$G$904),"",ReferenceData!$G$904),"")</x:f>
        <x:v>0</x:v>
      </x:c>
      <x:c r="H904">
        <x:f ca="1">IFERROR(IF(0=LEN(ReferenceData!$H$904),"",ReferenceData!$H$904),"")</x:f>
        <x:v>0</x:v>
      </x:c>
      <x:c r="I904">
        <x:f ca="1">IFERROR(IF(0=LEN(ReferenceData!$I$904),"",ReferenceData!$I$904),"")</x:f>
        <x:v>-0.61418799999999996</x:v>
      </x:c>
      <x:c r="J904">
        <x:f ca="1">IFERROR(IF(0=LEN(ReferenceData!$J$904),"",ReferenceData!$J$904),"")</x:f>
        <x:v>0</x:v>
      </x:c>
      <x:c r="K904">
        <x:f ca="1">IFERROR(IF(0=LEN(ReferenceData!$K$904),"",ReferenceData!$K$904),"")</x:f>
        <x:v>0</x:v>
      </x:c>
      <x:c r="L904">
        <x:f ca="1">IFERROR(IF(0=LEN(ReferenceData!$L$904),"",ReferenceData!$L$904),"")</x:f>
        <x:v>-0.55493999999999999</x:v>
      </x:c>
      <x:c r="M904">
        <x:f ca="1">IFERROR(IF(0=LEN(ReferenceData!$M$904),"",ReferenceData!$M$904),"")</x:f>
        <x:v>0</x:v>
      </x:c>
      <x:c r="N904">
        <x:f ca="1">IFERROR(IF(0=LEN(ReferenceData!$N$904),"",ReferenceData!$N$904),"")</x:f>
        <x:v>0.53912000000000004</x:v>
      </x:c>
      <x:c r="O904">
        <x:f ca="1">IFERROR(IF(0=LEN(ReferenceData!$O$904),"",ReferenceData!$O$904),"")</x:f>
        <x:v>-2.1610299999999998</x:v>
      </x:c>
      <x:c r="P904">
        <x:f ca="1">IFERROR(IF(0=LEN(ReferenceData!$P$904),"",ReferenceData!$P$904),"")</x:f>
        <x:v>0</x:v>
      </x:c>
      <x:c r="Q904">
        <x:f ca="1">IFERROR(IF(0=LEN(ReferenceData!$Q$904),"",ReferenceData!$Q$904),"")</x:f>
        <x:v>0</x:v>
      </x:c>
      <x:c r="R904">
        <x:f ca="1">IFERROR(IF(0=LEN(ReferenceData!$R$904),"",ReferenceData!$R$904),"")</x:f>
        <x:v>-1.565553</x:v>
      </x:c>
      <x:c r="S904">
        <x:f ca="1">IFERROR(IF(0=LEN(ReferenceData!$S$904),"",ReferenceData!$S$904),"")</x:f>
        <x:v>-1.02359</x:v>
      </x:c>
    </x:row>
    <x:row r="905" spans="1:19" x14ac:dyDescent="0.25">
      <x:c r="A905" t="str">
        <x:f>IFERROR(IF(0=LEN(ReferenceData!$A$905),"",ReferenceData!$A$905),"")</x:f>
        <x:v xml:space="preserve">            Newday Ocean Health ETF</x:v>
      </x:c>
      <x:c r="B905" t="str">
        <x:f>IFERROR(IF(0=LEN(ReferenceData!$B$905),"",ReferenceData!$B$905),"")</x:f>
        <x:v>AHOY US Equity</x:v>
      </x:c>
      <x:c r="C905" t="str">
        <x:f>IFERROR(IF(0=LEN(ReferenceData!$C$905),"",ReferenceData!$C$905),"")</x:f>
        <x:v/>
      </x:c>
      <x:c r="D905" t="str">
        <x:f>IFERROR(IF(0=LEN(ReferenceData!$D$905),"",ReferenceData!$D$905),"")</x:f>
        <x:v/>
      </x:c>
      <x:c r="E905" t="str">
        <x:f>IFERROR(IF(0=LEN(ReferenceData!$E$905),"",ReferenceData!$E$905),"")</x:f>
        <x:v>Expression</x:v>
      </x:c>
      <x:c r="F905">
        <x:f ca="1">IFERROR(IF(0=LEN(ReferenceData!$F$905),"",ReferenceData!$F$905),"")</x:f>
        <x:v>0</x:v>
      </x:c>
      <x:c r="G905">
        <x:f ca="1">IFERROR(IF(0=LEN(ReferenceData!$G$905),"",ReferenceData!$G$905),"")</x:f>
        <x:v>0</x:v>
      </x:c>
      <x:c r="H905">
        <x:f ca="1">IFERROR(IF(0=LEN(ReferenceData!$H$905),"",ReferenceData!$H$905),"")</x:f>
        <x:v>0.51188500000000003</x:v>
      </x:c>
      <x:c r="I905">
        <x:f ca="1">IFERROR(IF(0=LEN(ReferenceData!$I$905),"",ReferenceData!$I$905),"")</x:f>
        <x:v>0</x:v>
      </x:c>
      <x:c r="J905">
        <x:f ca="1">IFERROR(IF(0=LEN(ReferenceData!$J$905),"",ReferenceData!$J$905),"")</x:f>
        <x:v>0</x:v>
      </x:c>
      <x:c r="K905">
        <x:f ca="1">IFERROR(IF(0=LEN(ReferenceData!$K$905),"",ReferenceData!$K$905),"")</x:f>
        <x:v>0</x:v>
      </x:c>
      <x:c r="L905">
        <x:f ca="1">IFERROR(IF(0=LEN(ReferenceData!$L$905),"",ReferenceData!$L$905),"")</x:f>
        <x:v>0</x:v>
      </x:c>
      <x:c r="M905">
        <x:f ca="1">IFERROR(IF(0=LEN(ReferenceData!$M$905),"",ReferenceData!$M$905),"")</x:f>
        <x:v>0</x:v>
      </x:c>
      <x:c r="N905">
        <x:f ca="1">IFERROR(IF(0=LEN(ReferenceData!$N$905),"",ReferenceData!$N$905),"")</x:f>
        <x:v>0.47495500000000002</x:v>
      </x:c>
      <x:c r="O905">
        <x:f ca="1">IFERROR(IF(0=LEN(ReferenceData!$O$905),"",ReferenceData!$O$905),"")</x:f>
        <x:v>0</x:v>
      </x:c>
      <x:c r="P905">
        <x:f ca="1">IFERROR(IF(0=LEN(ReferenceData!$P$905),"",ReferenceData!$P$905),"")</x:f>
        <x:v>0</x:v>
      </x:c>
      <x:c r="Q905">
        <x:f ca="1">IFERROR(IF(0=LEN(ReferenceData!$Q$905),"",ReferenceData!$Q$905),"")</x:f>
        <x:v>0</x:v>
      </x:c>
      <x:c r="R905">
        <x:f ca="1">IFERROR(IF(0=LEN(ReferenceData!$R$905),"",ReferenceData!$R$905),"")</x:f>
        <x:v>0</x:v>
      </x:c>
      <x:c r="S905">
        <x:f ca="1">IFERROR(IF(0=LEN(ReferenceData!$S$905),"",ReferenceData!$S$905),"")</x:f>
        <x:v>0</x:v>
      </x:c>
    </x:row>
    <x:row r="906" spans="1:19" x14ac:dyDescent="0.25">
      <x:c r="A906" t="str">
        <x:f>IFERROR(IF(0=LEN(ReferenceData!$A$906),"",ReferenceData!$A$906),"")</x:f>
        <x:v xml:space="preserve">            Axs Change Finance ESG ETF</x:v>
      </x:c>
      <x:c r="B906" t="str">
        <x:f>IFERROR(IF(0=LEN(ReferenceData!$B$906),"",ReferenceData!$B$906),"")</x:f>
        <x:v>CHGX US Equity</x:v>
      </x:c>
      <x:c r="C906" t="str">
        <x:f>IFERROR(IF(0=LEN(ReferenceData!$C$906),"",ReferenceData!$C$906),"")</x:f>
        <x:v/>
      </x:c>
      <x:c r="D906" t="str">
        <x:f>IFERROR(IF(0=LEN(ReferenceData!$D$906),"",ReferenceData!$D$906),"")</x:f>
        <x:v/>
      </x:c>
      <x:c r="E906" t="str">
        <x:f>IFERROR(IF(0=LEN(ReferenceData!$E$906),"",ReferenceData!$E$906),"")</x:f>
        <x:v>Expression</x:v>
      </x:c>
      <x:c r="F906">
        <x:f ca="1">IFERROR(IF(0=LEN(ReferenceData!$F$906),"",ReferenceData!$F$906),"")</x:f>
        <x:v>0</x:v>
      </x:c>
      <x:c r="G906">
        <x:f ca="1">IFERROR(IF(0=LEN(ReferenceData!$G$906),"",ReferenceData!$G$906),"")</x:f>
        <x:v>-0.71713499999999997</x:v>
      </x:c>
      <x:c r="H906">
        <x:f ca="1">IFERROR(IF(0=LEN(ReferenceData!$H$906),"",ReferenceData!$H$906),"")</x:f>
        <x:v>4.2499999999999998E-4</x:v>
      </x:c>
      <x:c r="I906">
        <x:f ca="1">IFERROR(IF(0=LEN(ReferenceData!$I$906),"",ReferenceData!$I$906),"")</x:f>
        <x:v>0.76512000000000002</x:v>
      </x:c>
      <x:c r="J906">
        <x:f ca="1">IFERROR(IF(0=LEN(ReferenceData!$J$906),"",ReferenceData!$J$906),"")</x:f>
        <x:v>2.8320000000000001E-2</x:v>
      </x:c>
      <x:c r="K906">
        <x:f ca="1">IFERROR(IF(0=LEN(ReferenceData!$K$906),"",ReferenceData!$K$906),"")</x:f>
        <x:v>-1.7454750000000001</x:v>
      </x:c>
      <x:c r="L906">
        <x:f ca="1">IFERROR(IF(0=LEN(ReferenceData!$L$906),"",ReferenceData!$L$906),"")</x:f>
        <x:v>-0.72249699999999994</x:v>
      </x:c>
      <x:c r="M906">
        <x:f ca="1">IFERROR(IF(0=LEN(ReferenceData!$M$906),"",ReferenceData!$M$906),"")</x:f>
        <x:v>2.4220000000000001E-3</x:v>
      </x:c>
      <x:c r="N906">
        <x:f ca="1">IFERROR(IF(0=LEN(ReferenceData!$N$906),"",ReferenceData!$N$906),"")</x:f>
        <x:v>0.67027999999999999</x:v>
      </x:c>
      <x:c r="O906">
        <x:f ca="1">IFERROR(IF(0=LEN(ReferenceData!$O$906),"",ReferenceData!$O$906),"")</x:f>
        <x:v>1.4632050000000001</x:v>
      </x:c>
      <x:c r="P906">
        <x:f ca="1">IFERROR(IF(0=LEN(ReferenceData!$P$906),"",ReferenceData!$P$906),"")</x:f>
        <x:v>0</x:v>
      </x:c>
      <x:c r="Q906">
        <x:f ca="1">IFERROR(IF(0=LEN(ReferenceData!$Q$906),"",ReferenceData!$Q$906),"")</x:f>
        <x:v>3.4084219999999998</x:v>
      </x:c>
      <x:c r="R906">
        <x:f ca="1">IFERROR(IF(0=LEN(ReferenceData!$R$906),"",ReferenceData!$R$906),"")</x:f>
        <x:v>6.2730600000000001</x:v>
      </x:c>
      <x:c r="S906">
        <x:f ca="1">IFERROR(IF(0=LEN(ReferenceData!$S$906),"",ReferenceData!$S$906),"")</x:f>
        <x:v>-3.3035950000000001</x:v>
      </x:c>
    </x:row>
    <x:row r="907" spans="1:19" x14ac:dyDescent="0.25">
      <x:c r="A907" t="str">
        <x:f>IFERROR(IF(0=LEN(ReferenceData!$A$907),"",ReferenceData!$A$907),"")</x:f>
        <x:v xml:space="preserve">            JPMorgan Sustainable Consumpti</x:v>
      </x:c>
      <x:c r="B907" t="str">
        <x:f>IFERROR(IF(0=LEN(ReferenceData!$B$907),"",ReferenceData!$B$907),"")</x:f>
        <x:v>CIRC US Equity</x:v>
      </x:c>
      <x:c r="C907" t="str">
        <x:f>IFERROR(IF(0=LEN(ReferenceData!$C$907),"",ReferenceData!$C$907),"")</x:f>
        <x:v/>
      </x:c>
      <x:c r="D907" t="str">
        <x:f>IFERROR(IF(0=LEN(ReferenceData!$D$907),"",ReferenceData!$D$907),"")</x:f>
        <x:v/>
      </x:c>
      <x:c r="E907" t="str">
        <x:f>IFERROR(IF(0=LEN(ReferenceData!$E$907),"",ReferenceData!$E$907),"")</x:f>
        <x:v>Expression</x:v>
      </x:c>
      <x:c r="F907">
        <x:f ca="1">IFERROR(IF(0=LEN(ReferenceData!$F$907),"",ReferenceData!$F$907),"")</x:f>
        <x:v>0</x:v>
      </x:c>
      <x:c r="G907">
        <x:f ca="1">IFERROR(IF(0=LEN(ReferenceData!$G$907),"",ReferenceData!$G$907),"")</x:f>
        <x:v>0</x:v>
      </x:c>
      <x:c r="H907">
        <x:f ca="1">IFERROR(IF(0=LEN(ReferenceData!$H$907),"",ReferenceData!$H$907),"")</x:f>
        <x:v>0</x:v>
      </x:c>
      <x:c r="I907">
        <x:f ca="1">IFERROR(IF(0=LEN(ReferenceData!$I$907),"",ReferenceData!$I$907),"")</x:f>
        <x:v>0</x:v>
      </x:c>
      <x:c r="J907">
        <x:f ca="1">IFERROR(IF(0=LEN(ReferenceData!$J$907),"",ReferenceData!$J$907),"")</x:f>
        <x:v>0</x:v>
      </x:c>
      <x:c r="K907">
        <x:f ca="1">IFERROR(IF(0=LEN(ReferenceData!$K$907),"",ReferenceData!$K$907),"")</x:f>
        <x:v>0</x:v>
      </x:c>
      <x:c r="L907">
        <x:f ca="1">IFERROR(IF(0=LEN(ReferenceData!$L$907),"",ReferenceData!$L$907),"")</x:f>
        <x:v>0</x:v>
      </x:c>
      <x:c r="M907">
        <x:f ca="1">IFERROR(IF(0=LEN(ReferenceData!$M$907),"",ReferenceData!$M$907),"")</x:f>
        <x:v>0</x:v>
      </x:c>
      <x:c r="N907">
        <x:f ca="1">IFERROR(IF(0=LEN(ReferenceData!$N$907),"",ReferenceData!$N$907),"")</x:f>
        <x:v>0</x:v>
      </x:c>
      <x:c r="O907">
        <x:f ca="1">IFERROR(IF(0=LEN(ReferenceData!$O$907),"",ReferenceData!$O$907),"")</x:f>
        <x:v>0</x:v>
      </x:c>
      <x:c r="P907">
        <x:f ca="1">IFERROR(IF(0=LEN(ReferenceData!$P$907),"",ReferenceData!$P$907),"")</x:f>
        <x:v>0</x:v>
      </x:c>
      <x:c r="Q907">
        <x:f ca="1">IFERROR(IF(0=LEN(ReferenceData!$Q$907),"",ReferenceData!$Q$907),"")</x:f>
        <x:v>0</x:v>
      </x:c>
      <x:c r="R907">
        <x:f ca="1">IFERROR(IF(0=LEN(ReferenceData!$R$907),"",ReferenceData!$R$907),"")</x:f>
        <x:v>0</x:v>
      </x:c>
      <x:c r="S907">
        <x:f ca="1">IFERROR(IF(0=LEN(ReferenceData!$S$907),"",ReferenceData!$S$907),"")</x:f>
        <x:v>0</x:v>
      </x:c>
    </x:row>
    <x:row r="908" spans="1:19" x14ac:dyDescent="0.25">
      <x:c r="A908" t="str">
        <x:f>IFERROR(IF(0=LEN(ReferenceData!$A$908),"",ReferenceData!$A$908),"")</x:f>
        <x:v xml:space="preserve">            First Trust Bloomberg Inflatio</x:v>
      </x:c>
      <x:c r="B908" t="str">
        <x:f>IFERROR(IF(0=LEN(ReferenceData!$B$908),"",ReferenceData!$B$908),"")</x:f>
        <x:v>FTIF US Equity</x:v>
      </x:c>
      <x:c r="C908" t="str">
        <x:f>IFERROR(IF(0=LEN(ReferenceData!$C$908),"",ReferenceData!$C$908),"")</x:f>
        <x:v/>
      </x:c>
      <x:c r="D908" t="str">
        <x:f>IFERROR(IF(0=LEN(ReferenceData!$D$908),"",ReferenceData!$D$908),"")</x:f>
        <x:v/>
      </x:c>
      <x:c r="E908" t="str">
        <x:f>IFERROR(IF(0=LEN(ReferenceData!$E$908),"",ReferenceData!$E$908),"")</x:f>
        <x:v>Expression</x:v>
      </x:c>
      <x:c r="F908">
        <x:f ca="1">IFERROR(IF(0=LEN(ReferenceData!$F$908),"",ReferenceData!$F$908),"")</x:f>
        <x:v>0</x:v>
      </x:c>
      <x:c r="G908">
        <x:f ca="1">IFERROR(IF(0=LEN(ReferenceData!$G$908),"",ReferenceData!$G$908),"")</x:f>
        <x:v>0</x:v>
      </x:c>
      <x:c r="H908">
        <x:f ca="1">IFERROR(IF(0=LEN(ReferenceData!$H$908),"",ReferenceData!$H$908),"")</x:f>
        <x:v>0</x:v>
      </x:c>
      <x:c r="I908">
        <x:f ca="1">IFERROR(IF(0=LEN(ReferenceData!$I$908),"",ReferenceData!$I$908),"")</x:f>
        <x:v>0</x:v>
      </x:c>
      <x:c r="J908">
        <x:f ca="1">IFERROR(IF(0=LEN(ReferenceData!$J$908),"",ReferenceData!$J$908),"")</x:f>
        <x:v>2.5000000000000001E-3</x:v>
      </x:c>
      <x:c r="K908">
        <x:f ca="1">IFERROR(IF(0=LEN(ReferenceData!$K$908),"",ReferenceData!$K$908),"")</x:f>
        <x:v>0</x:v>
      </x:c>
      <x:c r="L908">
        <x:f ca="1">IFERROR(IF(0=LEN(ReferenceData!$L$908),"",ReferenceData!$L$908),"")</x:f>
        <x:v>0</x:v>
      </x:c>
      <x:c r="M908">
        <x:f ca="1">IFERROR(IF(0=LEN(ReferenceData!$M$908),"",ReferenceData!$M$908),"")</x:f>
        <x:v>0</x:v>
      </x:c>
      <x:c r="N908">
        <x:f ca="1">IFERROR(IF(0=LEN(ReferenceData!$N$908),"",ReferenceData!$N$908),"")</x:f>
        <x:v>0</x:v>
      </x:c>
      <x:c r="O908" t="str">
        <x:f ca="1">IFERROR(IF(0=LEN(ReferenceData!$O$908),"",ReferenceData!$O$908),"")</x:f>
        <x:v/>
      </x:c>
      <x:c r="P908" t="str">
        <x:f ca="1">IFERROR(IF(0=LEN(ReferenceData!$P$908),"",ReferenceData!$P$908),"")</x:f>
        <x:v/>
      </x:c>
      <x:c r="Q908" t="str">
        <x:f ca="1">IFERROR(IF(0=LEN(ReferenceData!$Q$908),"",ReferenceData!$Q$908),"")</x:f>
        <x:v/>
      </x:c>
      <x:c r="R908" t="str">
        <x:f ca="1">IFERROR(IF(0=LEN(ReferenceData!$R$908),"",ReferenceData!$R$908),"")</x:f>
        <x:v/>
      </x:c>
      <x:c r="S908" t="str">
        <x:f ca="1">IFERROR(IF(0=LEN(ReferenceData!$S$908),"",ReferenceData!$S$908),"")</x:f>
        <x:v/>
      </x:c>
    </x:row>
    <x:row r="909" spans="1:19" x14ac:dyDescent="0.25">
      <x:c r="A909" t="str">
        <x:f>IFERROR(IF(0=LEN(ReferenceData!$A$909),"",ReferenceData!$A$909),"")</x:f>
        <x:v xml:space="preserve">            Global X Funds-Global X Green</x:v>
      </x:c>
      <x:c r="B909" t="str">
        <x:f>IFERROR(IF(0=LEN(ReferenceData!$B$909),"",ReferenceData!$B$909),"")</x:f>
        <x:v>GRNR US Equity</x:v>
      </x:c>
      <x:c r="C909" t="str">
        <x:f>IFERROR(IF(0=LEN(ReferenceData!$C$909),"",ReferenceData!$C$909),"")</x:f>
        <x:v/>
      </x:c>
      <x:c r="D909" t="str">
        <x:f>IFERROR(IF(0=LEN(ReferenceData!$D$909),"",ReferenceData!$D$909),"")</x:f>
        <x:v/>
      </x:c>
      <x:c r="E909" t="str">
        <x:f>IFERROR(IF(0=LEN(ReferenceData!$E$909),"",ReferenceData!$E$909),"")</x:f>
        <x:v>Expression</x:v>
      </x:c>
      <x:c r="F909">
        <x:f ca="1">IFERROR(IF(0=LEN(ReferenceData!$F$909),"",ReferenceData!$F$909),"")</x:f>
        <x:v>0</x:v>
      </x:c>
      <x:c r="G909">
        <x:f ca="1">IFERROR(IF(0=LEN(ReferenceData!$G$909),"",ReferenceData!$G$909),"")</x:f>
        <x:v>0</x:v>
      </x:c>
      <x:c r="H909">
        <x:f ca="1">IFERROR(IF(0=LEN(ReferenceData!$H$909),"",ReferenceData!$H$909),"")</x:f>
        <x:v>0</x:v>
      </x:c>
      <x:c r="I909">
        <x:f ca="1">IFERROR(IF(0=LEN(ReferenceData!$I$909),"",ReferenceData!$I$909),"")</x:f>
        <x:v>0</x:v>
      </x:c>
      <x:c r="J909">
        <x:f ca="1">IFERROR(IF(0=LEN(ReferenceData!$J$909),"",ReferenceData!$J$909),"")</x:f>
        <x:v>0</x:v>
      </x:c>
      <x:c r="K909">
        <x:f ca="1">IFERROR(IF(0=LEN(ReferenceData!$K$909),"",ReferenceData!$K$909),"")</x:f>
        <x:v>0</x:v>
      </x:c>
      <x:c r="L909">
        <x:f ca="1">IFERROR(IF(0=LEN(ReferenceData!$L$909),"",ReferenceData!$L$909),"")</x:f>
        <x:v>0</x:v>
      </x:c>
      <x:c r="M909">
        <x:f ca="1">IFERROR(IF(0=LEN(ReferenceData!$M$909),"",ReferenceData!$M$909),"")</x:f>
        <x:v>0</x:v>
      </x:c>
      <x:c r="N909">
        <x:f ca="1">IFERROR(IF(0=LEN(ReferenceData!$N$909),"",ReferenceData!$N$909),"")</x:f>
        <x:v>0</x:v>
      </x:c>
      <x:c r="O909">
        <x:f ca="1">IFERROR(IF(0=LEN(ReferenceData!$O$909),"",ReferenceData!$O$909),"")</x:f>
        <x:v>-1.47E-2</x:v>
      </x:c>
      <x:c r="P909">
        <x:f ca="1">IFERROR(IF(0=LEN(ReferenceData!$P$909),"",ReferenceData!$P$909),"")</x:f>
        <x:v>0</x:v>
      </x:c>
      <x:c r="Q909">
        <x:f ca="1">IFERROR(IF(0=LEN(ReferenceData!$Q$909),"",ReferenceData!$Q$909),"")</x:f>
        <x:v>0</x:v>
      </x:c>
      <x:c r="R909">
        <x:f ca="1">IFERROR(IF(0=LEN(ReferenceData!$R$909),"",ReferenceData!$R$909),"")</x:f>
        <x:v>0</x:v>
      </x:c>
      <x:c r="S909">
        <x:f ca="1">IFERROR(IF(0=LEN(ReferenceData!$S$909),"",ReferenceData!$S$909),"")</x:f>
        <x:v>0</x:v>
      </x:c>
    </x:row>
    <x:row r="910" spans="1:19" x14ac:dyDescent="0.25">
      <x:c r="A910" t="str">
        <x:f>IFERROR(IF(0=LEN(ReferenceData!$A$910),"",ReferenceData!$A$910),"")</x:f>
        <x:v xml:space="preserve">            Harbor ETF Trust - Harbor Corp</x:v>
      </x:c>
      <x:c r="B910" t="str">
        <x:f>IFERROR(IF(0=LEN(ReferenceData!$B$910),"",ReferenceData!$B$910),"")</x:f>
        <x:v>HAPI US Equity</x:v>
      </x:c>
      <x:c r="C910" t="str">
        <x:f>IFERROR(IF(0=LEN(ReferenceData!$C$910),"",ReferenceData!$C$910),"")</x:f>
        <x:v/>
      </x:c>
      <x:c r="D910" t="str">
        <x:f>IFERROR(IF(0=LEN(ReferenceData!$D$910),"",ReferenceData!$D$910),"")</x:f>
        <x:v/>
      </x:c>
      <x:c r="E910" t="str">
        <x:f>IFERROR(IF(0=LEN(ReferenceData!$E$910),"",ReferenceData!$E$910),"")</x:f>
        <x:v>Expression</x:v>
      </x:c>
      <x:c r="F910">
        <x:f ca="1">IFERROR(IF(0=LEN(ReferenceData!$F$910),"",ReferenceData!$F$910),"")</x:f>
        <x:v>0</x:v>
      </x:c>
      <x:c r="G910">
        <x:f ca="1">IFERROR(IF(0=LEN(ReferenceData!$G$910),"",ReferenceData!$G$910),"")</x:f>
        <x:v>0.63517000000000001</x:v>
      </x:c>
      <x:c r="H910">
        <x:f ca="1">IFERROR(IF(0=LEN(ReferenceData!$H$910),"",ReferenceData!$H$910),"")</x:f>
        <x:v>0</x:v>
      </x:c>
      <x:c r="I910">
        <x:f ca="1">IFERROR(IF(0=LEN(ReferenceData!$I$910),"",ReferenceData!$I$910),"")</x:f>
        <x:v>0</x:v>
      </x:c>
      <x:c r="J910">
        <x:f ca="1">IFERROR(IF(0=LEN(ReferenceData!$J$910),"",ReferenceData!$J$910),"")</x:f>
        <x:v>0</x:v>
      </x:c>
      <x:c r="K910">
        <x:f ca="1">IFERROR(IF(0=LEN(ReferenceData!$K$910),"",ReferenceData!$K$910),"")</x:f>
        <x:v>0</x:v>
      </x:c>
      <x:c r="L910">
        <x:f ca="1">IFERROR(IF(0=LEN(ReferenceData!$L$910),"",ReferenceData!$L$910),"")</x:f>
        <x:v>0</x:v>
      </x:c>
      <x:c r="M910">
        <x:f ca="1">IFERROR(IF(0=LEN(ReferenceData!$M$910),"",ReferenceData!$M$910),"")</x:f>
        <x:v>0</x:v>
      </x:c>
      <x:c r="N910">
        <x:f ca="1">IFERROR(IF(0=LEN(ReferenceData!$N$910),"",ReferenceData!$N$910),"")</x:f>
        <x:v>0</x:v>
      </x:c>
      <x:c r="O910">
        <x:f ca="1">IFERROR(IF(0=LEN(ReferenceData!$O$910),"",ReferenceData!$O$910),"")</x:f>
        <x:v>0.458561</x:v>
      </x:c>
      <x:c r="P910">
        <x:f ca="1">IFERROR(IF(0=LEN(ReferenceData!$P$910),"",ReferenceData!$P$910),"")</x:f>
        <x:v>1.0940110000000001</x:v>
      </x:c>
      <x:c r="Q910">
        <x:f ca="1">IFERROR(IF(0=LEN(ReferenceData!$Q$910),"",ReferenceData!$Q$910),"")</x:f>
        <x:v>0</x:v>
      </x:c>
      <x:c r="R910">
        <x:f ca="1">IFERROR(IF(0=LEN(ReferenceData!$R$910),"",ReferenceData!$R$910),"")</x:f>
        <x:v>-2.2397429999999998</x:v>
      </x:c>
      <x:c r="S910">
        <x:f ca="1">IFERROR(IF(0=LEN(ReferenceData!$S$910),"",ReferenceData!$S$910),"")</x:f>
        <x:v>214.07825099999999</x:v>
      </x:c>
    </x:row>
    <x:row r="911" spans="1:19" x14ac:dyDescent="0.25">
      <x:c r="A911" t="str">
        <x:f>IFERROR(IF(0=LEN(ReferenceData!$A$911),"",ReferenceData!$A$911),"")</x:f>
        <x:v xml:space="preserve">            Amplify Thematic All-Stars ETF</x:v>
      </x:c>
      <x:c r="B911" t="str">
        <x:f>IFERROR(IF(0=LEN(ReferenceData!$B$911),"",ReferenceData!$B$911),"")</x:f>
        <x:v>MVPS US Equity</x:v>
      </x:c>
      <x:c r="C911" t="str">
        <x:f>IFERROR(IF(0=LEN(ReferenceData!$C$911),"",ReferenceData!$C$911),"")</x:f>
        <x:v/>
      </x:c>
      <x:c r="D911" t="str">
        <x:f>IFERROR(IF(0=LEN(ReferenceData!$D$911),"",ReferenceData!$D$911),"")</x:f>
        <x:v/>
      </x:c>
      <x:c r="E911" t="str">
        <x:f>IFERROR(IF(0=LEN(ReferenceData!$E$911),"",ReferenceData!$E$911),"")</x:f>
        <x:v>Expression</x:v>
      </x:c>
      <x:c r="F911">
        <x:f ca="1">IFERROR(IF(0=LEN(ReferenceData!$F$911),"",ReferenceData!$F$911),"")</x:f>
        <x:v>0</x:v>
      </x:c>
      <x:c r="G911">
        <x:f ca="1">IFERROR(IF(0=LEN(ReferenceData!$G$911),"",ReferenceData!$G$911),"")</x:f>
        <x:v>-0.84133000000000002</x:v>
      </x:c>
      <x:c r="H911">
        <x:f ca="1">IFERROR(IF(0=LEN(ReferenceData!$H$911),"",ReferenceData!$H$911),"")</x:f>
        <x:v>0</x:v>
      </x:c>
      <x:c r="I911">
        <x:f ca="1">IFERROR(IF(0=LEN(ReferenceData!$I$911),"",ReferenceData!$I$911),"")</x:f>
        <x:v>0</x:v>
      </x:c>
      <x:c r="J911">
        <x:f ca="1">IFERROR(IF(0=LEN(ReferenceData!$J$911),"",ReferenceData!$J$911),"")</x:f>
        <x:v>0</x:v>
      </x:c>
      <x:c r="K911">
        <x:f ca="1">IFERROR(IF(0=LEN(ReferenceData!$K$911),"",ReferenceData!$K$911),"")</x:f>
        <x:v>-0.475775</x:v>
      </x:c>
      <x:c r="L911">
        <x:f ca="1">IFERROR(IF(0=LEN(ReferenceData!$L$911),"",ReferenceData!$L$911),"")</x:f>
        <x:v>0</x:v>
      </x:c>
      <x:c r="M911">
        <x:f ca="1">IFERROR(IF(0=LEN(ReferenceData!$M$911),"",ReferenceData!$M$911),"")</x:f>
        <x:v>0</x:v>
      </x:c>
      <x:c r="N911">
        <x:f ca="1">IFERROR(IF(0=LEN(ReferenceData!$N$911),"",ReferenceData!$N$911),"")</x:f>
        <x:v>0</x:v>
      </x:c>
      <x:c r="O911">
        <x:f ca="1">IFERROR(IF(0=LEN(ReferenceData!$O$911),"",ReferenceData!$O$911),"")</x:f>
        <x:v>0</x:v>
      </x:c>
      <x:c r="P911">
        <x:f ca="1">IFERROR(IF(0=LEN(ReferenceData!$P$911),"",ReferenceData!$P$911),"")</x:f>
        <x:v>0</x:v>
      </x:c>
      <x:c r="Q911">
        <x:f ca="1">IFERROR(IF(0=LEN(ReferenceData!$Q$911),"",ReferenceData!$Q$911),"")</x:f>
        <x:v>-1.126455</x:v>
      </x:c>
      <x:c r="R911">
        <x:f ca="1">IFERROR(IF(0=LEN(ReferenceData!$R$911),"",ReferenceData!$R$911),"")</x:f>
        <x:v>0</x:v>
      </x:c>
      <x:c r="S911">
        <x:f ca="1">IFERROR(IF(0=LEN(ReferenceData!$S$911),"",ReferenceData!$S$911),"")</x:f>
        <x:v>-0.74839</x:v>
      </x:c>
    </x:row>
    <x:row r="912" spans="1:19" x14ac:dyDescent="0.25">
      <x:c r="A912" t="str">
        <x:f>IFERROR(IF(0=LEN(ReferenceData!$A$912),"",ReferenceData!$A$912),"")</x:f>
        <x:v xml:space="preserve">            Nuveen Global Net Zero Transit</x:v>
      </x:c>
      <x:c r="B912" t="str">
        <x:f>IFERROR(IF(0=LEN(ReferenceData!$B$912),"",ReferenceData!$B$912),"")</x:f>
        <x:v>NTZG US Equity</x:v>
      </x:c>
      <x:c r="C912" t="str">
        <x:f>IFERROR(IF(0=LEN(ReferenceData!$C$912),"",ReferenceData!$C$912),"")</x:f>
        <x:v/>
      </x:c>
      <x:c r="D912" t="str">
        <x:f>IFERROR(IF(0=LEN(ReferenceData!$D$912),"",ReferenceData!$D$912),"")</x:f>
        <x:v/>
      </x:c>
      <x:c r="E912" t="str">
        <x:f>IFERROR(IF(0=LEN(ReferenceData!$E$912),"",ReferenceData!$E$912),"")</x:f>
        <x:v>Expression</x:v>
      </x:c>
      <x:c r="F912">
        <x:f ca="1">IFERROR(IF(0=LEN(ReferenceData!$F$912),"",ReferenceData!$F$912),"")</x:f>
        <x:v>0</x:v>
      </x:c>
      <x:c r="G912">
        <x:f ca="1">IFERROR(IF(0=LEN(ReferenceData!$G$912),"",ReferenceData!$G$912),"")</x:f>
        <x:v>0</x:v>
      </x:c>
      <x:c r="H912">
        <x:f ca="1">IFERROR(IF(0=LEN(ReferenceData!$H$912),"",ReferenceData!$H$912),"")</x:f>
        <x:v>0</x:v>
      </x:c>
      <x:c r="I912">
        <x:f ca="1">IFERROR(IF(0=LEN(ReferenceData!$I$912),"",ReferenceData!$I$912),"")</x:f>
        <x:v>0</x:v>
      </x:c>
      <x:c r="J912">
        <x:f ca="1">IFERROR(IF(0=LEN(ReferenceData!$J$912),"",ReferenceData!$J$912),"")</x:f>
        <x:v>0</x:v>
      </x:c>
      <x:c r="K912">
        <x:f ca="1">IFERROR(IF(0=LEN(ReferenceData!$K$912),"",ReferenceData!$K$912),"")</x:f>
        <x:v>0</x:v>
      </x:c>
      <x:c r="L912">
        <x:f ca="1">IFERROR(IF(0=LEN(ReferenceData!$L$912),"",ReferenceData!$L$912),"")</x:f>
        <x:v>0</x:v>
      </x:c>
      <x:c r="M912">
        <x:f ca="1">IFERROR(IF(0=LEN(ReferenceData!$M$912),"",ReferenceData!$M$912),"")</x:f>
        <x:v>0</x:v>
      </x:c>
      <x:c r="N912">
        <x:f ca="1">IFERROR(IF(0=LEN(ReferenceData!$N$912),"",ReferenceData!$N$912),"")</x:f>
        <x:v>0</x:v>
      </x:c>
      <x:c r="O912">
        <x:f ca="1">IFERROR(IF(0=LEN(ReferenceData!$O$912),"",ReferenceData!$O$912),"")</x:f>
        <x:v>0</x:v>
      </x:c>
      <x:c r="P912">
        <x:f ca="1">IFERROR(IF(0=LEN(ReferenceData!$P$912),"",ReferenceData!$P$912),"")</x:f>
        <x:v>0</x:v>
      </x:c>
      <x:c r="Q912">
        <x:f ca="1">IFERROR(IF(0=LEN(ReferenceData!$Q$912),"",ReferenceData!$Q$912),"")</x:f>
        <x:v>0</x:v>
      </x:c>
      <x:c r="R912">
        <x:f ca="1">IFERROR(IF(0=LEN(ReferenceData!$R$912),"",ReferenceData!$R$912),"")</x:f>
        <x:v>0</x:v>
      </x:c>
      <x:c r="S912">
        <x:f ca="1">IFERROR(IF(0=LEN(ReferenceData!$S$912),"",ReferenceData!$S$912),"")</x:f>
        <x:v>0</x:v>
      </x:c>
    </x:row>
    <x:row r="913" spans="1:19" x14ac:dyDescent="0.25">
      <x:c r="A913" t="str">
        <x:f>IFERROR(IF(0=LEN(ReferenceData!$A$913),"",ReferenceData!$A$913),"")</x:f>
        <x:v xml:space="preserve">            Optimize AI Smart Sentiment Ev</x:v>
      </x:c>
      <x:c r="B913" t="str">
        <x:f>IFERROR(IF(0=LEN(ReferenceData!$B$913),"",ReferenceData!$B$913),"")</x:f>
        <x:v>OAIE US Equity</x:v>
      </x:c>
      <x:c r="C913" t="str">
        <x:f>IFERROR(IF(0=LEN(ReferenceData!$C$913),"",ReferenceData!$C$913),"")</x:f>
        <x:v/>
      </x:c>
      <x:c r="D913" t="str">
        <x:f>IFERROR(IF(0=LEN(ReferenceData!$D$913),"",ReferenceData!$D$913),"")</x:f>
        <x:v/>
      </x:c>
      <x:c r="E913" t="str">
        <x:f>IFERROR(IF(0=LEN(ReferenceData!$E$913),"",ReferenceData!$E$913),"")</x:f>
        <x:v>Expression</x:v>
      </x:c>
      <x:c r="F913">
        <x:f ca="1">IFERROR(IF(0=LEN(ReferenceData!$F$913),"",ReferenceData!$F$913),"")</x:f>
        <x:v>0</x:v>
      </x:c>
      <x:c r="G913">
        <x:f ca="1">IFERROR(IF(0=LEN(ReferenceData!$G$913),"",ReferenceData!$G$913),"")</x:f>
        <x:v>0</x:v>
      </x:c>
      <x:c r="H913">
        <x:f ca="1">IFERROR(IF(0=LEN(ReferenceData!$H$913),"",ReferenceData!$H$913),"")</x:f>
        <x:v>0</x:v>
      </x:c>
      <x:c r="I913">
        <x:f ca="1">IFERROR(IF(0=LEN(ReferenceData!$I$913),"",ReferenceData!$I$913),"")</x:f>
        <x:v>0</x:v>
      </x:c>
      <x:c r="J913">
        <x:f ca="1">IFERROR(IF(0=LEN(ReferenceData!$J$913),"",ReferenceData!$J$913),"")</x:f>
        <x:v>0</x:v>
      </x:c>
      <x:c r="K913">
        <x:f ca="1">IFERROR(IF(0=LEN(ReferenceData!$K$913),"",ReferenceData!$K$913),"")</x:f>
        <x:v>0</x:v>
      </x:c>
      <x:c r="L913">
        <x:f ca="1">IFERROR(IF(0=LEN(ReferenceData!$L$913),"",ReferenceData!$L$913),"")</x:f>
        <x:v>0</x:v>
      </x:c>
      <x:c r="M913">
        <x:f ca="1">IFERROR(IF(0=LEN(ReferenceData!$M$913),"",ReferenceData!$M$913),"")</x:f>
        <x:v>0</x:v>
      </x:c>
      <x:c r="N913">
        <x:f ca="1">IFERROR(IF(0=LEN(ReferenceData!$N$913),"",ReferenceData!$N$913),"")</x:f>
        <x:v>0</x:v>
      </x:c>
      <x:c r="O913">
        <x:f ca="1">IFERROR(IF(0=LEN(ReferenceData!$O$913),"",ReferenceData!$O$913),"")</x:f>
        <x:v>0</x:v>
      </x:c>
      <x:c r="P913">
        <x:f ca="1">IFERROR(IF(0=LEN(ReferenceData!$P$913),"",ReferenceData!$P$913),"")</x:f>
        <x:v>0</x:v>
      </x:c>
      <x:c r="Q913">
        <x:f ca="1">IFERROR(IF(0=LEN(ReferenceData!$Q$913),"",ReferenceData!$Q$913),"")</x:f>
        <x:v>0</x:v>
      </x:c>
      <x:c r="R913">
        <x:f ca="1">IFERROR(IF(0=LEN(ReferenceData!$R$913),"",ReferenceData!$R$913),"")</x:f>
        <x:v>0</x:v>
      </x:c>
      <x:c r="S913">
        <x:f ca="1">IFERROR(IF(0=LEN(ReferenceData!$S$913),"",ReferenceData!$S$913),"")</x:f>
        <x:v>0</x:v>
      </x:c>
    </x:row>
    <x:row r="914" spans="1:19" x14ac:dyDescent="0.25">
      <x:c r="A914" t="str">
        <x:f>IFERROR(IF(0=LEN(ReferenceData!$A$914),"",ReferenceData!$A$914),"")</x:f>
        <x:v xml:space="preserve">            Proshares Supply Chain Logisti</x:v>
      </x:c>
      <x:c r="B914" t="str">
        <x:f>IFERROR(IF(0=LEN(ReferenceData!$B$914),"",ReferenceData!$B$914),"")</x:f>
        <x:v>SUPL US Equity</x:v>
      </x:c>
      <x:c r="C914" t="str">
        <x:f>IFERROR(IF(0=LEN(ReferenceData!$C$914),"",ReferenceData!$C$914),"")</x:f>
        <x:v/>
      </x:c>
      <x:c r="D914" t="str">
        <x:f>IFERROR(IF(0=LEN(ReferenceData!$D$914),"",ReferenceData!$D$914),"")</x:f>
        <x:v/>
      </x:c>
      <x:c r="E914" t="str">
        <x:f>IFERROR(IF(0=LEN(ReferenceData!$E$914),"",ReferenceData!$E$914),"")</x:f>
        <x:v>Expression</x:v>
      </x:c>
      <x:c r="F914">
        <x:f ca="1">IFERROR(IF(0=LEN(ReferenceData!$F$914),"",ReferenceData!$F$914),"")</x:f>
        <x:v>0</x:v>
      </x:c>
      <x:c r="G914">
        <x:f ca="1">IFERROR(IF(0=LEN(ReferenceData!$G$914),"",ReferenceData!$G$914),"")</x:f>
        <x:v>0</x:v>
      </x:c>
      <x:c r="H914">
        <x:f ca="1">IFERROR(IF(0=LEN(ReferenceData!$H$914),"",ReferenceData!$H$914),"")</x:f>
        <x:v>0</x:v>
      </x:c>
      <x:c r="I914">
        <x:f ca="1">IFERROR(IF(0=LEN(ReferenceData!$I$914),"",ReferenceData!$I$914),"")</x:f>
        <x:v>0</x:v>
      </x:c>
      <x:c r="J914">
        <x:f ca="1">IFERROR(IF(0=LEN(ReferenceData!$J$914),"",ReferenceData!$J$914),"")</x:f>
        <x:v>0</x:v>
      </x:c>
      <x:c r="K914">
        <x:f ca="1">IFERROR(IF(0=LEN(ReferenceData!$K$914),"",ReferenceData!$K$914),"")</x:f>
        <x:v>0</x:v>
      </x:c>
      <x:c r="L914">
        <x:f ca="1">IFERROR(IF(0=LEN(ReferenceData!$L$914),"",ReferenceData!$L$914),"")</x:f>
        <x:v>0</x:v>
      </x:c>
      <x:c r="M914">
        <x:f ca="1">IFERROR(IF(0=LEN(ReferenceData!$M$914),"",ReferenceData!$M$914),"")</x:f>
        <x:v>0</x:v>
      </x:c>
      <x:c r="N914">
        <x:f ca="1">IFERROR(IF(0=LEN(ReferenceData!$N$914),"",ReferenceData!$N$914),"")</x:f>
        <x:v>0</x:v>
      </x:c>
      <x:c r="O914">
        <x:f ca="1">IFERROR(IF(0=LEN(ReferenceData!$O$914),"",ReferenceData!$O$914),"")</x:f>
        <x:v>0</x:v>
      </x:c>
      <x:c r="P914">
        <x:f ca="1">IFERROR(IF(0=LEN(ReferenceData!$P$914),"",ReferenceData!$P$914),"")</x:f>
        <x:v>0</x:v>
      </x:c>
      <x:c r="Q914">
        <x:f ca="1">IFERROR(IF(0=LEN(ReferenceData!$Q$914),"",ReferenceData!$Q$914),"")</x:f>
        <x:v>0</x:v>
      </x:c>
      <x:c r="R914">
        <x:f ca="1">IFERROR(IF(0=LEN(ReferenceData!$R$914),"",ReferenceData!$R$914),"")</x:f>
        <x:v>0</x:v>
      </x:c>
      <x:c r="S914">
        <x:f ca="1">IFERROR(IF(0=LEN(ReferenceData!$S$914),"",ReferenceData!$S$914),"")</x:f>
        <x:v>0</x:v>
      </x:c>
    </x:row>
    <x:row r="915" spans="1:19" x14ac:dyDescent="0.25">
      <x:c r="A915" t="str">
        <x:f>IFERROR(IF(0=LEN(ReferenceData!$A$915),"",ReferenceData!$A$915),"")</x:f>
        <x:v xml:space="preserve">            Engine No 1 Transform Supply C</x:v>
      </x:c>
      <x:c r="B915" t="str">
        <x:f>IFERROR(IF(0=LEN(ReferenceData!$B$915),"",ReferenceData!$B$915),"")</x:f>
        <x:v>SUPP US Equity</x:v>
      </x:c>
      <x:c r="C915" t="str">
        <x:f>IFERROR(IF(0=LEN(ReferenceData!$C$915),"",ReferenceData!$C$915),"")</x:f>
        <x:v/>
      </x:c>
      <x:c r="D915" t="str">
        <x:f>IFERROR(IF(0=LEN(ReferenceData!$D$915),"",ReferenceData!$D$915),"")</x:f>
        <x:v/>
      </x:c>
      <x:c r="E915" t="str">
        <x:f>IFERROR(IF(0=LEN(ReferenceData!$E$915),"",ReferenceData!$E$915),"")</x:f>
        <x:v>Expression</x:v>
      </x:c>
      <x:c r="F915">
        <x:f ca="1">IFERROR(IF(0=LEN(ReferenceData!$F$915),"",ReferenceData!$F$915),"")</x:f>
        <x:v>0</x:v>
      </x:c>
      <x:c r="G915">
        <x:f ca="1">IFERROR(IF(0=LEN(ReferenceData!$G$915),"",ReferenceData!$G$915),"")</x:f>
        <x:v>1.2581E-2</x:v>
      </x:c>
      <x:c r="H915">
        <x:f ca="1">IFERROR(IF(0=LEN(ReferenceData!$H$915),"",ReferenceData!$H$915),"")</x:f>
        <x:v>0</x:v>
      </x:c>
      <x:c r="I915">
        <x:f ca="1">IFERROR(IF(0=LEN(ReferenceData!$I$915),"",ReferenceData!$I$915),"")</x:f>
        <x:v>-2.0839999999999999E-3</x:v>
      </x:c>
      <x:c r="J915">
        <x:f ca="1">IFERROR(IF(0=LEN(ReferenceData!$J$915),"",ReferenceData!$J$915),"")</x:f>
        <x:v>-9.1719999999999996E-3</x:v>
      </x:c>
      <x:c r="K915">
        <x:f ca="1">IFERROR(IF(0=LEN(ReferenceData!$K$915),"",ReferenceData!$K$915),"")</x:f>
        <x:v>-1.0638E-2</x:v>
      </x:c>
      <x:c r="L915">
        <x:f ca="1">IFERROR(IF(0=LEN(ReferenceData!$L$915),"",ReferenceData!$L$915),"")</x:f>
        <x:v>0</x:v>
      </x:c>
      <x:c r="M915">
        <x:f ca="1">IFERROR(IF(0=LEN(ReferenceData!$M$915),"",ReferenceData!$M$915),"")</x:f>
        <x:v>0</x:v>
      </x:c>
      <x:c r="N915">
        <x:f ca="1">IFERROR(IF(0=LEN(ReferenceData!$N$915),"",ReferenceData!$N$915),"")</x:f>
        <x:v>0</x:v>
      </x:c>
      <x:c r="O915">
        <x:f ca="1">IFERROR(IF(0=LEN(ReferenceData!$O$915),"",ReferenceData!$O$915),"")</x:f>
        <x:v>0</x:v>
      </x:c>
      <x:c r="P915" t="str">
        <x:f ca="1">IFERROR(IF(0=LEN(ReferenceData!$P$915),"",ReferenceData!$P$915),"")</x:f>
        <x:v/>
      </x:c>
      <x:c r="Q915" t="str">
        <x:f ca="1">IFERROR(IF(0=LEN(ReferenceData!$Q$915),"",ReferenceData!$Q$915),"")</x:f>
        <x:v/>
      </x:c>
      <x:c r="R915" t="str">
        <x:f ca="1">IFERROR(IF(0=LEN(ReferenceData!$R$915),"",ReferenceData!$R$915),"")</x:f>
        <x:v/>
      </x:c>
      <x:c r="S915" t="str">
        <x:f ca="1">IFERROR(IF(0=LEN(ReferenceData!$S$915),"",ReferenceData!$S$915),"")</x:f>
        <x:v/>
      </x:c>
    </x:row>
    <x:row r="916" spans="1:19" x14ac:dyDescent="0.25">
      <x:c r="A916" t="str">
        <x:f>IFERROR(IF(0=LEN(ReferenceData!$A$916),"",ReferenceData!$A$916),"")</x:f>
        <x:v xml:space="preserve">            Fairlead Tactical Sector Fund</x:v>
      </x:c>
      <x:c r="B916" t="str">
        <x:f>IFERROR(IF(0=LEN(ReferenceData!$B$916),"",ReferenceData!$B$916),"")</x:f>
        <x:v>TACK US Equity</x:v>
      </x:c>
      <x:c r="C916" t="str">
        <x:f>IFERROR(IF(0=LEN(ReferenceData!$C$916),"",ReferenceData!$C$916),"")</x:f>
        <x:v/>
      </x:c>
      <x:c r="D916" t="str">
        <x:f>IFERROR(IF(0=LEN(ReferenceData!$D$916),"",ReferenceData!$D$916),"")</x:f>
        <x:v/>
      </x:c>
      <x:c r="E916" t="str">
        <x:f>IFERROR(IF(0=LEN(ReferenceData!$E$916),"",ReferenceData!$E$916),"")</x:f>
        <x:v>Expression</x:v>
      </x:c>
      <x:c r="F916">
        <x:f ca="1">IFERROR(IF(0=LEN(ReferenceData!$F$916),"",ReferenceData!$F$916),"")</x:f>
        <x:v>-7.8807999999999998</x:v>
      </x:c>
      <x:c r="G916">
        <x:f ca="1">IFERROR(IF(0=LEN(ReferenceData!$G$916),"",ReferenceData!$G$916),"")</x:f>
        <x:v>-13.7462</x:v>
      </x:c>
      <x:c r="H916">
        <x:f ca="1">IFERROR(IF(0=LEN(ReferenceData!$H$916),"",ReferenceData!$H$916),"")</x:f>
        <x:v>-3.5221</x:v>
      </x:c>
      <x:c r="I916">
        <x:f ca="1">IFERROR(IF(0=LEN(ReferenceData!$I$916),"",ReferenceData!$I$916),"")</x:f>
        <x:v>-4.8064999999999998</x:v>
      </x:c>
      <x:c r="J916">
        <x:f ca="1">IFERROR(IF(0=LEN(ReferenceData!$J$916),"",ReferenceData!$J$916),"")</x:f>
        <x:v>-1.9201999999999999</x:v>
      </x:c>
      <x:c r="K916">
        <x:f ca="1">IFERROR(IF(0=LEN(ReferenceData!$K$916),"",ReferenceData!$K$916),"")</x:f>
        <x:v>3.5436000000000001</x:v>
      </x:c>
      <x:c r="L916">
        <x:f ca="1">IFERROR(IF(0=LEN(ReferenceData!$L$916),"",ReferenceData!$L$916),"")</x:f>
        <x:v>6.2041000000000004</x:v>
      </x:c>
      <x:c r="M916">
        <x:f ca="1">IFERROR(IF(0=LEN(ReferenceData!$M$916),"",ReferenceData!$M$916),"")</x:f>
        <x:v>11.4293</x:v>
      </x:c>
      <x:c r="N916">
        <x:f ca="1">IFERROR(IF(0=LEN(ReferenceData!$N$916),"",ReferenceData!$N$916),"")</x:f>
        <x:v>-1.0506</x:v>
      </x:c>
      <x:c r="O916">
        <x:f ca="1">IFERROR(IF(0=LEN(ReferenceData!$O$916),"",ReferenceData!$O$916),"")</x:f>
        <x:v>11.290100000000001</x:v>
      </x:c>
      <x:c r="P916">
        <x:f ca="1">IFERROR(IF(0=LEN(ReferenceData!$P$916),"",ReferenceData!$P$916),"")</x:f>
        <x:v>14.7841</x:v>
      </x:c>
      <x:c r="Q916">
        <x:f ca="1">IFERROR(IF(0=LEN(ReferenceData!$Q$916),"",ReferenceData!$Q$916),"")</x:f>
        <x:v>13.488799999999999</x:v>
      </x:c>
      <x:c r="R916">
        <x:f ca="1">IFERROR(IF(0=LEN(ReferenceData!$R$916),"",ReferenceData!$R$916),"")</x:f>
        <x:v>5.3869999999999996</x:v>
      </x:c>
      <x:c r="S916">
        <x:f ca="1">IFERROR(IF(0=LEN(ReferenceData!$S$916),"",ReferenceData!$S$916),"")</x:f>
        <x:v>14.5428</x:v>
      </x:c>
    </x:row>
    <x:row r="917" spans="1:19" x14ac:dyDescent="0.25">
      <x:c r="A917" t="str">
        <x:f>IFERROR(IF(0=LEN(ReferenceData!$A$917),"",ReferenceData!$A$917),"")</x:f>
        <x:v xml:space="preserve">            JPMorgan Social Advancement ET</x:v>
      </x:c>
      <x:c r="B917" t="str">
        <x:f>IFERROR(IF(0=LEN(ReferenceData!$B$917),"",ReferenceData!$B$917),"")</x:f>
        <x:v>UPWD US Equity</x:v>
      </x:c>
      <x:c r="C917" t="str">
        <x:f>IFERROR(IF(0=LEN(ReferenceData!$C$917),"",ReferenceData!$C$917),"")</x:f>
        <x:v/>
      </x:c>
      <x:c r="D917" t="str">
        <x:f>IFERROR(IF(0=LEN(ReferenceData!$D$917),"",ReferenceData!$D$917),"")</x:f>
        <x:v/>
      </x:c>
      <x:c r="E917" t="str">
        <x:f>IFERROR(IF(0=LEN(ReferenceData!$E$917),"",ReferenceData!$E$917),"")</x:f>
        <x:v>Expression</x:v>
      </x:c>
      <x:c r="F917">
        <x:f ca="1">IFERROR(IF(0=LEN(ReferenceData!$F$917),"",ReferenceData!$F$917),"")</x:f>
        <x:v>0</x:v>
      </x:c>
      <x:c r="G917">
        <x:f ca="1">IFERROR(IF(0=LEN(ReferenceData!$G$917),"",ReferenceData!$G$917),"")</x:f>
        <x:v>0</x:v>
      </x:c>
      <x:c r="H917">
        <x:f ca="1">IFERROR(IF(0=LEN(ReferenceData!$H$917),"",ReferenceData!$H$917),"")</x:f>
        <x:v>0</x:v>
      </x:c>
      <x:c r="I917">
        <x:f ca="1">IFERROR(IF(0=LEN(ReferenceData!$I$917),"",ReferenceData!$I$917),"")</x:f>
        <x:v>0</x:v>
      </x:c>
      <x:c r="J917">
        <x:f ca="1">IFERROR(IF(0=LEN(ReferenceData!$J$917),"",ReferenceData!$J$917),"")</x:f>
        <x:v>0</x:v>
      </x:c>
      <x:c r="K917">
        <x:f ca="1">IFERROR(IF(0=LEN(ReferenceData!$K$917),"",ReferenceData!$K$917),"")</x:f>
        <x:v>0</x:v>
      </x:c>
      <x:c r="L917">
        <x:f ca="1">IFERROR(IF(0=LEN(ReferenceData!$L$917),"",ReferenceData!$L$917),"")</x:f>
        <x:v>0</x:v>
      </x:c>
      <x:c r="M917">
        <x:f ca="1">IFERROR(IF(0=LEN(ReferenceData!$M$917),"",ReferenceData!$M$917),"")</x:f>
        <x:v>0</x:v>
      </x:c>
      <x:c r="N917">
        <x:f ca="1">IFERROR(IF(0=LEN(ReferenceData!$N$917),"",ReferenceData!$N$917),"")</x:f>
        <x:v>0</x:v>
      </x:c>
      <x:c r="O917">
        <x:f ca="1">IFERROR(IF(0=LEN(ReferenceData!$O$917),"",ReferenceData!$O$917),"")</x:f>
        <x:v>0</x:v>
      </x:c>
      <x:c r="P917">
        <x:f ca="1">IFERROR(IF(0=LEN(ReferenceData!$P$917),"",ReferenceData!$P$917),"")</x:f>
        <x:v>0</x:v>
      </x:c>
      <x:c r="Q917">
        <x:f ca="1">IFERROR(IF(0=LEN(ReferenceData!$Q$917),"",ReferenceData!$Q$917),"")</x:f>
        <x:v>0</x:v>
      </x:c>
      <x:c r="R917">
        <x:f ca="1">IFERROR(IF(0=LEN(ReferenceData!$R$917),"",ReferenceData!$R$917),"")</x:f>
        <x:v>0</x:v>
      </x:c>
      <x:c r="S917">
        <x:f ca="1">IFERROR(IF(0=LEN(ReferenceData!$S$917),"",ReferenceData!$S$917),"")</x:f>
        <x:v>1.122503</x:v>
      </x:c>
    </x:row>
    <x:row r="918" spans="1:19" x14ac:dyDescent="0.25">
      <x:c r="A918" t="str">
        <x:f>IFERROR(IF(0=LEN(ReferenceData!$A$918),"",ReferenceData!$A$918),"")</x:f>
        <x:v xml:space="preserve">        Agriculture</x:v>
      </x:c>
      <x:c r="B918" t="str">
        <x:f>IFERROR(IF(0=LEN(ReferenceData!$B$918),"",ReferenceData!$B$918),"")</x:f>
        <x:v/>
      </x:c>
      <x:c r="C918" t="str">
        <x:f>IFERROR(IF(0=LEN(ReferenceData!$C$918),"",ReferenceData!$C$918),"")</x:f>
        <x:v/>
      </x:c>
      <x:c r="D918" t="str">
        <x:f>IFERROR(IF(0=LEN(ReferenceData!$D$918),"",ReferenceData!$D$918),"")</x:f>
        <x:v/>
      </x:c>
      <x:c r="E918" t="str">
        <x:f>IFERROR(IF(0=LEN(ReferenceData!$E$918),"",ReferenceData!$E$918),"")</x:f>
        <x:v>Sum</x:v>
      </x:c>
      <x:c r="F918">
        <x:f ca="1">IFERROR(IF(0=LEN(ReferenceData!$F$918),"",ReferenceData!$F$918),"")</x:f>
        <x:v>-6.2843289999999996</x:v>
      </x:c>
      <x:c r="G918">
        <x:f ca="1">IFERROR(IF(0=LEN(ReferenceData!$G$918),"",ReferenceData!$G$918),"")</x:f>
        <x:v>-38.473805999999996</x:v>
      </x:c>
      <x:c r="H918">
        <x:f ca="1">IFERROR(IF(0=LEN(ReferenceData!$H$918),"",ReferenceData!$H$918),"")</x:f>
        <x:v>-28.513143000000003</x:v>
      </x:c>
      <x:c r="I918">
        <x:f ca="1">IFERROR(IF(0=LEN(ReferenceData!$I$918),"",ReferenceData!$I$918),"")</x:f>
        <x:v>-20.430305999999998</x:v>
      </x:c>
      <x:c r="J918">
        <x:f ca="1">IFERROR(IF(0=LEN(ReferenceData!$J$918),"",ReferenceData!$J$918),"")</x:f>
        <x:v>-30.999434999999998</x:v>
      </x:c>
      <x:c r="K918">
        <x:f ca="1">IFERROR(IF(0=LEN(ReferenceData!$K$918),"",ReferenceData!$K$918),"")</x:f>
        <x:v>-23.066248000000002</x:v>
      </x:c>
      <x:c r="L918">
        <x:f ca="1">IFERROR(IF(0=LEN(ReferenceData!$L$918),"",ReferenceData!$L$918),"")</x:f>
        <x:v>-76.91036099999998</x:v>
      </x:c>
      <x:c r="M918">
        <x:f ca="1">IFERROR(IF(0=LEN(ReferenceData!$M$918),"",ReferenceData!$M$918),"")</x:f>
        <x:v>-35.982388999999998</x:v>
      </x:c>
      <x:c r="N918">
        <x:f ca="1">IFERROR(IF(0=LEN(ReferenceData!$N$918),"",ReferenceData!$N$918),"")</x:f>
        <x:v>-43.368216000000004</x:v>
      </x:c>
      <x:c r="O918">
        <x:f ca="1">IFERROR(IF(0=LEN(ReferenceData!$O$918),"",ReferenceData!$O$918),"")</x:f>
        <x:v>-37.649161999999997</x:v>
      </x:c>
      <x:c r="P918">
        <x:f ca="1">IFERROR(IF(0=LEN(ReferenceData!$P$918),"",ReferenceData!$P$918),"")</x:f>
        <x:v>-43.434443000000002</x:v>
      </x:c>
      <x:c r="Q918">
        <x:f ca="1">IFERROR(IF(0=LEN(ReferenceData!$Q$918),"",ReferenceData!$Q$918),"")</x:f>
        <x:v>-69.165447</x:v>
      </x:c>
      <x:c r="R918">
        <x:f ca="1">IFERROR(IF(0=LEN(ReferenceData!$R$918),"",ReferenceData!$R$918),"")</x:f>
        <x:v>5.7596379999999998</x:v>
      </x:c>
      <x:c r="S918">
        <x:f ca="1">IFERROR(IF(0=LEN(ReferenceData!$S$918),"",ReferenceData!$S$918),"")</x:f>
        <x:v>-8.0834810000000008</x:v>
      </x:c>
    </x:row>
    <x:row r="919" spans="1:19" x14ac:dyDescent="0.25">
      <x:c r="A919" t="str">
        <x:f>IFERROR(IF(0=LEN(ReferenceData!$A$919),"",ReferenceData!$A$919),"")</x:f>
        <x:v xml:space="preserve">            iShares MSCI Agriculture Produ</x:v>
      </x:c>
      <x:c r="B919" t="str">
        <x:f>IFERROR(IF(0=LEN(ReferenceData!$B$919),"",ReferenceData!$B$919),"")</x:f>
        <x:v>VEGI US Equity</x:v>
      </x:c>
      <x:c r="C919" t="str">
        <x:f>IFERROR(IF(0=LEN(ReferenceData!$C$919),"",ReferenceData!$C$919),"")</x:f>
        <x:v/>
      </x:c>
      <x:c r="D919" t="str">
        <x:f>IFERROR(IF(0=LEN(ReferenceData!$D$919),"",ReferenceData!$D$919),"")</x:f>
        <x:v/>
      </x:c>
      <x:c r="E919" t="str">
        <x:f>IFERROR(IF(0=LEN(ReferenceData!$E$919),"",ReferenceData!$E$919),"")</x:f>
        <x:v>Expression</x:v>
      </x:c>
      <x:c r="F919">
        <x:f ca="1">IFERROR(IF(0=LEN(ReferenceData!$F$919),"",ReferenceData!$F$919),"")</x:f>
        <x:v>0</x:v>
      </x:c>
      <x:c r="G919">
        <x:f ca="1">IFERROR(IF(0=LEN(ReferenceData!$G$919),"",ReferenceData!$G$919),"")</x:f>
        <x:v>-14.572234999999999</x:v>
      </x:c>
      <x:c r="H919">
        <x:f ca="1">IFERROR(IF(0=LEN(ReferenceData!$H$919),"",ReferenceData!$H$919),"")</x:f>
        <x:v>-6.0215100000000001</x:v>
      </x:c>
      <x:c r="I919">
        <x:f ca="1">IFERROR(IF(0=LEN(ReferenceData!$I$919),"",ReferenceData!$I$919),"")</x:f>
        <x:v>-4.0934900000000001</x:v>
      </x:c>
      <x:c r="J919">
        <x:f ca="1">IFERROR(IF(0=LEN(ReferenceData!$J$919),"",ReferenceData!$J$919),"")</x:f>
        <x:v>-8.0194600000000005</x:v>
      </x:c>
      <x:c r="K919">
        <x:f ca="1">IFERROR(IF(0=LEN(ReferenceData!$K$919),"",ReferenceData!$K$919),"")</x:f>
        <x:v>-7.9135200000000001</x:v>
      </x:c>
      <x:c r="L919">
        <x:f ca="1">IFERROR(IF(0=LEN(ReferenceData!$L$919),"",ReferenceData!$L$919),"")</x:f>
        <x:v>-11.381790000000001</x:v>
      </x:c>
      <x:c r="M919">
        <x:f ca="1">IFERROR(IF(0=LEN(ReferenceData!$M$919),"",ReferenceData!$M$919),"")</x:f>
        <x:v>-10.250064999999999</x:v>
      </x:c>
      <x:c r="N919">
        <x:f ca="1">IFERROR(IF(0=LEN(ReferenceData!$N$919),"",ReferenceData!$N$919),"")</x:f>
        <x:v>-10.154019999999999</x:v>
      </x:c>
      <x:c r="O919">
        <x:f ca="1">IFERROR(IF(0=LEN(ReferenceData!$O$919),"",ReferenceData!$O$919),"")</x:f>
        <x:v>-8.7032900000000009</x:v>
      </x:c>
      <x:c r="P919">
        <x:f ca="1">IFERROR(IF(0=LEN(ReferenceData!$P$919),"",ReferenceData!$P$919),"")</x:f>
        <x:v>-8.4719999999999995</x:v>
      </x:c>
      <x:c r="Q919">
        <x:f ca="1">IFERROR(IF(0=LEN(ReferenceData!$Q$919),"",ReferenceData!$Q$919),"")</x:f>
        <x:v>-24.246625000000002</x:v>
      </x:c>
      <x:c r="R919">
        <x:f ca="1">IFERROR(IF(0=LEN(ReferenceData!$R$919),"",ReferenceData!$R$919),"")</x:f>
        <x:v>19.833494999999999</x:v>
      </x:c>
      <x:c r="S919">
        <x:f ca="1">IFERROR(IF(0=LEN(ReferenceData!$S$919),"",ReferenceData!$S$919),"")</x:f>
        <x:v>14.453189999999999</x:v>
      </x:c>
    </x:row>
    <x:row r="920" spans="1:19" x14ac:dyDescent="0.25">
      <x:c r="A920" t="str">
        <x:f>IFERROR(IF(0=LEN(ReferenceData!$A$920),"",ReferenceData!$A$920),"")</x:f>
        <x:v xml:space="preserve">            Invesco Global Agriculture ETF</x:v>
      </x:c>
      <x:c r="B920" t="str">
        <x:f>IFERROR(IF(0=LEN(ReferenceData!$B$920),"",ReferenceData!$B$920),"")</x:f>
        <x:v>PAGG US Equity</x:v>
      </x:c>
      <x:c r="C920" t="str">
        <x:f>IFERROR(IF(0=LEN(ReferenceData!$C$920),"",ReferenceData!$C$920),"")</x:f>
        <x:v/>
      </x:c>
      <x:c r="D920" t="str">
        <x:f>IFERROR(IF(0=LEN(ReferenceData!$D$920),"",ReferenceData!$D$920),"")</x:f>
        <x:v/>
      </x:c>
      <x:c r="E920" t="str">
        <x:f>IFERROR(IF(0=LEN(ReferenceData!$E$920),"",ReferenceData!$E$920),"")</x:f>
        <x:v>Expression</x:v>
      </x:c>
      <x:c r="F920" t="str">
        <x:f ca="1">IFERROR(IF(0=LEN(ReferenceData!$F$920),"",ReferenceData!$F$920),"")</x:f>
        <x:v/>
      </x:c>
      <x:c r="G920" t="str">
        <x:f ca="1">IFERROR(IF(0=LEN(ReferenceData!$G$920),"",ReferenceData!$G$920),"")</x:f>
        <x:v/>
      </x:c>
      <x:c r="H920" t="str">
        <x:f ca="1">IFERROR(IF(0=LEN(ReferenceData!$H$920),"",ReferenceData!$H$920),"")</x:f>
        <x:v/>
      </x:c>
      <x:c r="I920" t="str">
        <x:f ca="1">IFERROR(IF(0=LEN(ReferenceData!$I$920),"",ReferenceData!$I$920),"")</x:f>
        <x:v/>
      </x:c>
      <x:c r="J920" t="str">
        <x:f ca="1">IFERROR(IF(0=LEN(ReferenceData!$J$920),"",ReferenceData!$J$920),"")</x:f>
        <x:v/>
      </x:c>
      <x:c r="K920" t="str">
        <x:f ca="1">IFERROR(IF(0=LEN(ReferenceData!$K$920),"",ReferenceData!$K$920),"")</x:f>
        <x:v/>
      </x:c>
      <x:c r="L920" t="str">
        <x:f ca="1">IFERROR(IF(0=LEN(ReferenceData!$L$920),"",ReferenceData!$L$920),"")</x:f>
        <x:v/>
      </x:c>
      <x:c r="M920" t="str">
        <x:f ca="1">IFERROR(IF(0=LEN(ReferenceData!$M$920),"",ReferenceData!$M$920),"")</x:f>
        <x:v/>
      </x:c>
      <x:c r="N920" t="str">
        <x:f ca="1">IFERROR(IF(0=LEN(ReferenceData!$N$920),"",ReferenceData!$N$920),"")</x:f>
        <x:v/>
      </x:c>
      <x:c r="O920" t="str">
        <x:f ca="1">IFERROR(IF(0=LEN(ReferenceData!$O$920),"",ReferenceData!$O$920),"")</x:f>
        <x:v/>
      </x:c>
      <x:c r="P920" t="str">
        <x:f ca="1">IFERROR(IF(0=LEN(ReferenceData!$P$920),"",ReferenceData!$P$920),"")</x:f>
        <x:v/>
      </x:c>
      <x:c r="Q920" t="str">
        <x:f ca="1">IFERROR(IF(0=LEN(ReferenceData!$Q$920),"",ReferenceData!$Q$920),"")</x:f>
        <x:v/>
      </x:c>
      <x:c r="R920" t="str">
        <x:f ca="1">IFERROR(IF(0=LEN(ReferenceData!$R$920),"",ReferenceData!$R$920),"")</x:f>
        <x:v/>
      </x:c>
      <x:c r="S920" t="str">
        <x:f ca="1">IFERROR(IF(0=LEN(ReferenceData!$S$920),"",ReferenceData!$S$920),"")</x:f>
        <x:v/>
      </x:c>
    </x:row>
    <x:row r="921" spans="1:19" x14ac:dyDescent="0.25">
      <x:c r="A921" t="str">
        <x:f>IFERROR(IF(0=LEN(ReferenceData!$A$921),"",ReferenceData!$A$921),"")</x:f>
        <x:v xml:space="preserve">            VanEck Agribusiness ETF</x:v>
      </x:c>
      <x:c r="B921" t="str">
        <x:f>IFERROR(IF(0=LEN(ReferenceData!$B$921),"",ReferenceData!$B$921),"")</x:f>
        <x:v>MOO US Equity</x:v>
      </x:c>
      <x:c r="C921" t="str">
        <x:f>IFERROR(IF(0=LEN(ReferenceData!$C$921),"",ReferenceData!$C$921),"")</x:f>
        <x:v/>
      </x:c>
      <x:c r="D921" t="str">
        <x:f>IFERROR(IF(0=LEN(ReferenceData!$D$921),"",ReferenceData!$D$921),"")</x:f>
        <x:v/>
      </x:c>
      <x:c r="E921" t="str">
        <x:f>IFERROR(IF(0=LEN(ReferenceData!$E$921),"",ReferenceData!$E$921),"")</x:f>
        <x:v>Expression</x:v>
      </x:c>
      <x:c r="F921">
        <x:f ca="1">IFERROR(IF(0=LEN(ReferenceData!$F$921),"",ReferenceData!$F$921),"")</x:f>
        <x:v>0</x:v>
      </x:c>
      <x:c r="G921">
        <x:f ca="1">IFERROR(IF(0=LEN(ReferenceData!$G$921),"",ReferenceData!$G$921),"")</x:f>
        <x:v>-22.6252</x:v>
      </x:c>
      <x:c r="H921">
        <x:f ca="1">IFERROR(IF(0=LEN(ReferenceData!$H$921),"",ReferenceData!$H$921),"")</x:f>
        <x:v>-12.154327</x:v>
      </x:c>
      <x:c r="I921">
        <x:f ca="1">IFERROR(IF(0=LEN(ReferenceData!$I$921),"",ReferenceData!$I$921),"")</x:f>
        <x:v>-16.823025999999999</x:v>
      </x:c>
      <x:c r="J921">
        <x:f ca="1">IFERROR(IF(0=LEN(ReferenceData!$J$921),"",ReferenceData!$J$921),"")</x:f>
        <x:v>-21.637975000000001</x:v>
      </x:c>
      <x:c r="K921">
        <x:f ca="1">IFERROR(IF(0=LEN(ReferenceData!$K$921),"",ReferenceData!$K$921),"")</x:f>
        <x:v>-7.9740380000000002</x:v>
      </x:c>
      <x:c r="L921">
        <x:f ca="1">IFERROR(IF(0=LEN(ReferenceData!$L$921),"",ReferenceData!$L$921),"")</x:f>
        <x:v>-65.390204999999995</x:v>
      </x:c>
      <x:c r="M921">
        <x:f ca="1">IFERROR(IF(0=LEN(ReferenceData!$M$921),"",ReferenceData!$M$921),"")</x:f>
        <x:v>-25.732323999999998</x:v>
      </x:c>
      <x:c r="N921">
        <x:f ca="1">IFERROR(IF(0=LEN(ReferenceData!$N$921),"",ReferenceData!$N$921),"")</x:f>
        <x:v>-25.853064</x:v>
      </x:c>
      <x:c r="O921">
        <x:f ca="1">IFERROR(IF(0=LEN(ReferenceData!$O$921),"",ReferenceData!$O$921),"")</x:f>
        <x:v>-22.667448</x:v>
      </x:c>
      <x:c r="P921">
        <x:f ca="1">IFERROR(IF(0=LEN(ReferenceData!$P$921),"",ReferenceData!$P$921),"")</x:f>
        <x:v>-34.962443</x:v>
      </x:c>
      <x:c r="Q921">
        <x:f ca="1">IFERROR(IF(0=LEN(ReferenceData!$Q$921),"",ReferenceData!$Q$921),"")</x:f>
        <x:v>-36.144553999999999</x:v>
      </x:c>
      <x:c r="R921">
        <x:f ca="1">IFERROR(IF(0=LEN(ReferenceData!$R$921),"",ReferenceData!$R$921),"")</x:f>
        <x:v>-9.3168279999999992</x:v>
      </x:c>
      <x:c r="S921">
        <x:f ca="1">IFERROR(IF(0=LEN(ReferenceData!$S$921),"",ReferenceData!$S$921),"")</x:f>
        <x:v>-17.062514</x:v>
      </x:c>
    </x:row>
    <x:row r="922" spans="1:19" x14ac:dyDescent="0.25">
      <x:c r="A922" t="str">
        <x:f>IFERROR(IF(0=LEN(ReferenceData!$A$922),"",ReferenceData!$A$922),"")</x:f>
        <x:v xml:space="preserve">            First Trust Indxx Global Agric</x:v>
      </x:c>
      <x:c r="B922" t="str">
        <x:f>IFERROR(IF(0=LEN(ReferenceData!$B$922),"",ReferenceData!$B$922),"")</x:f>
        <x:v>FTAG US Equity</x:v>
      </x:c>
      <x:c r="C922" t="str">
        <x:f>IFERROR(IF(0=LEN(ReferenceData!$C$922),"",ReferenceData!$C$922),"")</x:f>
        <x:v/>
      </x:c>
      <x:c r="D922" t="str">
        <x:f>IFERROR(IF(0=LEN(ReferenceData!$D$922),"",ReferenceData!$D$922),"")</x:f>
        <x:v/>
      </x:c>
      <x:c r="E922" t="str">
        <x:f>IFERROR(IF(0=LEN(ReferenceData!$E$922),"",ReferenceData!$E$922),"")</x:f>
        <x:v>Expression</x:v>
      </x:c>
      <x:c r="F922">
        <x:f ca="1">IFERROR(IF(0=LEN(ReferenceData!$F$922),"",ReferenceData!$F$922),"")</x:f>
        <x:v>1.223263</x:v>
      </x:c>
      <x:c r="G922">
        <x:f ca="1">IFERROR(IF(0=LEN(ReferenceData!$G$922),"",ReferenceData!$G$922),"")</x:f>
        <x:v>-1.2763709999999999</x:v>
      </x:c>
      <x:c r="H922">
        <x:f ca="1">IFERROR(IF(0=LEN(ReferenceData!$H$922),"",ReferenceData!$H$922),"")</x:f>
        <x:v>0</x:v>
      </x:c>
      <x:c r="I922">
        <x:f ca="1">IFERROR(IF(0=LEN(ReferenceData!$I$922),"",ReferenceData!$I$922),"")</x:f>
        <x:v>0</x:v>
      </x:c>
      <x:c r="J922">
        <x:f ca="1">IFERROR(IF(0=LEN(ReferenceData!$J$922),"",ReferenceData!$J$922),"")</x:f>
        <x:v>-1.3420000000000001</x:v>
      </x:c>
      <x:c r="K922">
        <x:f ca="1">IFERROR(IF(0=LEN(ReferenceData!$K$922),"",ReferenceData!$K$922),"")</x:f>
        <x:v>-2.7719999999999998</x:v>
      </x:c>
      <x:c r="L922">
        <x:f ca="1">IFERROR(IF(0=LEN(ReferenceData!$L$922),"",ReferenceData!$L$922),"")</x:f>
        <x:v>0</x:v>
      </x:c>
      <x:c r="M922">
        <x:f ca="1">IFERROR(IF(0=LEN(ReferenceData!$M$922),"",ReferenceData!$M$922),"")</x:f>
        <x:v>0</x:v>
      </x:c>
      <x:c r="N922">
        <x:f ca="1">IFERROR(IF(0=LEN(ReferenceData!$N$922),"",ReferenceData!$N$922),"")</x:f>
        <x:v>-2.8294999999999999</x:v>
      </x:c>
      <x:c r="O922">
        <x:f ca="1">IFERROR(IF(0=LEN(ReferenceData!$O$922),"",ReferenceData!$O$922),"")</x:f>
        <x:v>-3.01</x:v>
      </x:c>
      <x:c r="P922">
        <x:f ca="1">IFERROR(IF(0=LEN(ReferenceData!$P$922),"",ReferenceData!$P$922),"")</x:f>
        <x:v>0</x:v>
      </x:c>
      <x:c r="Q922">
        <x:f ca="1">IFERROR(IF(0=LEN(ReferenceData!$Q$922),"",ReferenceData!$Q$922),"")</x:f>
        <x:v>0</x:v>
      </x:c>
      <x:c r="R922">
        <x:f ca="1">IFERROR(IF(0=LEN(ReferenceData!$R$922),"",ReferenceData!$R$922),"")</x:f>
        <x:v>0</x:v>
      </x:c>
      <x:c r="S922">
        <x:f ca="1">IFERROR(IF(0=LEN(ReferenceData!$S$922),"",ReferenceData!$S$922),"")</x:f>
        <x:v>0</x:v>
      </x:c>
    </x:row>
    <x:row r="923" spans="1:19" x14ac:dyDescent="0.25">
      <x:c r="A923" t="str">
        <x:f>IFERROR(IF(0=LEN(ReferenceData!$A$923),"",ReferenceData!$A$923),"")</x:f>
        <x:v xml:space="preserve">            iShares Global Timber &amp; Forest</x:v>
      </x:c>
      <x:c r="B923" t="str">
        <x:f>IFERROR(IF(0=LEN(ReferenceData!$B$923),"",ReferenceData!$B$923),"")</x:f>
        <x:v>WOOD US Equity</x:v>
      </x:c>
      <x:c r="C923" t="str">
        <x:f>IFERROR(IF(0=LEN(ReferenceData!$C$923),"",ReferenceData!$C$923),"")</x:f>
        <x:v/>
      </x:c>
      <x:c r="D923" t="str">
        <x:f>IFERROR(IF(0=LEN(ReferenceData!$D$923),"",ReferenceData!$D$923),"")</x:f>
        <x:v/>
      </x:c>
      <x:c r="E923" t="str">
        <x:f>IFERROR(IF(0=LEN(ReferenceData!$E$923),"",ReferenceData!$E$923),"")</x:f>
        <x:v>Expression</x:v>
      </x:c>
      <x:c r="F923">
        <x:f ca="1">IFERROR(IF(0=LEN(ReferenceData!$F$923),"",ReferenceData!$F$923),"")</x:f>
        <x:v>-4.4218310000000001</x:v>
      </x:c>
      <x:c r="G923">
        <x:f ca="1">IFERROR(IF(0=LEN(ReferenceData!$G$923),"",ReferenceData!$G$923),"")</x:f>
        <x:v>0</x:v>
      </x:c>
      <x:c r="H923">
        <x:f ca="1">IFERROR(IF(0=LEN(ReferenceData!$H$923),"",ReferenceData!$H$923),"")</x:f>
        <x:v>-8.8344760000000004</x:v>
      </x:c>
      <x:c r="I923">
        <x:f ca="1">IFERROR(IF(0=LEN(ReferenceData!$I$923),"",ReferenceData!$I$923),"")</x:f>
        <x:v>0</x:v>
      </x:c>
      <x:c r="J923">
        <x:f ca="1">IFERROR(IF(0=LEN(ReferenceData!$J$923),"",ReferenceData!$J$923),"")</x:f>
        <x:v>0</x:v>
      </x:c>
      <x:c r="K923">
        <x:f ca="1">IFERROR(IF(0=LEN(ReferenceData!$K$923),"",ReferenceData!$K$923),"")</x:f>
        <x:v>-4.2819900000000004</x:v>
      </x:c>
      <x:c r="L923">
        <x:f ca="1">IFERROR(IF(0=LEN(ReferenceData!$L$923),"",ReferenceData!$L$923),"")</x:f>
        <x:v>4.3365600000000004</x:v>
      </x:c>
      <x:c r="M923">
        <x:f ca="1">IFERROR(IF(0=LEN(ReferenceData!$M$923),"",ReferenceData!$M$923),"")</x:f>
        <x:v>0</x:v>
      </x:c>
      <x:c r="N923">
        <x:f ca="1">IFERROR(IF(0=LEN(ReferenceData!$N$923),"",ReferenceData!$N$923),"")</x:f>
        <x:v>-4.5316320000000001</x:v>
      </x:c>
      <x:c r="O923">
        <x:f ca="1">IFERROR(IF(0=LEN(ReferenceData!$O$923),"",ReferenceData!$O$923),"")</x:f>
        <x:v>-4.5334560000000002</x:v>
      </x:c>
      <x:c r="P923">
        <x:f ca="1">IFERROR(IF(0=LEN(ReferenceData!$P$923),"",ReferenceData!$P$923),"")</x:f>
        <x:v>0</x:v>
      </x:c>
      <x:c r="Q923">
        <x:f ca="1">IFERROR(IF(0=LEN(ReferenceData!$Q$923),"",ReferenceData!$Q$923),"")</x:f>
        <x:v>-8.7742679999999993</x:v>
      </x:c>
      <x:c r="R923">
        <x:f ca="1">IFERROR(IF(0=LEN(ReferenceData!$R$923),"",ReferenceData!$R$923),"")</x:f>
        <x:v>-4.2486660000000001</x:v>
      </x:c>
      <x:c r="S923">
        <x:f ca="1">IFERROR(IF(0=LEN(ReferenceData!$S$923),"",ReferenceData!$S$923),"")</x:f>
        <x:v>-4.0739879999999999</x:v>
      </x:c>
    </x:row>
    <x:row r="924" spans="1:19" x14ac:dyDescent="0.25">
      <x:c r="A924" t="str">
        <x:f>IFERROR(IF(0=LEN(ReferenceData!$A$924),"",ReferenceData!$A$924),"")</x:f>
        <x:v xml:space="preserve">            Invesco MSCI Global Timber ETF</x:v>
      </x:c>
      <x:c r="B924" t="str">
        <x:f>IFERROR(IF(0=LEN(ReferenceData!$B$924),"",ReferenceData!$B$924),"")</x:f>
        <x:v>CUT US Equity</x:v>
      </x:c>
      <x:c r="C924" t="str">
        <x:f>IFERROR(IF(0=LEN(ReferenceData!$C$924),"",ReferenceData!$C$924),"")</x:f>
        <x:v/>
      </x:c>
      <x:c r="D924" t="str">
        <x:f>IFERROR(IF(0=LEN(ReferenceData!$D$924),"",ReferenceData!$D$924),"")</x:f>
        <x:v/>
      </x:c>
      <x:c r="E924" t="str">
        <x:f>IFERROR(IF(0=LEN(ReferenceData!$E$924),"",ReferenceData!$E$924),"")</x:f>
        <x:v>Expression</x:v>
      </x:c>
      <x:c r="F924">
        <x:f ca="1">IFERROR(IF(0=LEN(ReferenceData!$F$924),"",ReferenceData!$F$924),"")</x:f>
        <x:v>-3.0857610000000002</x:v>
      </x:c>
      <x:c r="G924">
        <x:f ca="1">IFERROR(IF(0=LEN(ReferenceData!$G$924),"",ReferenceData!$G$924),"")</x:f>
        <x:v>0</x:v>
      </x:c>
      <x:c r="H924">
        <x:f ca="1">IFERROR(IF(0=LEN(ReferenceData!$H$924),"",ReferenceData!$H$924),"")</x:f>
        <x:v>-1.5028300000000001</x:v>
      </x:c>
      <x:c r="I924">
        <x:f ca="1">IFERROR(IF(0=LEN(ReferenceData!$I$924),"",ReferenceData!$I$924),"")</x:f>
        <x:v>0</x:v>
      </x:c>
      <x:c r="J924">
        <x:f ca="1">IFERROR(IF(0=LEN(ReferenceData!$J$924),"",ReferenceData!$J$924),"")</x:f>
        <x:v>0</x:v>
      </x:c>
      <x:c r="K924">
        <x:f ca="1">IFERROR(IF(0=LEN(ReferenceData!$K$924),"",ReferenceData!$K$924),"")</x:f>
        <x:v>0</x:v>
      </x:c>
      <x:c r="L924">
        <x:f ca="1">IFERROR(IF(0=LEN(ReferenceData!$L$924),"",ReferenceData!$L$924),"")</x:f>
        <x:v>-4.474926</x:v>
      </x:c>
      <x:c r="M924">
        <x:f ca="1">IFERROR(IF(0=LEN(ReferenceData!$M$924),"",ReferenceData!$M$924),"")</x:f>
        <x:v>0</x:v>
      </x:c>
      <x:c r="N924">
        <x:f ca="1">IFERROR(IF(0=LEN(ReferenceData!$N$924),"",ReferenceData!$N$924),"")</x:f>
        <x:v>0</x:v>
      </x:c>
      <x:c r="O924">
        <x:f ca="1">IFERROR(IF(0=LEN(ReferenceData!$O$924),"",ReferenceData!$O$924),"")</x:f>
        <x:v>0</x:v>
      </x:c>
      <x:c r="P924">
        <x:f ca="1">IFERROR(IF(0=LEN(ReferenceData!$P$924),"",ReferenceData!$P$924),"")</x:f>
        <x:v>0</x:v>
      </x:c>
      <x:c r="Q924">
        <x:f ca="1">IFERROR(IF(0=LEN(ReferenceData!$Q$924),"",ReferenceData!$Q$924),"")</x:f>
        <x:v>0</x:v>
      </x:c>
      <x:c r="R924">
        <x:f ca="1">IFERROR(IF(0=LEN(ReferenceData!$R$924),"",ReferenceData!$R$924),"")</x:f>
        <x:v>-1.574808</x:v>
      </x:c>
      <x:c r="S924">
        <x:f ca="1">IFERROR(IF(0=LEN(ReferenceData!$S$924),"",ReferenceData!$S$924),"")</x:f>
        <x:v>-1.400169</x:v>
      </x:c>
    </x:row>
    <x:row r="925" spans="1:19" x14ac:dyDescent="0.25">
      <x:c r="A925" t="str">
        <x:f>IFERROR(IF(0=LEN(ReferenceData!$A$925),"",ReferenceData!$A$925),"")</x:f>
        <x:v xml:space="preserve">            Defiance Next Gen Food &amp; Agric</x:v>
      </x:c>
      <x:c r="B925" t="str">
        <x:f>IFERROR(IF(0=LEN(ReferenceData!$B$925),"",ReferenceData!$B$925),"")</x:f>
        <x:v>DIET US Equity</x:v>
      </x:c>
      <x:c r="C925" t="str">
        <x:f>IFERROR(IF(0=LEN(ReferenceData!$C$925),"",ReferenceData!$C$925),"")</x:f>
        <x:v/>
      </x:c>
      <x:c r="D925" t="str">
        <x:f>IFERROR(IF(0=LEN(ReferenceData!$D$925),"",ReferenceData!$D$925),"")</x:f>
        <x:v/>
      </x:c>
      <x:c r="E925" t="str">
        <x:f>IFERROR(IF(0=LEN(ReferenceData!$E$925),"",ReferenceData!$E$925),"")</x:f>
        <x:v>Expression</x:v>
      </x:c>
      <x:c r="F925" t="str">
        <x:f ca="1">IFERROR(IF(0=LEN(ReferenceData!$F$925),"",ReferenceData!$F$925),"")</x:f>
        <x:v/>
      </x:c>
      <x:c r="G925" t="str">
        <x:f ca="1">IFERROR(IF(0=LEN(ReferenceData!$G$925),"",ReferenceData!$G$925),"")</x:f>
        <x:v/>
      </x:c>
      <x:c r="H925" t="str">
        <x:f ca="1">IFERROR(IF(0=LEN(ReferenceData!$H$925),"",ReferenceData!$H$925),"")</x:f>
        <x:v/>
      </x:c>
      <x:c r="I925" t="str">
        <x:f ca="1">IFERROR(IF(0=LEN(ReferenceData!$I$925),"",ReferenceData!$I$925),"")</x:f>
        <x:v/>
      </x:c>
      <x:c r="J925" t="str">
        <x:f ca="1">IFERROR(IF(0=LEN(ReferenceData!$J$925),"",ReferenceData!$J$925),"")</x:f>
        <x:v/>
      </x:c>
      <x:c r="K925" t="str">
        <x:f ca="1">IFERROR(IF(0=LEN(ReferenceData!$K$925),"",ReferenceData!$K$925),"")</x:f>
        <x:v/>
      </x:c>
      <x:c r="L925" t="str">
        <x:f ca="1">IFERROR(IF(0=LEN(ReferenceData!$L$925),"",ReferenceData!$L$925),"")</x:f>
        <x:v/>
      </x:c>
      <x:c r="M925" t="str">
        <x:f ca="1">IFERROR(IF(0=LEN(ReferenceData!$M$925),"",ReferenceData!$M$925),"")</x:f>
        <x:v/>
      </x:c>
      <x:c r="N925" t="str">
        <x:f ca="1">IFERROR(IF(0=LEN(ReferenceData!$N$925),"",ReferenceData!$N$925),"")</x:f>
        <x:v/>
      </x:c>
      <x:c r="O925" t="str">
        <x:f ca="1">IFERROR(IF(0=LEN(ReferenceData!$O$925),"",ReferenceData!$O$925),"")</x:f>
        <x:v/>
      </x:c>
      <x:c r="P925" t="str">
        <x:f ca="1">IFERROR(IF(0=LEN(ReferenceData!$P$925),"",ReferenceData!$P$925),"")</x:f>
        <x:v/>
      </x:c>
      <x:c r="Q925" t="str">
        <x:f ca="1">IFERROR(IF(0=LEN(ReferenceData!$Q$925),"",ReferenceData!$Q$925),"")</x:f>
        <x:v/>
      </x:c>
      <x:c r="R925" t="str">
        <x:f ca="1">IFERROR(IF(0=LEN(ReferenceData!$R$925),"",ReferenceData!$R$925),"")</x:f>
        <x:v/>
      </x:c>
      <x:c r="S925" t="str">
        <x:f ca="1">IFERROR(IF(0=LEN(ReferenceData!$S$925),"",ReferenceData!$S$925),"")</x:f>
        <x:v/>
      </x:c>
    </x:row>
    <x:row r="926" spans="1:19" x14ac:dyDescent="0.25">
      <x:c r="A926" t="str">
        <x:f>IFERROR(IF(0=LEN(ReferenceData!$A$926),"",ReferenceData!$A$926),"")</x:f>
        <x:v xml:space="preserve">            Global X AgTech &amp; Food Innovat</x:v>
      </x:c>
      <x:c r="B926" t="str">
        <x:f>IFERROR(IF(0=LEN(ReferenceData!$B$926),"",ReferenceData!$B$926),"")</x:f>
        <x:v>KROP US Equity</x:v>
      </x:c>
      <x:c r="C926" t="str">
        <x:f>IFERROR(IF(0=LEN(ReferenceData!$C$926),"",ReferenceData!$C$926),"")</x:f>
        <x:v/>
      </x:c>
      <x:c r="D926" t="str">
        <x:f>IFERROR(IF(0=LEN(ReferenceData!$D$926),"",ReferenceData!$D$926),"")</x:f>
        <x:v/>
      </x:c>
      <x:c r="E926" t="str">
        <x:f>IFERROR(IF(0=LEN(ReferenceData!$E$926),"",ReferenceData!$E$926),"")</x:f>
        <x:v>Expression</x:v>
      </x:c>
      <x:c r="F926">
        <x:f ca="1">IFERROR(IF(0=LEN(ReferenceData!$F$926),"",ReferenceData!$F$926),"")</x:f>
        <x:v>0</x:v>
      </x:c>
      <x:c r="G926">
        <x:f ca="1">IFERROR(IF(0=LEN(ReferenceData!$G$926),"",ReferenceData!$G$926),"")</x:f>
        <x:v>0</x:v>
      </x:c>
      <x:c r="H926">
        <x:f ca="1">IFERROR(IF(0=LEN(ReferenceData!$H$926),"",ReferenceData!$H$926),"")</x:f>
        <x:v>0</x:v>
      </x:c>
      <x:c r="I926">
        <x:f ca="1">IFERROR(IF(0=LEN(ReferenceData!$I$926),"",ReferenceData!$I$926),"")</x:f>
        <x:v>0</x:v>
      </x:c>
      <x:c r="J926">
        <x:f ca="1">IFERROR(IF(0=LEN(ReferenceData!$J$926),"",ReferenceData!$J$926),"")</x:f>
        <x:v>0</x:v>
      </x:c>
      <x:c r="K926">
        <x:f ca="1">IFERROR(IF(0=LEN(ReferenceData!$K$926),"",ReferenceData!$K$926),"")</x:f>
        <x:v>-0.12470000000000001</x:v>
      </x:c>
      <x:c r="L926">
        <x:f ca="1">IFERROR(IF(0=LEN(ReferenceData!$L$926),"",ReferenceData!$L$926),"")</x:f>
        <x:v>0</x:v>
      </x:c>
      <x:c r="M926">
        <x:f ca="1">IFERROR(IF(0=LEN(ReferenceData!$M$926),"",ReferenceData!$M$926),"")</x:f>
        <x:v>0</x:v>
      </x:c>
      <x:c r="N926">
        <x:f ca="1">IFERROR(IF(0=LEN(ReferenceData!$N$926),"",ReferenceData!$N$926),"")</x:f>
        <x:v>0</x:v>
      </x:c>
      <x:c r="O926">
        <x:f ca="1">IFERROR(IF(0=LEN(ReferenceData!$O$926),"",ReferenceData!$O$926),"")</x:f>
        <x:v>0.30980000000000002</x:v>
      </x:c>
      <x:c r="P926">
        <x:f ca="1">IFERROR(IF(0=LEN(ReferenceData!$P$926),"",ReferenceData!$P$926),"")</x:f>
        <x:v>0</x:v>
      </x:c>
      <x:c r="Q926">
        <x:f ca="1">IFERROR(IF(0=LEN(ReferenceData!$Q$926),"",ReferenceData!$Q$926),"")</x:f>
        <x:v>0</x:v>
      </x:c>
      <x:c r="R926">
        <x:f ca="1">IFERROR(IF(0=LEN(ReferenceData!$R$926),"",ReferenceData!$R$926),"")</x:f>
        <x:v>0</x:v>
      </x:c>
      <x:c r="S926">
        <x:f ca="1">IFERROR(IF(0=LEN(ReferenceData!$S$926),"",ReferenceData!$S$926),"")</x:f>
        <x:v>0</x:v>
      </x:c>
    </x:row>
    <x:row r="927" spans="1:19" x14ac:dyDescent="0.25">
      <x:c r="A927" t="str">
        <x:f>IFERROR(IF(0=LEN(ReferenceData!$A$927),"",ReferenceData!$A$927),"")</x:f>
        <x:v xml:space="preserve">            VanEck Future of Food ETF</x:v>
      </x:c>
      <x:c r="B927" t="str">
        <x:f>IFERROR(IF(0=LEN(ReferenceData!$B$927),"",ReferenceData!$B$927),"")</x:f>
        <x:v>YUMY US Equity</x:v>
      </x:c>
      <x:c r="C927" t="str">
        <x:f>IFERROR(IF(0=LEN(ReferenceData!$C$927),"",ReferenceData!$C$927),"")</x:f>
        <x:v/>
      </x:c>
      <x:c r="D927" t="str">
        <x:f>IFERROR(IF(0=LEN(ReferenceData!$D$927),"",ReferenceData!$D$927),"")</x:f>
        <x:v/>
      </x:c>
      <x:c r="E927" t="str">
        <x:f>IFERROR(IF(0=LEN(ReferenceData!$E$927),"",ReferenceData!$E$927),"")</x:f>
        <x:v>Expression</x:v>
      </x:c>
      <x:c r="F927">
        <x:f ca="1">IFERROR(IF(0=LEN(ReferenceData!$F$927),"",ReferenceData!$F$927),"")</x:f>
        <x:v>0</x:v>
      </x:c>
      <x:c r="G927">
        <x:f ca="1">IFERROR(IF(0=LEN(ReferenceData!$G$927),"",ReferenceData!$G$927),"")</x:f>
        <x:v>0</x:v>
      </x:c>
      <x:c r="H927">
        <x:f ca="1">IFERROR(IF(0=LEN(ReferenceData!$H$927),"",ReferenceData!$H$927),"")</x:f>
        <x:v>0</x:v>
      </x:c>
      <x:c r="I927">
        <x:f ca="1">IFERROR(IF(0=LEN(ReferenceData!$I$927),"",ReferenceData!$I$927),"")</x:f>
        <x:v>0</x:v>
      </x:c>
      <x:c r="J927">
        <x:f ca="1">IFERROR(IF(0=LEN(ReferenceData!$J$927),"",ReferenceData!$J$927),"")</x:f>
        <x:v>0</x:v>
      </x:c>
      <x:c r="K927">
        <x:f ca="1">IFERROR(IF(0=LEN(ReferenceData!$K$927),"",ReferenceData!$K$927),"")</x:f>
        <x:v>0</x:v>
      </x:c>
      <x:c r="L927">
        <x:f ca="1">IFERROR(IF(0=LEN(ReferenceData!$L$927),"",ReferenceData!$L$927),"")</x:f>
        <x:v>0</x:v>
      </x:c>
      <x:c r="M927">
        <x:f ca="1">IFERROR(IF(0=LEN(ReferenceData!$M$927),"",ReferenceData!$M$927),"")</x:f>
        <x:v>0</x:v>
      </x:c>
      <x:c r="N927">
        <x:f ca="1">IFERROR(IF(0=LEN(ReferenceData!$N$927),"",ReferenceData!$N$927),"")</x:f>
        <x:v>0</x:v>
      </x:c>
      <x:c r="O927">
        <x:f ca="1">IFERROR(IF(0=LEN(ReferenceData!$O$927),"",ReferenceData!$O$927),"")</x:f>
        <x:v>0.95523199999999997</x:v>
      </x:c>
      <x:c r="P927">
        <x:f ca="1">IFERROR(IF(0=LEN(ReferenceData!$P$927),"",ReferenceData!$P$927),"")</x:f>
        <x:v>0</x:v>
      </x:c>
      <x:c r="Q927">
        <x:f ca="1">IFERROR(IF(0=LEN(ReferenceData!$Q$927),"",ReferenceData!$Q$927),"")</x:f>
        <x:v>0</x:v>
      </x:c>
      <x:c r="R927">
        <x:f ca="1">IFERROR(IF(0=LEN(ReferenceData!$R$927),"",ReferenceData!$R$927),"")</x:f>
        <x:v>0</x:v>
      </x:c>
      <x:c r="S927">
        <x:f ca="1">IFERROR(IF(0=LEN(ReferenceData!$S$927),"",ReferenceData!$S$927),"")</x:f>
        <x:v>0</x:v>
      </x:c>
    </x:row>
    <x:row r="928" spans="1:19" x14ac:dyDescent="0.25">
      <x:c r="A928" t="str">
        <x:f>IFERROR(IF(0=LEN(ReferenceData!$A$928),"",ReferenceData!$A$928),"")</x:f>
        <x:v xml:space="preserve">            VegTech Plant-Based Innovation</x:v>
      </x:c>
      <x:c r="B928" t="str">
        <x:f>IFERROR(IF(0=LEN(ReferenceData!$B$928),"",ReferenceData!$B$928),"")</x:f>
        <x:v>EATV US Equity</x:v>
      </x:c>
      <x:c r="C928" t="str">
        <x:f>IFERROR(IF(0=LEN(ReferenceData!$C$928),"",ReferenceData!$C$928),"")</x:f>
        <x:v/>
      </x:c>
      <x:c r="D928" t="str">
        <x:f>IFERROR(IF(0=LEN(ReferenceData!$D$928),"",ReferenceData!$D$928),"")</x:f>
        <x:v/>
      </x:c>
      <x:c r="E928" t="str">
        <x:f>IFERROR(IF(0=LEN(ReferenceData!$E$928),"",ReferenceData!$E$928),"")</x:f>
        <x:v>Expression</x:v>
      </x:c>
      <x:c r="F928">
        <x:f ca="1">IFERROR(IF(0=LEN(ReferenceData!$F$928),"",ReferenceData!$F$928),"")</x:f>
        <x:v>0</x:v>
      </x:c>
      <x:c r="G928">
        <x:f ca="1">IFERROR(IF(0=LEN(ReferenceData!$G$928),"",ReferenceData!$G$928),"")</x:f>
        <x:v>0</x:v>
      </x:c>
      <x:c r="H928">
        <x:f ca="1">IFERROR(IF(0=LEN(ReferenceData!$H$928),"",ReferenceData!$H$928),"")</x:f>
        <x:v>0</x:v>
      </x:c>
      <x:c r="I928">
        <x:f ca="1">IFERROR(IF(0=LEN(ReferenceData!$I$928),"",ReferenceData!$I$928),"")</x:f>
        <x:v>0.48620999999999998</x:v>
      </x:c>
      <x:c r="J928">
        <x:f ca="1">IFERROR(IF(0=LEN(ReferenceData!$J$928),"",ReferenceData!$J$928),"")</x:f>
        <x:v>0</x:v>
      </x:c>
      <x:c r="K928">
        <x:f ca="1">IFERROR(IF(0=LEN(ReferenceData!$K$928),"",ReferenceData!$K$928),"")</x:f>
        <x:v>0</x:v>
      </x:c>
      <x:c r="L928">
        <x:f ca="1">IFERROR(IF(0=LEN(ReferenceData!$L$928),"",ReferenceData!$L$928),"")</x:f>
        <x:v>0</x:v>
      </x:c>
      <x:c r="M928">
        <x:f ca="1">IFERROR(IF(0=LEN(ReferenceData!$M$928),"",ReferenceData!$M$928),"")</x:f>
        <x:v>0</x:v>
      </x:c>
      <x:c r="N928">
        <x:f ca="1">IFERROR(IF(0=LEN(ReferenceData!$N$928),"",ReferenceData!$N$928),"")</x:f>
        <x:v>0</x:v>
      </x:c>
      <x:c r="O928">
        <x:f ca="1">IFERROR(IF(0=LEN(ReferenceData!$O$928),"",ReferenceData!$O$928),"")</x:f>
        <x:v>0</x:v>
      </x:c>
      <x:c r="P928">
        <x:f ca="1">IFERROR(IF(0=LEN(ReferenceData!$P$928),"",ReferenceData!$P$928),"")</x:f>
        <x:v>0</x:v>
      </x:c>
      <x:c r="Q928">
        <x:f ca="1">IFERROR(IF(0=LEN(ReferenceData!$Q$928),"",ReferenceData!$Q$928),"")</x:f>
        <x:v>0</x:v>
      </x:c>
      <x:c r="R928">
        <x:f ca="1">IFERROR(IF(0=LEN(ReferenceData!$R$928),"",ReferenceData!$R$928),"")</x:f>
        <x:v>0</x:v>
      </x:c>
      <x:c r="S928">
        <x:f ca="1">IFERROR(IF(0=LEN(ReferenceData!$S$928),"",ReferenceData!$S$928),"")</x:f>
        <x:v>0</x:v>
      </x:c>
    </x:row>
    <x:row r="929" spans="1:19" x14ac:dyDescent="0.25">
      <x:c r="A929" t="str">
        <x:f>IFERROR(IF(0=LEN(ReferenceData!$A$929),"",ReferenceData!$A$929),"")</x:f>
        <x:v xml:space="preserve">            iShares Emergent Food And AgTe</x:v>
      </x:c>
      <x:c r="B929" t="str">
        <x:f>IFERROR(IF(0=LEN(ReferenceData!$B$929),"",ReferenceData!$B$929),"")</x:f>
        <x:v>IVEG US Equity</x:v>
      </x:c>
      <x:c r="C929" t="str">
        <x:f>IFERROR(IF(0=LEN(ReferenceData!$C$929),"",ReferenceData!$C$929),"")</x:f>
        <x:v/>
      </x:c>
      <x:c r="D929" t="str">
        <x:f>IFERROR(IF(0=LEN(ReferenceData!$D$929),"",ReferenceData!$D$929),"")</x:f>
        <x:v/>
      </x:c>
      <x:c r="E929" t="str">
        <x:f>IFERROR(IF(0=LEN(ReferenceData!$E$929),"",ReferenceData!$E$929),"")</x:f>
        <x:v>Expression</x:v>
      </x:c>
      <x:c r="F929">
        <x:f ca="1">IFERROR(IF(0=LEN(ReferenceData!$F$929),"",ReferenceData!$F$929),"")</x:f>
        <x:v>0</x:v>
      </x:c>
      <x:c r="G929">
        <x:f ca="1">IFERROR(IF(0=LEN(ReferenceData!$G$929),"",ReferenceData!$G$929),"")</x:f>
        <x:v>0</x:v>
      </x:c>
      <x:c r="H929">
        <x:f ca="1">IFERROR(IF(0=LEN(ReferenceData!$H$929),"",ReferenceData!$H$929),"")</x:f>
        <x:v>0</x:v>
      </x:c>
      <x:c r="I929">
        <x:f ca="1">IFERROR(IF(0=LEN(ReferenceData!$I$929),"",ReferenceData!$I$929),"")</x:f>
        <x:v>0</x:v>
      </x:c>
      <x:c r="J929">
        <x:f ca="1">IFERROR(IF(0=LEN(ReferenceData!$J$929),"",ReferenceData!$J$929),"")</x:f>
        <x:v>0</x:v>
      </x:c>
      <x:c r="K929">
        <x:f ca="1">IFERROR(IF(0=LEN(ReferenceData!$K$929),"",ReferenceData!$K$929),"")</x:f>
        <x:v>0</x:v>
      </x:c>
      <x:c r="L929">
        <x:f ca="1">IFERROR(IF(0=LEN(ReferenceData!$L$929),"",ReferenceData!$L$929),"")</x:f>
        <x:v>0</x:v>
      </x:c>
      <x:c r="M929">
        <x:f ca="1">IFERROR(IF(0=LEN(ReferenceData!$M$929),"",ReferenceData!$M$929),"")</x:f>
        <x:v>0</x:v>
      </x:c>
      <x:c r="N929">
        <x:f ca="1">IFERROR(IF(0=LEN(ReferenceData!$N$929),"",ReferenceData!$N$929),"")</x:f>
        <x:v>0</x:v>
      </x:c>
      <x:c r="O929">
        <x:f ca="1">IFERROR(IF(0=LEN(ReferenceData!$O$929),"",ReferenceData!$O$929),"")</x:f>
        <x:v>0</x:v>
      </x:c>
      <x:c r="P929">
        <x:f ca="1">IFERROR(IF(0=LEN(ReferenceData!$P$929),"",ReferenceData!$P$929),"")</x:f>
        <x:v>0</x:v>
      </x:c>
      <x:c r="Q929">
        <x:f ca="1">IFERROR(IF(0=LEN(ReferenceData!$Q$929),"",ReferenceData!$Q$929),"")</x:f>
        <x:v>0</x:v>
      </x:c>
      <x:c r="R929">
        <x:f ca="1">IFERROR(IF(0=LEN(ReferenceData!$R$929),"",ReferenceData!$R$929),"")</x:f>
        <x:v>1.0664450000000001</x:v>
      </x:c>
      <x:c r="S929">
        <x:f ca="1">IFERROR(IF(0=LEN(ReferenceData!$S$929),"",ReferenceData!$S$929),"")</x:f>
        <x:v>0</x:v>
      </x:c>
    </x:row>
    <x:row r="930" spans="1:19" x14ac:dyDescent="0.25">
      <x:c r="A930" t="str">
        <x:f>IFERROR(IF(0=LEN(ReferenceData!$A$930),"",ReferenceData!$A$930),"")</x:f>
        <x:v xml:space="preserve">        Blockchain &amp; Crypto</x:v>
      </x:c>
      <x:c r="B930" t="str">
        <x:f>IFERROR(IF(0=LEN(ReferenceData!$B$930),"",ReferenceData!$B$930),"")</x:f>
        <x:v/>
      </x:c>
      <x:c r="C930" t="str">
        <x:f>IFERROR(IF(0=LEN(ReferenceData!$C$930),"",ReferenceData!$C$930),"")</x:f>
        <x:v/>
      </x:c>
      <x:c r="D930" t="str">
        <x:f>IFERROR(IF(0=LEN(ReferenceData!$D$930),"",ReferenceData!$D$930),"")</x:f>
        <x:v/>
      </x:c>
      <x:c r="E930" t="str">
        <x:f>IFERROR(IF(0=LEN(ReferenceData!$E$930),"",ReferenceData!$E$930),"")</x:f>
        <x:v>Sum</x:v>
      </x:c>
      <x:c r="F930">
        <x:f ca="1">IFERROR(IF(0=LEN(ReferenceData!$F$930),"",ReferenceData!$F$930),"")</x:f>
        <x:v>10.486934999999999</x:v>
      </x:c>
      <x:c r="G930">
        <x:f ca="1">IFERROR(IF(0=LEN(ReferenceData!$G$930),"",ReferenceData!$G$930),"")</x:f>
        <x:v>-9.6948750000000015</x:v>
      </x:c>
      <x:c r="H930">
        <x:f ca="1">IFERROR(IF(0=LEN(ReferenceData!$H$930),"",ReferenceData!$H$930),"")</x:f>
        <x:v>-10.737014000000002</x:v>
      </x:c>
      <x:c r="I930">
        <x:f ca="1">IFERROR(IF(0=LEN(ReferenceData!$I$930),"",ReferenceData!$I$930),"")</x:f>
        <x:v>-26.594317999999998</x:v>
      </x:c>
      <x:c r="J930">
        <x:f ca="1">IFERROR(IF(0=LEN(ReferenceData!$J$930),"",ReferenceData!$J$930),"")</x:f>
        <x:v>34.439938999999995</x:v>
      </x:c>
      <x:c r="K930">
        <x:f ca="1">IFERROR(IF(0=LEN(ReferenceData!$K$930),"",ReferenceData!$K$930),"")</x:f>
        <x:v>-13.549736000000003</x:v>
      </x:c>
      <x:c r="L930">
        <x:f ca="1">IFERROR(IF(0=LEN(ReferenceData!$L$930),"",ReferenceData!$L$930),"")</x:f>
        <x:v>-10.548126</x:v>
      </x:c>
      <x:c r="M930">
        <x:f ca="1">IFERROR(IF(0=LEN(ReferenceData!$M$930),"",ReferenceData!$M$930),"")</x:f>
        <x:v>5.4465529999999998</x:v>
      </x:c>
      <x:c r="N930">
        <x:f ca="1">IFERROR(IF(0=LEN(ReferenceData!$N$930),"",ReferenceData!$N$930),"")</x:f>
        <x:v>4.3613080000000011</x:v>
      </x:c>
      <x:c r="O930">
        <x:f ca="1">IFERROR(IF(0=LEN(ReferenceData!$O$930),"",ReferenceData!$O$930),"")</x:f>
        <x:v>-8.3593679999999999</x:v>
      </x:c>
      <x:c r="P930">
        <x:f ca="1">IFERROR(IF(0=LEN(ReferenceData!$P$930),"",ReferenceData!$P$930),"")</x:f>
        <x:v>-7.6282830000000006</x:v>
      </x:c>
      <x:c r="Q930">
        <x:f ca="1">IFERROR(IF(0=LEN(ReferenceData!$Q$930),"",ReferenceData!$Q$930),"")</x:f>
        <x:v>-20.792469000000001</x:v>
      </x:c>
      <x:c r="R930">
        <x:f ca="1">IFERROR(IF(0=LEN(ReferenceData!$R$930),"",ReferenceData!$R$930),"")</x:f>
        <x:v>-47.242542</x:v>
      </x:c>
      <x:c r="S930">
        <x:f ca="1">IFERROR(IF(0=LEN(ReferenceData!$S$930),"",ReferenceData!$S$930),"")</x:f>
        <x:v>4.281174</x:v>
      </x:c>
    </x:row>
    <x:row r="931" spans="1:19" x14ac:dyDescent="0.25">
      <x:c r="A931" t="str">
        <x:f>IFERROR(IF(0=LEN(ReferenceData!$A$931),"",ReferenceData!$A$931),"")</x:f>
        <x:v xml:space="preserve">            Reality Shares Nasdaq Nexgen E</x:v>
      </x:c>
      <x:c r="B931" t="str">
        <x:f>IFERROR(IF(0=LEN(ReferenceData!$B$931),"",ReferenceData!$B$931),"")</x:f>
        <x:v>BCNA US Equity</x:v>
      </x:c>
      <x:c r="C931" t="str">
        <x:f>IFERROR(IF(0=LEN(ReferenceData!$C$931),"",ReferenceData!$C$931),"")</x:f>
        <x:v/>
      </x:c>
      <x:c r="D931" t="str">
        <x:f>IFERROR(IF(0=LEN(ReferenceData!$D$931),"",ReferenceData!$D$931),"")</x:f>
        <x:v/>
      </x:c>
      <x:c r="E931" t="str">
        <x:f>IFERROR(IF(0=LEN(ReferenceData!$E$931),"",ReferenceData!$E$931),"")</x:f>
        <x:v>Expression</x:v>
      </x:c>
      <x:c r="F931" t="str">
        <x:f ca="1">IFERROR(IF(0=LEN(ReferenceData!$F$931),"",ReferenceData!$F$931),"")</x:f>
        <x:v/>
      </x:c>
      <x:c r="G931" t="str">
        <x:f ca="1">IFERROR(IF(0=LEN(ReferenceData!$G$931),"",ReferenceData!$G$931),"")</x:f>
        <x:v/>
      </x:c>
      <x:c r="H931" t="str">
        <x:f ca="1">IFERROR(IF(0=LEN(ReferenceData!$H$931),"",ReferenceData!$H$931),"")</x:f>
        <x:v/>
      </x:c>
      <x:c r="I931" t="str">
        <x:f ca="1">IFERROR(IF(0=LEN(ReferenceData!$I$931),"",ReferenceData!$I$931),"")</x:f>
        <x:v/>
      </x:c>
      <x:c r="J931" t="str">
        <x:f ca="1">IFERROR(IF(0=LEN(ReferenceData!$J$931),"",ReferenceData!$J$931),"")</x:f>
        <x:v/>
      </x:c>
      <x:c r="K931" t="str">
        <x:f ca="1">IFERROR(IF(0=LEN(ReferenceData!$K$931),"",ReferenceData!$K$931),"")</x:f>
        <x:v/>
      </x:c>
      <x:c r="L931" t="str">
        <x:f ca="1">IFERROR(IF(0=LEN(ReferenceData!$L$931),"",ReferenceData!$L$931),"")</x:f>
        <x:v/>
      </x:c>
      <x:c r="M931" t="str">
        <x:f ca="1">IFERROR(IF(0=LEN(ReferenceData!$M$931),"",ReferenceData!$M$931),"")</x:f>
        <x:v/>
      </x:c>
      <x:c r="N931" t="str">
        <x:f ca="1">IFERROR(IF(0=LEN(ReferenceData!$N$931),"",ReferenceData!$N$931),"")</x:f>
        <x:v/>
      </x:c>
      <x:c r="O931" t="str">
        <x:f ca="1">IFERROR(IF(0=LEN(ReferenceData!$O$931),"",ReferenceData!$O$931),"")</x:f>
        <x:v/>
      </x:c>
      <x:c r="P931" t="str">
        <x:f ca="1">IFERROR(IF(0=LEN(ReferenceData!$P$931),"",ReferenceData!$P$931),"")</x:f>
        <x:v/>
      </x:c>
      <x:c r="Q931" t="str">
        <x:f ca="1">IFERROR(IF(0=LEN(ReferenceData!$Q$931),"",ReferenceData!$Q$931),"")</x:f>
        <x:v/>
      </x:c>
      <x:c r="R931" t="str">
        <x:f ca="1">IFERROR(IF(0=LEN(ReferenceData!$R$931),"",ReferenceData!$R$931),"")</x:f>
        <x:v/>
      </x:c>
      <x:c r="S931" t="str">
        <x:f ca="1">IFERROR(IF(0=LEN(ReferenceData!$S$931),"",ReferenceData!$S$931),"")</x:f>
        <x:v/>
      </x:c>
    </x:row>
    <x:row r="932" spans="1:19" x14ac:dyDescent="0.25">
      <x:c r="A932" t="str">
        <x:f>IFERROR(IF(0=LEN(ReferenceData!$A$932),"",ReferenceData!$A$932),"")</x:f>
        <x:v xml:space="preserve">            Capital Link Global Fintech Le</x:v>
      </x:c>
      <x:c r="B932" t="str">
        <x:f>IFERROR(IF(0=LEN(ReferenceData!$B$932),"",ReferenceData!$B$932),"")</x:f>
        <x:v>KOIN US Equity</x:v>
      </x:c>
      <x:c r="C932" t="str">
        <x:f>IFERROR(IF(0=LEN(ReferenceData!$C$932),"",ReferenceData!$C$932),"")</x:f>
        <x:v/>
      </x:c>
      <x:c r="D932" t="str">
        <x:f>IFERROR(IF(0=LEN(ReferenceData!$D$932),"",ReferenceData!$D$932),"")</x:f>
        <x:v/>
      </x:c>
      <x:c r="E932" t="str">
        <x:f>IFERROR(IF(0=LEN(ReferenceData!$E$932),"",ReferenceData!$E$932),"")</x:f>
        <x:v>Expression</x:v>
      </x:c>
      <x:c r="F932">
        <x:f ca="1">IFERROR(IF(0=LEN(ReferenceData!$F$932),"",ReferenceData!$F$932),"")</x:f>
        <x:v>0</x:v>
      </x:c>
      <x:c r="G932">
        <x:f ca="1">IFERROR(IF(0=LEN(ReferenceData!$G$932),"",ReferenceData!$G$932),"")</x:f>
        <x:v>0</x:v>
      </x:c>
      <x:c r="H932">
        <x:f ca="1">IFERROR(IF(0=LEN(ReferenceData!$H$932),"",ReferenceData!$H$932),"")</x:f>
        <x:v>-0.74646100000000004</x:v>
      </x:c>
      <x:c r="I932">
        <x:f ca="1">IFERROR(IF(0=LEN(ReferenceData!$I$932),"",ReferenceData!$I$932),"")</x:f>
        <x:v>-0.75958000000000003</x:v>
      </x:c>
      <x:c r="J932">
        <x:f ca="1">IFERROR(IF(0=LEN(ReferenceData!$J$932),"",ReferenceData!$J$932),"")</x:f>
        <x:v>0</x:v>
      </x:c>
      <x:c r="K932">
        <x:f ca="1">IFERROR(IF(0=LEN(ReferenceData!$K$932),"",ReferenceData!$K$932),"")</x:f>
        <x:v>0</x:v>
      </x:c>
      <x:c r="L932">
        <x:f ca="1">IFERROR(IF(0=LEN(ReferenceData!$L$932),"",ReferenceData!$L$932),"")</x:f>
        <x:v>0</x:v>
      </x:c>
      <x:c r="M932">
        <x:f ca="1">IFERROR(IF(0=LEN(ReferenceData!$M$932),"",ReferenceData!$M$932),"")</x:f>
        <x:v>-0.70994800000000002</x:v>
      </x:c>
      <x:c r="N932">
        <x:f ca="1">IFERROR(IF(0=LEN(ReferenceData!$N$932),"",ReferenceData!$N$932),"")</x:f>
        <x:v>0</x:v>
      </x:c>
      <x:c r="O932">
        <x:f ca="1">IFERROR(IF(0=LEN(ReferenceData!$O$932),"",ReferenceData!$O$932),"")</x:f>
        <x:v>-0.73841800000000002</x:v>
      </x:c>
      <x:c r="P932">
        <x:f ca="1">IFERROR(IF(0=LEN(ReferenceData!$P$932),"",ReferenceData!$P$932),"")</x:f>
        <x:v>0</x:v>
      </x:c>
      <x:c r="Q932">
        <x:f ca="1">IFERROR(IF(0=LEN(ReferenceData!$Q$932),"",ReferenceData!$Q$932),"")</x:f>
        <x:v>0</x:v>
      </x:c>
      <x:c r="R932">
        <x:f ca="1">IFERROR(IF(0=LEN(ReferenceData!$R$932),"",ReferenceData!$R$932),"")</x:f>
        <x:v>-0.78844999999999998</x:v>
      </x:c>
      <x:c r="S932">
        <x:f ca="1">IFERROR(IF(0=LEN(ReferenceData!$S$932),"",ReferenceData!$S$932),"")</x:f>
        <x:v>0</x:v>
      </x:c>
    </x:row>
    <x:row r="933" spans="1:19" x14ac:dyDescent="0.25">
      <x:c r="A933" t="str">
        <x:f>IFERROR(IF(0=LEN(ReferenceData!$A$933),"",ReferenceData!$A$933),"")</x:f>
        <x:v xml:space="preserve">            First Trust Indxx Innovative T</x:v>
      </x:c>
      <x:c r="B933" t="str">
        <x:f>IFERROR(IF(0=LEN(ReferenceData!$B$933),"",ReferenceData!$B$933),"")</x:f>
        <x:v>LEGR US Equity</x:v>
      </x:c>
      <x:c r="C933" t="str">
        <x:f>IFERROR(IF(0=LEN(ReferenceData!$C$933),"",ReferenceData!$C$933),"")</x:f>
        <x:v/>
      </x:c>
      <x:c r="D933" t="str">
        <x:f>IFERROR(IF(0=LEN(ReferenceData!$D$933),"",ReferenceData!$D$933),"")</x:f>
        <x:v/>
      </x:c>
      <x:c r="E933" t="str">
        <x:f>IFERROR(IF(0=LEN(ReferenceData!$E$933),"",ReferenceData!$E$933),"")</x:f>
        <x:v>Expression</x:v>
      </x:c>
      <x:c r="F933">
        <x:f ca="1">IFERROR(IF(0=LEN(ReferenceData!$F$933),"",ReferenceData!$F$933),"")</x:f>
        <x:v>0</x:v>
      </x:c>
      <x:c r="G933">
        <x:f ca="1">IFERROR(IF(0=LEN(ReferenceData!$G$933),"",ReferenceData!$G$933),"")</x:f>
        <x:v>0</x:v>
      </x:c>
      <x:c r="H933">
        <x:f ca="1">IFERROR(IF(0=LEN(ReferenceData!$H$933),"",ReferenceData!$H$933),"")</x:f>
        <x:v>-9.6199999999999992</x:v>
      </x:c>
      <x:c r="I933">
        <x:f ca="1">IFERROR(IF(0=LEN(ReferenceData!$I$933),"",ReferenceData!$I$933),"")</x:f>
        <x:v>0</x:v>
      </x:c>
      <x:c r="J933">
        <x:f ca="1">IFERROR(IF(0=LEN(ReferenceData!$J$933),"",ReferenceData!$J$933),"")</x:f>
        <x:v>0</x:v>
      </x:c>
      <x:c r="K933">
        <x:f ca="1">IFERROR(IF(0=LEN(ReferenceData!$K$933),"",ReferenceData!$K$933),"")</x:f>
        <x:v>-11.70429</x:v>
      </x:c>
      <x:c r="L933">
        <x:f ca="1">IFERROR(IF(0=LEN(ReferenceData!$L$933),"",ReferenceData!$L$933),"")</x:f>
        <x:v>-8.293E-3</x:v>
      </x:c>
      <x:c r="M933">
        <x:f ca="1">IFERROR(IF(0=LEN(ReferenceData!$M$933),"",ReferenceData!$M$933),"")</x:f>
        <x:v>-1.8817120000000001</x:v>
      </x:c>
      <x:c r="N933">
        <x:f ca="1">IFERROR(IF(0=LEN(ReferenceData!$N$933),"",ReferenceData!$N$933),"")</x:f>
        <x:v>5.1274160000000002</x:v>
      </x:c>
      <x:c r="O933">
        <x:f ca="1">IFERROR(IF(0=LEN(ReferenceData!$O$933),"",ReferenceData!$O$933),"")</x:f>
        <x:v>-1.8883559999999999</x:v>
      </x:c>
      <x:c r="P933">
        <x:f ca="1">IFERROR(IF(0=LEN(ReferenceData!$P$933),"",ReferenceData!$P$933),"")</x:f>
        <x:v>-3.7438500000000001</x:v>
      </x:c>
      <x:c r="Q933">
        <x:f ca="1">IFERROR(IF(0=LEN(ReferenceData!$Q$933),"",ReferenceData!$Q$933),"")</x:f>
        <x:v>-5.1926550000000002</x:v>
      </x:c>
      <x:c r="R933">
        <x:f ca="1">IFERROR(IF(0=LEN(ReferenceData!$R$933),"",ReferenceData!$R$933),"")</x:f>
        <x:v>0</x:v>
      </x:c>
      <x:c r="S933">
        <x:f ca="1">IFERROR(IF(0=LEN(ReferenceData!$S$933),"",ReferenceData!$S$933),"")</x:f>
        <x:v>-7.025E-3</x:v>
      </x:c>
    </x:row>
    <x:row r="934" spans="1:19" x14ac:dyDescent="0.25">
      <x:c r="A934" t="str">
        <x:f>IFERROR(IF(0=LEN(ReferenceData!$A$934),"",ReferenceData!$A$934),"")</x:f>
        <x:v xml:space="preserve">            Siren Nasdaq NexGen Economy ET</x:v>
      </x:c>
      <x:c r="B934" t="str">
        <x:f>IFERROR(IF(0=LEN(ReferenceData!$B$934),"",ReferenceData!$B$934),"")</x:f>
        <x:v>BLCN US Equity</x:v>
      </x:c>
      <x:c r="C934" t="str">
        <x:f>IFERROR(IF(0=LEN(ReferenceData!$C$934),"",ReferenceData!$C$934),"")</x:f>
        <x:v/>
      </x:c>
      <x:c r="D934" t="str">
        <x:f>IFERROR(IF(0=LEN(ReferenceData!$D$934),"",ReferenceData!$D$934),"")</x:f>
        <x:v/>
      </x:c>
      <x:c r="E934" t="str">
        <x:f>IFERROR(IF(0=LEN(ReferenceData!$E$934),"",ReferenceData!$E$934),"")</x:f>
        <x:v>Expression</x:v>
      </x:c>
      <x:c r="F934">
        <x:f ca="1">IFERROR(IF(0=LEN(ReferenceData!$F$934),"",ReferenceData!$F$934),"")</x:f>
        <x:v>0</x:v>
      </x:c>
      <x:c r="G934">
        <x:f ca="1">IFERROR(IF(0=LEN(ReferenceData!$G$934),"",ReferenceData!$G$934),"")</x:f>
        <x:v>0</x:v>
      </x:c>
      <x:c r="H934">
        <x:f ca="1">IFERROR(IF(0=LEN(ReferenceData!$H$934),"",ReferenceData!$H$934),"")</x:f>
        <x:v>-1.9118299999999999</x:v>
      </x:c>
      <x:c r="I934">
        <x:f ca="1">IFERROR(IF(0=LEN(ReferenceData!$I$934),"",ReferenceData!$I$934),"")</x:f>
        <x:v>-2.0291999999999999</x:v>
      </x:c>
      <x:c r="J934">
        <x:f ca="1">IFERROR(IF(0=LEN(ReferenceData!$J$934),"",ReferenceData!$J$934),"")</x:f>
        <x:v>0</x:v>
      </x:c>
      <x:c r="K934">
        <x:f ca="1">IFERROR(IF(0=LEN(ReferenceData!$K$934),"",ReferenceData!$K$934),"")</x:f>
        <x:v>-2.1744300000000001</x:v>
      </x:c>
      <x:c r="L934">
        <x:f ca="1">IFERROR(IF(0=LEN(ReferenceData!$L$934),"",ReferenceData!$L$934),"")</x:f>
        <x:v>-4.7147600000000001</x:v>
      </x:c>
      <x:c r="M934">
        <x:f ca="1">IFERROR(IF(0=LEN(ReferenceData!$M$934),"",ReferenceData!$M$934),"")</x:f>
        <x:v>0</x:v>
      </x:c>
      <x:c r="N934">
        <x:f ca="1">IFERROR(IF(0=LEN(ReferenceData!$N$934),"",ReferenceData!$N$934),"")</x:f>
        <x:v>0</x:v>
      </x:c>
      <x:c r="O934">
        <x:f ca="1">IFERROR(IF(0=LEN(ReferenceData!$O$934),"",ReferenceData!$O$934),"")</x:f>
        <x:v>-5.7449500000000002</x:v>
      </x:c>
      <x:c r="P934">
        <x:f ca="1">IFERROR(IF(0=LEN(ReferenceData!$P$934),"",ReferenceData!$P$934),"")</x:f>
        <x:v>-5.4325400000000004</x:v>
      </x:c>
      <x:c r="Q934">
        <x:f ca="1">IFERROR(IF(0=LEN(ReferenceData!$Q$934),"",ReferenceData!$Q$934),"")</x:f>
        <x:v>0</x:v>
      </x:c>
      <x:c r="R934">
        <x:f ca="1">IFERROR(IF(0=LEN(ReferenceData!$R$934),"",ReferenceData!$R$934),"")</x:f>
        <x:v>-10.255455</x:v>
      </x:c>
      <x:c r="S934">
        <x:f ca="1">IFERROR(IF(0=LEN(ReferenceData!$S$934),"",ReferenceData!$S$934),"")</x:f>
        <x:v>-0.99918700000000005</x:v>
      </x:c>
    </x:row>
    <x:row r="935" spans="1:19" x14ac:dyDescent="0.25">
      <x:c r="A935" t="str">
        <x:f>IFERROR(IF(0=LEN(ReferenceData!$A$935),"",ReferenceData!$A$935),"")</x:f>
        <x:v xml:space="preserve">            REX BKCM ETF</x:v>
      </x:c>
      <x:c r="B935" t="str">
        <x:f>IFERROR(IF(0=LEN(ReferenceData!$B$935),"",ReferenceData!$B$935),"")</x:f>
        <x:v>BKC US Equity</x:v>
      </x:c>
      <x:c r="C935" t="str">
        <x:f>IFERROR(IF(0=LEN(ReferenceData!$C$935),"",ReferenceData!$C$935),"")</x:f>
        <x:v/>
      </x:c>
      <x:c r="D935" t="str">
        <x:f>IFERROR(IF(0=LEN(ReferenceData!$D$935),"",ReferenceData!$D$935),"")</x:f>
        <x:v/>
      </x:c>
      <x:c r="E935" t="str">
        <x:f>IFERROR(IF(0=LEN(ReferenceData!$E$935),"",ReferenceData!$E$935),"")</x:f>
        <x:v>Expression</x:v>
      </x:c>
      <x:c r="F935" t="str">
        <x:f ca="1">IFERROR(IF(0=LEN(ReferenceData!$F$935),"",ReferenceData!$F$935),"")</x:f>
        <x:v/>
      </x:c>
      <x:c r="G935" t="str">
        <x:f ca="1">IFERROR(IF(0=LEN(ReferenceData!$G$935),"",ReferenceData!$G$935),"")</x:f>
        <x:v/>
      </x:c>
      <x:c r="H935" t="str">
        <x:f ca="1">IFERROR(IF(0=LEN(ReferenceData!$H$935),"",ReferenceData!$H$935),"")</x:f>
        <x:v/>
      </x:c>
      <x:c r="I935" t="str">
        <x:f ca="1">IFERROR(IF(0=LEN(ReferenceData!$I$935),"",ReferenceData!$I$935),"")</x:f>
        <x:v/>
      </x:c>
      <x:c r="J935" t="str">
        <x:f ca="1">IFERROR(IF(0=LEN(ReferenceData!$J$935),"",ReferenceData!$J$935),"")</x:f>
        <x:v/>
      </x:c>
      <x:c r="K935" t="str">
        <x:f ca="1">IFERROR(IF(0=LEN(ReferenceData!$K$935),"",ReferenceData!$K$935),"")</x:f>
        <x:v/>
      </x:c>
      <x:c r="L935" t="str">
        <x:f ca="1">IFERROR(IF(0=LEN(ReferenceData!$L$935),"",ReferenceData!$L$935),"")</x:f>
        <x:v/>
      </x:c>
      <x:c r="M935" t="str">
        <x:f ca="1">IFERROR(IF(0=LEN(ReferenceData!$M$935),"",ReferenceData!$M$935),"")</x:f>
        <x:v/>
      </x:c>
      <x:c r="N935" t="str">
        <x:f ca="1">IFERROR(IF(0=LEN(ReferenceData!$N$935),"",ReferenceData!$N$935),"")</x:f>
        <x:v/>
      </x:c>
      <x:c r="O935" t="str">
        <x:f ca="1">IFERROR(IF(0=LEN(ReferenceData!$O$935),"",ReferenceData!$O$935),"")</x:f>
        <x:v/>
      </x:c>
      <x:c r="P935" t="str">
        <x:f ca="1">IFERROR(IF(0=LEN(ReferenceData!$P$935),"",ReferenceData!$P$935),"")</x:f>
        <x:v/>
      </x:c>
      <x:c r="Q935" t="str">
        <x:f ca="1">IFERROR(IF(0=LEN(ReferenceData!$Q$935),"",ReferenceData!$Q$935),"")</x:f>
        <x:v/>
      </x:c>
      <x:c r="R935" t="str">
        <x:f ca="1">IFERROR(IF(0=LEN(ReferenceData!$R$935),"",ReferenceData!$R$935),"")</x:f>
        <x:v/>
      </x:c>
      <x:c r="S935" t="str">
        <x:f ca="1">IFERROR(IF(0=LEN(ReferenceData!$S$935),"",ReferenceData!$S$935),"")</x:f>
        <x:v/>
      </x:c>
    </x:row>
    <x:row r="936" spans="1:19" x14ac:dyDescent="0.25">
      <x:c r="A936" t="str">
        <x:f>IFERROR(IF(0=LEN(ReferenceData!$A$936),"",ReferenceData!$A$936),"")</x:f>
        <x:v xml:space="preserve">            Global X Blockchain ETF</x:v>
      </x:c>
      <x:c r="B936" t="str">
        <x:f>IFERROR(IF(0=LEN(ReferenceData!$B$936),"",ReferenceData!$B$936),"")</x:f>
        <x:v>BKCH US Equity</x:v>
      </x:c>
      <x:c r="C936" t="str">
        <x:f>IFERROR(IF(0=LEN(ReferenceData!$C$936),"",ReferenceData!$C$936),"")</x:f>
        <x:v/>
      </x:c>
      <x:c r="D936" t="str">
        <x:f>IFERROR(IF(0=LEN(ReferenceData!$D$936),"",ReferenceData!$D$936),"")</x:f>
        <x:v/>
      </x:c>
      <x:c r="E936" t="str">
        <x:f>IFERROR(IF(0=LEN(ReferenceData!$E$936),"",ReferenceData!$E$936),"")</x:f>
        <x:v>Expression</x:v>
      </x:c>
      <x:c r="F936">
        <x:f ca="1">IFERROR(IF(0=LEN(ReferenceData!$F$936),"",ReferenceData!$F$936),"")</x:f>
        <x:v>1.5354000000000001</x:v>
      </x:c>
      <x:c r="G936">
        <x:f ca="1">IFERROR(IF(0=LEN(ReferenceData!$G$936),"",ReferenceData!$G$936),"")</x:f>
        <x:v>2.4979</x:v>
      </x:c>
      <x:c r="H936">
        <x:f ca="1">IFERROR(IF(0=LEN(ReferenceData!$H$936),"",ReferenceData!$H$936),"")</x:f>
        <x:v>-2.9739</x:v>
      </x:c>
      <x:c r="I936">
        <x:f ca="1">IFERROR(IF(0=LEN(ReferenceData!$I$936),"",ReferenceData!$I$936),"")</x:f>
        <x:v>-3.823</x:v>
      </x:c>
      <x:c r="J936">
        <x:f ca="1">IFERROR(IF(0=LEN(ReferenceData!$J$936),"",ReferenceData!$J$936),"")</x:f>
        <x:v>3.286</x:v>
      </x:c>
      <x:c r="K936">
        <x:f ca="1">IFERROR(IF(0=LEN(ReferenceData!$K$936),"",ReferenceData!$K$936),"")</x:f>
        <x:v>0.30649999999999999</x:v>
      </x:c>
      <x:c r="L936">
        <x:f ca="1">IFERROR(IF(0=LEN(ReferenceData!$L$936),"",ReferenceData!$L$936),"")</x:f>
        <x:v>-1.35</x:v>
      </x:c>
      <x:c r="M936">
        <x:f ca="1">IFERROR(IF(0=LEN(ReferenceData!$M$936),"",ReferenceData!$M$936),"")</x:f>
        <x:v>1.6276999999999999</x:v>
      </x:c>
      <x:c r="N936">
        <x:f ca="1">IFERROR(IF(0=LEN(ReferenceData!$N$936),"",ReferenceData!$N$936),"")</x:f>
        <x:v>-2.5219999999999998</x:v>
      </x:c>
      <x:c r="O936">
        <x:f ca="1">IFERROR(IF(0=LEN(ReferenceData!$O$936),"",ReferenceData!$O$936),"")</x:f>
        <x:v>-0.97899999999999998</x:v>
      </x:c>
      <x:c r="P936">
        <x:f ca="1">IFERROR(IF(0=LEN(ReferenceData!$P$936),"",ReferenceData!$P$936),"")</x:f>
        <x:v>1.848096</x:v>
      </x:c>
      <x:c r="Q936">
        <x:f ca="1">IFERROR(IF(0=LEN(ReferenceData!$Q$936),"",ReferenceData!$Q$936),"")</x:f>
        <x:v>0.1071</x:v>
      </x:c>
      <x:c r="R936">
        <x:f ca="1">IFERROR(IF(0=LEN(ReferenceData!$R$936),"",ReferenceData!$R$936),"")</x:f>
        <x:v>0</x:v>
      </x:c>
      <x:c r="S936">
        <x:f ca="1">IFERROR(IF(0=LEN(ReferenceData!$S$936),"",ReferenceData!$S$936),"")</x:f>
        <x:v>1.0128999999999999</x:v>
      </x:c>
    </x:row>
    <x:row r="937" spans="1:19" x14ac:dyDescent="0.25">
      <x:c r="A937" t="str">
        <x:f>IFERROR(IF(0=LEN(ReferenceData!$A$937),"",ReferenceData!$A$937),"")</x:f>
        <x:v xml:space="preserve">            Bitwise Crypto Industry Innova</x:v>
      </x:c>
      <x:c r="B937" t="str">
        <x:f>IFERROR(IF(0=LEN(ReferenceData!$B$937),"",ReferenceData!$B$937),"")</x:f>
        <x:v>BITQ US Equity</x:v>
      </x:c>
      <x:c r="C937" t="str">
        <x:f>IFERROR(IF(0=LEN(ReferenceData!$C$937),"",ReferenceData!$C$937),"")</x:f>
        <x:v/>
      </x:c>
      <x:c r="D937" t="str">
        <x:f>IFERROR(IF(0=LEN(ReferenceData!$D$937),"",ReferenceData!$D$937),"")</x:f>
        <x:v/>
      </x:c>
      <x:c r="E937" t="str">
        <x:f>IFERROR(IF(0=LEN(ReferenceData!$E$937),"",ReferenceData!$E$937),"")</x:f>
        <x:v>Expression</x:v>
      </x:c>
      <x:c r="F937">
        <x:f ca="1">IFERROR(IF(0=LEN(ReferenceData!$F$937),"",ReferenceData!$F$937),"")</x:f>
        <x:v>4.3267499999999997</x:v>
      </x:c>
      <x:c r="G937">
        <x:f ca="1">IFERROR(IF(0=LEN(ReferenceData!$G$937),"",ReferenceData!$G$937),"")</x:f>
        <x:v>0.34425</x:v>
      </x:c>
      <x:c r="H937">
        <x:f ca="1">IFERROR(IF(0=LEN(ReferenceData!$H$937),"",ReferenceData!$H$937),"")</x:f>
        <x:v>0.82125000000000004</x:v>
      </x:c>
      <x:c r="I937">
        <x:f ca="1">IFERROR(IF(0=LEN(ReferenceData!$I$937),"",ReferenceData!$I$937),"")</x:f>
        <x:v>-1.4259999999999999</x:v>
      </x:c>
      <x:c r="J937">
        <x:f ca="1">IFERROR(IF(0=LEN(ReferenceData!$J$937),"",ReferenceData!$J$937),"")</x:f>
        <x:v>4.0970000000000004</x:v>
      </x:c>
      <x:c r="K937">
        <x:f ca="1">IFERROR(IF(0=LEN(ReferenceData!$K$937),"",ReferenceData!$K$937),"")</x:f>
        <x:v>0.188</x:v>
      </x:c>
      <x:c r="L937">
        <x:f ca="1">IFERROR(IF(0=LEN(ReferenceData!$L$937),"",ReferenceData!$L$937),"")</x:f>
        <x:v>0.76500000000000001</x:v>
      </x:c>
      <x:c r="M937">
        <x:f ca="1">IFERROR(IF(0=LEN(ReferenceData!$M$937),"",ReferenceData!$M$937),"")</x:f>
        <x:v>1.1067499999999999</x:v>
      </x:c>
      <x:c r="N937">
        <x:f ca="1">IFERROR(IF(0=LEN(ReferenceData!$N$937),"",ReferenceData!$N$937),"")</x:f>
        <x:v>0.53349999999999997</x:v>
      </x:c>
      <x:c r="O937">
        <x:f ca="1">IFERROR(IF(0=LEN(ReferenceData!$O$937),"",ReferenceData!$O$937),"")</x:f>
        <x:v>2.2862499999999999</x:v>
      </x:c>
      <x:c r="P937">
        <x:f ca="1">IFERROR(IF(0=LEN(ReferenceData!$P$937),"",ReferenceData!$P$937),"")</x:f>
        <x:v>0.19700000000000001</x:v>
      </x:c>
      <x:c r="Q937">
        <x:f ca="1">IFERROR(IF(0=LEN(ReferenceData!$Q$937),"",ReferenceData!$Q$937),"")</x:f>
        <x:v>-1.9410000000000001</x:v>
      </x:c>
      <x:c r="R937">
        <x:f ca="1">IFERROR(IF(0=LEN(ReferenceData!$R$937),"",ReferenceData!$R$937),"")</x:f>
        <x:v>-0.85799999999999998</x:v>
      </x:c>
      <x:c r="S937">
        <x:f ca="1">IFERROR(IF(0=LEN(ReferenceData!$S$937),"",ReferenceData!$S$937),"")</x:f>
        <x:v>4.226</x:v>
      </x:c>
    </x:row>
    <x:row r="938" spans="1:19" x14ac:dyDescent="0.25">
      <x:c r="A938" t="str">
        <x:f>IFERROR(IF(0=LEN(ReferenceData!$A$938),"",ReferenceData!$A$938),"")</x:f>
        <x:v xml:space="preserve">            VanEck Digital Transformation</x:v>
      </x:c>
      <x:c r="B938" t="str">
        <x:f>IFERROR(IF(0=LEN(ReferenceData!$B$938),"",ReferenceData!$B$938),"")</x:f>
        <x:v>DAPP US Equity</x:v>
      </x:c>
      <x:c r="C938" t="str">
        <x:f>IFERROR(IF(0=LEN(ReferenceData!$C$938),"",ReferenceData!$C$938),"")</x:f>
        <x:v/>
      </x:c>
      <x:c r="D938" t="str">
        <x:f>IFERROR(IF(0=LEN(ReferenceData!$D$938),"",ReferenceData!$D$938),"")</x:f>
        <x:v/>
      </x:c>
      <x:c r="E938" t="str">
        <x:f>IFERROR(IF(0=LEN(ReferenceData!$E$938),"",ReferenceData!$E$938),"")</x:f>
        <x:v>Expression</x:v>
      </x:c>
      <x:c r="F938">
        <x:f ca="1">IFERROR(IF(0=LEN(ReferenceData!$F$938),"",ReferenceData!$F$938),"")</x:f>
        <x:v>2.288618</x:v>
      </x:c>
      <x:c r="G938">
        <x:f ca="1">IFERROR(IF(0=LEN(ReferenceData!$G$938),"",ReferenceData!$G$938),"")</x:f>
        <x:v>0.13932</x:v>
      </x:c>
      <x:c r="H938">
        <x:f ca="1">IFERROR(IF(0=LEN(ReferenceData!$H$938),"",ReferenceData!$H$938),"")</x:f>
        <x:v>3.7559</x:v>
      </x:c>
      <x:c r="I938">
        <x:f ca="1">IFERROR(IF(0=LEN(ReferenceData!$I$938),"",ReferenceData!$I$938),"")</x:f>
        <x:v>-2.4471599999999998</x:v>
      </x:c>
      <x:c r="J938">
        <x:f ca="1">IFERROR(IF(0=LEN(ReferenceData!$J$938),"",ReferenceData!$J$938),"")</x:f>
        <x:v>6.9400930000000001</x:v>
      </x:c>
      <x:c r="K938">
        <x:f ca="1">IFERROR(IF(0=LEN(ReferenceData!$K$938),"",ReferenceData!$K$938),"")</x:f>
        <x:v>2.5835140000000001</x:v>
      </x:c>
      <x:c r="L938">
        <x:f ca="1">IFERROR(IF(0=LEN(ReferenceData!$L$938),"",ReferenceData!$L$938),"")</x:f>
        <x:v>0.54056700000000002</x:v>
      </x:c>
      <x:c r="M938">
        <x:f ca="1">IFERROR(IF(0=LEN(ReferenceData!$M$938),"",ReferenceData!$M$938),"")</x:f>
        <x:v>0</x:v>
      </x:c>
      <x:c r="N938">
        <x:f ca="1">IFERROR(IF(0=LEN(ReferenceData!$N$938),"",ReferenceData!$N$938),"")</x:f>
        <x:v>-1.0366139999999999</x:v>
      </x:c>
      <x:c r="O938">
        <x:f ca="1">IFERROR(IF(0=LEN(ReferenceData!$O$938),"",ReferenceData!$O$938),"")</x:f>
        <x:v>0</x:v>
      </x:c>
      <x:c r="P938">
        <x:f ca="1">IFERROR(IF(0=LEN(ReferenceData!$P$938),"",ReferenceData!$P$938),"")</x:f>
        <x:v>0</x:v>
      </x:c>
      <x:c r="Q938">
        <x:f ca="1">IFERROR(IF(0=LEN(ReferenceData!$Q$938),"",ReferenceData!$Q$938),"")</x:f>
        <x:v>7.6232999999999995E-2</x:v>
      </x:c>
      <x:c r="R938">
        <x:f ca="1">IFERROR(IF(0=LEN(ReferenceData!$R$938),"",ReferenceData!$R$938),"")</x:f>
        <x:v>1.067396</x:v>
      </x:c>
      <x:c r="S938">
        <x:f ca="1">IFERROR(IF(0=LEN(ReferenceData!$S$938),"",ReferenceData!$S$938),"")</x:f>
        <x:v>0.73204499999999995</x:v>
      </x:c>
    </x:row>
    <x:row r="939" spans="1:19" x14ac:dyDescent="0.25">
      <x:c r="A939" t="str">
        <x:f>IFERROR(IF(0=LEN(ReferenceData!$A$939),"",ReferenceData!$A$939),"")</x:f>
        <x:v xml:space="preserve">            First Trust SkyBridge Crypto I</x:v>
      </x:c>
      <x:c r="B939" t="str">
        <x:f>IFERROR(IF(0=LEN(ReferenceData!$B$939),"",ReferenceData!$B$939),"")</x:f>
        <x:v>CRPT US Equity</x:v>
      </x:c>
      <x:c r="C939" t="str">
        <x:f>IFERROR(IF(0=LEN(ReferenceData!$C$939),"",ReferenceData!$C$939),"")</x:f>
        <x:v/>
      </x:c>
      <x:c r="D939" t="str">
        <x:f>IFERROR(IF(0=LEN(ReferenceData!$D$939),"",ReferenceData!$D$939),"")</x:f>
        <x:v/>
      </x:c>
      <x:c r="E939" t="str">
        <x:f>IFERROR(IF(0=LEN(ReferenceData!$E$939),"",ReferenceData!$E$939),"")</x:f>
        <x:v>Expression</x:v>
      </x:c>
      <x:c r="F939">
        <x:f ca="1">IFERROR(IF(0=LEN(ReferenceData!$F$939),"",ReferenceData!$F$939),"")</x:f>
        <x:v>0</x:v>
      </x:c>
      <x:c r="G939">
        <x:f ca="1">IFERROR(IF(0=LEN(ReferenceData!$G$939),"",ReferenceData!$G$939),"")</x:f>
        <x:v>0</x:v>
      </x:c>
      <x:c r="H939">
        <x:f ca="1">IFERROR(IF(0=LEN(ReferenceData!$H$939),"",ReferenceData!$H$939),"")</x:f>
        <x:v>0</x:v>
      </x:c>
      <x:c r="I939">
        <x:f ca="1">IFERROR(IF(0=LEN(ReferenceData!$I$939),"",ReferenceData!$I$939),"")</x:f>
        <x:v>0</x:v>
      </x:c>
      <x:c r="J939">
        <x:f ca="1">IFERROR(IF(0=LEN(ReferenceData!$J$939),"",ReferenceData!$J$939),"")</x:f>
        <x:v>0.371</x:v>
      </x:c>
      <x:c r="K939">
        <x:f ca="1">IFERROR(IF(0=LEN(ReferenceData!$K$939),"",ReferenceData!$K$939),"")</x:f>
        <x:v>0</x:v>
      </x:c>
      <x:c r="L939">
        <x:f ca="1">IFERROR(IF(0=LEN(ReferenceData!$L$939),"",ReferenceData!$L$939),"")</x:f>
        <x:v>0</x:v>
      </x:c>
      <x:c r="M939">
        <x:f ca="1">IFERROR(IF(0=LEN(ReferenceData!$M$939),"",ReferenceData!$M$939),"")</x:f>
        <x:v>-0.96599999999999997</x:v>
      </x:c>
      <x:c r="N939">
        <x:f ca="1">IFERROR(IF(0=LEN(ReferenceData!$N$939),"",ReferenceData!$N$939),"")</x:f>
        <x:v>-0.45</x:v>
      </x:c>
      <x:c r="O939">
        <x:f ca="1">IFERROR(IF(0=LEN(ReferenceData!$O$939),"",ReferenceData!$O$939),"")</x:f>
        <x:v>-0.46</x:v>
      </x:c>
      <x:c r="P939">
        <x:f ca="1">IFERROR(IF(0=LEN(ReferenceData!$P$939),"",ReferenceData!$P$939),"")</x:f>
        <x:v>-1.6559999999999999</x:v>
      </x:c>
      <x:c r="Q939">
        <x:f ca="1">IFERROR(IF(0=LEN(ReferenceData!$Q$939),"",ReferenceData!$Q$939),"")</x:f>
        <x:v>0</x:v>
      </x:c>
      <x:c r="R939">
        <x:f ca="1">IFERROR(IF(0=LEN(ReferenceData!$R$939),"",ReferenceData!$R$939),"")</x:f>
        <x:v>0.93684900000000004</x:v>
      </x:c>
      <x:c r="S939">
        <x:f ca="1">IFERROR(IF(0=LEN(ReferenceData!$S$939),"",ReferenceData!$S$939),"")</x:f>
        <x:v>-0.88953800000000005</x:v>
      </x:c>
    </x:row>
    <x:row r="940" spans="1:19" x14ac:dyDescent="0.25">
      <x:c r="A940" t="str">
        <x:f>IFERROR(IF(0=LEN(ReferenceData!$A$940),"",ReferenceData!$A$940),"")</x:f>
        <x:v xml:space="preserve">            Volt Crypto Industry and Equit</x:v>
      </x:c>
      <x:c r="B940" t="str">
        <x:f>IFERROR(IF(0=LEN(ReferenceData!$B$940),"",ReferenceData!$B$940),"")</x:f>
        <x:v>BTCR US Equity</x:v>
      </x:c>
      <x:c r="C940" t="str">
        <x:f>IFERROR(IF(0=LEN(ReferenceData!$C$940),"",ReferenceData!$C$940),"")</x:f>
        <x:v/>
      </x:c>
      <x:c r="D940" t="str">
        <x:f>IFERROR(IF(0=LEN(ReferenceData!$D$940),"",ReferenceData!$D$940),"")</x:f>
        <x:v/>
      </x:c>
      <x:c r="E940" t="str">
        <x:f>IFERROR(IF(0=LEN(ReferenceData!$E$940),"",ReferenceData!$E$940),"")</x:f>
        <x:v>Expression</x:v>
      </x:c>
      <x:c r="F940" t="str">
        <x:f ca="1">IFERROR(IF(0=LEN(ReferenceData!$F$940),"",ReferenceData!$F$940),"")</x:f>
        <x:v/>
      </x:c>
      <x:c r="G940" t="str">
        <x:f ca="1">IFERROR(IF(0=LEN(ReferenceData!$G$940),"",ReferenceData!$G$940),"")</x:f>
        <x:v/>
      </x:c>
      <x:c r="H940" t="str">
        <x:f ca="1">IFERROR(IF(0=LEN(ReferenceData!$H$940),"",ReferenceData!$H$940),"")</x:f>
        <x:v/>
      </x:c>
      <x:c r="I940" t="str">
        <x:f ca="1">IFERROR(IF(0=LEN(ReferenceData!$I$940),"",ReferenceData!$I$940),"")</x:f>
        <x:v/>
      </x:c>
      <x:c r="J940" t="str">
        <x:f ca="1">IFERROR(IF(0=LEN(ReferenceData!$J$940),"",ReferenceData!$J$940),"")</x:f>
        <x:v/>
      </x:c>
      <x:c r="K940" t="str">
        <x:f ca="1">IFERROR(IF(0=LEN(ReferenceData!$K$940),"",ReferenceData!$K$940),"")</x:f>
        <x:v/>
      </x:c>
      <x:c r="L940" t="str">
        <x:f ca="1">IFERROR(IF(0=LEN(ReferenceData!$L$940),"",ReferenceData!$L$940),"")</x:f>
        <x:v/>
      </x:c>
      <x:c r="M940" t="str">
        <x:f ca="1">IFERROR(IF(0=LEN(ReferenceData!$M$940),"",ReferenceData!$M$940),"")</x:f>
        <x:v/>
      </x:c>
      <x:c r="N940" t="str">
        <x:f ca="1">IFERROR(IF(0=LEN(ReferenceData!$N$940),"",ReferenceData!$N$940),"")</x:f>
        <x:v/>
      </x:c>
      <x:c r="O940" t="str">
        <x:f ca="1">IFERROR(IF(0=LEN(ReferenceData!$O$940),"",ReferenceData!$O$940),"")</x:f>
        <x:v/>
      </x:c>
      <x:c r="P940">
        <x:f ca="1">IFERROR(IF(0=LEN(ReferenceData!$P$940),"",ReferenceData!$P$940),"")</x:f>
        <x:v>0</x:v>
      </x:c>
      <x:c r="Q940">
        <x:f ca="1">IFERROR(IF(0=LEN(ReferenceData!$Q$940),"",ReferenceData!$Q$940),"")</x:f>
        <x:v>0</x:v>
      </x:c>
      <x:c r="R940">
        <x:f ca="1">IFERROR(IF(0=LEN(ReferenceData!$R$940),"",ReferenceData!$R$940),"")</x:f>
        <x:v>0</x:v>
      </x:c>
      <x:c r="S940">
        <x:f ca="1">IFERROR(IF(0=LEN(ReferenceData!$S$940),"",ReferenceData!$S$940),"")</x:f>
        <x:v>0</x:v>
      </x:c>
    </x:row>
    <x:row r="941" spans="1:19" x14ac:dyDescent="0.25">
      <x:c r="A941" t="str">
        <x:f>IFERROR(IF(0=LEN(ReferenceData!$A$941),"",ReferenceData!$A$941),"")</x:f>
        <x:v xml:space="preserve">            Viridi Bitcoin Miners ETF</x:v>
      </x:c>
      <x:c r="B941" t="str">
        <x:f>IFERROR(IF(0=LEN(ReferenceData!$B$941),"",ReferenceData!$B$941),"")</x:f>
        <x:v>RIGZ US Equity</x:v>
      </x:c>
      <x:c r="C941" t="str">
        <x:f>IFERROR(IF(0=LEN(ReferenceData!$C$941),"",ReferenceData!$C$941),"")</x:f>
        <x:v/>
      </x:c>
      <x:c r="D941" t="str">
        <x:f>IFERROR(IF(0=LEN(ReferenceData!$D$941),"",ReferenceData!$D$941),"")</x:f>
        <x:v/>
      </x:c>
      <x:c r="E941" t="str">
        <x:f>IFERROR(IF(0=LEN(ReferenceData!$E$941),"",ReferenceData!$E$941),"")</x:f>
        <x:v>Expression</x:v>
      </x:c>
      <x:c r="F941" t="str">
        <x:f ca="1">IFERROR(IF(0=LEN(ReferenceData!$F$941),"",ReferenceData!$F$941),"")</x:f>
        <x:v/>
      </x:c>
      <x:c r="G941" t="str">
        <x:f ca="1">IFERROR(IF(0=LEN(ReferenceData!$G$941),"",ReferenceData!$G$941),"")</x:f>
        <x:v/>
      </x:c>
      <x:c r="H941" t="str">
        <x:f ca="1">IFERROR(IF(0=LEN(ReferenceData!$H$941),"",ReferenceData!$H$941),"")</x:f>
        <x:v/>
      </x:c>
      <x:c r="I941" t="str">
        <x:f ca="1">IFERROR(IF(0=LEN(ReferenceData!$I$941),"",ReferenceData!$I$941),"")</x:f>
        <x:v/>
      </x:c>
      <x:c r="J941" t="str">
        <x:f ca="1">IFERROR(IF(0=LEN(ReferenceData!$J$941),"",ReferenceData!$J$941),"")</x:f>
        <x:v/>
      </x:c>
      <x:c r="K941" t="str">
        <x:f ca="1">IFERROR(IF(0=LEN(ReferenceData!$K$941),"",ReferenceData!$K$941),"")</x:f>
        <x:v/>
      </x:c>
      <x:c r="L941" t="str">
        <x:f ca="1">IFERROR(IF(0=LEN(ReferenceData!$L$941),"",ReferenceData!$L$941),"")</x:f>
        <x:v/>
      </x:c>
      <x:c r="M941" t="str">
        <x:f ca="1">IFERROR(IF(0=LEN(ReferenceData!$M$941),"",ReferenceData!$M$941),"")</x:f>
        <x:v/>
      </x:c>
      <x:c r="N941" t="str">
        <x:f ca="1">IFERROR(IF(0=LEN(ReferenceData!$N$941),"",ReferenceData!$N$941),"")</x:f>
        <x:v/>
      </x:c>
      <x:c r="O941" t="str">
        <x:f ca="1">IFERROR(IF(0=LEN(ReferenceData!$O$941),"",ReferenceData!$O$941),"")</x:f>
        <x:v/>
      </x:c>
      <x:c r="P941">
        <x:f ca="1">IFERROR(IF(0=LEN(ReferenceData!$P$941),"",ReferenceData!$P$941),"")</x:f>
        <x:v>0</x:v>
      </x:c>
      <x:c r="Q941">
        <x:f ca="1">IFERROR(IF(0=LEN(ReferenceData!$Q$941),"",ReferenceData!$Q$941),"")</x:f>
        <x:v>0</x:v>
      </x:c>
      <x:c r="R941">
        <x:f ca="1">IFERROR(IF(0=LEN(ReferenceData!$R$941),"",ReferenceData!$R$941),"")</x:f>
        <x:v>-0.127467</x:v>
      </x:c>
      <x:c r="S941">
        <x:f ca="1">IFERROR(IF(0=LEN(ReferenceData!$S$941),"",ReferenceData!$S$941),"")</x:f>
        <x:v>0</x:v>
      </x:c>
    </x:row>
    <x:row r="942" spans="1:19" x14ac:dyDescent="0.25">
      <x:c r="A942" t="str">
        <x:f>IFERROR(IF(0=LEN(ReferenceData!$A$942),"",ReferenceData!$A$942),"")</x:f>
        <x:v xml:space="preserve">            Invesco Alerian Galaxy Blockch</x:v>
      </x:c>
      <x:c r="B942" t="str">
        <x:f>IFERROR(IF(0=LEN(ReferenceData!$B$942),"",ReferenceData!$B$942),"")</x:f>
        <x:v>BLKC US Equity</x:v>
      </x:c>
      <x:c r="C942" t="str">
        <x:f>IFERROR(IF(0=LEN(ReferenceData!$C$942),"",ReferenceData!$C$942),"")</x:f>
        <x:v/>
      </x:c>
      <x:c r="D942" t="str">
        <x:f>IFERROR(IF(0=LEN(ReferenceData!$D$942),"",ReferenceData!$D$942),"")</x:f>
        <x:v/>
      </x:c>
      <x:c r="E942" t="str">
        <x:f>IFERROR(IF(0=LEN(ReferenceData!$E$942),"",ReferenceData!$E$942),"")</x:f>
        <x:v>Expression</x:v>
      </x:c>
      <x:c r="F942">
        <x:f ca="1">IFERROR(IF(0=LEN(ReferenceData!$F$942),"",ReferenceData!$F$942),"")</x:f>
        <x:v>0</x:v>
      </x:c>
      <x:c r="G942">
        <x:f ca="1">IFERROR(IF(0=LEN(ReferenceData!$G$942),"",ReferenceData!$G$942),"")</x:f>
        <x:v>0</x:v>
      </x:c>
      <x:c r="H942">
        <x:f ca="1">IFERROR(IF(0=LEN(ReferenceData!$H$942),"",ReferenceData!$H$942),"")</x:f>
        <x:v>0</x:v>
      </x:c>
      <x:c r="I942">
        <x:f ca="1">IFERROR(IF(0=LEN(ReferenceData!$I$942),"",ReferenceData!$I$942),"")</x:f>
        <x:v>0</x:v>
      </x:c>
      <x:c r="J942">
        <x:f ca="1">IFERROR(IF(0=LEN(ReferenceData!$J$942),"",ReferenceData!$J$942),"")</x:f>
        <x:v>0</x:v>
      </x:c>
      <x:c r="K942">
        <x:f ca="1">IFERROR(IF(0=LEN(ReferenceData!$K$942),"",ReferenceData!$K$942),"")</x:f>
        <x:v>0</x:v>
      </x:c>
      <x:c r="L942">
        <x:f ca="1">IFERROR(IF(0=LEN(ReferenceData!$L$942),"",ReferenceData!$L$942),"")</x:f>
        <x:v>0</x:v>
      </x:c>
      <x:c r="M942">
        <x:f ca="1">IFERROR(IF(0=LEN(ReferenceData!$M$942),"",ReferenceData!$M$942),"")</x:f>
        <x:v>0</x:v>
      </x:c>
      <x:c r="N942">
        <x:f ca="1">IFERROR(IF(0=LEN(ReferenceData!$N$942),"",ReferenceData!$N$942),"")</x:f>
        <x:v>0</x:v>
      </x:c>
      <x:c r="O942">
        <x:f ca="1">IFERROR(IF(0=LEN(ReferenceData!$O$942),"",ReferenceData!$O$942),"")</x:f>
        <x:v>0</x:v>
      </x:c>
      <x:c r="P942">
        <x:f ca="1">IFERROR(IF(0=LEN(ReferenceData!$P$942),"",ReferenceData!$P$942),"")</x:f>
        <x:v>0</x:v>
      </x:c>
      <x:c r="Q942">
        <x:f ca="1">IFERROR(IF(0=LEN(ReferenceData!$Q$942),"",ReferenceData!$Q$942),"")</x:f>
        <x:v>0</x:v>
      </x:c>
      <x:c r="R942">
        <x:f ca="1">IFERROR(IF(0=LEN(ReferenceData!$R$942),"",ReferenceData!$R$942),"")</x:f>
        <x:v>0</x:v>
      </x:c>
      <x:c r="S942">
        <x:f ca="1">IFERROR(IF(0=LEN(ReferenceData!$S$942),"",ReferenceData!$S$942),"")</x:f>
        <x:v>0</x:v>
      </x:c>
    </x:row>
    <x:row r="943" spans="1:19" x14ac:dyDescent="0.25">
      <x:c r="A943" t="str">
        <x:f>IFERROR(IF(0=LEN(ReferenceData!$A$943),"",ReferenceData!$A$943),"")</x:f>
        <x:v xml:space="preserve">            Global X Blockchain &amp; Bitcoin</x:v>
      </x:c>
      <x:c r="B943" t="str">
        <x:f>IFERROR(IF(0=LEN(ReferenceData!$B$943),"",ReferenceData!$B$943),"")</x:f>
        <x:v>BITS US Equity</x:v>
      </x:c>
      <x:c r="C943" t="str">
        <x:f>IFERROR(IF(0=LEN(ReferenceData!$C$943),"",ReferenceData!$C$943),"")</x:f>
        <x:v/>
      </x:c>
      <x:c r="D943" t="str">
        <x:f>IFERROR(IF(0=LEN(ReferenceData!$D$943),"",ReferenceData!$D$943),"")</x:f>
        <x:v/>
      </x:c>
      <x:c r="E943" t="str">
        <x:f>IFERROR(IF(0=LEN(ReferenceData!$E$943),"",ReferenceData!$E$943),"")</x:f>
        <x:v>Expression</x:v>
      </x:c>
      <x:c r="F943">
        <x:f ca="1">IFERROR(IF(0=LEN(ReferenceData!$F$943),"",ReferenceData!$F$943),"")</x:f>
        <x:v>0</x:v>
      </x:c>
      <x:c r="G943">
        <x:f ca="1">IFERROR(IF(0=LEN(ReferenceData!$G$943),"",ReferenceData!$G$943),"")</x:f>
        <x:v>0.3795</x:v>
      </x:c>
      <x:c r="H943">
        <x:f ca="1">IFERROR(IF(0=LEN(ReferenceData!$H$943),"",ReferenceData!$H$943),"")</x:f>
        <x:v>-0.34250000000000003</x:v>
      </x:c>
      <x:c r="I943">
        <x:f ca="1">IFERROR(IF(0=LEN(ReferenceData!$I$943),"",ReferenceData!$I$943),"")</x:f>
        <x:v>0</x:v>
      </x:c>
      <x:c r="J943">
        <x:f ca="1">IFERROR(IF(0=LEN(ReferenceData!$J$943),"",ReferenceData!$J$943),"")</x:f>
        <x:v>1.41E-2</x:v>
      </x:c>
      <x:c r="K943">
        <x:f ca="1">IFERROR(IF(0=LEN(ReferenceData!$K$943),"",ReferenceData!$K$943),"")</x:f>
        <x:v>0.7954</x:v>
      </x:c>
      <x:c r="L943">
        <x:f ca="1">IFERROR(IF(0=LEN(ReferenceData!$L$943),"",ReferenceData!$L$943),"")</x:f>
        <x:v>0</x:v>
      </x:c>
      <x:c r="M943">
        <x:f ca="1">IFERROR(IF(0=LEN(ReferenceData!$M$943),"",ReferenceData!$M$943),"")</x:f>
        <x:v>0</x:v>
      </x:c>
      <x:c r="N943">
        <x:f ca="1">IFERROR(IF(0=LEN(ReferenceData!$N$943),"",ReferenceData!$N$943),"")</x:f>
        <x:v>-0.27629999999999999</x:v>
      </x:c>
      <x:c r="O943">
        <x:f ca="1">IFERROR(IF(0=LEN(ReferenceData!$O$943),"",ReferenceData!$O$943),"")</x:f>
        <x:v>0</x:v>
      </x:c>
      <x:c r="P943">
        <x:f ca="1">IFERROR(IF(0=LEN(ReferenceData!$P$943),"",ReferenceData!$P$943),"")</x:f>
        <x:v>-7.6229999999999996E-3</x:v>
      </x:c>
      <x:c r="Q943">
        <x:f ca="1">IFERROR(IF(0=LEN(ReferenceData!$Q$943),"",ReferenceData!$Q$943),"")</x:f>
        <x:v>0.1943</x:v>
      </x:c>
      <x:c r="R943">
        <x:f ca="1">IFERROR(IF(0=LEN(ReferenceData!$R$943),"",ReferenceData!$R$943),"")</x:f>
        <x:v>1.2577</x:v>
      </x:c>
      <x:c r="S943">
        <x:f ca="1">IFERROR(IF(0=LEN(ReferenceData!$S$943),"",ReferenceData!$S$943),"")</x:f>
        <x:v>0.14280000000000001</x:v>
      </x:c>
    </x:row>
    <x:row r="944" spans="1:19" x14ac:dyDescent="0.25">
      <x:c r="A944" t="str">
        <x:f>IFERROR(IF(0=LEN(ReferenceData!$A$944),"",ReferenceData!$A$944),"")</x:f>
        <x:v xml:space="preserve">            Invesco Alerian Galaxy Crypto Economy ETF</x:v>
      </x:c>
      <x:c r="B944" t="str">
        <x:f>IFERROR(IF(0=LEN(ReferenceData!$B$944),"",ReferenceData!$B$944),"")</x:f>
        <x:v>SATO US Equity</x:v>
      </x:c>
      <x:c r="C944" t="str">
        <x:f>IFERROR(IF(0=LEN(ReferenceData!$C$944),"",ReferenceData!$C$944),"")</x:f>
        <x:v/>
      </x:c>
      <x:c r="D944" t="str">
        <x:f>IFERROR(IF(0=LEN(ReferenceData!$D$944),"",ReferenceData!$D$944),"")</x:f>
        <x:v/>
      </x:c>
      <x:c r="E944" t="str">
        <x:f>IFERROR(IF(0=LEN(ReferenceData!$E$944),"",ReferenceData!$E$944),"")</x:f>
        <x:v>Expression</x:v>
      </x:c>
      <x:c r="F944">
        <x:f ca="1">IFERROR(IF(0=LEN(ReferenceData!$F$944),"",ReferenceData!$F$944),"")</x:f>
        <x:v>0</x:v>
      </x:c>
      <x:c r="G944">
        <x:f ca="1">IFERROR(IF(0=LEN(ReferenceData!$G$944),"",ReferenceData!$G$944),"")</x:f>
        <x:v>0</x:v>
      </x:c>
      <x:c r="H944">
        <x:f ca="1">IFERROR(IF(0=LEN(ReferenceData!$H$944),"",ReferenceData!$H$944),"")</x:f>
        <x:v>0.42017900000000002</x:v>
      </x:c>
      <x:c r="I944">
        <x:f ca="1">IFERROR(IF(0=LEN(ReferenceData!$I$944),"",ReferenceData!$I$944),"")</x:f>
        <x:v>0</x:v>
      </x:c>
      <x:c r="J944">
        <x:f ca="1">IFERROR(IF(0=LEN(ReferenceData!$J$944),"",ReferenceData!$J$944),"")</x:f>
        <x:v>0</x:v>
      </x:c>
      <x:c r="K944">
        <x:f ca="1">IFERROR(IF(0=LEN(ReferenceData!$K$944),"",ReferenceData!$K$944),"")</x:f>
        <x:v>0</x:v>
      </x:c>
      <x:c r="L944">
        <x:f ca="1">IFERROR(IF(0=LEN(ReferenceData!$L$944),"",ReferenceData!$L$944),"")</x:f>
        <x:v>0</x:v>
      </x:c>
      <x:c r="M944">
        <x:f ca="1">IFERROR(IF(0=LEN(ReferenceData!$M$944),"",ReferenceData!$M$944),"")</x:f>
        <x:v>0</x:v>
      </x:c>
      <x:c r="N944">
        <x:f ca="1">IFERROR(IF(0=LEN(ReferenceData!$N$944),"",ReferenceData!$N$944),"")</x:f>
        <x:v>0.31468099999999999</x:v>
      </x:c>
      <x:c r="O944">
        <x:f ca="1">IFERROR(IF(0=LEN(ReferenceData!$O$944),"",ReferenceData!$O$944),"")</x:f>
        <x:v>0</x:v>
      </x:c>
      <x:c r="P944">
        <x:f ca="1">IFERROR(IF(0=LEN(ReferenceData!$P$944),"",ReferenceData!$P$944),"")</x:f>
        <x:v>0</x:v>
      </x:c>
      <x:c r="Q944">
        <x:f ca="1">IFERROR(IF(0=LEN(ReferenceData!$Q$944),"",ReferenceData!$Q$944),"")</x:f>
        <x:v>0</x:v>
      </x:c>
      <x:c r="R944">
        <x:f ca="1">IFERROR(IF(0=LEN(ReferenceData!$R$944),"",ReferenceData!$R$944),"")</x:f>
        <x:v>0</x:v>
      </x:c>
      <x:c r="S944">
        <x:f ca="1">IFERROR(IF(0=LEN(ReferenceData!$S$944),"",ReferenceData!$S$944),"")</x:f>
        <x:v>0</x:v>
      </x:c>
    </x:row>
    <x:row r="945" spans="1:19" x14ac:dyDescent="0.25">
      <x:c r="A945" t="str">
        <x:f>IFERROR(IF(0=LEN(ReferenceData!$A$945),"",ReferenceData!$A$945),"")</x:f>
        <x:v xml:space="preserve">            Defiance Digital Revolution ET</x:v>
      </x:c>
      <x:c r="B945" t="str">
        <x:f>IFERROR(IF(0=LEN(ReferenceData!$B$945),"",ReferenceData!$B$945),"")</x:f>
        <x:v>NFTZ US Equity</x:v>
      </x:c>
      <x:c r="C945" t="str">
        <x:f>IFERROR(IF(0=LEN(ReferenceData!$C$945),"",ReferenceData!$C$945),"")</x:f>
        <x:v/>
      </x:c>
      <x:c r="D945" t="str">
        <x:f>IFERROR(IF(0=LEN(ReferenceData!$D$945),"",ReferenceData!$D$945),"")</x:f>
        <x:v/>
      </x:c>
      <x:c r="E945" t="str">
        <x:f>IFERROR(IF(0=LEN(ReferenceData!$E$945),"",ReferenceData!$E$945),"")</x:f>
        <x:v>Expression</x:v>
      </x:c>
      <x:c r="F945" t="str">
        <x:f ca="1">IFERROR(IF(0=LEN(ReferenceData!$F$945),"",ReferenceData!$F$945),"")</x:f>
        <x:v/>
      </x:c>
      <x:c r="G945" t="str">
        <x:f ca="1">IFERROR(IF(0=LEN(ReferenceData!$G$945),"",ReferenceData!$G$945),"")</x:f>
        <x:v/>
      </x:c>
      <x:c r="H945" t="str">
        <x:f ca="1">IFERROR(IF(0=LEN(ReferenceData!$H$945),"",ReferenceData!$H$945),"")</x:f>
        <x:v/>
      </x:c>
      <x:c r="I945" t="str">
        <x:f ca="1">IFERROR(IF(0=LEN(ReferenceData!$I$945),"",ReferenceData!$I$945),"")</x:f>
        <x:v/>
      </x:c>
      <x:c r="J945" t="str">
        <x:f ca="1">IFERROR(IF(0=LEN(ReferenceData!$J$945),"",ReferenceData!$J$945),"")</x:f>
        <x:v/>
      </x:c>
      <x:c r="K945" t="str">
        <x:f ca="1">IFERROR(IF(0=LEN(ReferenceData!$K$945),"",ReferenceData!$K$945),"")</x:f>
        <x:v/>
      </x:c>
      <x:c r="L945" t="str">
        <x:f ca="1">IFERROR(IF(0=LEN(ReferenceData!$L$945),"",ReferenceData!$L$945),"")</x:f>
        <x:v/>
      </x:c>
      <x:c r="M945" t="str">
        <x:f ca="1">IFERROR(IF(0=LEN(ReferenceData!$M$945),"",ReferenceData!$M$945),"")</x:f>
        <x:v/>
      </x:c>
      <x:c r="N945" t="str">
        <x:f ca="1">IFERROR(IF(0=LEN(ReferenceData!$N$945),"",ReferenceData!$N$945),"")</x:f>
        <x:v/>
      </x:c>
      <x:c r="O945">
        <x:f ca="1">IFERROR(IF(0=LEN(ReferenceData!$O$945),"",ReferenceData!$O$945),"")</x:f>
        <x:v>0</x:v>
      </x:c>
      <x:c r="P945">
        <x:f ca="1">IFERROR(IF(0=LEN(ReferenceData!$P$945),"",ReferenceData!$P$945),"")</x:f>
        <x:v>-0.70411599999999996</x:v>
      </x:c>
      <x:c r="Q945">
        <x:f ca="1">IFERROR(IF(0=LEN(ReferenceData!$Q$945),"",ReferenceData!$Q$945),"")</x:f>
        <x:v>0</x:v>
      </x:c>
      <x:c r="R945">
        <x:f ca="1">IFERROR(IF(0=LEN(ReferenceData!$R$945),"",ReferenceData!$R$945),"")</x:f>
        <x:v>0</x:v>
      </x:c>
      <x:c r="S945">
        <x:f ca="1">IFERROR(IF(0=LEN(ReferenceData!$S$945),"",ReferenceData!$S$945),"")</x:f>
        <x:v>0</x:v>
      </x:c>
    </x:row>
    <x:row r="946" spans="1:19" x14ac:dyDescent="0.25">
      <x:c r="A946" t="str">
        <x:f>IFERROR(IF(0=LEN(ReferenceData!$A$946),"",ReferenceData!$A$946),"")</x:f>
        <x:v xml:space="preserve">            Valkyrie Bitcoin Miners ETF</x:v>
      </x:c>
      <x:c r="B946" t="str">
        <x:f>IFERROR(IF(0=LEN(ReferenceData!$B$946),"",ReferenceData!$B$946),"")</x:f>
        <x:v>WGMI US Equity</x:v>
      </x:c>
      <x:c r="C946" t="str">
        <x:f>IFERROR(IF(0=LEN(ReferenceData!$C$946),"",ReferenceData!$C$946),"")</x:f>
        <x:v/>
      </x:c>
      <x:c r="D946" t="str">
        <x:f>IFERROR(IF(0=LEN(ReferenceData!$D$946),"",ReferenceData!$D$946),"")</x:f>
        <x:v/>
      </x:c>
      <x:c r="E946" t="str">
        <x:f>IFERROR(IF(0=LEN(ReferenceData!$E$946),"",ReferenceData!$E$946),"")</x:f>
        <x:v>Expression</x:v>
      </x:c>
      <x:c r="F946">
        <x:f ca="1">IFERROR(IF(0=LEN(ReferenceData!$F$946),"",ReferenceData!$F$946),"")</x:f>
        <x:v>1.253622</x:v>
      </x:c>
      <x:c r="G946">
        <x:f ca="1">IFERROR(IF(0=LEN(ReferenceData!$G$946),"",ReferenceData!$G$946),"")</x:f>
        <x:v>5.7917100000000001</x:v>
      </x:c>
      <x:c r="H946">
        <x:f ca="1">IFERROR(IF(0=LEN(ReferenceData!$H$946),"",ReferenceData!$H$946),"")</x:f>
        <x:v>-0.55081500000000005</x:v>
      </x:c>
      <x:c r="I946">
        <x:f ca="1">IFERROR(IF(0=LEN(ReferenceData!$I$946),"",ReferenceData!$I$946),"")</x:f>
        <x:v>0.26940500000000001</x:v>
      </x:c>
      <x:c r="J946">
        <x:f ca="1">IFERROR(IF(0=LEN(ReferenceData!$J$946),"",ReferenceData!$J$946),"")</x:f>
        <x:v>7.4693319999999996</x:v>
      </x:c>
      <x:c r="K946">
        <x:f ca="1">IFERROR(IF(0=LEN(ReferenceData!$K$946),"",ReferenceData!$K$946),"")</x:f>
        <x:v>1.8422050000000001</x:v>
      </x:c>
      <x:c r="L946">
        <x:f ca="1">IFERROR(IF(0=LEN(ReferenceData!$L$946),"",ReferenceData!$L$946),"")</x:f>
        <x:v>0</x:v>
      </x:c>
      <x:c r="M946">
        <x:f ca="1">IFERROR(IF(0=LEN(ReferenceData!$M$946),"",ReferenceData!$M$946),"")</x:f>
        <x:v>2.0088949999999999</x:v>
      </x:c>
      <x:c r="N946">
        <x:f ca="1">IFERROR(IF(0=LEN(ReferenceData!$N$946),"",ReferenceData!$N$946),"")</x:f>
        <x:v>0.69369000000000003</x:v>
      </x:c>
      <x:c r="O946">
        <x:f ca="1">IFERROR(IF(0=LEN(ReferenceData!$O$946),"",ReferenceData!$O$946),"")</x:f>
        <x:v>1.8752800000000001</x:v>
      </x:c>
      <x:c r="P946">
        <x:f ca="1">IFERROR(IF(0=LEN(ReferenceData!$P$946),"",ReferenceData!$P$946),"")</x:f>
        <x:v>1.093442</x:v>
      </x:c>
      <x:c r="Q946">
        <x:f ca="1">IFERROR(IF(0=LEN(ReferenceData!$Q$946),"",ReferenceData!$Q$946),"")</x:f>
        <x:v>0</x:v>
      </x:c>
      <x:c r="R946">
        <x:f ca="1">IFERROR(IF(0=LEN(ReferenceData!$R$946),"",ReferenceData!$R$946),"")</x:f>
        <x:v>0</x:v>
      </x:c>
      <x:c r="S946">
        <x:f ca="1">IFERROR(IF(0=LEN(ReferenceData!$S$946),"",ReferenceData!$S$946),"")</x:f>
        <x:v>0</x:v>
      </x:c>
    </x:row>
    <x:row r="947" spans="1:19" x14ac:dyDescent="0.25">
      <x:c r="A947" t="str">
        <x:f>IFERROR(IF(0=LEN(ReferenceData!$A$947),"",ReferenceData!$A$947),"")</x:f>
        <x:v xml:space="preserve">            Vaneck Digital Asset Mining ET</x:v>
      </x:c>
      <x:c r="B947" t="str">
        <x:f>IFERROR(IF(0=LEN(ReferenceData!$B$947),"",ReferenceData!$B$947),"")</x:f>
        <x:v>DAM US Equity</x:v>
      </x:c>
      <x:c r="C947" t="str">
        <x:f>IFERROR(IF(0=LEN(ReferenceData!$C$947),"",ReferenceData!$C$947),"")</x:f>
        <x:v/>
      </x:c>
      <x:c r="D947" t="str">
        <x:f>IFERROR(IF(0=LEN(ReferenceData!$D$947),"",ReferenceData!$D$947),"")</x:f>
        <x:v/>
      </x:c>
      <x:c r="E947" t="str">
        <x:f>IFERROR(IF(0=LEN(ReferenceData!$E$947),"",ReferenceData!$E$947),"")</x:f>
        <x:v>Expression</x:v>
      </x:c>
      <x:c r="F947" t="str">
        <x:f ca="1">IFERROR(IF(0=LEN(ReferenceData!$F$947),"",ReferenceData!$F$947),"")</x:f>
        <x:v/>
      </x:c>
      <x:c r="G947" t="str">
        <x:f ca="1">IFERROR(IF(0=LEN(ReferenceData!$G$947),"",ReferenceData!$G$947),"")</x:f>
        <x:v/>
      </x:c>
      <x:c r="H947" t="str">
        <x:f ca="1">IFERROR(IF(0=LEN(ReferenceData!$H$947),"",ReferenceData!$H$947),"")</x:f>
        <x:v/>
      </x:c>
      <x:c r="I947" t="str">
        <x:f ca="1">IFERROR(IF(0=LEN(ReferenceData!$I$947),"",ReferenceData!$I$947),"")</x:f>
        <x:v/>
      </x:c>
      <x:c r="J947" t="str">
        <x:f ca="1">IFERROR(IF(0=LEN(ReferenceData!$J$947),"",ReferenceData!$J$947),"")</x:f>
        <x:v/>
      </x:c>
      <x:c r="K947" t="str">
        <x:f ca="1">IFERROR(IF(0=LEN(ReferenceData!$K$947),"",ReferenceData!$K$947),"")</x:f>
        <x:v/>
      </x:c>
      <x:c r="L947" t="str">
        <x:f ca="1">IFERROR(IF(0=LEN(ReferenceData!$L$947),"",ReferenceData!$L$947),"")</x:f>
        <x:v/>
      </x:c>
      <x:c r="M947">
        <x:f ca="1">IFERROR(IF(0=LEN(ReferenceData!$M$947),"",ReferenceData!$M$947),"")</x:f>
        <x:v>0.99367499999999997</x:v>
      </x:c>
      <x:c r="N947">
        <x:f ca="1">IFERROR(IF(0=LEN(ReferenceData!$N$947),"",ReferenceData!$N$947),"")</x:f>
        <x:v>0</x:v>
      </x:c>
      <x:c r="O947">
        <x:f ca="1">IFERROR(IF(0=LEN(ReferenceData!$O$947),"",ReferenceData!$O$947),"")</x:f>
        <x:v>0</x:v>
      </x:c>
      <x:c r="P947">
        <x:f ca="1">IFERROR(IF(0=LEN(ReferenceData!$P$947),"",ReferenceData!$P$947),"")</x:f>
        <x:v>0.25522299999999998</x:v>
      </x:c>
      <x:c r="Q947">
        <x:f ca="1">IFERROR(IF(0=LEN(ReferenceData!$Q$947),"",ReferenceData!$Q$947),"")</x:f>
        <x:v>0</x:v>
      </x:c>
      <x:c r="R947">
        <x:f ca="1">IFERROR(IF(0=LEN(ReferenceData!$R$947),"",ReferenceData!$R$947),"")</x:f>
        <x:v>0</x:v>
      </x:c>
      <x:c r="S947">
        <x:f ca="1">IFERROR(IF(0=LEN(ReferenceData!$S$947),"",ReferenceData!$S$947),"")</x:f>
        <x:v>0</x:v>
      </x:c>
    </x:row>
    <x:row r="948" spans="1:19" x14ac:dyDescent="0.25">
      <x:c r="A948" t="str">
        <x:f>IFERROR(IF(0=LEN(ReferenceData!$A$948),"",ReferenceData!$A$948),"")</x:f>
        <x:v xml:space="preserve">            Horizon Kinetics Blockchain De</x:v>
      </x:c>
      <x:c r="B948" t="str">
        <x:f>IFERROR(IF(0=LEN(ReferenceData!$B$948),"",ReferenceData!$B$948),"")</x:f>
        <x:v>BCDF US Equity</x:v>
      </x:c>
      <x:c r="C948" t="str">
        <x:f>IFERROR(IF(0=LEN(ReferenceData!$C$948),"",ReferenceData!$C$948),"")</x:f>
        <x:v/>
      </x:c>
      <x:c r="D948" t="str">
        <x:f>IFERROR(IF(0=LEN(ReferenceData!$D$948),"",ReferenceData!$D$948),"")</x:f>
        <x:v/>
      </x:c>
      <x:c r="E948" t="str">
        <x:f>IFERROR(IF(0=LEN(ReferenceData!$E$948),"",ReferenceData!$E$948),"")</x:f>
        <x:v>Expression</x:v>
      </x:c>
      <x:c r="F948">
        <x:f ca="1">IFERROR(IF(0=LEN(ReferenceData!$F$948),"",ReferenceData!$F$948),"")</x:f>
        <x:v>1.0825450000000001</x:v>
      </x:c>
      <x:c r="G948">
        <x:f ca="1">IFERROR(IF(0=LEN(ReferenceData!$G$948),"",ReferenceData!$G$948),"")</x:f>
        <x:v>0.52825500000000003</x:v>
      </x:c>
      <x:c r="H948">
        <x:f ca="1">IFERROR(IF(0=LEN(ReferenceData!$H$948),"",ReferenceData!$H$948),"")</x:f>
        <x:v>0</x:v>
      </x:c>
      <x:c r="I948">
        <x:f ca="1">IFERROR(IF(0=LEN(ReferenceData!$I$948),"",ReferenceData!$I$948),"")</x:f>
        <x:v>0</x:v>
      </x:c>
      <x:c r="J948">
        <x:f ca="1">IFERROR(IF(0=LEN(ReferenceData!$J$948),"",ReferenceData!$J$948),"")</x:f>
        <x:v>0.55729499999999998</x:v>
      </x:c>
      <x:c r="K948">
        <x:f ca="1">IFERROR(IF(0=LEN(ReferenceData!$K$948),"",ReferenceData!$K$948),"")</x:f>
        <x:v>0</x:v>
      </x:c>
      <x:c r="L948">
        <x:f ca="1">IFERROR(IF(0=LEN(ReferenceData!$L$948),"",ReferenceData!$L$948),"")</x:f>
        <x:v>0</x:v>
      </x:c>
      <x:c r="M948">
        <x:f ca="1">IFERROR(IF(0=LEN(ReferenceData!$M$948),"",ReferenceData!$M$948),"")</x:f>
        <x:v>0</x:v>
      </x:c>
      <x:c r="N948">
        <x:f ca="1">IFERROR(IF(0=LEN(ReferenceData!$N$948),"",ReferenceData!$N$948),"")</x:f>
        <x:v>0.50615500000000002</x:v>
      </x:c>
      <x:c r="O948">
        <x:f ca="1">IFERROR(IF(0=LEN(ReferenceData!$O$948),"",ReferenceData!$O$948),"")</x:f>
        <x:v>0</x:v>
      </x:c>
      <x:c r="P948">
        <x:f ca="1">IFERROR(IF(0=LEN(ReferenceData!$P$948),"",ReferenceData!$P$948),"")</x:f>
        <x:v>0</x:v>
      </x:c>
      <x:c r="Q948">
        <x:f ca="1">IFERROR(IF(0=LEN(ReferenceData!$Q$948),"",ReferenceData!$Q$948),"")</x:f>
        <x:v>0</x:v>
      </x:c>
      <x:c r="R948">
        <x:f ca="1">IFERROR(IF(0=LEN(ReferenceData!$R$948),"",ReferenceData!$R$948),"")</x:f>
        <x:v>0</x:v>
      </x:c>
      <x:c r="S948">
        <x:f ca="1">IFERROR(IF(0=LEN(ReferenceData!$S$948),"",ReferenceData!$S$948),"")</x:f>
        <x:v>0</x:v>
      </x:c>
    </x:row>
    <x:row r="949" spans="1:19" x14ac:dyDescent="0.25">
      <x:c r="A949" t="str">
        <x:f>IFERROR(IF(0=LEN(ReferenceData!$A$949),"",ReferenceData!$A$949),"")</x:f>
        <x:v xml:space="preserve">            iShares Blockchain And Tech ET</x:v>
      </x:c>
      <x:c r="B949" t="str">
        <x:f>IFERROR(IF(0=LEN(ReferenceData!$B$949),"",ReferenceData!$B$949),"")</x:f>
        <x:v>IBLC US Equity</x:v>
      </x:c>
      <x:c r="C949" t="str">
        <x:f>IFERROR(IF(0=LEN(ReferenceData!$C$949),"",ReferenceData!$C$949),"")</x:f>
        <x:v/>
      </x:c>
      <x:c r="D949" t="str">
        <x:f>IFERROR(IF(0=LEN(ReferenceData!$D$949),"",ReferenceData!$D$949),"")</x:f>
        <x:v/>
      </x:c>
      <x:c r="E949" t="str">
        <x:f>IFERROR(IF(0=LEN(ReferenceData!$E$949),"",ReferenceData!$E$949),"")</x:f>
        <x:v>Expression</x:v>
      </x:c>
      <x:c r="F949">
        <x:f ca="1">IFERROR(IF(0=LEN(ReferenceData!$F$949),"",ReferenceData!$F$949),"")</x:f>
        <x:v>0</x:v>
      </x:c>
      <x:c r="G949">
        <x:f ca="1">IFERROR(IF(0=LEN(ReferenceData!$G$949),"",ReferenceData!$G$949),"")</x:f>
        <x:v>0.75720399999999999</x:v>
      </x:c>
      <x:c r="H949">
        <x:f ca="1">IFERROR(IF(0=LEN(ReferenceData!$H$949),"",ReferenceData!$H$949),"")</x:f>
        <x:v>0</x:v>
      </x:c>
      <x:c r="I949">
        <x:f ca="1">IFERROR(IF(0=LEN(ReferenceData!$I$949),"",ReferenceData!$I$949),"")</x:f>
        <x:v>1.1575850000000001</x:v>
      </x:c>
      <x:c r="J949">
        <x:f ca="1">IFERROR(IF(0=LEN(ReferenceData!$J$949),"",ReferenceData!$J$949),"")</x:f>
        <x:v>0</x:v>
      </x:c>
      <x:c r="K949">
        <x:f ca="1">IFERROR(IF(0=LEN(ReferenceData!$K$949),"",ReferenceData!$K$949),"")</x:f>
        <x:v>0</x:v>
      </x:c>
      <x:c r="L949">
        <x:f ca="1">IFERROR(IF(0=LEN(ReferenceData!$L$949),"",ReferenceData!$L$949),"")</x:f>
        <x:v>0</x:v>
      </x:c>
      <x:c r="M949">
        <x:f ca="1">IFERROR(IF(0=LEN(ReferenceData!$M$949),"",ReferenceData!$M$949),"")</x:f>
        <x:v>0</x:v>
      </x:c>
      <x:c r="N949">
        <x:f ca="1">IFERROR(IF(0=LEN(ReferenceData!$N$949),"",ReferenceData!$N$949),"")</x:f>
        <x:v>0</x:v>
      </x:c>
      <x:c r="O949">
        <x:f ca="1">IFERROR(IF(0=LEN(ReferenceData!$O$949),"",ReferenceData!$O$949),"")</x:f>
        <x:v>0</x:v>
      </x:c>
      <x:c r="P949">
        <x:f ca="1">IFERROR(IF(0=LEN(ReferenceData!$P$949),"",ReferenceData!$P$949),"")</x:f>
        <x:v>0</x:v>
      </x:c>
      <x:c r="Q949">
        <x:f ca="1">IFERROR(IF(0=LEN(ReferenceData!$Q$949),"",ReferenceData!$Q$949),"")</x:f>
        <x:v>0</x:v>
      </x:c>
      <x:c r="R949">
        <x:f ca="1">IFERROR(IF(0=LEN(ReferenceData!$R$949),"",ReferenceData!$R$949),"")</x:f>
        <x:v>0</x:v>
      </x:c>
      <x:c r="S949">
        <x:f ca="1">IFERROR(IF(0=LEN(ReferenceData!$S$949),"",ReferenceData!$S$949),"")</x:f>
        <x:v>0</x:v>
      </x:c>
    </x:row>
    <x:row r="950" spans="1:19" x14ac:dyDescent="0.25">
      <x:c r="A950" t="str">
        <x:f>IFERROR(IF(0=LEN(ReferenceData!$A$950),"",ReferenceData!$A$950),"")</x:f>
        <x:v xml:space="preserve">            Invesco Alerian Galaxy Crypto Economy ETF</x:v>
      </x:c>
      <x:c r="B950" t="str">
        <x:f>IFERROR(IF(0=LEN(ReferenceData!$B$950),"",ReferenceData!$B$950),"")</x:f>
        <x:v>BLOK US Equity</x:v>
      </x:c>
      <x:c r="C950" t="str">
        <x:f>IFERROR(IF(0=LEN(ReferenceData!$C$950),"",ReferenceData!$C$950),"")</x:f>
        <x:v/>
      </x:c>
      <x:c r="D950" t="str">
        <x:f>IFERROR(IF(0=LEN(ReferenceData!$D$950),"",ReferenceData!$D$950),"")</x:f>
        <x:v/>
      </x:c>
      <x:c r="E950" t="str">
        <x:f>IFERROR(IF(0=LEN(ReferenceData!$E$950),"",ReferenceData!$E$950),"")</x:f>
        <x:v>Expression</x:v>
      </x:c>
      <x:c r="F950">
        <x:f ca="1">IFERROR(IF(0=LEN(ReferenceData!$F$950),"",ReferenceData!$F$950),"")</x:f>
        <x:v>0</x:v>
      </x:c>
      <x:c r="G950">
        <x:f ca="1">IFERROR(IF(0=LEN(ReferenceData!$G$950),"",ReferenceData!$G$950),"")</x:f>
        <x:v>-21.873425000000001</x:v>
      </x:c>
      <x:c r="H950">
        <x:f ca="1">IFERROR(IF(0=LEN(ReferenceData!$H$950),"",ReferenceData!$H$950),"")</x:f>
        <x:v>-2.1354500000000001</x:v>
      </x:c>
      <x:c r="I950">
        <x:f ca="1">IFERROR(IF(0=LEN(ReferenceData!$I$950),"",ReferenceData!$I$950),"")</x:f>
        <x:v>-17.762435</x:v>
      </x:c>
      <x:c r="J950">
        <x:f ca="1">IFERROR(IF(0=LEN(ReferenceData!$J$950),"",ReferenceData!$J$950),"")</x:f>
        <x:v>2.4885999999999999</x:v>
      </x:c>
      <x:c r="K950">
        <x:f ca="1">IFERROR(IF(0=LEN(ReferenceData!$K$950),"",ReferenceData!$K$950),"")</x:f>
        <x:v>-5.3817750000000002</x:v>
      </x:c>
      <x:c r="L950">
        <x:f ca="1">IFERROR(IF(0=LEN(ReferenceData!$L$950),"",ReferenceData!$L$950),"")</x:f>
        <x:v>-5.78064</x:v>
      </x:c>
      <x:c r="M950">
        <x:f ca="1">IFERROR(IF(0=LEN(ReferenceData!$M$950),"",ReferenceData!$M$950),"")</x:f>
        <x:v>0</x:v>
      </x:c>
      <x:c r="N950">
        <x:f ca="1">IFERROR(IF(0=LEN(ReferenceData!$N$950),"",ReferenceData!$N$950),"")</x:f>
        <x:v>-1.8617300000000001</x:v>
      </x:c>
      <x:c r="O950">
        <x:f ca="1">IFERROR(IF(0=LEN(ReferenceData!$O$950),"",ReferenceData!$O$950),"")</x:f>
        <x:v>-2.470755</x:v>
      </x:c>
      <x:c r="P950">
        <x:f ca="1">IFERROR(IF(0=LEN(ReferenceData!$P$950),"",ReferenceData!$P$950),"")</x:f>
        <x:v>0.52208500000000002</x:v>
      </x:c>
      <x:c r="Q950">
        <x:f ca="1">IFERROR(IF(0=LEN(ReferenceData!$Q$950),"",ReferenceData!$Q$950),"")</x:f>
        <x:v>-15.774775</x:v>
      </x:c>
      <x:c r="R950">
        <x:f ca="1">IFERROR(IF(0=LEN(ReferenceData!$R$950),"",ReferenceData!$R$950),"")</x:f>
        <x:v>-39.752850000000002</x:v>
      </x:c>
      <x:c r="S950">
        <x:f ca="1">IFERROR(IF(0=LEN(ReferenceData!$S$950),"",ReferenceData!$S$950),"")</x:f>
        <x:v>-0.92667500000000003</x:v>
      </x:c>
    </x:row>
    <x:row r="951" spans="1:19" x14ac:dyDescent="0.25">
      <x:c r="A951" t="str">
        <x:f>IFERROR(IF(0=LEN(ReferenceData!$A$951),"",ReferenceData!$A$951),"")</x:f>
        <x:v xml:space="preserve">            Fidelity Crypto Industry And D</x:v>
      </x:c>
      <x:c r="B951" t="str">
        <x:f>IFERROR(IF(0=LEN(ReferenceData!$B$951),"",ReferenceData!$B$951),"")</x:f>
        <x:v>FDIG US Equity</x:v>
      </x:c>
      <x:c r="C951" t="str">
        <x:f>IFERROR(IF(0=LEN(ReferenceData!$C$951),"",ReferenceData!$C$951),"")</x:f>
        <x:v/>
      </x:c>
      <x:c r="D951" t="str">
        <x:f>IFERROR(IF(0=LEN(ReferenceData!$D$951),"",ReferenceData!$D$951),"")</x:f>
        <x:v/>
      </x:c>
      <x:c r="E951" t="str">
        <x:f>IFERROR(IF(0=LEN(ReferenceData!$E$951),"",ReferenceData!$E$951),"")</x:f>
        <x:v>Expression</x:v>
      </x:c>
      <x:c r="F951">
        <x:f ca="1">IFERROR(IF(0=LEN(ReferenceData!$F$951),"",ReferenceData!$F$951),"")</x:f>
        <x:v>0</x:v>
      </x:c>
      <x:c r="G951">
        <x:f ca="1">IFERROR(IF(0=LEN(ReferenceData!$G$951),"",ReferenceData!$G$951),"")</x:f>
        <x:v>0.76913500000000001</x:v>
      </x:c>
      <x:c r="H951">
        <x:f ca="1">IFERROR(IF(0=LEN(ReferenceData!$H$951),"",ReferenceData!$H$951),"")</x:f>
        <x:v>2.5466129999999998</x:v>
      </x:c>
      <x:c r="I951">
        <x:f ca="1">IFERROR(IF(0=LEN(ReferenceData!$I$951),"",ReferenceData!$I$951),"")</x:f>
        <x:v>0.22606699999999999</x:v>
      </x:c>
      <x:c r="J951">
        <x:f ca="1">IFERROR(IF(0=LEN(ReferenceData!$J$951),"",ReferenceData!$J$951),"")</x:f>
        <x:v>9.2165189999999999</x:v>
      </x:c>
      <x:c r="K951">
        <x:f ca="1">IFERROR(IF(0=LEN(ReferenceData!$K$951),"",ReferenceData!$K$951),"")</x:f>
        <x:v>0</x:v>
      </x:c>
      <x:c r="L951">
        <x:f ca="1">IFERROR(IF(0=LEN(ReferenceData!$L$951),"",ReferenceData!$L$951),"")</x:f>
        <x:v>0</x:v>
      </x:c>
      <x:c r="M951">
        <x:f ca="1">IFERROR(IF(0=LEN(ReferenceData!$M$951),"",ReferenceData!$M$951),"")</x:f>
        <x:v>3.2671929999999998</x:v>
      </x:c>
      <x:c r="N951">
        <x:f ca="1">IFERROR(IF(0=LEN(ReferenceData!$N$951),"",ReferenceData!$N$951),"")</x:f>
        <x:v>1.440469</x:v>
      </x:c>
      <x:c r="O951">
        <x:f ca="1">IFERROR(IF(0=LEN(ReferenceData!$O$951),"",ReferenceData!$O$951),"")</x:f>
        <x:v>0</x:v>
      </x:c>
      <x:c r="P951">
        <x:f ca="1">IFERROR(IF(0=LEN(ReferenceData!$P$951),"",ReferenceData!$P$951),"")</x:f>
        <x:v>0</x:v>
      </x:c>
      <x:c r="Q951">
        <x:f ca="1">IFERROR(IF(0=LEN(ReferenceData!$Q$951),"",ReferenceData!$Q$951),"")</x:f>
        <x:v>1.7444280000000001</x:v>
      </x:c>
      <x:c r="R951">
        <x:f ca="1">IFERROR(IF(0=LEN(ReferenceData!$R$951),"",ReferenceData!$R$951),"")</x:f>
        <x:v>1.2777350000000001</x:v>
      </x:c>
      <x:c r="S951">
        <x:f ca="1">IFERROR(IF(0=LEN(ReferenceData!$S$951),"",ReferenceData!$S$951),"")</x:f>
        <x:v>0</x:v>
      </x:c>
    </x:row>
    <x:row r="952" spans="1:19" x14ac:dyDescent="0.25">
      <x:c r="A952" t="str">
        <x:f>IFERROR(IF(0=LEN(ReferenceData!$A$952),"",ReferenceData!$A$952),"")</x:f>
        <x:v xml:space="preserve">            Schwab Crypto Thematic ETF</x:v>
      </x:c>
      <x:c r="B952" t="str">
        <x:f>IFERROR(IF(0=LEN(ReferenceData!$B$952),"",ReferenceData!$B$952),"")</x:f>
        <x:v>STCE US Equity</x:v>
      </x:c>
      <x:c r="C952" t="str">
        <x:f>IFERROR(IF(0=LEN(ReferenceData!$C$952),"",ReferenceData!$C$952),"")</x:f>
        <x:v/>
      </x:c>
      <x:c r="D952" t="str">
        <x:f>IFERROR(IF(0=LEN(ReferenceData!$D$952),"",ReferenceData!$D$952),"")</x:f>
        <x:v/>
      </x:c>
      <x:c r="E952" t="str">
        <x:f>IFERROR(IF(0=LEN(ReferenceData!$E$952),"",ReferenceData!$E$952),"")</x:f>
        <x:v>Expression</x:v>
      </x:c>
      <x:c r="F952">
        <x:f ca="1">IFERROR(IF(0=LEN(ReferenceData!$F$952),"",ReferenceData!$F$952),"")</x:f>
        <x:v>0</x:v>
      </x:c>
      <x:c r="G952">
        <x:f ca="1">IFERROR(IF(0=LEN(ReferenceData!$G$952),"",ReferenceData!$G$952),"")</x:f>
        <x:v>0.97127600000000003</x:v>
      </x:c>
      <x:c r="H952">
        <x:f ca="1">IFERROR(IF(0=LEN(ReferenceData!$H$952),"",ReferenceData!$H$952),"")</x:f>
        <x:v>0</x:v>
      </x:c>
      <x:c r="I952">
        <x:f ca="1">IFERROR(IF(0=LEN(ReferenceData!$I$952),"",ReferenceData!$I$952),"")</x:f>
        <x:v>0</x:v>
      </x:c>
      <x:c r="J952">
        <x:f ca="1">IFERROR(IF(0=LEN(ReferenceData!$J$952),"",ReferenceData!$J$952),"")</x:f>
        <x:v>0</x:v>
      </x:c>
      <x:c r="K952">
        <x:f ca="1">IFERROR(IF(0=LEN(ReferenceData!$K$952),"",ReferenceData!$K$952),"")</x:f>
        <x:v>0</x:v>
      </x:c>
      <x:c r="L952">
        <x:f ca="1">IFERROR(IF(0=LEN(ReferenceData!$L$952),"",ReferenceData!$L$952),"")</x:f>
        <x:v>0</x:v>
      </x:c>
      <x:c r="M952">
        <x:f ca="1">IFERROR(IF(0=LEN(ReferenceData!$M$952),"",ReferenceData!$M$952),"")</x:f>
        <x:v>0</x:v>
      </x:c>
      <x:c r="N952">
        <x:f ca="1">IFERROR(IF(0=LEN(ReferenceData!$N$952),"",ReferenceData!$N$952),"")</x:f>
        <x:v>1.8920410000000001</x:v>
      </x:c>
      <x:c r="O952">
        <x:f ca="1">IFERROR(IF(0=LEN(ReferenceData!$O$952),"",ReferenceData!$O$952),"")</x:f>
        <x:v>0.99154100000000001</x:v>
      </x:c>
      <x:c r="P952">
        <x:f ca="1">IFERROR(IF(0=LEN(ReferenceData!$P$952),"",ReferenceData!$P$952),"")</x:f>
        <x:v>0</x:v>
      </x:c>
      <x:c r="Q952">
        <x:f ca="1">IFERROR(IF(0=LEN(ReferenceData!$Q$952),"",ReferenceData!$Q$952),"")</x:f>
        <x:v>0</x:v>
      </x:c>
      <x:c r="R952">
        <x:f ca="1">IFERROR(IF(0=LEN(ReferenceData!$R$952),"",ReferenceData!$R$952),"")</x:f>
        <x:v>0</x:v>
      </x:c>
      <x:c r="S952">
        <x:f ca="1">IFERROR(IF(0=LEN(ReferenceData!$S$952),"",ReferenceData!$S$952),"")</x:f>
        <x:v>0.98985400000000001</x:v>
      </x:c>
    </x:row>
    <x:row r="953" spans="1:19" x14ac:dyDescent="0.25">
      <x:c r="A953" t="str">
        <x:f>IFERROR(IF(0=LEN(ReferenceData!$A$953),"",ReferenceData!$A$953),"")</x:f>
        <x:v xml:space="preserve">            Bitwise Web3 ETF</x:v>
      </x:c>
      <x:c r="B953" t="str">
        <x:f>IFERROR(IF(0=LEN(ReferenceData!$B$953),"",ReferenceData!$B$953),"")</x:f>
        <x:v>BWEB US Equity</x:v>
      </x:c>
      <x:c r="C953" t="str">
        <x:f>IFERROR(IF(0=LEN(ReferenceData!$C$953),"",ReferenceData!$C$953),"")</x:f>
        <x:v/>
      </x:c>
      <x:c r="D953" t="str">
        <x:f>IFERROR(IF(0=LEN(ReferenceData!$D$953),"",ReferenceData!$D$953),"")</x:f>
        <x:v/>
      </x:c>
      <x:c r="E953" t="str">
        <x:f>IFERROR(IF(0=LEN(ReferenceData!$E$953),"",ReferenceData!$E$953),"")</x:f>
        <x:v>Expression</x:v>
      </x:c>
      <x:c r="F953">
        <x:f ca="1">IFERROR(IF(0=LEN(ReferenceData!$F$953),"",ReferenceData!$F$953),"")</x:f>
        <x:v>0</x:v>
      </x:c>
      <x:c r="G953">
        <x:f ca="1">IFERROR(IF(0=LEN(ReferenceData!$G$953),"",ReferenceData!$G$953),"")</x:f>
        <x:v>0</x:v>
      </x:c>
      <x:c r="H953">
        <x:f ca="1">IFERROR(IF(0=LEN(ReferenceData!$H$953),"",ReferenceData!$H$953),"")</x:f>
        <x:v>0</x:v>
      </x:c>
      <x:c r="I953">
        <x:f ca="1">IFERROR(IF(0=LEN(ReferenceData!$I$953),"",ReferenceData!$I$953),"")</x:f>
        <x:v>0</x:v>
      </x:c>
      <x:c r="J953">
        <x:f ca="1">IFERROR(IF(0=LEN(ReferenceData!$J$953),"",ReferenceData!$J$953),"")</x:f>
        <x:v>0</x:v>
      </x:c>
      <x:c r="K953">
        <x:f ca="1">IFERROR(IF(0=LEN(ReferenceData!$K$953),"",ReferenceData!$K$953),"")</x:f>
        <x:v>-4.8599999999999997E-3</x:v>
      </x:c>
      <x:c r="L953">
        <x:f ca="1">IFERROR(IF(0=LEN(ReferenceData!$L$953),"",ReferenceData!$L$953),"")</x:f>
        <x:v>0</x:v>
      </x:c>
      <x:c r="M953">
        <x:f ca="1">IFERROR(IF(0=LEN(ReferenceData!$M$953),"",ReferenceData!$M$953),"")</x:f>
        <x:v>0</x:v>
      </x:c>
      <x:c r="N953">
        <x:f ca="1">IFERROR(IF(0=LEN(ReferenceData!$N$953),"",ReferenceData!$N$953),"")</x:f>
        <x:v>0</x:v>
      </x:c>
      <x:c r="O953">
        <x:f ca="1">IFERROR(IF(0=LEN(ReferenceData!$O$953),"",ReferenceData!$O$953),"")</x:f>
        <x:v>-1.2309600000000001</x:v>
      </x:c>
      <x:c r="P953">
        <x:f ca="1">IFERROR(IF(0=LEN(ReferenceData!$P$953),"",ReferenceData!$P$953),"")</x:f>
        <x:v>0</x:v>
      </x:c>
      <x:c r="Q953">
        <x:f ca="1">IFERROR(IF(0=LEN(ReferenceData!$Q$953),"",ReferenceData!$Q$953),"")</x:f>
        <x:v>-6.1000000000000004E-3</x:v>
      </x:c>
      <x:c r="R953">
        <x:f ca="1">IFERROR(IF(0=LEN(ReferenceData!$R$953),"",ReferenceData!$R$953),"")</x:f>
        <x:v>0</x:v>
      </x:c>
      <x:c r="S953">
        <x:f ca="1">IFERROR(IF(0=LEN(ReferenceData!$S$953),"",ReferenceData!$S$953),"")</x:f>
        <x:v>0</x:v>
      </x:c>
    </x:row>
    <x:row r="954" spans="1:19" x14ac:dyDescent="0.25">
      <x:c r="A954" t="str">
        <x:f>IFERROR(IF(0=LEN(ReferenceData!$A$954),"",ReferenceData!$A$954),"")</x:f>
        <x:v xml:space="preserve">        Space</x:v>
      </x:c>
      <x:c r="B954" t="str">
        <x:f>IFERROR(IF(0=LEN(ReferenceData!$B$954),"",ReferenceData!$B$954),"")</x:f>
        <x:v/>
      </x:c>
      <x:c r="C954" t="str">
        <x:f>IFERROR(IF(0=LEN(ReferenceData!$C$954),"",ReferenceData!$C$954),"")</x:f>
        <x:v/>
      </x:c>
      <x:c r="D954" t="str">
        <x:f>IFERROR(IF(0=LEN(ReferenceData!$D$954),"",ReferenceData!$D$954),"")</x:f>
        <x:v/>
      </x:c>
      <x:c r="E954" t="str">
        <x:f>IFERROR(IF(0=LEN(ReferenceData!$E$954),"",ReferenceData!$E$954),"")</x:f>
        <x:v>Sum</x:v>
      </x:c>
      <x:c r="F954">
        <x:f ca="1">IFERROR(IF(0=LEN(ReferenceData!$F$954),"",ReferenceData!$F$954),"")</x:f>
        <x:v>-4.8315989999999998</x:v>
      </x:c>
      <x:c r="G954">
        <x:f ca="1">IFERROR(IF(0=LEN(ReferenceData!$G$954),"",ReferenceData!$G$954),"")</x:f>
        <x:v>-2.7932619999999999</x:v>
      </x:c>
      <x:c r="H954">
        <x:f ca="1">IFERROR(IF(0=LEN(ReferenceData!$H$954),"",ReferenceData!$H$954),"")</x:f>
        <x:v>-5.8894830000000002</x:v>
      </x:c>
      <x:c r="I954">
        <x:f ca="1">IFERROR(IF(0=LEN(ReferenceData!$I$954),"",ReferenceData!$I$954),"")</x:f>
        <x:v>-5.9602729999999999</x:v>
      </x:c>
      <x:c r="J954" t="str">
        <x:f ca="1">IFERROR(IF(0=LEN(ReferenceData!$J$954),"",ReferenceData!$J$954),"")</x:f>
        <x:v/>
      </x:c>
      <x:c r="K954">
        <x:f ca="1">IFERROR(IF(0=LEN(ReferenceData!$K$954),"",ReferenceData!$K$954),"")</x:f>
        <x:v>-5.7236960000000003</x:v>
      </x:c>
      <x:c r="L954">
        <x:f ca="1">IFERROR(IF(0=LEN(ReferenceData!$L$954),"",ReferenceData!$L$954),"")</x:f>
        <x:v>-3.583405</x:v>
      </x:c>
      <x:c r="M954">
        <x:f ca="1">IFERROR(IF(0=LEN(ReferenceData!$M$954),"",ReferenceData!$M$954),"")</x:f>
        <x:v>-6.0834269999999995</x:v>
      </x:c>
      <x:c r="N954">
        <x:f ca="1">IFERROR(IF(0=LEN(ReferenceData!$N$954),"",ReferenceData!$N$954),"")</x:f>
        <x:v>-5.1673650000000002</x:v>
      </x:c>
      <x:c r="O954">
        <x:f ca="1">IFERROR(IF(0=LEN(ReferenceData!$O$954),"",ReferenceData!$O$954),"")</x:f>
        <x:v>-0.69470299999999996</x:v>
      </x:c>
      <x:c r="P954">
        <x:f ca="1">IFERROR(IF(0=LEN(ReferenceData!$P$954),"",ReferenceData!$P$954),"")</x:f>
        <x:v>-8.1443130000000004</x:v>
      </x:c>
      <x:c r="Q954">
        <x:f ca="1">IFERROR(IF(0=LEN(ReferenceData!$Q$954),"",ReferenceData!$Q$954),"")</x:f>
        <x:v>1.0834090000000003</x:v>
      </x:c>
      <x:c r="R954">
        <x:f ca="1">IFERROR(IF(0=LEN(ReferenceData!$R$954),"",ReferenceData!$R$954),"")</x:f>
        <x:v>-6.6888719999999999</x:v>
      </x:c>
      <x:c r="S954">
        <x:f ca="1">IFERROR(IF(0=LEN(ReferenceData!$S$954),"",ReferenceData!$S$954),"")</x:f>
        <x:v>-2.8654129999999998</x:v>
      </x:c>
    </x:row>
    <x:row r="955" spans="1:19" x14ac:dyDescent="0.25">
      <x:c r="A955" t="str">
        <x:f>IFERROR(IF(0=LEN(ReferenceData!$A$955),"",ReferenceData!$A$955),"")</x:f>
        <x:v xml:space="preserve">            SPDR S&amp;P Kensho Final Frontier</x:v>
      </x:c>
      <x:c r="B955" t="str">
        <x:f>IFERROR(IF(0=LEN(ReferenceData!$B$955),"",ReferenceData!$B$955),"")</x:f>
        <x:v>ROKT US Equity</x:v>
      </x:c>
      <x:c r="C955" t="str">
        <x:f>IFERROR(IF(0=LEN(ReferenceData!$C$955),"",ReferenceData!$C$955),"")</x:f>
        <x:v/>
      </x:c>
      <x:c r="D955" t="str">
        <x:f>IFERROR(IF(0=LEN(ReferenceData!$D$955),"",ReferenceData!$D$955),"")</x:f>
        <x:v/>
      </x:c>
      <x:c r="E955" t="str">
        <x:f>IFERROR(IF(0=LEN(ReferenceData!$E$955),"",ReferenceData!$E$955),"")</x:f>
        <x:v>Expression</x:v>
      </x:c>
      <x:c r="F955">
        <x:f ca="1">IFERROR(IF(0=LEN(ReferenceData!$F$955),"",ReferenceData!$F$955),"")</x:f>
        <x:v>0</x:v>
      </x:c>
      <x:c r="G955">
        <x:f ca="1">IFERROR(IF(0=LEN(ReferenceData!$G$955),"",ReferenceData!$G$955),"")</x:f>
        <x:v>0</x:v>
      </x:c>
      <x:c r="H955">
        <x:f ca="1">IFERROR(IF(0=LEN(ReferenceData!$H$955),"",ReferenceData!$H$955),"")</x:f>
        <x:v>-0.39482899999999999</x:v>
      </x:c>
      <x:c r="I955">
        <x:f ca="1">IFERROR(IF(0=LEN(ReferenceData!$I$955),"",ReferenceData!$I$955),"")</x:f>
        <x:v>0</x:v>
      </x:c>
      <x:c r="J955">
        <x:f ca="1">IFERROR(IF(0=LEN(ReferenceData!$J$955),"",ReferenceData!$J$955),"")</x:f>
        <x:v>0</x:v>
      </x:c>
      <x:c r="K955">
        <x:f ca="1">IFERROR(IF(0=LEN(ReferenceData!$K$955),"",ReferenceData!$K$955),"")</x:f>
        <x:v>0</x:v>
      </x:c>
      <x:c r="L955">
        <x:f ca="1">IFERROR(IF(0=LEN(ReferenceData!$L$955),"",ReferenceData!$L$955),"")</x:f>
        <x:v>-0.40521200000000002</x:v>
      </x:c>
      <x:c r="M955">
        <x:f ca="1">IFERROR(IF(0=LEN(ReferenceData!$M$955),"",ReferenceData!$M$955),"")</x:f>
        <x:v>-0.40307500000000002</x:v>
      </x:c>
      <x:c r="N955">
        <x:f ca="1">IFERROR(IF(0=LEN(ReferenceData!$N$955),"",ReferenceData!$N$955),"")</x:f>
        <x:v>-0.401754</x:v>
      </x:c>
      <x:c r="O955">
        <x:f ca="1">IFERROR(IF(0=LEN(ReferenceData!$O$955),"",ReferenceData!$O$955),"")</x:f>
        <x:v>0</x:v>
      </x:c>
      <x:c r="P955">
        <x:f ca="1">IFERROR(IF(0=LEN(ReferenceData!$P$955),"",ReferenceData!$P$955),"")</x:f>
        <x:v>-0.41811900000000002</x:v>
      </x:c>
      <x:c r="Q955">
        <x:f ca="1">IFERROR(IF(0=LEN(ReferenceData!$Q$955),"",ReferenceData!$Q$955),"")</x:f>
        <x:v>0</x:v>
      </x:c>
      <x:c r="R955">
        <x:f ca="1">IFERROR(IF(0=LEN(ReferenceData!$R$955),"",ReferenceData!$R$955),"")</x:f>
        <x:v>-0.38785900000000001</x:v>
      </x:c>
      <x:c r="S955">
        <x:f ca="1">IFERROR(IF(0=LEN(ReferenceData!$S$955),"",ReferenceData!$S$955),"")</x:f>
        <x:v>-0.34556599999999998</x:v>
      </x:c>
    </x:row>
    <x:row r="956" spans="1:19" x14ac:dyDescent="0.25">
      <x:c r="A956" t="str">
        <x:f>IFERROR(IF(0=LEN(ReferenceData!$A$956),"",ReferenceData!$A$956),"")</x:f>
        <x:v xml:space="preserve">            Procure Space ETF</x:v>
      </x:c>
      <x:c r="B956" t="str">
        <x:f>IFERROR(IF(0=LEN(ReferenceData!$B$956),"",ReferenceData!$B$956),"")</x:f>
        <x:v>UFO US Equity</x:v>
      </x:c>
      <x:c r="C956" t="str">
        <x:f>IFERROR(IF(0=LEN(ReferenceData!$C$956),"",ReferenceData!$C$956),"")</x:f>
        <x:v/>
      </x:c>
      <x:c r="D956" t="str">
        <x:f>IFERROR(IF(0=LEN(ReferenceData!$D$956),"",ReferenceData!$D$956),"")</x:f>
        <x:v/>
      </x:c>
      <x:c r="E956" t="str">
        <x:f>IFERROR(IF(0=LEN(ReferenceData!$E$956),"",ReferenceData!$E$956),"")</x:f>
        <x:v>Expression</x:v>
      </x:c>
      <x:c r="F956">
        <x:f ca="1">IFERROR(IF(0=LEN(ReferenceData!$F$956),"",ReferenceData!$F$956),"")</x:f>
        <x:v>-0.79854499999999995</x:v>
      </x:c>
      <x:c r="G956">
        <x:f ca="1">IFERROR(IF(0=LEN(ReferenceData!$G$956),"",ReferenceData!$G$956),"")</x:f>
        <x:v>-0.77642999999999995</x:v>
      </x:c>
      <x:c r="H956">
        <x:f ca="1">IFERROR(IF(0=LEN(ReferenceData!$H$956),"",ReferenceData!$H$956),"")</x:f>
        <x:v>-1.355213</x:v>
      </x:c>
      <x:c r="I956">
        <x:f ca="1">IFERROR(IF(0=LEN(ReferenceData!$I$956),"",ReferenceData!$I$956),"")</x:f>
        <x:v>-2.4668950000000001</x:v>
      </x:c>
      <x:c r="J956">
        <x:f ca="1">IFERROR(IF(0=LEN(ReferenceData!$J$956),"",ReferenceData!$J$956),"")</x:f>
        <x:v>0</x:v>
      </x:c>
      <x:c r="K956">
        <x:f ca="1">IFERROR(IF(0=LEN(ReferenceData!$K$956),"",ReferenceData!$K$956),"")</x:f>
        <x:v>-1.439505</x:v>
      </x:c>
      <x:c r="L956">
        <x:f ca="1">IFERROR(IF(0=LEN(ReferenceData!$L$956),"",ReferenceData!$L$956),"")</x:f>
        <x:v>-0.46673799999999999</x:v>
      </x:c>
      <x:c r="M956">
        <x:f ca="1">IFERROR(IF(0=LEN(ReferenceData!$M$956),"",ReferenceData!$M$956),"")</x:f>
        <x:v>-0.93118000000000001</x:v>
      </x:c>
      <x:c r="N956">
        <x:f ca="1">IFERROR(IF(0=LEN(ReferenceData!$N$956),"",ReferenceData!$N$956),"")</x:f>
        <x:v>-3.402987</x:v>
      </x:c>
      <x:c r="O956">
        <x:f ca="1">IFERROR(IF(0=LEN(ReferenceData!$O$956),"",ReferenceData!$O$956),"")</x:f>
        <x:v>0</x:v>
      </x:c>
      <x:c r="P956">
        <x:f ca="1">IFERROR(IF(0=LEN(ReferenceData!$P$956),"",ReferenceData!$P$956),"")</x:f>
        <x:v>-0.53186</x:v>
      </x:c>
      <x:c r="Q956">
        <x:f ca="1">IFERROR(IF(0=LEN(ReferenceData!$Q$956),"",ReferenceData!$Q$956),"")</x:f>
        <x:v>-1.9836419999999999</x:v>
      </x:c>
      <x:c r="R956">
        <x:f ca="1">IFERROR(IF(0=LEN(ReferenceData!$R$956),"",ReferenceData!$R$956),"")</x:f>
        <x:v>-1.0452300000000001</x:v>
      </x:c>
      <x:c r="S956">
        <x:f ca="1">IFERROR(IF(0=LEN(ReferenceData!$S$956),"",ReferenceData!$S$956),"")</x:f>
        <x:v>0</x:v>
      </x:c>
    </x:row>
    <x:row r="957" spans="1:19" x14ac:dyDescent="0.25">
      <x:c r="A957" t="str">
        <x:f>IFERROR(IF(0=LEN(ReferenceData!$A$957),"",ReferenceData!$A$957),"")</x:f>
        <x:v xml:space="preserve">            ARK Space Exploration &amp; Innova</x:v>
      </x:c>
      <x:c r="B957" t="str">
        <x:f>IFERROR(IF(0=LEN(ReferenceData!$B$957),"",ReferenceData!$B$957),"")</x:f>
        <x:v>ARKX US Equity</x:v>
      </x:c>
      <x:c r="C957" t="str">
        <x:f>IFERROR(IF(0=LEN(ReferenceData!$C$957),"",ReferenceData!$C$957),"")</x:f>
        <x:v/>
      </x:c>
      <x:c r="D957" t="str">
        <x:f>IFERROR(IF(0=LEN(ReferenceData!$D$957),"",ReferenceData!$D$957),"")</x:f>
        <x:v/>
      </x:c>
      <x:c r="E957" t="str">
        <x:f>IFERROR(IF(0=LEN(ReferenceData!$E$957),"",ReferenceData!$E$957),"")</x:f>
        <x:v>Expression</x:v>
      </x:c>
      <x:c r="F957">
        <x:f ca="1">IFERROR(IF(0=LEN(ReferenceData!$F$957),"",ReferenceData!$F$957),"")</x:f>
        <x:v>-4.0330539999999999</x:v>
      </x:c>
      <x:c r="G957">
        <x:f ca="1">IFERROR(IF(0=LEN(ReferenceData!$G$957),"",ReferenceData!$G$957),"")</x:f>
        <x:v>-2.016832</x:v>
      </x:c>
      <x:c r="H957">
        <x:f ca="1">IFERROR(IF(0=LEN(ReferenceData!$H$957),"",ReferenceData!$H$957),"")</x:f>
        <x:v>-4.1394409999999997</x:v>
      </x:c>
      <x:c r="I957">
        <x:f ca="1">IFERROR(IF(0=LEN(ReferenceData!$I$957),"",ReferenceData!$I$957),"")</x:f>
        <x:v>-3.4933779999999999</x:v>
      </x:c>
      <x:c r="J957">
        <x:f ca="1">IFERROR(IF(0=LEN(ReferenceData!$J$957),"",ReferenceData!$J$957),"")</x:f>
        <x:v>0</x:v>
      </x:c>
      <x:c r="K957">
        <x:f ca="1">IFERROR(IF(0=LEN(ReferenceData!$K$957),"",ReferenceData!$K$957),"")</x:f>
        <x:v>-4.2841909999999999</x:v>
      </x:c>
      <x:c r="L957">
        <x:f ca="1">IFERROR(IF(0=LEN(ReferenceData!$L$957),"",ReferenceData!$L$957),"")</x:f>
        <x:v>-2.7114549999999999</x:v>
      </x:c>
      <x:c r="M957">
        <x:f ca="1">IFERROR(IF(0=LEN(ReferenceData!$M$957),"",ReferenceData!$M$957),"")</x:f>
        <x:v>-4.7491719999999997</x:v>
      </x:c>
      <x:c r="N957">
        <x:f ca="1">IFERROR(IF(0=LEN(ReferenceData!$N$957),"",ReferenceData!$N$957),"")</x:f>
        <x:v>-1.3626240000000001</x:v>
      </x:c>
      <x:c r="O957">
        <x:f ca="1">IFERROR(IF(0=LEN(ReferenceData!$O$957),"",ReferenceData!$O$957),"")</x:f>
        <x:v>-0.69470299999999996</x:v>
      </x:c>
      <x:c r="P957">
        <x:f ca="1">IFERROR(IF(0=LEN(ReferenceData!$P$957),"",ReferenceData!$P$957),"")</x:f>
        <x:v>-7.1943339999999996</x:v>
      </x:c>
      <x:c r="Q957">
        <x:f ca="1">IFERROR(IF(0=LEN(ReferenceData!$Q$957),"",ReferenceData!$Q$957),"")</x:f>
        <x:v>3.0670510000000002</x:v>
      </x:c>
      <x:c r="R957">
        <x:f ca="1">IFERROR(IF(0=LEN(ReferenceData!$R$957),"",ReferenceData!$R$957),"")</x:f>
        <x:v>-5.2557830000000001</x:v>
      </x:c>
      <x:c r="S957">
        <x:f ca="1">IFERROR(IF(0=LEN(ReferenceData!$S$957),"",ReferenceData!$S$957),"")</x:f>
        <x:v>-2.5198469999999999</x:v>
      </x:c>
    </x:row>
    <x:row r="958" spans="1:19" x14ac:dyDescent="0.25">
      <x:c r="A958" t="str">
        <x:f>IFERROR(IF(0=LEN(ReferenceData!$A$958),"",ReferenceData!$A$958),"")</x:f>
        <x:v xml:space="preserve">        Work From Home</x:v>
      </x:c>
      <x:c r="B958" t="str">
        <x:f>IFERROR(IF(0=LEN(ReferenceData!$B$958),"",ReferenceData!$B$958),"")</x:f>
        <x:v/>
      </x:c>
      <x:c r="C958" t="str">
        <x:f>IFERROR(IF(0=LEN(ReferenceData!$C$958),"",ReferenceData!$C$958),"")</x:f>
        <x:v/>
      </x:c>
      <x:c r="D958" t="str">
        <x:f>IFERROR(IF(0=LEN(ReferenceData!$D$958),"",ReferenceData!$D$958),"")</x:f>
        <x:v/>
      </x:c>
      <x:c r="E958" t="str">
        <x:f>IFERROR(IF(0=LEN(ReferenceData!$E$958),"",ReferenceData!$E$958),"")</x:f>
        <x:v>Sum</x:v>
      </x:c>
      <x:c r="F958" t="str">
        <x:f ca="1">IFERROR(IF(0=LEN(ReferenceData!$F$958),"",ReferenceData!$F$958),"")</x:f>
        <x:v/>
      </x:c>
      <x:c r="G958" t="str">
        <x:f ca="1">IFERROR(IF(0=LEN(ReferenceData!$G$958),"",ReferenceData!$G$958),"")</x:f>
        <x:v/>
      </x:c>
      <x:c r="H958" t="str">
        <x:f ca="1">IFERROR(IF(0=LEN(ReferenceData!$H$958),"",ReferenceData!$H$958),"")</x:f>
        <x:v/>
      </x:c>
      <x:c r="I958">
        <x:f ca="1">IFERROR(IF(0=LEN(ReferenceData!$I$958),"",ReferenceData!$I$958),"")</x:f>
        <x:v>-2.5085890000000002</x:v>
      </x:c>
      <x:c r="J958" t="str">
        <x:f ca="1">IFERROR(IF(0=LEN(ReferenceData!$J$958),"",ReferenceData!$J$958),"")</x:f>
        <x:v/>
      </x:c>
      <x:c r="K958" t="str">
        <x:f ca="1">IFERROR(IF(0=LEN(ReferenceData!$K$958),"",ReferenceData!$K$958),"")</x:f>
        <x:v/>
      </x:c>
      <x:c r="L958">
        <x:f ca="1">IFERROR(IF(0=LEN(ReferenceData!$L$958),"",ReferenceData!$L$958),"")</x:f>
        <x:v>-1.1425320000000001</x:v>
      </x:c>
      <x:c r="M958">
        <x:f ca="1">IFERROR(IF(0=LEN(ReferenceData!$M$958),"",ReferenceData!$M$958),"")</x:f>
        <x:v>-1.121084</x:v>
      </x:c>
      <x:c r="N958">
        <x:f ca="1">IFERROR(IF(0=LEN(ReferenceData!$N$958),"",ReferenceData!$N$958),"")</x:f>
        <x:v>-2.2728429999999999</x:v>
      </x:c>
      <x:c r="O958" t="str">
        <x:f ca="1">IFERROR(IF(0=LEN(ReferenceData!$O$958),"",ReferenceData!$O$958),"")</x:f>
        <x:v/>
      </x:c>
      <x:c r="P958">
        <x:f ca="1">IFERROR(IF(0=LEN(ReferenceData!$P$958),"",ReferenceData!$P$958),"")</x:f>
        <x:v>-1.098619</x:v>
      </x:c>
      <x:c r="Q958">
        <x:f ca="1">IFERROR(IF(0=LEN(ReferenceData!$Q$958),"",ReferenceData!$Q$958),"")</x:f>
        <x:v>-2.0411100000000002</x:v>
      </x:c>
      <x:c r="R958">
        <x:f ca="1">IFERROR(IF(0=LEN(ReferenceData!$R$958),"",ReferenceData!$R$958),"")</x:f>
        <x:v>-2.040943</x:v>
      </x:c>
      <x:c r="S958" t="str">
        <x:f ca="1">IFERROR(IF(0=LEN(ReferenceData!$S$958),"",ReferenceData!$S$958),"")</x:f>
        <x:v/>
      </x:c>
    </x:row>
    <x:row r="959" spans="1:19" x14ac:dyDescent="0.25">
      <x:c r="A959" t="str">
        <x:f>IFERROR(IF(0=LEN(ReferenceData!$A$959),"",ReferenceData!$A$959),"")</x:f>
        <x:v xml:space="preserve">            iShares Virtual Work &amp; Life Mu</x:v>
      </x:c>
      <x:c r="B959" t="str">
        <x:f>IFERROR(IF(0=LEN(ReferenceData!$B$959),"",ReferenceData!$B$959),"")</x:f>
        <x:v>IWFH US Equity</x:v>
      </x:c>
      <x:c r="C959" t="str">
        <x:f>IFERROR(IF(0=LEN(ReferenceData!$C$959),"",ReferenceData!$C$959),"")</x:f>
        <x:v/>
      </x:c>
      <x:c r="D959" t="str">
        <x:f>IFERROR(IF(0=LEN(ReferenceData!$D$959),"",ReferenceData!$D$959),"")</x:f>
        <x:v/>
      </x:c>
      <x:c r="E959" t="str">
        <x:f>IFERROR(IF(0=LEN(ReferenceData!$E$959),"",ReferenceData!$E$959),"")</x:f>
        <x:v>Expression</x:v>
      </x:c>
      <x:c r="F959">
        <x:f ca="1">IFERROR(IF(0=LEN(ReferenceData!$F$959),"",ReferenceData!$F$959),"")</x:f>
        <x:v>0</x:v>
      </x:c>
      <x:c r="G959">
        <x:f ca="1">IFERROR(IF(0=LEN(ReferenceData!$G$959),"",ReferenceData!$G$959),"")</x:f>
        <x:v>0</x:v>
      </x:c>
      <x:c r="H959">
        <x:f ca="1">IFERROR(IF(0=LEN(ReferenceData!$H$959),"",ReferenceData!$H$959),"")</x:f>
        <x:v>0</x:v>
      </x:c>
      <x:c r="I959">
        <x:f ca="1">IFERROR(IF(0=LEN(ReferenceData!$I$959),"",ReferenceData!$I$959),"")</x:f>
        <x:v>0</x:v>
      </x:c>
      <x:c r="J959">
        <x:f ca="1">IFERROR(IF(0=LEN(ReferenceData!$J$959),"",ReferenceData!$J$959),"")</x:f>
        <x:v>0</x:v>
      </x:c>
      <x:c r="K959">
        <x:f ca="1">IFERROR(IF(0=LEN(ReferenceData!$K$959),"",ReferenceData!$K$959),"")</x:f>
        <x:v>0</x:v>
      </x:c>
      <x:c r="L959">
        <x:f ca="1">IFERROR(IF(0=LEN(ReferenceData!$L$959),"",ReferenceData!$L$959),"")</x:f>
        <x:v>0</x:v>
      </x:c>
      <x:c r="M959">
        <x:f ca="1">IFERROR(IF(0=LEN(ReferenceData!$M$959),"",ReferenceData!$M$959),"")</x:f>
        <x:v>0</x:v>
      </x:c>
      <x:c r="N959">
        <x:f ca="1">IFERROR(IF(0=LEN(ReferenceData!$N$959),"",ReferenceData!$N$959),"")</x:f>
        <x:v>0</x:v>
      </x:c>
      <x:c r="O959">
        <x:f ca="1">IFERROR(IF(0=LEN(ReferenceData!$O$959),"",ReferenceData!$O$959),"")</x:f>
        <x:v>0</x:v>
      </x:c>
      <x:c r="P959">
        <x:f ca="1">IFERROR(IF(0=LEN(ReferenceData!$P$959),"",ReferenceData!$P$959),"")</x:f>
        <x:v>0</x:v>
      </x:c>
      <x:c r="Q959">
        <x:f ca="1">IFERROR(IF(0=LEN(ReferenceData!$Q$959),"",ReferenceData!$Q$959),"")</x:f>
        <x:v>0</x:v>
      </x:c>
      <x:c r="R959">
        <x:f ca="1">IFERROR(IF(0=LEN(ReferenceData!$R$959),"",ReferenceData!$R$959),"")</x:f>
        <x:v>0</x:v>
      </x:c>
      <x:c r="S959">
        <x:f ca="1">IFERROR(IF(0=LEN(ReferenceData!$S$959),"",ReferenceData!$S$959),"")</x:f>
        <x:v>0</x:v>
      </x:c>
    </x:row>
    <x:row r="960" spans="1:19" x14ac:dyDescent="0.25">
      <x:c r="A960" t="str">
        <x:f>IFERROR(IF(0=LEN(ReferenceData!$A$960),"",ReferenceData!$A$960),"")</x:f>
        <x:v xml:space="preserve">            Direxion Work From Home ETF</x:v>
      </x:c>
      <x:c r="B960" t="str">
        <x:f>IFERROR(IF(0=LEN(ReferenceData!$B$960),"",ReferenceData!$B$960),"")</x:f>
        <x:v>WFH US Equity</x:v>
      </x:c>
      <x:c r="C960" t="str">
        <x:f>IFERROR(IF(0=LEN(ReferenceData!$C$960),"",ReferenceData!$C$960),"")</x:f>
        <x:v/>
      </x:c>
      <x:c r="D960" t="str">
        <x:f>IFERROR(IF(0=LEN(ReferenceData!$D$960),"",ReferenceData!$D$960),"")</x:f>
        <x:v/>
      </x:c>
      <x:c r="E960" t="str">
        <x:f>IFERROR(IF(0=LEN(ReferenceData!$E$960),"",ReferenceData!$E$960),"")</x:f>
        <x:v>Expression</x:v>
      </x:c>
      <x:c r="F960">
        <x:f ca="1">IFERROR(IF(0=LEN(ReferenceData!$F$960),"",ReferenceData!$F$960),"")</x:f>
        <x:v>0</x:v>
      </x:c>
      <x:c r="G960">
        <x:f ca="1">IFERROR(IF(0=LEN(ReferenceData!$G$960),"",ReferenceData!$G$960),"")</x:f>
        <x:v>0</x:v>
      </x:c>
      <x:c r="H960">
        <x:f ca="1">IFERROR(IF(0=LEN(ReferenceData!$H$960),"",ReferenceData!$H$960),"")</x:f>
        <x:v>0</x:v>
      </x:c>
      <x:c r="I960">
        <x:f ca="1">IFERROR(IF(0=LEN(ReferenceData!$I$960),"",ReferenceData!$I$960),"")</x:f>
        <x:v>-2.5085890000000002</x:v>
      </x:c>
      <x:c r="J960">
        <x:f ca="1">IFERROR(IF(0=LEN(ReferenceData!$J$960),"",ReferenceData!$J$960),"")</x:f>
        <x:v>0</x:v>
      </x:c>
      <x:c r="K960">
        <x:f ca="1">IFERROR(IF(0=LEN(ReferenceData!$K$960),"",ReferenceData!$K$960),"")</x:f>
        <x:v>0</x:v>
      </x:c>
      <x:c r="L960">
        <x:f ca="1">IFERROR(IF(0=LEN(ReferenceData!$L$960),"",ReferenceData!$L$960),"")</x:f>
        <x:v>-1.1425320000000001</x:v>
      </x:c>
      <x:c r="M960">
        <x:f ca="1">IFERROR(IF(0=LEN(ReferenceData!$M$960),"",ReferenceData!$M$960),"")</x:f>
        <x:v>-1.121084</x:v>
      </x:c>
      <x:c r="N960">
        <x:f ca="1">IFERROR(IF(0=LEN(ReferenceData!$N$960),"",ReferenceData!$N$960),"")</x:f>
        <x:v>-2.2728429999999999</x:v>
      </x:c>
      <x:c r="O960">
        <x:f ca="1">IFERROR(IF(0=LEN(ReferenceData!$O$960),"",ReferenceData!$O$960),"")</x:f>
        <x:v>0</x:v>
      </x:c>
      <x:c r="P960">
        <x:f ca="1">IFERROR(IF(0=LEN(ReferenceData!$P$960),"",ReferenceData!$P$960),"")</x:f>
        <x:v>-1.098619</x:v>
      </x:c>
      <x:c r="Q960">
        <x:f ca="1">IFERROR(IF(0=LEN(ReferenceData!$Q$960),"",ReferenceData!$Q$960),"")</x:f>
        <x:v>-2.0411100000000002</x:v>
      </x:c>
      <x:c r="R960">
        <x:f ca="1">IFERROR(IF(0=LEN(ReferenceData!$R$960),"",ReferenceData!$R$960),"")</x:f>
        <x:v>-2.040943</x:v>
      </x:c>
      <x:c r="S960">
        <x:f ca="1">IFERROR(IF(0=LEN(ReferenceData!$S$960),"",ReferenceData!$S$960),"")</x:f>
        <x:v>0</x:v>
      </x:c>
    </x:row>
    <x:row r="961" spans="1:19" x14ac:dyDescent="0.25">
      <x:c r="A961" t="str">
        <x:f>IFERROR(IF(0=LEN(ReferenceData!$A$961),"",ReferenceData!$A$961),"")</x:f>
        <x:v xml:space="preserve">            Emles @Home ETF</x:v>
      </x:c>
      <x:c r="B961" t="str">
        <x:f>IFERROR(IF(0=LEN(ReferenceData!$B$961),"",ReferenceData!$B$961),"")</x:f>
        <x:v>LIV US Equity</x:v>
      </x:c>
      <x:c r="C961" t="str">
        <x:f>IFERROR(IF(0=LEN(ReferenceData!$C$961),"",ReferenceData!$C$961),"")</x:f>
        <x:v/>
      </x:c>
      <x:c r="D961" t="str">
        <x:f>IFERROR(IF(0=LEN(ReferenceData!$D$961),"",ReferenceData!$D$961),"")</x:f>
        <x:v/>
      </x:c>
      <x:c r="E961" t="str">
        <x:f>IFERROR(IF(0=LEN(ReferenceData!$E$961),"",ReferenceData!$E$961),"")</x:f>
        <x:v>Expression</x:v>
      </x:c>
      <x:c r="F961" t="str">
        <x:f ca="1">IFERROR(IF(0=LEN(ReferenceData!$F$961),"",ReferenceData!$F$961),"")</x:f>
        <x:v/>
      </x:c>
      <x:c r="G961" t="str">
        <x:f ca="1">IFERROR(IF(0=LEN(ReferenceData!$G$961),"",ReferenceData!$G$961),"")</x:f>
        <x:v/>
      </x:c>
      <x:c r="H961" t="str">
        <x:f ca="1">IFERROR(IF(0=LEN(ReferenceData!$H$961),"",ReferenceData!$H$961),"")</x:f>
        <x:v/>
      </x:c>
      <x:c r="I961" t="str">
        <x:f ca="1">IFERROR(IF(0=LEN(ReferenceData!$I$961),"",ReferenceData!$I$961),"")</x:f>
        <x:v/>
      </x:c>
      <x:c r="J961" t="str">
        <x:f ca="1">IFERROR(IF(0=LEN(ReferenceData!$J$961),"",ReferenceData!$J$961),"")</x:f>
        <x:v/>
      </x:c>
      <x:c r="K961" t="str">
        <x:f ca="1">IFERROR(IF(0=LEN(ReferenceData!$K$961),"",ReferenceData!$K$961),"")</x:f>
        <x:v/>
      </x:c>
      <x:c r="L961" t="str">
        <x:f ca="1">IFERROR(IF(0=LEN(ReferenceData!$L$961),"",ReferenceData!$L$961),"")</x:f>
        <x:v/>
      </x:c>
      <x:c r="M961" t="str">
        <x:f ca="1">IFERROR(IF(0=LEN(ReferenceData!$M$961),"",ReferenceData!$M$961),"")</x:f>
        <x:v/>
      </x:c>
      <x:c r="N961" t="str">
        <x:f ca="1">IFERROR(IF(0=LEN(ReferenceData!$N$961),"",ReferenceData!$N$961),"")</x:f>
        <x:v/>
      </x:c>
      <x:c r="O961" t="str">
        <x:f ca="1">IFERROR(IF(0=LEN(ReferenceData!$O$961),"",ReferenceData!$O$961),"")</x:f>
        <x:v/>
      </x:c>
      <x:c r="P961" t="str">
        <x:f ca="1">IFERROR(IF(0=LEN(ReferenceData!$P$961),"",ReferenceData!$P$961),"")</x:f>
        <x:v/>
      </x:c>
      <x:c r="Q961" t="str">
        <x:f ca="1">IFERROR(IF(0=LEN(ReferenceData!$Q$961),"",ReferenceData!$Q$961),"")</x:f>
        <x:v/>
      </x:c>
      <x:c r="R961" t="str">
        <x:f ca="1">IFERROR(IF(0=LEN(ReferenceData!$R$961),"",ReferenceData!$R$961),"")</x:f>
        <x:v/>
      </x:c>
      <x:c r="S961">
        <x:f ca="1">IFERROR(IF(0=LEN(ReferenceData!$S$961),"",ReferenceData!$S$961),"")</x:f>
        <x:v>0</x:v>
      </x:c>
    </x:row>
    <x:row r="962" spans="1:19" x14ac:dyDescent="0.25">
      <x:c r="A962" t="str">
        <x:f>IFERROR(IF(0=LEN(ReferenceData!$A$962),"",ReferenceData!$A$962),"")</x:f>
        <x:v xml:space="preserve">        Travel, Vacation &amp; Leisure</x:v>
      </x:c>
      <x:c r="B962" t="str">
        <x:f>IFERROR(IF(0=LEN(ReferenceData!$B$962),"",ReferenceData!$B$962),"")</x:f>
        <x:v/>
      </x:c>
      <x:c r="C962" t="str">
        <x:f>IFERROR(IF(0=LEN(ReferenceData!$C$962),"",ReferenceData!$C$962),"")</x:f>
        <x:v/>
      </x:c>
      <x:c r="D962" t="str">
        <x:f>IFERROR(IF(0=LEN(ReferenceData!$D$962),"",ReferenceData!$D$962),"")</x:f>
        <x:v/>
      </x:c>
      <x:c r="E962" t="str">
        <x:f>IFERROR(IF(0=LEN(ReferenceData!$E$962),"",ReferenceData!$E$962),"")</x:f>
        <x:v>Sum</x:v>
      </x:c>
      <x:c r="F962">
        <x:f ca="1">IFERROR(IF(0=LEN(ReferenceData!$F$962),"",ReferenceData!$F$962),"")</x:f>
        <x:v>86.846486999999996</x:v>
      </x:c>
      <x:c r="G962">
        <x:f ca="1">IFERROR(IF(0=LEN(ReferenceData!$G$962),"",ReferenceData!$G$962),"")</x:f>
        <x:v>80.525923000000006</x:v>
      </x:c>
      <x:c r="H962">
        <x:f ca="1">IFERROR(IF(0=LEN(ReferenceData!$H$962),"",ReferenceData!$H$962),"")</x:f>
        <x:v>-74.513574000000006</x:v>
      </x:c>
      <x:c r="I962">
        <x:f ca="1">IFERROR(IF(0=LEN(ReferenceData!$I$962),"",ReferenceData!$I$962),"")</x:f>
        <x:v>-50.911039000000009</x:v>
      </x:c>
      <x:c r="J962">
        <x:f ca="1">IFERROR(IF(0=LEN(ReferenceData!$J$962),"",ReferenceData!$J$962),"")</x:f>
        <x:v>-133.288319</x:v>
      </x:c>
      <x:c r="K962">
        <x:f ca="1">IFERROR(IF(0=LEN(ReferenceData!$K$962),"",ReferenceData!$K$962),"")</x:f>
        <x:v>-67.190855999999997</x:v>
      </x:c>
      <x:c r="L962">
        <x:f ca="1">IFERROR(IF(0=LEN(ReferenceData!$L$962),"",ReferenceData!$L$962),"")</x:f>
        <x:v>-147.146773</x:v>
      </x:c>
      <x:c r="M962">
        <x:f ca="1">IFERROR(IF(0=LEN(ReferenceData!$M$962),"",ReferenceData!$M$962),"")</x:f>
        <x:v>-26.002579000000004</x:v>
      </x:c>
      <x:c r="N962">
        <x:f ca="1">IFERROR(IF(0=LEN(ReferenceData!$N$962),"",ReferenceData!$N$962),"")</x:f>
        <x:v>-98.380414000000002</x:v>
      </x:c>
      <x:c r="O962">
        <x:f ca="1">IFERROR(IF(0=LEN(ReferenceData!$O$962),"",ReferenceData!$O$962),"")</x:f>
        <x:v>-81.975554000000002</x:v>
      </x:c>
      <x:c r="P962">
        <x:f ca="1">IFERROR(IF(0=LEN(ReferenceData!$P$962),"",ReferenceData!$P$962),"")</x:f>
        <x:v>-210.93948900000001</x:v>
      </x:c>
      <x:c r="Q962">
        <x:f ca="1">IFERROR(IF(0=LEN(ReferenceData!$Q$962),"",ReferenceData!$Q$962),"")</x:f>
        <x:v>-196.036517</x:v>
      </x:c>
      <x:c r="R962">
        <x:f ca="1">IFERROR(IF(0=LEN(ReferenceData!$R$962),"",ReferenceData!$R$962),"")</x:f>
        <x:v>-38.334323999999995</x:v>
      </x:c>
      <x:c r="S962">
        <x:f ca="1">IFERROR(IF(0=LEN(ReferenceData!$S$962),"",ReferenceData!$S$962),"")</x:f>
        <x:v>-117.999735</x:v>
      </x:c>
    </x:row>
    <x:row r="963" spans="1:19" x14ac:dyDescent="0.25">
      <x:c r="A963" t="str">
        <x:f>IFERROR(IF(0=LEN(ReferenceData!$A$963),"",ReferenceData!$A$963),"")</x:f>
        <x:v xml:space="preserve">            Invesco Dynamic Leisure and En</x:v>
      </x:c>
      <x:c r="B963" t="str">
        <x:f>IFERROR(IF(0=LEN(ReferenceData!$B$963),"",ReferenceData!$B$963),"")</x:f>
        <x:v>PEJ US Equity</x:v>
      </x:c>
      <x:c r="C963" t="str">
        <x:f>IFERROR(IF(0=LEN(ReferenceData!$C$963),"",ReferenceData!$C$963),"")</x:f>
        <x:v/>
      </x:c>
      <x:c r="D963" t="str">
        <x:f>IFERROR(IF(0=LEN(ReferenceData!$D$963),"",ReferenceData!$D$963),"")</x:f>
        <x:v/>
      </x:c>
      <x:c r="E963" t="str">
        <x:f>IFERROR(IF(0=LEN(ReferenceData!$E$963),"",ReferenceData!$E$963),"")</x:f>
        <x:v>Expression</x:v>
      </x:c>
      <x:c r="F963">
        <x:f ca="1">IFERROR(IF(0=LEN(ReferenceData!$F$963),"",ReferenceData!$F$963),"")</x:f>
        <x:v>-7.420884</x:v>
      </x:c>
      <x:c r="G963">
        <x:f ca="1">IFERROR(IF(0=LEN(ReferenceData!$G$963),"",ReferenceData!$G$963),"")</x:f>
        <x:v>-13.833550000000001</x:v>
      </x:c>
      <x:c r="H963">
        <x:f ca="1">IFERROR(IF(0=LEN(ReferenceData!$H$963),"",ReferenceData!$H$963),"")</x:f>
        <x:v>-21.13429</x:v>
      </x:c>
      <x:c r="I963">
        <x:f ca="1">IFERROR(IF(0=LEN(ReferenceData!$I$963),"",ReferenceData!$I$963),"")</x:f>
        <x:v>-24.820675000000001</x:v>
      </x:c>
      <x:c r="J963">
        <x:f ca="1">IFERROR(IF(0=LEN(ReferenceData!$J$963),"",ReferenceData!$J$963),"")</x:f>
        <x:v>-6.9411019999999999</x:v>
      </x:c>
      <x:c r="K963">
        <x:f ca="1">IFERROR(IF(0=LEN(ReferenceData!$K$963),"",ReferenceData!$K$963),"")</x:f>
        <x:v>-7.6146659999999997</x:v>
      </x:c>
      <x:c r="L963">
        <x:f ca="1">IFERROR(IF(0=LEN(ReferenceData!$L$963),"",ReferenceData!$L$963),"")</x:f>
        <x:v>-42.352085000000002</x:v>
      </x:c>
      <x:c r="M963">
        <x:f ca="1">IFERROR(IF(0=LEN(ReferenceData!$M$963),"",ReferenceData!$M$963),"")</x:f>
        <x:v>-14.982184999999999</x:v>
      </x:c>
      <x:c r="N963">
        <x:f ca="1">IFERROR(IF(0=LEN(ReferenceData!$N$963),"",ReferenceData!$N$963),"")</x:f>
        <x:v>-7.3949049999999996</x:v>
      </x:c>
      <x:c r="O963">
        <x:f ca="1">IFERROR(IF(0=LEN(ReferenceData!$O$963),"",ReferenceData!$O$963),"")</x:f>
        <x:v>-16.731256999999999</x:v>
      </x:c>
      <x:c r="P963">
        <x:f ca="1">IFERROR(IF(0=LEN(ReferenceData!$P$963),"",ReferenceData!$P$963),"")</x:f>
        <x:v>-6.7433240000000003</x:v>
      </x:c>
      <x:c r="Q963">
        <x:f ca="1">IFERROR(IF(0=LEN(ReferenceData!$Q$963),"",ReferenceData!$Q$963),"")</x:f>
        <x:v>-114.216832</x:v>
      </x:c>
      <x:c r="R963">
        <x:f ca="1">IFERROR(IF(0=LEN(ReferenceData!$R$963),"",ReferenceData!$R$963),"")</x:f>
        <x:v>-23.202476000000001</x:v>
      </x:c>
      <x:c r="S963">
        <x:f ca="1">IFERROR(IF(0=LEN(ReferenceData!$S$963),"",ReferenceData!$S$963),"")</x:f>
        <x:v>-37.816974999999999</x:v>
      </x:c>
    </x:row>
    <x:row r="964" spans="1:19" x14ac:dyDescent="0.25">
      <x:c r="A964" t="str">
        <x:f>IFERROR(IF(0=LEN(ReferenceData!$A$964),"",ReferenceData!$A$964),"")</x:f>
        <x:v xml:space="preserve">            ETFMG Travel Tech ETF</x:v>
      </x:c>
      <x:c r="B964" t="str">
        <x:f>IFERROR(IF(0=LEN(ReferenceData!$B$964),"",ReferenceData!$B$964),"")</x:f>
        <x:v>AWAY US Equity</x:v>
      </x:c>
      <x:c r="C964" t="str">
        <x:f>IFERROR(IF(0=LEN(ReferenceData!$C$964),"",ReferenceData!$C$964),"")</x:f>
        <x:v/>
      </x:c>
      <x:c r="D964" t="str">
        <x:f>IFERROR(IF(0=LEN(ReferenceData!$D$964),"",ReferenceData!$D$964),"")</x:f>
        <x:v/>
      </x:c>
      <x:c r="E964" t="str">
        <x:f>IFERROR(IF(0=LEN(ReferenceData!$E$964),"",ReferenceData!$E$964),"")</x:f>
        <x:v>Expression</x:v>
      </x:c>
      <x:c r="F964">
        <x:f ca="1">IFERROR(IF(0=LEN(ReferenceData!$F$964),"",ReferenceData!$F$964),"")</x:f>
        <x:v>-2.43581</x:v>
      </x:c>
      <x:c r="G964">
        <x:f ca="1">IFERROR(IF(0=LEN(ReferenceData!$G$964),"",ReferenceData!$G$964),"")</x:f>
        <x:v>-2.295795</x:v>
      </x:c>
      <x:c r="H964">
        <x:f ca="1">IFERROR(IF(0=LEN(ReferenceData!$H$964),"",ReferenceData!$H$964),"")</x:f>
        <x:v>0</x:v>
      </x:c>
      <x:c r="I964">
        <x:f ca="1">IFERROR(IF(0=LEN(ReferenceData!$I$964),"",ReferenceData!$I$964),"")</x:f>
        <x:v>-5.3118100000000004</x:v>
      </x:c>
      <x:c r="J964">
        <x:f ca="1">IFERROR(IF(0=LEN(ReferenceData!$J$964),"",ReferenceData!$J$964),"")</x:f>
        <x:v>-3.46726</x:v>
      </x:c>
      <x:c r="K964">
        <x:f ca="1">IFERROR(IF(0=LEN(ReferenceData!$K$964),"",ReferenceData!$K$964),"")</x:f>
        <x:v>-7.8092499999999996</x:v>
      </x:c>
      <x:c r="L964">
        <x:f ca="1">IFERROR(IF(0=LEN(ReferenceData!$L$964),"",ReferenceData!$L$964),"")</x:f>
        <x:v>-8.3937399999999993</x:v>
      </x:c>
      <x:c r="M964">
        <x:f ca="1">IFERROR(IF(0=LEN(ReferenceData!$M$964),"",ReferenceData!$M$964),"")</x:f>
        <x:v>-7.6721000000000004</x:v>
      </x:c>
      <x:c r="N964">
        <x:f ca="1">IFERROR(IF(0=LEN(ReferenceData!$N$964),"",ReferenceData!$N$964),"")</x:f>
        <x:v>-2.564095</x:v>
      </x:c>
      <x:c r="O964">
        <x:f ca="1">IFERROR(IF(0=LEN(ReferenceData!$O$964),"",ReferenceData!$O$964),"")</x:f>
        <x:v>-2.8636900000000001</x:v>
      </x:c>
      <x:c r="P964">
        <x:f ca="1">IFERROR(IF(0=LEN(ReferenceData!$P$964),"",ReferenceData!$P$964),"")</x:f>
        <x:v>-6.2788950000000003</x:v>
      </x:c>
      <x:c r="Q964">
        <x:f ca="1">IFERROR(IF(0=LEN(ReferenceData!$Q$964),"",ReferenceData!$Q$964),"")</x:f>
        <x:v>-4.9785649999999997</x:v>
      </x:c>
      <x:c r="R964">
        <x:f ca="1">IFERROR(IF(0=LEN(ReferenceData!$R$964),"",ReferenceData!$R$964),"")</x:f>
        <x:v>-0.81118000000000001</x:v>
      </x:c>
      <x:c r="S964">
        <x:f ca="1">IFERROR(IF(0=LEN(ReferenceData!$S$964),"",ReferenceData!$S$964),"")</x:f>
        <x:v>-3.2085599999999999</x:v>
      </x:c>
    </x:row>
    <x:row r="965" spans="1:19" x14ac:dyDescent="0.25">
      <x:c r="A965" t="str">
        <x:f>IFERROR(IF(0=LEN(ReferenceData!$A$965),"",ReferenceData!$A$965),"")</x:f>
        <x:v xml:space="preserve">            Defiance Hotel Airline and Cru</x:v>
      </x:c>
      <x:c r="B965" t="str">
        <x:f>IFERROR(IF(0=LEN(ReferenceData!$B$965),"",ReferenceData!$B$965),"")</x:f>
        <x:v>CRUZ US Equity</x:v>
      </x:c>
      <x:c r="C965" t="str">
        <x:f>IFERROR(IF(0=LEN(ReferenceData!$C$965),"",ReferenceData!$C$965),"")</x:f>
        <x:v/>
      </x:c>
      <x:c r="D965" t="str">
        <x:f>IFERROR(IF(0=LEN(ReferenceData!$D$965),"",ReferenceData!$D$965),"")</x:f>
        <x:v/>
      </x:c>
      <x:c r="E965" t="str">
        <x:f>IFERROR(IF(0=LEN(ReferenceData!$E$965),"",ReferenceData!$E$965),"")</x:f>
        <x:v>Expression</x:v>
      </x:c>
      <x:c r="F965">
        <x:f ca="1">IFERROR(IF(0=LEN(ReferenceData!$F$965),"",ReferenceData!$F$965),"")</x:f>
        <x:v>0</x:v>
      </x:c>
      <x:c r="G965">
        <x:f ca="1">IFERROR(IF(0=LEN(ReferenceData!$G$965),"",ReferenceData!$G$965),"")</x:f>
        <x:v>-3.0827019999999998</x:v>
      </x:c>
      <x:c r="H965">
        <x:f ca="1">IFERROR(IF(0=LEN(ReferenceData!$H$965),"",ReferenceData!$H$965),"")</x:f>
        <x:v>-6.7102529999999998</x:v>
      </x:c>
      <x:c r="I965">
        <x:f ca="1">IFERROR(IF(0=LEN(ReferenceData!$I$965),"",ReferenceData!$I$965),"")</x:f>
        <x:v>-2.6350799999999999</x:v>
      </x:c>
      <x:c r="J965">
        <x:f ca="1">IFERROR(IF(0=LEN(ReferenceData!$J$965),"",ReferenceData!$J$965),"")</x:f>
        <x:v>7.5780950000000002</x:v>
      </x:c>
      <x:c r="K965">
        <x:f ca="1">IFERROR(IF(0=LEN(ReferenceData!$K$965),"",ReferenceData!$K$965),"")</x:f>
        <x:v>-10.957765</x:v>
      </x:c>
      <x:c r="L965">
        <x:f ca="1">IFERROR(IF(0=LEN(ReferenceData!$L$965),"",ReferenceData!$L$965),"")</x:f>
        <x:v>0</x:v>
      </x:c>
      <x:c r="M965">
        <x:f ca="1">IFERROR(IF(0=LEN(ReferenceData!$M$965),"",ReferenceData!$M$965),"")</x:f>
        <x:v>-1.76475</x:v>
      </x:c>
      <x:c r="N965">
        <x:f ca="1">IFERROR(IF(0=LEN(ReferenceData!$N$965),"",ReferenceData!$N$965),"")</x:f>
        <x:v>-2.5788549999999999</x:v>
      </x:c>
      <x:c r="O965">
        <x:f ca="1">IFERROR(IF(0=LEN(ReferenceData!$O$965),"",ReferenceData!$O$965),"")</x:f>
        <x:v>1.455128</x:v>
      </x:c>
      <x:c r="P965">
        <x:f ca="1">IFERROR(IF(0=LEN(ReferenceData!$P$965),"",ReferenceData!$P$965),"")</x:f>
        <x:v>-1.3952899999999999</x:v>
      </x:c>
      <x:c r="Q965">
        <x:f ca="1">IFERROR(IF(0=LEN(ReferenceData!$Q$965),"",ReferenceData!$Q$965),"")</x:f>
        <x:v>13.562218</x:v>
      </x:c>
      <x:c r="R965">
        <x:f ca="1">IFERROR(IF(0=LEN(ReferenceData!$R$965),"",ReferenceData!$R$965),"")</x:f>
        <x:v>0.45468500000000001</x:v>
      </x:c>
      <x:c r="S965">
        <x:f ca="1">IFERROR(IF(0=LEN(ReferenceData!$S$965),"",ReferenceData!$S$965),"")</x:f>
        <x:v>4.2247E-2</x:v>
      </x:c>
    </x:row>
    <x:row r="966" spans="1:19" x14ac:dyDescent="0.25">
      <x:c r="A966" t="str">
        <x:f>IFERROR(IF(0=LEN(ReferenceData!$A$966),"",ReferenceData!$A$966),"")</x:f>
        <x:v xml:space="preserve">            ETFMG 2x Daily Travel Tech ETF</x:v>
      </x:c>
      <x:c r="B966" t="str">
        <x:f>IFERROR(IF(0=LEN(ReferenceData!$B$966),"",ReferenceData!$B$966),"")</x:f>
        <x:v>AWYX US Equity</x:v>
      </x:c>
      <x:c r="C966" t="str">
        <x:f>IFERROR(IF(0=LEN(ReferenceData!$C$966),"",ReferenceData!$C$966),"")</x:f>
        <x:v/>
      </x:c>
      <x:c r="D966" t="str">
        <x:f>IFERROR(IF(0=LEN(ReferenceData!$D$966),"",ReferenceData!$D$966),"")</x:f>
        <x:v/>
      </x:c>
      <x:c r="E966" t="str">
        <x:f>IFERROR(IF(0=LEN(ReferenceData!$E$966),"",ReferenceData!$E$966),"")</x:f>
        <x:v>Expression</x:v>
      </x:c>
      <x:c r="F966" t="str">
        <x:f ca="1">IFERROR(IF(0=LEN(ReferenceData!$F$966),"",ReferenceData!$F$966),"")</x:f>
        <x:v/>
      </x:c>
      <x:c r="G966" t="str">
        <x:f ca="1">IFERROR(IF(0=LEN(ReferenceData!$G$966),"",ReferenceData!$G$966),"")</x:f>
        <x:v/>
      </x:c>
      <x:c r="H966" t="str">
        <x:f ca="1">IFERROR(IF(0=LEN(ReferenceData!$H$966),"",ReferenceData!$H$966),"")</x:f>
        <x:v/>
      </x:c>
      <x:c r="I966" t="str">
        <x:f ca="1">IFERROR(IF(0=LEN(ReferenceData!$I$966),"",ReferenceData!$I$966),"")</x:f>
        <x:v/>
      </x:c>
      <x:c r="J966" t="str">
        <x:f ca="1">IFERROR(IF(0=LEN(ReferenceData!$J$966),"",ReferenceData!$J$966),"")</x:f>
        <x:v/>
      </x:c>
      <x:c r="K966" t="str">
        <x:f ca="1">IFERROR(IF(0=LEN(ReferenceData!$K$966),"",ReferenceData!$K$966),"")</x:f>
        <x:v/>
      </x:c>
      <x:c r="L966" t="str">
        <x:f ca="1">IFERROR(IF(0=LEN(ReferenceData!$L$966),"",ReferenceData!$L$966),"")</x:f>
        <x:v/>
      </x:c>
      <x:c r="M966">
        <x:f ca="1">IFERROR(IF(0=LEN(ReferenceData!$M$966),"",ReferenceData!$M$966),"")</x:f>
        <x:v>0</x:v>
      </x:c>
      <x:c r="N966">
        <x:f ca="1">IFERROR(IF(0=LEN(ReferenceData!$N$966),"",ReferenceData!$N$966),"")</x:f>
        <x:v>0</x:v>
      </x:c>
      <x:c r="O966">
        <x:f ca="1">IFERROR(IF(0=LEN(ReferenceData!$O$966),"",ReferenceData!$O$966),"")</x:f>
        <x:v>0</x:v>
      </x:c>
      <x:c r="P966">
        <x:f ca="1">IFERROR(IF(0=LEN(ReferenceData!$P$966),"",ReferenceData!$P$966),"")</x:f>
        <x:v>0</x:v>
      </x:c>
      <x:c r="Q966">
        <x:f ca="1">IFERROR(IF(0=LEN(ReferenceData!$Q$966),"",ReferenceData!$Q$966),"")</x:f>
        <x:v>0</x:v>
      </x:c>
      <x:c r="R966">
        <x:f ca="1">IFERROR(IF(0=LEN(ReferenceData!$R$966),"",ReferenceData!$R$966),"")</x:f>
        <x:v>0</x:v>
      </x:c>
      <x:c r="S966">
        <x:f ca="1">IFERROR(IF(0=LEN(ReferenceData!$S$966),"",ReferenceData!$S$966),"")</x:f>
        <x:v>0</x:v>
      </x:c>
    </x:row>
    <x:row r="967" spans="1:19" x14ac:dyDescent="0.25">
      <x:c r="A967" t="str">
        <x:f>IFERROR(IF(0=LEN(ReferenceData!$A$967),"",ReferenceData!$A$967),"")</x:f>
        <x:v xml:space="preserve">            Advisorshares Hotel ETF</x:v>
      </x:c>
      <x:c r="B967" t="str">
        <x:f>IFERROR(IF(0=LEN(ReferenceData!$B$967),"",ReferenceData!$B$967),"")</x:f>
        <x:v>BEDZ US Equity</x:v>
      </x:c>
      <x:c r="C967" t="str">
        <x:f>IFERROR(IF(0=LEN(ReferenceData!$C$967),"",ReferenceData!$C$967),"")</x:f>
        <x:v/>
      </x:c>
      <x:c r="D967" t="str">
        <x:f>IFERROR(IF(0=LEN(ReferenceData!$D$967),"",ReferenceData!$D$967),"")</x:f>
        <x:v/>
      </x:c>
      <x:c r="E967" t="str">
        <x:f>IFERROR(IF(0=LEN(ReferenceData!$E$967),"",ReferenceData!$E$967),"")</x:f>
        <x:v>Expression</x:v>
      </x:c>
      <x:c r="F967">
        <x:f ca="1">IFERROR(IF(0=LEN(ReferenceData!$F$967),"",ReferenceData!$F$967),"")</x:f>
        <x:v>-0.65239499999999995</x:v>
      </x:c>
      <x:c r="G967">
        <x:f ca="1">IFERROR(IF(0=LEN(ReferenceData!$G$967),"",ReferenceData!$G$967),"")</x:f>
        <x:v>0</x:v>
      </x:c>
      <x:c r="H967">
        <x:f ca="1">IFERROR(IF(0=LEN(ReferenceData!$H$967),"",ReferenceData!$H$967),"")</x:f>
        <x:v>0</x:v>
      </x:c>
      <x:c r="I967">
        <x:f ca="1">IFERROR(IF(0=LEN(ReferenceData!$I$967),"",ReferenceData!$I$967),"")</x:f>
        <x:v>0</x:v>
      </x:c>
      <x:c r="J967">
        <x:f ca="1">IFERROR(IF(0=LEN(ReferenceData!$J$967),"",ReferenceData!$J$967),"")</x:f>
        <x:v>0</x:v>
      </x:c>
      <x:c r="K967">
        <x:f ca="1">IFERROR(IF(0=LEN(ReferenceData!$K$967),"",ReferenceData!$K$967),"")</x:f>
        <x:v>0</x:v>
      </x:c>
      <x:c r="L967">
        <x:f ca="1">IFERROR(IF(0=LEN(ReferenceData!$L$967),"",ReferenceData!$L$967),"")</x:f>
        <x:v>0</x:v>
      </x:c>
      <x:c r="M967">
        <x:f ca="1">IFERROR(IF(0=LEN(ReferenceData!$M$967),"",ReferenceData!$M$967),"")</x:f>
        <x:v>-0.247422</x:v>
      </x:c>
      <x:c r="N967">
        <x:f ca="1">IFERROR(IF(0=LEN(ReferenceData!$N$967),"",ReferenceData!$N$967),"")</x:f>
        <x:v>-0.71692599999999995</x:v>
      </x:c>
      <x:c r="O967">
        <x:f ca="1">IFERROR(IF(0=LEN(ReferenceData!$O$967),"",ReferenceData!$O$967),"")</x:f>
        <x:v>-3.5209999999999998E-3</x:v>
      </x:c>
      <x:c r="P967">
        <x:f ca="1">IFERROR(IF(0=LEN(ReferenceData!$P$967),"",ReferenceData!$P$967),"")</x:f>
        <x:v>0</x:v>
      </x:c>
      <x:c r="Q967">
        <x:f ca="1">IFERROR(IF(0=LEN(ReferenceData!$Q$967),"",ReferenceData!$Q$967),"")</x:f>
        <x:v>0</x:v>
      </x:c>
      <x:c r="R967">
        <x:f ca="1">IFERROR(IF(0=LEN(ReferenceData!$R$967),"",ReferenceData!$R$967),"")</x:f>
        <x:v>0</x:v>
      </x:c>
      <x:c r="S967">
        <x:f ca="1">IFERROR(IF(0=LEN(ReferenceData!$S$967),"",ReferenceData!$S$967),"")</x:f>
        <x:v>-0.20579500000000001</x:v>
      </x:c>
    </x:row>
    <x:row r="968" spans="1:19" x14ac:dyDescent="0.25">
      <x:c r="A968" t="str">
        <x:f>IFERROR(IF(0=LEN(ReferenceData!$A$968),"",ReferenceData!$A$968),"")</x:f>
        <x:v xml:space="preserve">            Advisorshares Restaurant ETF</x:v>
      </x:c>
      <x:c r="B968" t="str">
        <x:f>IFERROR(IF(0=LEN(ReferenceData!$B$968),"",ReferenceData!$B$968),"")</x:f>
        <x:v>EATZ US Equity</x:v>
      </x:c>
      <x:c r="C968" t="str">
        <x:f>IFERROR(IF(0=LEN(ReferenceData!$C$968),"",ReferenceData!$C$968),"")</x:f>
        <x:v/>
      </x:c>
      <x:c r="D968" t="str">
        <x:f>IFERROR(IF(0=LEN(ReferenceData!$D$968),"",ReferenceData!$D$968),"")</x:f>
        <x:v/>
      </x:c>
      <x:c r="E968" t="str">
        <x:f>IFERROR(IF(0=LEN(ReferenceData!$E$968),"",ReferenceData!$E$968),"")</x:f>
        <x:v>Expression</x:v>
      </x:c>
      <x:c r="F968">
        <x:f ca="1">IFERROR(IF(0=LEN(ReferenceData!$F$968),"",ReferenceData!$F$968),"")</x:f>
        <x:v>0</x:v>
      </x:c>
      <x:c r="G968">
        <x:f ca="1">IFERROR(IF(0=LEN(ReferenceData!$G$968),"",ReferenceData!$G$968),"")</x:f>
        <x:v>0</x:v>
      </x:c>
      <x:c r="H968">
        <x:f ca="1">IFERROR(IF(0=LEN(ReferenceData!$H$968),"",ReferenceData!$H$968),"")</x:f>
        <x:v>0</x:v>
      </x:c>
      <x:c r="I968">
        <x:f ca="1">IFERROR(IF(0=LEN(ReferenceData!$I$968),"",ReferenceData!$I$968),"")</x:f>
        <x:v>0.10172399999999999</x:v>
      </x:c>
      <x:c r="J968">
        <x:f ca="1">IFERROR(IF(0=LEN(ReferenceData!$J$968),"",ReferenceData!$J$968),"")</x:f>
        <x:v>0</x:v>
      </x:c>
      <x:c r="K968">
        <x:f ca="1">IFERROR(IF(0=LEN(ReferenceData!$K$968),"",ReferenceData!$K$968),"")</x:f>
        <x:v>-0.10519000000000001</x:v>
      </x:c>
      <x:c r="L968">
        <x:f ca="1">IFERROR(IF(0=LEN(ReferenceData!$L$968),"",ReferenceData!$L$968),"")</x:f>
        <x:v>0</x:v>
      </x:c>
      <x:c r="M968">
        <x:f ca="1">IFERROR(IF(0=LEN(ReferenceData!$M$968),"",ReferenceData!$M$968),"")</x:f>
        <x:v>0</x:v>
      </x:c>
      <x:c r="N968">
        <x:f ca="1">IFERROR(IF(0=LEN(ReferenceData!$N$968),"",ReferenceData!$N$968),"")</x:f>
        <x:v>0</x:v>
      </x:c>
      <x:c r="O968">
        <x:f ca="1">IFERROR(IF(0=LEN(ReferenceData!$O$968),"",ReferenceData!$O$968),"")</x:f>
        <x:v>0</x:v>
      </x:c>
      <x:c r="P968">
        <x:f ca="1">IFERROR(IF(0=LEN(ReferenceData!$P$968),"",ReferenceData!$P$968),"")</x:f>
        <x:v>0</x:v>
      </x:c>
      <x:c r="Q968">
        <x:f ca="1">IFERROR(IF(0=LEN(ReferenceData!$Q$968),"",ReferenceData!$Q$968),"")</x:f>
        <x:v>0</x:v>
      </x:c>
      <x:c r="R968">
        <x:f ca="1">IFERROR(IF(0=LEN(ReferenceData!$R$968),"",ReferenceData!$R$968),"")</x:f>
        <x:v>0</x:v>
      </x:c>
      <x:c r="S968">
        <x:f ca="1">IFERROR(IF(0=LEN(ReferenceData!$S$968),"",ReferenceData!$S$968),"")</x:f>
        <x:v>-0.54282600000000003</x:v>
      </x:c>
    </x:row>
    <x:row r="969" spans="1:19" x14ac:dyDescent="0.25">
      <x:c r="A969" t="str">
        <x:f>IFERROR(IF(0=LEN(ReferenceData!$A$969),"",ReferenceData!$A$969),"")</x:f>
        <x:v xml:space="preserve">            Direxion Daily Travel &amp; Vacati</x:v>
      </x:c>
      <x:c r="B969" t="str">
        <x:f>IFERROR(IF(0=LEN(ReferenceData!$B$969),"",ReferenceData!$B$969),"")</x:f>
        <x:v>OOTO US Equity</x:v>
      </x:c>
      <x:c r="C969" t="str">
        <x:f>IFERROR(IF(0=LEN(ReferenceData!$C$969),"",ReferenceData!$C$969),"")</x:f>
        <x:v/>
      </x:c>
      <x:c r="D969" t="str">
        <x:f>IFERROR(IF(0=LEN(ReferenceData!$D$969),"",ReferenceData!$D$969),"")</x:f>
        <x:v/>
      </x:c>
      <x:c r="E969" t="str">
        <x:f>IFERROR(IF(0=LEN(ReferenceData!$E$969),"",ReferenceData!$E$969),"")</x:f>
        <x:v>Expression</x:v>
      </x:c>
      <x:c r="F969">
        <x:f ca="1">IFERROR(IF(0=LEN(ReferenceData!$F$969),"",ReferenceData!$F$969),"")</x:f>
        <x:v>-0.50234900000000005</x:v>
      </x:c>
      <x:c r="G969">
        <x:f ca="1">IFERROR(IF(0=LEN(ReferenceData!$G$969),"",ReferenceData!$G$969),"")</x:f>
        <x:v>0</x:v>
      </x:c>
      <x:c r="H969">
        <x:f ca="1">IFERROR(IF(0=LEN(ReferenceData!$H$969),"",ReferenceData!$H$969),"")</x:f>
        <x:v>-0.57251099999999999</x:v>
      </x:c>
      <x:c r="I969">
        <x:f ca="1">IFERROR(IF(0=LEN(ReferenceData!$I$969),"",ReferenceData!$I$969),"")</x:f>
        <x:v>-2.0491480000000002</x:v>
      </x:c>
      <x:c r="J969">
        <x:f ca="1">IFERROR(IF(0=LEN(ReferenceData!$J$969),"",ReferenceData!$J$969),"")</x:f>
        <x:v>-0.70753200000000005</x:v>
      </x:c>
      <x:c r="K969">
        <x:f ca="1">IFERROR(IF(0=LEN(ReferenceData!$K$969),"",ReferenceData!$K$969),"")</x:f>
        <x:v>0</x:v>
      </x:c>
      <x:c r="L969">
        <x:f ca="1">IFERROR(IF(0=LEN(ReferenceData!$L$969),"",ReferenceData!$L$969),"")</x:f>
        <x:v>-0.57064300000000001</x:v>
      </x:c>
      <x:c r="M969">
        <x:f ca="1">IFERROR(IF(0=LEN(ReferenceData!$M$969),"",ReferenceData!$M$969),"")</x:f>
        <x:v>-0.57228199999999996</x:v>
      </x:c>
      <x:c r="N969">
        <x:f ca="1">IFERROR(IF(0=LEN(ReferenceData!$N$969),"",ReferenceData!$N$969),"")</x:f>
        <x:v>-0.638104</x:v>
      </x:c>
      <x:c r="O969">
        <x:f ca="1">IFERROR(IF(0=LEN(ReferenceData!$O$969),"",ReferenceData!$O$969),"")</x:f>
        <x:v>-2.0983269999999998</x:v>
      </x:c>
      <x:c r="P969">
        <x:f ca="1">IFERROR(IF(0=LEN(ReferenceData!$P$969),"",ReferenceData!$P$969),"")</x:f>
        <x:v>-1.251498</x:v>
      </x:c>
      <x:c r="Q969">
        <x:f ca="1">IFERROR(IF(0=LEN(ReferenceData!$Q$969),"",ReferenceData!$Q$969),"")</x:f>
        <x:v>-1.9712130000000001</x:v>
      </x:c>
      <x:c r="R969">
        <x:f ca="1">IFERROR(IF(0=LEN(ReferenceData!$R$969),"",ReferenceData!$R$969),"")</x:f>
        <x:v>-2.5355029999999998</x:v>
      </x:c>
      <x:c r="S969">
        <x:f ca="1">IFERROR(IF(0=LEN(ReferenceData!$S$969),"",ReferenceData!$S$969),"")</x:f>
        <x:v>0</x:v>
      </x:c>
    </x:row>
    <x:row r="970" spans="1:19" x14ac:dyDescent="0.25">
      <x:c r="A970" t="str">
        <x:f>IFERROR(IF(0=LEN(ReferenceData!$A$970),"",ReferenceData!$A$970),"")</x:f>
        <x:v xml:space="preserve">            Sonicshares Airlines Hotels Cr</x:v>
      </x:c>
      <x:c r="B970" t="str">
        <x:f>IFERROR(IF(0=LEN(ReferenceData!$B$970),"",ReferenceData!$B$970),"")</x:f>
        <x:v>TRYP US Equity</x:v>
      </x:c>
      <x:c r="C970" t="str">
        <x:f>IFERROR(IF(0=LEN(ReferenceData!$C$970),"",ReferenceData!$C$970),"")</x:f>
        <x:v/>
      </x:c>
      <x:c r="D970" t="str">
        <x:f>IFERROR(IF(0=LEN(ReferenceData!$D$970),"",ReferenceData!$D$970),"")</x:f>
        <x:v/>
      </x:c>
      <x:c r="E970" t="str">
        <x:f>IFERROR(IF(0=LEN(ReferenceData!$E$970),"",ReferenceData!$E$970),"")</x:f>
        <x:v>Expression</x:v>
      </x:c>
      <x:c r="F970" t="str">
        <x:f ca="1">IFERROR(IF(0=LEN(ReferenceData!$F$970),"",ReferenceData!$F$970),"")</x:f>
        <x:v/>
      </x:c>
      <x:c r="G970" t="str">
        <x:f ca="1">IFERROR(IF(0=LEN(ReferenceData!$G$970),"",ReferenceData!$G$970),"")</x:f>
        <x:v/>
      </x:c>
      <x:c r="H970" t="str">
        <x:f ca="1">IFERROR(IF(0=LEN(ReferenceData!$H$970),"",ReferenceData!$H$970),"")</x:f>
        <x:v/>
      </x:c>
      <x:c r="I970" t="str">
        <x:f ca="1">IFERROR(IF(0=LEN(ReferenceData!$I$970),"",ReferenceData!$I$970),"")</x:f>
        <x:v/>
      </x:c>
      <x:c r="J970" t="str">
        <x:f ca="1">IFERROR(IF(0=LEN(ReferenceData!$J$970),"",ReferenceData!$J$970),"")</x:f>
        <x:v/>
      </x:c>
      <x:c r="K970" t="str">
        <x:f ca="1">IFERROR(IF(0=LEN(ReferenceData!$K$970),"",ReferenceData!$K$970),"")</x:f>
        <x:v/>
      </x:c>
      <x:c r="L970" t="str">
        <x:f ca="1">IFERROR(IF(0=LEN(ReferenceData!$L$970),"",ReferenceData!$L$970),"")</x:f>
        <x:v/>
      </x:c>
      <x:c r="M970" t="str">
        <x:f ca="1">IFERROR(IF(0=LEN(ReferenceData!$M$970),"",ReferenceData!$M$970),"")</x:f>
        <x:v/>
      </x:c>
      <x:c r="N970" t="str">
        <x:f ca="1">IFERROR(IF(0=LEN(ReferenceData!$N$970),"",ReferenceData!$N$970),"")</x:f>
        <x:v/>
      </x:c>
      <x:c r="O970" t="str">
        <x:f ca="1">IFERROR(IF(0=LEN(ReferenceData!$O$970),"",ReferenceData!$O$970),"")</x:f>
        <x:v/>
      </x:c>
      <x:c r="P970" t="str">
        <x:f ca="1">IFERROR(IF(0=LEN(ReferenceData!$P$970),"",ReferenceData!$P$970),"")</x:f>
        <x:v/>
      </x:c>
      <x:c r="Q970" t="str">
        <x:f ca="1">IFERROR(IF(0=LEN(ReferenceData!$Q$970),"",ReferenceData!$Q$970),"")</x:f>
        <x:v/>
      </x:c>
      <x:c r="R970" t="str">
        <x:f ca="1">IFERROR(IF(0=LEN(ReferenceData!$R$970),"",ReferenceData!$R$970),"")</x:f>
        <x:v/>
      </x:c>
      <x:c r="S970" t="str">
        <x:f ca="1">IFERROR(IF(0=LEN(ReferenceData!$S$970),"",ReferenceData!$S$970),"")</x:f>
        <x:v/>
      </x:c>
    </x:row>
    <x:row r="971" spans="1:19" x14ac:dyDescent="0.25">
      <x:c r="A971" t="str">
        <x:f>IFERROR(IF(0=LEN(ReferenceData!$A$971),"",ReferenceData!$A$971),"")</x:f>
        <x:v xml:space="preserve">            ALPS Global Travel Beneficiari</x:v>
      </x:c>
      <x:c r="B971" t="str">
        <x:f>IFERROR(IF(0=LEN(ReferenceData!$B$971),"",ReferenceData!$B$971),"")</x:f>
        <x:v>JRNY US Equity</x:v>
      </x:c>
      <x:c r="C971" t="str">
        <x:f>IFERROR(IF(0=LEN(ReferenceData!$C$971),"",ReferenceData!$C$971),"")</x:f>
        <x:v/>
      </x:c>
      <x:c r="D971" t="str">
        <x:f>IFERROR(IF(0=LEN(ReferenceData!$D$971),"",ReferenceData!$D$971),"")</x:f>
        <x:v/>
      </x:c>
      <x:c r="E971" t="str">
        <x:f>IFERROR(IF(0=LEN(ReferenceData!$E$971),"",ReferenceData!$E$971),"")</x:f>
        <x:v>Expression</x:v>
      </x:c>
      <x:c r="F971">
        <x:f ca="1">IFERROR(IF(0=LEN(ReferenceData!$F$971),"",ReferenceData!$F$971),"")</x:f>
        <x:v>0</x:v>
      </x:c>
      <x:c r="G971">
        <x:f ca="1">IFERROR(IF(0=LEN(ReferenceData!$G$971),"",ReferenceData!$G$971),"")</x:f>
        <x:v>0</x:v>
      </x:c>
      <x:c r="H971">
        <x:f ca="1">IFERROR(IF(0=LEN(ReferenceData!$H$971),"",ReferenceData!$H$971),"")</x:f>
        <x:v>0</x:v>
      </x:c>
      <x:c r="I971">
        <x:f ca="1">IFERROR(IF(0=LEN(ReferenceData!$I$971),"",ReferenceData!$I$971),"")</x:f>
        <x:v>0</x:v>
      </x:c>
      <x:c r="J971">
        <x:f ca="1">IFERROR(IF(0=LEN(ReferenceData!$J$971),"",ReferenceData!$J$971),"")</x:f>
        <x:v>0</x:v>
      </x:c>
      <x:c r="K971">
        <x:f ca="1">IFERROR(IF(0=LEN(ReferenceData!$K$971),"",ReferenceData!$K$971),"")</x:f>
        <x:v>0</x:v>
      </x:c>
      <x:c r="L971">
        <x:f ca="1">IFERROR(IF(0=LEN(ReferenceData!$L$971),"",ReferenceData!$L$971),"")</x:f>
        <x:v>0</x:v>
      </x:c>
      <x:c r="M971">
        <x:f ca="1">IFERROR(IF(0=LEN(ReferenceData!$M$971),"",ReferenceData!$M$971),"")</x:f>
        <x:v>-0.57289000000000001</x:v>
      </x:c>
      <x:c r="N971">
        <x:f ca="1">IFERROR(IF(0=LEN(ReferenceData!$N$971),"",ReferenceData!$N$971),"")</x:f>
        <x:v>0.57633599999999996</x:v>
      </x:c>
      <x:c r="O971">
        <x:f ca="1">IFERROR(IF(0=LEN(ReferenceData!$O$971),"",ReferenceData!$O$971),"")</x:f>
        <x:v>-1.1309419999999999</x:v>
      </x:c>
      <x:c r="P971">
        <x:f ca="1">IFERROR(IF(0=LEN(ReferenceData!$P$971),"",ReferenceData!$P$971),"")</x:f>
        <x:v>-1.1593070000000001</x:v>
      </x:c>
      <x:c r="Q971">
        <x:f ca="1">IFERROR(IF(0=LEN(ReferenceData!$Q$971),"",ReferenceData!$Q$971),"")</x:f>
        <x:v>0</x:v>
      </x:c>
      <x:c r="R971">
        <x:f ca="1">IFERROR(IF(0=LEN(ReferenceData!$R$971),"",ReferenceData!$R$971),"")</x:f>
        <x:v>0</x:v>
      </x:c>
      <x:c r="S971">
        <x:f ca="1">IFERROR(IF(0=LEN(ReferenceData!$S$971),"",ReferenceData!$S$971),"")</x:f>
        <x:v>-3.8816609999999998</x:v>
      </x:c>
    </x:row>
    <x:row r="972" spans="1:19" x14ac:dyDescent="0.25">
      <x:c r="A972" t="str">
        <x:f>IFERROR(IF(0=LEN(ReferenceData!$A$972),"",ReferenceData!$A$972),"")</x:f>
        <x:v xml:space="preserve">            US Global Jets ETF</x:v>
      </x:c>
      <x:c r="B972" t="str">
        <x:f>IFERROR(IF(0=LEN(ReferenceData!$B$972),"",ReferenceData!$B$972),"")</x:f>
        <x:v>JETS US Equity</x:v>
      </x:c>
      <x:c r="C972" t="str">
        <x:f>IFERROR(IF(0=LEN(ReferenceData!$C$972),"",ReferenceData!$C$972),"")</x:f>
        <x:v/>
      </x:c>
      <x:c r="D972" t="str">
        <x:f>IFERROR(IF(0=LEN(ReferenceData!$D$972),"",ReferenceData!$D$972),"")</x:f>
        <x:v/>
      </x:c>
      <x:c r="E972" t="str">
        <x:f>IFERROR(IF(0=LEN(ReferenceData!$E$972),"",ReferenceData!$E$972),"")</x:f>
        <x:v>Expression</x:v>
      </x:c>
      <x:c r="F972">
        <x:f ca="1">IFERROR(IF(0=LEN(ReferenceData!$F$972),"",ReferenceData!$F$972),"")</x:f>
        <x:v>97.857924999999994</x:v>
      </x:c>
      <x:c r="G972">
        <x:f ca="1">IFERROR(IF(0=LEN(ReferenceData!$G$972),"",ReferenceData!$G$972),"")</x:f>
        <x:v>99.737970000000004</x:v>
      </x:c>
      <x:c r="H972">
        <x:f ca="1">IFERROR(IF(0=LEN(ReferenceData!$H$972),"",ReferenceData!$H$972),"")</x:f>
        <x:v>-46.096519999999998</x:v>
      </x:c>
      <x:c r="I972">
        <x:f ca="1">IFERROR(IF(0=LEN(ReferenceData!$I$972),"",ReferenceData!$I$972),"")</x:f>
        <x:v>-16.19605</x:v>
      </x:c>
      <x:c r="J972">
        <x:f ca="1">IFERROR(IF(0=LEN(ReferenceData!$J$972),"",ReferenceData!$J$972),"")</x:f>
        <x:v>-129.75051999999999</x:v>
      </x:c>
      <x:c r="K972">
        <x:f ca="1">IFERROR(IF(0=LEN(ReferenceData!$K$972),"",ReferenceData!$K$972),"")</x:f>
        <x:v>-40.703985000000003</x:v>
      </x:c>
      <x:c r="L972">
        <x:f ca="1">IFERROR(IF(0=LEN(ReferenceData!$L$972),"",ReferenceData!$L$972),"")</x:f>
        <x:v>-95.830304999999996</x:v>
      </x:c>
      <x:c r="M972">
        <x:f ca="1">IFERROR(IF(0=LEN(ReferenceData!$M$972),"",ReferenceData!$M$972),"")</x:f>
        <x:v>-0.19095000000000001</x:v>
      </x:c>
      <x:c r="N972">
        <x:f ca="1">IFERROR(IF(0=LEN(ReferenceData!$N$972),"",ReferenceData!$N$972),"")</x:f>
        <x:v>-85.063865000000007</x:v>
      </x:c>
      <x:c r="O972">
        <x:f ca="1">IFERROR(IF(0=LEN(ReferenceData!$O$972),"",ReferenceData!$O$972),"")</x:f>
        <x:v>-60.602944999999998</x:v>
      </x:c>
      <x:c r="P972">
        <x:f ca="1">IFERROR(IF(0=LEN(ReferenceData!$P$972),"",ReferenceData!$P$972),"")</x:f>
        <x:v>-194.111175</x:v>
      </x:c>
      <x:c r="Q972">
        <x:f ca="1">IFERROR(IF(0=LEN(ReferenceData!$Q$972),"",ReferenceData!$Q$972),"")</x:f>
        <x:v>-88.432124999999999</x:v>
      </x:c>
      <x:c r="R972">
        <x:f ca="1">IFERROR(IF(0=LEN(ReferenceData!$R$972),"",ReferenceData!$R$972),"")</x:f>
        <x:v>-12.239850000000001</x:v>
      </x:c>
      <x:c r="S972">
        <x:f ca="1">IFERROR(IF(0=LEN(ReferenceData!$S$972),"",ReferenceData!$S$972),"")</x:f>
        <x:v>-72.386165000000005</x:v>
      </x:c>
    </x:row>
    <x:row r="973" spans="1:19" x14ac:dyDescent="0.25">
      <x:c r="A973" t="str">
        <x:f>IFERROR(IF(0=LEN(ReferenceData!$A$973),"",ReferenceData!$A$973),"")</x:f>
        <x:v xml:space="preserve">            Kelly Strategic Hotel &amp; Lodgin</x:v>
      </x:c>
      <x:c r="B973" t="str">
        <x:f>IFERROR(IF(0=LEN(ReferenceData!$B$973),"",ReferenceData!$B$973),"")</x:f>
        <x:v>HOTL US Equity</x:v>
      </x:c>
      <x:c r="C973" t="str">
        <x:f>IFERROR(IF(0=LEN(ReferenceData!$C$973),"",ReferenceData!$C$973),"")</x:f>
        <x:v/>
      </x:c>
      <x:c r="D973" t="str">
        <x:f>IFERROR(IF(0=LEN(ReferenceData!$D$973),"",ReferenceData!$D$973),"")</x:f>
        <x:v/>
      </x:c>
      <x:c r="E973" t="str">
        <x:f>IFERROR(IF(0=LEN(ReferenceData!$E$973),"",ReferenceData!$E$973),"")</x:f>
        <x:v>Expression</x:v>
      </x:c>
      <x:c r="F973">
        <x:f ca="1">IFERROR(IF(0=LEN(ReferenceData!$F$973),"",ReferenceData!$F$973),"")</x:f>
        <x:v>0</x:v>
      </x:c>
      <x:c r="G973">
        <x:f ca="1">IFERROR(IF(0=LEN(ReferenceData!$G$973),"",ReferenceData!$G$973),"")</x:f>
        <x:v>0</x:v>
      </x:c>
      <x:c r="H973">
        <x:f ca="1">IFERROR(IF(0=LEN(ReferenceData!$H$973),"",ReferenceData!$H$973),"")</x:f>
        <x:v>0</x:v>
      </x:c>
      <x:c r="I973">
        <x:f ca="1">IFERROR(IF(0=LEN(ReferenceData!$I$973),"",ReferenceData!$I$973),"")</x:f>
        <x:v>0</x:v>
      </x:c>
      <x:c r="J973">
        <x:f ca="1">IFERROR(IF(0=LEN(ReferenceData!$J$973),"",ReferenceData!$J$973),"")</x:f>
        <x:v>0</x:v>
      </x:c>
      <x:c r="K973">
        <x:f ca="1">IFERROR(IF(0=LEN(ReferenceData!$K$973),"",ReferenceData!$K$973),"")</x:f>
        <x:v>0</x:v>
      </x:c>
      <x:c r="L973">
        <x:f ca="1">IFERROR(IF(0=LEN(ReferenceData!$L$973),"",ReferenceData!$L$973),"")</x:f>
        <x:v>0</x:v>
      </x:c>
      <x:c r="M973">
        <x:f ca="1">IFERROR(IF(0=LEN(ReferenceData!$M$973),"",ReferenceData!$M$973),"")</x:f>
        <x:v>0</x:v>
      </x:c>
      <x:c r="N973">
        <x:f ca="1">IFERROR(IF(0=LEN(ReferenceData!$N$973),"",ReferenceData!$N$973),"")</x:f>
        <x:v>0</x:v>
      </x:c>
      <x:c r="O973">
        <x:f ca="1">IFERROR(IF(0=LEN(ReferenceData!$O$973),"",ReferenceData!$O$973),"")</x:f>
        <x:v>0</x:v>
      </x:c>
      <x:c r="P973">
        <x:f ca="1">IFERROR(IF(0=LEN(ReferenceData!$P$973),"",ReferenceData!$P$973),"")</x:f>
        <x:v>0</x:v>
      </x:c>
      <x:c r="Q973">
        <x:f ca="1">IFERROR(IF(0=LEN(ReferenceData!$Q$973),"",ReferenceData!$Q$973),"")</x:f>
        <x:v>0</x:v>
      </x:c>
      <x:c r="R973">
        <x:f ca="1">IFERROR(IF(0=LEN(ReferenceData!$R$973),"",ReferenceData!$R$973),"")</x:f>
        <x:v>0</x:v>
      </x:c>
      <x:c r="S973">
        <x:f ca="1">IFERROR(IF(0=LEN(ReferenceData!$S$973),"",ReferenceData!$S$973),"")</x:f>
        <x:v>0</x:v>
      </x:c>
    </x:row>
    <x:row r="974" spans="1:19" x14ac:dyDescent="0.25">
      <x:c r="A974" t="str">
        <x:f>IFERROR(IF(0=LEN(ReferenceData!$A$974),"",ReferenceData!$A$974),"")</x:f>
        <x:v xml:space="preserve">        5G</x:v>
      </x:c>
      <x:c r="B974" t="str">
        <x:f>IFERROR(IF(0=LEN(ReferenceData!$B$974),"",ReferenceData!$B$974),"")</x:f>
        <x:v/>
      </x:c>
      <x:c r="C974" t="str">
        <x:f>IFERROR(IF(0=LEN(ReferenceData!$C$974),"",ReferenceData!$C$974),"")</x:f>
        <x:v/>
      </x:c>
      <x:c r="D974" t="str">
        <x:f>IFERROR(IF(0=LEN(ReferenceData!$D$974),"",ReferenceData!$D$974),"")</x:f>
        <x:v/>
      </x:c>
      <x:c r="E974" t="str">
        <x:f>IFERROR(IF(0=LEN(ReferenceData!$E$974),"",ReferenceData!$E$974),"")</x:f>
        <x:v>Sum</x:v>
      </x:c>
      <x:c r="F974">
        <x:f ca="1">IFERROR(IF(0=LEN(ReferenceData!$F$974),"",ReferenceData!$F$974),"")</x:f>
        <x:v>-13.7021</x:v>
      </x:c>
      <x:c r="G974">
        <x:f ca="1">IFERROR(IF(0=LEN(ReferenceData!$G$974),"",ReferenceData!$G$974),"")</x:f>
        <x:v>-28.666974000000003</x:v>
      </x:c>
      <x:c r="H974">
        <x:f ca="1">IFERROR(IF(0=LEN(ReferenceData!$H$974),"",ReferenceData!$H$974),"")</x:f>
        <x:v>-19.514620000000001</x:v>
      </x:c>
      <x:c r="I974">
        <x:f ca="1">IFERROR(IF(0=LEN(ReferenceData!$I$974),"",ReferenceData!$I$974),"")</x:f>
        <x:v>-79.111380999999994</x:v>
      </x:c>
      <x:c r="J974">
        <x:f ca="1">IFERROR(IF(0=LEN(ReferenceData!$J$974),"",ReferenceData!$J$974),"")</x:f>
        <x:v>-28.327069999999999</x:v>
      </x:c>
      <x:c r="K974">
        <x:f ca="1">IFERROR(IF(0=LEN(ReferenceData!$K$974),"",ReferenceData!$K$974),"")</x:f>
        <x:v>-24.899414999999998</x:v>
      </x:c>
      <x:c r="L974">
        <x:f ca="1">IFERROR(IF(0=LEN(ReferenceData!$L$974),"",ReferenceData!$L$974),"")</x:f>
        <x:v>-43.249094999999997</x:v>
      </x:c>
      <x:c r="M974">
        <x:f ca="1">IFERROR(IF(0=LEN(ReferenceData!$M$974),"",ReferenceData!$M$974),"")</x:f>
        <x:v>-29.738299999999999</x:v>
      </x:c>
      <x:c r="N974">
        <x:f ca="1">IFERROR(IF(0=LEN(ReferenceData!$N$974),"",ReferenceData!$N$974),"")</x:f>
        <x:v>-26.922725</x:v>
      </x:c>
      <x:c r="O974">
        <x:f ca="1">IFERROR(IF(0=LEN(ReferenceData!$O$974),"",ReferenceData!$O$974),"")</x:f>
        <x:v>-36.676903999999993</x:v>
      </x:c>
      <x:c r="P974">
        <x:f ca="1">IFERROR(IF(0=LEN(ReferenceData!$P$974),"",ReferenceData!$P$974),"")</x:f>
        <x:v>-32.145800000000001</x:v>
      </x:c>
      <x:c r="Q974">
        <x:f ca="1">IFERROR(IF(0=LEN(ReferenceData!$Q$974),"",ReferenceData!$Q$974),"")</x:f>
        <x:v>-58.518698000000001</x:v>
      </x:c>
      <x:c r="R974">
        <x:f ca="1">IFERROR(IF(0=LEN(ReferenceData!$R$974),"",ReferenceData!$R$974),"")</x:f>
        <x:v>-34.456916</x:v>
      </x:c>
      <x:c r="S974">
        <x:f ca="1">IFERROR(IF(0=LEN(ReferenceData!$S$974),"",ReferenceData!$S$974),"")</x:f>
        <x:v>-24.153449999999999</x:v>
      </x:c>
    </x:row>
    <x:row r="975" spans="1:19" x14ac:dyDescent="0.25">
      <x:c r="A975" t="str">
        <x:f>IFERROR(IF(0=LEN(ReferenceData!$A$975),"",ReferenceData!$A$975),"")</x:f>
        <x:v xml:space="preserve">            iShares Future Cloud 5G and Te</x:v>
      </x:c>
      <x:c r="B975" t="str">
        <x:f>IFERROR(IF(0=LEN(ReferenceData!$B$975),"",ReferenceData!$B$975),"")</x:f>
        <x:v>IDAT US Equity</x:v>
      </x:c>
      <x:c r="C975" t="str">
        <x:f>IFERROR(IF(0=LEN(ReferenceData!$C$975),"",ReferenceData!$C$975),"")</x:f>
        <x:v/>
      </x:c>
      <x:c r="D975" t="str">
        <x:f>IFERROR(IF(0=LEN(ReferenceData!$D$975),"",ReferenceData!$D$975),"")</x:f>
        <x:v/>
      </x:c>
      <x:c r="E975" t="str">
        <x:f>IFERROR(IF(0=LEN(ReferenceData!$E$975),"",ReferenceData!$E$975),"")</x:f>
        <x:v>Expression</x:v>
      </x:c>
      <x:c r="F975">
        <x:f ca="1">IFERROR(IF(0=LEN(ReferenceData!$F$975),"",ReferenceData!$F$975),"")</x:f>
        <x:v>0</x:v>
      </x:c>
      <x:c r="G975">
        <x:f ca="1">IFERROR(IF(0=LEN(ReferenceData!$G$975),"",ReferenceData!$G$975),"")</x:f>
        <x:v>0</x:v>
      </x:c>
      <x:c r="H975">
        <x:f ca="1">IFERROR(IF(0=LEN(ReferenceData!$H$975),"",ReferenceData!$H$975),"")</x:f>
        <x:v>0</x:v>
      </x:c>
      <x:c r="I975">
        <x:f ca="1">IFERROR(IF(0=LEN(ReferenceData!$I$975),"",ReferenceData!$I$975),"")</x:f>
        <x:v>0</x:v>
      </x:c>
      <x:c r="J975">
        <x:f ca="1">IFERROR(IF(0=LEN(ReferenceData!$J$975),"",ReferenceData!$J$975),"")</x:f>
        <x:v>0</x:v>
      </x:c>
      <x:c r="K975">
        <x:f ca="1">IFERROR(IF(0=LEN(ReferenceData!$K$975),"",ReferenceData!$K$975),"")</x:f>
        <x:v>0</x:v>
      </x:c>
      <x:c r="L975">
        <x:f ca="1">IFERROR(IF(0=LEN(ReferenceData!$L$975),"",ReferenceData!$L$975),"")</x:f>
        <x:v>0</x:v>
      </x:c>
      <x:c r="M975">
        <x:f ca="1">IFERROR(IF(0=LEN(ReferenceData!$M$975),"",ReferenceData!$M$975),"")</x:f>
        <x:v>0</x:v>
      </x:c>
      <x:c r="N975">
        <x:f ca="1">IFERROR(IF(0=LEN(ReferenceData!$N$975),"",ReferenceData!$N$975),"")</x:f>
        <x:v>0</x:v>
      </x:c>
      <x:c r="O975">
        <x:f ca="1">IFERROR(IF(0=LEN(ReferenceData!$O$975),"",ReferenceData!$O$975),"")</x:f>
        <x:v>-1.9344239999999999</x:v>
      </x:c>
      <x:c r="P975">
        <x:f ca="1">IFERROR(IF(0=LEN(ReferenceData!$P$975),"",ReferenceData!$P$975),"")</x:f>
        <x:v>0</x:v>
      </x:c>
      <x:c r="Q975">
        <x:f ca="1">IFERROR(IF(0=LEN(ReferenceData!$Q$975),"",ReferenceData!$Q$975),"")</x:f>
        <x:v>0</x:v>
      </x:c>
      <x:c r="R975">
        <x:f ca="1">IFERROR(IF(0=LEN(ReferenceData!$R$975),"",ReferenceData!$R$975),"")</x:f>
        <x:v>0</x:v>
      </x:c>
      <x:c r="S975">
        <x:f ca="1">IFERROR(IF(0=LEN(ReferenceData!$S$975),"",ReferenceData!$S$975),"")</x:f>
        <x:v>0</x:v>
      </x:c>
    </x:row>
    <x:row r="976" spans="1:19" x14ac:dyDescent="0.25">
      <x:c r="A976" t="str">
        <x:f>IFERROR(IF(0=LEN(ReferenceData!$A$976),"",ReferenceData!$A$976),"")</x:f>
        <x:v xml:space="preserve">            KraneShares CICC China 5G and</x:v>
      </x:c>
      <x:c r="B976" t="str">
        <x:f>IFERROR(IF(0=LEN(ReferenceData!$B$976),"",ReferenceData!$B$976),"")</x:f>
        <x:v>KFVG US Equity</x:v>
      </x:c>
      <x:c r="C976" t="str">
        <x:f>IFERROR(IF(0=LEN(ReferenceData!$C$976),"",ReferenceData!$C$976),"")</x:f>
        <x:v/>
      </x:c>
      <x:c r="D976" t="str">
        <x:f>IFERROR(IF(0=LEN(ReferenceData!$D$976),"",ReferenceData!$D$976),"")</x:f>
        <x:v/>
      </x:c>
      <x:c r="E976" t="str">
        <x:f>IFERROR(IF(0=LEN(ReferenceData!$E$976),"",ReferenceData!$E$976),"")</x:f>
        <x:v>Expression</x:v>
      </x:c>
      <x:c r="F976">
        <x:f ca="1">IFERROR(IF(0=LEN(ReferenceData!$F$976),"",ReferenceData!$F$976),"")</x:f>
        <x:v>0</x:v>
      </x:c>
      <x:c r="G976">
        <x:f ca="1">IFERROR(IF(0=LEN(ReferenceData!$G$976),"",ReferenceData!$G$976),"")</x:f>
        <x:v>0</x:v>
      </x:c>
      <x:c r="H976">
        <x:f ca="1">IFERROR(IF(0=LEN(ReferenceData!$H$976),"",ReferenceData!$H$976),"")</x:f>
        <x:v>-0.74</x:v>
      </x:c>
      <x:c r="I976">
        <x:f ca="1">IFERROR(IF(0=LEN(ReferenceData!$I$976),"",ReferenceData!$I$976),"")</x:f>
        <x:v>0</x:v>
      </x:c>
      <x:c r="J976">
        <x:f ca="1">IFERROR(IF(0=LEN(ReferenceData!$J$976),"",ReferenceData!$J$976),"")</x:f>
        <x:v>0</x:v>
      </x:c>
      <x:c r="K976">
        <x:f ca="1">IFERROR(IF(0=LEN(ReferenceData!$K$976),"",ReferenceData!$K$976),"")</x:f>
        <x:v>0</x:v>
      </x:c>
      <x:c r="L976">
        <x:f ca="1">IFERROR(IF(0=LEN(ReferenceData!$L$976),"",ReferenceData!$L$976),"")</x:f>
        <x:v>0</x:v>
      </x:c>
      <x:c r="M976">
        <x:f ca="1">IFERROR(IF(0=LEN(ReferenceData!$M$976),"",ReferenceData!$M$976),"")</x:f>
        <x:v>0</x:v>
      </x:c>
      <x:c r="N976">
        <x:f ca="1">IFERROR(IF(0=LEN(ReferenceData!$N$976),"",ReferenceData!$N$976),"")</x:f>
        <x:v>0</x:v>
      </x:c>
      <x:c r="O976">
        <x:f ca="1">IFERROR(IF(0=LEN(ReferenceData!$O$976),"",ReferenceData!$O$976),"")</x:f>
        <x:v>0</x:v>
      </x:c>
      <x:c r="P976">
        <x:f ca="1">IFERROR(IF(0=LEN(ReferenceData!$P$976),"",ReferenceData!$P$976),"")</x:f>
        <x:v>0</x:v>
      </x:c>
      <x:c r="Q976">
        <x:f ca="1">IFERROR(IF(0=LEN(ReferenceData!$Q$976),"",ReferenceData!$Q$976),"")</x:f>
        <x:v>0</x:v>
      </x:c>
      <x:c r="R976">
        <x:f ca="1">IFERROR(IF(0=LEN(ReferenceData!$R$976),"",ReferenceData!$R$976),"")</x:f>
        <x:v>0</x:v>
      </x:c>
      <x:c r="S976">
        <x:f ca="1">IFERROR(IF(0=LEN(ReferenceData!$S$976),"",ReferenceData!$S$976),"")</x:f>
        <x:v>-1.4590000000000001</x:v>
      </x:c>
    </x:row>
    <x:row r="977" spans="1:19" x14ac:dyDescent="0.25">
      <x:c r="A977" t="str">
        <x:f>IFERROR(IF(0=LEN(ReferenceData!$A$977),"",ReferenceData!$A$977),"")</x:f>
        <x:v xml:space="preserve">            Defiance Next Gen Connectivity</x:v>
      </x:c>
      <x:c r="B977" t="str">
        <x:f>IFERROR(IF(0=LEN(ReferenceData!$B$977),"",ReferenceData!$B$977),"")</x:f>
        <x:v>FIVG US Equity</x:v>
      </x:c>
      <x:c r="C977" t="str">
        <x:f>IFERROR(IF(0=LEN(ReferenceData!$C$977),"",ReferenceData!$C$977),"")</x:f>
        <x:v/>
      </x:c>
      <x:c r="D977" t="str">
        <x:f>IFERROR(IF(0=LEN(ReferenceData!$D$977),"",ReferenceData!$D$977),"")</x:f>
        <x:v/>
      </x:c>
      <x:c r="E977" t="str">
        <x:f>IFERROR(IF(0=LEN(ReferenceData!$E$977),"",ReferenceData!$E$977),"")</x:f>
        <x:v>Expression</x:v>
      </x:c>
      <x:c r="F977">
        <x:f ca="1">IFERROR(IF(0=LEN(ReferenceData!$F$977),"",ReferenceData!$F$977),"")</x:f>
        <x:v>-9.5420149999999992</x:v>
      </x:c>
      <x:c r="G977">
        <x:f ca="1">IFERROR(IF(0=LEN(ReferenceData!$G$977),"",ReferenceData!$G$977),"")</x:f>
        <x:v>-19.360340000000001</x:v>
      </x:c>
      <x:c r="H977">
        <x:f ca="1">IFERROR(IF(0=LEN(ReferenceData!$H$977),"",ReferenceData!$H$977),"")</x:f>
        <x:v>-9.5352499999999996</x:v>
      </x:c>
      <x:c r="I977">
        <x:f ca="1">IFERROR(IF(0=LEN(ReferenceData!$I$977),"",ReferenceData!$I$977),"")</x:f>
        <x:v>-22.668545000000002</x:v>
      </x:c>
      <x:c r="J977">
        <x:f ca="1">IFERROR(IF(0=LEN(ReferenceData!$J$977),"",ReferenceData!$J$977),"")</x:f>
        <x:v>-15.105549999999999</x:v>
      </x:c>
      <x:c r="K977">
        <x:f ca="1">IFERROR(IF(0=LEN(ReferenceData!$K$977),"",ReferenceData!$K$977),"")</x:f>
        <x:v>-14.812165</x:v>
      </x:c>
      <x:c r="L977">
        <x:f ca="1">IFERROR(IF(0=LEN(ReferenceData!$L$977),"",ReferenceData!$L$977),"")</x:f>
        <x:v>-40.375844999999998</x:v>
      </x:c>
      <x:c r="M977">
        <x:f ca="1">IFERROR(IF(0=LEN(ReferenceData!$M$977),"",ReferenceData!$M$977),"")</x:f>
        <x:v>-10.84198</x:v>
      </x:c>
      <x:c r="N977">
        <x:f ca="1">IFERROR(IF(0=LEN(ReferenceData!$N$977),"",ReferenceData!$N$977),"")</x:f>
        <x:v>-19.030474999999999</x:v>
      </x:c>
      <x:c r="O977">
        <x:f ca="1">IFERROR(IF(0=LEN(ReferenceData!$O$977),"",ReferenceData!$O$977),"")</x:f>
        <x:v>-19.790479999999999</x:v>
      </x:c>
      <x:c r="P977">
        <x:f ca="1">IFERROR(IF(0=LEN(ReferenceData!$P$977),"",ReferenceData!$P$977),"")</x:f>
        <x:v>-12.7593</x:v>
      </x:c>
      <x:c r="Q977">
        <x:f ca="1">IFERROR(IF(0=LEN(ReferenceData!$Q$977),"",ReferenceData!$Q$977),"")</x:f>
        <x:v>-42.838344999999997</x:v>
      </x:c>
      <x:c r="R977">
        <x:f ca="1">IFERROR(IF(0=LEN(ReferenceData!$R$977),"",ReferenceData!$R$977),"")</x:f>
        <x:v>-15.251855000000001</x:v>
      </x:c>
      <x:c r="S977">
        <x:f ca="1">IFERROR(IF(0=LEN(ReferenceData!$S$977),"",ReferenceData!$S$977),"")</x:f>
        <x:v>-20.005884999999999</x:v>
      </x:c>
    </x:row>
    <x:row r="978" spans="1:19" x14ac:dyDescent="0.25">
      <x:c r="A978" t="str">
        <x:f>IFERROR(IF(0=LEN(ReferenceData!$A$978),"",ReferenceData!$A$978),"")</x:f>
        <x:v xml:space="preserve">            AXS Esoterica NEXTG Economy ET</x:v>
      </x:c>
      <x:c r="B978" t="str">
        <x:f>IFERROR(IF(0=LEN(ReferenceData!$B$978),"",ReferenceData!$B$978),"")</x:f>
        <x:v>WUGI US Equity</x:v>
      </x:c>
      <x:c r="C978" t="str">
        <x:f>IFERROR(IF(0=LEN(ReferenceData!$C$978),"",ReferenceData!$C$978),"")</x:f>
        <x:v/>
      </x:c>
      <x:c r="D978" t="str">
        <x:f>IFERROR(IF(0=LEN(ReferenceData!$D$978),"",ReferenceData!$D$978),"")</x:f>
        <x:v/>
      </x:c>
      <x:c r="E978" t="str">
        <x:f>IFERROR(IF(0=LEN(ReferenceData!$E$978),"",ReferenceData!$E$978),"")</x:f>
        <x:v>Expression</x:v>
      </x:c>
      <x:c r="F978">
        <x:f ca="1">IFERROR(IF(0=LEN(ReferenceData!$F$978),"",ReferenceData!$F$978),"")</x:f>
        <x:v>0</x:v>
      </x:c>
      <x:c r="G978">
        <x:f ca="1">IFERROR(IF(0=LEN(ReferenceData!$G$978),"",ReferenceData!$G$978),"")</x:f>
        <x:v>0</x:v>
      </x:c>
      <x:c r="H978">
        <x:f ca="1">IFERROR(IF(0=LEN(ReferenceData!$H$978),"",ReferenceData!$H$978),"")</x:f>
        <x:v>-2.2330299999999998</x:v>
      </x:c>
      <x:c r="I978">
        <x:f ca="1">IFERROR(IF(0=LEN(ReferenceData!$I$978),"",ReferenceData!$I$978),"")</x:f>
        <x:v>2.276735</x:v>
      </x:c>
      <x:c r="J978">
        <x:f ca="1">IFERROR(IF(0=LEN(ReferenceData!$J$978),"",ReferenceData!$J$978),"")</x:f>
        <x:v>1.2474799999999999</x:v>
      </x:c>
      <x:c r="K978">
        <x:f ca="1">IFERROR(IF(0=LEN(ReferenceData!$K$978),"",ReferenceData!$K$978),"")</x:f>
        <x:v>0</x:v>
      </x:c>
      <x:c r="L978">
        <x:f ca="1">IFERROR(IF(0=LEN(ReferenceData!$L$978),"",ReferenceData!$L$978),"")</x:f>
        <x:v>0</x:v>
      </x:c>
      <x:c r="M978">
        <x:f ca="1">IFERROR(IF(0=LEN(ReferenceData!$M$978),"",ReferenceData!$M$978),"")</x:f>
        <x:v>-1.86582</x:v>
      </x:c>
      <x:c r="N978">
        <x:f ca="1">IFERROR(IF(0=LEN(ReferenceData!$N$978),"",ReferenceData!$N$978),"")</x:f>
        <x:v>0</x:v>
      </x:c>
      <x:c r="O978">
        <x:f ca="1">IFERROR(IF(0=LEN(ReferenceData!$O$978),"",ReferenceData!$O$978),"")</x:f>
        <x:v>0</x:v>
      </x:c>
      <x:c r="P978">
        <x:f ca="1">IFERROR(IF(0=LEN(ReferenceData!$P$978),"",ReferenceData!$P$978),"")</x:f>
        <x:v>0</x:v>
      </x:c>
      <x:c r="Q978">
        <x:f ca="1">IFERROR(IF(0=LEN(ReferenceData!$Q$978),"",ReferenceData!$Q$978),"")</x:f>
        <x:v>0</x:v>
      </x:c>
      <x:c r="R978">
        <x:f ca="1">IFERROR(IF(0=LEN(ReferenceData!$R$978),"",ReferenceData!$R$978),"")</x:f>
        <x:v>0</x:v>
      </x:c>
      <x:c r="S978">
        <x:f ca="1">IFERROR(IF(0=LEN(ReferenceData!$S$978),"",ReferenceData!$S$978),"")</x:f>
        <x:v>-1.639165</x:v>
      </x:c>
    </x:row>
    <x:row r="979" spans="1:19" x14ac:dyDescent="0.25">
      <x:c r="A979" t="str">
        <x:f>IFERROR(IF(0=LEN(ReferenceData!$A$979),"",ReferenceData!$A$979),"")</x:f>
        <x:v xml:space="preserve">            First Trust Indxx NextG ETF</x:v>
      </x:c>
      <x:c r="B979" t="str">
        <x:f>IFERROR(IF(0=LEN(ReferenceData!$B$979),"",ReferenceData!$B$979),"")</x:f>
        <x:v>NXTG US Equity</x:v>
      </x:c>
      <x:c r="C979" t="str">
        <x:f>IFERROR(IF(0=LEN(ReferenceData!$C$979),"",ReferenceData!$C$979),"")</x:f>
        <x:v/>
      </x:c>
      <x:c r="D979" t="str">
        <x:f>IFERROR(IF(0=LEN(ReferenceData!$D$979),"",ReferenceData!$D$979),"")</x:f>
        <x:v/>
      </x:c>
      <x:c r="E979" t="str">
        <x:f>IFERROR(IF(0=LEN(ReferenceData!$E$979),"",ReferenceData!$E$979),"")</x:f>
        <x:v>Expression</x:v>
      </x:c>
      <x:c r="F979">
        <x:f ca="1">IFERROR(IF(0=LEN(ReferenceData!$F$979),"",ReferenceData!$F$979),"")</x:f>
        <x:v>-3.568085</x:v>
      </x:c>
      <x:c r="G979">
        <x:f ca="1">IFERROR(IF(0=LEN(ReferenceData!$G$979),"",ReferenceData!$G$979),"")</x:f>
        <x:v>-9.8568840000000009</x:v>
      </x:c>
      <x:c r="H979">
        <x:f ca="1">IFERROR(IF(0=LEN(ReferenceData!$H$979),"",ReferenceData!$H$979),"")</x:f>
        <x:v>-7.0063399999999998</x:v>
      </x:c>
      <x:c r="I979">
        <x:f ca="1">IFERROR(IF(0=LEN(ReferenceData!$I$979),"",ReferenceData!$I$979),"")</x:f>
        <x:v>-10.461321</x:v>
      </x:c>
      <x:c r="J979">
        <x:f ca="1">IFERROR(IF(0=LEN(ReferenceData!$J$979),"",ReferenceData!$J$979),"")</x:f>
        <x:v>-14.468999999999999</x:v>
      </x:c>
      <x:c r="K979">
        <x:f ca="1">IFERROR(IF(0=LEN(ReferenceData!$K$979),"",ReferenceData!$K$979),"")</x:f>
        <x:v>-10.647</x:v>
      </x:c>
      <x:c r="L979">
        <x:f ca="1">IFERROR(IF(0=LEN(ReferenceData!$L$979),"",ReferenceData!$L$979),"")</x:f>
        <x:v>-3.3559999999999999</x:v>
      </x:c>
      <x:c r="M979">
        <x:f ca="1">IFERROR(IF(0=LEN(ReferenceData!$M$979),"",ReferenceData!$M$979),"")</x:f>
        <x:v>-17.02</x:v>
      </x:c>
      <x:c r="N979">
        <x:f ca="1">IFERROR(IF(0=LEN(ReferenceData!$N$979),"",ReferenceData!$N$979),"")</x:f>
        <x:v>-13.378500000000001</x:v>
      </x:c>
      <x:c r="O979">
        <x:f ca="1">IFERROR(IF(0=LEN(ReferenceData!$O$979),"",ReferenceData!$O$979),"")</x:f>
        <x:v>-16.785499999999999</x:v>
      </x:c>
      <x:c r="P979">
        <x:f ca="1">IFERROR(IF(0=LEN(ReferenceData!$P$979),"",ReferenceData!$P$979),"")</x:f>
        <x:v>-19.386500000000002</x:v>
      </x:c>
      <x:c r="Q979">
        <x:f ca="1">IFERROR(IF(0=LEN(ReferenceData!$Q$979),"",ReferenceData!$Q$979),"")</x:f>
        <x:v>-43.526102999999999</x:v>
      </x:c>
      <x:c r="R979">
        <x:f ca="1">IFERROR(IF(0=LEN(ReferenceData!$R$979),"",ReferenceData!$R$979),"")</x:f>
        <x:v>-18.034310999999999</x:v>
      </x:c>
      <x:c r="S979">
        <x:f ca="1">IFERROR(IF(0=LEN(ReferenceData!$S$979),"",ReferenceData!$S$979),"")</x:f>
        <x:v>-11.18965</x:v>
      </x:c>
    </x:row>
    <x:row r="980" spans="1:19" x14ac:dyDescent="0.25">
      <x:c r="A980" t="str">
        <x:f>IFERROR(IF(0=LEN(ReferenceData!$A$980),"",ReferenceData!$A$980),"")</x:f>
        <x:v xml:space="preserve">            Direxion Daily 5G Communicatio</x:v>
      </x:c>
      <x:c r="B980" t="str">
        <x:f>IFERROR(IF(0=LEN(ReferenceData!$B$980),"",ReferenceData!$B$980),"")</x:f>
        <x:v>TENG US Equity</x:v>
      </x:c>
      <x:c r="C980" t="str">
        <x:f>IFERROR(IF(0=LEN(ReferenceData!$C$980),"",ReferenceData!$C$980),"")</x:f>
        <x:v/>
      </x:c>
      <x:c r="D980" t="str">
        <x:f>IFERROR(IF(0=LEN(ReferenceData!$D$980),"",ReferenceData!$D$980),"")</x:f>
        <x:v/>
      </x:c>
      <x:c r="E980" t="str">
        <x:f>IFERROR(IF(0=LEN(ReferenceData!$E$980),"",ReferenceData!$E$980),"")</x:f>
        <x:v>Expression</x:v>
      </x:c>
      <x:c r="F980" t="str">
        <x:f ca="1">IFERROR(IF(0=LEN(ReferenceData!$F$980),"",ReferenceData!$F$980),"")</x:f>
        <x:v/>
      </x:c>
      <x:c r="G980" t="str">
        <x:f ca="1">IFERROR(IF(0=LEN(ReferenceData!$G$980),"",ReferenceData!$G$980),"")</x:f>
        <x:v/>
      </x:c>
      <x:c r="H980" t="str">
        <x:f ca="1">IFERROR(IF(0=LEN(ReferenceData!$H$980),"",ReferenceData!$H$980),"")</x:f>
        <x:v/>
      </x:c>
      <x:c r="I980" t="str">
        <x:f ca="1">IFERROR(IF(0=LEN(ReferenceData!$I$980),"",ReferenceData!$I$980),"")</x:f>
        <x:v/>
      </x:c>
      <x:c r="J980" t="str">
        <x:f ca="1">IFERROR(IF(0=LEN(ReferenceData!$J$980),"",ReferenceData!$J$980),"")</x:f>
        <x:v/>
      </x:c>
      <x:c r="K980" t="str">
        <x:f ca="1">IFERROR(IF(0=LEN(ReferenceData!$K$980),"",ReferenceData!$K$980),"")</x:f>
        <x:v/>
      </x:c>
      <x:c r="L980" t="str">
        <x:f ca="1">IFERROR(IF(0=LEN(ReferenceData!$L$980),"",ReferenceData!$L$980),"")</x:f>
        <x:v/>
      </x:c>
      <x:c r="M980" t="str">
        <x:f ca="1">IFERROR(IF(0=LEN(ReferenceData!$M$980),"",ReferenceData!$M$980),"")</x:f>
        <x:v/>
      </x:c>
      <x:c r="N980" t="str">
        <x:f ca="1">IFERROR(IF(0=LEN(ReferenceData!$N$980),"",ReferenceData!$N$980),"")</x:f>
        <x:v/>
      </x:c>
      <x:c r="O980" t="str">
        <x:f ca="1">IFERROR(IF(0=LEN(ReferenceData!$O$980),"",ReferenceData!$O$980),"")</x:f>
        <x:v/>
      </x:c>
      <x:c r="P980" t="str">
        <x:f ca="1">IFERROR(IF(0=LEN(ReferenceData!$P$980),"",ReferenceData!$P$980),"")</x:f>
        <x:v/>
      </x:c>
      <x:c r="Q980" t="str">
        <x:f ca="1">IFERROR(IF(0=LEN(ReferenceData!$Q$980),"",ReferenceData!$Q$980),"")</x:f>
        <x:v/>
      </x:c>
      <x:c r="R980" t="str">
        <x:f ca="1">IFERROR(IF(0=LEN(ReferenceData!$R$980),"",ReferenceData!$R$980),"")</x:f>
        <x:v/>
      </x:c>
      <x:c r="S980" t="str">
        <x:f ca="1">IFERROR(IF(0=LEN(ReferenceData!$S$980),"",ReferenceData!$S$980),"")</x:f>
        <x:v/>
      </x:c>
    </x:row>
    <x:row r="981" spans="1:19" x14ac:dyDescent="0.25">
      <x:c r="A981" t="str">
        <x:f>IFERROR(IF(0=LEN(ReferenceData!$A$981),"",ReferenceData!$A$981),"")</x:f>
        <x:v xml:space="preserve">            Clockwise Capital Innovation E</x:v>
      </x:c>
      <x:c r="B981" t="str">
        <x:f>IFERROR(IF(0=LEN(ReferenceData!$B$981),"",ReferenceData!$B$981),"")</x:f>
        <x:v>CWC US Equity</x:v>
      </x:c>
      <x:c r="C981" t="str">
        <x:f>IFERROR(IF(0=LEN(ReferenceData!$C$981),"",ReferenceData!$C$981),"")</x:f>
        <x:v/>
      </x:c>
      <x:c r="D981" t="str">
        <x:f>IFERROR(IF(0=LEN(ReferenceData!$D$981),"",ReferenceData!$D$981),"")</x:f>
        <x:v/>
      </x:c>
      <x:c r="E981" t="str">
        <x:f>IFERROR(IF(0=LEN(ReferenceData!$E$981),"",ReferenceData!$E$981),"")</x:f>
        <x:v>Expression</x:v>
      </x:c>
      <x:c r="F981">
        <x:f ca="1">IFERROR(IF(0=LEN(ReferenceData!$F$981),"",ReferenceData!$F$981),"")</x:f>
        <x:v>-0.59199999999999997</x:v>
      </x:c>
      <x:c r="G981">
        <x:f ca="1">IFERROR(IF(0=LEN(ReferenceData!$G$981),"",ReferenceData!$G$981),"")</x:f>
        <x:v>0.55025000000000002</x:v>
      </x:c>
      <x:c r="H981">
        <x:f ca="1">IFERROR(IF(0=LEN(ReferenceData!$H$981),"",ReferenceData!$H$981),"")</x:f>
        <x:v>0</x:v>
      </x:c>
      <x:c r="I981">
        <x:f ca="1">IFERROR(IF(0=LEN(ReferenceData!$I$981),"",ReferenceData!$I$981),"")</x:f>
        <x:v>-48.258249999999997</x:v>
      </x:c>
      <x:c r="J981">
        <x:f ca="1">IFERROR(IF(0=LEN(ReferenceData!$J$981),"",ReferenceData!$J$981),"")</x:f>
        <x:v>0</x:v>
      </x:c>
      <x:c r="K981">
        <x:f ca="1">IFERROR(IF(0=LEN(ReferenceData!$K$981),"",ReferenceData!$K$981),"")</x:f>
        <x:v>0.55974999999999997</x:v>
      </x:c>
      <x:c r="L981">
        <x:f ca="1">IFERROR(IF(0=LEN(ReferenceData!$L$981),"",ReferenceData!$L$981),"")</x:f>
        <x:v>0.48275000000000001</x:v>
      </x:c>
      <x:c r="M981">
        <x:f ca="1">IFERROR(IF(0=LEN(ReferenceData!$M$981),"",ReferenceData!$M$981),"")</x:f>
        <x:v>-1.0500000000000001E-2</x:v>
      </x:c>
      <x:c r="N981">
        <x:f ca="1">IFERROR(IF(0=LEN(ReferenceData!$N$981),"",ReferenceData!$N$981),"")</x:f>
        <x:v>5.4862500000000001</x:v>
      </x:c>
      <x:c r="O981">
        <x:f ca="1">IFERROR(IF(0=LEN(ReferenceData!$O$981),"",ReferenceData!$O$981),"")</x:f>
        <x:v>1.8334999999999999</x:v>
      </x:c>
      <x:c r="P981">
        <x:f ca="1">IFERROR(IF(0=LEN(ReferenceData!$P$981),"",ReferenceData!$P$981),"")</x:f>
        <x:v>0</x:v>
      </x:c>
      <x:c r="Q981">
        <x:f ca="1">IFERROR(IF(0=LEN(ReferenceData!$Q$981),"",ReferenceData!$Q$981),"")</x:f>
        <x:v>27.845749999999999</x:v>
      </x:c>
      <x:c r="R981">
        <x:f ca="1">IFERROR(IF(0=LEN(ReferenceData!$R$981),"",ReferenceData!$R$981),"")</x:f>
        <x:v>-1.17075</x:v>
      </x:c>
      <x:c r="S981">
        <x:f ca="1">IFERROR(IF(0=LEN(ReferenceData!$S$981),"",ReferenceData!$S$981),"")</x:f>
        <x:v>10.14025</x:v>
      </x:c>
    </x:row>
    <x:row r="982" spans="1:19" x14ac:dyDescent="0.25">
      <x:c r="A982" t="str">
        <x:f>IFERROR(IF(0=LEN(ReferenceData!$A$982),"",ReferenceData!$A$982),"")</x:f>
        <x:v xml:space="preserve">        Metaverse &amp; Video Gaming</x:v>
      </x:c>
      <x:c r="B982" t="str">
        <x:f>IFERROR(IF(0=LEN(ReferenceData!$B$982),"",ReferenceData!$B$982),"")</x:f>
        <x:v/>
      </x:c>
      <x:c r="C982" t="str">
        <x:f>IFERROR(IF(0=LEN(ReferenceData!$C$982),"",ReferenceData!$C$982),"")</x:f>
        <x:v/>
      </x:c>
      <x:c r="D982" t="str">
        <x:f>IFERROR(IF(0=LEN(ReferenceData!$D$982),"",ReferenceData!$D$982),"")</x:f>
        <x:v/>
      </x:c>
      <x:c r="E982" t="str">
        <x:f>IFERROR(IF(0=LEN(ReferenceData!$E$982),"",ReferenceData!$E$982),"")</x:f>
        <x:v>Sum</x:v>
      </x:c>
      <x:c r="F982">
        <x:f ca="1">IFERROR(IF(0=LEN(ReferenceData!$F$982),"",ReferenceData!$F$982),"")</x:f>
        <x:v>-10.209837999999998</x:v>
      </x:c>
      <x:c r="G982">
        <x:f ca="1">IFERROR(IF(0=LEN(ReferenceData!$G$982),"",ReferenceData!$G$982),"")</x:f>
        <x:v>-18.048321000000001</x:v>
      </x:c>
      <x:c r="H982">
        <x:f ca="1">IFERROR(IF(0=LEN(ReferenceData!$H$982),"",ReferenceData!$H$982),"")</x:f>
        <x:v>-48.315748999999997</x:v>
      </x:c>
      <x:c r="I982">
        <x:f ca="1">IFERROR(IF(0=LEN(ReferenceData!$I$982),"",ReferenceData!$I$982),"")</x:f>
        <x:v>-34.879547000000002</x:v>
      </x:c>
      <x:c r="J982">
        <x:f ca="1">IFERROR(IF(0=LEN(ReferenceData!$J$982),"",ReferenceData!$J$982),"")</x:f>
        <x:v>-24.056102000000003</x:v>
      </x:c>
      <x:c r="K982">
        <x:f ca="1">IFERROR(IF(0=LEN(ReferenceData!$K$982),"",ReferenceData!$K$982),"")</x:f>
        <x:v>-4.4713949999999993</x:v>
      </x:c>
      <x:c r="L982">
        <x:f ca="1">IFERROR(IF(0=LEN(ReferenceData!$L$982),"",ReferenceData!$L$982),"")</x:f>
        <x:v>-9.6343530000000008</x:v>
      </x:c>
      <x:c r="M982">
        <x:f ca="1">IFERROR(IF(0=LEN(ReferenceData!$M$982),"",ReferenceData!$M$982),"")</x:f>
        <x:v>-5.3567650000000011</x:v>
      </x:c>
      <x:c r="N982">
        <x:f ca="1">IFERROR(IF(0=LEN(ReferenceData!$N$982),"",ReferenceData!$N$982),"")</x:f>
        <x:v>-7.2276290000000003</x:v>
      </x:c>
      <x:c r="O982">
        <x:f ca="1">IFERROR(IF(0=LEN(ReferenceData!$O$982),"",ReferenceData!$O$982),"")</x:f>
        <x:v>-17.179174</x:v>
      </x:c>
      <x:c r="P982">
        <x:f ca="1">IFERROR(IF(0=LEN(ReferenceData!$P$982),"",ReferenceData!$P$982),"")</x:f>
        <x:v>-30.219484000000001</x:v>
      </x:c>
      <x:c r="Q982">
        <x:f ca="1">IFERROR(IF(0=LEN(ReferenceData!$Q$982),"",ReferenceData!$Q$982),"")</x:f>
        <x:v>-15.546993000000001</x:v>
      </x:c>
      <x:c r="R982">
        <x:f ca="1">IFERROR(IF(0=LEN(ReferenceData!$R$982),"",ReferenceData!$R$982),"")</x:f>
        <x:v>-40.516544000000003</x:v>
      </x:c>
      <x:c r="S982">
        <x:f ca="1">IFERROR(IF(0=LEN(ReferenceData!$S$982),"",ReferenceData!$S$982),"")</x:f>
        <x:v>-18.394155000000001</x:v>
      </x:c>
    </x:row>
    <x:row r="983" spans="1:19" x14ac:dyDescent="0.25">
      <x:c r="A983" t="str">
        <x:f>IFERROR(IF(0=LEN(ReferenceData!$A$983),"",ReferenceData!$A$983),"")</x:f>
        <x:v xml:space="preserve">            Roundhill Ball Metaverse ETF</x:v>
      </x:c>
      <x:c r="B983" t="str">
        <x:f>IFERROR(IF(0=LEN(ReferenceData!$B$983),"",ReferenceData!$B$983),"")</x:f>
        <x:v>METV US Equity</x:v>
      </x:c>
      <x:c r="C983" t="str">
        <x:f>IFERROR(IF(0=LEN(ReferenceData!$C$983),"",ReferenceData!$C$983),"")</x:f>
        <x:v/>
      </x:c>
      <x:c r="D983" t="str">
        <x:f>IFERROR(IF(0=LEN(ReferenceData!$D$983),"",ReferenceData!$D$983),"")</x:f>
        <x:v/>
      </x:c>
      <x:c r="E983" t="str">
        <x:f>IFERROR(IF(0=LEN(ReferenceData!$E$983),"",ReferenceData!$E$983),"")</x:f>
        <x:v>Expression</x:v>
      </x:c>
      <x:c r="F983">
        <x:f ca="1">IFERROR(IF(0=LEN(ReferenceData!$F$983),"",ReferenceData!$F$983),"")</x:f>
        <x:v>-5.0249779999999999</x:v>
      </x:c>
      <x:c r="G983">
        <x:f ca="1">IFERROR(IF(0=LEN(ReferenceData!$G$983),"",ReferenceData!$G$983),"")</x:f>
        <x:v>-15.532495000000001</x:v>
      </x:c>
      <x:c r="H983">
        <x:f ca="1">IFERROR(IF(0=LEN(ReferenceData!$H$983),"",ReferenceData!$H$983),"")</x:f>
        <x:v>-8.6557250000000003</x:v>
      </x:c>
      <x:c r="I983">
        <x:f ca="1">IFERROR(IF(0=LEN(ReferenceData!$I$983),"",ReferenceData!$I$983),"")</x:f>
        <x:v>-20.434487000000001</x:v>
      </x:c>
      <x:c r="J983">
        <x:f ca="1">IFERROR(IF(0=LEN(ReferenceData!$J$983),"",ReferenceData!$J$983),"")</x:f>
        <x:v>-15.877504999999999</x:v>
      </x:c>
      <x:c r="K983">
        <x:f ca="1">IFERROR(IF(0=LEN(ReferenceData!$K$983),"",ReferenceData!$K$983),"")</x:f>
        <x:v>-0.90643799999999997</x:v>
      </x:c>
      <x:c r="L983">
        <x:f ca="1">IFERROR(IF(0=LEN(ReferenceData!$L$983),"",ReferenceData!$L$983),"")</x:f>
        <x:v>-2.2136629999999999</x:v>
      </x:c>
      <x:c r="M983">
        <x:f ca="1">IFERROR(IF(0=LEN(ReferenceData!$M$983),"",ReferenceData!$M$983),"")</x:f>
        <x:v>-2.907222</x:v>
      </x:c>
      <x:c r="N983">
        <x:f ca="1">IFERROR(IF(0=LEN(ReferenceData!$N$983),"",ReferenceData!$N$983),"")</x:f>
        <x:v>-4.4255979999999999</x:v>
      </x:c>
      <x:c r="O983">
        <x:f ca="1">IFERROR(IF(0=LEN(ReferenceData!$O$983),"",ReferenceData!$O$983),"")</x:f>
        <x:v>-3.684628</x:v>
      </x:c>
      <x:c r="P983">
        <x:f ca="1">IFERROR(IF(0=LEN(ReferenceData!$P$983),"",ReferenceData!$P$983),"")</x:f>
        <x:v>-15.866289999999999</x:v>
      </x:c>
      <x:c r="Q983">
        <x:f ca="1">IFERROR(IF(0=LEN(ReferenceData!$Q$983),"",ReferenceData!$Q$983),"")</x:f>
        <x:v>-12.585875</x:v>
      </x:c>
      <x:c r="R983">
        <x:f ca="1">IFERROR(IF(0=LEN(ReferenceData!$R$983),"",ReferenceData!$R$983),"")</x:f>
        <x:v>-10.091392000000001</x:v>
      </x:c>
      <x:c r="S983">
        <x:f ca="1">IFERROR(IF(0=LEN(ReferenceData!$S$983),"",ReferenceData!$S$983),"")</x:f>
        <x:v>-8.5687949999999997</x:v>
      </x:c>
    </x:row>
    <x:row r="984" spans="1:19" x14ac:dyDescent="0.25">
      <x:c r="A984" t="str">
        <x:f>IFERROR(IF(0=LEN(ReferenceData!$A$984),"",ReferenceData!$A$984),"")</x:f>
        <x:v xml:space="preserve">            Fount Metaverse ETF</x:v>
      </x:c>
      <x:c r="B984" t="str">
        <x:f>IFERROR(IF(0=LEN(ReferenceData!$B$984),"",ReferenceData!$B$984),"")</x:f>
        <x:v>MTVR US Equity</x:v>
      </x:c>
      <x:c r="C984" t="str">
        <x:f>IFERROR(IF(0=LEN(ReferenceData!$C$984),"",ReferenceData!$C$984),"")</x:f>
        <x:v/>
      </x:c>
      <x:c r="D984" t="str">
        <x:f>IFERROR(IF(0=LEN(ReferenceData!$D$984),"",ReferenceData!$D$984),"")</x:f>
        <x:v/>
      </x:c>
      <x:c r="E984" t="str">
        <x:f>IFERROR(IF(0=LEN(ReferenceData!$E$984),"",ReferenceData!$E$984),"")</x:f>
        <x:v>Expression</x:v>
      </x:c>
      <x:c r="F984" t="str">
        <x:f ca="1">IFERROR(IF(0=LEN(ReferenceData!$F$984),"",ReferenceData!$F$984),"")</x:f>
        <x:v/>
      </x:c>
      <x:c r="G984" t="str">
        <x:f ca="1">IFERROR(IF(0=LEN(ReferenceData!$G$984),"",ReferenceData!$G$984),"")</x:f>
        <x:v/>
      </x:c>
      <x:c r="H984" t="str">
        <x:f ca="1">IFERROR(IF(0=LEN(ReferenceData!$H$984),"",ReferenceData!$H$984),"")</x:f>
        <x:v/>
      </x:c>
      <x:c r="I984" t="str">
        <x:f ca="1">IFERROR(IF(0=LEN(ReferenceData!$I$984),"",ReferenceData!$I$984),"")</x:f>
        <x:v/>
      </x:c>
      <x:c r="J984">
        <x:f ca="1">IFERROR(IF(0=LEN(ReferenceData!$J$984),"",ReferenceData!$J$984),"")</x:f>
        <x:v>-0.462482</x:v>
      </x:c>
      <x:c r="K984">
        <x:f ca="1">IFERROR(IF(0=LEN(ReferenceData!$K$984),"",ReferenceData!$K$984),"")</x:f>
        <x:v>0</x:v>
      </x:c>
      <x:c r="L984">
        <x:f ca="1">IFERROR(IF(0=LEN(ReferenceData!$L$984),"",ReferenceData!$L$984),"")</x:f>
        <x:v>0</x:v>
      </x:c>
      <x:c r="M984">
        <x:f ca="1">IFERROR(IF(0=LEN(ReferenceData!$M$984),"",ReferenceData!$M$984),"")</x:f>
        <x:v>-0.82431100000000002</x:v>
      </x:c>
      <x:c r="N984">
        <x:f ca="1">IFERROR(IF(0=LEN(ReferenceData!$N$984),"",ReferenceData!$N$984),"")</x:f>
        <x:v>0</x:v>
      </x:c>
      <x:c r="O984">
        <x:f ca="1">IFERROR(IF(0=LEN(ReferenceData!$O$984),"",ReferenceData!$O$984),"")</x:f>
        <x:v>-0.40913500000000003</x:v>
      </x:c>
      <x:c r="P984">
        <x:f ca="1">IFERROR(IF(0=LEN(ReferenceData!$P$984),"",ReferenceData!$P$984),"")</x:f>
        <x:v>-1.5747150000000001</x:v>
      </x:c>
      <x:c r="Q984">
        <x:f ca="1">IFERROR(IF(0=LEN(ReferenceData!$Q$984),"",ReferenceData!$Q$984),"")</x:f>
        <x:v>0</x:v>
      </x:c>
      <x:c r="R984">
        <x:f ca="1">IFERROR(IF(0=LEN(ReferenceData!$R$984),"",ReferenceData!$R$984),"")</x:f>
        <x:v>0</x:v>
      </x:c>
      <x:c r="S984">
        <x:f ca="1">IFERROR(IF(0=LEN(ReferenceData!$S$984),"",ReferenceData!$S$984),"")</x:f>
        <x:v>0</x:v>
      </x:c>
    </x:row>
    <x:row r="985" spans="1:19" x14ac:dyDescent="0.25">
      <x:c r="A985" t="str">
        <x:f>IFERROR(IF(0=LEN(ReferenceData!$A$985),"",ReferenceData!$A$985),"")</x:f>
        <x:v xml:space="preserve">            VanEck Video Gaming and eSport</x:v>
      </x:c>
      <x:c r="B985" t="str">
        <x:f>IFERROR(IF(0=LEN(ReferenceData!$B$985),"",ReferenceData!$B$985),"")</x:f>
        <x:v>ESPO US Equity</x:v>
      </x:c>
      <x:c r="C985" t="str">
        <x:f>IFERROR(IF(0=LEN(ReferenceData!$C$985),"",ReferenceData!$C$985),"")</x:f>
        <x:v/>
      </x:c>
      <x:c r="D985" t="str">
        <x:f>IFERROR(IF(0=LEN(ReferenceData!$D$985),"",ReferenceData!$D$985),"")</x:f>
        <x:v/>
      </x:c>
      <x:c r="E985" t="str">
        <x:f>IFERROR(IF(0=LEN(ReferenceData!$E$985),"",ReferenceData!$E$985),"")</x:f>
        <x:v>Expression</x:v>
      </x:c>
      <x:c r="F985">
        <x:f ca="1">IFERROR(IF(0=LEN(ReferenceData!$F$985),"",ReferenceData!$F$985),"")</x:f>
        <x:v>-8.0265989999999992</x:v>
      </x:c>
      <x:c r="G985">
        <x:f ca="1">IFERROR(IF(0=LEN(ReferenceData!$G$985),"",ReferenceData!$G$985),"")</x:f>
        <x:v>-2.5158260000000001</x:v>
      </x:c>
      <x:c r="H985">
        <x:f ca="1">IFERROR(IF(0=LEN(ReferenceData!$H$985),"",ReferenceData!$H$985),"")</x:f>
        <x:v>-12.995018999999999</x:v>
      </x:c>
      <x:c r="I985">
        <x:f ca="1">IFERROR(IF(0=LEN(ReferenceData!$I$985),"",ReferenceData!$I$985),"")</x:f>
        <x:v>-10.787043000000001</x:v>
      </x:c>
      <x:c r="J985">
        <x:f ca="1">IFERROR(IF(0=LEN(ReferenceData!$J$985),"",ReferenceData!$J$985),"")</x:f>
        <x:v>-11.531585</x:v>
      </x:c>
      <x:c r="K985">
        <x:f ca="1">IFERROR(IF(0=LEN(ReferenceData!$K$985),"",ReferenceData!$K$985),"")</x:f>
        <x:v>-2.8204729999999998</x:v>
      </x:c>
      <x:c r="L985">
        <x:f ca="1">IFERROR(IF(0=LEN(ReferenceData!$L$985),"",ReferenceData!$L$985),"")</x:f>
        <x:v>0</x:v>
      </x:c>
      <x:c r="M985">
        <x:f ca="1">IFERROR(IF(0=LEN(ReferenceData!$M$985),"",ReferenceData!$M$985),"")</x:f>
        <x:v>-5.0343520000000002</x:v>
      </x:c>
      <x:c r="N985">
        <x:f ca="1">IFERROR(IF(0=LEN(ReferenceData!$N$985),"",ReferenceData!$N$985),"")</x:f>
        <x:v>-4.8226009999999997</x:v>
      </x:c>
      <x:c r="O985">
        <x:f ca="1">IFERROR(IF(0=LEN(ReferenceData!$O$985),"",ReferenceData!$O$985),"")</x:f>
        <x:v>-4.8872109999999997</x:v>
      </x:c>
      <x:c r="P985">
        <x:f ca="1">IFERROR(IF(0=LEN(ReferenceData!$P$985),"",ReferenceData!$P$985),"")</x:f>
        <x:v>-2.431149</x:v>
      </x:c>
      <x:c r="Q985">
        <x:f ca="1">IFERROR(IF(0=LEN(ReferenceData!$Q$985),"",ReferenceData!$Q$985),"")</x:f>
        <x:v>-2.2670180000000002</x:v>
      </x:c>
      <x:c r="R985">
        <x:f ca="1">IFERROR(IF(0=LEN(ReferenceData!$R$985),"",ReferenceData!$R$985),"")</x:f>
        <x:v>-19.602062</x:v>
      </x:c>
      <x:c r="S985">
        <x:f ca="1">IFERROR(IF(0=LEN(ReferenceData!$S$985),"",ReferenceData!$S$985),"")</x:f>
        <x:v>-8.0033700000000003</x:v>
      </x:c>
    </x:row>
    <x:row r="986" spans="1:19" x14ac:dyDescent="0.25">
      <x:c r="A986" t="str">
        <x:f>IFERROR(IF(0=LEN(ReferenceData!$A$986),"",ReferenceData!$A$986),"")</x:f>
        <x:v xml:space="preserve">            Roundhill Video Games ETF</x:v>
      </x:c>
      <x:c r="B986" t="str">
        <x:f>IFERROR(IF(0=LEN(ReferenceData!$B$986),"",ReferenceData!$B$986),"")</x:f>
        <x:v>NERD US Equity</x:v>
      </x:c>
      <x:c r="C986" t="str">
        <x:f>IFERROR(IF(0=LEN(ReferenceData!$C$986),"",ReferenceData!$C$986),"")</x:f>
        <x:v/>
      </x:c>
      <x:c r="D986" t="str">
        <x:f>IFERROR(IF(0=LEN(ReferenceData!$D$986),"",ReferenceData!$D$986),"")</x:f>
        <x:v/>
      </x:c>
      <x:c r="E986" t="str">
        <x:f>IFERROR(IF(0=LEN(ReferenceData!$E$986),"",ReferenceData!$E$986),"")</x:f>
        <x:v>Expression</x:v>
      </x:c>
      <x:c r="F986">
        <x:f ca="1">IFERROR(IF(0=LEN(ReferenceData!$F$986),"",ReferenceData!$F$986),"")</x:f>
        <x:v>-1.1324320000000001</x:v>
      </x:c>
      <x:c r="G986">
        <x:f ca="1">IFERROR(IF(0=LEN(ReferenceData!$G$986),"",ReferenceData!$G$986),"")</x:f>
        <x:v>0</x:v>
      </x:c>
      <x:c r="H986">
        <x:f ca="1">IFERROR(IF(0=LEN(ReferenceData!$H$986),"",ReferenceData!$H$986),"")</x:f>
        <x:v>0</x:v>
      </x:c>
      <x:c r="I986">
        <x:f ca="1">IFERROR(IF(0=LEN(ReferenceData!$I$986),"",ReferenceData!$I$986),"")</x:f>
        <x:v>-1.0772170000000001</x:v>
      </x:c>
      <x:c r="J986">
        <x:f ca="1">IFERROR(IF(0=LEN(ReferenceData!$J$986),"",ReferenceData!$J$986),"")</x:f>
        <x:v>0</x:v>
      </x:c>
      <x:c r="K986">
        <x:f ca="1">IFERROR(IF(0=LEN(ReferenceData!$K$986),"",ReferenceData!$K$986),"")</x:f>
        <x:v>-1.187265</x:v>
      </x:c>
      <x:c r="L986">
        <x:f ca="1">IFERROR(IF(0=LEN(ReferenceData!$L$986),"",ReferenceData!$L$986),"")</x:f>
        <x:v>0</x:v>
      </x:c>
      <x:c r="M986">
        <x:f ca="1">IFERROR(IF(0=LEN(ReferenceData!$M$986),"",ReferenceData!$M$986),"")</x:f>
        <x:v>0</x:v>
      </x:c>
      <x:c r="N986">
        <x:f ca="1">IFERROR(IF(0=LEN(ReferenceData!$N$986),"",ReferenceData!$N$986),"")</x:f>
        <x:v>-2.1471300000000002</x:v>
      </x:c>
      <x:c r="O986">
        <x:f ca="1">IFERROR(IF(0=LEN(ReferenceData!$O$986),"",ReferenceData!$O$986),"")</x:f>
        <x:v>0</x:v>
      </x:c>
      <x:c r="P986">
        <x:f ca="1">IFERROR(IF(0=LEN(ReferenceData!$P$986),"",ReferenceData!$P$986),"")</x:f>
        <x:v>0</x:v>
      </x:c>
      <x:c r="Q986">
        <x:f ca="1">IFERROR(IF(0=LEN(ReferenceData!$Q$986),"",ReferenceData!$Q$986),"")</x:f>
        <x:v>0</x:v>
      </x:c>
      <x:c r="R986">
        <x:f ca="1">IFERROR(IF(0=LEN(ReferenceData!$R$986),"",ReferenceData!$R$986),"")</x:f>
        <x:v>-1.0539000000000001</x:v>
      </x:c>
      <x:c r="S986">
        <x:f ca="1">IFERROR(IF(0=LEN(ReferenceData!$S$986),"",ReferenceData!$S$986),"")</x:f>
        <x:v>-0.33478999999999998</x:v>
      </x:c>
    </x:row>
    <x:row r="987" spans="1:19" x14ac:dyDescent="0.25">
      <x:c r="A987" t="str">
        <x:f>IFERROR(IF(0=LEN(ReferenceData!$A$987),"",ReferenceData!$A$987),"")</x:f>
        <x:v xml:space="preserve">            Defiance Next Gen Video Gaming</x:v>
      </x:c>
      <x:c r="B987" t="str">
        <x:f>IFERROR(IF(0=LEN(ReferenceData!$B$987),"",ReferenceData!$B$987),"")</x:f>
        <x:v>VIDG US Equity</x:v>
      </x:c>
      <x:c r="C987" t="str">
        <x:f>IFERROR(IF(0=LEN(ReferenceData!$C$987),"",ReferenceData!$C$987),"")</x:f>
        <x:v/>
      </x:c>
      <x:c r="D987" t="str">
        <x:f>IFERROR(IF(0=LEN(ReferenceData!$D$987),"",ReferenceData!$D$987),"")</x:f>
        <x:v/>
      </x:c>
      <x:c r="E987" t="str">
        <x:f>IFERROR(IF(0=LEN(ReferenceData!$E$987),"",ReferenceData!$E$987),"")</x:f>
        <x:v>Expression</x:v>
      </x:c>
      <x:c r="F987" t="str">
        <x:f ca="1">IFERROR(IF(0=LEN(ReferenceData!$F$987),"",ReferenceData!$F$987),"")</x:f>
        <x:v/>
      </x:c>
      <x:c r="G987" t="str">
        <x:f ca="1">IFERROR(IF(0=LEN(ReferenceData!$G$987),"",ReferenceData!$G$987),"")</x:f>
        <x:v/>
      </x:c>
      <x:c r="H987" t="str">
        <x:f ca="1">IFERROR(IF(0=LEN(ReferenceData!$H$987),"",ReferenceData!$H$987),"")</x:f>
        <x:v/>
      </x:c>
      <x:c r="I987" t="str">
        <x:f ca="1">IFERROR(IF(0=LEN(ReferenceData!$I$987),"",ReferenceData!$I$987),"")</x:f>
        <x:v/>
      </x:c>
      <x:c r="J987" t="str">
        <x:f ca="1">IFERROR(IF(0=LEN(ReferenceData!$J$987),"",ReferenceData!$J$987),"")</x:f>
        <x:v/>
      </x:c>
      <x:c r="K987" t="str">
        <x:f ca="1">IFERROR(IF(0=LEN(ReferenceData!$K$987),"",ReferenceData!$K$987),"")</x:f>
        <x:v/>
      </x:c>
      <x:c r="L987" t="str">
        <x:f ca="1">IFERROR(IF(0=LEN(ReferenceData!$L$987),"",ReferenceData!$L$987),"")</x:f>
        <x:v/>
      </x:c>
      <x:c r="M987" t="str">
        <x:f ca="1">IFERROR(IF(0=LEN(ReferenceData!$M$987),"",ReferenceData!$M$987),"")</x:f>
        <x:v/>
      </x:c>
      <x:c r="N987" t="str">
        <x:f ca="1">IFERROR(IF(0=LEN(ReferenceData!$N$987),"",ReferenceData!$N$987),"")</x:f>
        <x:v/>
      </x:c>
      <x:c r="O987" t="str">
        <x:f ca="1">IFERROR(IF(0=LEN(ReferenceData!$O$987),"",ReferenceData!$O$987),"")</x:f>
        <x:v/>
      </x:c>
      <x:c r="P987" t="str">
        <x:f ca="1">IFERROR(IF(0=LEN(ReferenceData!$P$987),"",ReferenceData!$P$987),"")</x:f>
        <x:v/>
      </x:c>
      <x:c r="Q987" t="str">
        <x:f ca="1">IFERROR(IF(0=LEN(ReferenceData!$Q$987),"",ReferenceData!$Q$987),"")</x:f>
        <x:v/>
      </x:c>
      <x:c r="R987" t="str">
        <x:f ca="1">IFERROR(IF(0=LEN(ReferenceData!$R$987),"",ReferenceData!$R$987),"")</x:f>
        <x:v/>
      </x:c>
      <x:c r="S987" t="str">
        <x:f ca="1">IFERROR(IF(0=LEN(ReferenceData!$S$987),"",ReferenceData!$S$987),"")</x:f>
        <x:v/>
      </x:c>
    </x:row>
    <x:row r="988" spans="1:19" x14ac:dyDescent="0.25">
      <x:c r="A988" t="str">
        <x:f>IFERROR(IF(0=LEN(ReferenceData!$A$988),"",ReferenceData!$A$988),"")</x:f>
        <x:v xml:space="preserve">            Global X Video Games &amp; Esports</x:v>
      </x:c>
      <x:c r="B988" t="str">
        <x:f>IFERROR(IF(0=LEN(ReferenceData!$B$988),"",ReferenceData!$B$988),"")</x:f>
        <x:v>HERO US Equity</x:v>
      </x:c>
      <x:c r="C988" t="str">
        <x:f>IFERROR(IF(0=LEN(ReferenceData!$C$988),"",ReferenceData!$C$988),"")</x:f>
        <x:v/>
      </x:c>
      <x:c r="D988" t="str">
        <x:f>IFERROR(IF(0=LEN(ReferenceData!$D$988),"",ReferenceData!$D$988),"")</x:f>
        <x:v/>
      </x:c>
      <x:c r="E988" t="str">
        <x:f>IFERROR(IF(0=LEN(ReferenceData!$E$988),"",ReferenceData!$E$988),"")</x:f>
        <x:v>Expression</x:v>
      </x:c>
      <x:c r="F988">
        <x:f ca="1">IFERROR(IF(0=LEN(ReferenceData!$F$988),"",ReferenceData!$F$988),"")</x:f>
        <x:v>0</x:v>
      </x:c>
      <x:c r="G988">
        <x:f ca="1">IFERROR(IF(0=LEN(ReferenceData!$G$988),"",ReferenceData!$G$988),"")</x:f>
        <x:v>0</x:v>
      </x:c>
      <x:c r="H988">
        <x:f ca="1">IFERROR(IF(0=LEN(ReferenceData!$H$988),"",ReferenceData!$H$988),"")</x:f>
        <x:v>-26.672999999999998</x:v>
      </x:c>
      <x:c r="I988">
        <x:f ca="1">IFERROR(IF(0=LEN(ReferenceData!$I$988),"",ReferenceData!$I$988),"")</x:f>
        <x:v>-2.5808</x:v>
      </x:c>
      <x:c r="J988">
        <x:f ca="1">IFERROR(IF(0=LEN(ReferenceData!$J$988),"",ReferenceData!$J$988),"")</x:f>
        <x:v>2.4533999999999998</x:v>
      </x:c>
      <x:c r="K988">
        <x:f ca="1">IFERROR(IF(0=LEN(ReferenceData!$K$988),"",ReferenceData!$K$988),"")</x:f>
        <x:v>-0.81079999999999997</x:v>
      </x:c>
      <x:c r="L988">
        <x:f ca="1">IFERROR(IF(0=LEN(ReferenceData!$L$988),"",ReferenceData!$L$988),"")</x:f>
        <x:v>-4.4603999999999999</x:v>
      </x:c>
      <x:c r="M988">
        <x:f ca="1">IFERROR(IF(0=LEN(ReferenceData!$M$988),"",ReferenceData!$M$988),"")</x:f>
        <x:v>4.0739999999999998</x:v>
      </x:c>
      <x:c r="N988">
        <x:f ca="1">IFERROR(IF(0=LEN(ReferenceData!$N$988),"",ReferenceData!$N$988),"")</x:f>
        <x:v>7.08</x:v>
      </x:c>
      <x:c r="O988">
        <x:f ca="1">IFERROR(IF(0=LEN(ReferenceData!$O$988),"",ReferenceData!$O$988),"")</x:f>
        <x:v>-8.1981999999999999</x:v>
      </x:c>
      <x:c r="P988">
        <x:f ca="1">IFERROR(IF(0=LEN(ReferenceData!$P$988),"",ReferenceData!$P$988),"")</x:f>
        <x:v>-7.4996</x:v>
      </x:c>
      <x:c r="Q988">
        <x:f ca="1">IFERROR(IF(0=LEN(ReferenceData!$Q$988),"",ReferenceData!$Q$988),"")</x:f>
        <x:v>-0.69410000000000005</x:v>
      </x:c>
      <x:c r="R988">
        <x:f ca="1">IFERROR(IF(0=LEN(ReferenceData!$R$988),"",ReferenceData!$R$988),"")</x:f>
        <x:v>-7.2096</x:v>
      </x:c>
      <x:c r="S988">
        <x:f ca="1">IFERROR(IF(0=LEN(ReferenceData!$S$988),"",ReferenceData!$S$988),"")</x:f>
        <x:v>-1.4872000000000001</x:v>
      </x:c>
    </x:row>
    <x:row r="989" spans="1:19" x14ac:dyDescent="0.25">
      <x:c r="A989" t="str">
        <x:f>IFERROR(IF(0=LEN(ReferenceData!$A$989),"",ReferenceData!$A$989),"")</x:f>
        <x:v xml:space="preserve">            Wedbush ETFMG Video Game Tech</x:v>
      </x:c>
      <x:c r="B989" t="str">
        <x:f>IFERROR(IF(0=LEN(ReferenceData!$B$989),"",ReferenceData!$B$989),"")</x:f>
        <x:v>GAMR US Equity</x:v>
      </x:c>
      <x:c r="C989" t="str">
        <x:f>IFERROR(IF(0=LEN(ReferenceData!$C$989),"",ReferenceData!$C$989),"")</x:f>
        <x:v/>
      </x:c>
      <x:c r="D989" t="str">
        <x:f>IFERROR(IF(0=LEN(ReferenceData!$D$989),"",ReferenceData!$D$989),"")</x:f>
        <x:v/>
      </x:c>
      <x:c r="E989" t="str">
        <x:f>IFERROR(IF(0=LEN(ReferenceData!$E$989),"",ReferenceData!$E$989),"")</x:f>
        <x:v>Expression</x:v>
      </x:c>
      <x:c r="F989">
        <x:f ca="1">IFERROR(IF(0=LEN(ReferenceData!$F$989),"",ReferenceData!$F$989),"")</x:f>
        <x:v>0</x:v>
      </x:c>
      <x:c r="G989">
        <x:f ca="1">IFERROR(IF(0=LEN(ReferenceData!$G$989),"",ReferenceData!$G$989),"")</x:f>
        <x:v>0</x:v>
      </x:c>
      <x:c r="H989">
        <x:f ca="1">IFERROR(IF(0=LEN(ReferenceData!$H$989),"",ReferenceData!$H$989),"")</x:f>
        <x:v>0</x:v>
      </x:c>
      <x:c r="I989">
        <x:f ca="1">IFERROR(IF(0=LEN(ReferenceData!$I$989),"",ReferenceData!$I$989),"")</x:f>
        <x:v>0</x:v>
      </x:c>
      <x:c r="J989">
        <x:f ca="1">IFERROR(IF(0=LEN(ReferenceData!$J$989),"",ReferenceData!$J$989),"")</x:f>
        <x:v>0</x:v>
      </x:c>
      <x:c r="K989">
        <x:f ca="1">IFERROR(IF(0=LEN(ReferenceData!$K$989),"",ReferenceData!$K$989),"")</x:f>
        <x:v>0</x:v>
      </x:c>
      <x:c r="L989">
        <x:f ca="1">IFERROR(IF(0=LEN(ReferenceData!$L$989),"",ReferenceData!$L$989),"")</x:f>
        <x:v>-2.9602900000000001</x:v>
      </x:c>
      <x:c r="M989">
        <x:f ca="1">IFERROR(IF(0=LEN(ReferenceData!$M$989),"",ReferenceData!$M$989),"")</x:f>
        <x:v>0</x:v>
      </x:c>
      <x:c r="N989">
        <x:f ca="1">IFERROR(IF(0=LEN(ReferenceData!$N$989),"",ReferenceData!$N$989),"")</x:f>
        <x:v>-2.9123000000000001</x:v>
      </x:c>
      <x:c r="O989">
        <x:f ca="1">IFERROR(IF(0=LEN(ReferenceData!$O$989),"",ReferenceData!$O$989),"")</x:f>
        <x:v>0</x:v>
      </x:c>
      <x:c r="P989">
        <x:f ca="1">IFERROR(IF(0=LEN(ReferenceData!$P$989),"",ReferenceData!$P$989),"")</x:f>
        <x:v>-2.8477299999999999</x:v>
      </x:c>
      <x:c r="Q989">
        <x:f ca="1">IFERROR(IF(0=LEN(ReferenceData!$Q$989),"",ReferenceData!$Q$989),"")</x:f>
        <x:v>0</x:v>
      </x:c>
      <x:c r="R989">
        <x:f ca="1">IFERROR(IF(0=LEN(ReferenceData!$R$989),"",ReferenceData!$R$989),"")</x:f>
        <x:v>-2.55959</x:v>
      </x:c>
      <x:c r="S989">
        <x:f ca="1">IFERROR(IF(0=LEN(ReferenceData!$S$989),"",ReferenceData!$S$989),"")</x:f>
        <x:v>0</x:v>
      </x:c>
    </x:row>
    <x:row r="990" spans="1:19" x14ac:dyDescent="0.25">
      <x:c r="A990" t="str">
        <x:f>IFERROR(IF(0=LEN(ReferenceData!$A$990),"",ReferenceData!$A$990),"")</x:f>
        <x:v xml:space="preserve">            Subversive Metaverse ETF</x:v>
      </x:c>
      <x:c r="B990" t="str">
        <x:f>IFERROR(IF(0=LEN(ReferenceData!$B$990),"",ReferenceData!$B$990),"")</x:f>
        <x:v>PUNK US Equity</x:v>
      </x:c>
      <x:c r="C990" t="str">
        <x:f>IFERROR(IF(0=LEN(ReferenceData!$C$990),"",ReferenceData!$C$990),"")</x:f>
        <x:v/>
      </x:c>
      <x:c r="D990" t="str">
        <x:f>IFERROR(IF(0=LEN(ReferenceData!$D$990),"",ReferenceData!$D$990),"")</x:f>
        <x:v/>
      </x:c>
      <x:c r="E990" t="str">
        <x:f>IFERROR(IF(0=LEN(ReferenceData!$E$990),"",ReferenceData!$E$990),"")</x:f>
        <x:v>Expression</x:v>
      </x:c>
      <x:c r="F990" t="str">
        <x:f ca="1">IFERROR(IF(0=LEN(ReferenceData!$F$990),"",ReferenceData!$F$990),"")</x:f>
        <x:v/>
      </x:c>
      <x:c r="G990" t="str">
        <x:f ca="1">IFERROR(IF(0=LEN(ReferenceData!$G$990),"",ReferenceData!$G$990),"")</x:f>
        <x:v/>
      </x:c>
      <x:c r="H990" t="str">
        <x:f ca="1">IFERROR(IF(0=LEN(ReferenceData!$H$990),"",ReferenceData!$H$990),"")</x:f>
        <x:v/>
      </x:c>
      <x:c r="I990" t="str">
        <x:f ca="1">IFERROR(IF(0=LEN(ReferenceData!$I$990),"",ReferenceData!$I$990),"")</x:f>
        <x:v/>
      </x:c>
      <x:c r="J990" t="str">
        <x:f ca="1">IFERROR(IF(0=LEN(ReferenceData!$J$990),"",ReferenceData!$J$990),"")</x:f>
        <x:v/>
      </x:c>
      <x:c r="K990" t="str">
        <x:f ca="1">IFERROR(IF(0=LEN(ReferenceData!$K$990),"",ReferenceData!$K$990),"")</x:f>
        <x:v/>
      </x:c>
      <x:c r="L990">
        <x:f ca="1">IFERROR(IF(0=LEN(ReferenceData!$L$990),"",ReferenceData!$L$990),"")</x:f>
        <x:v>0</x:v>
      </x:c>
      <x:c r="M990">
        <x:f ca="1">IFERROR(IF(0=LEN(ReferenceData!$M$990),"",ReferenceData!$M$990),"")</x:f>
        <x:v>0</x:v>
      </x:c>
      <x:c r="N990">
        <x:f ca="1">IFERROR(IF(0=LEN(ReferenceData!$N$990),"",ReferenceData!$N$990),"")</x:f>
        <x:v>0</x:v>
      </x:c>
      <x:c r="O990">
        <x:f ca="1">IFERROR(IF(0=LEN(ReferenceData!$O$990),"",ReferenceData!$O$990),"")</x:f>
        <x:v>0</x:v>
      </x:c>
      <x:c r="P990">
        <x:f ca="1">IFERROR(IF(0=LEN(ReferenceData!$P$990),"",ReferenceData!$P$990),"")</x:f>
        <x:v>0</x:v>
      </x:c>
      <x:c r="Q990">
        <x:f ca="1">IFERROR(IF(0=LEN(ReferenceData!$Q$990),"",ReferenceData!$Q$990),"")</x:f>
        <x:v>0</x:v>
      </x:c>
      <x:c r="R990">
        <x:f ca="1">IFERROR(IF(0=LEN(ReferenceData!$R$990),"",ReferenceData!$R$990),"")</x:f>
        <x:v>0</x:v>
      </x:c>
      <x:c r="S990">
        <x:f ca="1">IFERROR(IF(0=LEN(ReferenceData!$S$990),"",ReferenceData!$S$990),"")</x:f>
        <x:v>0</x:v>
      </x:c>
    </x:row>
    <x:row r="991" spans="1:19" x14ac:dyDescent="0.25">
      <x:c r="A991" t="str">
        <x:f>IFERROR(IF(0=LEN(ReferenceData!$A$991),"",ReferenceData!$A$991),"")</x:f>
        <x:v xml:space="preserve">            First Trust S-Network Streamin</x:v>
      </x:c>
      <x:c r="B991" t="str">
        <x:f>IFERROR(IF(0=LEN(ReferenceData!$B$991),"",ReferenceData!$B$991),"")</x:f>
        <x:v>BNGE US Equity</x:v>
      </x:c>
      <x:c r="C991" t="str">
        <x:f>IFERROR(IF(0=LEN(ReferenceData!$C$991),"",ReferenceData!$C$991),"")</x:f>
        <x:v/>
      </x:c>
      <x:c r="D991" t="str">
        <x:f>IFERROR(IF(0=LEN(ReferenceData!$D$991),"",ReferenceData!$D$991),"")</x:f>
        <x:v/>
      </x:c>
      <x:c r="E991" t="str">
        <x:f>IFERROR(IF(0=LEN(ReferenceData!$E$991),"",ReferenceData!$E$991),"")</x:f>
        <x:v>Expression</x:v>
      </x:c>
      <x:c r="F991">
        <x:f ca="1">IFERROR(IF(0=LEN(ReferenceData!$F$991),"",ReferenceData!$F$991),"")</x:f>
        <x:v>0</x:v>
      </x:c>
      <x:c r="G991">
        <x:f ca="1">IFERROR(IF(0=LEN(ReferenceData!$G$991),"",ReferenceData!$G$991),"")</x:f>
        <x:v>0</x:v>
      </x:c>
      <x:c r="H991">
        <x:f ca="1">IFERROR(IF(0=LEN(ReferenceData!$H$991),"",ReferenceData!$H$991),"")</x:f>
        <x:v>0</x:v>
      </x:c>
      <x:c r="I991">
        <x:f ca="1">IFERROR(IF(0=LEN(ReferenceData!$I$991),"",ReferenceData!$I$991),"")</x:f>
        <x:v>0</x:v>
      </x:c>
      <x:c r="J991">
        <x:f ca="1">IFERROR(IF(0=LEN(ReferenceData!$J$991),"",ReferenceData!$J$991),"")</x:f>
        <x:v>0</x:v>
      </x:c>
      <x:c r="K991">
        <x:f ca="1">IFERROR(IF(0=LEN(ReferenceData!$K$991),"",ReferenceData!$K$991),"")</x:f>
        <x:v>0</x:v>
      </x:c>
      <x:c r="L991">
        <x:f ca="1">IFERROR(IF(0=LEN(ReferenceData!$L$991),"",ReferenceData!$L$991),"")</x:f>
        <x:v>0</x:v>
      </x:c>
      <x:c r="M991">
        <x:f ca="1">IFERROR(IF(0=LEN(ReferenceData!$M$991),"",ReferenceData!$M$991),"")</x:f>
        <x:v>0</x:v>
      </x:c>
      <x:c r="N991">
        <x:f ca="1">IFERROR(IF(0=LEN(ReferenceData!$N$991),"",ReferenceData!$N$991),"")</x:f>
        <x:v>0</x:v>
      </x:c>
      <x:c r="O991">
        <x:f ca="1">IFERROR(IF(0=LEN(ReferenceData!$O$991),"",ReferenceData!$O$991),"")</x:f>
        <x:v>0</x:v>
      </x:c>
      <x:c r="P991">
        <x:f ca="1">IFERROR(IF(0=LEN(ReferenceData!$P$991),"",ReferenceData!$P$991),"")</x:f>
        <x:v>0</x:v>
      </x:c>
      <x:c r="Q991">
        <x:f ca="1">IFERROR(IF(0=LEN(ReferenceData!$Q$991),"",ReferenceData!$Q$991),"")</x:f>
        <x:v>0</x:v>
      </x:c>
      <x:c r="R991">
        <x:f ca="1">IFERROR(IF(0=LEN(ReferenceData!$R$991),"",ReferenceData!$R$991),"")</x:f>
        <x:v>0</x:v>
      </x:c>
      <x:c r="S991">
        <x:f ca="1">IFERROR(IF(0=LEN(ReferenceData!$S$991),"",ReferenceData!$S$991),"")</x:f>
        <x:v>0</x:v>
      </x:c>
    </x:row>
    <x:row r="992" spans="1:19" x14ac:dyDescent="0.25">
      <x:c r="A992" t="str">
        <x:f>IFERROR(IF(0=LEN(ReferenceData!$A$992),"",ReferenceData!$A$992),"")</x:f>
        <x:v xml:space="preserve">            First Trust Indxx Metaverse ET</x:v>
      </x:c>
      <x:c r="B992" t="str">
        <x:f>IFERROR(IF(0=LEN(ReferenceData!$B$992),"",ReferenceData!$B$992),"")</x:f>
        <x:v>ARVR US Equity</x:v>
      </x:c>
      <x:c r="C992" t="str">
        <x:f>IFERROR(IF(0=LEN(ReferenceData!$C$992),"",ReferenceData!$C$992),"")</x:f>
        <x:v/>
      </x:c>
      <x:c r="D992" t="str">
        <x:f>IFERROR(IF(0=LEN(ReferenceData!$D$992),"",ReferenceData!$D$992),"")</x:f>
        <x:v/>
      </x:c>
      <x:c r="E992" t="str">
        <x:f>IFERROR(IF(0=LEN(ReferenceData!$E$992),"",ReferenceData!$E$992),"")</x:f>
        <x:v>Expression</x:v>
      </x:c>
      <x:c r="F992">
        <x:f ca="1">IFERROR(IF(0=LEN(ReferenceData!$F$992),"",ReferenceData!$F$992),"")</x:f>
        <x:v>0</x:v>
      </x:c>
      <x:c r="G992">
        <x:f ca="1">IFERROR(IF(0=LEN(ReferenceData!$G$992),"",ReferenceData!$G$992),"")</x:f>
        <x:v>0</x:v>
      </x:c>
      <x:c r="H992">
        <x:f ca="1">IFERROR(IF(0=LEN(ReferenceData!$H$992),"",ReferenceData!$H$992),"")</x:f>
        <x:v>0</x:v>
      </x:c>
      <x:c r="I992">
        <x:f ca="1">IFERROR(IF(0=LEN(ReferenceData!$I$992),"",ReferenceData!$I$992),"")</x:f>
        <x:v>0</x:v>
      </x:c>
      <x:c r="J992">
        <x:f ca="1">IFERROR(IF(0=LEN(ReferenceData!$J$992),"",ReferenceData!$J$992),"")</x:f>
        <x:v>0</x:v>
      </x:c>
      <x:c r="K992">
        <x:f ca="1">IFERROR(IF(0=LEN(ReferenceData!$K$992),"",ReferenceData!$K$992),"")</x:f>
        <x:v>0</x:v>
      </x:c>
      <x:c r="L992">
        <x:f ca="1">IFERROR(IF(0=LEN(ReferenceData!$L$992),"",ReferenceData!$L$992),"")</x:f>
        <x:v>0</x:v>
      </x:c>
      <x:c r="M992">
        <x:f ca="1">IFERROR(IF(0=LEN(ReferenceData!$M$992),"",ReferenceData!$M$992),"")</x:f>
        <x:v>0</x:v>
      </x:c>
      <x:c r="N992">
        <x:f ca="1">IFERROR(IF(0=LEN(ReferenceData!$N$992),"",ReferenceData!$N$992),"")</x:f>
        <x:v>0</x:v>
      </x:c>
      <x:c r="O992">
        <x:f ca="1">IFERROR(IF(0=LEN(ReferenceData!$O$992),"",ReferenceData!$O$992),"")</x:f>
        <x:v>0</x:v>
      </x:c>
      <x:c r="P992">
        <x:f ca="1">IFERROR(IF(0=LEN(ReferenceData!$P$992),"",ReferenceData!$P$992),"")</x:f>
        <x:v>0</x:v>
      </x:c>
      <x:c r="Q992">
        <x:f ca="1">IFERROR(IF(0=LEN(ReferenceData!$Q$992),"",ReferenceData!$Q$992),"")</x:f>
        <x:v>0</x:v>
      </x:c>
      <x:c r="R992">
        <x:f ca="1">IFERROR(IF(0=LEN(ReferenceData!$R$992),"",ReferenceData!$R$992),"")</x:f>
        <x:v>0</x:v>
      </x:c>
      <x:c r="S992">
        <x:f ca="1">IFERROR(IF(0=LEN(ReferenceData!$S$992),"",ReferenceData!$S$992),"")</x:f>
        <x:v>0</x:v>
      </x:c>
    </x:row>
    <x:row r="993" spans="1:19" x14ac:dyDescent="0.25">
      <x:c r="A993" t="str">
        <x:f>IFERROR(IF(0=LEN(ReferenceData!$A$993),"",ReferenceData!$A$993),"")</x:f>
        <x:v xml:space="preserve">            Fidelity Metaverse ETF</x:v>
      </x:c>
      <x:c r="B993" t="str">
        <x:f>IFERROR(IF(0=LEN(ReferenceData!$B$993),"",ReferenceData!$B$993),"")</x:f>
        <x:v>FMET US Equity</x:v>
      </x:c>
      <x:c r="C993" t="str">
        <x:f>IFERROR(IF(0=LEN(ReferenceData!$C$993),"",ReferenceData!$C$993),"")</x:f>
        <x:v/>
      </x:c>
      <x:c r="D993" t="str">
        <x:f>IFERROR(IF(0=LEN(ReferenceData!$D$993),"",ReferenceData!$D$993),"")</x:f>
        <x:v/>
      </x:c>
      <x:c r="E993" t="str">
        <x:f>IFERROR(IF(0=LEN(ReferenceData!$E$993),"",ReferenceData!$E$993),"")</x:f>
        <x:v>Expression</x:v>
      </x:c>
      <x:c r="F993">
        <x:f ca="1">IFERROR(IF(0=LEN(ReferenceData!$F$993),"",ReferenceData!$F$993),"")</x:f>
        <x:v>3.9741710000000001</x:v>
      </x:c>
      <x:c r="G993">
        <x:f ca="1">IFERROR(IF(0=LEN(ReferenceData!$G$993),"",ReferenceData!$G$993),"")</x:f>
        <x:v>0</x:v>
      </x:c>
      <x:c r="H993">
        <x:f ca="1">IFERROR(IF(0=LEN(ReferenceData!$H$993),"",ReferenceData!$H$993),"")</x:f>
        <x:v>7.9950000000000004E-3</x:v>
      </x:c>
      <x:c r="I993">
        <x:f ca="1">IFERROR(IF(0=LEN(ReferenceData!$I$993),"",ReferenceData!$I$993),"")</x:f>
        <x:v>0</x:v>
      </x:c>
      <x:c r="J993">
        <x:f ca="1">IFERROR(IF(0=LEN(ReferenceData!$J$993),"",ReferenceData!$J$993),"")</x:f>
        <x:v>1.3620699999999999</x:v>
      </x:c>
      <x:c r="K993">
        <x:f ca="1">IFERROR(IF(0=LEN(ReferenceData!$K$993),"",ReferenceData!$K$993),"")</x:f>
        <x:v>1.2535810000000001</x:v>
      </x:c>
      <x:c r="L993">
        <x:f ca="1">IFERROR(IF(0=LEN(ReferenceData!$L$993),"",ReferenceData!$L$993),"")</x:f>
        <x:v>0</x:v>
      </x:c>
      <x:c r="M993">
        <x:f ca="1">IFERROR(IF(0=LEN(ReferenceData!$M$993),"",ReferenceData!$M$993),"")</x:f>
        <x:v>0</x:v>
      </x:c>
      <x:c r="N993">
        <x:f ca="1">IFERROR(IF(0=LEN(ReferenceData!$N$993),"",ReferenceData!$N$993),"")</x:f>
        <x:v>0</x:v>
      </x:c>
      <x:c r="O993">
        <x:f ca="1">IFERROR(IF(0=LEN(ReferenceData!$O$993),"",ReferenceData!$O$993),"")</x:f>
        <x:v>0</x:v>
      </x:c>
      <x:c r="P993">
        <x:f ca="1">IFERROR(IF(0=LEN(ReferenceData!$P$993),"",ReferenceData!$P$993),"")</x:f>
        <x:v>0</x:v>
      </x:c>
      <x:c r="Q993">
        <x:f ca="1">IFERROR(IF(0=LEN(ReferenceData!$Q$993),"",ReferenceData!$Q$993),"")</x:f>
        <x:v>0</x:v>
      </x:c>
      <x:c r="R993">
        <x:f ca="1">IFERROR(IF(0=LEN(ReferenceData!$R$993),"",ReferenceData!$R$993),"")</x:f>
        <x:v>0</x:v>
      </x:c>
      <x:c r="S993">
        <x:f ca="1">IFERROR(IF(0=LEN(ReferenceData!$S$993),"",ReferenceData!$S$993),"")</x:f>
        <x:v>0</x:v>
      </x:c>
    </x:row>
    <x:row r="994" spans="1:19" x14ac:dyDescent="0.25">
      <x:c r="A994" t="str">
        <x:f>IFERROR(IF(0=LEN(ReferenceData!$A$994),"",ReferenceData!$A$994),"")</x:f>
        <x:v xml:space="preserve">            iShares Future Metaverse Tech</x:v>
      </x:c>
      <x:c r="B994" t="str">
        <x:f>IFERROR(IF(0=LEN(ReferenceData!$B$994),"",ReferenceData!$B$994),"")</x:f>
        <x:v>IVRS US Equity</x:v>
      </x:c>
      <x:c r="C994" t="str">
        <x:f>IFERROR(IF(0=LEN(ReferenceData!$C$994),"",ReferenceData!$C$994),"")</x:f>
        <x:v/>
      </x:c>
      <x:c r="D994" t="str">
        <x:f>IFERROR(IF(0=LEN(ReferenceData!$D$994),"",ReferenceData!$D$994),"")</x:f>
        <x:v/>
      </x:c>
      <x:c r="E994" t="str">
        <x:f>IFERROR(IF(0=LEN(ReferenceData!$E$994),"",ReferenceData!$E$994),"")</x:f>
        <x:v>Expression</x:v>
      </x:c>
      <x:c r="F994">
        <x:f ca="1">IFERROR(IF(0=LEN(ReferenceData!$F$994),"",ReferenceData!$F$994),"")</x:f>
        <x:v>0</x:v>
      </x:c>
      <x:c r="G994">
        <x:f ca="1">IFERROR(IF(0=LEN(ReferenceData!$G$994),"",ReferenceData!$G$994),"")</x:f>
        <x:v>0</x:v>
      </x:c>
      <x:c r="H994">
        <x:f ca="1">IFERROR(IF(0=LEN(ReferenceData!$H$994),"",ReferenceData!$H$994),"")</x:f>
        <x:v>0</x:v>
      </x:c>
      <x:c r="I994">
        <x:f ca="1">IFERROR(IF(0=LEN(ReferenceData!$I$994),"",ReferenceData!$I$994),"")</x:f>
        <x:v>0</x:v>
      </x:c>
      <x:c r="J994">
        <x:f ca="1">IFERROR(IF(0=LEN(ReferenceData!$J$994),"",ReferenceData!$J$994),"")</x:f>
        <x:v>0</x:v>
      </x:c>
      <x:c r="K994">
        <x:f ca="1">IFERROR(IF(0=LEN(ReferenceData!$K$994),"",ReferenceData!$K$994),"")</x:f>
        <x:v>0</x:v>
      </x:c>
      <x:c r="L994">
        <x:f ca="1">IFERROR(IF(0=LEN(ReferenceData!$L$994),"",ReferenceData!$L$994),"")</x:f>
        <x:v>0</x:v>
      </x:c>
      <x:c r="M994">
        <x:f ca="1">IFERROR(IF(0=LEN(ReferenceData!$M$994),"",ReferenceData!$M$994),"")</x:f>
        <x:v>0</x:v>
      </x:c>
      <x:c r="N994">
        <x:f ca="1">IFERROR(IF(0=LEN(ReferenceData!$N$994),"",ReferenceData!$N$994),"")</x:f>
        <x:v>0</x:v>
      </x:c>
      <x:c r="O994">
        <x:f ca="1">IFERROR(IF(0=LEN(ReferenceData!$O$994),"",ReferenceData!$O$994),"")</x:f>
        <x:v>0</x:v>
      </x:c>
      <x:c r="P994" t="str">
        <x:f ca="1">IFERROR(IF(0=LEN(ReferenceData!$P$994),"",ReferenceData!$P$994),"")</x:f>
        <x:v/>
      </x:c>
      <x:c r="Q994" t="str">
        <x:f ca="1">IFERROR(IF(0=LEN(ReferenceData!$Q$994),"",ReferenceData!$Q$994),"")</x:f>
        <x:v/>
      </x:c>
      <x:c r="R994" t="str">
        <x:f ca="1">IFERROR(IF(0=LEN(ReferenceData!$R$994),"",ReferenceData!$R$994),"")</x:f>
        <x:v/>
      </x:c>
      <x:c r="S994" t="str">
        <x:f ca="1">IFERROR(IF(0=LEN(ReferenceData!$S$994),"",ReferenceData!$S$994),"")</x:f>
        <x:v/>
      </x:c>
    </x:row>
    <x:row r="995" spans="1:19" x14ac:dyDescent="0.25">
      <x:c r="A995" t="str">
        <x:f>IFERROR(IF(0=LEN(ReferenceData!$A$995),"",ReferenceData!$A$995),"")</x:f>
        <x:v xml:space="preserve">            Proshares Metaverse ETF</x:v>
      </x:c>
      <x:c r="B995" t="str">
        <x:f>IFERROR(IF(0=LEN(ReferenceData!$B$995),"",ReferenceData!$B$995),"")</x:f>
        <x:v>VERS US Equity</x:v>
      </x:c>
      <x:c r="C995" t="str">
        <x:f>IFERROR(IF(0=LEN(ReferenceData!$C$995),"",ReferenceData!$C$995),"")</x:f>
        <x:v/>
      </x:c>
      <x:c r="D995" t="str">
        <x:f>IFERROR(IF(0=LEN(ReferenceData!$D$995),"",ReferenceData!$D$995),"")</x:f>
        <x:v/>
      </x:c>
      <x:c r="E995" t="str">
        <x:f>IFERROR(IF(0=LEN(ReferenceData!$E$995),"",ReferenceData!$E$995),"")</x:f>
        <x:v>Expression</x:v>
      </x:c>
      <x:c r="F995">
        <x:f ca="1">IFERROR(IF(0=LEN(ReferenceData!$F$995),"",ReferenceData!$F$995),"")</x:f>
        <x:v>0</x:v>
      </x:c>
      <x:c r="G995">
        <x:f ca="1">IFERROR(IF(0=LEN(ReferenceData!$G$995),"",ReferenceData!$G$995),"")</x:f>
        <x:v>0</x:v>
      </x:c>
      <x:c r="H995">
        <x:f ca="1">IFERROR(IF(0=LEN(ReferenceData!$H$995),"",ReferenceData!$H$995),"")</x:f>
        <x:v>0</x:v>
      </x:c>
      <x:c r="I995">
        <x:f ca="1">IFERROR(IF(0=LEN(ReferenceData!$I$995),"",ReferenceData!$I$995),"")</x:f>
        <x:v>0</x:v>
      </x:c>
      <x:c r="J995">
        <x:f ca="1">IFERROR(IF(0=LEN(ReferenceData!$J$995),"",ReferenceData!$J$995),"")</x:f>
        <x:v>0</x:v>
      </x:c>
      <x:c r="K995">
        <x:f ca="1">IFERROR(IF(0=LEN(ReferenceData!$K$995),"",ReferenceData!$K$995),"")</x:f>
        <x:v>0</x:v>
      </x:c>
      <x:c r="L995">
        <x:f ca="1">IFERROR(IF(0=LEN(ReferenceData!$L$995),"",ReferenceData!$L$995),"")</x:f>
        <x:v>0</x:v>
      </x:c>
      <x:c r="M995">
        <x:f ca="1">IFERROR(IF(0=LEN(ReferenceData!$M$995),"",ReferenceData!$M$995),"")</x:f>
        <x:v>-0.66488000000000003</x:v>
      </x:c>
      <x:c r="N995">
        <x:f ca="1">IFERROR(IF(0=LEN(ReferenceData!$N$995),"",ReferenceData!$N$995),"")</x:f>
        <x:v>0</x:v>
      </x:c>
      <x:c r="O995">
        <x:f ca="1">IFERROR(IF(0=LEN(ReferenceData!$O$995),"",ReferenceData!$O$995),"")</x:f>
        <x:v>0</x:v>
      </x:c>
      <x:c r="P995">
        <x:f ca="1">IFERROR(IF(0=LEN(ReferenceData!$P$995),"",ReferenceData!$P$995),"")</x:f>
        <x:v>0</x:v>
      </x:c>
      <x:c r="Q995">
        <x:f ca="1">IFERROR(IF(0=LEN(ReferenceData!$Q$995),"",ReferenceData!$Q$995),"")</x:f>
        <x:v>0</x:v>
      </x:c>
      <x:c r="R995">
        <x:f ca="1">IFERROR(IF(0=LEN(ReferenceData!$R$995),"",ReferenceData!$R$995),"")</x:f>
        <x:v>0</x:v>
      </x:c>
      <x:c r="S995">
        <x:f ca="1">IFERROR(IF(0=LEN(ReferenceData!$S$995),"",ReferenceData!$S$995),"")</x:f>
        <x:v>0</x:v>
      </x:c>
    </x:row>
    <x:row r="996" spans="1:19" x14ac:dyDescent="0.25">
      <x:c r="A996" t="str">
        <x:f>IFERROR(IF(0=LEN(ReferenceData!$A$996),"",ReferenceData!$A$996),"")</x:f>
        <x:v>3/24/2023  - Tickers listed after this date not yet included</x:v>
      </x:c>
      <x:c r="B996" t="str">
        <x:f>IFERROR(IF(0=LEN(ReferenceData!$B$996),"",ReferenceData!$B$996),"")</x:f>
        <x:v/>
      </x:c>
      <x:c r="C996" t="str">
        <x:f>IFERROR(IF(0=LEN(ReferenceData!$C$996),"",ReferenceData!$C$996),"")</x:f>
        <x:v/>
      </x:c>
      <x:c r="D996" t="str">
        <x:f>IFERROR(IF(0=LEN(ReferenceData!$D$996),"",ReferenceData!$D$996),"")</x:f>
        <x:v/>
      </x:c>
      <x:c r="E996" t="str">
        <x:f>IFERROR(IF(0=LEN(ReferenceData!$E$996),"",ReferenceData!$E$996),"")</x:f>
        <x:v>Heading</x:v>
      </x:c>
      <x:c r="F996" t="str">
        <x:f>IFERROR(IF(0=LEN(ReferenceData!$F$996),"",ReferenceData!$F$996),"")</x:f>
        <x:v/>
      </x:c>
      <x:c r="G996" t="str">
        <x:f>IFERROR(IF(0=LEN(ReferenceData!$G$996),"",ReferenceData!$G$996),"")</x:f>
        <x:v/>
      </x:c>
      <x:c r="H996" t="str">
        <x:f>IFERROR(IF(0=LEN(ReferenceData!$H$996),"",ReferenceData!$H$996),"")</x:f>
        <x:v/>
      </x:c>
      <x:c r="I996" t="str">
        <x:f>IFERROR(IF(0=LEN(ReferenceData!$I$996),"",ReferenceData!$I$996),"")</x:f>
        <x:v/>
      </x:c>
      <x:c r="J996" t="str">
        <x:f>IFERROR(IF(0=LEN(ReferenceData!$J$996),"",ReferenceData!$J$996),"")</x:f>
        <x:v/>
      </x:c>
      <x:c r="K996" t="str">
        <x:f>IFERROR(IF(0=LEN(ReferenceData!$K$996),"",ReferenceData!$K$996),"")</x:f>
        <x:v/>
      </x:c>
      <x:c r="L996" t="str">
        <x:f>IFERROR(IF(0=LEN(ReferenceData!$L$996),"",ReferenceData!$L$996),"")</x:f>
        <x:v/>
      </x:c>
      <x:c r="M996" t="str">
        <x:f>IFERROR(IF(0=LEN(ReferenceData!$M$996),"",ReferenceData!$M$996),"")</x:f>
        <x:v/>
      </x:c>
      <x:c r="N996" t="str">
        <x:f>IFERROR(IF(0=LEN(ReferenceData!$N$996),"",ReferenceData!$N$996),"")</x:f>
        <x:v/>
      </x:c>
      <x:c r="O996" t="str">
        <x:f>IFERROR(IF(0=LEN(ReferenceData!$O$996),"",ReferenceData!$O$996),"")</x:f>
        <x:v/>
      </x:c>
      <x:c r="P996" t="str">
        <x:f>IFERROR(IF(0=LEN(ReferenceData!$P$996),"",ReferenceData!$P$996),"")</x:f>
        <x:v/>
      </x:c>
      <x:c r="Q996" t="str">
        <x:f>IFERROR(IF(0=LEN(ReferenceData!$Q$996),"",ReferenceData!$Q$996),"")</x:f>
        <x:v/>
      </x:c>
      <x:c r="R996" t="str">
        <x:f>IFERROR(IF(0=LEN(ReferenceData!$R$996),"",ReferenceData!$R$996),"")</x:f>
        <x:v/>
      </x:c>
      <x:c r="S996" t="str">
        <x:f>IFERROR(IF(0=LEN(ReferenceData!$S$996),"",ReferenceData!$S$996),"")</x:f>
        <x:v/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G1996"/>
  <x:sheetViews>
    <x:sheetView workbookViewId="0"/>
  </x:sheetViews>
  <x:sheetFormatPr defaultRowHeight="15" x14ac:dyDescent="0.25"/>
  <x:cols>
    <x:col min="1" max="1" width="56.28515625" customWidth="1"/>
    <x:col min="2" max="2" width="15.85546875" customWidth="1"/>
    <x:col min="3" max="33" width="9.140625" bestFit="1" customWidth="1"/>
  </x:cols>
  <x:sheetData>
    <x:row r="1" spans="1:33" x14ac:dyDescent="0.2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</x:row>
    <x:row r="2" spans="1:33" x14ac:dyDescent="0.25">
      <x:c r="A2" s="1" t="str">
        <x:f>"Description"</x:f>
        <x:v>Description</x:v>
      </x:c>
      <x:c r="B2" s="1" t="str">
        <x:f>"Ticker"</x:f>
        <x:v>Ticker</x:v>
      </x:c>
      <x:c r="C2" s="1" t="str">
        <x:f>"Field ID"</x:f>
        <x:v>Field ID</x:v>
      </x:c>
      <x:c r="D2" s="1" t="str">
        <x:f>"Field Mnemonic"</x:f>
        <x:v>Field Mnemonic</x:v>
      </x:c>
      <x:c r="E2" s="1" t="str">
        <x:f>"Data State"</x:f>
        <x:v>Data State</x:v>
      </x:c>
      <x:c r="F2" s="1" t="str">
        <x:f>ReferenceData!$C$1987</x:f>
        <x:v>11/2023</x:v>
      </x:c>
      <x:c r="G2" s="1" t="str">
        <x:f>ReferenceData!$D$1987</x:f>
        <x:v>10/2023</x:v>
      </x:c>
      <x:c r="H2" s="1" t="str">
        <x:f>ReferenceData!$E$1987</x:f>
        <x:v>9/2023</x:v>
      </x:c>
      <x:c r="I2" s="1" t="str">
        <x:f>ReferenceData!$F$1987</x:f>
        <x:v>8/2023</x:v>
      </x:c>
      <x:c r="J2" s="1" t="str">
        <x:f>ReferenceData!$G$1987</x:f>
        <x:v>7/2023</x:v>
      </x:c>
      <x:c r="K2" s="1" t="str">
        <x:f>ReferenceData!$H$1987</x:f>
        <x:v>6/2023</x:v>
      </x:c>
      <x:c r="L2" s="1" t="str">
        <x:f>ReferenceData!$I$1987</x:f>
        <x:v>5/2023</x:v>
      </x:c>
      <x:c r="M2" s="1" t="str">
        <x:f>ReferenceData!$J$1987</x:f>
        <x:v>4/2023</x:v>
      </x:c>
      <x:c r="N2" s="1" t="str">
        <x:f>ReferenceData!$K$1987</x:f>
        <x:v>3/2023</x:v>
      </x:c>
      <x:c r="O2" s="1" t="str">
        <x:f>ReferenceData!$L$1987</x:f>
        <x:v>2/2023</x:v>
      </x:c>
      <x:c r="P2" s="1" t="str">
        <x:f>ReferenceData!$M$1987</x:f>
        <x:v>1/2023</x:v>
      </x:c>
      <x:c r="Q2" s="1" t="str">
        <x:f>ReferenceData!$N$1987</x:f>
        <x:v>12/2022</x:v>
      </x:c>
      <x:c r="R2" s="1" t="str">
        <x:f>ReferenceData!$O$1987</x:f>
        <x:v>11/2022</x:v>
      </x:c>
      <x:c r="S2" s="1" t="str">
        <x:f>ReferenceData!$P$1987</x:f>
        <x:v>10/2022</x:v>
      </x:c>
      <x:c r="T2" t="str">
        <x:f>$C$1987</x:f>
        <x:v>11/2023</x:v>
      </x:c>
      <x:c r="U2" t="str">
        <x:f>$D$1987</x:f>
        <x:v>10/2023</x:v>
      </x:c>
      <x:c r="V2" t="str">
        <x:f>$E$1987</x:f>
        <x:v>9/2023</x:v>
      </x:c>
      <x:c r="W2" t="str">
        <x:f>$F$1987</x:f>
        <x:v>8/2023</x:v>
      </x:c>
      <x:c r="X2" t="str">
        <x:f>$G$1987</x:f>
        <x:v>7/2023</x:v>
      </x:c>
      <x:c r="Y2" t="str">
        <x:f>$H$1987</x:f>
        <x:v>6/2023</x:v>
      </x:c>
      <x:c r="Z2" t="str">
        <x:f>$I$1987</x:f>
        <x:v>5/2023</x:v>
      </x:c>
      <x:c r="AA2" t="str">
        <x:f>$J$1987</x:f>
        <x:v>4/2023</x:v>
      </x:c>
      <x:c r="AB2" t="str">
        <x:f>$K$1987</x:f>
        <x:v>3/2023</x:v>
      </x:c>
      <x:c r="AC2" t="str">
        <x:f>$L$1987</x:f>
        <x:v>2/2023</x:v>
      </x:c>
      <x:c r="AD2" t="str">
        <x:f>$M$1987</x:f>
        <x:v>1/2023</x:v>
      </x:c>
      <x:c r="AE2" t="str">
        <x:f>$N$1987</x:f>
        <x:v>12/2022</x:v>
      </x:c>
      <x:c r="AF2" t="str">
        <x:f>$O$1987</x:f>
        <x:v>11/2022</x:v>
      </x:c>
      <x:c r="AG2" t="str">
        <x:f>$P$1987</x:f>
        <x:v>10/2022</x:v>
      </x:c>
    </x:row>
    <x:row r="3" spans="1:33" x14ac:dyDescent="0.25">
      <x:c r="A3" t="str">
        <x:f>"All tickers and data are US listed"</x:f>
        <x:v>All tickers and data are US listed</x:v>
      </x:c>
      <x:c r="B3" t="str">
        <x:f>""</x:f>
        <x:v/>
      </x:c>
      <x:c r="E3" t="str">
        <x:f>"Heading"</x:f>
        <x:v>Heading</x:v>
      </x:c>
      <x:c r="T3" t="str">
        <x:f>""</x:f>
        <x:v/>
      </x:c>
      <x:c r="U3" t="str">
        <x:f>""</x:f>
        <x:v/>
      </x:c>
      <x:c r="V3" t="str">
        <x:f>""</x:f>
        <x:v/>
      </x:c>
      <x:c r="W3" t="str">
        <x:f>""</x:f>
        <x:v/>
      </x:c>
      <x:c r="X3" t="str">
        <x:f>""</x:f>
        <x:v/>
      </x:c>
      <x:c r="Y3" t="str">
        <x:f>""</x:f>
        <x:v/>
      </x:c>
      <x:c r="Z3" t="str">
        <x:f>""</x:f>
        <x:v/>
      </x:c>
      <x:c r="AA3" t="str">
        <x:f>""</x:f>
        <x:v/>
      </x:c>
      <x:c r="AB3" t="str">
        <x:f>""</x:f>
        <x:v/>
      </x:c>
      <x:c r="AC3" t="str">
        <x:f>""</x:f>
        <x:v/>
      </x:c>
      <x:c r="AD3" t="str">
        <x:f>""</x:f>
        <x:v/>
      </x:c>
      <x:c r="AE3" t="str">
        <x:f>""</x:f>
        <x:v/>
      </x:c>
      <x:c r="AF3" t="str">
        <x:f>""</x:f>
        <x:v/>
      </x:c>
      <x:c r="AG3" t="str">
        <x:f>""</x:f>
        <x:v/>
      </x:c>
    </x:row>
    <x:row r="4" spans="1:33" x14ac:dyDescent="0.25">
      <x:c r="A4" t="str">
        <x:f>"Sector Focus Flows ($ Mln)"</x:f>
        <x:v>Sector Focus Flows ($ Mln)</x:v>
      </x:c>
      <x:c r="B4" t="str">
        <x:f>""</x:f>
        <x:v/>
      </x:c>
      <x:c r="E4" t="str">
        <x:f>"Sum"</x:f>
        <x:v>Sum</x:v>
      </x:c>
      <x:c r="F4">
        <x:f ca="1">IF(ISERROR(IF(SUM($F$5,$F$26,$F$74,$F$97,$F$205,$F$265,$F$327,$F$365,$F$428,$F$500,$F$566,$F$588) = 0, "", SUM($F$5,$F$26,$F$74,$F$97,$F$205,$F$265,$F$327,$F$365,$F$428,$F$500,$F$566,$F$588))), "", (IF(SUM($F$5,$F$26,$F$74,$F$97,$F$205,$F$265,$F$327,$F$365,$F$428,$F$500,$F$566,$F$588) = 0, "", SUM($F$5,$F$26,$F$74,$F$97,$F$205,$F$265,$F$327,$F$365,$F$428,$F$500,$F$566,$F$588))))</x:f>
        <x:v>4412.6532079999988</x:v>
      </x:c>
      <x:c r="G4">
        <x:f ca="1">IF(ISERROR(IF(SUM($G$5,$G$26,$G$74,$G$97,$G$205,$G$265,$G$327,$G$365,$G$428,$G$500,$G$566,$G$588) = 0, "", SUM($G$5,$G$26,$G$74,$G$97,$G$205,$G$265,$G$327,$G$365,$G$428,$G$500,$G$566,$G$588))), "", (IF(SUM($G$5,$G$26,$G$74,$G$97,$G$205,$G$265,$G$327,$G$365,$G$428,$G$500,$G$566,$G$588) = 0, "", SUM($G$5,$G$26,$G$74,$G$97,$G$205,$G$265,$G$327,$G$365,$G$428,$G$500,$G$566,$G$588))))</x:f>
        <x:v>-5886.782482999999</x:v>
      </x:c>
      <x:c r="H4">
        <x:f ca="1">IF(ISERROR(IF(SUM($H$5,$H$26,$H$74,$H$97,$H$205,$H$265,$H$327,$H$365,$H$428,$H$500,$H$566,$H$588) = 0, "", SUM($H$5,$H$26,$H$74,$H$97,$H$205,$H$265,$H$327,$H$365,$H$428,$H$500,$H$566,$H$588))), "", (IF(SUM($H$5,$H$26,$H$74,$H$97,$H$205,$H$265,$H$327,$H$365,$H$428,$H$500,$H$566,$H$588) = 0, "", SUM($H$5,$H$26,$H$74,$H$97,$H$205,$H$265,$H$327,$H$365,$H$428,$H$500,$H$566,$H$588))))</x:f>
        <x:v>-7938.5235470000007</x:v>
      </x:c>
      <x:c r="I4">
        <x:f ca="1">IF(ISERROR(IF(SUM($I$5,$I$26,$I$74,$I$97,$I$205,$I$265,$I$327,$I$365,$I$428,$I$500,$I$566,$I$588) = 0, "", SUM($I$5,$I$26,$I$74,$I$97,$I$205,$I$265,$I$327,$I$365,$I$428,$I$500,$I$566,$I$588))), "", (IF(SUM($I$5,$I$26,$I$74,$I$97,$I$205,$I$265,$I$327,$I$365,$I$428,$I$500,$I$566,$I$588) = 0, "", SUM($I$5,$I$26,$I$74,$I$97,$I$205,$I$265,$I$327,$I$365,$I$428,$I$500,$I$566,$I$588))))</x:f>
        <x:v>-846.93140500000015</x:v>
      </x:c>
      <x:c r="J4">
        <x:f ca="1">IF(ISERROR(IF(SUM($J$5,$J$26,$J$74,$J$97,$J$205,$J$265,$J$327,$J$365,$J$428,$J$500,$J$566,$J$588) = 0, "", SUM($J$5,$J$26,$J$74,$J$97,$J$205,$J$265,$J$327,$J$365,$J$428,$J$500,$J$566,$J$588))), "", (IF(SUM($J$5,$J$26,$J$74,$J$97,$J$205,$J$265,$J$327,$J$365,$J$428,$J$500,$J$566,$J$588) = 0, "", SUM($J$5,$J$26,$J$74,$J$97,$J$205,$J$265,$J$327,$J$365,$J$428,$J$500,$J$566,$J$588))))</x:f>
        <x:v>8093.0020250000007</x:v>
      </x:c>
      <x:c r="K4">
        <x:f ca="1">IF(ISERROR(IF(SUM($K$5,$K$26,$K$74,$K$97,$K$205,$K$265,$K$327,$K$365,$K$428,$K$500,$K$566,$K$588) = 0, "", SUM($K$5,$K$26,$K$74,$K$97,$K$205,$K$265,$K$327,$K$365,$K$428,$K$500,$K$566,$K$588))), "", (IF(SUM($K$5,$K$26,$K$74,$K$97,$K$205,$K$265,$K$327,$K$365,$K$428,$K$500,$K$566,$K$588) = 0, "", SUM($K$5,$K$26,$K$74,$K$97,$K$205,$K$265,$K$327,$K$365,$K$428,$K$500,$K$566,$K$588))))</x:f>
        <x:v>-7144.9035249999979</x:v>
      </x:c>
      <x:c r="L4">
        <x:f ca="1">IF(ISERROR(IF(SUM($L$5,$L$26,$L$74,$L$97,$L$205,$L$265,$L$327,$L$365,$L$428,$L$500,$L$566,$L$588) = 0, "", SUM($L$5,$L$26,$L$74,$L$97,$L$205,$L$265,$L$327,$L$365,$L$428,$L$500,$L$566,$L$588))), "", (IF(SUM($L$5,$L$26,$L$74,$L$97,$L$205,$L$265,$L$327,$L$365,$L$428,$L$500,$L$566,$L$588) = 0, "", SUM($L$5,$L$26,$L$74,$L$97,$L$205,$L$265,$L$327,$L$365,$L$428,$L$500,$L$566,$L$588))))</x:f>
        <x:v>3038.7428700000009</x:v>
      </x:c>
      <x:c r="M4">
        <x:f ca="1">IF(ISERROR(IF(SUM($M$5,$M$26,$M$74,$M$97,$M$205,$M$265,$M$327,$M$365,$M$428,$M$500,$M$566,$M$588) = 0, "", SUM($M$5,$M$26,$M$74,$M$97,$M$205,$M$265,$M$327,$M$365,$M$428,$M$500,$M$566,$M$588))), "", (IF(SUM($M$5,$M$26,$M$74,$M$97,$M$205,$M$265,$M$327,$M$365,$M$428,$M$500,$M$566,$M$588) = 0, "", SUM($M$5,$M$26,$M$74,$M$97,$M$205,$M$265,$M$327,$M$365,$M$428,$M$500,$M$566,$M$588))))</x:f>
        <x:v>-260.54634499999997</x:v>
      </x:c>
      <x:c r="N4">
        <x:f ca="1">IF(ISERROR(IF(SUM($N$5,$N$26,$N$74,$N$97,$N$205,$N$265,$N$327,$N$365,$N$428,$N$500,$N$566,$N$588) = 0, "", SUM($N$5,$N$26,$N$74,$N$97,$N$205,$N$265,$N$327,$N$365,$N$428,$N$500,$N$566,$N$588))), "", (IF(SUM($N$5,$N$26,$N$74,$N$97,$N$205,$N$265,$N$327,$N$365,$N$428,$N$500,$N$566,$N$588) = 0, "", SUM($N$5,$N$26,$N$74,$N$97,$N$205,$N$265,$N$327,$N$365,$N$428,$N$500,$N$566,$N$588))))</x:f>
        <x:v>-3002.1083350000013</x:v>
      </x:c>
      <x:c r="O4">
        <x:f ca="1">IF(ISERROR(IF(SUM($O$5,$O$26,$O$74,$O$97,$O$205,$O$265,$O$327,$O$365,$O$428,$O$500,$O$566,$O$588) = 0, "", SUM($O$5,$O$26,$O$74,$O$97,$O$205,$O$265,$O$327,$O$365,$O$428,$O$500,$O$566,$O$588))), "", (IF(SUM($O$5,$O$26,$O$74,$O$97,$O$205,$O$265,$O$327,$O$365,$O$428,$O$500,$O$566,$O$588) = 0, "", SUM($O$5,$O$26,$O$74,$O$97,$O$205,$O$265,$O$327,$O$365,$O$428,$O$500,$O$566,$O$588))))</x:f>
        <x:v>-5367.7518810000001</x:v>
      </x:c>
      <x:c r="P4">
        <x:f ca="1">IF(ISERROR(IF(SUM($P$5,$P$26,$P$74,$P$97,$P$205,$P$265,$P$327,$P$365,$P$428,$P$500,$P$566,$P$588) = 0, "", SUM($P$5,$P$26,$P$74,$P$97,$P$205,$P$265,$P$327,$P$365,$P$428,$P$500,$P$566,$P$588))), "", (IF(SUM($P$5,$P$26,$P$74,$P$97,$P$205,$P$265,$P$327,$P$365,$P$428,$P$500,$P$566,$P$588) = 0, "", SUM($P$5,$P$26,$P$74,$P$97,$P$205,$P$265,$P$327,$P$365,$P$428,$P$500,$P$566,$P$588))))</x:f>
        <x:v>-1698.2423259999994</x:v>
      </x:c>
      <x:c r="Q4">
        <x:f ca="1">IF(ISERROR(IF(SUM($Q$5,$Q$26,$Q$74,$Q$97,$Q$205,$Q$265,$Q$327,$Q$365,$Q$428,$Q$500,$Q$566,$Q$588) = 0, "", SUM($Q$5,$Q$26,$Q$74,$Q$97,$Q$205,$Q$265,$Q$327,$Q$365,$Q$428,$Q$500,$Q$566,$Q$588))), "", (IF(SUM($Q$5,$Q$26,$Q$74,$Q$97,$Q$205,$Q$265,$Q$327,$Q$365,$Q$428,$Q$500,$Q$566,$Q$588) = 0, "", SUM($Q$5,$Q$26,$Q$74,$Q$97,$Q$205,$Q$265,$Q$327,$Q$365,$Q$428,$Q$500,$Q$566,$Q$588))))</x:f>
        <x:v>-4289.5486430000001</x:v>
      </x:c>
      <x:c r="R4">
        <x:f ca="1">IF(ISERROR(IF(SUM($R$5,$R$26,$R$74,$R$97,$R$205,$R$265,$R$327,$R$365,$R$428,$R$500,$R$566,$R$588) = 0, "", SUM($R$5,$R$26,$R$74,$R$97,$R$205,$R$265,$R$327,$R$365,$R$428,$R$500,$R$566,$R$588))), "", (IF(SUM($R$5,$R$26,$R$74,$R$97,$R$205,$R$265,$R$327,$R$365,$R$428,$R$500,$R$566,$R$588) = 0, "", SUM($R$5,$R$26,$R$74,$R$97,$R$205,$R$265,$R$327,$R$365,$R$428,$R$500,$R$566,$R$588))))</x:f>
        <x:v>5155.2119080000002</x:v>
      </x:c>
      <x:c r="S4">
        <x:f ca="1">IF(ISERROR(IF(SUM($S$5,$S$26,$S$74,$S$97,$S$205,$S$265,$S$327,$S$365,$S$428,$S$500,$S$566,$S$588) = 0, "", SUM($S$5,$S$26,$S$74,$S$97,$S$205,$S$265,$S$327,$S$365,$S$428,$S$500,$S$566,$S$588))), "", (IF(SUM($S$5,$S$26,$S$74,$S$97,$S$205,$S$265,$S$327,$S$365,$S$428,$S$500,$S$566,$S$588) = 0, "", SUM($S$5,$S$26,$S$74,$S$97,$S$205,$S$265,$S$327,$S$365,$S$428,$S$500,$S$566,$S$588))))</x:f>
        <x:v>6956.9289579999995</x:v>
      </x:c>
      <x:c r="T4">
        <x:f>4412.653208</x:f>
        <x:v>4412.6532079999997</x:v>
      </x:c>
      <x:c r="U4">
        <x:f>-5886.782483</x:f>
        <x:v>-5886.782483</x:v>
      </x:c>
      <x:c r="V4">
        <x:f>-7938.523547</x:f>
        <x:v>-7938.5235469999998</x:v>
      </x:c>
      <x:c r="W4">
        <x:f>-846.931405</x:f>
        <x:v>-846.93140500000004</x:v>
      </x:c>
      <x:c r="X4">
        <x:f>8093.002025</x:f>
        <x:v>8093.0020249999998</x:v>
      </x:c>
      <x:c r="Y4">
        <x:f>-7144.903525</x:f>
        <x:v>-7144.9035249999997</x:v>
      </x:c>
      <x:c r="Z4">
        <x:f>3038.74287</x:f>
        <x:v>3038.74287</x:v>
      </x:c>
      <x:c r="AA4">
        <x:f>-260.546345</x:f>
        <x:v>-260.54634499999997</x:v>
      </x:c>
      <x:c r="AB4">
        <x:f>-3002.108335</x:f>
        <x:v>-3002.1083349999999</x:v>
      </x:c>
      <x:c r="AC4">
        <x:f>-5367.751881</x:f>
        <x:v>-5367.7518810000001</x:v>
      </x:c>
      <x:c r="AD4">
        <x:f>-1698.242326</x:f>
        <x:v>-1698.242326</x:v>
      </x:c>
      <x:c r="AE4">
        <x:f>-4289.548643</x:f>
        <x:v>-4289.5486430000001</x:v>
      </x:c>
      <x:c r="AF4">
        <x:f>5155.211908</x:f>
        <x:v>5155.2119080000002</x:v>
      </x:c>
      <x:c r="AG4">
        <x:f>6956.928958</x:f>
        <x:v>6956.9289580000004</x:v>
      </x:c>
    </x:row>
    <x:row r="5" spans="1:33" x14ac:dyDescent="0.25">
      <x:c r="A5" t="str">
        <x:f>"    Communications"</x:f>
        <x:v xml:space="preserve">    Communications</x:v>
      </x:c>
      <x:c r="B5" t="str">
        <x:f>""</x:f>
        <x:v/>
      </x:c>
      <x:c r="E5" t="str">
        <x:f>"Sum"</x:f>
        <x:v>Sum</x:v>
      </x:c>
      <x:c r="F5">
        <x:f ca="1">IF(ISERROR(IF(SUM($F$6:$F$25) = 0, "", SUM($F$6:$F$25))), "", (IF(SUM($F$6:$F$25) = 0, "", SUM($F$6:$F$25))))</x:f>
        <x:v>371.78441699999996</x:v>
      </x:c>
      <x:c r="G5">
        <x:f ca="1">IF(ISERROR(IF(SUM($G$6:$G$25) = 0, "", SUM($G$6:$G$25))), "", (IF(SUM($G$6:$G$25) = 0, "", SUM($G$6:$G$25))))</x:f>
        <x:v>89.286933000000019</x:v>
      </x:c>
      <x:c r="H5">
        <x:f ca="1">IF(ISERROR(IF(SUM($H$6:$H$25) = 0, "", SUM($H$6:$H$25))), "", (IF(SUM($H$6:$H$25) = 0, "", SUM($H$6:$H$25))))</x:f>
        <x:v>-1049.3497209999998</x:v>
      </x:c>
      <x:c r="I5">
        <x:f ca="1">IF(ISERROR(IF(SUM($I$6:$I$25) = 0, "", SUM($I$6:$I$25))), "", (IF(SUM($I$6:$I$25) = 0, "", SUM($I$6:$I$25))))</x:f>
        <x:v>381.226156</x:v>
      </x:c>
      <x:c r="J5">
        <x:f ca="1">IF(ISERROR(IF(SUM($J$6:$J$25) = 0, "", SUM($J$6:$J$25))), "", (IF(SUM($J$6:$J$25) = 0, "", SUM($J$6:$J$25))))</x:f>
        <x:v>908.7443189999999</x:v>
      </x:c>
      <x:c r="K5">
        <x:f ca="1">IF(ISERROR(IF(SUM($K$6:$K$25) = 0, "", SUM($K$6:$K$25))), "", (IF(SUM($K$6:$K$25) = 0, "", SUM($K$6:$K$25))))</x:f>
        <x:v>171.45164800000001</x:v>
      </x:c>
      <x:c r="L5">
        <x:f ca="1">IF(ISERROR(IF(SUM($L$6:$L$25) = 0, "", SUM($L$6:$L$25))), "", (IF(SUM($L$6:$L$25) = 0, "", SUM($L$6:$L$25))))</x:f>
        <x:v>696.85332699999992</x:v>
      </x:c>
      <x:c r="M5">
        <x:f ca="1">IF(ISERROR(IF(SUM($M$6:$M$25) = 0, "", SUM($M$6:$M$25))), "", (IF(SUM($M$6:$M$25) = 0, "", SUM($M$6:$M$25))))</x:f>
        <x:v>945.69449799999995</x:v>
      </x:c>
      <x:c r="N5">
        <x:f ca="1">IF(ISERROR(IF(SUM($N$6:$N$25) = 0, "", SUM($N$6:$N$25))), "", (IF(SUM($N$6:$N$25) = 0, "", SUM($N$6:$N$25))))</x:f>
        <x:v>162.34541099999998</x:v>
      </x:c>
      <x:c r="O5">
        <x:f ca="1">IF(ISERROR(IF(SUM($O$6:$O$25) = 0, "", SUM($O$6:$O$25))), "", (IF(SUM($O$6:$O$25) = 0, "", SUM($O$6:$O$25))))</x:f>
        <x:v>-26.877200999999999</x:v>
      </x:c>
      <x:c r="P5">
        <x:f ca="1">IF(ISERROR(IF(SUM($P$6:$P$25) = 0, "", SUM($P$6:$P$25))), "", (IF(SUM($P$6:$P$25) = 0, "", SUM($P$6:$P$25))))</x:f>
        <x:v>114.99995599999998</x:v>
      </x:c>
      <x:c r="Q5">
        <x:f ca="1">IF(ISERROR(IF(SUM($Q$6:$Q$25) = 0, "", SUM($Q$6:$Q$25))), "", (IF(SUM($Q$6:$Q$25) = 0, "", SUM($Q$6:$Q$25))))</x:f>
        <x:v>-78.026331000000013</x:v>
      </x:c>
      <x:c r="R5">
        <x:f ca="1">IF(ISERROR(IF(SUM($R$6:$R$25) = 0, "", SUM($R$6:$R$25))), "", (IF(SUM($R$6:$R$25) = 0, "", SUM($R$6:$R$25))))</x:f>
        <x:v>-73.034899000000024</x:v>
      </x:c>
      <x:c r="S5">
        <x:f ca="1">IF(ISERROR(IF(SUM($S$6:$S$25) = 0, "", SUM($S$6:$S$25))), "", (IF(SUM($S$6:$S$25) = 0, "", SUM($S$6:$S$25))))</x:f>
        <x:v>501.66005000000001</x:v>
      </x:c>
      <x:c r="T5">
        <x:f>371.784417</x:f>
        <x:v>371.78441700000002</x:v>
      </x:c>
      <x:c r="U5">
        <x:f>89.286933</x:f>
        <x:v>89.286933000000005</x:v>
      </x:c>
      <x:c r="V5">
        <x:f>-1049.349721</x:f>
        <x:v>-1049.349721</x:v>
      </x:c>
      <x:c r="W5">
        <x:f>381.226156</x:f>
        <x:v>381.226156</x:v>
      </x:c>
      <x:c r="X5">
        <x:f>908.744319</x:f>
        <x:v>908.74431900000002</x:v>
      </x:c>
      <x:c r="Y5">
        <x:f>171.451648</x:f>
        <x:v>171.45164800000001</x:v>
      </x:c>
      <x:c r="Z5">
        <x:f>696.853327</x:f>
        <x:v>696.85332700000004</x:v>
      </x:c>
      <x:c r="AA5">
        <x:f>945.694498</x:f>
        <x:v>945.69449799999995</x:v>
      </x:c>
      <x:c r="AB5">
        <x:f>162.345411</x:f>
        <x:v>162.34541100000001</x:v>
      </x:c>
      <x:c r="AC5">
        <x:f>-26.877201</x:f>
        <x:v>-26.877200999999999</x:v>
      </x:c>
      <x:c r="AD5">
        <x:f>114.999956</x:f>
        <x:v>114.999956</x:v>
      </x:c>
      <x:c r="AE5">
        <x:f>-78.026331</x:f>
        <x:v>-78.026330999999999</x:v>
      </x:c>
      <x:c r="AF5">
        <x:f>-73.034899</x:f>
        <x:v>-73.034898999999996</x:v>
      </x:c>
      <x:c r="AG5">
        <x:f>501.66005</x:f>
        <x:v>501.66005000000001</x:v>
      </x:c>
    </x:row>
    <x:row r="6" spans="1:33" x14ac:dyDescent="0.25">
      <x:c r="A6" t="str">
        <x:f>"        Global X MSCI China Communicat"</x:f>
        <x:v xml:space="preserve">        Global X MSCI China Communicat</x:v>
      </x:c>
      <x:c r="B6" t="str">
        <x:f>"CHIC US Equity"</x:f>
        <x:v>CHIC US Equity</x:v>
      </x:c>
      <x:c r="E6" t="str">
        <x:f t="shared" ref="E6:E25" si="0">"Expression"</x:f>
        <x:v>Expression</x:v>
      </x:c>
      <x:c r="F6">
        <x:f ca="1">IF(AND($B$1012=1,LEN($F$1014)&gt;0),$F$1014,HLOOKUP(INDIRECT(ADDRESS(2,COLUMN())),OFFSET($T$2,0,0,ROW()-1,14),ROW()-1,FALSE))</x:f>
        <x:v>0</x:v>
      </x:c>
      <x:c r="G6">
        <x:f ca="1">IF(AND($B$1012=1,LEN($G$1014)&gt;0),$G$1014,HLOOKUP(INDIRECT(ADDRESS(2,COLUMN())),OFFSET($T$2,0,0,ROW()-1,14),ROW()-1,FALSE))</x:f>
        <x:v>0</x:v>
      </x:c>
      <x:c r="H6">
        <x:f ca="1">IF(AND($B$1012=1,LEN($H$1014)&gt;0),$H$1014,HLOOKUP(INDIRECT(ADDRESS(2,COLUMN())),OFFSET($T$2,0,0,ROW()-1,14),ROW()-1,FALSE))</x:f>
        <x:v>-0.70199999999999996</x:v>
      </x:c>
      <x:c r="I6">
        <x:f ca="1">IF(AND($B$1012=1,LEN($I$1014)&gt;0),$I$1014,HLOOKUP(INDIRECT(ADDRESS(2,COLUMN())),OFFSET($T$2,0,0,ROW()-1,14),ROW()-1,FALSE))</x:f>
        <x:v>0</x:v>
      </x:c>
      <x:c r="J6">
        <x:f ca="1">IF(AND($B$1012=1,LEN($J$1014)&gt;0),$J$1014,HLOOKUP(INDIRECT(ADDRESS(2,COLUMN())),OFFSET($T$2,0,0,ROW()-1,14),ROW()-1,FALSE))</x:f>
        <x:v>0</x:v>
      </x:c>
      <x:c r="K6">
        <x:f ca="1">IF(AND($B$1012=1,LEN($K$1014)&gt;0),$K$1014,HLOOKUP(INDIRECT(ADDRESS(2,COLUMN())),OFFSET($T$2,0,0,ROW()-1,14),ROW()-1,FALSE))</x:f>
        <x:v>0</x:v>
      </x:c>
      <x:c r="L6">
        <x:f ca="1">IF(AND($B$1012=1,LEN($L$1014)&gt;0),$L$1014,HLOOKUP(INDIRECT(ADDRESS(2,COLUMN())),OFFSET($T$2,0,0,ROW()-1,14),ROW()-1,FALSE))</x:f>
        <x:v>0</x:v>
      </x:c>
      <x:c r="M6">
        <x:f ca="1">IF(AND($B$1012=1,LEN($M$1014)&gt;0),$M$1014,HLOOKUP(INDIRECT(ADDRESS(2,COLUMN())),OFFSET($T$2,0,0,ROW()-1,14),ROW()-1,FALSE))</x:f>
        <x:v>0</x:v>
      </x:c>
      <x:c r="N6">
        <x:f ca="1">IF(AND($B$1012=1,LEN($N$1014)&gt;0),$N$1014,HLOOKUP(INDIRECT(ADDRESS(2,COLUMN())),OFFSET($T$2,0,0,ROW()-1,14),ROW()-1,FALSE))</x:f>
        <x:v>0</x:v>
      </x:c>
      <x:c r="O6">
        <x:f ca="1">IF(AND($B$1012=1,LEN($O$1014)&gt;0),$O$1014,HLOOKUP(INDIRECT(ADDRESS(2,COLUMN())),OFFSET($T$2,0,0,ROW()-1,14),ROW()-1,FALSE))</x:f>
        <x:v>0</x:v>
      </x:c>
      <x:c r="P6">
        <x:f ca="1">IF(AND($B$1012=1,LEN($P$1014)&gt;0),$P$1014,HLOOKUP(INDIRECT(ADDRESS(2,COLUMN())),OFFSET($T$2,0,0,ROW()-1,14),ROW()-1,FALSE))</x:f>
        <x:v>0</x:v>
      </x:c>
      <x:c r="Q6">
        <x:f ca="1">IF(AND($B$1012=1,LEN($Q$1014)&gt;0),$Q$1014,HLOOKUP(INDIRECT(ADDRESS(2,COLUMN())),OFFSET($T$2,0,0,ROW()-1,14),ROW()-1,FALSE))</x:f>
        <x:v>-0.38879999999999998</x:v>
      </x:c>
      <x:c r="R6">
        <x:f ca="1">IF(AND($B$1012=1,LEN($R$1014)&gt;0),$R$1014,HLOOKUP(INDIRECT(ADDRESS(2,COLUMN())),OFFSET($T$2,0,0,ROW()-1,14),ROW()-1,FALSE))</x:f>
        <x:v>0</x:v>
      </x:c>
      <x:c r="S6">
        <x:f ca="1">IF(AND($B$1012=1,LEN($S$1014)&gt;0),$S$1014,HLOOKUP(INDIRECT(ADDRESS(2,COLUMN())),OFFSET($T$2,0,0,ROW()-1,14),ROW()-1,FALSE))</x:f>
        <x:v>0</x:v>
      </x:c>
      <x:c r="T6">
        <x:f>0</x:f>
        <x:v>0</x:v>
      </x:c>
      <x:c r="U6">
        <x:f>0</x:f>
        <x:v>0</x:v>
      </x:c>
      <x:c r="V6">
        <x:f>-0.702</x:f>
        <x:v>-0.70199999999999996</x:v>
      </x:c>
      <x:c r="W6">
        <x:f>0</x:f>
        <x:v>0</x:v>
      </x:c>
      <x:c r="X6">
        <x:f>0</x:f>
        <x:v>0</x:v>
      </x:c>
      <x:c r="Y6">
        <x:f>0</x:f>
        <x:v>0</x:v>
      </x:c>
      <x:c r="Z6">
        <x:f>0</x:f>
        <x:v>0</x:v>
      </x:c>
      <x:c r="AA6">
        <x:f>0</x:f>
        <x:v>0</x:v>
      </x:c>
      <x:c r="AB6">
        <x:f>0</x:f>
        <x:v>0</x:v>
      </x:c>
      <x:c r="AC6">
        <x:f>0</x:f>
        <x:v>0</x:v>
      </x:c>
      <x:c r="AD6">
        <x:f>0</x:f>
        <x:v>0</x:v>
      </x:c>
      <x:c r="AE6">
        <x:f>-0.3888</x:f>
        <x:v>-0.38879999999999998</x:v>
      </x:c>
      <x:c r="AF6">
        <x:f>0</x:f>
        <x:v>0</x:v>
      </x:c>
      <x:c r="AG6">
        <x:f>0</x:f>
        <x:v>0</x:v>
      </x:c>
    </x:row>
    <x:row r="7" spans="1:33" x14ac:dyDescent="0.25">
      <x:c r="A7" t="str">
        <x:f>"        Vanguard Communication Service"</x:f>
        <x:v xml:space="preserve">        Vanguard Communication Service</x:v>
      </x:c>
      <x:c r="B7" t="str">
        <x:f>"VOX US Equity"</x:f>
        <x:v>VOX US Equity</x:v>
      </x:c>
      <x:c r="E7" t="str">
        <x:f t="shared" si="0"/>
        <x:v>Expression</x:v>
      </x:c>
      <x:c r="F7">
        <x:f ca="1">IF(AND($B$1012=1,LEN($F$1015)&gt;0),$F$1015,HLOOKUP(INDIRECT(ADDRESS(2,COLUMN())),OFFSET($T$2,0,0,ROW()-1,14),ROW()-1,FALSE))</x:f>
        <x:v>52.590839000000003</x:v>
      </x:c>
      <x:c r="G7">
        <x:f ca="1">IF(AND($B$1012=1,LEN($G$1015)&gt;0),$G$1015,HLOOKUP(INDIRECT(ADDRESS(2,COLUMN())),OFFSET($T$2,0,0,ROW()-1,14),ROW()-1,FALSE))</x:f>
        <x:v>-169.95474999999999</x:v>
      </x:c>
      <x:c r="H7">
        <x:f ca="1">IF(AND($B$1012=1,LEN($H$1015)&gt;0),$H$1015,HLOOKUP(INDIRECT(ADDRESS(2,COLUMN())),OFFSET($T$2,0,0,ROW()-1,14),ROW()-1,FALSE))</x:f>
        <x:v>21.327500000000001</x:v>
      </x:c>
      <x:c r="I7">
        <x:f ca="1">IF(AND($B$1012=1,LEN($I$1015)&gt;0),$I$1015,HLOOKUP(INDIRECT(ADDRESS(2,COLUMN())),OFFSET($T$2,0,0,ROW()-1,14),ROW()-1,FALSE))</x:f>
        <x:v>93.558000000000007</x:v>
      </x:c>
      <x:c r="J7">
        <x:f ca="1">IF(AND($B$1012=1,LEN($J$1015)&gt;0),$J$1015,HLOOKUP(INDIRECT(ADDRESS(2,COLUMN())),OFFSET($T$2,0,0,ROW()-1,14),ROW()-1,FALSE))</x:f>
        <x:v>255.75774999999999</x:v>
      </x:c>
      <x:c r="K7">
        <x:f ca="1">IF(AND($B$1012=1,LEN($K$1015)&gt;0),$K$1015,HLOOKUP(INDIRECT(ADDRESS(2,COLUMN())),OFFSET($T$2,0,0,ROW()-1,14),ROW()-1,FALSE))</x:f>
        <x:v>8.0120000000000005</x:v>
      </x:c>
      <x:c r="L7">
        <x:f ca="1">IF(AND($B$1012=1,LEN($L$1015)&gt;0),$L$1015,HLOOKUP(INDIRECT(ADDRESS(2,COLUMN())),OFFSET($T$2,0,0,ROW()-1,14),ROW()-1,FALSE))</x:f>
        <x:v>-38.923749999999998</x:v>
      </x:c>
      <x:c r="M7">
        <x:f ca="1">IF(AND($B$1012=1,LEN($M$1015)&gt;0),$M$1015,HLOOKUP(INDIRECT(ADDRESS(2,COLUMN())),OFFSET($T$2,0,0,ROW()-1,14),ROW()-1,FALSE))</x:f>
        <x:v>33.857250000000001</x:v>
      </x:c>
      <x:c r="N7">
        <x:f ca="1">IF(AND($B$1012=1,LEN($N$1015)&gt;0),$N$1015,HLOOKUP(INDIRECT(ADDRESS(2,COLUMN())),OFFSET($T$2,0,0,ROW()-1,14),ROW()-1,FALSE))</x:f>
        <x:v>-98.185500000000005</x:v>
      </x:c>
      <x:c r="O7">
        <x:f ca="1">IF(AND($B$1012=1,LEN($O$1015)&gt;0),$O$1015,HLOOKUP(INDIRECT(ADDRESS(2,COLUMN())),OFFSET($T$2,0,0,ROW()-1,14),ROW()-1,FALSE))</x:f>
        <x:v>22.97025</x:v>
      </x:c>
      <x:c r="P7">
        <x:f ca="1">IF(AND($B$1012=1,LEN($P$1015)&gt;0),$P$1015,HLOOKUP(INDIRECT(ADDRESS(2,COLUMN())),OFFSET($T$2,0,0,ROW()-1,14),ROW()-1,FALSE))</x:f>
        <x:v>-12.899349000000001</x:v>
      </x:c>
      <x:c r="Q7">
        <x:f ca="1">IF(AND($B$1012=1,LEN($Q$1015)&gt;0),$Q$1015,HLOOKUP(INDIRECT(ADDRESS(2,COLUMN())),OFFSET($T$2,0,0,ROW()-1,14),ROW()-1,FALSE))</x:f>
        <x:v>-11.843999999999999</x:v>
      </x:c>
      <x:c r="R7">
        <x:f ca="1">IF(AND($B$1012=1,LEN($R$1015)&gt;0),$R$1015,HLOOKUP(INDIRECT(ADDRESS(2,COLUMN())),OFFSET($T$2,0,0,ROW()-1,14),ROW()-1,FALSE))</x:f>
        <x:v>104.081</x:v>
      </x:c>
      <x:c r="S7">
        <x:f ca="1">IF(AND($B$1012=1,LEN($S$1015)&gt;0),$S$1015,HLOOKUP(INDIRECT(ADDRESS(2,COLUMN())),OFFSET($T$2,0,0,ROW()-1,14),ROW()-1,FALSE))</x:f>
        <x:v>-26.756499999999999</x:v>
      </x:c>
      <x:c r="T7">
        <x:f>52.590839</x:f>
        <x:v>52.590839000000003</x:v>
      </x:c>
      <x:c r="U7">
        <x:f>-169.95475</x:f>
        <x:v>-169.95474999999999</x:v>
      </x:c>
      <x:c r="V7">
        <x:f>21.3275</x:f>
        <x:v>21.327500000000001</x:v>
      </x:c>
      <x:c r="W7">
        <x:f>93.558</x:f>
        <x:v>93.558000000000007</x:v>
      </x:c>
      <x:c r="X7">
        <x:f>255.75775</x:f>
        <x:v>255.75774999999999</x:v>
      </x:c>
      <x:c r="Y7">
        <x:f>8.012</x:f>
        <x:v>8.0120000000000005</x:v>
      </x:c>
      <x:c r="Z7">
        <x:f>-38.92375</x:f>
        <x:v>-38.923749999999998</x:v>
      </x:c>
      <x:c r="AA7">
        <x:f>33.85725</x:f>
        <x:v>33.857250000000001</x:v>
      </x:c>
      <x:c r="AB7">
        <x:f>-98.1855</x:f>
        <x:v>-98.185500000000005</x:v>
      </x:c>
      <x:c r="AC7">
        <x:f>22.97025</x:f>
        <x:v>22.97025</x:v>
      </x:c>
      <x:c r="AD7">
        <x:f>-12.899349</x:f>
        <x:v>-12.899349000000001</x:v>
      </x:c>
      <x:c r="AE7">
        <x:f>-11.844</x:f>
        <x:v>-11.843999999999999</x:v>
      </x:c>
      <x:c r="AF7">
        <x:f>104.081</x:f>
        <x:v>104.081</x:v>
      </x:c>
      <x:c r="AG7">
        <x:f>-26.7565</x:f>
        <x:v>-26.756499999999999</x:v>
      </x:c>
    </x:row>
    <x:row r="8" spans="1:33" x14ac:dyDescent="0.25">
      <x:c r="A8" t="str">
        <x:f>"        iShares US Telecommunications"</x:f>
        <x:v xml:space="preserve">        iShares US Telecommunications</x:v>
      </x:c>
      <x:c r="B8" t="str">
        <x:f>"IYZ US Equity"</x:f>
        <x:v>IYZ US Equity</x:v>
      </x:c>
      <x:c r="E8" t="str">
        <x:f t="shared" si="0"/>
        <x:v>Expression</x:v>
      </x:c>
      <x:c r="F8">
        <x:f ca="1">IF(AND($B$1012=1,LEN($F$1016)&gt;0),$F$1016,HLOOKUP(INDIRECT(ADDRESS(2,COLUMN())),OFFSET($T$2,0,0,ROW()-1,14),ROW()-1,FALSE))</x:f>
        <x:v>1.0878950000000001</x:v>
      </x:c>
      <x:c r="G8">
        <x:f ca="1">IF(AND($B$1012=1,LEN($G$1016)&gt;0),$G$1016,HLOOKUP(INDIRECT(ADDRESS(2,COLUMN())),OFFSET($T$2,0,0,ROW()-1,14),ROW()-1,FALSE))</x:f>
        <x:v>-14.59263</x:v>
      </x:c>
      <x:c r="H8">
        <x:f ca="1">IF(AND($B$1012=1,LEN($H$1016)&gt;0),$H$1016,HLOOKUP(INDIRECT(ADDRESS(2,COLUMN())),OFFSET($T$2,0,0,ROW()-1,14),ROW()-1,FALSE))</x:f>
        <x:v>-22.828022000000001</x:v>
      </x:c>
      <x:c r="I8">
        <x:f ca="1">IF(AND($B$1012=1,LEN($I$1016)&gt;0),$I$1016,HLOOKUP(INDIRECT(ADDRESS(2,COLUMN())),OFFSET($T$2,0,0,ROW()-1,14),ROW()-1,FALSE))</x:f>
        <x:v>18.995685000000002</x:v>
      </x:c>
      <x:c r="J8">
        <x:f ca="1">IF(AND($B$1012=1,LEN($J$1016)&gt;0),$J$1016,HLOOKUP(INDIRECT(ADDRESS(2,COLUMN())),OFFSET($T$2,0,0,ROW()-1,14),ROW()-1,FALSE))</x:f>
        <x:v>7.8651949999999999</x:v>
      </x:c>
      <x:c r="K8">
        <x:f ca="1">IF(AND($B$1012=1,LEN($K$1016)&gt;0),$K$1016,HLOOKUP(INDIRECT(ADDRESS(2,COLUMN())),OFFSET($T$2,0,0,ROW()-1,14),ROW()-1,FALSE))</x:f>
        <x:v>-5.7293450000000004</x:v>
      </x:c>
      <x:c r="L8">
        <x:f ca="1">IF(AND($B$1012=1,LEN($L$1016)&gt;0),$L$1016,HLOOKUP(INDIRECT(ADDRESS(2,COLUMN())),OFFSET($T$2,0,0,ROW()-1,14),ROW()-1,FALSE))</x:f>
        <x:v>-1.6009100000000001</x:v>
      </x:c>
      <x:c r="M8">
        <x:f ca="1">IF(AND($B$1012=1,LEN($M$1016)&gt;0),$M$1016,HLOOKUP(INDIRECT(ADDRESS(2,COLUMN())),OFFSET($T$2,0,0,ROW()-1,14),ROW()-1,FALSE))</x:f>
        <x:v>-11.5543</x:v>
      </x:c>
      <x:c r="N8">
        <x:f ca="1">IF(AND($B$1012=1,LEN($N$1016)&gt;0),$N$1016,HLOOKUP(INDIRECT(ADDRESS(2,COLUMN())),OFFSET($T$2,0,0,ROW()-1,14),ROW()-1,FALSE))</x:f>
        <x:v>-2.53545</x:v>
      </x:c>
      <x:c r="O8">
        <x:f ca="1">IF(AND($B$1012=1,LEN($O$1016)&gt;0),$O$1016,HLOOKUP(INDIRECT(ADDRESS(2,COLUMN())),OFFSET($T$2,0,0,ROW()-1,14),ROW()-1,FALSE))</x:f>
        <x:v>-25.390135000000001</x:v>
      </x:c>
      <x:c r="P8">
        <x:f ca="1">IF(AND($B$1012=1,LEN($P$1016)&gt;0),$P$1016,HLOOKUP(INDIRECT(ADDRESS(2,COLUMN())),OFFSET($T$2,0,0,ROW()-1,14),ROW()-1,FALSE))</x:f>
        <x:v>-128.05872500000001</x:v>
      </x:c>
      <x:c r="Q8">
        <x:f ca="1">IF(AND($B$1012=1,LEN($Q$1016)&gt;0),$Q$1016,HLOOKUP(INDIRECT(ADDRESS(2,COLUMN())),OFFSET($T$2,0,0,ROW()-1,14),ROW()-1,FALSE))</x:f>
        <x:v>91.257864999999995</x:v>
      </x:c>
      <x:c r="R8">
        <x:f ca="1">IF(AND($B$1012=1,LEN($R$1016)&gt;0),$R$1016,HLOOKUP(INDIRECT(ADDRESS(2,COLUMN())),OFFSET($T$2,0,0,ROW()-1,14),ROW()-1,FALSE))</x:f>
        <x:v>32.235700000000001</x:v>
      </x:c>
      <x:c r="S8">
        <x:f ca="1">IF(AND($B$1012=1,LEN($S$1016)&gt;0),$S$1016,HLOOKUP(INDIRECT(ADDRESS(2,COLUMN())),OFFSET($T$2,0,0,ROW()-1,14),ROW()-1,FALSE))</x:f>
        <x:v>-159.81028499999999</x:v>
      </x:c>
      <x:c r="T8">
        <x:f>1.087895</x:f>
        <x:v>1.0878950000000001</x:v>
      </x:c>
      <x:c r="U8">
        <x:f>-14.59263</x:f>
        <x:v>-14.59263</x:v>
      </x:c>
      <x:c r="V8">
        <x:f>-22.828022</x:f>
        <x:v>-22.828022000000001</x:v>
      </x:c>
      <x:c r="W8">
        <x:f>18.995685</x:f>
        <x:v>18.995685000000002</x:v>
      </x:c>
      <x:c r="X8">
        <x:f>7.865195</x:f>
        <x:v>7.8651949999999999</x:v>
      </x:c>
      <x:c r="Y8">
        <x:f>-5.729345</x:f>
        <x:v>-5.7293450000000004</x:v>
      </x:c>
      <x:c r="Z8">
        <x:f>-1.60091</x:f>
        <x:v>-1.6009100000000001</x:v>
      </x:c>
      <x:c r="AA8">
        <x:f>-11.5543</x:f>
        <x:v>-11.5543</x:v>
      </x:c>
      <x:c r="AB8">
        <x:f>-2.53545</x:f>
        <x:v>-2.53545</x:v>
      </x:c>
      <x:c r="AC8">
        <x:f>-25.390135</x:f>
        <x:v>-25.390135000000001</x:v>
      </x:c>
      <x:c r="AD8">
        <x:f>-128.058725</x:f>
        <x:v>-128.05872500000001</x:v>
      </x:c>
      <x:c r="AE8">
        <x:f>91.257865</x:f>
        <x:v>91.257864999999995</x:v>
      </x:c>
      <x:c r="AF8">
        <x:f>32.2357</x:f>
        <x:v>32.235700000000001</x:v>
      </x:c>
      <x:c r="AG8">
        <x:f>-159.810285</x:f>
        <x:v>-159.81028499999999</x:v>
      </x:c>
    </x:row>
    <x:row r="9" spans="1:33" x14ac:dyDescent="0.25">
      <x:c r="A9" t="str">
        <x:f>"        iShares Global Comm Services E"</x:f>
        <x:v xml:space="preserve">        iShares Global Comm Services E</x:v>
      </x:c>
      <x:c r="B9" t="str">
        <x:f>"IXP US Equity"</x:f>
        <x:v>IXP US Equity</x:v>
      </x:c>
      <x:c r="E9" t="str">
        <x:f t="shared" si="0"/>
        <x:v>Expression</x:v>
      </x:c>
      <x:c r="F9">
        <x:f ca="1">IF(AND($B$1012=1,LEN($F$1017)&gt;0),$F$1017,HLOOKUP(INDIRECT(ADDRESS(2,COLUMN())),OFFSET($T$2,0,0,ROW()-1,14),ROW()-1,FALSE))</x:f>
        <x:v>0</x:v>
      </x:c>
      <x:c r="G9">
        <x:f ca="1">IF(AND($B$1012=1,LEN($G$1017)&gt;0),$G$1017,HLOOKUP(INDIRECT(ADDRESS(2,COLUMN())),OFFSET($T$2,0,0,ROW()-1,14),ROW()-1,FALSE))</x:f>
        <x:v>-13.681226000000001</x:v>
      </x:c>
      <x:c r="H9">
        <x:f ca="1">IF(AND($B$1012=1,LEN($H$1017)&gt;0),$H$1017,HLOOKUP(INDIRECT(ADDRESS(2,COLUMN())),OFFSET($T$2,0,0,ROW()-1,14),ROW()-1,FALSE))</x:f>
        <x:v>-17.184349999999998</x:v>
      </x:c>
      <x:c r="I9">
        <x:f ca="1">IF(AND($B$1012=1,LEN($I$1017)&gt;0),$I$1017,HLOOKUP(INDIRECT(ADDRESS(2,COLUMN())),OFFSET($T$2,0,0,ROW()-1,14),ROW()-1,FALSE))</x:f>
        <x:v>17.537459999999999</x:v>
      </x:c>
      <x:c r="J9">
        <x:f ca="1">IF(AND($B$1012=1,LEN($J$1017)&gt;0),$J$1017,HLOOKUP(INDIRECT(ADDRESS(2,COLUMN())),OFFSET($T$2,0,0,ROW()-1,14),ROW()-1,FALSE))</x:f>
        <x:v>-37.698329999999999</x:v>
      </x:c>
      <x:c r="K9">
        <x:f ca="1">IF(AND($B$1012=1,LEN($K$1017)&gt;0),$K$1017,HLOOKUP(INDIRECT(ADDRESS(2,COLUMN())),OFFSET($T$2,0,0,ROW()-1,14),ROW()-1,FALSE))</x:f>
        <x:v>10.158065000000001</x:v>
      </x:c>
      <x:c r="L9">
        <x:f ca="1">IF(AND($B$1012=1,LEN($L$1017)&gt;0),$L$1017,HLOOKUP(INDIRECT(ADDRESS(2,COLUMN())),OFFSET($T$2,0,0,ROW()-1,14),ROW()-1,FALSE))</x:f>
        <x:v>22.793970000000002</x:v>
      </x:c>
      <x:c r="M9">
        <x:f ca="1">IF(AND($B$1012=1,LEN($M$1017)&gt;0),$M$1017,HLOOKUP(INDIRECT(ADDRESS(2,COLUMN())),OFFSET($T$2,0,0,ROW()-1,14),ROW()-1,FALSE))</x:f>
        <x:v>12.99072</x:v>
      </x:c>
      <x:c r="N9">
        <x:f ca="1">IF(AND($B$1012=1,LEN($N$1017)&gt;0),$N$1017,HLOOKUP(INDIRECT(ADDRESS(2,COLUMN())),OFFSET($T$2,0,0,ROW()-1,14),ROW()-1,FALSE))</x:f>
        <x:v>-11.90593</x:v>
      </x:c>
      <x:c r="O9">
        <x:f ca="1">IF(AND($B$1012=1,LEN($O$1017)&gt;0),$O$1017,HLOOKUP(INDIRECT(ADDRESS(2,COLUMN())),OFFSET($T$2,0,0,ROW()-1,14),ROW()-1,FALSE))</x:f>
        <x:v>19.075575000000001</x:v>
      </x:c>
      <x:c r="P9">
        <x:f ca="1">IF(AND($B$1012=1,LEN($P$1017)&gt;0),$P$1017,HLOOKUP(INDIRECT(ADDRESS(2,COLUMN())),OFFSET($T$2,0,0,ROW()-1,14),ROW()-1,FALSE))</x:f>
        <x:v>3.0830500000000001</x:v>
      </x:c>
      <x:c r="Q9">
        <x:f ca="1">IF(AND($B$1012=1,LEN($Q$1017)&gt;0),$Q$1017,HLOOKUP(INDIRECT(ADDRESS(2,COLUMN())),OFFSET($T$2,0,0,ROW()-1,14),ROW()-1,FALSE))</x:f>
        <x:v>2.7810299999999999</x:v>
      </x:c>
      <x:c r="R9">
        <x:f ca="1">IF(AND($B$1012=1,LEN($R$1017)&gt;0),$R$1017,HLOOKUP(INDIRECT(ADDRESS(2,COLUMN())),OFFSET($T$2,0,0,ROW()-1,14),ROW()-1,FALSE))</x:f>
        <x:v>-70.856795000000005</x:v>
      </x:c>
      <x:c r="S9">
        <x:f ca="1">IF(AND($B$1012=1,LEN($S$1017)&gt;0),$S$1017,HLOOKUP(INDIRECT(ADDRESS(2,COLUMN())),OFFSET($T$2,0,0,ROW()-1,14),ROW()-1,FALSE))</x:f>
        <x:v>85.675454999999999</x:v>
      </x:c>
      <x:c r="T9">
        <x:f>0</x:f>
        <x:v>0</x:v>
      </x:c>
      <x:c r="U9">
        <x:f>-13.681226</x:f>
        <x:v>-13.681226000000001</x:v>
      </x:c>
      <x:c r="V9">
        <x:f>-17.18435</x:f>
        <x:v>-17.184349999999998</x:v>
      </x:c>
      <x:c r="W9">
        <x:f>17.53746</x:f>
        <x:v>17.537459999999999</x:v>
      </x:c>
      <x:c r="X9">
        <x:f>-37.69833</x:f>
        <x:v>-37.698329999999999</x:v>
      </x:c>
      <x:c r="Y9">
        <x:f>10.158065</x:f>
        <x:v>10.158065000000001</x:v>
      </x:c>
      <x:c r="Z9">
        <x:f>22.79397</x:f>
        <x:v>22.793970000000002</x:v>
      </x:c>
      <x:c r="AA9">
        <x:f>12.99072</x:f>
        <x:v>12.99072</x:v>
      </x:c>
      <x:c r="AB9">
        <x:f>-11.90593</x:f>
        <x:v>-11.90593</x:v>
      </x:c>
      <x:c r="AC9">
        <x:f>19.075575</x:f>
        <x:v>19.075575000000001</x:v>
      </x:c>
      <x:c r="AD9">
        <x:f>3.08305</x:f>
        <x:v>3.0830500000000001</x:v>
      </x:c>
      <x:c r="AE9">
        <x:f>2.78103</x:f>
        <x:v>2.7810299999999999</x:v>
      </x:c>
      <x:c r="AF9">
        <x:f>-70.856795</x:f>
        <x:v>-70.856795000000005</x:v>
      </x:c>
      <x:c r="AG9">
        <x:f>85.675455</x:f>
        <x:v>85.675454999999999</x:v>
      </x:c>
    </x:row>
    <x:row r="10" spans="1:33" x14ac:dyDescent="0.25">
      <x:c r="A10" t="str">
        <x:f>"        Fidelity MSCI Communication Se"</x:f>
        <x:v xml:space="preserve">        Fidelity MSCI Communication Se</x:v>
      </x:c>
      <x:c r="B10" t="str">
        <x:f>"FCOM US Equity"</x:f>
        <x:v>FCOM US Equity</x:v>
      </x:c>
      <x:c r="E10" t="str">
        <x:f t="shared" si="0"/>
        <x:v>Expression</x:v>
      </x:c>
      <x:c r="F10">
        <x:f ca="1">IF(AND($B$1012=1,LEN($F$1018)&gt;0),$F$1018,HLOOKUP(INDIRECT(ADDRESS(2,COLUMN())),OFFSET($T$2,0,0,ROW()-1,14),ROW()-1,FALSE))</x:f>
        <x:v>8.6698299999999993</x:v>
      </x:c>
      <x:c r="G10">
        <x:f ca="1">IF(AND($B$1012=1,LEN($G$1018)&gt;0),$G$1018,HLOOKUP(INDIRECT(ADDRESS(2,COLUMN())),OFFSET($T$2,0,0,ROW()-1,14),ROW()-1,FALSE))</x:f>
        <x:v>32.547714999999997</x:v>
      </x:c>
      <x:c r="H10">
        <x:f ca="1">IF(AND($B$1012=1,LEN($H$1018)&gt;0),$H$1018,HLOOKUP(INDIRECT(ADDRESS(2,COLUMN())),OFFSET($T$2,0,0,ROW()-1,14),ROW()-1,FALSE))</x:f>
        <x:v>18.082345</x:v>
      </x:c>
      <x:c r="I10">
        <x:f ca="1">IF(AND($B$1012=1,LEN($I$1018)&gt;0),$I$1018,HLOOKUP(INDIRECT(ADDRESS(2,COLUMN())),OFFSET($T$2,0,0,ROW()-1,14),ROW()-1,FALSE))</x:f>
        <x:v>-9.6915150000000008</x:v>
      </x:c>
      <x:c r="J10">
        <x:f ca="1">IF(AND($B$1012=1,LEN($J$1018)&gt;0),$J$1018,HLOOKUP(INDIRECT(ADDRESS(2,COLUMN())),OFFSET($T$2,0,0,ROW()-1,14),ROW()-1,FALSE))</x:f>
        <x:v>2.0476299999999998</x:v>
      </x:c>
      <x:c r="K10">
        <x:f ca="1">IF(AND($B$1012=1,LEN($K$1018)&gt;0),$K$1018,HLOOKUP(INDIRECT(ADDRESS(2,COLUMN())),OFFSET($T$2,0,0,ROW()-1,14),ROW()-1,FALSE))</x:f>
        <x:v>21.582799999999999</x:v>
      </x:c>
      <x:c r="L10">
        <x:f ca="1">IF(AND($B$1012=1,LEN($L$1018)&gt;0),$L$1018,HLOOKUP(INDIRECT(ADDRESS(2,COLUMN())),OFFSET($T$2,0,0,ROW()-1,14),ROW()-1,FALSE))</x:f>
        <x:v>77.238155000000006</x:v>
      </x:c>
      <x:c r="M10">
        <x:f ca="1">IF(AND($B$1012=1,LEN($M$1018)&gt;0),$M$1018,HLOOKUP(INDIRECT(ADDRESS(2,COLUMN())),OFFSET($T$2,0,0,ROW()-1,14),ROW()-1,FALSE))</x:f>
        <x:v>23.814205000000001</x:v>
      </x:c>
      <x:c r="N10">
        <x:f ca="1">IF(AND($B$1012=1,LEN($N$1018)&gt;0),$N$1018,HLOOKUP(INDIRECT(ADDRESS(2,COLUMN())),OFFSET($T$2,0,0,ROW()-1,14),ROW()-1,FALSE))</x:f>
        <x:v>12.527884999999999</x:v>
      </x:c>
      <x:c r="O10">
        <x:f ca="1">IF(AND($B$1012=1,LEN($O$1018)&gt;0),$O$1018,HLOOKUP(INDIRECT(ADDRESS(2,COLUMN())),OFFSET($T$2,0,0,ROW()-1,14),ROW()-1,FALSE))</x:f>
        <x:v>18.147514999999999</x:v>
      </x:c>
      <x:c r="P10">
        <x:f ca="1">IF(AND($B$1012=1,LEN($P$1018)&gt;0),$P$1018,HLOOKUP(INDIRECT(ADDRESS(2,COLUMN())),OFFSET($T$2,0,0,ROW()-1,14),ROW()-1,FALSE))</x:f>
        <x:v>-4.2656099999999997</x:v>
      </x:c>
      <x:c r="Q10">
        <x:f ca="1">IF(AND($B$1012=1,LEN($Q$1018)&gt;0),$Q$1018,HLOOKUP(INDIRECT(ADDRESS(2,COLUMN())),OFFSET($T$2,0,0,ROW()-1,14),ROW()-1,FALSE))</x:f>
        <x:v>-16.842420000000001</x:v>
      </x:c>
      <x:c r="R10">
        <x:f ca="1">IF(AND($B$1012=1,LEN($R$1018)&gt;0),$R$1018,HLOOKUP(INDIRECT(ADDRESS(2,COLUMN())),OFFSET($T$2,0,0,ROW()-1,14),ROW()-1,FALSE))</x:f>
        <x:v>-14.435485</x:v>
      </x:c>
      <x:c r="S10">
        <x:f ca="1">IF(AND($B$1012=1,LEN($S$1018)&gt;0),$S$1018,HLOOKUP(INDIRECT(ADDRESS(2,COLUMN())),OFFSET($T$2,0,0,ROW()-1,14),ROW()-1,FALSE))</x:f>
        <x:v>3.3193199999999998</x:v>
      </x:c>
      <x:c r="T10">
        <x:f>8.66983</x:f>
        <x:v>8.6698299999999993</x:v>
      </x:c>
      <x:c r="U10">
        <x:f>32.547715</x:f>
        <x:v>32.547714999999997</x:v>
      </x:c>
      <x:c r="V10">
        <x:f>18.082345</x:f>
        <x:v>18.082345</x:v>
      </x:c>
      <x:c r="W10">
        <x:f>-9.691515</x:f>
        <x:v>-9.6915150000000008</x:v>
      </x:c>
      <x:c r="X10">
        <x:f>2.04763</x:f>
        <x:v>2.0476299999999998</x:v>
      </x:c>
      <x:c r="Y10">
        <x:f>21.5828</x:f>
        <x:v>21.582799999999999</x:v>
      </x:c>
      <x:c r="Z10">
        <x:f>77.238155</x:f>
        <x:v>77.238155000000006</x:v>
      </x:c>
      <x:c r="AA10">
        <x:f>23.814205</x:f>
        <x:v>23.814205000000001</x:v>
      </x:c>
      <x:c r="AB10">
        <x:f>12.527885</x:f>
        <x:v>12.527884999999999</x:v>
      </x:c>
      <x:c r="AC10">
        <x:f>18.147515</x:f>
        <x:v>18.147514999999999</x:v>
      </x:c>
      <x:c r="AD10">
        <x:f>-4.26561</x:f>
        <x:v>-4.2656099999999997</x:v>
      </x:c>
      <x:c r="AE10">
        <x:f>-16.84242</x:f>
        <x:v>-16.842420000000001</x:v>
      </x:c>
      <x:c r="AF10">
        <x:f>-14.435485</x:f>
        <x:v>-14.435485</x:v>
      </x:c>
      <x:c r="AG10">
        <x:f>3.31932</x:f>
        <x:v>3.3193199999999998</x:v>
      </x:c>
    </x:row>
    <x:row r="11" spans="1:33" x14ac:dyDescent="0.25">
      <x:c r="A11" t="str">
        <x:f>"        SPDR S&amp;P Telecom ETF"</x:f>
        <x:v xml:space="preserve">        SPDR S&amp;P Telecom ETF</x:v>
      </x:c>
      <x:c r="B11" t="str">
        <x:f>"XTL US Equity"</x:f>
        <x:v>XTL US Equity</x:v>
      </x:c>
      <x:c r="E11" t="str">
        <x:f t="shared" si="0"/>
        <x:v>Expression</x:v>
      </x:c>
      <x:c r="F11">
        <x:f ca="1">IF(AND($B$1012=1,LEN($F$1019)&gt;0),$F$1019,HLOOKUP(INDIRECT(ADDRESS(2,COLUMN())),OFFSET($T$2,0,0,ROW()-1,14),ROW()-1,FALSE))</x:f>
        <x:v>1.743633</x:v>
      </x:c>
      <x:c r="G11">
        <x:f ca="1">IF(AND($B$1012=1,LEN($G$1019)&gt;0),$G$1019,HLOOKUP(INDIRECT(ADDRESS(2,COLUMN())),OFFSET($T$2,0,0,ROW()-1,14),ROW()-1,FALSE))</x:f>
        <x:v>-4.9504469999999996</x:v>
      </x:c>
      <x:c r="H11">
        <x:f ca="1">IF(AND($B$1012=1,LEN($H$1019)&gt;0),$H$1019,HLOOKUP(INDIRECT(ADDRESS(2,COLUMN())),OFFSET($T$2,0,0,ROW()-1,14),ROW()-1,FALSE))</x:f>
        <x:v>0</x:v>
      </x:c>
      <x:c r="I11">
        <x:f ca="1">IF(AND($B$1012=1,LEN($I$1019)&gt;0),$I$1019,HLOOKUP(INDIRECT(ADDRESS(2,COLUMN())),OFFSET($T$2,0,0,ROW()-1,14),ROW()-1,FALSE))</x:f>
        <x:v>3.79576</x:v>
      </x:c>
      <x:c r="J11">
        <x:f ca="1">IF(AND($B$1012=1,LEN($J$1019)&gt;0),$J$1019,HLOOKUP(INDIRECT(ADDRESS(2,COLUMN())),OFFSET($T$2,0,0,ROW()-1,14),ROW()-1,FALSE))</x:f>
        <x:v>-3.8305030000000002</x:v>
      </x:c>
      <x:c r="K11">
        <x:f ca="1">IF(AND($B$1012=1,LEN($K$1019)&gt;0),$K$1019,HLOOKUP(INDIRECT(ADDRESS(2,COLUMN())),OFFSET($T$2,0,0,ROW()-1,14),ROW()-1,FALSE))</x:f>
        <x:v>0</x:v>
      </x:c>
      <x:c r="L11">
        <x:f ca="1">IF(AND($B$1012=1,LEN($L$1019)&gt;0),$L$1019,HLOOKUP(INDIRECT(ADDRESS(2,COLUMN())),OFFSET($T$2,0,0,ROW()-1,14),ROW()-1,FALSE))</x:f>
        <x:v>0</x:v>
      </x:c>
      <x:c r="M11">
        <x:f ca="1">IF(AND($B$1012=1,LEN($M$1019)&gt;0),$M$1019,HLOOKUP(INDIRECT(ADDRESS(2,COLUMN())),OFFSET($T$2,0,0,ROW()-1,14),ROW()-1,FALSE))</x:f>
        <x:v>-1.82334</x:v>
      </x:c>
      <x:c r="N11">
        <x:f ca="1">IF(AND($B$1012=1,LEN($N$1019)&gt;0),$N$1019,HLOOKUP(INDIRECT(ADDRESS(2,COLUMN())),OFFSET($T$2,0,0,ROW()-1,14),ROW()-1,FALSE))</x:f>
        <x:v>-2.0234380000000001</x:v>
      </x:c>
      <x:c r="O11">
        <x:f ca="1">IF(AND($B$1012=1,LEN($O$1019)&gt;0),$O$1019,HLOOKUP(INDIRECT(ADDRESS(2,COLUMN())),OFFSET($T$2,0,0,ROW()-1,14),ROW()-1,FALSE))</x:f>
        <x:v>-2.10094</x:v>
      </x:c>
      <x:c r="P11">
        <x:f ca="1">IF(AND($B$1012=1,LEN($P$1019)&gt;0),$P$1019,HLOOKUP(INDIRECT(ADDRESS(2,COLUMN())),OFFSET($T$2,0,0,ROW()-1,14),ROW()-1,FALSE))</x:f>
        <x:v>2.143923</x:v>
      </x:c>
      <x:c r="Q11">
        <x:f ca="1">IF(AND($B$1012=1,LEN($Q$1019)&gt;0),$Q$1019,HLOOKUP(INDIRECT(ADDRESS(2,COLUMN())),OFFSET($T$2,0,0,ROW()-1,14),ROW()-1,FALSE))</x:f>
        <x:v>2.0216609999999999</x:v>
      </x:c>
      <x:c r="R11">
        <x:f ca="1">IF(AND($B$1012=1,LEN($R$1019)&gt;0),$R$1019,HLOOKUP(INDIRECT(ADDRESS(2,COLUMN())),OFFSET($T$2,0,0,ROW()-1,14),ROW()-1,FALSE))</x:f>
        <x:v>6.3777939999999997</x:v>
      </x:c>
      <x:c r="S11">
        <x:f ca="1">IF(AND($B$1012=1,LEN($S$1019)&gt;0),$S$1019,HLOOKUP(INDIRECT(ADDRESS(2,COLUMN())),OFFSET($T$2,0,0,ROW()-1,14),ROW()-1,FALSE))</x:f>
        <x:v>2.1047859999999998</x:v>
      </x:c>
      <x:c r="T11">
        <x:f>1.743633</x:f>
        <x:v>1.743633</x:v>
      </x:c>
      <x:c r="U11">
        <x:f>-4.950447</x:f>
        <x:v>-4.9504469999999996</x:v>
      </x:c>
      <x:c r="V11">
        <x:f>0</x:f>
        <x:v>0</x:v>
      </x:c>
      <x:c r="W11">
        <x:f>3.79576</x:f>
        <x:v>3.79576</x:v>
      </x:c>
      <x:c r="X11">
        <x:f>-3.830503</x:f>
        <x:v>-3.8305030000000002</x:v>
      </x:c>
      <x:c r="Y11">
        <x:f>0</x:f>
        <x:v>0</x:v>
      </x:c>
      <x:c r="Z11">
        <x:f>0</x:f>
        <x:v>0</x:v>
      </x:c>
      <x:c r="AA11">
        <x:f>-1.82334</x:f>
        <x:v>-1.82334</x:v>
      </x:c>
      <x:c r="AB11">
        <x:f>-2.023438</x:f>
        <x:v>-2.0234380000000001</x:v>
      </x:c>
      <x:c r="AC11">
        <x:f>-2.10094</x:f>
        <x:v>-2.10094</x:v>
      </x:c>
      <x:c r="AD11">
        <x:f>2.143923</x:f>
        <x:v>2.143923</x:v>
      </x:c>
      <x:c r="AE11">
        <x:f>2.021661</x:f>
        <x:v>2.0216609999999999</x:v>
      </x:c>
      <x:c r="AF11">
        <x:f>6.377794</x:f>
        <x:v>6.3777939999999997</x:v>
      </x:c>
      <x:c r="AG11">
        <x:f>2.104786</x:f>
        <x:v>2.1047859999999998</x:v>
      </x:c>
    </x:row>
    <x:row r="12" spans="1:33" x14ac:dyDescent="0.25">
      <x:c r="A12" t="str">
        <x:f>"        SPDR S&amp;P International Telecom"</x:f>
        <x:v xml:space="preserve">        SPDR S&amp;P International Telecom</x:v>
      </x:c>
      <x:c r="B12" t="str">
        <x:f>"IST US Equity"</x:f>
        <x:v>IST US Equity</x:v>
      </x:c>
      <x:c r="E12" t="str">
        <x:f t="shared" si="0"/>
        <x:v>Expression</x:v>
      </x:c>
      <x:c r="F12" t="str">
        <x:f ca="1">IF(AND($B$1012=1,LEN($F$1020)&gt;0),$F$1020,HLOOKUP(INDIRECT(ADDRESS(2,COLUMN())),OFFSET($T$2,0,0,ROW()-1,14),ROW()-1,FALSE))</x:f>
        <x:v/>
      </x:c>
      <x:c r="G12" t="str">
        <x:f ca="1">IF(AND($B$1012=1,LEN($G$1020)&gt;0),$G$1020,HLOOKUP(INDIRECT(ADDRESS(2,COLUMN())),OFFSET($T$2,0,0,ROW()-1,14),ROW()-1,FALSE))</x:f>
        <x:v/>
      </x:c>
      <x:c r="H12" t="str">
        <x:f ca="1">IF(AND($B$1012=1,LEN($H$1020)&gt;0),$H$1020,HLOOKUP(INDIRECT(ADDRESS(2,COLUMN())),OFFSET($T$2,0,0,ROW()-1,14),ROW()-1,FALSE))</x:f>
        <x:v/>
      </x:c>
      <x:c r="I12" t="str">
        <x:f ca="1">IF(AND($B$1012=1,LEN($I$1020)&gt;0),$I$1020,HLOOKUP(INDIRECT(ADDRESS(2,COLUMN())),OFFSET($T$2,0,0,ROW()-1,14),ROW()-1,FALSE))</x:f>
        <x:v/>
      </x:c>
      <x:c r="J12" t="str">
        <x:f ca="1">IF(AND($B$1012=1,LEN($J$1020)&gt;0),$J$1020,HLOOKUP(INDIRECT(ADDRESS(2,COLUMN())),OFFSET($T$2,0,0,ROW()-1,14),ROW()-1,FALSE))</x:f>
        <x:v/>
      </x:c>
      <x:c r="K12" t="str">
        <x:f ca="1">IF(AND($B$1012=1,LEN($K$1020)&gt;0),$K$1020,HLOOKUP(INDIRECT(ADDRESS(2,COLUMN())),OFFSET($T$2,0,0,ROW()-1,14),ROW()-1,FALSE))</x:f>
        <x:v/>
      </x:c>
      <x:c r="L12" t="str">
        <x:f ca="1">IF(AND($B$1012=1,LEN($L$1020)&gt;0),$L$1020,HLOOKUP(INDIRECT(ADDRESS(2,COLUMN())),OFFSET($T$2,0,0,ROW()-1,14),ROW()-1,FALSE))</x:f>
        <x:v/>
      </x:c>
      <x:c r="M12" t="str">
        <x:f ca="1">IF(AND($B$1012=1,LEN($M$1020)&gt;0),$M$1020,HLOOKUP(INDIRECT(ADDRESS(2,COLUMN())),OFFSET($T$2,0,0,ROW()-1,14),ROW()-1,FALSE))</x:f>
        <x:v/>
      </x:c>
      <x:c r="N12" t="str">
        <x:f ca="1">IF(AND($B$1012=1,LEN($N$1020)&gt;0),$N$1020,HLOOKUP(INDIRECT(ADDRESS(2,COLUMN())),OFFSET($T$2,0,0,ROW()-1,14),ROW()-1,FALSE))</x:f>
        <x:v/>
      </x:c>
      <x:c r="O12" t="str">
        <x:f ca="1">IF(AND($B$1012=1,LEN($O$1020)&gt;0),$O$1020,HLOOKUP(INDIRECT(ADDRESS(2,COLUMN())),OFFSET($T$2,0,0,ROW()-1,14),ROW()-1,FALSE))</x:f>
        <x:v/>
      </x:c>
      <x:c r="P12" t="str">
        <x:f ca="1">IF(AND($B$1012=1,LEN($P$1020)&gt;0),$P$1020,HLOOKUP(INDIRECT(ADDRESS(2,COLUMN())),OFFSET($T$2,0,0,ROW()-1,14),ROW()-1,FALSE))</x:f>
        <x:v/>
      </x:c>
      <x:c r="Q12" t="str">
        <x:f ca="1">IF(AND($B$1012=1,LEN($Q$1020)&gt;0),$Q$1020,HLOOKUP(INDIRECT(ADDRESS(2,COLUMN())),OFFSET($T$2,0,0,ROW()-1,14),ROW()-1,FALSE))</x:f>
        <x:v/>
      </x:c>
      <x:c r="R12" t="str">
        <x:f ca="1">IF(AND($B$1012=1,LEN($R$1020)&gt;0),$R$1020,HLOOKUP(INDIRECT(ADDRESS(2,COLUMN())),OFFSET($T$2,0,0,ROW()-1,14),ROW()-1,FALSE))</x:f>
        <x:v/>
      </x:c>
      <x:c r="S12" t="str">
        <x:f ca="1">IF(AND($B$1012=1,LEN($S$1020)&gt;0),$S$1020,HLOOKUP(INDIRECT(ADDRESS(2,COLUMN())),OFFSET($T$2,0,0,ROW()-1,14),ROW()-1,FALSE))</x:f>
        <x:v/>
      </x:c>
      <x:c r="T12" t="str">
        <x:f>""</x:f>
        <x:v/>
      </x:c>
      <x:c r="U12" t="str">
        <x:f>""</x:f>
        <x:v/>
      </x:c>
      <x:c r="V12" t="str">
        <x:f>""</x:f>
        <x:v/>
      </x:c>
      <x:c r="W12" t="str">
        <x:f>""</x:f>
        <x:v/>
      </x:c>
      <x:c r="X12" t="str">
        <x:f>""</x:f>
        <x:v/>
      </x:c>
      <x:c r="Y12" t="str">
        <x:f>""</x:f>
        <x:v/>
      </x:c>
      <x:c r="Z12" t="str">
        <x:f>""</x:f>
        <x:v/>
      </x:c>
      <x:c r="AA12" t="str">
        <x:f>""</x:f>
        <x:v/>
      </x:c>
      <x:c r="AB12" t="str">
        <x:f>""</x:f>
        <x:v/>
      </x:c>
      <x:c r="AC12" t="str">
        <x:f>""</x:f>
        <x:v/>
      </x:c>
      <x:c r="AD12" t="str">
        <x:f>""</x:f>
        <x:v/>
      </x:c>
      <x:c r="AE12" t="str">
        <x:f>""</x:f>
        <x:v/>
      </x:c>
      <x:c r="AF12" t="str">
        <x:f>""</x:f>
        <x:v/>
      </x:c>
      <x:c r="AG12" t="str">
        <x:f>""</x:f>
        <x:v/>
      </x:c>
    </x:row>
    <x:row r="13" spans="1:33" x14ac:dyDescent="0.25">
      <x:c r="A13" t="str">
        <x:f>"        ProShares Ultra Communication"</x:f>
        <x:v xml:space="preserve">        ProShares Ultra Communication</x:v>
      </x:c>
      <x:c r="B13" t="str">
        <x:f>"LTL US Equity"</x:f>
        <x:v>LTL US Equity</x:v>
      </x:c>
      <x:c r="E13" t="str">
        <x:f t="shared" si="0"/>
        <x:v>Expression</x:v>
      </x:c>
      <x:c r="F13">
        <x:f ca="1">IF(AND($B$1012=1,LEN($F$1021)&gt;0),$F$1021,HLOOKUP(INDIRECT(ADDRESS(2,COLUMN())),OFFSET($T$2,0,0,ROW()-1,14),ROW()-1,FALSE))</x:f>
        <x:v>0.474802</x:v>
      </x:c>
      <x:c r="G13">
        <x:f ca="1">IF(AND($B$1012=1,LEN($G$1021)&gt;0),$G$1021,HLOOKUP(INDIRECT(ADDRESS(2,COLUMN())),OFFSET($T$2,0,0,ROW()-1,14),ROW()-1,FALSE))</x:f>
        <x:v>0</x:v>
      </x:c>
      <x:c r="H13">
        <x:f ca="1">IF(AND($B$1012=1,LEN($H$1021)&gt;0),$H$1021,HLOOKUP(INDIRECT(ADDRESS(2,COLUMN())),OFFSET($T$2,0,0,ROW()-1,14),ROW()-1,FALSE))</x:f>
        <x:v>0</x:v>
      </x:c>
      <x:c r="I13">
        <x:f ca="1">IF(AND($B$1012=1,LEN($I$1021)&gt;0),$I$1021,HLOOKUP(INDIRECT(ADDRESS(2,COLUMN())),OFFSET($T$2,0,0,ROW()-1,14),ROW()-1,FALSE))</x:f>
        <x:v>0</x:v>
      </x:c>
      <x:c r="J13">
        <x:f ca="1">IF(AND($B$1012=1,LEN($J$1021)&gt;0),$J$1021,HLOOKUP(INDIRECT(ADDRESS(2,COLUMN())),OFFSET($T$2,0,0,ROW()-1,14),ROW()-1,FALSE))</x:f>
        <x:v>0</x:v>
      </x:c>
      <x:c r="K13">
        <x:f ca="1">IF(AND($B$1012=1,LEN($K$1021)&gt;0),$K$1021,HLOOKUP(INDIRECT(ADDRESS(2,COLUMN())),OFFSET($T$2,0,0,ROW()-1,14),ROW()-1,FALSE))</x:f>
        <x:v>0</x:v>
      </x:c>
      <x:c r="L13">
        <x:f ca="1">IF(AND($B$1012=1,LEN($L$1021)&gt;0),$L$1021,HLOOKUP(INDIRECT(ADDRESS(2,COLUMN())),OFFSET($T$2,0,0,ROW()-1,14),ROW()-1,FALSE))</x:f>
        <x:v>0</x:v>
      </x:c>
      <x:c r="M13">
        <x:f ca="1">IF(AND($B$1012=1,LEN($M$1021)&gt;0),$M$1021,HLOOKUP(INDIRECT(ADDRESS(2,COLUMN())),OFFSET($T$2,0,0,ROW()-1,14),ROW()-1,FALSE))</x:f>
        <x:v>0</x:v>
      </x:c>
      <x:c r="N13">
        <x:f ca="1">IF(AND($B$1012=1,LEN($N$1021)&gt;0),$N$1021,HLOOKUP(INDIRECT(ADDRESS(2,COLUMN())),OFFSET($T$2,0,0,ROW()-1,14),ROW()-1,FALSE))</x:f>
        <x:v>0</x:v>
      </x:c>
      <x:c r="O13">
        <x:f ca="1">IF(AND($B$1012=1,LEN($O$1021)&gt;0),$O$1021,HLOOKUP(INDIRECT(ADDRESS(2,COLUMN())),OFFSET($T$2,0,0,ROW()-1,14),ROW()-1,FALSE))</x:f>
        <x:v>-0.73187599999999997</x:v>
      </x:c>
      <x:c r="P13">
        <x:f ca="1">IF(AND($B$1012=1,LEN($P$1021)&gt;0),$P$1021,HLOOKUP(INDIRECT(ADDRESS(2,COLUMN())),OFFSET($T$2,0,0,ROW()-1,14),ROW()-1,FALSE))</x:f>
        <x:v>0</x:v>
      </x:c>
      <x:c r="Q13">
        <x:f ca="1">IF(AND($B$1012=1,LEN($Q$1021)&gt;0),$Q$1021,HLOOKUP(INDIRECT(ADDRESS(2,COLUMN())),OFFSET($T$2,0,0,ROW()-1,14),ROW()-1,FALSE))</x:f>
        <x:v>-1.0818920000000001</x:v>
      </x:c>
      <x:c r="R13">
        <x:f ca="1">IF(AND($B$1012=1,LEN($R$1021)&gt;0),$R$1021,HLOOKUP(INDIRECT(ADDRESS(2,COLUMN())),OFFSET($T$2,0,0,ROW()-1,14),ROW()-1,FALSE))</x:f>
        <x:v>0.79818500000000003</x:v>
      </x:c>
      <x:c r="S13">
        <x:f ca="1">IF(AND($B$1012=1,LEN($S$1021)&gt;0),$S$1021,HLOOKUP(INDIRECT(ADDRESS(2,COLUMN())),OFFSET($T$2,0,0,ROW()-1,14),ROW()-1,FALSE))</x:f>
        <x:v>0</x:v>
      </x:c>
      <x:c r="T13">
        <x:f>0.474802</x:f>
        <x:v>0.474802</x:v>
      </x:c>
      <x:c r="U13">
        <x:f>0</x:f>
        <x:v>0</x:v>
      </x:c>
      <x:c r="V13">
        <x:f>0</x:f>
        <x:v>0</x:v>
      </x:c>
      <x:c r="W13">
        <x:f>0</x:f>
        <x:v>0</x:v>
      </x:c>
      <x:c r="X13">
        <x:f>0</x:f>
        <x:v>0</x:v>
      </x:c>
      <x:c r="Y13">
        <x:f>0</x:f>
        <x:v>0</x:v>
      </x:c>
      <x:c r="Z13">
        <x:f>0</x:f>
        <x:v>0</x:v>
      </x:c>
      <x:c r="AA13">
        <x:f>0</x:f>
        <x:v>0</x:v>
      </x:c>
      <x:c r="AB13">
        <x:f>0</x:f>
        <x:v>0</x:v>
      </x:c>
      <x:c r="AC13">
        <x:f>-0.731876</x:f>
        <x:v>-0.73187599999999997</x:v>
      </x:c>
      <x:c r="AD13">
        <x:f>0</x:f>
        <x:v>0</x:v>
      </x:c>
      <x:c r="AE13">
        <x:f>-1.081892</x:f>
        <x:v>-1.0818920000000001</x:v>
      </x:c>
      <x:c r="AF13">
        <x:f>0.798185</x:f>
        <x:v>0.79818500000000003</x:v>
      </x:c>
      <x:c r="AG13">
        <x:f>0</x:f>
        <x:v>0</x:v>
      </x:c>
    </x:row>
    <x:row r="14" spans="1:33" x14ac:dyDescent="0.25">
      <x:c r="A14" t="str">
        <x:f>"        iShares Evolved US Media and E"</x:f>
        <x:v xml:space="preserve">        iShares Evolved US Media and E</x:v>
      </x:c>
      <x:c r="B14" t="str">
        <x:f>"IEME US Equity"</x:f>
        <x:v>IEME US Equity</x:v>
      </x:c>
      <x:c r="E14" t="str">
        <x:f t="shared" si="0"/>
        <x:v>Expression</x:v>
      </x:c>
      <x:c r="F14" t="str">
        <x:f ca="1">IF(AND($B$1012=1,LEN($F$1022)&gt;0),$F$1022,HLOOKUP(INDIRECT(ADDRESS(2,COLUMN())),OFFSET($T$2,0,0,ROW()-1,14),ROW()-1,FALSE))</x:f>
        <x:v/>
      </x:c>
      <x:c r="G14" t="str">
        <x:f ca="1">IF(AND($B$1012=1,LEN($G$1022)&gt;0),$G$1022,HLOOKUP(INDIRECT(ADDRESS(2,COLUMN())),OFFSET($T$2,0,0,ROW()-1,14),ROW()-1,FALSE))</x:f>
        <x:v/>
      </x:c>
      <x:c r="H14" t="str">
        <x:f ca="1">IF(AND($B$1012=1,LEN($H$1022)&gt;0),$H$1022,HLOOKUP(INDIRECT(ADDRESS(2,COLUMN())),OFFSET($T$2,0,0,ROW()-1,14),ROW()-1,FALSE))</x:f>
        <x:v/>
      </x:c>
      <x:c r="I14" t="str">
        <x:f ca="1">IF(AND($B$1012=1,LEN($I$1022)&gt;0),$I$1022,HLOOKUP(INDIRECT(ADDRESS(2,COLUMN())),OFFSET($T$2,0,0,ROW()-1,14),ROW()-1,FALSE))</x:f>
        <x:v/>
      </x:c>
      <x:c r="J14" t="str">
        <x:f ca="1">IF(AND($B$1012=1,LEN($J$1022)&gt;0),$J$1022,HLOOKUP(INDIRECT(ADDRESS(2,COLUMN())),OFFSET($T$2,0,0,ROW()-1,14),ROW()-1,FALSE))</x:f>
        <x:v/>
      </x:c>
      <x:c r="K14" t="str">
        <x:f ca="1">IF(AND($B$1012=1,LEN($K$1022)&gt;0),$K$1022,HLOOKUP(INDIRECT(ADDRESS(2,COLUMN())),OFFSET($T$2,0,0,ROW()-1,14),ROW()-1,FALSE))</x:f>
        <x:v/>
      </x:c>
      <x:c r="L14" t="str">
        <x:f ca="1">IF(AND($B$1012=1,LEN($L$1022)&gt;0),$L$1022,HLOOKUP(INDIRECT(ADDRESS(2,COLUMN())),OFFSET($T$2,0,0,ROW()-1,14),ROW()-1,FALSE))</x:f>
        <x:v/>
      </x:c>
      <x:c r="M14" t="str">
        <x:f ca="1">IF(AND($B$1012=1,LEN($M$1022)&gt;0),$M$1022,HLOOKUP(INDIRECT(ADDRESS(2,COLUMN())),OFFSET($T$2,0,0,ROW()-1,14),ROW()-1,FALSE))</x:f>
        <x:v/>
      </x:c>
      <x:c r="N14" t="str">
        <x:f ca="1">IF(AND($B$1012=1,LEN($N$1022)&gt;0),$N$1022,HLOOKUP(INDIRECT(ADDRESS(2,COLUMN())),OFFSET($T$2,0,0,ROW()-1,14),ROW()-1,FALSE))</x:f>
        <x:v/>
      </x:c>
      <x:c r="O14" t="str">
        <x:f ca="1">IF(AND($B$1012=1,LEN($O$1022)&gt;0),$O$1022,HLOOKUP(INDIRECT(ADDRESS(2,COLUMN())),OFFSET($T$2,0,0,ROW()-1,14),ROW()-1,FALSE))</x:f>
        <x:v/>
      </x:c>
      <x:c r="P14" t="str">
        <x:f ca="1">IF(AND($B$1012=1,LEN($P$1022)&gt;0),$P$1022,HLOOKUP(INDIRECT(ADDRESS(2,COLUMN())),OFFSET($T$2,0,0,ROW()-1,14),ROW()-1,FALSE))</x:f>
        <x:v/>
      </x:c>
      <x:c r="Q14" t="str">
        <x:f ca="1">IF(AND($B$1012=1,LEN($Q$1022)&gt;0),$Q$1022,HLOOKUP(INDIRECT(ADDRESS(2,COLUMN())),OFFSET($T$2,0,0,ROW()-1,14),ROW()-1,FALSE))</x:f>
        <x:v/>
      </x:c>
      <x:c r="R14" t="str">
        <x:f ca="1">IF(AND($B$1012=1,LEN($R$1022)&gt;0),$R$1022,HLOOKUP(INDIRECT(ADDRESS(2,COLUMN())),OFFSET($T$2,0,0,ROW()-1,14),ROW()-1,FALSE))</x:f>
        <x:v/>
      </x:c>
      <x:c r="S14" t="str">
        <x:f ca="1">IF(AND($B$1012=1,LEN($S$1022)&gt;0),$S$1022,HLOOKUP(INDIRECT(ADDRESS(2,COLUMN())),OFFSET($T$2,0,0,ROW()-1,14),ROW()-1,FALSE))</x:f>
        <x:v/>
      </x:c>
      <x:c r="T14" t="str">
        <x:f>""</x:f>
        <x:v/>
      </x:c>
      <x:c r="U14" t="str">
        <x:f>""</x:f>
        <x:v/>
      </x:c>
      <x:c r="V14" t="str">
        <x:f>""</x:f>
        <x:v/>
      </x:c>
      <x:c r="W14" t="str">
        <x:f>""</x:f>
        <x:v/>
      </x:c>
      <x:c r="X14" t="str">
        <x:f>""</x:f>
        <x:v/>
      </x:c>
      <x:c r="Y14" t="str">
        <x:f>""</x:f>
        <x:v/>
      </x:c>
      <x:c r="Z14" t="str">
        <x:f>""</x:f>
        <x:v/>
      </x:c>
      <x:c r="AA14" t="str">
        <x:f>""</x:f>
        <x:v/>
      </x:c>
      <x:c r="AB14" t="str">
        <x:f>""</x:f>
        <x:v/>
      </x:c>
      <x:c r="AC14" t="str">
        <x:f>""</x:f>
        <x:v/>
      </x:c>
      <x:c r="AD14" t="str">
        <x:f>""</x:f>
        <x:v/>
      </x:c>
      <x:c r="AE14" t="str">
        <x:f>""</x:f>
        <x:v/>
      </x:c>
      <x:c r="AF14" t="str">
        <x:f>""</x:f>
        <x:v/>
      </x:c>
      <x:c r="AG14" t="str">
        <x:f>""</x:f>
        <x:v/>
      </x:c>
    </x:row>
    <x:row r="15" spans="1:33" x14ac:dyDescent="0.25">
      <x:c r="A15" t="str">
        <x:f>"        Communication Services Select"</x:f>
        <x:v xml:space="preserve">        Communication Services Select</x:v>
      </x:c>
      <x:c r="B15" t="str">
        <x:f>"XLC US Equity"</x:f>
        <x:v>XLC US Equity</x:v>
      </x:c>
      <x:c r="E15" t="str">
        <x:f t="shared" si="0"/>
        <x:v>Expression</x:v>
      </x:c>
      <x:c r="F15">
        <x:f ca="1">IF(AND($B$1012=1,LEN($F$1023)&gt;0),$F$1023,HLOOKUP(INDIRECT(ADDRESS(2,COLUMN())),OFFSET($T$2,0,0,ROW()-1,14),ROW()-1,FALSE))</x:f>
        <x:v>303.47692799999999</x:v>
      </x:c>
      <x:c r="G15">
        <x:f ca="1">IF(AND($B$1012=1,LEN($G$1023)&gt;0),$G$1023,HLOOKUP(INDIRECT(ADDRESS(2,COLUMN())),OFFSET($T$2,0,0,ROW()-1,14),ROW()-1,FALSE))</x:f>
        <x:v>263.486467</x:v>
      </x:c>
      <x:c r="H15">
        <x:f ca="1">IF(AND($B$1012=1,LEN($H$1023)&gt;0),$H$1023,HLOOKUP(INDIRECT(ADDRESS(2,COLUMN())),OFFSET($T$2,0,0,ROW()-1,14),ROW()-1,FALSE))</x:f>
        <x:v>-1050.400727</x:v>
      </x:c>
      <x:c r="I15">
        <x:f ca="1">IF(AND($B$1012=1,LEN($I$1023)&gt;0),$I$1023,HLOOKUP(INDIRECT(ADDRESS(2,COLUMN())),OFFSET($T$2,0,0,ROW()-1,14),ROW()-1,FALSE))</x:f>
        <x:v>259.197383</x:v>
      </x:c>
      <x:c r="J15">
        <x:f ca="1">IF(AND($B$1012=1,LEN($J$1023)&gt;0),$J$1023,HLOOKUP(INDIRECT(ADDRESS(2,COLUMN())),OFFSET($T$2,0,0,ROW()-1,14),ROW()-1,FALSE))</x:f>
        <x:v>672.58660399999997</x:v>
      </x:c>
      <x:c r="K15">
        <x:f ca="1">IF(AND($B$1012=1,LEN($K$1023)&gt;0),$K$1023,HLOOKUP(INDIRECT(ADDRESS(2,COLUMN())),OFFSET($T$2,0,0,ROW()-1,14),ROW()-1,FALSE))</x:f>
        <x:v>201.42626000000001</x:v>
      </x:c>
      <x:c r="L15">
        <x:f ca="1">IF(AND($B$1012=1,LEN($L$1023)&gt;0),$L$1023,HLOOKUP(INDIRECT(ADDRESS(2,COLUMN())),OFFSET($T$2,0,0,ROW()-1,14),ROW()-1,FALSE))</x:f>
        <x:v>634.88717999999994</x:v>
      </x:c>
      <x:c r="M15">
        <x:f ca="1">IF(AND($B$1012=1,LEN($M$1023)&gt;0),$M$1023,HLOOKUP(INDIRECT(ADDRESS(2,COLUMN())),OFFSET($T$2,0,0,ROW()-1,14),ROW()-1,FALSE))</x:f>
        <x:v>887.814842</x:v>
      </x:c>
      <x:c r="N15">
        <x:f ca="1">IF(AND($B$1012=1,LEN($N$1023)&gt;0),$N$1023,HLOOKUP(INDIRECT(ADDRESS(2,COLUMN())),OFFSET($T$2,0,0,ROW()-1,14),ROW()-1,FALSE))</x:f>
        <x:v>262.87162899999998</x:v>
      </x:c>
      <x:c r="O15">
        <x:f ca="1">IF(AND($B$1012=1,LEN($O$1023)&gt;0),$O$1023,HLOOKUP(INDIRECT(ADDRESS(2,COLUMN())),OFFSET($T$2,0,0,ROW()-1,14),ROW()-1,FALSE))</x:f>
        <x:v>-62.540000999999997</x:v>
      </x:c>
      <x:c r="P15">
        <x:f ca="1">IF(AND($B$1012=1,LEN($P$1023)&gt;0),$P$1023,HLOOKUP(INDIRECT(ADDRESS(2,COLUMN())),OFFSET($T$2,0,0,ROW()-1,14),ROW()-1,FALSE))</x:f>
        <x:v>254.55850799999999</x:v>
      </x:c>
      <x:c r="Q15">
        <x:f ca="1">IF(AND($B$1012=1,LEN($Q$1023)&gt;0),$Q$1023,HLOOKUP(INDIRECT(ADDRESS(2,COLUMN())),OFFSET($T$2,0,0,ROW()-1,14),ROW()-1,FALSE))</x:f>
        <x:v>-146.43011100000001</x:v>
      </x:c>
      <x:c r="R15">
        <x:f ca="1">IF(AND($B$1012=1,LEN($R$1023)&gt;0),$R$1023,HLOOKUP(INDIRECT(ADDRESS(2,COLUMN())),OFFSET($T$2,0,0,ROW()-1,14),ROW()-1,FALSE))</x:f>
        <x:v>-131.63188500000001</x:v>
      </x:c>
      <x:c r="S15">
        <x:f ca="1">IF(AND($B$1012=1,LEN($S$1023)&gt;0),$S$1023,HLOOKUP(INDIRECT(ADDRESS(2,COLUMN())),OFFSET($T$2,0,0,ROW()-1,14),ROW()-1,FALSE))</x:f>
        <x:v>598.564165</x:v>
      </x:c>
      <x:c r="T15">
        <x:f>303.476928</x:f>
        <x:v>303.47692799999999</x:v>
      </x:c>
      <x:c r="U15">
        <x:f>263.486467</x:f>
        <x:v>263.486467</x:v>
      </x:c>
      <x:c r="V15">
        <x:f>-1050.400727</x:f>
        <x:v>-1050.400727</x:v>
      </x:c>
      <x:c r="W15">
        <x:f>259.197383</x:f>
        <x:v>259.197383</x:v>
      </x:c>
      <x:c r="X15">
        <x:f>672.586604</x:f>
        <x:v>672.58660399999997</x:v>
      </x:c>
      <x:c r="Y15">
        <x:f>201.42626</x:f>
        <x:v>201.42626000000001</x:v>
      </x:c>
      <x:c r="Z15">
        <x:f>634.88718</x:f>
        <x:v>634.88717999999994</x:v>
      </x:c>
      <x:c r="AA15">
        <x:f>887.814842</x:f>
        <x:v>887.814842</x:v>
      </x:c>
      <x:c r="AB15">
        <x:f>262.871629</x:f>
        <x:v>262.87162899999998</x:v>
      </x:c>
      <x:c r="AC15">
        <x:f>-62.540001</x:f>
        <x:v>-62.540000999999997</x:v>
      </x:c>
      <x:c r="AD15">
        <x:f>254.558508</x:f>
        <x:v>254.55850799999999</x:v>
      </x:c>
      <x:c r="AE15">
        <x:f>-146.430111</x:f>
        <x:v>-146.43011100000001</x:v>
      </x:c>
      <x:c r="AF15">
        <x:f>-131.631885</x:f>
        <x:v>-131.63188500000001</x:v>
      </x:c>
      <x:c r="AG15">
        <x:f>598.564165</x:f>
        <x:v>598.564165</x:v>
      </x:c>
    </x:row>
    <x:row r="16" spans="1:33" x14ac:dyDescent="0.25">
      <x:c r="A16" t="str">
        <x:f>"        Invesco S&amp;P 500 Equal Weight C"</x:f>
        <x:v xml:space="preserve">        Invesco S&amp;P 500 Equal Weight C</x:v>
      </x:c>
      <x:c r="B16" t="str">
        <x:f>"EWCO US Equity"</x:f>
        <x:v>EWCO US Equity</x:v>
      </x:c>
      <x:c r="E16" t="str">
        <x:f t="shared" si="0"/>
        <x:v>Expression</x:v>
      </x:c>
      <x:c r="F16">
        <x:f ca="1">IF(AND($B$1012=1,LEN($F$1024)&gt;0),$F$1024,HLOOKUP(INDIRECT(ADDRESS(2,COLUMN())),OFFSET($T$2,0,0,ROW()-1,14),ROW()-1,FALSE))</x:f>
        <x:v>7.0211269999999999</x:v>
      </x:c>
      <x:c r="G16">
        <x:f ca="1">IF(AND($B$1012=1,LEN($G$1024)&gt;0),$G$1024,HLOOKUP(INDIRECT(ADDRESS(2,COLUMN())),OFFSET($T$2,0,0,ROW()-1,14),ROW()-1,FALSE))</x:f>
        <x:v>0.32584800000000003</x:v>
      </x:c>
      <x:c r="H16">
        <x:f ca="1">IF(AND($B$1012=1,LEN($H$1024)&gt;0),$H$1024,HLOOKUP(INDIRECT(ADDRESS(2,COLUMN())),OFFSET($T$2,0,0,ROW()-1,14),ROW()-1,FALSE))</x:f>
        <x:v>0.26657700000000001</x:v>
      </x:c>
      <x:c r="I16">
        <x:f ca="1">IF(AND($B$1012=1,LEN($I$1024)&gt;0),$I$1024,HLOOKUP(INDIRECT(ADDRESS(2,COLUMN())),OFFSET($T$2,0,0,ROW()-1,14),ROW()-1,FALSE))</x:f>
        <x:v>-1.938526</x:v>
      </x:c>
      <x:c r="J16">
        <x:f ca="1">IF(AND($B$1012=1,LEN($J$1024)&gt;0),$J$1024,HLOOKUP(INDIRECT(ADDRESS(2,COLUMN())),OFFSET($T$2,0,0,ROW()-1,14),ROW()-1,FALSE))</x:f>
        <x:v>0.24685599999999999</x:v>
      </x:c>
      <x:c r="K16">
        <x:f ca="1">IF(AND($B$1012=1,LEN($K$1024)&gt;0),$K$1024,HLOOKUP(INDIRECT(ADDRESS(2,COLUMN())),OFFSET($T$2,0,0,ROW()-1,14),ROW()-1,FALSE))</x:f>
        <x:v>-72.011267000000004</x:v>
      </x:c>
      <x:c r="L16" t="str">
        <x:f ca="1">IF(AND($B$1012=1,LEN($L$1024)&gt;0),$L$1024,HLOOKUP(INDIRECT(ADDRESS(2,COLUMN())),OFFSET($T$2,0,0,ROW()-1,14),ROW()-1,FALSE))</x:f>
        <x:v/>
      </x:c>
      <x:c r="M16" t="str">
        <x:f ca="1">IF(AND($B$1012=1,LEN($M$1024)&gt;0),$M$1024,HLOOKUP(INDIRECT(ADDRESS(2,COLUMN())),OFFSET($T$2,0,0,ROW()-1,14),ROW()-1,FALSE))</x:f>
        <x:v/>
      </x:c>
      <x:c r="N16" t="str">
        <x:f ca="1">IF(AND($B$1012=1,LEN($N$1024)&gt;0),$N$1024,HLOOKUP(INDIRECT(ADDRESS(2,COLUMN())),OFFSET($T$2,0,0,ROW()-1,14),ROW()-1,FALSE))</x:f>
        <x:v/>
      </x:c>
      <x:c r="O16" t="str">
        <x:f ca="1">IF(AND($B$1012=1,LEN($O$1024)&gt;0),$O$1024,HLOOKUP(INDIRECT(ADDRESS(2,COLUMN())),OFFSET($T$2,0,0,ROW()-1,14),ROW()-1,FALSE))</x:f>
        <x:v/>
      </x:c>
      <x:c r="P16" t="str">
        <x:f ca="1">IF(AND($B$1012=1,LEN($P$1024)&gt;0),$P$1024,HLOOKUP(INDIRECT(ADDRESS(2,COLUMN())),OFFSET($T$2,0,0,ROW()-1,14),ROW()-1,FALSE))</x:f>
        <x:v/>
      </x:c>
      <x:c r="Q16" t="str">
        <x:f ca="1">IF(AND($B$1012=1,LEN($Q$1024)&gt;0),$Q$1024,HLOOKUP(INDIRECT(ADDRESS(2,COLUMN())),OFFSET($T$2,0,0,ROW()-1,14),ROW()-1,FALSE))</x:f>
        <x:v/>
      </x:c>
      <x:c r="R16" t="str">
        <x:f ca="1">IF(AND($B$1012=1,LEN($R$1024)&gt;0),$R$1024,HLOOKUP(INDIRECT(ADDRESS(2,COLUMN())),OFFSET($T$2,0,0,ROW()-1,14),ROW()-1,FALSE))</x:f>
        <x:v/>
      </x:c>
      <x:c r="S16" t="str">
        <x:f ca="1">IF(AND($B$1012=1,LEN($S$1024)&gt;0),$S$1024,HLOOKUP(INDIRECT(ADDRESS(2,COLUMN())),OFFSET($T$2,0,0,ROW()-1,14),ROW()-1,FALSE))</x:f>
        <x:v/>
      </x:c>
      <x:c r="T16">
        <x:f>7.021127</x:f>
        <x:v>7.0211269999999999</x:v>
      </x:c>
      <x:c r="U16">
        <x:f>0.325848</x:f>
        <x:v>0.32584800000000003</x:v>
      </x:c>
      <x:c r="V16">
        <x:f>0.266577</x:f>
        <x:v>0.26657700000000001</x:v>
      </x:c>
      <x:c r="W16">
        <x:f>-1.938526</x:f>
        <x:v>-1.938526</x:v>
      </x:c>
      <x:c r="X16">
        <x:f>0.246856</x:f>
        <x:v>0.24685599999999999</x:v>
      </x:c>
      <x:c r="Y16">
        <x:f>-72.011267</x:f>
        <x:v>-72.011267000000004</x:v>
      </x:c>
      <x:c r="Z16" t="str">
        <x:f>""</x:f>
        <x:v/>
      </x:c>
      <x:c r="AA16" t="str">
        <x:f>""</x:f>
        <x:v/>
      </x:c>
      <x:c r="AB16" t="str">
        <x:f>""</x:f>
        <x:v/>
      </x:c>
      <x:c r="AC16" t="str">
        <x:f>""</x:f>
        <x:v/>
      </x:c>
      <x:c r="AD16" t="str">
        <x:f>""</x:f>
        <x:v/>
      </x:c>
      <x:c r="AE16" t="str">
        <x:f>""</x:f>
        <x:v/>
      </x:c>
      <x:c r="AF16" t="str">
        <x:f>""</x:f>
        <x:v/>
      </x:c>
      <x:c r="AG16" t="str">
        <x:f>""</x:f>
        <x:v/>
      </x:c>
    </x:row>
    <x:row r="17" spans="1:33" x14ac:dyDescent="0.25">
      <x:c r="A17" t="str">
        <x:f>"        John Hancock Multifactor Media"</x:f>
        <x:v xml:space="preserve">        John Hancock Multifactor Media</x:v>
      </x:c>
      <x:c r="B17" t="str">
        <x:f>"JHCS US Equity"</x:f>
        <x:v>JHCS US Equity</x:v>
      </x:c>
      <x:c r="E17" t="str">
        <x:f t="shared" si="0"/>
        <x:v>Expression</x:v>
      </x:c>
      <x:c r="F17" t="str">
        <x:f ca="1">IF(AND($B$1012=1,LEN($F$1025)&gt;0),$F$1025,HLOOKUP(INDIRECT(ADDRESS(2,COLUMN())),OFFSET($T$2,0,0,ROW()-1,14),ROW()-1,FALSE))</x:f>
        <x:v/>
      </x:c>
      <x:c r="G17" t="str">
        <x:f ca="1">IF(AND($B$1012=1,LEN($G$1025)&gt;0),$G$1025,HLOOKUP(INDIRECT(ADDRESS(2,COLUMN())),OFFSET($T$2,0,0,ROW()-1,14),ROW()-1,FALSE))</x:f>
        <x:v/>
      </x:c>
      <x:c r="H17" t="str">
        <x:f ca="1">IF(AND($B$1012=1,LEN($H$1025)&gt;0),$H$1025,HLOOKUP(INDIRECT(ADDRESS(2,COLUMN())),OFFSET($T$2,0,0,ROW()-1,14),ROW()-1,FALSE))</x:f>
        <x:v/>
      </x:c>
      <x:c r="I17" t="str">
        <x:f ca="1">IF(AND($B$1012=1,LEN($I$1025)&gt;0),$I$1025,HLOOKUP(INDIRECT(ADDRESS(2,COLUMN())),OFFSET($T$2,0,0,ROW()-1,14),ROW()-1,FALSE))</x:f>
        <x:v/>
      </x:c>
      <x:c r="J17" t="str">
        <x:f ca="1">IF(AND($B$1012=1,LEN($J$1025)&gt;0),$J$1025,HLOOKUP(INDIRECT(ADDRESS(2,COLUMN())),OFFSET($T$2,0,0,ROW()-1,14),ROW()-1,FALSE))</x:f>
        <x:v/>
      </x:c>
      <x:c r="K17" t="str">
        <x:f ca="1">IF(AND($B$1012=1,LEN($K$1025)&gt;0),$K$1025,HLOOKUP(INDIRECT(ADDRESS(2,COLUMN())),OFFSET($T$2,0,0,ROW()-1,14),ROW()-1,FALSE))</x:f>
        <x:v/>
      </x:c>
      <x:c r="L17" t="str">
        <x:f ca="1">IF(AND($B$1012=1,LEN($L$1025)&gt;0),$L$1025,HLOOKUP(INDIRECT(ADDRESS(2,COLUMN())),OFFSET($T$2,0,0,ROW()-1,14),ROW()-1,FALSE))</x:f>
        <x:v/>
      </x:c>
      <x:c r="M17" t="str">
        <x:f ca="1">IF(AND($B$1012=1,LEN($M$1025)&gt;0),$M$1025,HLOOKUP(INDIRECT(ADDRESS(2,COLUMN())),OFFSET($T$2,0,0,ROW()-1,14),ROW()-1,FALSE))</x:f>
        <x:v/>
      </x:c>
      <x:c r="N17" t="str">
        <x:f ca="1">IF(AND($B$1012=1,LEN($N$1025)&gt;0),$N$1025,HLOOKUP(INDIRECT(ADDRESS(2,COLUMN())),OFFSET($T$2,0,0,ROW()-1,14),ROW()-1,FALSE))</x:f>
        <x:v/>
      </x:c>
      <x:c r="O17" t="str">
        <x:f ca="1">IF(AND($B$1012=1,LEN($O$1025)&gt;0),$O$1025,HLOOKUP(INDIRECT(ADDRESS(2,COLUMN())),OFFSET($T$2,0,0,ROW()-1,14),ROW()-1,FALSE))</x:f>
        <x:v/>
      </x:c>
      <x:c r="P17" t="str">
        <x:f ca="1">IF(AND($B$1012=1,LEN($P$1025)&gt;0),$P$1025,HLOOKUP(INDIRECT(ADDRESS(2,COLUMN())),OFFSET($T$2,0,0,ROW()-1,14),ROW()-1,FALSE))</x:f>
        <x:v/>
      </x:c>
      <x:c r="Q17" t="str">
        <x:f ca="1">IF(AND($B$1012=1,LEN($Q$1025)&gt;0),$Q$1025,HLOOKUP(INDIRECT(ADDRESS(2,COLUMN())),OFFSET($T$2,0,0,ROW()-1,14),ROW()-1,FALSE))</x:f>
        <x:v/>
      </x:c>
      <x:c r="R17" t="str">
        <x:f ca="1">IF(AND($B$1012=1,LEN($R$1025)&gt;0),$R$1025,HLOOKUP(INDIRECT(ADDRESS(2,COLUMN())),OFFSET($T$2,0,0,ROW()-1,14),ROW()-1,FALSE))</x:f>
        <x:v/>
      </x:c>
      <x:c r="S17">
        <x:f ca="1">IF(AND($B$1012=1,LEN($S$1025)&gt;0),$S$1025,HLOOKUP(INDIRECT(ADDRESS(2,COLUMN())),OFFSET($T$2,0,0,ROW()-1,14),ROW()-1,FALSE))</x:f>
        <x:v>-0.97201899999999997</x:v>
      </x:c>
      <x:c r="T17" t="str">
        <x:f>""</x:f>
        <x:v/>
      </x:c>
      <x:c r="U17" t="str">
        <x:f>""</x:f>
        <x:v/>
      </x:c>
      <x:c r="V17" t="str">
        <x:f>""</x:f>
        <x:v/>
      </x:c>
      <x:c r="W17" t="str">
        <x:f>""</x:f>
        <x:v/>
      </x:c>
      <x:c r="X17" t="str">
        <x:f>""</x:f>
        <x:v/>
      </x:c>
      <x:c r="Y17" t="str">
        <x:f>""</x:f>
        <x:v/>
      </x:c>
      <x:c r="Z17" t="str">
        <x:f>""</x:f>
        <x:v/>
      </x:c>
      <x:c r="AA17" t="str">
        <x:f>""</x:f>
        <x:v/>
      </x:c>
      <x:c r="AB17" t="str">
        <x:f>""</x:f>
        <x:v/>
      </x:c>
      <x:c r="AC17" t="str">
        <x:f>""</x:f>
        <x:v/>
      </x:c>
      <x:c r="AD17" t="str">
        <x:f>""</x:f>
        <x:v/>
      </x:c>
      <x:c r="AE17" t="str">
        <x:f>""</x:f>
        <x:v/>
      </x:c>
      <x:c r="AF17" t="str">
        <x:f>""</x:f>
        <x:v/>
      </x:c>
      <x:c r="AG17">
        <x:f>-0.972019</x:f>
        <x:v>-0.97201899999999997</x:v>
      </x:c>
    </x:row>
    <x:row r="18" spans="1:33" x14ac:dyDescent="0.25">
      <x:c r="A18" t="str">
        <x:f>"        Direxion Daily Communication S"</x:f>
        <x:v xml:space="preserve">        Direxion Daily Communication S</x:v>
      </x:c>
      <x:c r="B18" t="str">
        <x:f>"MUTE US Equity"</x:f>
        <x:v>MUTE US Equity</x:v>
      </x:c>
      <x:c r="E18" t="str">
        <x:f t="shared" si="0"/>
        <x:v>Expression</x:v>
      </x:c>
      <x:c r="F18" t="str">
        <x:f ca="1">IF(AND($B$1012=1,LEN($F$1026)&gt;0),$F$1026,HLOOKUP(INDIRECT(ADDRESS(2,COLUMN())),OFFSET($T$2,0,0,ROW()-1,14),ROW()-1,FALSE))</x:f>
        <x:v/>
      </x:c>
      <x:c r="G18" t="str">
        <x:f ca="1">IF(AND($B$1012=1,LEN($G$1026)&gt;0),$G$1026,HLOOKUP(INDIRECT(ADDRESS(2,COLUMN())),OFFSET($T$2,0,0,ROW()-1,14),ROW()-1,FALSE))</x:f>
        <x:v/>
      </x:c>
      <x:c r="H18" t="str">
        <x:f ca="1">IF(AND($B$1012=1,LEN($H$1026)&gt;0),$H$1026,HLOOKUP(INDIRECT(ADDRESS(2,COLUMN())),OFFSET($T$2,0,0,ROW()-1,14),ROW()-1,FALSE))</x:f>
        <x:v/>
      </x:c>
      <x:c r="I18" t="str">
        <x:f ca="1">IF(AND($B$1012=1,LEN($I$1026)&gt;0),$I$1026,HLOOKUP(INDIRECT(ADDRESS(2,COLUMN())),OFFSET($T$2,0,0,ROW()-1,14),ROW()-1,FALSE))</x:f>
        <x:v/>
      </x:c>
      <x:c r="J18" t="str">
        <x:f ca="1">IF(AND($B$1012=1,LEN($J$1026)&gt;0),$J$1026,HLOOKUP(INDIRECT(ADDRESS(2,COLUMN())),OFFSET($T$2,0,0,ROW()-1,14),ROW()-1,FALSE))</x:f>
        <x:v/>
      </x:c>
      <x:c r="K18" t="str">
        <x:f ca="1">IF(AND($B$1012=1,LEN($K$1026)&gt;0),$K$1026,HLOOKUP(INDIRECT(ADDRESS(2,COLUMN())),OFFSET($T$2,0,0,ROW()-1,14),ROW()-1,FALSE))</x:f>
        <x:v/>
      </x:c>
      <x:c r="L18" t="str">
        <x:f ca="1">IF(AND($B$1012=1,LEN($L$1026)&gt;0),$L$1026,HLOOKUP(INDIRECT(ADDRESS(2,COLUMN())),OFFSET($T$2,0,0,ROW()-1,14),ROW()-1,FALSE))</x:f>
        <x:v/>
      </x:c>
      <x:c r="M18" t="str">
        <x:f ca="1">IF(AND($B$1012=1,LEN($M$1026)&gt;0),$M$1026,HLOOKUP(INDIRECT(ADDRESS(2,COLUMN())),OFFSET($T$2,0,0,ROW()-1,14),ROW()-1,FALSE))</x:f>
        <x:v/>
      </x:c>
      <x:c r="N18" t="str">
        <x:f ca="1">IF(AND($B$1012=1,LEN($N$1026)&gt;0),$N$1026,HLOOKUP(INDIRECT(ADDRESS(2,COLUMN())),OFFSET($T$2,0,0,ROW()-1,14),ROW()-1,FALSE))</x:f>
        <x:v/>
      </x:c>
      <x:c r="O18" t="str">
        <x:f ca="1">IF(AND($B$1012=1,LEN($O$1026)&gt;0),$O$1026,HLOOKUP(INDIRECT(ADDRESS(2,COLUMN())),OFFSET($T$2,0,0,ROW()-1,14),ROW()-1,FALSE))</x:f>
        <x:v/>
      </x:c>
      <x:c r="P18" t="str">
        <x:f ca="1">IF(AND($B$1012=1,LEN($P$1026)&gt;0),$P$1026,HLOOKUP(INDIRECT(ADDRESS(2,COLUMN())),OFFSET($T$2,0,0,ROW()-1,14),ROW()-1,FALSE))</x:f>
        <x:v/>
      </x:c>
      <x:c r="Q18" t="str">
        <x:f ca="1">IF(AND($B$1012=1,LEN($Q$1026)&gt;0),$Q$1026,HLOOKUP(INDIRECT(ADDRESS(2,COLUMN())),OFFSET($T$2,0,0,ROW()-1,14),ROW()-1,FALSE))</x:f>
        <x:v/>
      </x:c>
      <x:c r="R18" t="str">
        <x:f ca="1">IF(AND($B$1012=1,LEN($R$1026)&gt;0),$R$1026,HLOOKUP(INDIRECT(ADDRESS(2,COLUMN())),OFFSET($T$2,0,0,ROW()-1,14),ROW()-1,FALSE))</x:f>
        <x:v/>
      </x:c>
      <x:c r="S18" t="str">
        <x:f ca="1">IF(AND($B$1012=1,LEN($S$1026)&gt;0),$S$1026,HLOOKUP(INDIRECT(ADDRESS(2,COLUMN())),OFFSET($T$2,0,0,ROW()-1,14),ROW()-1,FALSE))</x:f>
        <x:v/>
      </x:c>
      <x:c r="T18" t="str">
        <x:f>""</x:f>
        <x:v/>
      </x:c>
      <x:c r="U18" t="str">
        <x:f>""</x:f>
        <x:v/>
      </x:c>
      <x:c r="V18" t="str">
        <x:f>""</x:f>
        <x:v/>
      </x:c>
      <x:c r="W18" t="str">
        <x:f>""</x:f>
        <x:v/>
      </x:c>
      <x:c r="X18" t="str">
        <x:f>""</x:f>
        <x:v/>
      </x:c>
      <x:c r="Y18" t="str">
        <x:f>""</x:f>
        <x:v/>
      </x:c>
      <x:c r="Z18" t="str">
        <x:f>""</x:f>
        <x:v/>
      </x:c>
      <x:c r="AA18" t="str">
        <x:f>""</x:f>
        <x:v/>
      </x:c>
      <x:c r="AB18" t="str">
        <x:f>""</x:f>
        <x:v/>
      </x:c>
      <x:c r="AC18" t="str">
        <x:f>""</x:f>
        <x:v/>
      </x:c>
      <x:c r="AD18" t="str">
        <x:f>""</x:f>
        <x:v/>
      </x:c>
      <x:c r="AE18" t="str">
        <x:f>""</x:f>
        <x:v/>
      </x:c>
      <x:c r="AF18" t="str">
        <x:f>""</x:f>
        <x:v/>
      </x:c>
      <x:c r="AG18" t="str">
        <x:f>""</x:f>
        <x:v/>
      </x:c>
    </x:row>
    <x:row r="19" spans="1:33" x14ac:dyDescent="0.25">
      <x:c r="A19" t="str">
        <x:f>"        Proshares Ultrapro Short Commu"</x:f>
        <x:v xml:space="preserve">        Proshares Ultrapro Short Commu</x:v>
      </x:c>
      <x:c r="B19" t="str">
        <x:f>"SCOM US Equity"</x:f>
        <x:v>SCOM US Equity</x:v>
      </x:c>
      <x:c r="E19" t="str">
        <x:f t="shared" si="0"/>
        <x:v>Expression</x:v>
      </x:c>
      <x:c r="F19" t="str">
        <x:f ca="1">IF(AND($B$1012=1,LEN($F$1027)&gt;0),$F$1027,HLOOKUP(INDIRECT(ADDRESS(2,COLUMN())),OFFSET($T$2,0,0,ROW()-1,14),ROW()-1,FALSE))</x:f>
        <x:v/>
      </x:c>
      <x:c r="G19" t="str">
        <x:f ca="1">IF(AND($B$1012=1,LEN($G$1027)&gt;0),$G$1027,HLOOKUP(INDIRECT(ADDRESS(2,COLUMN())),OFFSET($T$2,0,0,ROW()-1,14),ROW()-1,FALSE))</x:f>
        <x:v/>
      </x:c>
      <x:c r="H19" t="str">
        <x:f ca="1">IF(AND($B$1012=1,LEN($H$1027)&gt;0),$H$1027,HLOOKUP(INDIRECT(ADDRESS(2,COLUMN())),OFFSET($T$2,0,0,ROW()-1,14),ROW()-1,FALSE))</x:f>
        <x:v/>
      </x:c>
      <x:c r="I19" t="str">
        <x:f ca="1">IF(AND($B$1012=1,LEN($I$1027)&gt;0),$I$1027,HLOOKUP(INDIRECT(ADDRESS(2,COLUMN())),OFFSET($T$2,0,0,ROW()-1,14),ROW()-1,FALSE))</x:f>
        <x:v/>
      </x:c>
      <x:c r="J19" t="str">
        <x:f ca="1">IF(AND($B$1012=1,LEN($J$1027)&gt;0),$J$1027,HLOOKUP(INDIRECT(ADDRESS(2,COLUMN())),OFFSET($T$2,0,0,ROW()-1,14),ROW()-1,FALSE))</x:f>
        <x:v/>
      </x:c>
      <x:c r="K19" t="str">
        <x:f ca="1">IF(AND($B$1012=1,LEN($K$1027)&gt;0),$K$1027,HLOOKUP(INDIRECT(ADDRESS(2,COLUMN())),OFFSET($T$2,0,0,ROW()-1,14),ROW()-1,FALSE))</x:f>
        <x:v/>
      </x:c>
      <x:c r="L19" t="str">
        <x:f ca="1">IF(AND($B$1012=1,LEN($L$1027)&gt;0),$L$1027,HLOOKUP(INDIRECT(ADDRESS(2,COLUMN())),OFFSET($T$2,0,0,ROW()-1,14),ROW()-1,FALSE))</x:f>
        <x:v/>
      </x:c>
      <x:c r="M19" t="str">
        <x:f ca="1">IF(AND($B$1012=1,LEN($M$1027)&gt;0),$M$1027,HLOOKUP(INDIRECT(ADDRESS(2,COLUMN())),OFFSET($T$2,0,0,ROW()-1,14),ROW()-1,FALSE))</x:f>
        <x:v/>
      </x:c>
      <x:c r="N19" t="str">
        <x:f ca="1">IF(AND($B$1012=1,LEN($N$1027)&gt;0),$N$1027,HLOOKUP(INDIRECT(ADDRESS(2,COLUMN())),OFFSET($T$2,0,0,ROW()-1,14),ROW()-1,FALSE))</x:f>
        <x:v/>
      </x:c>
      <x:c r="O19" t="str">
        <x:f ca="1">IF(AND($B$1012=1,LEN($O$1027)&gt;0),$O$1027,HLOOKUP(INDIRECT(ADDRESS(2,COLUMN())),OFFSET($T$2,0,0,ROW()-1,14),ROW()-1,FALSE))</x:f>
        <x:v/>
      </x:c>
      <x:c r="P19" t="str">
        <x:f ca="1">IF(AND($B$1012=1,LEN($P$1027)&gt;0),$P$1027,HLOOKUP(INDIRECT(ADDRESS(2,COLUMN())),OFFSET($T$2,0,0,ROW()-1,14),ROW()-1,FALSE))</x:f>
        <x:v/>
      </x:c>
      <x:c r="Q19" t="str">
        <x:f ca="1">IF(AND($B$1012=1,LEN($Q$1027)&gt;0),$Q$1027,HLOOKUP(INDIRECT(ADDRESS(2,COLUMN())),OFFSET($T$2,0,0,ROW()-1,14),ROW()-1,FALSE))</x:f>
        <x:v/>
      </x:c>
      <x:c r="R19" t="str">
        <x:f ca="1">IF(AND($B$1012=1,LEN($R$1027)&gt;0),$R$1027,HLOOKUP(INDIRECT(ADDRESS(2,COLUMN())),OFFSET($T$2,0,0,ROW()-1,14),ROW()-1,FALSE))</x:f>
        <x:v/>
      </x:c>
      <x:c r="S19" t="str">
        <x:f ca="1">IF(AND($B$1012=1,LEN($S$1027)&gt;0),$S$1027,HLOOKUP(INDIRECT(ADDRESS(2,COLUMN())),OFFSET($T$2,0,0,ROW()-1,14),ROW()-1,FALSE))</x:f>
        <x:v/>
      </x:c>
      <x:c r="T19" t="str">
        <x:f>""</x:f>
        <x:v/>
      </x:c>
      <x:c r="U19" t="str">
        <x:f>""</x:f>
        <x:v/>
      </x:c>
      <x:c r="V19" t="str">
        <x:f>""</x:f>
        <x:v/>
      </x:c>
      <x:c r="W19" t="str">
        <x:f>""</x:f>
        <x:v/>
      </x:c>
      <x:c r="X19" t="str">
        <x:f>""</x:f>
        <x:v/>
      </x:c>
      <x:c r="Y19" t="str">
        <x:f>""</x:f>
        <x:v/>
      </x:c>
      <x:c r="Z19" t="str">
        <x:f>""</x:f>
        <x:v/>
      </x:c>
      <x:c r="AA19" t="str">
        <x:f>""</x:f>
        <x:v/>
      </x:c>
      <x:c r="AB19" t="str">
        <x:f>""</x:f>
        <x:v/>
      </x:c>
      <x:c r="AC19" t="str">
        <x:f>""</x:f>
        <x:v/>
      </x:c>
      <x:c r="AD19" t="str">
        <x:f>""</x:f>
        <x:v/>
      </x:c>
      <x:c r="AE19" t="str">
        <x:f>""</x:f>
        <x:v/>
      </x:c>
      <x:c r="AF19" t="str">
        <x:f>""</x:f>
        <x:v/>
      </x:c>
      <x:c r="AG19" t="str">
        <x:f>""</x:f>
        <x:v/>
      </x:c>
    </x:row>
    <x:row r="20" spans="1:33" x14ac:dyDescent="0.25">
      <x:c r="A20" t="str">
        <x:f>"        Direxion Daily Communication S"</x:f>
        <x:v xml:space="preserve">        Direxion Daily Communication S</x:v>
      </x:c>
      <x:c r="B20" t="str">
        <x:f>"TAWK US Equity"</x:f>
        <x:v>TAWK US Equity</x:v>
      </x:c>
      <x:c r="E20" t="str">
        <x:f t="shared" si="0"/>
        <x:v>Expression</x:v>
      </x:c>
      <x:c r="F20" t="str">
        <x:f ca="1">IF(AND($B$1012=1,LEN($F$1028)&gt;0),$F$1028,HLOOKUP(INDIRECT(ADDRESS(2,COLUMN())),OFFSET($T$2,0,0,ROW()-1,14),ROW()-1,FALSE))</x:f>
        <x:v/>
      </x:c>
      <x:c r="G20" t="str">
        <x:f ca="1">IF(AND($B$1012=1,LEN($G$1028)&gt;0),$G$1028,HLOOKUP(INDIRECT(ADDRESS(2,COLUMN())),OFFSET($T$2,0,0,ROW()-1,14),ROW()-1,FALSE))</x:f>
        <x:v/>
      </x:c>
      <x:c r="H20" t="str">
        <x:f ca="1">IF(AND($B$1012=1,LEN($H$1028)&gt;0),$H$1028,HLOOKUP(INDIRECT(ADDRESS(2,COLUMN())),OFFSET($T$2,0,0,ROW()-1,14),ROW()-1,FALSE))</x:f>
        <x:v/>
      </x:c>
      <x:c r="I20" t="str">
        <x:f ca="1">IF(AND($B$1012=1,LEN($I$1028)&gt;0),$I$1028,HLOOKUP(INDIRECT(ADDRESS(2,COLUMN())),OFFSET($T$2,0,0,ROW()-1,14),ROW()-1,FALSE))</x:f>
        <x:v/>
      </x:c>
      <x:c r="J20" t="str">
        <x:f ca="1">IF(AND($B$1012=1,LEN($J$1028)&gt;0),$J$1028,HLOOKUP(INDIRECT(ADDRESS(2,COLUMN())),OFFSET($T$2,0,0,ROW()-1,14),ROW()-1,FALSE))</x:f>
        <x:v/>
      </x:c>
      <x:c r="K20" t="str">
        <x:f ca="1">IF(AND($B$1012=1,LEN($K$1028)&gt;0),$K$1028,HLOOKUP(INDIRECT(ADDRESS(2,COLUMN())),OFFSET($T$2,0,0,ROW()-1,14),ROW()-1,FALSE))</x:f>
        <x:v/>
      </x:c>
      <x:c r="L20" t="str">
        <x:f ca="1">IF(AND($B$1012=1,LEN($L$1028)&gt;0),$L$1028,HLOOKUP(INDIRECT(ADDRESS(2,COLUMN())),OFFSET($T$2,0,0,ROW()-1,14),ROW()-1,FALSE))</x:f>
        <x:v/>
      </x:c>
      <x:c r="M20" t="str">
        <x:f ca="1">IF(AND($B$1012=1,LEN($M$1028)&gt;0),$M$1028,HLOOKUP(INDIRECT(ADDRESS(2,COLUMN())),OFFSET($T$2,0,0,ROW()-1,14),ROW()-1,FALSE))</x:f>
        <x:v/>
      </x:c>
      <x:c r="N20" t="str">
        <x:f ca="1">IF(AND($B$1012=1,LEN($N$1028)&gt;0),$N$1028,HLOOKUP(INDIRECT(ADDRESS(2,COLUMN())),OFFSET($T$2,0,0,ROW()-1,14),ROW()-1,FALSE))</x:f>
        <x:v/>
      </x:c>
      <x:c r="O20" t="str">
        <x:f ca="1">IF(AND($B$1012=1,LEN($O$1028)&gt;0),$O$1028,HLOOKUP(INDIRECT(ADDRESS(2,COLUMN())),OFFSET($T$2,0,0,ROW()-1,14),ROW()-1,FALSE))</x:f>
        <x:v/>
      </x:c>
      <x:c r="P20" t="str">
        <x:f ca="1">IF(AND($B$1012=1,LEN($P$1028)&gt;0),$P$1028,HLOOKUP(INDIRECT(ADDRESS(2,COLUMN())),OFFSET($T$2,0,0,ROW()-1,14),ROW()-1,FALSE))</x:f>
        <x:v/>
      </x:c>
      <x:c r="Q20" t="str">
        <x:f ca="1">IF(AND($B$1012=1,LEN($Q$1028)&gt;0),$Q$1028,HLOOKUP(INDIRECT(ADDRESS(2,COLUMN())),OFFSET($T$2,0,0,ROW()-1,14),ROW()-1,FALSE))</x:f>
        <x:v/>
      </x:c>
      <x:c r="R20" t="str">
        <x:f ca="1">IF(AND($B$1012=1,LEN($R$1028)&gt;0),$R$1028,HLOOKUP(INDIRECT(ADDRESS(2,COLUMN())),OFFSET($T$2,0,0,ROW()-1,14),ROW()-1,FALSE))</x:f>
        <x:v/>
      </x:c>
      <x:c r="S20" t="str">
        <x:f ca="1">IF(AND($B$1012=1,LEN($S$1028)&gt;0),$S$1028,HLOOKUP(INDIRECT(ADDRESS(2,COLUMN())),OFFSET($T$2,0,0,ROW()-1,14),ROW()-1,FALSE))</x:f>
        <x:v/>
      </x:c>
      <x:c r="T20" t="str">
        <x:f>""</x:f>
        <x:v/>
      </x:c>
      <x:c r="U20" t="str">
        <x:f>""</x:f>
        <x:v/>
      </x:c>
      <x:c r="V20" t="str">
        <x:f>""</x:f>
        <x:v/>
      </x:c>
      <x:c r="W20" t="str">
        <x:f>""</x:f>
        <x:v/>
      </x:c>
      <x:c r="X20" t="str">
        <x:f>""</x:f>
        <x:v/>
      </x:c>
      <x:c r="Y20" t="str">
        <x:f>""</x:f>
        <x:v/>
      </x:c>
      <x:c r="Z20" t="str">
        <x:f>""</x:f>
        <x:v/>
      </x:c>
      <x:c r="AA20" t="str">
        <x:f>""</x:f>
        <x:v/>
      </x:c>
      <x:c r="AB20" t="str">
        <x:f>""</x:f>
        <x:v/>
      </x:c>
      <x:c r="AC20" t="str">
        <x:f>""</x:f>
        <x:v/>
      </x:c>
      <x:c r="AD20" t="str">
        <x:f>""</x:f>
        <x:v/>
      </x:c>
      <x:c r="AE20" t="str">
        <x:f>""</x:f>
        <x:v/>
      </x:c>
      <x:c r="AF20" t="str">
        <x:f>""</x:f>
        <x:v/>
      </x:c>
      <x:c r="AG20" t="str">
        <x:f>""</x:f>
        <x:v/>
      </x:c>
    </x:row>
    <x:row r="21" spans="1:33" x14ac:dyDescent="0.25">
      <x:c r="A21" t="str">
        <x:f>"        Proshares Ultrapro Communicati"</x:f>
        <x:v xml:space="preserve">        Proshares Ultrapro Communicati</x:v>
      </x:c>
      <x:c r="B21" t="str">
        <x:f>"UCOM US Equity"</x:f>
        <x:v>UCOM US Equity</x:v>
      </x:c>
      <x:c r="E21" t="str">
        <x:f t="shared" si="0"/>
        <x:v>Expression</x:v>
      </x:c>
      <x:c r="F21" t="str">
        <x:f ca="1">IF(AND($B$1012=1,LEN($F$1029)&gt;0),$F$1029,HLOOKUP(INDIRECT(ADDRESS(2,COLUMN())),OFFSET($T$2,0,0,ROW()-1,14),ROW()-1,FALSE))</x:f>
        <x:v/>
      </x:c>
      <x:c r="G21" t="str">
        <x:f ca="1">IF(AND($B$1012=1,LEN($G$1029)&gt;0),$G$1029,HLOOKUP(INDIRECT(ADDRESS(2,COLUMN())),OFFSET($T$2,0,0,ROW()-1,14),ROW()-1,FALSE))</x:f>
        <x:v/>
      </x:c>
      <x:c r="H21" t="str">
        <x:f ca="1">IF(AND($B$1012=1,LEN($H$1029)&gt;0),$H$1029,HLOOKUP(INDIRECT(ADDRESS(2,COLUMN())),OFFSET($T$2,0,0,ROW()-1,14),ROW()-1,FALSE))</x:f>
        <x:v/>
      </x:c>
      <x:c r="I21" t="str">
        <x:f ca="1">IF(AND($B$1012=1,LEN($I$1029)&gt;0),$I$1029,HLOOKUP(INDIRECT(ADDRESS(2,COLUMN())),OFFSET($T$2,0,0,ROW()-1,14),ROW()-1,FALSE))</x:f>
        <x:v/>
      </x:c>
      <x:c r="J21" t="str">
        <x:f ca="1">IF(AND($B$1012=1,LEN($J$1029)&gt;0),$J$1029,HLOOKUP(INDIRECT(ADDRESS(2,COLUMN())),OFFSET($T$2,0,0,ROW()-1,14),ROW()-1,FALSE))</x:f>
        <x:v/>
      </x:c>
      <x:c r="K21" t="str">
        <x:f ca="1">IF(AND($B$1012=1,LEN($K$1029)&gt;0),$K$1029,HLOOKUP(INDIRECT(ADDRESS(2,COLUMN())),OFFSET($T$2,0,0,ROW()-1,14),ROW()-1,FALSE))</x:f>
        <x:v/>
      </x:c>
      <x:c r="L21" t="str">
        <x:f ca="1">IF(AND($B$1012=1,LEN($L$1029)&gt;0),$L$1029,HLOOKUP(INDIRECT(ADDRESS(2,COLUMN())),OFFSET($T$2,0,0,ROW()-1,14),ROW()-1,FALSE))</x:f>
        <x:v/>
      </x:c>
      <x:c r="M21" t="str">
        <x:f ca="1">IF(AND($B$1012=1,LEN($M$1029)&gt;0),$M$1029,HLOOKUP(INDIRECT(ADDRESS(2,COLUMN())),OFFSET($T$2,0,0,ROW()-1,14),ROW()-1,FALSE))</x:f>
        <x:v/>
      </x:c>
      <x:c r="N21" t="str">
        <x:f ca="1">IF(AND($B$1012=1,LEN($N$1029)&gt;0),$N$1029,HLOOKUP(INDIRECT(ADDRESS(2,COLUMN())),OFFSET($T$2,0,0,ROW()-1,14),ROW()-1,FALSE))</x:f>
        <x:v/>
      </x:c>
      <x:c r="O21" t="str">
        <x:f ca="1">IF(AND($B$1012=1,LEN($O$1029)&gt;0),$O$1029,HLOOKUP(INDIRECT(ADDRESS(2,COLUMN())),OFFSET($T$2,0,0,ROW()-1,14),ROW()-1,FALSE))</x:f>
        <x:v/>
      </x:c>
      <x:c r="P21" t="str">
        <x:f ca="1">IF(AND($B$1012=1,LEN($P$1029)&gt;0),$P$1029,HLOOKUP(INDIRECT(ADDRESS(2,COLUMN())),OFFSET($T$2,0,0,ROW()-1,14),ROW()-1,FALSE))</x:f>
        <x:v/>
      </x:c>
      <x:c r="Q21" t="str">
        <x:f ca="1">IF(AND($B$1012=1,LEN($Q$1029)&gt;0),$Q$1029,HLOOKUP(INDIRECT(ADDRESS(2,COLUMN())),OFFSET($T$2,0,0,ROW()-1,14),ROW()-1,FALSE))</x:f>
        <x:v/>
      </x:c>
      <x:c r="R21" t="str">
        <x:f ca="1">IF(AND($B$1012=1,LEN($R$1029)&gt;0),$R$1029,HLOOKUP(INDIRECT(ADDRESS(2,COLUMN())),OFFSET($T$2,0,0,ROW()-1,14),ROW()-1,FALSE))</x:f>
        <x:v/>
      </x:c>
      <x:c r="S21" t="str">
        <x:f ca="1">IF(AND($B$1012=1,LEN($S$1029)&gt;0),$S$1029,HLOOKUP(INDIRECT(ADDRESS(2,COLUMN())),OFFSET($T$2,0,0,ROW()-1,14),ROW()-1,FALSE))</x:f>
        <x:v/>
      </x:c>
      <x:c r="T21" t="str">
        <x:f>""</x:f>
        <x:v/>
      </x:c>
      <x:c r="U21" t="str">
        <x:f>""</x:f>
        <x:v/>
      </x:c>
      <x:c r="V21" t="str">
        <x:f>""</x:f>
        <x:v/>
      </x:c>
      <x:c r="W21" t="str">
        <x:f>""</x:f>
        <x:v/>
      </x:c>
      <x:c r="X21" t="str">
        <x:f>""</x:f>
        <x:v/>
      </x:c>
      <x:c r="Y21" t="str">
        <x:f>""</x:f>
        <x:v/>
      </x:c>
      <x:c r="Z21" t="str">
        <x:f>""</x:f>
        <x:v/>
      </x:c>
      <x:c r="AA21" t="str">
        <x:f>""</x:f>
        <x:v/>
      </x:c>
      <x:c r="AB21" t="str">
        <x:f>""</x:f>
        <x:v/>
      </x:c>
      <x:c r="AC21" t="str">
        <x:f>""</x:f>
        <x:v/>
      </x:c>
      <x:c r="AD21" t="str">
        <x:f>""</x:f>
        <x:v/>
      </x:c>
      <x:c r="AE21" t="str">
        <x:f>""</x:f>
        <x:v/>
      </x:c>
      <x:c r="AF21" t="str">
        <x:f>""</x:f>
        <x:v/>
      </x:c>
      <x:c r="AG21" t="str">
        <x:f>""</x:f>
        <x:v/>
      </x:c>
    </x:row>
    <x:row r="22" spans="1:33" x14ac:dyDescent="0.25">
      <x:c r="A22" t="str">
        <x:f>"        Proshares Ultra Communication"</x:f>
        <x:v xml:space="preserve">        Proshares Ultra Communication</x:v>
      </x:c>
      <x:c r="B22" t="str">
        <x:f>"XCOM US Equity"</x:f>
        <x:v>XCOM US Equity</x:v>
      </x:c>
      <x:c r="E22" t="str">
        <x:f t="shared" si="0"/>
        <x:v>Expression</x:v>
      </x:c>
      <x:c r="F22" t="str">
        <x:f ca="1">IF(AND($B$1012=1,LEN($F$1030)&gt;0),$F$1030,HLOOKUP(INDIRECT(ADDRESS(2,COLUMN())),OFFSET($T$2,0,0,ROW()-1,14),ROW()-1,FALSE))</x:f>
        <x:v/>
      </x:c>
      <x:c r="G22" t="str">
        <x:f ca="1">IF(AND($B$1012=1,LEN($G$1030)&gt;0),$G$1030,HLOOKUP(INDIRECT(ADDRESS(2,COLUMN())),OFFSET($T$2,0,0,ROW()-1,14),ROW()-1,FALSE))</x:f>
        <x:v/>
      </x:c>
      <x:c r="H22" t="str">
        <x:f ca="1">IF(AND($B$1012=1,LEN($H$1030)&gt;0),$H$1030,HLOOKUP(INDIRECT(ADDRESS(2,COLUMN())),OFFSET($T$2,0,0,ROW()-1,14),ROW()-1,FALSE))</x:f>
        <x:v/>
      </x:c>
      <x:c r="I22" t="str">
        <x:f ca="1">IF(AND($B$1012=1,LEN($I$1030)&gt;0),$I$1030,HLOOKUP(INDIRECT(ADDRESS(2,COLUMN())),OFFSET($T$2,0,0,ROW()-1,14),ROW()-1,FALSE))</x:f>
        <x:v/>
      </x:c>
      <x:c r="J22" t="str">
        <x:f ca="1">IF(AND($B$1012=1,LEN($J$1030)&gt;0),$J$1030,HLOOKUP(INDIRECT(ADDRESS(2,COLUMN())),OFFSET($T$2,0,0,ROW()-1,14),ROW()-1,FALSE))</x:f>
        <x:v/>
      </x:c>
      <x:c r="K22" t="str">
        <x:f ca="1">IF(AND($B$1012=1,LEN($K$1030)&gt;0),$K$1030,HLOOKUP(INDIRECT(ADDRESS(2,COLUMN())),OFFSET($T$2,0,0,ROW()-1,14),ROW()-1,FALSE))</x:f>
        <x:v/>
      </x:c>
      <x:c r="L22" t="str">
        <x:f ca="1">IF(AND($B$1012=1,LEN($L$1030)&gt;0),$L$1030,HLOOKUP(INDIRECT(ADDRESS(2,COLUMN())),OFFSET($T$2,0,0,ROW()-1,14),ROW()-1,FALSE))</x:f>
        <x:v/>
      </x:c>
      <x:c r="M22" t="str">
        <x:f ca="1">IF(AND($B$1012=1,LEN($M$1030)&gt;0),$M$1030,HLOOKUP(INDIRECT(ADDRESS(2,COLUMN())),OFFSET($T$2,0,0,ROW()-1,14),ROW()-1,FALSE))</x:f>
        <x:v/>
      </x:c>
      <x:c r="N22" t="str">
        <x:f ca="1">IF(AND($B$1012=1,LEN($N$1030)&gt;0),$N$1030,HLOOKUP(INDIRECT(ADDRESS(2,COLUMN())),OFFSET($T$2,0,0,ROW()-1,14),ROW()-1,FALSE))</x:f>
        <x:v/>
      </x:c>
      <x:c r="O22" t="str">
        <x:f ca="1">IF(AND($B$1012=1,LEN($O$1030)&gt;0),$O$1030,HLOOKUP(INDIRECT(ADDRESS(2,COLUMN())),OFFSET($T$2,0,0,ROW()-1,14),ROW()-1,FALSE))</x:f>
        <x:v/>
      </x:c>
      <x:c r="P22" t="str">
        <x:f ca="1">IF(AND($B$1012=1,LEN($P$1030)&gt;0),$P$1030,HLOOKUP(INDIRECT(ADDRESS(2,COLUMN())),OFFSET($T$2,0,0,ROW()-1,14),ROW()-1,FALSE))</x:f>
        <x:v/>
      </x:c>
      <x:c r="Q22" t="str">
        <x:f ca="1">IF(AND($B$1012=1,LEN($Q$1030)&gt;0),$Q$1030,HLOOKUP(INDIRECT(ADDRESS(2,COLUMN())),OFFSET($T$2,0,0,ROW()-1,14),ROW()-1,FALSE))</x:f>
        <x:v/>
      </x:c>
      <x:c r="R22" t="str">
        <x:f ca="1">IF(AND($B$1012=1,LEN($R$1030)&gt;0),$R$1030,HLOOKUP(INDIRECT(ADDRESS(2,COLUMN())),OFFSET($T$2,0,0,ROW()-1,14),ROW()-1,FALSE))</x:f>
        <x:v/>
      </x:c>
      <x:c r="S22" t="str">
        <x:f ca="1">IF(AND($B$1012=1,LEN($S$1030)&gt;0),$S$1030,HLOOKUP(INDIRECT(ADDRESS(2,COLUMN())),OFFSET($T$2,0,0,ROW()-1,14),ROW()-1,FALSE))</x:f>
        <x:v/>
      </x:c>
      <x:c r="T22" t="str">
        <x:f>""</x:f>
        <x:v/>
      </x:c>
      <x:c r="U22" t="str">
        <x:f>""</x:f>
        <x:v/>
      </x:c>
      <x:c r="V22" t="str">
        <x:f>""</x:f>
        <x:v/>
      </x:c>
      <x:c r="W22" t="str">
        <x:f>""</x:f>
        <x:v/>
      </x:c>
      <x:c r="X22" t="str">
        <x:f>""</x:f>
        <x:v/>
      </x:c>
      <x:c r="Y22" t="str">
        <x:f>""</x:f>
        <x:v/>
      </x:c>
      <x:c r="Z22" t="str">
        <x:f>""</x:f>
        <x:v/>
      </x:c>
      <x:c r="AA22" t="str">
        <x:f>""</x:f>
        <x:v/>
      </x:c>
      <x:c r="AB22" t="str">
        <x:f>""</x:f>
        <x:v/>
      </x:c>
      <x:c r="AC22" t="str">
        <x:f>""</x:f>
        <x:v/>
      </x:c>
      <x:c r="AD22" t="str">
        <x:f>""</x:f>
        <x:v/>
      </x:c>
      <x:c r="AE22" t="str">
        <x:f>""</x:f>
        <x:v/>
      </x:c>
      <x:c r="AF22" t="str">
        <x:f>""</x:f>
        <x:v/>
      </x:c>
      <x:c r="AG22" t="str">
        <x:f>""</x:f>
        <x:v/>
      </x:c>
    </x:row>
    <x:row r="23" spans="1:33" x14ac:dyDescent="0.25">
      <x:c r="A23" t="str">
        <x:f>"        Proshares UltraShort Communica"</x:f>
        <x:v xml:space="preserve">        Proshares UltraShort Communica</x:v>
      </x:c>
      <x:c r="B23" t="str">
        <x:f>"YCOM US Equity"</x:f>
        <x:v>YCOM US Equity</x:v>
      </x:c>
      <x:c r="E23" t="str">
        <x:f t="shared" si="0"/>
        <x:v>Expression</x:v>
      </x:c>
      <x:c r="F23" t="str">
        <x:f ca="1">IF(AND($B$1012=1,LEN($F$1031)&gt;0),$F$1031,HLOOKUP(INDIRECT(ADDRESS(2,COLUMN())),OFFSET($T$2,0,0,ROW()-1,14),ROW()-1,FALSE))</x:f>
        <x:v/>
      </x:c>
      <x:c r="G23" t="str">
        <x:f ca="1">IF(AND($B$1012=1,LEN($G$1031)&gt;0),$G$1031,HLOOKUP(INDIRECT(ADDRESS(2,COLUMN())),OFFSET($T$2,0,0,ROW()-1,14),ROW()-1,FALSE))</x:f>
        <x:v/>
      </x:c>
      <x:c r="H23" t="str">
        <x:f ca="1">IF(AND($B$1012=1,LEN($H$1031)&gt;0),$H$1031,HLOOKUP(INDIRECT(ADDRESS(2,COLUMN())),OFFSET($T$2,0,0,ROW()-1,14),ROW()-1,FALSE))</x:f>
        <x:v/>
      </x:c>
      <x:c r="I23" t="str">
        <x:f ca="1">IF(AND($B$1012=1,LEN($I$1031)&gt;0),$I$1031,HLOOKUP(INDIRECT(ADDRESS(2,COLUMN())),OFFSET($T$2,0,0,ROW()-1,14),ROW()-1,FALSE))</x:f>
        <x:v/>
      </x:c>
      <x:c r="J23" t="str">
        <x:f ca="1">IF(AND($B$1012=1,LEN($J$1031)&gt;0),$J$1031,HLOOKUP(INDIRECT(ADDRESS(2,COLUMN())),OFFSET($T$2,0,0,ROW()-1,14),ROW()-1,FALSE))</x:f>
        <x:v/>
      </x:c>
      <x:c r="K23" t="str">
        <x:f ca="1">IF(AND($B$1012=1,LEN($K$1031)&gt;0),$K$1031,HLOOKUP(INDIRECT(ADDRESS(2,COLUMN())),OFFSET($T$2,0,0,ROW()-1,14),ROW()-1,FALSE))</x:f>
        <x:v/>
      </x:c>
      <x:c r="L23" t="str">
        <x:f ca="1">IF(AND($B$1012=1,LEN($L$1031)&gt;0),$L$1031,HLOOKUP(INDIRECT(ADDRESS(2,COLUMN())),OFFSET($T$2,0,0,ROW()-1,14),ROW()-1,FALSE))</x:f>
        <x:v/>
      </x:c>
      <x:c r="M23" t="str">
        <x:f ca="1">IF(AND($B$1012=1,LEN($M$1031)&gt;0),$M$1031,HLOOKUP(INDIRECT(ADDRESS(2,COLUMN())),OFFSET($T$2,0,0,ROW()-1,14),ROW()-1,FALSE))</x:f>
        <x:v/>
      </x:c>
      <x:c r="N23" t="str">
        <x:f ca="1">IF(AND($B$1012=1,LEN($N$1031)&gt;0),$N$1031,HLOOKUP(INDIRECT(ADDRESS(2,COLUMN())),OFFSET($T$2,0,0,ROW()-1,14),ROW()-1,FALSE))</x:f>
        <x:v/>
      </x:c>
      <x:c r="O23" t="str">
        <x:f ca="1">IF(AND($B$1012=1,LEN($O$1031)&gt;0),$O$1031,HLOOKUP(INDIRECT(ADDRESS(2,COLUMN())),OFFSET($T$2,0,0,ROW()-1,14),ROW()-1,FALSE))</x:f>
        <x:v/>
      </x:c>
      <x:c r="P23" t="str">
        <x:f ca="1">IF(AND($B$1012=1,LEN($P$1031)&gt;0),$P$1031,HLOOKUP(INDIRECT(ADDRESS(2,COLUMN())),OFFSET($T$2,0,0,ROW()-1,14),ROW()-1,FALSE))</x:f>
        <x:v/>
      </x:c>
      <x:c r="Q23" t="str">
        <x:f ca="1">IF(AND($B$1012=1,LEN($Q$1031)&gt;0),$Q$1031,HLOOKUP(INDIRECT(ADDRESS(2,COLUMN())),OFFSET($T$2,0,0,ROW()-1,14),ROW()-1,FALSE))</x:f>
        <x:v/>
      </x:c>
      <x:c r="R23" t="str">
        <x:f ca="1">IF(AND($B$1012=1,LEN($R$1031)&gt;0),$R$1031,HLOOKUP(INDIRECT(ADDRESS(2,COLUMN())),OFFSET($T$2,0,0,ROW()-1,14),ROW()-1,FALSE))</x:f>
        <x:v/>
      </x:c>
      <x:c r="S23" t="str">
        <x:f ca="1">IF(AND($B$1012=1,LEN($S$1031)&gt;0),$S$1031,HLOOKUP(INDIRECT(ADDRESS(2,COLUMN())),OFFSET($T$2,0,0,ROW()-1,14),ROW()-1,FALSE))</x:f>
        <x:v/>
      </x:c>
      <x:c r="T23" t="str">
        <x:f>""</x:f>
        <x:v/>
      </x:c>
      <x:c r="U23" t="str">
        <x:f>""</x:f>
        <x:v/>
      </x:c>
      <x:c r="V23" t="str">
        <x:f>""</x:f>
        <x:v/>
      </x:c>
      <x:c r="W23" t="str">
        <x:f>""</x:f>
        <x:v/>
      </x:c>
      <x:c r="X23" t="str">
        <x:f>""</x:f>
        <x:v/>
      </x:c>
      <x:c r="Y23" t="str">
        <x:f>""</x:f>
        <x:v/>
      </x:c>
      <x:c r="Z23" t="str">
        <x:f>""</x:f>
        <x:v/>
      </x:c>
      <x:c r="AA23" t="str">
        <x:f>""</x:f>
        <x:v/>
      </x:c>
      <x:c r="AB23" t="str">
        <x:f>""</x:f>
        <x:v/>
      </x:c>
      <x:c r="AC23" t="str">
        <x:f>""</x:f>
        <x:v/>
      </x:c>
      <x:c r="AD23" t="str">
        <x:f>""</x:f>
        <x:v/>
      </x:c>
      <x:c r="AE23" t="str">
        <x:f>""</x:f>
        <x:v/>
      </x:c>
      <x:c r="AF23" t="str">
        <x:f>""</x:f>
        <x:v/>
      </x:c>
      <x:c r="AG23" t="str">
        <x:f>""</x:f>
        <x:v/>
      </x:c>
    </x:row>
    <x:row r="24" spans="1:33" x14ac:dyDescent="0.25">
      <x:c r="A24" t="str">
        <x:f>"        Direxion Daily AAPL Bull 1.5X"</x:f>
        <x:v xml:space="preserve">        Direxion Daily AAPL Bull 1.5X</x:v>
      </x:c>
      <x:c r="B24" t="str">
        <x:f>"AAPU US Equity"</x:f>
        <x:v>AAPU US Equity</x:v>
      </x:c>
      <x:c r="E24" t="str">
        <x:f t="shared" si="0"/>
        <x:v>Expression</x:v>
      </x:c>
      <x:c r="F24">
        <x:f ca="1">IF(AND($B$1012=1,LEN($F$1032)&gt;0),$F$1032,HLOOKUP(INDIRECT(ADDRESS(2,COLUMN())),OFFSET($T$2,0,0,ROW()-1,14),ROW()-1,FALSE))</x:f>
        <x:v>-3.280637</x:v>
      </x:c>
      <x:c r="G24">
        <x:f ca="1">IF(AND($B$1012=1,LEN($G$1032)&gt;0),$G$1032,HLOOKUP(INDIRECT(ADDRESS(2,COLUMN())),OFFSET($T$2,0,0,ROW()-1,14),ROW()-1,FALSE))</x:f>
        <x:v>-4.2089990000000004</x:v>
      </x:c>
      <x:c r="H24">
        <x:f ca="1">IF(AND($B$1012=1,LEN($H$1032)&gt;0),$H$1032,HLOOKUP(INDIRECT(ADDRESS(2,COLUMN())),OFFSET($T$2,0,0,ROW()-1,14),ROW()-1,FALSE))</x:f>
        <x:v>2.088956</x:v>
      </x:c>
      <x:c r="I24">
        <x:f ca="1">IF(AND($B$1012=1,LEN($I$1032)&gt;0),$I$1032,HLOOKUP(INDIRECT(ADDRESS(2,COLUMN())),OFFSET($T$2,0,0,ROW()-1,14),ROW()-1,FALSE))</x:f>
        <x:v>-0.41946099999999997</x:v>
      </x:c>
      <x:c r="J24">
        <x:f ca="1">IF(AND($B$1012=1,LEN($J$1032)&gt;0),$J$1032,HLOOKUP(INDIRECT(ADDRESS(2,COLUMN())),OFFSET($T$2,0,0,ROW()-1,14),ROW()-1,FALSE))</x:f>
        <x:v>11.769117</x:v>
      </x:c>
      <x:c r="K24">
        <x:f ca="1">IF(AND($B$1012=1,LEN($K$1032)&gt;0),$K$1032,HLOOKUP(INDIRECT(ADDRESS(2,COLUMN())),OFFSET($T$2,0,0,ROW()-1,14),ROW()-1,FALSE))</x:f>
        <x:v>8.0131350000000001</x:v>
      </x:c>
      <x:c r="L24">
        <x:f ca="1">IF(AND($B$1012=1,LEN($L$1032)&gt;0),$L$1032,HLOOKUP(INDIRECT(ADDRESS(2,COLUMN())),OFFSET($T$2,0,0,ROW()-1,14),ROW()-1,FALSE))</x:f>
        <x:v>2.458682</x:v>
      </x:c>
      <x:c r="M24">
        <x:f ca="1">IF(AND($B$1012=1,LEN($M$1032)&gt;0),$M$1032,HLOOKUP(INDIRECT(ADDRESS(2,COLUMN())),OFFSET($T$2,0,0,ROW()-1,14),ROW()-1,FALSE))</x:f>
        <x:v>0.59512100000000001</x:v>
      </x:c>
      <x:c r="N24">
        <x:f ca="1">IF(AND($B$1012=1,LEN($N$1032)&gt;0),$N$1032,HLOOKUP(INDIRECT(ADDRESS(2,COLUMN())),OFFSET($T$2,0,0,ROW()-1,14),ROW()-1,FALSE))</x:f>
        <x:v>1.5962149999999999</x:v>
      </x:c>
      <x:c r="O24">
        <x:f ca="1">IF(AND($B$1012=1,LEN($O$1032)&gt;0),$O$1032,HLOOKUP(INDIRECT(ADDRESS(2,COLUMN())),OFFSET($T$2,0,0,ROW()-1,14),ROW()-1,FALSE))</x:f>
        <x:v>3.6924109999999999</x:v>
      </x:c>
      <x:c r="P24">
        <x:f ca="1">IF(AND($B$1012=1,LEN($P$1032)&gt;0),$P$1032,HLOOKUP(INDIRECT(ADDRESS(2,COLUMN())),OFFSET($T$2,0,0,ROW()-1,14),ROW()-1,FALSE))</x:f>
        <x:v>0.43815900000000002</x:v>
      </x:c>
      <x:c r="Q24">
        <x:f ca="1">IF(AND($B$1012=1,LEN($Q$1032)&gt;0),$Q$1032,HLOOKUP(INDIRECT(ADDRESS(2,COLUMN())),OFFSET($T$2,0,0,ROW()-1,14),ROW()-1,FALSE))</x:f>
        <x:v>2.5003359999999999</x:v>
      </x:c>
      <x:c r="R24">
        <x:f ca="1">IF(AND($B$1012=1,LEN($R$1032)&gt;0),$R$1032,HLOOKUP(INDIRECT(ADDRESS(2,COLUMN())),OFFSET($T$2,0,0,ROW()-1,14),ROW()-1,FALSE))</x:f>
        <x:v>0.39658700000000002</x:v>
      </x:c>
      <x:c r="S24">
        <x:f ca="1">IF(AND($B$1012=1,LEN($S$1032)&gt;0),$S$1032,HLOOKUP(INDIRECT(ADDRESS(2,COLUMN())),OFFSET($T$2,0,0,ROW()-1,14),ROW()-1,FALSE))</x:f>
        <x:v>-0.46487200000000001</x:v>
      </x:c>
      <x:c r="T24">
        <x:f>-3.280637</x:f>
        <x:v>-3.280637</x:v>
      </x:c>
      <x:c r="U24">
        <x:f>-4.208999</x:f>
        <x:v>-4.2089990000000004</x:v>
      </x:c>
      <x:c r="V24">
        <x:f>2.088956</x:f>
        <x:v>2.088956</x:v>
      </x:c>
      <x:c r="W24">
        <x:f>-0.419461</x:f>
        <x:v>-0.41946099999999997</x:v>
      </x:c>
      <x:c r="X24">
        <x:f>11.769117</x:f>
        <x:v>11.769117</x:v>
      </x:c>
      <x:c r="Y24">
        <x:f>8.013135</x:f>
        <x:v>8.0131350000000001</x:v>
      </x:c>
      <x:c r="Z24">
        <x:f>2.458682</x:f>
        <x:v>2.458682</x:v>
      </x:c>
      <x:c r="AA24">
        <x:f>0.595121</x:f>
        <x:v>0.59512100000000001</x:v>
      </x:c>
      <x:c r="AB24">
        <x:f>1.596215</x:f>
        <x:v>1.5962149999999999</x:v>
      </x:c>
      <x:c r="AC24">
        <x:f>3.692411</x:f>
        <x:v>3.6924109999999999</x:v>
      </x:c>
      <x:c r="AD24">
        <x:f>0.438159</x:f>
        <x:v>0.43815900000000002</x:v>
      </x:c>
      <x:c r="AE24">
        <x:f>2.500336</x:f>
        <x:v>2.5003359999999999</x:v>
      </x:c>
      <x:c r="AF24">
        <x:f>0.396587</x:f>
        <x:v>0.39658700000000002</x:v>
      </x:c>
      <x:c r="AG24">
        <x:f>-0.464872</x:f>
        <x:v>-0.46487200000000001</x:v>
      </x:c>
    </x:row>
    <x:row r="25" spans="1:33" x14ac:dyDescent="0.25">
      <x:c r="A25" t="str">
        <x:f>"        KPOP and Korean Entertainment"</x:f>
        <x:v xml:space="preserve">        KPOP and Korean Entertainment</x:v>
      </x:c>
      <x:c r="B25" t="str">
        <x:f>"KPOP US Equity"</x:f>
        <x:v>KPOP US Equity</x:v>
      </x:c>
      <x:c r="E25" t="str">
        <x:f t="shared" si="0"/>
        <x:v>Expression</x:v>
      </x:c>
      <x:c r="F25">
        <x:f ca="1">IF(AND($B$1012=1,LEN($F$1033)&gt;0),$F$1033,HLOOKUP(INDIRECT(ADDRESS(2,COLUMN())),OFFSET($T$2,0,0,ROW()-1,14),ROW()-1,FALSE))</x:f>
        <x:v>0</x:v>
      </x:c>
      <x:c r="G25">
        <x:f ca="1">IF(AND($B$1012=1,LEN($G$1033)&gt;0),$G$1033,HLOOKUP(INDIRECT(ADDRESS(2,COLUMN())),OFFSET($T$2,0,0,ROW()-1,14),ROW()-1,FALSE))</x:f>
        <x:v>0.31495499999999998</x:v>
      </x:c>
      <x:c r="H25">
        <x:f ca="1">IF(AND($B$1012=1,LEN($H$1033)&gt;0),$H$1033,HLOOKUP(INDIRECT(ADDRESS(2,COLUMN())),OFFSET($T$2,0,0,ROW()-1,14),ROW()-1,FALSE))</x:f>
        <x:v>0</x:v>
      </x:c>
      <x:c r="I25">
        <x:f ca="1">IF(AND($B$1012=1,LEN($I$1033)&gt;0),$I$1033,HLOOKUP(INDIRECT(ADDRESS(2,COLUMN())),OFFSET($T$2,0,0,ROW()-1,14),ROW()-1,FALSE))</x:f>
        <x:v>0.19137000000000001</x:v>
      </x:c>
      <x:c r="J25">
        <x:f ca="1">IF(AND($B$1012=1,LEN($J$1033)&gt;0),$J$1033,HLOOKUP(INDIRECT(ADDRESS(2,COLUMN())),OFFSET($T$2,0,0,ROW()-1,14),ROW()-1,FALSE))</x:f>
        <x:v>0</x:v>
      </x:c>
      <x:c r="K25">
        <x:f ca="1">IF(AND($B$1012=1,LEN($K$1033)&gt;0),$K$1033,HLOOKUP(INDIRECT(ADDRESS(2,COLUMN())),OFFSET($T$2,0,0,ROW()-1,14),ROW()-1,FALSE))</x:f>
        <x:v>0</x:v>
      </x:c>
      <x:c r="L25">
        <x:f ca="1">IF(AND($B$1012=1,LEN($L$1033)&gt;0),$L$1033,HLOOKUP(INDIRECT(ADDRESS(2,COLUMN())),OFFSET($T$2,0,0,ROW()-1,14),ROW()-1,FALSE))</x:f>
        <x:v>0</x:v>
      </x:c>
      <x:c r="M25">
        <x:f ca="1">IF(AND($B$1012=1,LEN($M$1033)&gt;0),$M$1033,HLOOKUP(INDIRECT(ADDRESS(2,COLUMN())),OFFSET($T$2,0,0,ROW()-1,14),ROW()-1,FALSE))</x:f>
        <x:v>0</x:v>
      </x:c>
      <x:c r="N25">
        <x:f ca="1">IF(AND($B$1012=1,LEN($N$1033)&gt;0),$N$1033,HLOOKUP(INDIRECT(ADDRESS(2,COLUMN())),OFFSET($T$2,0,0,ROW()-1,14),ROW()-1,FALSE))</x:f>
        <x:v>0</x:v>
      </x:c>
      <x:c r="O25">
        <x:f ca="1">IF(AND($B$1012=1,LEN($O$1033)&gt;0),$O$1033,HLOOKUP(INDIRECT(ADDRESS(2,COLUMN())),OFFSET($T$2,0,0,ROW()-1,14),ROW()-1,FALSE))</x:f>
        <x:v>0</x:v>
      </x:c>
      <x:c r="P25">
        <x:f ca="1">IF(AND($B$1012=1,LEN($P$1033)&gt;0),$P$1033,HLOOKUP(INDIRECT(ADDRESS(2,COLUMN())),OFFSET($T$2,0,0,ROW()-1,14),ROW()-1,FALSE))</x:f>
        <x:v>0</x:v>
      </x:c>
      <x:c r="Q25">
        <x:f ca="1">IF(AND($B$1012=1,LEN($Q$1033)&gt;0),$Q$1033,HLOOKUP(INDIRECT(ADDRESS(2,COLUMN())),OFFSET($T$2,0,0,ROW()-1,14),ROW()-1,FALSE))</x:f>
        <x:v>0</x:v>
      </x:c>
      <x:c r="R25">
        <x:f ca="1">IF(AND($B$1012=1,LEN($R$1033)&gt;0),$R$1033,HLOOKUP(INDIRECT(ADDRESS(2,COLUMN())),OFFSET($T$2,0,0,ROW()-1,14),ROW()-1,FALSE))</x:f>
        <x:v>0</x:v>
      </x:c>
      <x:c r="S25">
        <x:f ca="1">IF(AND($B$1012=1,LEN($S$1033)&gt;0),$S$1033,HLOOKUP(INDIRECT(ADDRESS(2,COLUMN())),OFFSET($T$2,0,0,ROW()-1,14),ROW()-1,FALSE))</x:f>
        <x:v>0</x:v>
      </x:c>
      <x:c r="T25">
        <x:f>0</x:f>
        <x:v>0</x:v>
      </x:c>
      <x:c r="U25">
        <x:f>0.314955</x:f>
        <x:v>0.31495499999999998</x:v>
      </x:c>
      <x:c r="V25">
        <x:f>0</x:f>
        <x:v>0</x:v>
      </x:c>
      <x:c r="W25">
        <x:f>0.19137</x:f>
        <x:v>0.19137000000000001</x:v>
      </x:c>
      <x:c r="X25">
        <x:f>0</x:f>
        <x:v>0</x:v>
      </x:c>
      <x:c r="Y25">
        <x:f>0</x:f>
        <x:v>0</x:v>
      </x:c>
      <x:c r="Z25">
        <x:f>0</x:f>
        <x:v>0</x:v>
      </x:c>
      <x:c r="AA25">
        <x:f>0</x:f>
        <x:v>0</x:v>
      </x:c>
      <x:c r="AB25">
        <x:f>0</x:f>
        <x:v>0</x:v>
      </x:c>
      <x:c r="AC25">
        <x:f>0</x:f>
        <x:v>0</x:v>
      </x:c>
      <x:c r="AD25">
        <x:f>0</x:f>
        <x:v>0</x:v>
      </x:c>
      <x:c r="AE25">
        <x:f>0</x:f>
        <x:v>0</x:v>
      </x:c>
      <x:c r="AF25">
        <x:f>0</x:f>
        <x:v>0</x:v>
      </x:c>
      <x:c r="AG25">
        <x:f>0</x:f>
        <x:v>0</x:v>
      </x:c>
    </x:row>
    <x:row r="26" spans="1:33" x14ac:dyDescent="0.25">
      <x:c r="A26" t="str">
        <x:f>"    Consumer Discretionary"</x:f>
        <x:v xml:space="preserve">    Consumer Discretionary</x:v>
      </x:c>
      <x:c r="B26" t="str">
        <x:f>""</x:f>
        <x:v/>
      </x:c>
      <x:c r="E26" t="str">
        <x:f>"Sum"</x:f>
        <x:v>Sum</x:v>
      </x:c>
      <x:c r="F26">
        <x:f ca="1">IF(ISERROR(IF(SUM($F$27:$F$73) = 0, "", SUM($F$27:$F$73))), "", (IF(SUM($F$27:$F$73) = 0, "", SUM($F$27:$F$73))))</x:f>
        <x:v>805.3730310000002</x:v>
      </x:c>
      <x:c r="G26">
        <x:f ca="1">IF(ISERROR(IF(SUM($G$27:$G$73) = 0, "", SUM($G$27:$G$73))), "", (IF(SUM($G$27:$G$73) = 0, "", SUM($G$27:$G$73))))</x:f>
        <x:v>-1749.0003790000005</x:v>
      </x:c>
      <x:c r="H26">
        <x:f ca="1">IF(ISERROR(IF(SUM($H$27:$H$73) = 0, "", SUM($H$27:$H$73))), "", (IF(SUM($H$27:$H$73) = 0, "", SUM($H$27:$H$73))))</x:f>
        <x:v>101.29337299999992</x:v>
      </x:c>
      <x:c r="I26">
        <x:f ca="1">IF(ISERROR(IF(SUM($I$27:$I$73) = 0, "", SUM($I$27:$I$73))), "", (IF(SUM($I$27:$I$73) = 0, "", SUM($I$27:$I$73))))</x:f>
        <x:v>324.04761499999995</x:v>
      </x:c>
      <x:c r="J26">
        <x:f ca="1">IF(ISERROR(IF(SUM($J$27:$J$73) = 0, "", SUM($J$27:$J$73))), "", (IF(SUM($J$27:$J$73) = 0, "", SUM($J$27:$J$73))))</x:f>
        <x:v>949.10794200000009</x:v>
      </x:c>
      <x:c r="K26">
        <x:f ca="1">IF(ISERROR(IF(SUM($K$27:$K$73) = 0, "", SUM($K$27:$K$73))), "", (IF(SUM($K$27:$K$73) = 0, "", SUM($K$27:$K$73))))</x:f>
        <x:v>741.39767299999971</x:v>
      </x:c>
      <x:c r="L26">
        <x:f ca="1">IF(ISERROR(IF(SUM($L$27:$L$73) = 0, "", SUM($L$27:$L$73))), "", (IF(SUM($L$27:$L$73) = 0, "", SUM($L$27:$L$73))))</x:f>
        <x:v>804.327853</x:v>
      </x:c>
      <x:c r="M26">
        <x:f ca="1">IF(ISERROR(IF(SUM($M$27:$M$73) = 0, "", SUM($M$27:$M$73))), "", (IF(SUM($M$27:$M$73) = 0, "", SUM($M$27:$M$73))))</x:f>
        <x:v>315.09271499999994</x:v>
      </x:c>
      <x:c r="N26">
        <x:f ca="1">IF(ISERROR(IF(SUM($N$27:$N$73) = 0, "", SUM($N$27:$N$73))), "", (IF(SUM($N$27:$N$73) = 0, "", SUM($N$27:$N$73))))</x:f>
        <x:v>1104.517961</x:v>
      </x:c>
      <x:c r="O26">
        <x:f ca="1">IF(ISERROR(IF(SUM($O$27:$O$73) = 0, "", SUM($O$27:$O$73))), "", (IF(SUM($O$27:$O$73) = 0, "", SUM($O$27:$O$73))))</x:f>
        <x:v>-228.53338599999995</x:v>
      </x:c>
      <x:c r="P26">
        <x:f ca="1">IF(ISERROR(IF(SUM($P$27:$P$73) = 0, "", SUM($P$27:$P$73))), "", (IF(SUM($P$27:$P$73) = 0, "", SUM($P$27:$P$73))))</x:f>
        <x:v>277.23086500000005</x:v>
      </x:c>
      <x:c r="Q26">
        <x:f ca="1">IF(ISERROR(IF(SUM($Q$27:$Q$73) = 0, "", SUM($Q$27:$Q$73))), "", (IF(SUM($Q$27:$Q$73) = 0, "", SUM($Q$27:$Q$73))))</x:f>
        <x:v>-270.49451700000009</x:v>
      </x:c>
      <x:c r="R26">
        <x:f ca="1">IF(ISERROR(IF(SUM($R$27:$R$73) = 0, "", SUM($R$27:$R$73))), "", (IF(SUM($R$27:$R$73) = 0, "", SUM($R$27:$R$73))))</x:f>
        <x:v>-305.92191100000002</x:v>
      </x:c>
      <x:c r="S26">
        <x:f ca="1">IF(ISERROR(IF(SUM($S$27:$S$73) = 0, "", SUM($S$27:$S$73))), "", (IF(SUM($S$27:$S$73) = 0, "", SUM($S$27:$S$73))))</x:f>
        <x:v>292.16806300000002</x:v>
      </x:c>
      <x:c r="T26">
        <x:f>805.373031</x:f>
        <x:v>805.37303099999997</x:v>
      </x:c>
      <x:c r="U26">
        <x:f>-1749.000379</x:f>
        <x:v>-1749.0003790000001</x:v>
      </x:c>
      <x:c r="V26">
        <x:f>101.293373</x:f>
        <x:v>101.293373</x:v>
      </x:c>
      <x:c r="W26">
        <x:f>324.047615</x:f>
        <x:v>324.04761500000001</x:v>
      </x:c>
      <x:c r="X26">
        <x:f>949.107942</x:f>
        <x:v>949.10794199999998</x:v>
      </x:c>
      <x:c r="Y26">
        <x:f>741.397673</x:f>
        <x:v>741.39767300000005</x:v>
      </x:c>
      <x:c r="Z26">
        <x:f>804.327853</x:f>
        <x:v>804.327853</x:v>
      </x:c>
      <x:c r="AA26">
        <x:f>315.092715</x:f>
        <x:v>315.092715</x:v>
      </x:c>
      <x:c r="AB26">
        <x:f>1104.517961</x:f>
        <x:v>1104.517961</x:v>
      </x:c>
      <x:c r="AC26">
        <x:f>-228.533386</x:f>
        <x:v>-228.53338600000001</x:v>
      </x:c>
      <x:c r="AD26">
        <x:f>277.230865</x:f>
        <x:v>277.23086499999999</x:v>
      </x:c>
      <x:c r="AE26">
        <x:f>-270.494517</x:f>
        <x:v>-270.49451699999997</x:v>
      </x:c>
      <x:c r="AF26">
        <x:f>-305.921911</x:f>
        <x:v>-305.92191100000002</x:v>
      </x:c>
      <x:c r="AG26">
        <x:f>292.168063</x:f>
        <x:v>292.16806300000002</x:v>
      </x:c>
    </x:row>
    <x:row r="27" spans="1:33" x14ac:dyDescent="0.25">
      <x:c r="A27" t="str">
        <x:f>"        Consumer Discretionary Select"</x:f>
        <x:v xml:space="preserve">        Consumer Discretionary Select</x:v>
      </x:c>
      <x:c r="B27" t="str">
        <x:f>"XLY US Equity"</x:f>
        <x:v>XLY US Equity</x:v>
      </x:c>
      <x:c r="E27" t="str">
        <x:f t="shared" ref="E27:E73" si="1">"Expression"</x:f>
        <x:v>Expression</x:v>
      </x:c>
      <x:c r="F27">
        <x:f ca="1">IF(AND($B$1012=1,LEN($F$1034)&gt;0),$F$1034,HLOOKUP(INDIRECT(ADDRESS(2,COLUMN())),OFFSET($T$2,0,0,ROW()-1,14),ROW()-1,FALSE))</x:f>
        <x:v>501.77841000000001</x:v>
      </x:c>
      <x:c r="G27">
        <x:f ca="1">IF(AND($B$1012=1,LEN($G$1034)&gt;0),$G$1034,HLOOKUP(INDIRECT(ADDRESS(2,COLUMN())),OFFSET($T$2,0,0,ROW()-1,14),ROW()-1,FALSE))</x:f>
        <x:v>-1076.046353</x:v>
      </x:c>
      <x:c r="H27">
        <x:f ca="1">IF(AND($B$1012=1,LEN($H$1034)&gt;0),$H$1034,HLOOKUP(INDIRECT(ADDRESS(2,COLUMN())),OFFSET($T$2,0,0,ROW()-1,14),ROW()-1,FALSE))</x:f>
        <x:v>934.12230999999997</x:v>
      </x:c>
      <x:c r="I27">
        <x:f ca="1">IF(AND($B$1012=1,LEN($I$1034)&gt;0),$I$1034,HLOOKUP(INDIRECT(ADDRESS(2,COLUMN())),OFFSET($T$2,0,0,ROW()-1,14),ROW()-1,FALSE))</x:f>
        <x:v>271.57747799999999</x:v>
      </x:c>
      <x:c r="J27">
        <x:f ca="1">IF(AND($B$1012=1,LEN($J$1034)&gt;0),$J$1034,HLOOKUP(INDIRECT(ADDRESS(2,COLUMN())),OFFSET($T$2,0,0,ROW()-1,14),ROW()-1,FALSE))</x:f>
        <x:v>18.631157999999999</x:v>
      </x:c>
      <x:c r="K27">
        <x:f ca="1">IF(AND($B$1012=1,LEN($K$1034)&gt;0),$K$1034,HLOOKUP(INDIRECT(ADDRESS(2,COLUMN())),OFFSET($T$2,0,0,ROW()-1,14),ROW()-1,FALSE))</x:f>
        <x:v>91.440310999999994</x:v>
      </x:c>
      <x:c r="L27">
        <x:f ca="1">IF(AND($B$1012=1,LEN($L$1034)&gt;0),$L$1034,HLOOKUP(INDIRECT(ADDRESS(2,COLUMN())),OFFSET($T$2,0,0,ROW()-1,14),ROW()-1,FALSE))</x:f>
        <x:v>463.69523500000003</x:v>
      </x:c>
      <x:c r="M27">
        <x:f ca="1">IF(AND($B$1012=1,LEN($M$1034)&gt;0),$M$1034,HLOOKUP(INDIRECT(ADDRESS(2,COLUMN())),OFFSET($T$2,0,0,ROW()-1,14),ROW()-1,FALSE))</x:f>
        <x:v>271.705129</x:v>
      </x:c>
      <x:c r="N27">
        <x:f ca="1">IF(AND($B$1012=1,LEN($N$1034)&gt;0),$N$1034,HLOOKUP(INDIRECT(ADDRESS(2,COLUMN())),OFFSET($T$2,0,0,ROW()-1,14),ROW()-1,FALSE))</x:f>
        <x:v>120.197132</x:v>
      </x:c>
      <x:c r="O27">
        <x:f ca="1">IF(AND($B$1012=1,LEN($O$1034)&gt;0),$O$1034,HLOOKUP(INDIRECT(ADDRESS(2,COLUMN())),OFFSET($T$2,0,0,ROW()-1,14),ROW()-1,FALSE))</x:f>
        <x:v>-365.42153200000001</x:v>
      </x:c>
      <x:c r="P27">
        <x:f ca="1">IF(AND($B$1012=1,LEN($P$1034)&gt;0),$P$1034,HLOOKUP(INDIRECT(ADDRESS(2,COLUMN())),OFFSET($T$2,0,0,ROW()-1,14),ROW()-1,FALSE))</x:f>
        <x:v>13.161346999999999</x:v>
      </x:c>
      <x:c r="Q27">
        <x:f ca="1">IF(AND($B$1012=1,LEN($Q$1034)&gt;0),$Q$1034,HLOOKUP(INDIRECT(ADDRESS(2,COLUMN())),OFFSET($T$2,0,0,ROW()-1,14),ROW()-1,FALSE))</x:f>
        <x:v>170.416707</x:v>
      </x:c>
      <x:c r="R27">
        <x:f ca="1">IF(AND($B$1012=1,LEN($R$1034)&gt;0),$R$1034,HLOOKUP(INDIRECT(ADDRESS(2,COLUMN())),OFFSET($T$2,0,0,ROW()-1,14),ROW()-1,FALSE))</x:f>
        <x:v>-656.624415</x:v>
      </x:c>
      <x:c r="S27">
        <x:f ca="1">IF(AND($B$1012=1,LEN($S$1034)&gt;0),$S$1034,HLOOKUP(INDIRECT(ADDRESS(2,COLUMN())),OFFSET($T$2,0,0,ROW()-1,14),ROW()-1,FALSE))</x:f>
        <x:v>286.87410199999999</x:v>
      </x:c>
      <x:c r="T27">
        <x:f>501.77841</x:f>
        <x:v>501.77841000000001</x:v>
      </x:c>
      <x:c r="U27">
        <x:f>-1076.046353</x:f>
        <x:v>-1076.046353</x:v>
      </x:c>
      <x:c r="V27">
        <x:f>934.12231</x:f>
        <x:v>934.12230999999997</x:v>
      </x:c>
      <x:c r="W27">
        <x:f>271.577478</x:f>
        <x:v>271.57747799999999</x:v>
      </x:c>
      <x:c r="X27">
        <x:f>18.631158</x:f>
        <x:v>18.631157999999999</x:v>
      </x:c>
      <x:c r="Y27">
        <x:f>91.440311</x:f>
        <x:v>91.440310999999994</x:v>
      </x:c>
      <x:c r="Z27">
        <x:f>463.695235</x:f>
        <x:v>463.69523500000003</x:v>
      </x:c>
      <x:c r="AA27">
        <x:f>271.705129</x:f>
        <x:v>271.705129</x:v>
      </x:c>
      <x:c r="AB27">
        <x:f>120.197132</x:f>
        <x:v>120.197132</x:v>
      </x:c>
      <x:c r="AC27">
        <x:f>-365.421532</x:f>
        <x:v>-365.42153200000001</x:v>
      </x:c>
      <x:c r="AD27">
        <x:f>13.161347</x:f>
        <x:v>13.161346999999999</x:v>
      </x:c>
      <x:c r="AE27">
        <x:f>170.416707</x:f>
        <x:v>170.416707</x:v>
      </x:c>
      <x:c r="AF27">
        <x:f>-656.624415</x:f>
        <x:v>-656.624415</x:v>
      </x:c>
      <x:c r="AG27">
        <x:f>286.874102</x:f>
        <x:v>286.87410199999999</x:v>
      </x:c>
    </x:row>
    <x:row r="28" spans="1:33" x14ac:dyDescent="0.25">
      <x:c r="A28" t="str">
        <x:f>"        Vanguard Consumer Discretionar"</x:f>
        <x:v xml:space="preserve">        Vanguard Consumer Discretionar</x:v>
      </x:c>
      <x:c r="B28" t="str">
        <x:f>"VCR US Equity"</x:f>
        <x:v>VCR US Equity</x:v>
      </x:c>
      <x:c r="E28" t="str">
        <x:f t="shared" si="1"/>
        <x:v>Expression</x:v>
      </x:c>
      <x:c r="F28">
        <x:f ca="1">IF(AND($B$1012=1,LEN($F$1035)&gt;0),$F$1035,HLOOKUP(INDIRECT(ADDRESS(2,COLUMN())),OFFSET($T$2,0,0,ROW()-1,14),ROW()-1,FALSE))</x:f>
        <x:v>6.9702500000000001</x:v>
      </x:c>
      <x:c r="G28">
        <x:f ca="1">IF(AND($B$1012=1,LEN($G$1035)&gt;0),$G$1035,HLOOKUP(INDIRECT(ADDRESS(2,COLUMN())),OFFSET($T$2,0,0,ROW()-1,14),ROW()-1,FALSE))</x:f>
        <x:v>-318.63425000000001</x:v>
      </x:c>
      <x:c r="H28">
        <x:f ca="1">IF(AND($B$1012=1,LEN($H$1035)&gt;0),$H$1035,HLOOKUP(INDIRECT(ADDRESS(2,COLUMN())),OFFSET($T$2,0,0,ROW()-1,14),ROW()-1,FALSE))</x:f>
        <x:v>-57.536810000000003</x:v>
      </x:c>
      <x:c r="I28">
        <x:f ca="1">IF(AND($B$1012=1,LEN($I$1035)&gt;0),$I$1035,HLOOKUP(INDIRECT(ADDRESS(2,COLUMN())),OFFSET($T$2,0,0,ROW()-1,14),ROW()-1,FALSE))</x:f>
        <x:v>72.960499999999996</x:v>
      </x:c>
      <x:c r="J28">
        <x:f ca="1">IF(AND($B$1012=1,LEN($J$1035)&gt;0),$J$1035,HLOOKUP(INDIRECT(ADDRESS(2,COLUMN())),OFFSET($T$2,0,0,ROW()-1,14),ROW()-1,FALSE))</x:f>
        <x:v>278.93525</x:v>
      </x:c>
      <x:c r="K28">
        <x:f ca="1">IF(AND($B$1012=1,LEN($K$1035)&gt;0),$K$1035,HLOOKUP(INDIRECT(ADDRESS(2,COLUMN())),OFFSET($T$2,0,0,ROW()-1,14),ROW()-1,FALSE))</x:f>
        <x:v>-62.932250000000003</x:v>
      </x:c>
      <x:c r="L28">
        <x:f ca="1">IF(AND($B$1012=1,LEN($L$1035)&gt;0),$L$1035,HLOOKUP(INDIRECT(ADDRESS(2,COLUMN())),OFFSET($T$2,0,0,ROW()-1,14),ROW()-1,FALSE))</x:f>
        <x:v>160.70758000000001</x:v>
      </x:c>
      <x:c r="M28">
        <x:f ca="1">IF(AND($B$1012=1,LEN($M$1035)&gt;0),$M$1035,HLOOKUP(INDIRECT(ADDRESS(2,COLUMN())),OFFSET($T$2,0,0,ROW()-1,14),ROW()-1,FALSE))</x:f>
        <x:v>0.67792300000000005</x:v>
      </x:c>
      <x:c r="N28">
        <x:f ca="1">IF(AND($B$1012=1,LEN($N$1035)&gt;0),$N$1035,HLOOKUP(INDIRECT(ADDRESS(2,COLUMN())),OFFSET($T$2,0,0,ROW()-1,14),ROW()-1,FALSE))</x:f>
        <x:v>-48.043500000000002</x:v>
      </x:c>
      <x:c r="O28">
        <x:f ca="1">IF(AND($B$1012=1,LEN($O$1035)&gt;0),$O$1035,HLOOKUP(INDIRECT(ADDRESS(2,COLUMN())),OFFSET($T$2,0,0,ROW()-1,14),ROW()-1,FALSE))</x:f>
        <x:v>65.211225999999996</x:v>
      </x:c>
      <x:c r="P28">
        <x:f ca="1">IF(AND($B$1012=1,LEN($P$1035)&gt;0),$P$1035,HLOOKUP(INDIRECT(ADDRESS(2,COLUMN())),OFFSET($T$2,0,0,ROW()-1,14),ROW()-1,FALSE))</x:f>
        <x:v>-75.849999999999994</x:v>
      </x:c>
      <x:c r="Q28">
        <x:f ca="1">IF(AND($B$1012=1,LEN($Q$1035)&gt;0),$Q$1035,HLOOKUP(INDIRECT(ADDRESS(2,COLUMN())),OFFSET($T$2,0,0,ROW()-1,14),ROW()-1,FALSE))</x:f>
        <x:v>-203.1875</x:v>
      </x:c>
      <x:c r="R28">
        <x:f ca="1">IF(AND($B$1012=1,LEN($R$1035)&gt;0),$R$1035,HLOOKUP(INDIRECT(ADDRESS(2,COLUMN())),OFFSET($T$2,0,0,ROW()-1,14),ROW()-1,FALSE))</x:f>
        <x:v>30.400483999999999</x:v>
      </x:c>
      <x:c r="S28">
        <x:f ca="1">IF(AND($B$1012=1,LEN($S$1035)&gt;0),$S$1035,HLOOKUP(INDIRECT(ADDRESS(2,COLUMN())),OFFSET($T$2,0,0,ROW()-1,14),ROW()-1,FALSE))</x:f>
        <x:v>-65.069000000000003</x:v>
      </x:c>
      <x:c r="T28">
        <x:f>6.97025</x:f>
        <x:v>6.9702500000000001</x:v>
      </x:c>
      <x:c r="U28">
        <x:f>-318.63425</x:f>
        <x:v>-318.63425000000001</x:v>
      </x:c>
      <x:c r="V28">
        <x:f>-57.53681</x:f>
        <x:v>-57.536810000000003</x:v>
      </x:c>
      <x:c r="W28">
        <x:f>72.9605</x:f>
        <x:v>72.960499999999996</x:v>
      </x:c>
      <x:c r="X28">
        <x:f>278.93525</x:f>
        <x:v>278.93525</x:v>
      </x:c>
      <x:c r="Y28">
        <x:f>-62.93225</x:f>
        <x:v>-62.932250000000003</x:v>
      </x:c>
      <x:c r="Z28">
        <x:f>160.70758</x:f>
        <x:v>160.70758000000001</x:v>
      </x:c>
      <x:c r="AA28">
        <x:f>0.677923</x:f>
        <x:v>0.67792300000000005</x:v>
      </x:c>
      <x:c r="AB28">
        <x:f>-48.0435</x:f>
        <x:v>-48.043500000000002</x:v>
      </x:c>
      <x:c r="AC28">
        <x:f>65.211226</x:f>
        <x:v>65.211225999999996</x:v>
      </x:c>
      <x:c r="AD28">
        <x:f>-75.85</x:f>
        <x:v>-75.849999999999994</x:v>
      </x:c>
      <x:c r="AE28">
        <x:f>-203.1875</x:f>
        <x:v>-203.1875</x:v>
      </x:c>
      <x:c r="AF28">
        <x:f>30.400484</x:f>
        <x:v>30.400483999999999</x:v>
      </x:c>
      <x:c r="AG28">
        <x:f>-65.069</x:f>
        <x:v>-65.069000000000003</x:v>
      </x:c>
    </x:row>
    <x:row r="29" spans="1:33" x14ac:dyDescent="0.25">
      <x:c r="A29" t="str">
        <x:f>"        VanEck Gaming ETF"</x:f>
        <x:v xml:space="preserve">        VanEck Gaming ETF</x:v>
      </x:c>
      <x:c r="B29" t="str">
        <x:f>"BJK US Equity"</x:f>
        <x:v>BJK US Equity</x:v>
      </x:c>
      <x:c r="E29" t="str">
        <x:f t="shared" si="1"/>
        <x:v>Expression</x:v>
      </x:c>
      <x:c r="F29">
        <x:f ca="1">IF(AND($B$1012=1,LEN($F$1036)&gt;0),$F$1036,HLOOKUP(INDIRECT(ADDRESS(2,COLUMN())),OFFSET($T$2,0,0,ROW()-1,14),ROW()-1,FALSE))</x:f>
        <x:v>0</x:v>
      </x:c>
      <x:c r="G29">
        <x:f ca="1">IF(AND($B$1012=1,LEN($G$1036)&gt;0),$G$1036,HLOOKUP(INDIRECT(ADDRESS(2,COLUMN())),OFFSET($T$2,0,0,ROW()-1,14),ROW()-1,FALSE))</x:f>
        <x:v>-4.7454520000000002</x:v>
      </x:c>
      <x:c r="H29">
        <x:f ca="1">IF(AND($B$1012=1,LEN($H$1036)&gt;0),$H$1036,HLOOKUP(INDIRECT(ADDRESS(2,COLUMN())),OFFSET($T$2,0,0,ROW()-1,14),ROW()-1,FALSE))</x:f>
        <x:v>-6.217765</x:v>
      </x:c>
      <x:c r="I29">
        <x:f ca="1">IF(AND($B$1012=1,LEN($I$1036)&gt;0),$I$1036,HLOOKUP(INDIRECT(ADDRESS(2,COLUMN())),OFFSET($T$2,0,0,ROW()-1,14),ROW()-1,FALSE))</x:f>
        <x:v>0</x:v>
      </x:c>
      <x:c r="J29">
        <x:f ca="1">IF(AND($B$1012=1,LEN($J$1036)&gt;0),$J$1036,HLOOKUP(INDIRECT(ADDRESS(2,COLUMN())),OFFSET($T$2,0,0,ROW()-1,14),ROW()-1,FALSE))</x:f>
        <x:v>-1.9822040000000001</x:v>
      </x:c>
      <x:c r="K29">
        <x:f ca="1">IF(AND($B$1012=1,LEN($K$1036)&gt;0),$K$1036,HLOOKUP(INDIRECT(ADDRESS(2,COLUMN())),OFFSET($T$2,0,0,ROW()-1,14),ROW()-1,FALSE))</x:f>
        <x:v>-30.154409000000001</x:v>
      </x:c>
      <x:c r="L29">
        <x:f ca="1">IF(AND($B$1012=1,LEN($L$1036)&gt;0),$L$1036,HLOOKUP(INDIRECT(ADDRESS(2,COLUMN())),OFFSET($T$2,0,0,ROW()-1,14),ROW()-1,FALSE))</x:f>
        <x:v>-1.0736110000000001</x:v>
      </x:c>
      <x:c r="M29">
        <x:f ca="1">IF(AND($B$1012=1,LEN($M$1036)&gt;0),$M$1036,HLOOKUP(INDIRECT(ADDRESS(2,COLUMN())),OFFSET($T$2,0,0,ROW()-1,14),ROW()-1,FALSE))</x:f>
        <x:v>4.5549429999999997</x:v>
      </x:c>
      <x:c r="N29">
        <x:f ca="1">IF(AND($B$1012=1,LEN($N$1036)&gt;0),$N$1036,HLOOKUP(INDIRECT(ADDRESS(2,COLUMN())),OFFSET($T$2,0,0,ROW()-1,14),ROW()-1,FALSE))</x:f>
        <x:v>-5.3320109999999996</x:v>
      </x:c>
      <x:c r="O29">
        <x:f ca="1">IF(AND($B$1012=1,LEN($O$1036)&gt;0),$O$1036,HLOOKUP(INDIRECT(ADDRESS(2,COLUMN())),OFFSET($T$2,0,0,ROW()-1,14),ROW()-1,FALSE))</x:f>
        <x:v>-2.2187869999999998</x:v>
      </x:c>
      <x:c r="P29">
        <x:f ca="1">IF(AND($B$1012=1,LEN($P$1036)&gt;0),$P$1036,HLOOKUP(INDIRECT(ADDRESS(2,COLUMN())),OFFSET($T$2,0,0,ROW()-1,14),ROW()-1,FALSE))</x:f>
        <x:v>-11.572531</x:v>
      </x:c>
      <x:c r="Q29">
        <x:f ca="1">IF(AND($B$1012=1,LEN($Q$1036)&gt;0),$Q$1036,HLOOKUP(INDIRECT(ADDRESS(2,COLUMN())),OFFSET($T$2,0,0,ROW()-1,14),ROW()-1,FALSE))</x:f>
        <x:v>22.447347000000001</x:v>
      </x:c>
      <x:c r="R29">
        <x:f ca="1">IF(AND($B$1012=1,LEN($R$1036)&gt;0),$R$1036,HLOOKUP(INDIRECT(ADDRESS(2,COLUMN())),OFFSET($T$2,0,0,ROW()-1,14),ROW()-1,FALSE))</x:f>
        <x:v>0</x:v>
      </x:c>
      <x:c r="S29">
        <x:f ca="1">IF(AND($B$1012=1,LEN($S$1036)&gt;0),$S$1036,HLOOKUP(INDIRECT(ADDRESS(2,COLUMN())),OFFSET($T$2,0,0,ROW()-1,14),ROW()-1,FALSE))</x:f>
        <x:v>3.2773500000000002</x:v>
      </x:c>
      <x:c r="T29">
        <x:f>0</x:f>
        <x:v>0</x:v>
      </x:c>
      <x:c r="U29">
        <x:f>-4.745452</x:f>
        <x:v>-4.7454520000000002</x:v>
      </x:c>
      <x:c r="V29">
        <x:f>-6.217765</x:f>
        <x:v>-6.217765</x:v>
      </x:c>
      <x:c r="W29">
        <x:f>0</x:f>
        <x:v>0</x:v>
      </x:c>
      <x:c r="X29">
        <x:f>-1.982204</x:f>
        <x:v>-1.9822040000000001</x:v>
      </x:c>
      <x:c r="Y29">
        <x:f>-30.154409</x:f>
        <x:v>-30.154409000000001</x:v>
      </x:c>
      <x:c r="Z29">
        <x:f>-1.073611</x:f>
        <x:v>-1.0736110000000001</x:v>
      </x:c>
      <x:c r="AA29">
        <x:f>4.554943</x:f>
        <x:v>4.5549429999999997</x:v>
      </x:c>
      <x:c r="AB29">
        <x:f>-5.332011</x:f>
        <x:v>-5.3320109999999996</x:v>
      </x:c>
      <x:c r="AC29">
        <x:f>-2.218787</x:f>
        <x:v>-2.2187869999999998</x:v>
      </x:c>
      <x:c r="AD29">
        <x:f>-11.572531</x:f>
        <x:v>-11.572531</x:v>
      </x:c>
      <x:c r="AE29">
        <x:f>22.447347</x:f>
        <x:v>22.447347000000001</x:v>
      </x:c>
      <x:c r="AF29">
        <x:f>0</x:f>
        <x:v>0</x:v>
      </x:c>
      <x:c r="AG29">
        <x:f>3.27735</x:f>
        <x:v>3.2773500000000002</x:v>
      </x:c>
    </x:row>
    <x:row r="30" spans="1:33" x14ac:dyDescent="0.25">
      <x:c r="A30" t="str">
        <x:f>"        iShares U.S. Home Construction"</x:f>
        <x:v xml:space="preserve">        iShares U.S. Home Construction</x:v>
      </x:c>
      <x:c r="B30" t="str">
        <x:f>"ITB US Equity"</x:f>
        <x:v>ITB US Equity</x:v>
      </x:c>
      <x:c r="E30" t="str">
        <x:f t="shared" si="1"/>
        <x:v>Expression</x:v>
      </x:c>
      <x:c r="F30">
        <x:f ca="1">IF(AND($B$1012=1,LEN($F$1037)&gt;0),$F$1037,HLOOKUP(INDIRECT(ADDRESS(2,COLUMN())),OFFSET($T$2,0,0,ROW()-1,14),ROW()-1,FALSE))</x:f>
        <x:v>36.388258</x:v>
      </x:c>
      <x:c r="G30">
        <x:f ca="1">IF(AND($B$1012=1,LEN($G$1037)&gt;0),$G$1037,HLOOKUP(INDIRECT(ADDRESS(2,COLUMN())),OFFSET($T$2,0,0,ROW()-1,14),ROW()-1,FALSE))</x:f>
        <x:v>-136.31896</x:v>
      </x:c>
      <x:c r="H30">
        <x:f ca="1">IF(AND($B$1012=1,LEN($H$1037)&gt;0),$H$1037,HLOOKUP(INDIRECT(ADDRESS(2,COLUMN())),OFFSET($T$2,0,0,ROW()-1,14),ROW()-1,FALSE))</x:f>
        <x:v>-167.48435000000001</x:v>
      </x:c>
      <x:c r="I30">
        <x:f ca="1">IF(AND($B$1012=1,LEN($I$1037)&gt;0),$I$1037,HLOOKUP(INDIRECT(ADDRESS(2,COLUMN())),OFFSET($T$2,0,0,ROW()-1,14),ROW()-1,FALSE))</x:f>
        <x:v>-182.87598</x:v>
      </x:c>
      <x:c r="J30">
        <x:f ca="1">IF(AND($B$1012=1,LEN($J$1037)&gt;0),$J$1037,HLOOKUP(INDIRECT(ADDRESS(2,COLUMN())),OFFSET($T$2,0,0,ROW()-1,14),ROW()-1,FALSE))</x:f>
        <x:v>27.654910000000001</x:v>
      </x:c>
      <x:c r="K30">
        <x:f ca="1">IF(AND($B$1012=1,LEN($K$1037)&gt;0),$K$1037,HLOOKUP(INDIRECT(ADDRESS(2,COLUMN())),OFFSET($T$2,0,0,ROW()-1,14),ROW()-1,FALSE))</x:f>
        <x:v>284.84854000000001</x:v>
      </x:c>
      <x:c r="L30">
        <x:f ca="1">IF(AND($B$1012=1,LEN($L$1037)&gt;0),$L$1037,HLOOKUP(INDIRECT(ADDRESS(2,COLUMN())),OFFSET($T$2,0,0,ROW()-1,14),ROW()-1,FALSE))</x:f>
        <x:v>93.970984999999999</x:v>
      </x:c>
      <x:c r="M30">
        <x:f ca="1">IF(AND($B$1012=1,LEN($M$1037)&gt;0),$M$1037,HLOOKUP(INDIRECT(ADDRESS(2,COLUMN())),OFFSET($T$2,0,0,ROW()-1,14),ROW()-1,FALSE))</x:f>
        <x:v>24.582174999999999</x:v>
      </x:c>
      <x:c r="N30">
        <x:f ca="1">IF(AND($B$1012=1,LEN($N$1037)&gt;0),$N$1037,HLOOKUP(INDIRECT(ADDRESS(2,COLUMN())),OFFSET($T$2,0,0,ROW()-1,14),ROW()-1,FALSE))</x:f>
        <x:v>257.31223499999999</x:v>
      </x:c>
      <x:c r="O30">
        <x:f ca="1">IF(AND($B$1012=1,LEN($O$1037)&gt;0),$O$1037,HLOOKUP(INDIRECT(ADDRESS(2,COLUMN())),OFFSET($T$2,0,0,ROW()-1,14),ROW()-1,FALSE))</x:f>
        <x:v>-270.01718499999998</x:v>
      </x:c>
      <x:c r="P30">
        <x:f ca="1">IF(AND($B$1012=1,LEN($P$1037)&gt;0),$P$1037,HLOOKUP(INDIRECT(ADDRESS(2,COLUMN())),OFFSET($T$2,0,0,ROW()-1,14),ROW()-1,FALSE))</x:f>
        <x:v>77.380705000000006</x:v>
      </x:c>
      <x:c r="Q30">
        <x:f ca="1">IF(AND($B$1012=1,LEN($Q$1037)&gt;0),$Q$1037,HLOOKUP(INDIRECT(ADDRESS(2,COLUMN())),OFFSET($T$2,0,0,ROW()-1,14),ROW()-1,FALSE))</x:f>
        <x:v>115.67323</x:v>
      </x:c>
      <x:c r="R30">
        <x:f ca="1">IF(AND($B$1012=1,LEN($R$1037)&gt;0),$R$1037,HLOOKUP(INDIRECT(ADDRESS(2,COLUMN())),OFFSET($T$2,0,0,ROW()-1,14),ROW()-1,FALSE))</x:f>
        <x:v>0.30639499999999997</x:v>
      </x:c>
      <x:c r="S30">
        <x:f ca="1">IF(AND($B$1012=1,LEN($S$1037)&gt;0),$S$1037,HLOOKUP(INDIRECT(ADDRESS(2,COLUMN())),OFFSET($T$2,0,0,ROW()-1,14),ROW()-1,FALSE))</x:f>
        <x:v>-126.662415</x:v>
      </x:c>
      <x:c r="T30">
        <x:f>36.388258</x:f>
        <x:v>36.388258</x:v>
      </x:c>
      <x:c r="U30">
        <x:f>-136.31896</x:f>
        <x:v>-136.31896</x:v>
      </x:c>
      <x:c r="V30">
        <x:f>-167.48435</x:f>
        <x:v>-167.48435000000001</x:v>
      </x:c>
      <x:c r="W30">
        <x:f>-182.87598</x:f>
        <x:v>-182.87598</x:v>
      </x:c>
      <x:c r="X30">
        <x:f>27.65491</x:f>
        <x:v>27.654910000000001</x:v>
      </x:c>
      <x:c r="Y30">
        <x:f>284.84854</x:f>
        <x:v>284.84854000000001</x:v>
      </x:c>
      <x:c r="Z30">
        <x:f>93.970985</x:f>
        <x:v>93.970984999999999</x:v>
      </x:c>
      <x:c r="AA30">
        <x:f>24.582175</x:f>
        <x:v>24.582174999999999</x:v>
      </x:c>
      <x:c r="AB30">
        <x:f>257.312235</x:f>
        <x:v>257.31223499999999</x:v>
      </x:c>
      <x:c r="AC30">
        <x:f>-270.017185</x:f>
        <x:v>-270.01718499999998</x:v>
      </x:c>
      <x:c r="AD30">
        <x:f>77.380705</x:f>
        <x:v>77.380705000000006</x:v>
      </x:c>
      <x:c r="AE30">
        <x:f>115.67323</x:f>
        <x:v>115.67323</x:v>
      </x:c>
      <x:c r="AF30">
        <x:f>0.306395</x:f>
        <x:v>0.30639499999999997</x:v>
      </x:c>
      <x:c r="AG30">
        <x:f>-126.662415</x:f>
        <x:v>-126.662415</x:v>
      </x:c>
    </x:row>
    <x:row r="31" spans="1:33" x14ac:dyDescent="0.25">
      <x:c r="A31" t="str">
        <x:f>"        SPDR S&amp;P Homebuilders ETF"</x:f>
        <x:v xml:space="preserve">        SPDR S&amp;P Homebuilders ETF</x:v>
      </x:c>
      <x:c r="B31" t="str">
        <x:f>"XHB US Equity"</x:f>
        <x:v>XHB US Equity</x:v>
      </x:c>
      <x:c r="E31" t="str">
        <x:f t="shared" si="1"/>
        <x:v>Expression</x:v>
      </x:c>
      <x:c r="F31">
        <x:f ca="1">IF(AND($B$1012=1,LEN($F$1038)&gt;0),$F$1038,HLOOKUP(INDIRECT(ADDRESS(2,COLUMN())),OFFSET($T$2,0,0,ROW()-1,14),ROW()-1,FALSE))</x:f>
        <x:v>114.70027399999999</x:v>
      </x:c>
      <x:c r="G31">
        <x:f ca="1">IF(AND($B$1012=1,LEN($G$1038)&gt;0),$G$1038,HLOOKUP(INDIRECT(ADDRESS(2,COLUMN())),OFFSET($T$2,0,0,ROW()-1,14),ROW()-1,FALSE))</x:f>
        <x:v>-40.300663</x:v>
      </x:c>
      <x:c r="H31">
        <x:f ca="1">IF(AND($B$1012=1,LEN($H$1038)&gt;0),$H$1038,HLOOKUP(INDIRECT(ADDRESS(2,COLUMN())),OFFSET($T$2,0,0,ROW()-1,14),ROW()-1,FALSE))</x:f>
        <x:v>-14.683935999999999</x:v>
      </x:c>
      <x:c r="I31">
        <x:f ca="1">IF(AND($B$1012=1,LEN($I$1038)&gt;0),$I$1038,HLOOKUP(INDIRECT(ADDRESS(2,COLUMN())),OFFSET($T$2,0,0,ROW()-1,14),ROW()-1,FALSE))</x:f>
        <x:v>-139.976698</x:v>
      </x:c>
      <x:c r="J31">
        <x:f ca="1">IF(AND($B$1012=1,LEN($J$1038)&gt;0),$J$1038,HLOOKUP(INDIRECT(ADDRESS(2,COLUMN())),OFFSET($T$2,0,0,ROW()-1,14),ROW()-1,FALSE))</x:f>
        <x:v>76.9148</x:v>
      </x:c>
      <x:c r="K31">
        <x:f ca="1">IF(AND($B$1012=1,LEN($K$1038)&gt;0),$K$1038,HLOOKUP(INDIRECT(ADDRESS(2,COLUMN())),OFFSET($T$2,0,0,ROW()-1,14),ROW()-1,FALSE))</x:f>
        <x:v>98.504418000000001</x:v>
      </x:c>
      <x:c r="L31">
        <x:f ca="1">IF(AND($B$1012=1,LEN($L$1038)&gt;0),$L$1038,HLOOKUP(INDIRECT(ADDRESS(2,COLUMN())),OFFSET($T$2,0,0,ROW()-1,14),ROW()-1,FALSE))</x:f>
        <x:v>185.28616099999999</x:v>
      </x:c>
      <x:c r="M31">
        <x:f ca="1">IF(AND($B$1012=1,LEN($M$1038)&gt;0),$M$1038,HLOOKUP(INDIRECT(ADDRESS(2,COLUMN())),OFFSET($T$2,0,0,ROW()-1,14),ROW()-1,FALSE))</x:f>
        <x:v>-96.621579999999994</x:v>
      </x:c>
      <x:c r="N31">
        <x:f ca="1">IF(AND($B$1012=1,LEN($N$1038)&gt;0),$N$1038,HLOOKUP(INDIRECT(ADDRESS(2,COLUMN())),OFFSET($T$2,0,0,ROW()-1,14),ROW()-1,FALSE))</x:f>
        <x:v>11.516522999999999</x:v>
      </x:c>
      <x:c r="O31">
        <x:f ca="1">IF(AND($B$1012=1,LEN($O$1038)&gt;0),$O$1038,HLOOKUP(INDIRECT(ADDRESS(2,COLUMN())),OFFSET($T$2,0,0,ROW()-1,14),ROW()-1,FALSE))</x:f>
        <x:v>3.936159</x:v>
      </x:c>
      <x:c r="P31">
        <x:f ca="1">IF(AND($B$1012=1,LEN($P$1038)&gt;0),$P$1038,HLOOKUP(INDIRECT(ADDRESS(2,COLUMN())),OFFSET($T$2,0,0,ROW()-1,14),ROW()-1,FALSE))</x:f>
        <x:v>63.115130000000001</x:v>
      </x:c>
      <x:c r="Q31">
        <x:f ca="1">IF(AND($B$1012=1,LEN($Q$1038)&gt;0),$Q$1038,HLOOKUP(INDIRECT(ADDRESS(2,COLUMN())),OFFSET($T$2,0,0,ROW()-1,14),ROW()-1,FALSE))</x:f>
        <x:v>-96.932319000000007</x:v>
      </x:c>
      <x:c r="R31">
        <x:f ca="1">IF(AND($B$1012=1,LEN($R$1038)&gt;0),$R$1038,HLOOKUP(INDIRECT(ADDRESS(2,COLUMN())),OFFSET($T$2,0,0,ROW()-1,14),ROW()-1,FALSE))</x:f>
        <x:v>-108.512989</x:v>
      </x:c>
      <x:c r="S31">
        <x:f ca="1">IF(AND($B$1012=1,LEN($S$1038)&gt;0),$S$1038,HLOOKUP(INDIRECT(ADDRESS(2,COLUMN())),OFFSET($T$2,0,0,ROW()-1,14),ROW()-1,FALSE))</x:f>
        <x:v>89.889418000000006</x:v>
      </x:c>
      <x:c r="T31">
        <x:f>114.700274</x:f>
        <x:v>114.70027399999999</x:v>
      </x:c>
      <x:c r="U31">
        <x:f>-40.300663</x:f>
        <x:v>-40.300663</x:v>
      </x:c>
      <x:c r="V31">
        <x:f>-14.683936</x:f>
        <x:v>-14.683935999999999</x:v>
      </x:c>
      <x:c r="W31">
        <x:f>-139.976698</x:f>
        <x:v>-139.976698</x:v>
      </x:c>
      <x:c r="X31">
        <x:f>76.9148</x:f>
        <x:v>76.9148</x:v>
      </x:c>
      <x:c r="Y31">
        <x:f>98.504418</x:f>
        <x:v>98.504418000000001</x:v>
      </x:c>
      <x:c r="Z31">
        <x:f>185.286161</x:f>
        <x:v>185.28616099999999</x:v>
      </x:c>
      <x:c r="AA31">
        <x:f>-96.62158</x:f>
        <x:v>-96.621579999999994</x:v>
      </x:c>
      <x:c r="AB31">
        <x:f>11.516523</x:f>
        <x:v>11.516522999999999</x:v>
      </x:c>
      <x:c r="AC31">
        <x:f>3.936159</x:f>
        <x:v>3.936159</x:v>
      </x:c>
      <x:c r="AD31">
        <x:f>63.11513</x:f>
        <x:v>63.115130000000001</x:v>
      </x:c>
      <x:c r="AE31">
        <x:f>-96.932319</x:f>
        <x:v>-96.932319000000007</x:v>
      </x:c>
      <x:c r="AF31">
        <x:f>-108.512989</x:f>
        <x:v>-108.512989</x:v>
      </x:c>
      <x:c r="AG31">
        <x:f>89.889418</x:f>
        <x:v>89.889418000000006</x:v>
      </x:c>
    </x:row>
    <x:row r="32" spans="1:33" x14ac:dyDescent="0.25">
      <x:c r="A32" t="str">
        <x:f>"        iShares US Consumer Discretion"</x:f>
        <x:v xml:space="preserve">        iShares US Consumer Discretion</x:v>
      </x:c>
      <x:c r="B32" t="str">
        <x:f>"IYC US Equity"</x:f>
        <x:v>IYC US Equity</x:v>
      </x:c>
      <x:c r="E32" t="str">
        <x:f t="shared" si="1"/>
        <x:v>Expression</x:v>
      </x:c>
      <x:c r="F32">
        <x:f ca="1">IF(AND($B$1012=1,LEN($F$1039)&gt;0),$F$1039,HLOOKUP(INDIRECT(ADDRESS(2,COLUMN())),OFFSET($T$2,0,0,ROW()-1,14),ROW()-1,FALSE))</x:f>
        <x:v>-23.730792000000001</x:v>
      </x:c>
      <x:c r="G32">
        <x:f ca="1">IF(AND($B$1012=1,LEN($G$1039)&gt;0),$G$1039,HLOOKUP(INDIRECT(ADDRESS(2,COLUMN())),OFFSET($T$2,0,0,ROW()-1,14),ROW()-1,FALSE))</x:f>
        <x:v>-0.177783</x:v>
      </x:c>
      <x:c r="H32">
        <x:f ca="1">IF(AND($B$1012=1,LEN($H$1039)&gt;0),$H$1039,HLOOKUP(INDIRECT(ADDRESS(2,COLUMN())),OFFSET($T$2,0,0,ROW()-1,14),ROW()-1,FALSE))</x:f>
        <x:v>11.551671000000001</x:v>
      </x:c>
      <x:c r="I32">
        <x:f ca="1">IF(AND($B$1012=1,LEN($I$1039)&gt;0),$I$1039,HLOOKUP(INDIRECT(ADDRESS(2,COLUMN())),OFFSET($T$2,0,0,ROW()-1,14),ROW()-1,FALSE))</x:f>
        <x:v>-10.136089999999999</x:v>
      </x:c>
      <x:c r="J32">
        <x:f ca="1">IF(AND($B$1012=1,LEN($J$1039)&gt;0),$J$1039,HLOOKUP(INDIRECT(ADDRESS(2,COLUMN())),OFFSET($T$2,0,0,ROW()-1,14),ROW()-1,FALSE))</x:f>
        <x:v>45.873925</x:v>
      </x:c>
      <x:c r="K32">
        <x:f ca="1">IF(AND($B$1012=1,LEN($K$1039)&gt;0),$K$1039,HLOOKUP(INDIRECT(ADDRESS(2,COLUMN())),OFFSET($T$2,0,0,ROW()-1,14),ROW()-1,FALSE))</x:f>
        <x:v>23.880794999999999</x:v>
      </x:c>
      <x:c r="L32">
        <x:f ca="1">IF(AND($B$1012=1,LEN($L$1039)&gt;0),$L$1039,HLOOKUP(INDIRECT(ADDRESS(2,COLUMN())),OFFSET($T$2,0,0,ROW()-1,14),ROW()-1,FALSE))</x:f>
        <x:v>-3.2375699999999998</x:v>
      </x:c>
      <x:c r="M32">
        <x:f ca="1">IF(AND($B$1012=1,LEN($M$1039)&gt;0),$M$1039,HLOOKUP(INDIRECT(ADDRESS(2,COLUMN())),OFFSET($T$2,0,0,ROW()-1,14),ROW()-1,FALSE))</x:f>
        <x:v>-19.311589999999999</x:v>
      </x:c>
      <x:c r="N32">
        <x:f ca="1">IF(AND($B$1012=1,LEN($N$1039)&gt;0),$N$1039,HLOOKUP(INDIRECT(ADDRESS(2,COLUMN())),OFFSET($T$2,0,0,ROW()-1,14),ROW()-1,FALSE))</x:f>
        <x:v>-6.2387100000000002</x:v>
      </x:c>
      <x:c r="O32">
        <x:f ca="1">IF(AND($B$1012=1,LEN($O$1039)&gt;0),$O$1039,HLOOKUP(INDIRECT(ADDRESS(2,COLUMN())),OFFSET($T$2,0,0,ROW()-1,14),ROW()-1,FALSE))</x:f>
        <x:v>21.186865000000001</x:v>
      </x:c>
      <x:c r="P32">
        <x:f ca="1">IF(AND($B$1012=1,LEN($P$1039)&gt;0),$P$1039,HLOOKUP(INDIRECT(ADDRESS(2,COLUMN())),OFFSET($T$2,0,0,ROW()-1,14),ROW()-1,FALSE))</x:f>
        <x:v>-30.709415</x:v>
      </x:c>
      <x:c r="Q32">
        <x:f ca="1">IF(AND($B$1012=1,LEN($Q$1039)&gt;0),$Q$1039,HLOOKUP(INDIRECT(ADDRESS(2,COLUMN())),OFFSET($T$2,0,0,ROW()-1,14),ROW()-1,FALSE))</x:f>
        <x:v>-2.5389599999999999</x:v>
      </x:c>
      <x:c r="R32">
        <x:f ca="1">IF(AND($B$1012=1,LEN($R$1039)&gt;0),$R$1039,HLOOKUP(INDIRECT(ADDRESS(2,COLUMN())),OFFSET($T$2,0,0,ROW()-1,14),ROW()-1,FALSE))</x:f>
        <x:v>8.8981949999999994</x:v>
      </x:c>
      <x:c r="S32">
        <x:f ca="1">IF(AND($B$1012=1,LEN($S$1039)&gt;0),$S$1039,HLOOKUP(INDIRECT(ADDRESS(2,COLUMN())),OFFSET($T$2,0,0,ROW()-1,14),ROW()-1,FALSE))</x:f>
        <x:v>5.9445750000000004</x:v>
      </x:c>
      <x:c r="T32">
        <x:f>-23.730792</x:f>
        <x:v>-23.730792000000001</x:v>
      </x:c>
      <x:c r="U32">
        <x:f>-0.177783</x:f>
        <x:v>-0.177783</x:v>
      </x:c>
      <x:c r="V32">
        <x:f>11.551671</x:f>
        <x:v>11.551671000000001</x:v>
      </x:c>
      <x:c r="W32">
        <x:f>-10.13609</x:f>
        <x:v>-10.136089999999999</x:v>
      </x:c>
      <x:c r="X32">
        <x:f>45.873925</x:f>
        <x:v>45.873925</x:v>
      </x:c>
      <x:c r="Y32">
        <x:f>23.880795</x:f>
        <x:v>23.880794999999999</x:v>
      </x:c>
      <x:c r="Z32">
        <x:f>-3.23757</x:f>
        <x:v>-3.2375699999999998</x:v>
      </x:c>
      <x:c r="AA32">
        <x:f>-19.31159</x:f>
        <x:v>-19.311589999999999</x:v>
      </x:c>
      <x:c r="AB32">
        <x:f>-6.23871</x:f>
        <x:v>-6.2387100000000002</x:v>
      </x:c>
      <x:c r="AC32">
        <x:f>21.186865</x:f>
        <x:v>21.186865000000001</x:v>
      </x:c>
      <x:c r="AD32">
        <x:f>-30.709415</x:f>
        <x:v>-30.709415</x:v>
      </x:c>
      <x:c r="AE32">
        <x:f>-2.53896</x:f>
        <x:v>-2.5389599999999999</x:v>
      </x:c>
      <x:c r="AF32">
        <x:f>8.898195</x:f>
        <x:v>8.8981949999999994</x:v>
      </x:c>
      <x:c r="AG32">
        <x:f>5.944575</x:f>
        <x:v>5.9445750000000004</x:v>
      </x:c>
    </x:row>
    <x:row r="33" spans="1:33" x14ac:dyDescent="0.25">
      <x:c r="A33" t="str">
        <x:f>"        First Trust Consumer Discretio"</x:f>
        <x:v xml:space="preserve">        First Trust Consumer Discretio</x:v>
      </x:c>
      <x:c r="B33" t="str">
        <x:f>"FXD US Equity"</x:f>
        <x:v>FXD US Equity</x:v>
      </x:c>
      <x:c r="E33" t="str">
        <x:f t="shared" si="1"/>
        <x:v>Expression</x:v>
      </x:c>
      <x:c r="F33">
        <x:f ca="1">IF(AND($B$1012=1,LEN($F$1040)&gt;0),$F$1040,HLOOKUP(INDIRECT(ADDRESS(2,COLUMN())),OFFSET($T$2,0,0,ROW()-1,14),ROW()-1,FALSE))</x:f>
        <x:v>-53.651245000000003</x:v>
      </x:c>
      <x:c r="G33">
        <x:f ca="1">IF(AND($B$1012=1,LEN($G$1040)&gt;0),$G$1040,HLOOKUP(INDIRECT(ADDRESS(2,COLUMN())),OFFSET($T$2,0,0,ROW()-1,14),ROW()-1,FALSE))</x:f>
        <x:v>-78.798631</x:v>
      </x:c>
      <x:c r="H33">
        <x:f ca="1">IF(AND($B$1012=1,LEN($H$1040)&gt;0),$H$1040,HLOOKUP(INDIRECT(ADDRESS(2,COLUMN())),OFFSET($T$2,0,0,ROW()-1,14),ROW()-1,FALSE))</x:f>
        <x:v>5.5945980000000004</x:v>
      </x:c>
      <x:c r="I33">
        <x:f ca="1">IF(AND($B$1012=1,LEN($I$1040)&gt;0),$I$1040,HLOOKUP(INDIRECT(ADDRESS(2,COLUMN())),OFFSET($T$2,0,0,ROW()-1,14),ROW()-1,FALSE))</x:f>
        <x:v>27.82602</x:v>
      </x:c>
      <x:c r="J33">
        <x:f ca="1">IF(AND($B$1012=1,LEN($J$1040)&gt;0),$J$1040,HLOOKUP(INDIRECT(ADDRESS(2,COLUMN())),OFFSET($T$2,0,0,ROW()-1,14),ROW()-1,FALSE))</x:f>
        <x:v>37.134999999999998</x:v>
      </x:c>
      <x:c r="K33">
        <x:f ca="1">IF(AND($B$1012=1,LEN($K$1040)&gt;0),$K$1040,HLOOKUP(INDIRECT(ADDRESS(2,COLUMN())),OFFSET($T$2,0,0,ROW()-1,14),ROW()-1,FALSE))</x:f>
        <x:v>59.784999999999997</x:v>
      </x:c>
      <x:c r="L33">
        <x:f ca="1">IF(AND($B$1012=1,LEN($L$1040)&gt;0),$L$1040,HLOOKUP(INDIRECT(ADDRESS(2,COLUMN())),OFFSET($T$2,0,0,ROW()-1,14),ROW()-1,FALSE))</x:f>
        <x:v>-8.7499999999999994E-2</x:v>
      </x:c>
      <x:c r="M33">
        <x:f ca="1">IF(AND($B$1012=1,LEN($M$1040)&gt;0),$M$1040,HLOOKUP(INDIRECT(ADDRESS(2,COLUMN())),OFFSET($T$2,0,0,ROW()-1,14),ROW()-1,FALSE))</x:f>
        <x:v>30.593499999999999</x:v>
      </x:c>
      <x:c r="N33">
        <x:f ca="1">IF(AND($B$1012=1,LEN($N$1040)&gt;0),$N$1040,HLOOKUP(INDIRECT(ADDRESS(2,COLUMN())),OFFSET($T$2,0,0,ROW()-1,14),ROW()-1,FALSE))</x:f>
        <x:v>823.61400000000003</x:v>
      </x:c>
      <x:c r="O33">
        <x:f ca="1">IF(AND($B$1012=1,LEN($O$1040)&gt;0),$O$1040,HLOOKUP(INDIRECT(ADDRESS(2,COLUMN())),OFFSET($T$2,0,0,ROW()-1,14),ROW()-1,FALSE))</x:f>
        <x:v>40.177500000000002</x:v>
      </x:c>
      <x:c r="P33">
        <x:f ca="1">IF(AND($B$1012=1,LEN($P$1040)&gt;0),$P$1040,HLOOKUP(INDIRECT(ADDRESS(2,COLUMN())),OFFSET($T$2,0,0,ROW()-1,14),ROW()-1,FALSE))</x:f>
        <x:v>-5.335</x:v>
      </x:c>
      <x:c r="Q33">
        <x:f ca="1">IF(AND($B$1012=1,LEN($Q$1040)&gt;0),$Q$1040,HLOOKUP(INDIRECT(ADDRESS(2,COLUMN())),OFFSET($T$2,0,0,ROW()-1,14),ROW()-1,FALSE))</x:f>
        <x:v>-16.966377999999999</x:v>
      </x:c>
      <x:c r="R33">
        <x:f ca="1">IF(AND($B$1012=1,LEN($R$1040)&gt;0),$R$1040,HLOOKUP(INDIRECT(ADDRESS(2,COLUMN())),OFFSET($T$2,0,0,ROW()-1,14),ROW()-1,FALSE))</x:f>
        <x:v>-14.570415000000001</x:v>
      </x:c>
      <x:c r="S33">
        <x:f ca="1">IF(AND($B$1012=1,LEN($S$1040)&gt;0),$S$1040,HLOOKUP(INDIRECT(ADDRESS(2,COLUMN())),OFFSET($T$2,0,0,ROW()-1,14),ROW()-1,FALSE))</x:f>
        <x:v>-20.666592999999999</x:v>
      </x:c>
      <x:c r="T33">
        <x:f>-53.651245</x:f>
        <x:v>-53.651245000000003</x:v>
      </x:c>
      <x:c r="U33">
        <x:f>-78.798631</x:f>
        <x:v>-78.798631</x:v>
      </x:c>
      <x:c r="V33">
        <x:f>5.594598</x:f>
        <x:v>5.5945980000000004</x:v>
      </x:c>
      <x:c r="W33">
        <x:f>27.82602</x:f>
        <x:v>27.82602</x:v>
      </x:c>
      <x:c r="X33">
        <x:f>37.135</x:f>
        <x:v>37.134999999999998</x:v>
      </x:c>
      <x:c r="Y33">
        <x:f>59.785</x:f>
        <x:v>59.784999999999997</x:v>
      </x:c>
      <x:c r="Z33">
        <x:f>-0.0875</x:f>
        <x:v>-8.7499999999999994E-2</x:v>
      </x:c>
      <x:c r="AA33">
        <x:f>30.5935</x:f>
        <x:v>30.593499999999999</x:v>
      </x:c>
      <x:c r="AB33">
        <x:f>823.614</x:f>
        <x:v>823.61400000000003</x:v>
      </x:c>
      <x:c r="AC33">
        <x:f>40.1775</x:f>
        <x:v>40.177500000000002</x:v>
      </x:c>
      <x:c r="AD33">
        <x:f>-5.335</x:f>
        <x:v>-5.335</x:v>
      </x:c>
      <x:c r="AE33">
        <x:f>-16.966378</x:f>
        <x:v>-16.966377999999999</x:v>
      </x:c>
      <x:c r="AF33">
        <x:f>-14.570415</x:f>
        <x:v>-14.570415000000001</x:v>
      </x:c>
      <x:c r="AG33">
        <x:f>-20.666593</x:f>
        <x:v>-20.666592999999999</x:v>
      </x:c>
    </x:row>
    <x:row r="34" spans="1:33" x14ac:dyDescent="0.25">
      <x:c r="A34" t="str">
        <x:f>"        ETRACS Monthly Reset 2xLeverag"</x:f>
        <x:v xml:space="preserve">        ETRACS Monthly Reset 2xLeverag</x:v>
      </x:c>
      <x:c r="B34" t="str">
        <x:f>"HOML US Equity"</x:f>
        <x:v>HOML US Equity</x:v>
      </x:c>
      <x:c r="E34" t="str">
        <x:f t="shared" si="1"/>
        <x:v>Expression</x:v>
      </x:c>
      <x:c r="F34" t="str">
        <x:f ca="1">IF(AND($B$1012=1,LEN($F$1041)&gt;0),$F$1041,HLOOKUP(INDIRECT(ADDRESS(2,COLUMN())),OFFSET($T$2,0,0,ROW()-1,14),ROW()-1,FALSE))</x:f>
        <x:v/>
      </x:c>
      <x:c r="G34" t="str">
        <x:f ca="1">IF(AND($B$1012=1,LEN($G$1041)&gt;0),$G$1041,HLOOKUP(INDIRECT(ADDRESS(2,COLUMN())),OFFSET($T$2,0,0,ROW()-1,14),ROW()-1,FALSE))</x:f>
        <x:v/>
      </x:c>
      <x:c r="H34" t="str">
        <x:f ca="1">IF(AND($B$1012=1,LEN($H$1041)&gt;0),$H$1041,HLOOKUP(INDIRECT(ADDRESS(2,COLUMN())),OFFSET($T$2,0,0,ROW()-1,14),ROW()-1,FALSE))</x:f>
        <x:v/>
      </x:c>
      <x:c r="I34" t="str">
        <x:f ca="1">IF(AND($B$1012=1,LEN($I$1041)&gt;0),$I$1041,HLOOKUP(INDIRECT(ADDRESS(2,COLUMN())),OFFSET($T$2,0,0,ROW()-1,14),ROW()-1,FALSE))</x:f>
        <x:v/>
      </x:c>
      <x:c r="J34" t="str">
        <x:f ca="1">IF(AND($B$1012=1,LEN($J$1041)&gt;0),$J$1041,HLOOKUP(INDIRECT(ADDRESS(2,COLUMN())),OFFSET($T$2,0,0,ROW()-1,14),ROW()-1,FALSE))</x:f>
        <x:v/>
      </x:c>
      <x:c r="K34" t="str">
        <x:f ca="1">IF(AND($B$1012=1,LEN($K$1041)&gt;0),$K$1041,HLOOKUP(INDIRECT(ADDRESS(2,COLUMN())),OFFSET($T$2,0,0,ROW()-1,14),ROW()-1,FALSE))</x:f>
        <x:v/>
      </x:c>
      <x:c r="L34" t="str">
        <x:f ca="1">IF(AND($B$1012=1,LEN($L$1041)&gt;0),$L$1041,HLOOKUP(INDIRECT(ADDRESS(2,COLUMN())),OFFSET($T$2,0,0,ROW()-1,14),ROW()-1,FALSE))</x:f>
        <x:v/>
      </x:c>
      <x:c r="M34" t="str">
        <x:f ca="1">IF(AND($B$1012=1,LEN($M$1041)&gt;0),$M$1041,HLOOKUP(INDIRECT(ADDRESS(2,COLUMN())),OFFSET($T$2,0,0,ROW()-1,14),ROW()-1,FALSE))</x:f>
        <x:v/>
      </x:c>
      <x:c r="N34" t="str">
        <x:f ca="1">IF(AND($B$1012=1,LEN($N$1041)&gt;0),$N$1041,HLOOKUP(INDIRECT(ADDRESS(2,COLUMN())),OFFSET($T$2,0,0,ROW()-1,14),ROW()-1,FALSE))</x:f>
        <x:v/>
      </x:c>
      <x:c r="O34" t="str">
        <x:f ca="1">IF(AND($B$1012=1,LEN($O$1041)&gt;0),$O$1041,HLOOKUP(INDIRECT(ADDRESS(2,COLUMN())),OFFSET($T$2,0,0,ROW()-1,14),ROW()-1,FALSE))</x:f>
        <x:v/>
      </x:c>
      <x:c r="P34" t="str">
        <x:f ca="1">IF(AND($B$1012=1,LEN($P$1041)&gt;0),$P$1041,HLOOKUP(INDIRECT(ADDRESS(2,COLUMN())),OFFSET($T$2,0,0,ROW()-1,14),ROW()-1,FALSE))</x:f>
        <x:v/>
      </x:c>
      <x:c r="Q34" t="str">
        <x:f ca="1">IF(AND($B$1012=1,LEN($Q$1041)&gt;0),$Q$1041,HLOOKUP(INDIRECT(ADDRESS(2,COLUMN())),OFFSET($T$2,0,0,ROW()-1,14),ROW()-1,FALSE))</x:f>
        <x:v/>
      </x:c>
      <x:c r="R34" t="str">
        <x:f ca="1">IF(AND($B$1012=1,LEN($R$1041)&gt;0),$R$1041,HLOOKUP(INDIRECT(ADDRESS(2,COLUMN())),OFFSET($T$2,0,0,ROW()-1,14),ROW()-1,FALSE))</x:f>
        <x:v/>
      </x:c>
      <x:c r="S34" t="str">
        <x:f ca="1">IF(AND($B$1012=1,LEN($S$1041)&gt;0),$S$1041,HLOOKUP(INDIRECT(ADDRESS(2,COLUMN())),OFFSET($T$2,0,0,ROW()-1,14),ROW()-1,FALSE))</x:f>
        <x:v/>
      </x:c>
      <x:c r="T34" t="str">
        <x:f>""</x:f>
        <x:v/>
      </x:c>
      <x:c r="U34" t="str">
        <x:f>""</x:f>
        <x:v/>
      </x:c>
      <x:c r="V34" t="str">
        <x:f>""</x:f>
        <x:v/>
      </x:c>
      <x:c r="W34" t="str">
        <x:f>""</x:f>
        <x:v/>
      </x:c>
      <x:c r="X34" t="str">
        <x:f>""</x:f>
        <x:v/>
      </x:c>
      <x:c r="Y34" t="str">
        <x:f>""</x:f>
        <x:v/>
      </x:c>
      <x:c r="Z34" t="str">
        <x:f>""</x:f>
        <x:v/>
      </x:c>
      <x:c r="AA34" t="str">
        <x:f>""</x:f>
        <x:v/>
      </x:c>
      <x:c r="AB34" t="str">
        <x:f>""</x:f>
        <x:v/>
      </x:c>
      <x:c r="AC34" t="str">
        <x:f>""</x:f>
        <x:v/>
      </x:c>
      <x:c r="AD34" t="str">
        <x:f>""</x:f>
        <x:v/>
      </x:c>
      <x:c r="AE34" t="str">
        <x:f>""</x:f>
        <x:v/>
      </x:c>
      <x:c r="AF34" t="str">
        <x:f>""</x:f>
        <x:v/>
      </x:c>
      <x:c r="AG34" t="str">
        <x:f>""</x:f>
        <x:v/>
      </x:c>
    </x:row>
    <x:row r="35" spans="1:33" x14ac:dyDescent="0.25">
      <x:c r="A35" t="str">
        <x:f>"        SPDR S&amp;P Retail ETF"</x:f>
        <x:v xml:space="preserve">        SPDR S&amp;P Retail ETF</x:v>
      </x:c>
      <x:c r="B35" t="str">
        <x:f>"XRT US Equity"</x:f>
        <x:v>XRT US Equity</x:v>
      </x:c>
      <x:c r="E35" t="str">
        <x:f t="shared" si="1"/>
        <x:v>Expression</x:v>
      </x:c>
      <x:c r="F35">
        <x:f ca="1">IF(AND($B$1012=1,LEN($F$1042)&gt;0),$F$1042,HLOOKUP(INDIRECT(ADDRESS(2,COLUMN())),OFFSET($T$2,0,0,ROW()-1,14),ROW()-1,FALSE))</x:f>
        <x:v>226.857617</x:v>
      </x:c>
      <x:c r="G35">
        <x:f ca="1">IF(AND($B$1012=1,LEN($G$1042)&gt;0),$G$1042,HLOOKUP(INDIRECT(ADDRESS(2,COLUMN())),OFFSET($T$2,0,0,ROW()-1,14),ROW()-1,FALSE))</x:f>
        <x:v>-53.202739999999999</x:v>
      </x:c>
      <x:c r="H35">
        <x:f ca="1">IF(AND($B$1012=1,LEN($H$1042)&gt;0),$H$1042,HLOOKUP(INDIRECT(ADDRESS(2,COLUMN())),OFFSET($T$2,0,0,ROW()-1,14),ROW()-1,FALSE))</x:f>
        <x:v>4.9252399999999996</x:v>
      </x:c>
      <x:c r="I35">
        <x:f ca="1">IF(AND($B$1012=1,LEN($I$1042)&gt;0),$I$1042,HLOOKUP(INDIRECT(ADDRESS(2,COLUMN())),OFFSET($T$2,0,0,ROW()-1,14),ROW()-1,FALSE))</x:f>
        <x:v>-56.061323000000002</x:v>
      </x:c>
      <x:c r="J35">
        <x:f ca="1">IF(AND($B$1012=1,LEN($J$1042)&gt;0),$J$1042,HLOOKUP(INDIRECT(ADDRESS(2,COLUMN())),OFFSET($T$2,0,0,ROW()-1,14),ROW()-1,FALSE))</x:f>
        <x:v>-29.674424999999999</x:v>
      </x:c>
      <x:c r="K35">
        <x:f ca="1">IF(AND($B$1012=1,LEN($K$1042)&gt;0),$K$1042,HLOOKUP(INDIRECT(ADDRESS(2,COLUMN())),OFFSET($T$2,0,0,ROW()-1,14),ROW()-1,FALSE))</x:f>
        <x:v>124.62820000000001</x:v>
      </x:c>
      <x:c r="L35">
        <x:f ca="1">IF(AND($B$1012=1,LEN($L$1042)&gt;0),$L$1042,HLOOKUP(INDIRECT(ADDRESS(2,COLUMN())),OFFSET($T$2,0,0,ROW()-1,14),ROW()-1,FALSE))</x:f>
        <x:v>-74.982178000000005</x:v>
      </x:c>
      <x:c r="M35">
        <x:f ca="1">IF(AND($B$1012=1,LEN($M$1042)&gt;0),$M$1042,HLOOKUP(INDIRECT(ADDRESS(2,COLUMN())),OFFSET($T$2,0,0,ROW()-1,14),ROW()-1,FALSE))</x:f>
        <x:v>-33.859282</x:v>
      </x:c>
      <x:c r="N35">
        <x:f ca="1">IF(AND($B$1012=1,LEN($N$1042)&gt;0),$N$1042,HLOOKUP(INDIRECT(ADDRESS(2,COLUMN())),OFFSET($T$2,0,0,ROW()-1,14),ROW()-1,FALSE))</x:f>
        <x:v>83.434726999999995</x:v>
      </x:c>
      <x:c r="O35">
        <x:f ca="1">IF(AND($B$1012=1,LEN($O$1042)&gt;0),$O$1042,HLOOKUP(INDIRECT(ADDRESS(2,COLUMN())),OFFSET($T$2,0,0,ROW()-1,14),ROW()-1,FALSE))</x:f>
        <x:v>35.100901999999998</x:v>
      </x:c>
      <x:c r="P35">
        <x:f ca="1">IF(AND($B$1012=1,LEN($P$1042)&gt;0),$P$1042,HLOOKUP(INDIRECT(ADDRESS(2,COLUMN())),OFFSET($T$2,0,0,ROW()-1,14),ROW()-1,FALSE))</x:f>
        <x:v>41.807827000000003</x:v>
      </x:c>
      <x:c r="Q35">
        <x:f ca="1">IF(AND($B$1012=1,LEN($Q$1042)&gt;0),$Q$1042,HLOOKUP(INDIRECT(ADDRESS(2,COLUMN())),OFFSET($T$2,0,0,ROW()-1,14),ROW()-1,FALSE))</x:f>
        <x:v>-355.08657499999998</x:v>
      </x:c>
      <x:c r="R35">
        <x:f ca="1">IF(AND($B$1012=1,LEN($R$1042)&gt;0),$R$1042,HLOOKUP(INDIRECT(ADDRESS(2,COLUMN())),OFFSET($T$2,0,0,ROW()-1,14),ROW()-1,FALSE))</x:f>
        <x:v>228.589887</x:v>
      </x:c>
      <x:c r="S35">
        <x:f ca="1">IF(AND($B$1012=1,LEN($S$1042)&gt;0),$S$1042,HLOOKUP(INDIRECT(ADDRESS(2,COLUMN())),OFFSET($T$2,0,0,ROW()-1,14),ROW()-1,FALSE))</x:f>
        <x:v>152.35579200000001</x:v>
      </x:c>
      <x:c r="T35">
        <x:f>226.857617</x:f>
        <x:v>226.857617</x:v>
      </x:c>
      <x:c r="U35">
        <x:f>-53.20274</x:f>
        <x:v>-53.202739999999999</x:v>
      </x:c>
      <x:c r="V35">
        <x:f>4.92524</x:f>
        <x:v>4.9252399999999996</x:v>
      </x:c>
      <x:c r="W35">
        <x:f>-56.061323</x:f>
        <x:v>-56.061323000000002</x:v>
      </x:c>
      <x:c r="X35">
        <x:f>-29.674425</x:f>
        <x:v>-29.674424999999999</x:v>
      </x:c>
      <x:c r="Y35">
        <x:f>124.6282</x:f>
        <x:v>124.62820000000001</x:v>
      </x:c>
      <x:c r="Z35">
        <x:f>-74.982178</x:f>
        <x:v>-74.982178000000005</x:v>
      </x:c>
      <x:c r="AA35">
        <x:f>-33.859282</x:f>
        <x:v>-33.859282</x:v>
      </x:c>
      <x:c r="AB35">
        <x:f>83.434727</x:f>
        <x:v>83.434726999999995</x:v>
      </x:c>
      <x:c r="AC35">
        <x:f>35.100902</x:f>
        <x:v>35.100901999999998</x:v>
      </x:c>
      <x:c r="AD35">
        <x:f>41.807827</x:f>
        <x:v>41.807827000000003</x:v>
      </x:c>
      <x:c r="AE35">
        <x:f>-355.086575</x:f>
        <x:v>-355.08657499999998</x:v>
      </x:c>
      <x:c r="AF35">
        <x:f>228.589887</x:f>
        <x:v>228.589887</x:v>
      </x:c>
      <x:c r="AG35">
        <x:f>152.355792</x:f>
        <x:v>152.35579200000001</x:v>
      </x:c>
    </x:row>
    <x:row r="36" spans="1:33" x14ac:dyDescent="0.25">
      <x:c r="A36" t="str">
        <x:f>"        Invesco Dynamic Building &amp; Con"</x:f>
        <x:v xml:space="preserve">        Invesco Dynamic Building &amp; Con</x:v>
      </x:c>
      <x:c r="B36" t="str">
        <x:f>"PKB US Equity"</x:f>
        <x:v>PKB US Equity</x:v>
      </x:c>
      <x:c r="E36" t="str">
        <x:f t="shared" si="1"/>
        <x:v>Expression</x:v>
      </x:c>
      <x:c r="F36">
        <x:f ca="1">IF(AND($B$1012=1,LEN($F$1043)&gt;0),$F$1043,HLOOKUP(INDIRECT(ADDRESS(2,COLUMN())),OFFSET($T$2,0,0,ROW()-1,14),ROW()-1,FALSE))</x:f>
        <x:v>-1.541158</x:v>
      </x:c>
      <x:c r="G36">
        <x:f ca="1">IF(AND($B$1012=1,LEN($G$1043)&gt;0),$G$1043,HLOOKUP(INDIRECT(ADDRESS(2,COLUMN())),OFFSET($T$2,0,0,ROW()-1,14),ROW()-1,FALSE))</x:f>
        <x:v>-12.665741000000001</x:v>
      </x:c>
      <x:c r="H36">
        <x:f ca="1">IF(AND($B$1012=1,LEN($H$1043)&gt;0),$H$1043,HLOOKUP(INDIRECT(ADDRESS(2,COLUMN())),OFFSET($T$2,0,0,ROW()-1,14),ROW()-1,FALSE))</x:f>
        <x:v>-25.700094</x:v>
      </x:c>
      <x:c r="I36">
        <x:f ca="1">IF(AND($B$1012=1,LEN($I$1043)&gt;0),$I$1043,HLOOKUP(INDIRECT(ADDRESS(2,COLUMN())),OFFSET($T$2,0,0,ROW()-1,14),ROW()-1,FALSE))</x:f>
        <x:v>18.179748</x:v>
      </x:c>
      <x:c r="J36">
        <x:f ca="1">IF(AND($B$1012=1,LEN($J$1043)&gt;0),$J$1043,HLOOKUP(INDIRECT(ADDRESS(2,COLUMN())),OFFSET($T$2,0,0,ROW()-1,14),ROW()-1,FALSE))</x:f>
        <x:v>14.065690999999999</x:v>
      </x:c>
      <x:c r="K36">
        <x:f ca="1">IF(AND($B$1012=1,LEN($K$1043)&gt;0),$K$1043,HLOOKUP(INDIRECT(ADDRESS(2,COLUMN())),OFFSET($T$2,0,0,ROW()-1,14),ROW()-1,FALSE))</x:f>
        <x:v>1.979223</x:v>
      </x:c>
      <x:c r="L36">
        <x:f ca="1">IF(AND($B$1012=1,LEN($L$1043)&gt;0),$L$1043,HLOOKUP(INDIRECT(ADDRESS(2,COLUMN())),OFFSET($T$2,0,0,ROW()-1,14),ROW()-1,FALSE))</x:f>
        <x:v>15.821191000000001</x:v>
      </x:c>
      <x:c r="M36">
        <x:f ca="1">IF(AND($B$1012=1,LEN($M$1043)&gt;0),$M$1043,HLOOKUP(INDIRECT(ADDRESS(2,COLUMN())),OFFSET($T$2,0,0,ROW()-1,14),ROW()-1,FALSE))</x:f>
        <x:v>7.0478430000000003</x:v>
      </x:c>
      <x:c r="N36">
        <x:f ca="1">IF(AND($B$1012=1,LEN($N$1043)&gt;0),$N$1043,HLOOKUP(INDIRECT(ADDRESS(2,COLUMN())),OFFSET($T$2,0,0,ROW()-1,14),ROW()-1,FALSE))</x:f>
        <x:v>6.8287589999999998</x:v>
      </x:c>
      <x:c r="O36">
        <x:f ca="1">IF(AND($B$1012=1,LEN($O$1043)&gt;0),$O$1043,HLOOKUP(INDIRECT(ADDRESS(2,COLUMN())),OFFSET($T$2,0,0,ROW()-1,14),ROW()-1,FALSE))</x:f>
        <x:v>46.431742999999997</x:v>
      </x:c>
      <x:c r="P36">
        <x:f ca="1">IF(AND($B$1012=1,LEN($P$1043)&gt;0),$P$1043,HLOOKUP(INDIRECT(ADDRESS(2,COLUMN())),OFFSET($T$2,0,0,ROW()-1,14),ROW()-1,FALSE))</x:f>
        <x:v>-1.714942</x:v>
      </x:c>
      <x:c r="Q36">
        <x:f ca="1">IF(AND($B$1012=1,LEN($Q$1043)&gt;0),$Q$1043,HLOOKUP(INDIRECT(ADDRESS(2,COLUMN())),OFFSET($T$2,0,0,ROW()-1,14),ROW()-1,FALSE))</x:f>
        <x:v>-2.917125</x:v>
      </x:c>
      <x:c r="R36">
        <x:f ca="1">IF(AND($B$1012=1,LEN($R$1043)&gt;0),$R$1043,HLOOKUP(INDIRECT(ADDRESS(2,COLUMN())),OFFSET($T$2,0,0,ROW()-1,14),ROW()-1,FALSE))</x:f>
        <x:v>-4.8781800000000004</x:v>
      </x:c>
      <x:c r="S36">
        <x:f ca="1">IF(AND($B$1012=1,LEN($S$1043)&gt;0),$S$1043,HLOOKUP(INDIRECT(ADDRESS(2,COLUMN())),OFFSET($T$2,0,0,ROW()-1,14),ROW()-1,FALSE))</x:f>
        <x:v>-3.4782259999999998</x:v>
      </x:c>
      <x:c r="T36">
        <x:f>-1.541158</x:f>
        <x:v>-1.541158</x:v>
      </x:c>
      <x:c r="U36">
        <x:f>-12.665741</x:f>
        <x:v>-12.665741000000001</x:v>
      </x:c>
      <x:c r="V36">
        <x:f>-25.700094</x:f>
        <x:v>-25.700094</x:v>
      </x:c>
      <x:c r="W36">
        <x:f>18.179748</x:f>
        <x:v>18.179748</x:v>
      </x:c>
      <x:c r="X36">
        <x:f>14.065691</x:f>
        <x:v>14.065690999999999</x:v>
      </x:c>
      <x:c r="Y36">
        <x:f>1.979223</x:f>
        <x:v>1.979223</x:v>
      </x:c>
      <x:c r="Z36">
        <x:f>15.821191</x:f>
        <x:v>15.821191000000001</x:v>
      </x:c>
      <x:c r="AA36">
        <x:f>7.047843</x:f>
        <x:v>7.0478430000000003</x:v>
      </x:c>
      <x:c r="AB36">
        <x:f>6.828759</x:f>
        <x:v>6.8287589999999998</x:v>
      </x:c>
      <x:c r="AC36">
        <x:f>46.431743</x:f>
        <x:v>46.431742999999997</x:v>
      </x:c>
      <x:c r="AD36">
        <x:f>-1.714942</x:f>
        <x:v>-1.714942</x:v>
      </x:c>
      <x:c r="AE36">
        <x:f>-2.917125</x:f>
        <x:v>-2.917125</x:v>
      </x:c>
      <x:c r="AF36">
        <x:f>-4.87818</x:f>
        <x:v>-4.8781800000000004</x:v>
      </x:c>
      <x:c r="AG36">
        <x:f>-3.478226</x:f>
        <x:v>-3.4782259999999998</x:v>
      </x:c>
    </x:row>
    <x:row r="37" spans="1:33" x14ac:dyDescent="0.25">
      <x:c r="A37" t="str">
        <x:f>"        Fidelity MSCI Consumer Discret"</x:f>
        <x:v xml:space="preserve">        Fidelity MSCI Consumer Discret</x:v>
      </x:c>
      <x:c r="B37" t="str">
        <x:f>"FDIS US Equity"</x:f>
        <x:v>FDIS US Equity</x:v>
      </x:c>
      <x:c r="E37" t="str">
        <x:f t="shared" si="1"/>
        <x:v>Expression</x:v>
      </x:c>
      <x:c r="F37">
        <x:f ca="1">IF(AND($B$1012=1,LEN($F$1044)&gt;0),$F$1044,HLOOKUP(INDIRECT(ADDRESS(2,COLUMN())),OFFSET($T$2,0,0,ROW()-1,14),ROW()-1,FALSE))</x:f>
        <x:v>-3.49525</x:v>
      </x:c>
      <x:c r="G37">
        <x:f ca="1">IF(AND($B$1012=1,LEN($G$1044)&gt;0),$G$1044,HLOOKUP(INDIRECT(ADDRESS(2,COLUMN())),OFFSET($T$2,0,0,ROW()-1,14),ROW()-1,FALSE))</x:f>
        <x:v>3.4907650000000001</x:v>
      </x:c>
      <x:c r="H37">
        <x:f ca="1">IF(AND($B$1012=1,LEN($H$1044)&gt;0),$H$1044,HLOOKUP(INDIRECT(ADDRESS(2,COLUMN())),OFFSET($T$2,0,0,ROW()-1,14),ROW()-1,FALSE))</x:f>
        <x:v>-7.8232549999999996</x:v>
      </x:c>
      <x:c r="I37">
        <x:f ca="1">IF(AND($B$1012=1,LEN($I$1044)&gt;0),$I$1044,HLOOKUP(INDIRECT(ADDRESS(2,COLUMN())),OFFSET($T$2,0,0,ROW()-1,14),ROW()-1,FALSE))</x:f>
        <x:v>-17.80527</x:v>
      </x:c>
      <x:c r="J37">
        <x:f ca="1">IF(AND($B$1012=1,LEN($J$1044)&gt;0),$J$1044,HLOOKUP(INDIRECT(ADDRESS(2,COLUMN())),OFFSET($T$2,0,0,ROW()-1,14),ROW()-1,FALSE))</x:f>
        <x:v>15.028795000000001</x:v>
      </x:c>
      <x:c r="K37">
        <x:f ca="1">IF(AND($B$1012=1,LEN($K$1044)&gt;0),$K$1044,HLOOKUP(INDIRECT(ADDRESS(2,COLUMN())),OFFSET($T$2,0,0,ROW()-1,14),ROW()-1,FALSE))</x:f>
        <x:v>17.933634999999999</x:v>
      </x:c>
      <x:c r="L37">
        <x:f ca="1">IF(AND($B$1012=1,LEN($L$1044)&gt;0),$L$1044,HLOOKUP(INDIRECT(ADDRESS(2,COLUMN())),OFFSET($T$2,0,0,ROW()-1,14),ROW()-1,FALSE))</x:f>
        <x:v>-3.2417250000000002</x:v>
      </x:c>
      <x:c r="M37">
        <x:f ca="1">IF(AND($B$1012=1,LEN($M$1044)&gt;0),$M$1044,HLOOKUP(INDIRECT(ADDRESS(2,COLUMN())),OFFSET($T$2,0,0,ROW()-1,14),ROW()-1,FALSE))</x:f>
        <x:v>16.207975000000001</x:v>
      </x:c>
      <x:c r="N37">
        <x:f ca="1">IF(AND($B$1012=1,LEN($N$1044)&gt;0),$N$1044,HLOOKUP(INDIRECT(ADDRESS(2,COLUMN())),OFFSET($T$2,0,0,ROW()-1,14),ROW()-1,FALSE))</x:f>
        <x:v>21.73263</x:v>
      </x:c>
      <x:c r="O37">
        <x:f ca="1">IF(AND($B$1012=1,LEN($O$1044)&gt;0),$O$1044,HLOOKUP(INDIRECT(ADDRESS(2,COLUMN())),OFFSET($T$2,0,0,ROW()-1,14),ROW()-1,FALSE))</x:f>
        <x:v>0.15348000000000001</x:v>
      </x:c>
      <x:c r="P37">
        <x:f ca="1">IF(AND($B$1012=1,LEN($P$1044)&gt;0),$P$1044,HLOOKUP(INDIRECT(ADDRESS(2,COLUMN())),OFFSET($T$2,0,0,ROW()-1,14),ROW()-1,FALSE))</x:f>
        <x:v>-17.971299999999999</x:v>
      </x:c>
      <x:c r="Q37">
        <x:f ca="1">IF(AND($B$1012=1,LEN($Q$1044)&gt;0),$Q$1044,HLOOKUP(INDIRECT(ADDRESS(2,COLUMN())),OFFSET($T$2,0,0,ROW()-1,14),ROW()-1,FALSE))</x:f>
        <x:v>-5.8042749999999996</x:v>
      </x:c>
      <x:c r="R37">
        <x:f ca="1">IF(AND($B$1012=1,LEN($R$1044)&gt;0),$R$1044,HLOOKUP(INDIRECT(ADDRESS(2,COLUMN())),OFFSET($T$2,0,0,ROW()-1,14),ROW()-1,FALSE))</x:f>
        <x:v>-2.96706</x:v>
      </x:c>
      <x:c r="S37">
        <x:f ca="1">IF(AND($B$1012=1,LEN($S$1044)&gt;0),$S$1044,HLOOKUP(INDIRECT(ADDRESS(2,COLUMN())),OFFSET($T$2,0,0,ROW()-1,14),ROW()-1,FALSE))</x:f>
        <x:v>-15.560174999999999</x:v>
      </x:c>
      <x:c r="T37">
        <x:f>-3.49525</x:f>
        <x:v>-3.49525</x:v>
      </x:c>
      <x:c r="U37">
        <x:f>3.490765</x:f>
        <x:v>3.4907650000000001</x:v>
      </x:c>
      <x:c r="V37">
        <x:f>-7.823255</x:f>
        <x:v>-7.8232549999999996</x:v>
      </x:c>
      <x:c r="W37">
        <x:f>-17.80527</x:f>
        <x:v>-17.80527</x:v>
      </x:c>
      <x:c r="X37">
        <x:f>15.028795</x:f>
        <x:v>15.028795000000001</x:v>
      </x:c>
      <x:c r="Y37">
        <x:f>17.933635</x:f>
        <x:v>17.933634999999999</x:v>
      </x:c>
      <x:c r="Z37">
        <x:f>-3.241725</x:f>
        <x:v>-3.2417250000000002</x:v>
      </x:c>
      <x:c r="AA37">
        <x:f>16.207975</x:f>
        <x:v>16.207975000000001</x:v>
      </x:c>
      <x:c r="AB37">
        <x:f>21.73263</x:f>
        <x:v>21.73263</x:v>
      </x:c>
      <x:c r="AC37">
        <x:f>0.15348</x:f>
        <x:v>0.15348000000000001</x:v>
      </x:c>
      <x:c r="AD37">
        <x:f>-17.9713</x:f>
        <x:v>-17.971299999999999</x:v>
      </x:c>
      <x:c r="AE37">
        <x:f>-5.804275</x:f>
        <x:v>-5.8042749999999996</x:v>
      </x:c>
      <x:c r="AF37">
        <x:f>-2.96706</x:f>
        <x:v>-2.96706</x:v>
      </x:c>
      <x:c r="AG37">
        <x:f>-15.560175</x:f>
        <x:v>-15.560174999999999</x:v>
      </x:c>
    </x:row>
    <x:row r="38" spans="1:33" x14ac:dyDescent="0.25">
      <x:c r="A38" t="str">
        <x:f>"        iShares Global Consumer Discre"</x:f>
        <x:v xml:space="preserve">        iShares Global Consumer Discre</x:v>
      </x:c>
      <x:c r="B38" t="str">
        <x:f>"RXI US Equity"</x:f>
        <x:v>RXI US Equity</x:v>
      </x:c>
      <x:c r="E38" t="str">
        <x:f t="shared" si="1"/>
        <x:v>Expression</x:v>
      </x:c>
      <x:c r="F38">
        <x:f ca="1">IF(AND($B$1012=1,LEN($F$1045)&gt;0),$F$1045,HLOOKUP(INDIRECT(ADDRESS(2,COLUMN())),OFFSET($T$2,0,0,ROW()-1,14),ROW()-1,FALSE))</x:f>
        <x:v>-22.017346</x:v>
      </x:c>
      <x:c r="G38">
        <x:f ca="1">IF(AND($B$1012=1,LEN($G$1045)&gt;0),$G$1045,HLOOKUP(INDIRECT(ADDRESS(2,COLUMN())),OFFSET($T$2,0,0,ROW()-1,14),ROW()-1,FALSE))</x:f>
        <x:v>0</x:v>
      </x:c>
      <x:c r="H38">
        <x:f ca="1">IF(AND($B$1012=1,LEN($H$1045)&gt;0),$H$1045,HLOOKUP(INDIRECT(ADDRESS(2,COLUMN())),OFFSET($T$2,0,0,ROW()-1,14),ROW()-1,FALSE))</x:f>
        <x:v>-14.667524999999999</x:v>
      </x:c>
      <x:c r="I38">
        <x:f ca="1">IF(AND($B$1012=1,LEN($I$1045)&gt;0),$I$1045,HLOOKUP(INDIRECT(ADDRESS(2,COLUMN())),OFFSET($T$2,0,0,ROW()-1,14),ROW()-1,FALSE))</x:f>
        <x:v>-7.8760950000000003</x:v>
      </x:c>
      <x:c r="J38">
        <x:f ca="1">IF(AND($B$1012=1,LEN($J$1045)&gt;0),$J$1045,HLOOKUP(INDIRECT(ADDRESS(2,COLUMN())),OFFSET($T$2,0,0,ROW()-1,14),ROW()-1,FALSE))</x:f>
        <x:v>0</x:v>
      </x:c>
      <x:c r="K38">
        <x:f ca="1">IF(AND($B$1012=1,LEN($K$1045)&gt;0),$K$1045,HLOOKUP(INDIRECT(ADDRESS(2,COLUMN())),OFFSET($T$2,0,0,ROW()-1,14),ROW()-1,FALSE))</x:f>
        <x:v>7.3685900000000002</x:v>
      </x:c>
      <x:c r="L38">
        <x:f ca="1">IF(AND($B$1012=1,LEN($L$1045)&gt;0),$L$1045,HLOOKUP(INDIRECT(ADDRESS(2,COLUMN())),OFFSET($T$2,0,0,ROW()-1,14),ROW()-1,FALSE))</x:f>
        <x:v>0</x:v>
      </x:c>
      <x:c r="M38">
        <x:f ca="1">IF(AND($B$1012=1,LEN($M$1045)&gt;0),$M$1045,HLOOKUP(INDIRECT(ADDRESS(2,COLUMN())),OFFSET($T$2,0,0,ROW()-1,14),ROW()-1,FALSE))</x:f>
        <x:v>14.332125</x:v>
      </x:c>
      <x:c r="N38">
        <x:f ca="1">IF(AND($B$1012=1,LEN($N$1045)&gt;0),$N$1045,HLOOKUP(INDIRECT(ADDRESS(2,COLUMN())),OFFSET($T$2,0,0,ROW()-1,14),ROW()-1,FALSE))</x:f>
        <x:v>6.4366399999999997</x:v>
      </x:c>
      <x:c r="O38">
        <x:f ca="1">IF(AND($B$1012=1,LEN($O$1045)&gt;0),$O$1045,HLOOKUP(INDIRECT(ADDRESS(2,COLUMN())),OFFSET($T$2,0,0,ROW()-1,14),ROW()-1,FALSE))</x:f>
        <x:v>-13.962199999999999</x:v>
      </x:c>
      <x:c r="P38">
        <x:f ca="1">IF(AND($B$1012=1,LEN($P$1045)&gt;0),$P$1045,HLOOKUP(INDIRECT(ADDRESS(2,COLUMN())),OFFSET($T$2,0,0,ROW()-1,14),ROW()-1,FALSE))</x:f>
        <x:v>13.42582</x:v>
      </x:c>
      <x:c r="Q38">
        <x:f ca="1">IF(AND($B$1012=1,LEN($Q$1045)&gt;0),$Q$1045,HLOOKUP(INDIRECT(ADDRESS(2,COLUMN())),OFFSET($T$2,0,0,ROW()-1,14),ROW()-1,FALSE))</x:f>
        <x:v>6.7105800000000002</x:v>
      </x:c>
      <x:c r="R38">
        <x:f ca="1">IF(AND($B$1012=1,LEN($R$1045)&gt;0),$R$1045,HLOOKUP(INDIRECT(ADDRESS(2,COLUMN())),OFFSET($T$2,0,0,ROW()-1,14),ROW()-1,FALSE))</x:f>
        <x:v>13.1678</x:v>
      </x:c>
      <x:c r="S38">
        <x:f ca="1">IF(AND($B$1012=1,LEN($S$1045)&gt;0),$S$1045,HLOOKUP(INDIRECT(ADDRESS(2,COLUMN())),OFFSET($T$2,0,0,ROW()-1,14),ROW()-1,FALSE))</x:f>
        <x:v>-42.142139999999998</x:v>
      </x:c>
      <x:c r="T38">
        <x:f>-22.017346</x:f>
        <x:v>-22.017346</x:v>
      </x:c>
      <x:c r="U38">
        <x:f>0</x:f>
        <x:v>0</x:v>
      </x:c>
      <x:c r="V38">
        <x:f>-14.667525</x:f>
        <x:v>-14.667524999999999</x:v>
      </x:c>
      <x:c r="W38">
        <x:f>-7.876095</x:f>
        <x:v>-7.8760950000000003</x:v>
      </x:c>
      <x:c r="X38">
        <x:f>0</x:f>
        <x:v>0</x:v>
      </x:c>
      <x:c r="Y38">
        <x:f>7.36859</x:f>
        <x:v>7.3685900000000002</x:v>
      </x:c>
      <x:c r="Z38">
        <x:f>0</x:f>
        <x:v>0</x:v>
      </x:c>
      <x:c r="AA38">
        <x:f>14.332125</x:f>
        <x:v>14.332125</x:v>
      </x:c>
      <x:c r="AB38">
        <x:f>6.43664</x:f>
        <x:v>6.4366399999999997</x:v>
      </x:c>
      <x:c r="AC38">
        <x:f>-13.9622</x:f>
        <x:v>-13.962199999999999</x:v>
      </x:c>
      <x:c r="AD38">
        <x:f>13.42582</x:f>
        <x:v>13.42582</x:v>
      </x:c>
      <x:c r="AE38">
        <x:f>6.71058</x:f>
        <x:v>6.7105800000000002</x:v>
      </x:c>
      <x:c r="AF38">
        <x:f>13.1678</x:f>
        <x:v>13.1678</x:v>
      </x:c>
      <x:c r="AG38">
        <x:f>-42.14214</x:f>
        <x:v>-42.142139999999998</x:v>
      </x:c>
    </x:row>
    <x:row r="39" spans="1:33" x14ac:dyDescent="0.25">
      <x:c r="A39" t="str">
        <x:f>"        Invesco Dynamic Media ETF"</x:f>
        <x:v xml:space="preserve">        Invesco Dynamic Media ETF</x:v>
      </x:c>
      <x:c r="B39" t="str">
        <x:f>"PBS US Equity"</x:f>
        <x:v>PBS US Equity</x:v>
      </x:c>
      <x:c r="E39" t="str">
        <x:f t="shared" si="1"/>
        <x:v>Expression</x:v>
      </x:c>
      <x:c r="F39">
        <x:f ca="1">IF(AND($B$1012=1,LEN($F$1046)&gt;0),$F$1046,HLOOKUP(INDIRECT(ADDRESS(2,COLUMN())),OFFSET($T$2,0,0,ROW()-1,14),ROW()-1,FALSE))</x:f>
        <x:v>0</x:v>
      </x:c>
      <x:c r="G39">
        <x:f ca="1">IF(AND($B$1012=1,LEN($G$1046)&gt;0),$G$1046,HLOOKUP(INDIRECT(ADDRESS(2,COLUMN())),OFFSET($T$2,0,0,ROW()-1,14),ROW()-1,FALSE))</x:f>
        <x:v>0</x:v>
      </x:c>
      <x:c r="H39">
        <x:f ca="1">IF(AND($B$1012=1,LEN($H$1046)&gt;0),$H$1046,HLOOKUP(INDIRECT(ADDRESS(2,COLUMN())),OFFSET($T$2,0,0,ROW()-1,14),ROW()-1,FALSE))</x:f>
        <x:v>0</x:v>
      </x:c>
      <x:c r="I39">
        <x:f ca="1">IF(AND($B$1012=1,LEN($I$1046)&gt;0),$I$1046,HLOOKUP(INDIRECT(ADDRESS(2,COLUMN())),OFFSET($T$2,0,0,ROW()-1,14),ROW()-1,FALSE))</x:f>
        <x:v>0</x:v>
      </x:c>
      <x:c r="J39" t="str">
        <x:f ca="1">IF(AND($B$1012=1,LEN($J$1046)&gt;0),$J$1046,HLOOKUP(INDIRECT(ADDRESS(2,COLUMN())),OFFSET($T$2,0,0,ROW()-1,14),ROW()-1,FALSE))</x:f>
        <x:v/>
      </x:c>
      <x:c r="K39" t="str">
        <x:f ca="1">IF(AND($B$1012=1,LEN($K$1046)&gt;0),$K$1046,HLOOKUP(INDIRECT(ADDRESS(2,COLUMN())),OFFSET($T$2,0,0,ROW()-1,14),ROW()-1,FALSE))</x:f>
        <x:v/>
      </x:c>
      <x:c r="L39" t="str">
        <x:f ca="1">IF(AND($B$1012=1,LEN($L$1046)&gt;0),$L$1046,HLOOKUP(INDIRECT(ADDRESS(2,COLUMN())),OFFSET($T$2,0,0,ROW()-1,14),ROW()-1,FALSE))</x:f>
        <x:v/>
      </x:c>
      <x:c r="M39" t="str">
        <x:f ca="1">IF(AND($B$1012=1,LEN($M$1046)&gt;0),$M$1046,HLOOKUP(INDIRECT(ADDRESS(2,COLUMN())),OFFSET($T$2,0,0,ROW()-1,14),ROW()-1,FALSE))</x:f>
        <x:v/>
      </x:c>
      <x:c r="N39" t="str">
        <x:f ca="1">IF(AND($B$1012=1,LEN($N$1046)&gt;0),$N$1046,HLOOKUP(INDIRECT(ADDRESS(2,COLUMN())),OFFSET($T$2,0,0,ROW()-1,14),ROW()-1,FALSE))</x:f>
        <x:v/>
      </x:c>
      <x:c r="O39" t="str">
        <x:f ca="1">IF(AND($B$1012=1,LEN($O$1046)&gt;0),$O$1046,HLOOKUP(INDIRECT(ADDRESS(2,COLUMN())),OFFSET($T$2,0,0,ROW()-1,14),ROW()-1,FALSE))</x:f>
        <x:v/>
      </x:c>
      <x:c r="P39" t="str">
        <x:f ca="1">IF(AND($B$1012=1,LEN($P$1046)&gt;0),$P$1046,HLOOKUP(INDIRECT(ADDRESS(2,COLUMN())),OFFSET($T$2,0,0,ROW()-1,14),ROW()-1,FALSE))</x:f>
        <x:v/>
      </x:c>
      <x:c r="Q39" t="str">
        <x:f ca="1">IF(AND($B$1012=1,LEN($Q$1046)&gt;0),$Q$1046,HLOOKUP(INDIRECT(ADDRESS(2,COLUMN())),OFFSET($T$2,0,0,ROW()-1,14),ROW()-1,FALSE))</x:f>
        <x:v/>
      </x:c>
      <x:c r="R39" t="str">
        <x:f ca="1">IF(AND($B$1012=1,LEN($R$1046)&gt;0),$R$1046,HLOOKUP(INDIRECT(ADDRESS(2,COLUMN())),OFFSET($T$2,0,0,ROW()-1,14),ROW()-1,FALSE))</x:f>
        <x:v/>
      </x:c>
      <x:c r="S39" t="str">
        <x:f ca="1">IF(AND($B$1012=1,LEN($S$1046)&gt;0),$S$1046,HLOOKUP(INDIRECT(ADDRESS(2,COLUMN())),OFFSET($T$2,0,0,ROW()-1,14),ROW()-1,FALSE))</x:f>
        <x:v/>
      </x:c>
      <x:c r="T39">
        <x:f>0</x:f>
        <x:v>0</x:v>
      </x:c>
      <x:c r="U39">
        <x:f>0</x:f>
        <x:v>0</x:v>
      </x:c>
      <x:c r="V39">
        <x:f>0</x:f>
        <x:v>0</x:v>
      </x:c>
      <x:c r="W39">
        <x:f>0</x:f>
        <x:v>0</x:v>
      </x:c>
      <x:c r="X39" t="str">
        <x:f>""</x:f>
        <x:v/>
      </x:c>
      <x:c r="Y39" t="str">
        <x:f>""</x:f>
        <x:v/>
      </x:c>
      <x:c r="Z39" t="str">
        <x:f>""</x:f>
        <x:v/>
      </x:c>
      <x:c r="AA39" t="str">
        <x:f>""</x:f>
        <x:v/>
      </x:c>
      <x:c r="AB39" t="str">
        <x:f>""</x:f>
        <x:v/>
      </x:c>
      <x:c r="AC39" t="str">
        <x:f>""</x:f>
        <x:v/>
      </x:c>
      <x:c r="AD39" t="str">
        <x:f>""</x:f>
        <x:v/>
      </x:c>
      <x:c r="AE39" t="str">
        <x:f>""</x:f>
        <x:v/>
      </x:c>
      <x:c r="AF39" t="str">
        <x:f>""</x:f>
        <x:v/>
      </x:c>
      <x:c r="AG39" t="str">
        <x:f>""</x:f>
        <x:v/>
      </x:c>
    </x:row>
    <x:row r="40" spans="1:33" x14ac:dyDescent="0.25">
      <x:c r="A40" t="str">
        <x:f>"        Invesco S&amp;P 500 Equal Weight C"</x:f>
        <x:v xml:space="preserve">        Invesco S&amp;P 500 Equal Weight C</x:v>
      </x:c>
      <x:c r="B40" t="str">
        <x:f>"RCD US Equity"</x:f>
        <x:v>RCD US Equity</x:v>
      </x:c>
      <x:c r="E40" t="str">
        <x:f t="shared" si="1"/>
        <x:v>Expression</x:v>
      </x:c>
      <x:c r="F40">
        <x:f ca="1">IF(AND($B$1012=1,LEN($F$1047)&gt;0),$F$1047,HLOOKUP(INDIRECT(ADDRESS(2,COLUMN())),OFFSET($T$2,0,0,ROW()-1,14),ROW()-1,FALSE))</x:f>
        <x:v>-8.6567150000000002</x:v>
      </x:c>
      <x:c r="G40">
        <x:f ca="1">IF(AND($B$1012=1,LEN($G$1047)&gt;0),$G$1047,HLOOKUP(INDIRECT(ADDRESS(2,COLUMN())),OFFSET($T$2,0,0,ROW()-1,14),ROW()-1,FALSE))</x:f>
        <x:v>-159.73446300000001</x:v>
      </x:c>
      <x:c r="H40">
        <x:f ca="1">IF(AND($B$1012=1,LEN($H$1047)&gt;0),$H$1047,HLOOKUP(INDIRECT(ADDRESS(2,COLUMN())),OFFSET($T$2,0,0,ROW()-1,14),ROW()-1,FALSE))</x:f>
        <x:v>91.366223000000005</x:v>
      </x:c>
      <x:c r="I40">
        <x:f ca="1">IF(AND($B$1012=1,LEN($I$1047)&gt;0),$I$1047,HLOOKUP(INDIRECT(ADDRESS(2,COLUMN())),OFFSET($T$2,0,0,ROW()-1,14),ROW()-1,FALSE))</x:f>
        <x:v>-0.98035700000000003</x:v>
      </x:c>
      <x:c r="J40">
        <x:f ca="1">IF(AND($B$1012=1,LEN($J$1047)&gt;0),$J$1047,HLOOKUP(INDIRECT(ADDRESS(2,COLUMN())),OFFSET($T$2,0,0,ROW()-1,14),ROW()-1,FALSE))</x:f>
        <x:v>11.316909000000001</x:v>
      </x:c>
      <x:c r="K40">
        <x:f ca="1">IF(AND($B$1012=1,LEN($K$1047)&gt;0),$K$1047,HLOOKUP(INDIRECT(ADDRESS(2,COLUMN())),OFFSET($T$2,0,0,ROW()-1,14),ROW()-1,FALSE))</x:f>
        <x:v>-6.39567</x:v>
      </x:c>
      <x:c r="L40">
        <x:f ca="1">IF(AND($B$1012=1,LEN($L$1047)&gt;0),$L$1047,HLOOKUP(INDIRECT(ADDRESS(2,COLUMN())),OFFSET($T$2,0,0,ROW()-1,14),ROW()-1,FALSE))</x:f>
        <x:v>-10.19924</x:v>
      </x:c>
      <x:c r="M40">
        <x:f ca="1">IF(AND($B$1012=1,LEN($M$1047)&gt;0),$M$1047,HLOOKUP(INDIRECT(ADDRESS(2,COLUMN())),OFFSET($T$2,0,0,ROW()-1,14),ROW()-1,FALSE))</x:f>
        <x:v>6.3025770000000003</x:v>
      </x:c>
      <x:c r="N40">
        <x:f ca="1">IF(AND($B$1012=1,LEN($N$1047)&gt;0),$N$1047,HLOOKUP(INDIRECT(ADDRESS(2,COLUMN())),OFFSET($T$2,0,0,ROW()-1,14),ROW()-1,FALSE))</x:f>
        <x:v>-132.64999299999999</x:v>
      </x:c>
      <x:c r="O40">
        <x:f ca="1">IF(AND($B$1012=1,LEN($O$1047)&gt;0),$O$1047,HLOOKUP(INDIRECT(ADDRESS(2,COLUMN())),OFFSET($T$2,0,0,ROW()-1,14),ROW()-1,FALSE))</x:f>
        <x:v>20.908677000000001</x:v>
      </x:c>
      <x:c r="P40">
        <x:f ca="1">IF(AND($B$1012=1,LEN($P$1047)&gt;0),$P$1047,HLOOKUP(INDIRECT(ADDRESS(2,COLUMN())),OFFSET($T$2,0,0,ROW()-1,14),ROW()-1,FALSE))</x:f>
        <x:v>104.23140600000001</x:v>
      </x:c>
      <x:c r="Q40">
        <x:f ca="1">IF(AND($B$1012=1,LEN($Q$1047)&gt;0),$Q$1047,HLOOKUP(INDIRECT(ADDRESS(2,COLUMN())),OFFSET($T$2,0,0,ROW()-1,14),ROW()-1,FALSE))</x:f>
        <x:v>-43.497230000000002</x:v>
      </x:c>
      <x:c r="R40">
        <x:f ca="1">IF(AND($B$1012=1,LEN($R$1047)&gt;0),$R$1047,HLOOKUP(INDIRECT(ADDRESS(2,COLUMN())),OFFSET($T$2,0,0,ROW()-1,14),ROW()-1,FALSE))</x:f>
        <x:v>141.920241</x:v>
      </x:c>
      <x:c r="S40">
        <x:f ca="1">IF(AND($B$1012=1,LEN($S$1047)&gt;0),$S$1047,HLOOKUP(INDIRECT(ADDRESS(2,COLUMN())),OFFSET($T$2,0,0,ROW()-1,14),ROW()-1,FALSE))</x:f>
        <x:v>1.1940649999999999</x:v>
      </x:c>
      <x:c r="T40">
        <x:f>-8.656715</x:f>
        <x:v>-8.6567150000000002</x:v>
      </x:c>
      <x:c r="U40">
        <x:f>-159.734463</x:f>
        <x:v>-159.73446300000001</x:v>
      </x:c>
      <x:c r="V40">
        <x:f>91.366223</x:f>
        <x:v>91.366223000000005</x:v>
      </x:c>
      <x:c r="W40">
        <x:f>-0.980357</x:f>
        <x:v>-0.98035700000000003</x:v>
      </x:c>
      <x:c r="X40">
        <x:f>11.316909</x:f>
        <x:v>11.316909000000001</x:v>
      </x:c>
      <x:c r="Y40">
        <x:f>-6.39567</x:f>
        <x:v>-6.39567</x:v>
      </x:c>
      <x:c r="Z40">
        <x:f>-10.19924</x:f>
        <x:v>-10.19924</x:v>
      </x:c>
      <x:c r="AA40">
        <x:f>6.302577</x:f>
        <x:v>6.3025770000000003</x:v>
      </x:c>
      <x:c r="AB40">
        <x:f>-132.649993</x:f>
        <x:v>-132.64999299999999</x:v>
      </x:c>
      <x:c r="AC40">
        <x:f>20.908677</x:f>
        <x:v>20.908677000000001</x:v>
      </x:c>
      <x:c r="AD40">
        <x:f>104.231406</x:f>
        <x:v>104.23140600000001</x:v>
      </x:c>
      <x:c r="AE40">
        <x:f>-43.49723</x:f>
        <x:v>-43.497230000000002</x:v>
      </x:c>
      <x:c r="AF40">
        <x:f>141.920241</x:f>
        <x:v>141.920241</x:v>
      </x:c>
      <x:c r="AG40">
        <x:f>1.194065</x:f>
        <x:v>1.1940649999999999</x:v>
      </x:c>
    </x:row>
    <x:row r="41" spans="1:33" x14ac:dyDescent="0.25">
      <x:c r="A41" t="str">
        <x:f>"        Global X MSCI China Consumer D"</x:f>
        <x:v xml:space="preserve">        Global X MSCI China Consumer D</x:v>
      </x:c>
      <x:c r="B41" t="str">
        <x:f>"CHIQ US Equity"</x:f>
        <x:v>CHIQ US Equity</x:v>
      </x:c>
      <x:c r="E41" t="str">
        <x:f t="shared" si="1"/>
        <x:v>Expression</x:v>
      </x:c>
      <x:c r="F41">
        <x:f ca="1">IF(AND($B$1012=1,LEN($F$1048)&gt;0),$F$1048,HLOOKUP(INDIRECT(ADDRESS(2,COLUMN())),OFFSET($T$2,0,0,ROW()-1,14),ROW()-1,FALSE))</x:f>
        <x:v>-4.5449999999999999</x:v>
      </x:c>
      <x:c r="G41">
        <x:f ca="1">IF(AND($B$1012=1,LEN($G$1048)&gt;0),$G$1048,HLOOKUP(INDIRECT(ADDRESS(2,COLUMN())),OFFSET($T$2,0,0,ROW()-1,14),ROW()-1,FALSE))</x:f>
        <x:v>-9.6929999999999996</x:v>
      </x:c>
      <x:c r="H41">
        <x:f ca="1">IF(AND($B$1012=1,LEN($H$1048)&gt;0),$H$1048,HLOOKUP(INDIRECT(ADDRESS(2,COLUMN())),OFFSET($T$2,0,0,ROW()-1,14),ROW()-1,FALSE))</x:f>
        <x:v>-1.3411999999999999</x:v>
      </x:c>
      <x:c r="I41">
        <x:f ca="1">IF(AND($B$1012=1,LEN($I$1048)&gt;0),$I$1048,HLOOKUP(INDIRECT(ADDRESS(2,COLUMN())),OFFSET($T$2,0,0,ROW()-1,14),ROW()-1,FALSE))</x:f>
        <x:v>-11.592000000000001</x:v>
      </x:c>
      <x:c r="J41">
        <x:f ca="1">IF(AND($B$1012=1,LEN($J$1048)&gt;0),$J$1048,HLOOKUP(INDIRECT(ADDRESS(2,COLUMN())),OFFSET($T$2,0,0,ROW()-1,14),ROW()-1,FALSE))</x:f>
        <x:v>0</x:v>
      </x:c>
      <x:c r="K41">
        <x:f ca="1">IF(AND($B$1012=1,LEN($K$1048)&gt;0),$K$1048,HLOOKUP(INDIRECT(ADDRESS(2,COLUMN())),OFFSET($T$2,0,0,ROW()-1,14),ROW()-1,FALSE))</x:f>
        <x:v>-4.9382999999999999</x:v>
      </x:c>
      <x:c r="L41">
        <x:f ca="1">IF(AND($B$1012=1,LEN($L$1048)&gt;0),$L$1048,HLOOKUP(INDIRECT(ADDRESS(2,COLUMN())),OFFSET($T$2,0,0,ROW()-1,14),ROW()-1,FALSE))</x:f>
        <x:v>-4.3848000000000003</x:v>
      </x:c>
      <x:c r="M41">
        <x:f ca="1">IF(AND($B$1012=1,LEN($M$1048)&gt;0),$M$1048,HLOOKUP(INDIRECT(ADDRESS(2,COLUMN())),OFFSET($T$2,0,0,ROW()-1,14),ROW()-1,FALSE))</x:f>
        <x:v>0</x:v>
      </x:c>
      <x:c r="N41">
        <x:f ca="1">IF(AND($B$1012=1,LEN($N$1048)&gt;0),$N$1048,HLOOKUP(INDIRECT(ADDRESS(2,COLUMN())),OFFSET($T$2,0,0,ROW()-1,14),ROW()-1,FALSE))</x:f>
        <x:v>0</x:v>
      </x:c>
      <x:c r="O41">
        <x:f ca="1">IF(AND($B$1012=1,LEN($O$1048)&gt;0),$O$1048,HLOOKUP(INDIRECT(ADDRESS(2,COLUMN())),OFFSET($T$2,0,0,ROW()-1,14),ROW()-1,FALSE))</x:f>
        <x:v>9.8122000000000007</x:v>
      </x:c>
      <x:c r="P41">
        <x:f ca="1">IF(AND($B$1012=1,LEN($P$1048)&gt;0),$P$1048,HLOOKUP(INDIRECT(ADDRESS(2,COLUMN())),OFFSET($T$2,0,0,ROW()-1,14),ROW()-1,FALSE))</x:f>
        <x:v>57.566200000000002</x:v>
      </x:c>
      <x:c r="Q41">
        <x:f ca="1">IF(AND($B$1012=1,LEN($Q$1048)&gt;0),$Q$1048,HLOOKUP(INDIRECT(ADDRESS(2,COLUMN())),OFFSET($T$2,0,0,ROW()-1,14),ROW()-1,FALSE))</x:f>
        <x:v>3.6432000000000002</x:v>
      </x:c>
      <x:c r="R41">
        <x:f ca="1">IF(AND($B$1012=1,LEN($R$1048)&gt;0),$R$1048,HLOOKUP(INDIRECT(ADDRESS(2,COLUMN())),OFFSET($T$2,0,0,ROW()-1,14),ROW()-1,FALSE))</x:f>
        <x:v>-9.0208999999999993</x:v>
      </x:c>
      <x:c r="S41">
        <x:f ca="1">IF(AND($B$1012=1,LEN($S$1048)&gt;0),$S$1048,HLOOKUP(INDIRECT(ADDRESS(2,COLUMN())),OFFSET($T$2,0,0,ROW()-1,14),ROW()-1,FALSE))</x:f>
        <x:v>-11.051299999999999</x:v>
      </x:c>
      <x:c r="T41">
        <x:f>-4.545</x:f>
        <x:v>-4.5449999999999999</x:v>
      </x:c>
      <x:c r="U41">
        <x:f>-9.693</x:f>
        <x:v>-9.6929999999999996</x:v>
      </x:c>
      <x:c r="V41">
        <x:f>-1.3412</x:f>
        <x:v>-1.3411999999999999</x:v>
      </x:c>
      <x:c r="W41">
        <x:f>-11.592</x:f>
        <x:v>-11.592000000000001</x:v>
      </x:c>
      <x:c r="X41">
        <x:f>0</x:f>
        <x:v>0</x:v>
      </x:c>
      <x:c r="Y41">
        <x:f>-4.9383</x:f>
        <x:v>-4.9382999999999999</x:v>
      </x:c>
      <x:c r="Z41">
        <x:f>-4.3848</x:f>
        <x:v>-4.3848000000000003</x:v>
      </x:c>
      <x:c r="AA41">
        <x:f>0</x:f>
        <x:v>0</x:v>
      </x:c>
      <x:c r="AB41">
        <x:f>0</x:f>
        <x:v>0</x:v>
      </x:c>
      <x:c r="AC41">
        <x:f>9.8122</x:f>
        <x:v>9.8122000000000007</x:v>
      </x:c>
      <x:c r="AD41">
        <x:f>57.5662</x:f>
        <x:v>57.566200000000002</x:v>
      </x:c>
      <x:c r="AE41">
        <x:f>3.6432</x:f>
        <x:v>3.6432000000000002</x:v>
      </x:c>
      <x:c r="AF41">
        <x:f>-9.0209</x:f>
        <x:v>-9.0208999999999993</x:v>
      </x:c>
      <x:c r="AG41">
        <x:f>-11.0513</x:f>
        <x:v>-11.051299999999999</x:v>
      </x:c>
    </x:row>
    <x:row r="42" spans="1:33" x14ac:dyDescent="0.25">
      <x:c r="A42" t="str">
        <x:f>"        VanEck Retail ETF"</x:f>
        <x:v xml:space="preserve">        VanEck Retail ETF</x:v>
      </x:c>
      <x:c r="B42" t="str">
        <x:f>"RTH US Equity"</x:f>
        <x:v>RTH US Equity</x:v>
      </x:c>
      <x:c r="E42" t="str">
        <x:f t="shared" si="1"/>
        <x:v>Expression</x:v>
      </x:c>
      <x:c r="F42">
        <x:f ca="1">IF(AND($B$1012=1,LEN($F$1049)&gt;0),$F$1049,HLOOKUP(INDIRECT(ADDRESS(2,COLUMN())),OFFSET($T$2,0,0,ROW()-1,14),ROW()-1,FALSE))</x:f>
        <x:v>0</x:v>
      </x:c>
      <x:c r="G42">
        <x:f ca="1">IF(AND($B$1012=1,LEN($G$1049)&gt;0),$G$1049,HLOOKUP(INDIRECT(ADDRESS(2,COLUMN())),OFFSET($T$2,0,0,ROW()-1,14),ROW()-1,FALSE))</x:f>
        <x:v>8.1552030000000002</x:v>
      </x:c>
      <x:c r="H42">
        <x:f ca="1">IF(AND($B$1012=1,LEN($H$1049)&gt;0),$H$1049,HLOOKUP(INDIRECT(ADDRESS(2,COLUMN())),OFFSET($T$2,0,0,ROW()-1,14),ROW()-1,FALSE))</x:f>
        <x:v>8.8662500000000009</x:v>
      </x:c>
      <x:c r="I42">
        <x:f ca="1">IF(AND($B$1012=1,LEN($I$1049)&gt;0),$I$1049,HLOOKUP(INDIRECT(ADDRESS(2,COLUMN())),OFFSET($T$2,0,0,ROW()-1,14),ROW()-1,FALSE))</x:f>
        <x:v>0</x:v>
      </x:c>
      <x:c r="J42">
        <x:f ca="1">IF(AND($B$1012=1,LEN($J$1049)&gt;0),$J$1049,HLOOKUP(INDIRECT(ADDRESS(2,COLUMN())),OFFSET($T$2,0,0,ROW()-1,14),ROW()-1,FALSE))</x:f>
        <x:v>0</x:v>
      </x:c>
      <x:c r="K42">
        <x:f ca="1">IF(AND($B$1012=1,LEN($K$1049)&gt;0),$K$1049,HLOOKUP(INDIRECT(ADDRESS(2,COLUMN())),OFFSET($T$2,0,0,ROW()-1,14),ROW()-1,FALSE))</x:f>
        <x:v>0</x:v>
      </x:c>
      <x:c r="L42">
        <x:f ca="1">IF(AND($B$1012=1,LEN($L$1049)&gt;0),$L$1049,HLOOKUP(INDIRECT(ADDRESS(2,COLUMN())),OFFSET($T$2,0,0,ROW()-1,14),ROW()-1,FALSE))</x:f>
        <x:v>-8.1361760000000007</x:v>
      </x:c>
      <x:c r="M42">
        <x:f ca="1">IF(AND($B$1012=1,LEN($M$1049)&gt;0),$M$1049,HLOOKUP(INDIRECT(ADDRESS(2,COLUMN())),OFFSET($T$2,0,0,ROW()-1,14),ROW()-1,FALSE))</x:f>
        <x:v>0</x:v>
      </x:c>
      <x:c r="N42">
        <x:f ca="1">IF(AND($B$1012=1,LEN($N$1049)&gt;0),$N$1049,HLOOKUP(INDIRECT(ADDRESS(2,COLUMN())),OFFSET($T$2,0,0,ROW()-1,14),ROW()-1,FALSE))</x:f>
        <x:v>-4.5599999999999998E-3</x:v>
      </x:c>
      <x:c r="O42">
        <x:f ca="1">IF(AND($B$1012=1,LEN($O$1049)&gt;0),$O$1049,HLOOKUP(INDIRECT(ADDRESS(2,COLUMN())),OFFSET($T$2,0,0,ROW()-1,14),ROW()-1,FALSE))</x:f>
        <x:v>0</x:v>
      </x:c>
      <x:c r="P42">
        <x:f ca="1">IF(AND($B$1012=1,LEN($P$1049)&gt;0),$P$1049,HLOOKUP(INDIRECT(ADDRESS(2,COLUMN())),OFFSET($T$2,0,0,ROW()-1,14),ROW()-1,FALSE))</x:f>
        <x:v>0</x:v>
      </x:c>
      <x:c r="Q42">
        <x:f ca="1">IF(AND($B$1012=1,LEN($Q$1049)&gt;0),$Q$1049,HLOOKUP(INDIRECT(ADDRESS(2,COLUMN())),OFFSET($T$2,0,0,ROW()-1,14),ROW()-1,FALSE))</x:f>
        <x:v>0</x:v>
      </x:c>
      <x:c r="R42">
        <x:f ca="1">IF(AND($B$1012=1,LEN($R$1049)&gt;0),$R$1049,HLOOKUP(INDIRECT(ADDRESS(2,COLUMN())),OFFSET($T$2,0,0,ROW()-1,14),ROW()-1,FALSE))</x:f>
        <x:v>-16.153072999999999</x:v>
      </x:c>
      <x:c r="S42">
        <x:f ca="1">IF(AND($B$1012=1,LEN($S$1049)&gt;0),$S$1049,HLOOKUP(INDIRECT(ADDRESS(2,COLUMN())),OFFSET($T$2,0,0,ROW()-1,14),ROW()-1,FALSE))</x:f>
        <x:v>7.9092750000000001</x:v>
      </x:c>
      <x:c r="T42">
        <x:f>0</x:f>
        <x:v>0</x:v>
      </x:c>
      <x:c r="U42">
        <x:f>8.155203</x:f>
        <x:v>8.1552030000000002</x:v>
      </x:c>
      <x:c r="V42">
        <x:f>8.86625</x:f>
        <x:v>8.8662500000000009</x:v>
      </x:c>
      <x:c r="W42">
        <x:f>0</x:f>
        <x:v>0</x:v>
      </x:c>
      <x:c r="X42">
        <x:f>0</x:f>
        <x:v>0</x:v>
      </x:c>
      <x:c r="Y42">
        <x:f>0</x:f>
        <x:v>0</x:v>
      </x:c>
      <x:c r="Z42">
        <x:f>-8.136176</x:f>
        <x:v>-8.1361760000000007</x:v>
      </x:c>
      <x:c r="AA42">
        <x:f>0</x:f>
        <x:v>0</x:v>
      </x:c>
      <x:c r="AB42">
        <x:f>-0.00456</x:f>
        <x:v>-4.5599999999999998E-3</x:v>
      </x:c>
      <x:c r="AC42">
        <x:f>0</x:f>
        <x:v>0</x:v>
      </x:c>
      <x:c r="AD42">
        <x:f>0</x:f>
        <x:v>0</x:v>
      </x:c>
      <x:c r="AE42">
        <x:f>0</x:f>
        <x:v>0</x:v>
      </x:c>
      <x:c r="AF42">
        <x:f>-16.153073</x:f>
        <x:v>-16.153072999999999</x:v>
      </x:c>
      <x:c r="AG42">
        <x:f>7.909275</x:f>
        <x:v>7.9092750000000001</x:v>
      </x:c>
    </x:row>
    <x:row r="43" spans="1:33" x14ac:dyDescent="0.25">
      <x:c r="A43" t="str">
        <x:f>"        Invesco S&amp;P SmallCap Consumer"</x:f>
        <x:v xml:space="preserve">        Invesco S&amp;P SmallCap Consumer</x:v>
      </x:c>
      <x:c r="B43" t="str">
        <x:f>"PSCD US Equity"</x:f>
        <x:v>PSCD US Equity</x:v>
      </x:c>
      <x:c r="E43" t="str">
        <x:f t="shared" si="1"/>
        <x:v>Expression</x:v>
      </x:c>
      <x:c r="F43">
        <x:f ca="1">IF(AND($B$1012=1,LEN($F$1050)&gt;0),$F$1050,HLOOKUP(INDIRECT(ADDRESS(2,COLUMN())),OFFSET($T$2,0,0,ROW()-1,14),ROW()-1,FALSE))</x:f>
        <x:v>0</x:v>
      </x:c>
      <x:c r="G43">
        <x:f ca="1">IF(AND($B$1012=1,LEN($G$1050)&gt;0),$G$1050,HLOOKUP(INDIRECT(ADDRESS(2,COLUMN())),OFFSET($T$2,0,0,ROW()-1,14),ROW()-1,FALSE))</x:f>
        <x:v>0</x:v>
      </x:c>
      <x:c r="H43">
        <x:f ca="1">IF(AND($B$1012=1,LEN($H$1050)&gt;0),$H$1050,HLOOKUP(INDIRECT(ADDRESS(2,COLUMN())),OFFSET($T$2,0,0,ROW()-1,14),ROW()-1,FALSE))</x:f>
        <x:v>4.2478550000000004</x:v>
      </x:c>
      <x:c r="I43">
        <x:f ca="1">IF(AND($B$1012=1,LEN($I$1050)&gt;0),$I$1050,HLOOKUP(INDIRECT(ADDRESS(2,COLUMN())),OFFSET($T$2,0,0,ROW()-1,14),ROW()-1,FALSE))</x:f>
        <x:v>0</x:v>
      </x:c>
      <x:c r="J43">
        <x:f ca="1">IF(AND($B$1012=1,LEN($J$1050)&gt;0),$J$1050,HLOOKUP(INDIRECT(ADDRESS(2,COLUMN())),OFFSET($T$2,0,0,ROW()-1,14),ROW()-1,FALSE))</x:f>
        <x:v>-0.95531900000000003</x:v>
      </x:c>
      <x:c r="K43">
        <x:f ca="1">IF(AND($B$1012=1,LEN($K$1050)&gt;0),$K$1050,HLOOKUP(INDIRECT(ADDRESS(2,COLUMN())),OFFSET($T$2,0,0,ROW()-1,14),ROW()-1,FALSE))</x:f>
        <x:v>0.86497500000000005</x:v>
      </x:c>
      <x:c r="L43">
        <x:f ca="1">IF(AND($B$1012=1,LEN($L$1050)&gt;0),$L$1050,HLOOKUP(INDIRECT(ADDRESS(2,COLUMN())),OFFSET($T$2,0,0,ROW()-1,14),ROW()-1,FALSE))</x:f>
        <x:v>0</x:v>
      </x:c>
      <x:c r="M43">
        <x:f ca="1">IF(AND($B$1012=1,LEN($M$1050)&gt;0),$M$1050,HLOOKUP(INDIRECT(ADDRESS(2,COLUMN())),OFFSET($T$2,0,0,ROW()-1,14),ROW()-1,FALSE))</x:f>
        <x:v>-2.565979</x:v>
      </x:c>
      <x:c r="N43">
        <x:f ca="1">IF(AND($B$1012=1,LEN($N$1050)&gt;0),$N$1050,HLOOKUP(INDIRECT(ADDRESS(2,COLUMN())),OFFSET($T$2,0,0,ROW()-1,14),ROW()-1,FALSE))</x:f>
        <x:v>2.7093310000000002</x:v>
      </x:c>
      <x:c r="O43">
        <x:f ca="1">IF(AND($B$1012=1,LEN($O$1050)&gt;0),$O$1050,HLOOKUP(INDIRECT(ADDRESS(2,COLUMN())),OFFSET($T$2,0,0,ROW()-1,14),ROW()-1,FALSE))</x:f>
        <x:v>0.95310600000000001</x:v>
      </x:c>
      <x:c r="P43">
        <x:f ca="1">IF(AND($B$1012=1,LEN($P$1050)&gt;0),$P$1050,HLOOKUP(INDIRECT(ADDRESS(2,COLUMN())),OFFSET($T$2,0,0,ROW()-1,14),ROW()-1,FALSE))</x:f>
        <x:v>-0.87331000000000003</x:v>
      </x:c>
      <x:c r="Q43">
        <x:f ca="1">IF(AND($B$1012=1,LEN($Q$1050)&gt;0),$Q$1050,HLOOKUP(INDIRECT(ADDRESS(2,COLUMN())),OFFSET($T$2,0,0,ROW()-1,14),ROW()-1,FALSE))</x:f>
        <x:v>-0.77210299999999998</x:v>
      </x:c>
      <x:c r="R43">
        <x:f ca="1">IF(AND($B$1012=1,LEN($R$1050)&gt;0),$R$1050,HLOOKUP(INDIRECT(ADDRESS(2,COLUMN())),OFFSET($T$2,0,0,ROW()-1,14),ROW()-1,FALSE))</x:f>
        <x:v>0</x:v>
      </x:c>
      <x:c r="S43">
        <x:f ca="1">IF(AND($B$1012=1,LEN($S$1050)&gt;0),$S$1050,HLOOKUP(INDIRECT(ADDRESS(2,COLUMN())),OFFSET($T$2,0,0,ROW()-1,14),ROW()-1,FALSE))</x:f>
        <x:v>0</x:v>
      </x:c>
      <x:c r="T43">
        <x:f>0</x:f>
        <x:v>0</x:v>
      </x:c>
      <x:c r="U43">
        <x:f>0</x:f>
        <x:v>0</x:v>
      </x:c>
      <x:c r="V43">
        <x:f>4.247855</x:f>
        <x:v>4.2478550000000004</x:v>
      </x:c>
      <x:c r="W43">
        <x:f>0</x:f>
        <x:v>0</x:v>
      </x:c>
      <x:c r="X43">
        <x:f>-0.955319</x:f>
        <x:v>-0.95531900000000003</x:v>
      </x:c>
      <x:c r="Y43">
        <x:f>0.864975</x:f>
        <x:v>0.86497500000000005</x:v>
      </x:c>
      <x:c r="Z43">
        <x:f>0</x:f>
        <x:v>0</x:v>
      </x:c>
      <x:c r="AA43">
        <x:f>-2.565979</x:f>
        <x:v>-2.565979</x:v>
      </x:c>
      <x:c r="AB43">
        <x:f>2.709331</x:f>
        <x:v>2.7093310000000002</x:v>
      </x:c>
      <x:c r="AC43">
        <x:f>0.953106</x:f>
        <x:v>0.95310600000000001</x:v>
      </x:c>
      <x:c r="AD43">
        <x:f>-0.87331</x:f>
        <x:v>-0.87331000000000003</x:v>
      </x:c>
      <x:c r="AE43">
        <x:f>-0.772103</x:f>
        <x:v>-0.77210299999999998</x:v>
      </x:c>
      <x:c r="AF43">
        <x:f>0</x:f>
        <x:v>0</x:v>
      </x:c>
      <x:c r="AG43">
        <x:f>0</x:f>
        <x:v>0</x:v>
      </x:c>
    </x:row>
    <x:row r="44" spans="1:33" x14ac:dyDescent="0.25">
      <x:c r="A44" t="str">
        <x:f>"        John Hancock Multi-Factor Cons"</x:f>
        <x:v xml:space="preserve">        John Hancock Multi-Factor Cons</x:v>
      </x:c>
      <x:c r="B44" t="str">
        <x:f>"JHMC US Equity"</x:f>
        <x:v>JHMC US Equity</x:v>
      </x:c>
      <x:c r="E44" t="str">
        <x:f t="shared" si="1"/>
        <x:v>Expression</x:v>
      </x:c>
      <x:c r="F44" t="str">
        <x:f ca="1">IF(AND($B$1012=1,LEN($F$1051)&gt;0),$F$1051,HLOOKUP(INDIRECT(ADDRESS(2,COLUMN())),OFFSET($T$2,0,0,ROW()-1,14),ROW()-1,FALSE))</x:f>
        <x:v/>
      </x:c>
      <x:c r="G44" t="str">
        <x:f ca="1">IF(AND($B$1012=1,LEN($G$1051)&gt;0),$G$1051,HLOOKUP(INDIRECT(ADDRESS(2,COLUMN())),OFFSET($T$2,0,0,ROW()-1,14),ROW()-1,FALSE))</x:f>
        <x:v/>
      </x:c>
      <x:c r="H44" t="str">
        <x:f ca="1">IF(AND($B$1012=1,LEN($H$1051)&gt;0),$H$1051,HLOOKUP(INDIRECT(ADDRESS(2,COLUMN())),OFFSET($T$2,0,0,ROW()-1,14),ROW()-1,FALSE))</x:f>
        <x:v/>
      </x:c>
      <x:c r="I44" t="str">
        <x:f ca="1">IF(AND($B$1012=1,LEN($I$1051)&gt;0),$I$1051,HLOOKUP(INDIRECT(ADDRESS(2,COLUMN())),OFFSET($T$2,0,0,ROW()-1,14),ROW()-1,FALSE))</x:f>
        <x:v/>
      </x:c>
      <x:c r="J44" t="str">
        <x:f ca="1">IF(AND($B$1012=1,LEN($J$1051)&gt;0),$J$1051,HLOOKUP(INDIRECT(ADDRESS(2,COLUMN())),OFFSET($T$2,0,0,ROW()-1,14),ROW()-1,FALSE))</x:f>
        <x:v/>
      </x:c>
      <x:c r="K44" t="str">
        <x:f ca="1">IF(AND($B$1012=1,LEN($K$1051)&gt;0),$K$1051,HLOOKUP(INDIRECT(ADDRESS(2,COLUMN())),OFFSET($T$2,0,0,ROW()-1,14),ROW()-1,FALSE))</x:f>
        <x:v/>
      </x:c>
      <x:c r="L44" t="str">
        <x:f ca="1">IF(AND($B$1012=1,LEN($L$1051)&gt;0),$L$1051,HLOOKUP(INDIRECT(ADDRESS(2,COLUMN())),OFFSET($T$2,0,0,ROW()-1,14),ROW()-1,FALSE))</x:f>
        <x:v/>
      </x:c>
      <x:c r="M44" t="str">
        <x:f ca="1">IF(AND($B$1012=1,LEN($M$1051)&gt;0),$M$1051,HLOOKUP(INDIRECT(ADDRESS(2,COLUMN())),OFFSET($T$2,0,0,ROW()-1,14),ROW()-1,FALSE))</x:f>
        <x:v/>
      </x:c>
      <x:c r="N44" t="str">
        <x:f ca="1">IF(AND($B$1012=1,LEN($N$1051)&gt;0),$N$1051,HLOOKUP(INDIRECT(ADDRESS(2,COLUMN())),OFFSET($T$2,0,0,ROW()-1,14),ROW()-1,FALSE))</x:f>
        <x:v/>
      </x:c>
      <x:c r="O44" t="str">
        <x:f ca="1">IF(AND($B$1012=1,LEN($O$1051)&gt;0),$O$1051,HLOOKUP(INDIRECT(ADDRESS(2,COLUMN())),OFFSET($T$2,0,0,ROW()-1,14),ROW()-1,FALSE))</x:f>
        <x:v/>
      </x:c>
      <x:c r="P44" t="str">
        <x:f ca="1">IF(AND($B$1012=1,LEN($P$1051)&gt;0),$P$1051,HLOOKUP(INDIRECT(ADDRESS(2,COLUMN())),OFFSET($T$2,0,0,ROW()-1,14),ROW()-1,FALSE))</x:f>
        <x:v/>
      </x:c>
      <x:c r="Q44" t="str">
        <x:f ca="1">IF(AND($B$1012=1,LEN($Q$1051)&gt;0),$Q$1051,HLOOKUP(INDIRECT(ADDRESS(2,COLUMN())),OFFSET($T$2,0,0,ROW()-1,14),ROW()-1,FALSE))</x:f>
        <x:v/>
      </x:c>
      <x:c r="R44" t="str">
        <x:f ca="1">IF(AND($B$1012=1,LEN($R$1051)&gt;0),$R$1051,HLOOKUP(INDIRECT(ADDRESS(2,COLUMN())),OFFSET($T$2,0,0,ROW()-1,14),ROW()-1,FALSE))</x:f>
        <x:v/>
      </x:c>
      <x:c r="S44">
        <x:f ca="1">IF(AND($B$1012=1,LEN($S$1051)&gt;0),$S$1051,HLOOKUP(INDIRECT(ADDRESS(2,COLUMN())),OFFSET($T$2,0,0,ROW()-1,14),ROW()-1,FALSE))</x:f>
        <x:v>-3.0931679999999999</x:v>
      </x:c>
      <x:c r="T44" t="str">
        <x:f>""</x:f>
        <x:v/>
      </x:c>
      <x:c r="U44" t="str">
        <x:f>""</x:f>
        <x:v/>
      </x:c>
      <x:c r="V44" t="str">
        <x:f>""</x:f>
        <x:v/>
      </x:c>
      <x:c r="W44" t="str">
        <x:f>""</x:f>
        <x:v/>
      </x:c>
      <x:c r="X44" t="str">
        <x:f>""</x:f>
        <x:v/>
      </x:c>
      <x:c r="Y44" t="str">
        <x:f>""</x:f>
        <x:v/>
      </x:c>
      <x:c r="Z44" t="str">
        <x:f>""</x:f>
        <x:v/>
      </x:c>
      <x:c r="AA44" t="str">
        <x:f>""</x:f>
        <x:v/>
      </x:c>
      <x:c r="AB44" t="str">
        <x:f>""</x:f>
        <x:v/>
      </x:c>
      <x:c r="AC44" t="str">
        <x:f>""</x:f>
        <x:v/>
      </x:c>
      <x:c r="AD44" t="str">
        <x:f>""</x:f>
        <x:v/>
      </x:c>
      <x:c r="AE44" t="str">
        <x:f>""</x:f>
        <x:v/>
      </x:c>
      <x:c r="AF44" t="str">
        <x:f>""</x:f>
        <x:v/>
      </x:c>
      <x:c r="AG44">
        <x:f>-3.093168</x:f>
        <x:v>-3.0931679999999999</x:v>
      </x:c>
    </x:row>
    <x:row r="45" spans="1:33" x14ac:dyDescent="0.25">
      <x:c r="A45" t="str">
        <x:f>"        Direxion Daily Retail Bull 3X"</x:f>
        <x:v xml:space="preserve">        Direxion Daily Retail Bull 3X</x:v>
      </x:c>
      <x:c r="B45" t="str">
        <x:f>"RETL US Equity"</x:f>
        <x:v>RETL US Equity</x:v>
      </x:c>
      <x:c r="E45" t="str">
        <x:f t="shared" si="1"/>
        <x:v>Expression</x:v>
      </x:c>
      <x:c r="F45">
        <x:f ca="1">IF(AND($B$1012=1,LEN($F$1052)&gt;0),$F$1052,HLOOKUP(INDIRECT(ADDRESS(2,COLUMN())),OFFSET($T$2,0,0,ROW()-1,14),ROW()-1,FALSE))</x:f>
        <x:v>-0.31279400000000002</x:v>
      </x:c>
      <x:c r="G45">
        <x:f ca="1">IF(AND($B$1012=1,LEN($G$1052)&gt;0),$G$1052,HLOOKUP(INDIRECT(ADDRESS(2,COLUMN())),OFFSET($T$2,0,0,ROW()-1,14),ROW()-1,FALSE))</x:f>
        <x:v>1.8751960000000001</x:v>
      </x:c>
      <x:c r="H45">
        <x:f ca="1">IF(AND($B$1012=1,LEN($H$1052)&gt;0),$H$1052,HLOOKUP(INDIRECT(ADDRESS(2,COLUMN())),OFFSET($T$2,0,0,ROW()-1,14),ROW()-1,FALSE))</x:f>
        <x:v>0.57487699999999997</x:v>
      </x:c>
      <x:c r="I45">
        <x:f ca="1">IF(AND($B$1012=1,LEN($I$1052)&gt;0),$I$1052,HLOOKUP(INDIRECT(ADDRESS(2,COLUMN())),OFFSET($T$2,0,0,ROW()-1,14),ROW()-1,FALSE))</x:f>
        <x:v>-4.0722889999999996</x:v>
      </x:c>
      <x:c r="J45">
        <x:f ca="1">IF(AND($B$1012=1,LEN($J$1052)&gt;0),$J$1052,HLOOKUP(INDIRECT(ADDRESS(2,COLUMN())),OFFSET($T$2,0,0,ROW()-1,14),ROW()-1,FALSE))</x:f>
        <x:v>-4.2503890000000002</x:v>
      </x:c>
      <x:c r="K45">
        <x:f ca="1">IF(AND($B$1012=1,LEN($K$1052)&gt;0),$K$1052,HLOOKUP(INDIRECT(ADDRESS(2,COLUMN())),OFFSET($T$2,0,0,ROW()-1,14),ROW()-1,FALSE))</x:f>
        <x:v>-0.37421900000000002</x:v>
      </x:c>
      <x:c r="L45">
        <x:f ca="1">IF(AND($B$1012=1,LEN($L$1052)&gt;0),$L$1052,HLOOKUP(INDIRECT(ADDRESS(2,COLUMN())),OFFSET($T$2,0,0,ROW()-1,14),ROW()-1,FALSE))</x:f>
        <x:v>7.7794189999999999</x:v>
      </x:c>
      <x:c r="M45">
        <x:f ca="1">IF(AND($B$1012=1,LEN($M$1052)&gt;0),$M$1052,HLOOKUP(INDIRECT(ADDRESS(2,COLUMN())),OFFSET($T$2,0,0,ROW()-1,14),ROW()-1,FALSE))</x:f>
        <x:v>2.4319480000000002</x:v>
      </x:c>
      <x:c r="N45">
        <x:f ca="1">IF(AND($B$1012=1,LEN($N$1052)&gt;0),$N$1052,HLOOKUP(INDIRECT(ADDRESS(2,COLUMN())),OFFSET($T$2,0,0,ROW()-1,14),ROW()-1,FALSE))</x:f>
        <x:v>5.4308319999999997</x:v>
      </x:c>
      <x:c r="O45">
        <x:f ca="1">IF(AND($B$1012=1,LEN($O$1052)&gt;0),$O$1052,HLOOKUP(INDIRECT(ADDRESS(2,COLUMN())),OFFSET($T$2,0,0,ROW()-1,14),ROW()-1,FALSE))</x:f>
        <x:v>-1.8599999999999998E-2</x:v>
      </x:c>
      <x:c r="P45">
        <x:f ca="1">IF(AND($B$1012=1,LEN($P$1052)&gt;0),$P$1052,HLOOKUP(INDIRECT(ADDRESS(2,COLUMN())),OFFSET($T$2,0,0,ROW()-1,14),ROW()-1,FALSE))</x:f>
        <x:v>-4.3498099999999997</x:v>
      </x:c>
      <x:c r="Q45">
        <x:f ca="1">IF(AND($B$1012=1,LEN($Q$1052)&gt;0),$Q$1052,HLOOKUP(INDIRECT(ADDRESS(2,COLUMN())),OFFSET($T$2,0,0,ROW()-1,14),ROW()-1,FALSE))</x:f>
        <x:v>-1.28152</x:v>
      </x:c>
      <x:c r="R45">
        <x:f ca="1">IF(AND($B$1012=1,LEN($R$1052)&gt;0),$R$1052,HLOOKUP(INDIRECT(ADDRESS(2,COLUMN())),OFFSET($T$2,0,0,ROW()-1,14),ROW()-1,FALSE))</x:f>
        <x:v>0.61399400000000004</x:v>
      </x:c>
      <x:c r="S45">
        <x:f ca="1">IF(AND($B$1012=1,LEN($S$1052)&gt;0),$S$1052,HLOOKUP(INDIRECT(ADDRESS(2,COLUMN())),OFFSET($T$2,0,0,ROW()-1,14),ROW()-1,FALSE))</x:f>
        <x:v>-1.772327</x:v>
      </x:c>
      <x:c r="T45">
        <x:f>-0.312794</x:f>
        <x:v>-0.31279400000000002</x:v>
      </x:c>
      <x:c r="U45">
        <x:f>1.875196</x:f>
        <x:v>1.8751960000000001</x:v>
      </x:c>
      <x:c r="V45">
        <x:f>0.574877</x:f>
        <x:v>0.57487699999999997</x:v>
      </x:c>
      <x:c r="W45">
        <x:f>-4.072289</x:f>
        <x:v>-4.0722889999999996</x:v>
      </x:c>
      <x:c r="X45">
        <x:f>-4.250389</x:f>
        <x:v>-4.2503890000000002</x:v>
      </x:c>
      <x:c r="Y45">
        <x:f>-0.374219</x:f>
        <x:v>-0.37421900000000002</x:v>
      </x:c>
      <x:c r="Z45">
        <x:f>7.779419</x:f>
        <x:v>7.7794189999999999</x:v>
      </x:c>
      <x:c r="AA45">
        <x:f>2.431948</x:f>
        <x:v>2.4319480000000002</x:v>
      </x:c>
      <x:c r="AB45">
        <x:f>5.430832</x:f>
        <x:v>5.4308319999999997</x:v>
      </x:c>
      <x:c r="AC45">
        <x:f>-0.0186</x:f>
        <x:v>-1.8599999999999998E-2</x:v>
      </x:c>
      <x:c r="AD45">
        <x:f>-4.34981</x:f>
        <x:v>-4.3498099999999997</x:v>
      </x:c>
      <x:c r="AE45">
        <x:f>-1.28152</x:f>
        <x:v>-1.28152</x:v>
      </x:c>
      <x:c r="AF45">
        <x:f>0.613994</x:f>
        <x:v>0.61399400000000004</x:v>
      </x:c>
      <x:c r="AG45">
        <x:f>-1.772327</x:f>
        <x:v>-1.772327</x:v>
      </x:c>
    </x:row>
    <x:row r="46" spans="1:33" x14ac:dyDescent="0.25">
      <x:c r="A46" t="str">
        <x:f>"        Invesco DWA Consumer Cyclicals"</x:f>
        <x:v xml:space="preserve">        Invesco DWA Consumer Cyclicals</x:v>
      </x:c>
      <x:c r="B46" t="str">
        <x:f>"PEZ US Equity"</x:f>
        <x:v>PEZ US Equity</x:v>
      </x:c>
      <x:c r="E46" t="str">
        <x:f t="shared" si="1"/>
        <x:v>Expression</x:v>
      </x:c>
      <x:c r="F46">
        <x:f ca="1">IF(AND($B$1012=1,LEN($F$1053)&gt;0),$F$1053,HLOOKUP(INDIRECT(ADDRESS(2,COLUMN())),OFFSET($T$2,0,0,ROW()-1,14),ROW()-1,FALSE))</x:f>
        <x:v>0</x:v>
      </x:c>
      <x:c r="G46">
        <x:f ca="1">IF(AND($B$1012=1,LEN($G$1053)&gt;0),$G$1053,HLOOKUP(INDIRECT(ADDRESS(2,COLUMN())),OFFSET($T$2,0,0,ROW()-1,14),ROW()-1,FALSE))</x:f>
        <x:v>-1.242702</x:v>
      </x:c>
      <x:c r="H46">
        <x:f ca="1">IF(AND($B$1012=1,LEN($H$1053)&gt;0),$H$1053,HLOOKUP(INDIRECT(ADDRESS(2,COLUMN())),OFFSET($T$2,0,0,ROW()-1,14),ROW()-1,FALSE))</x:f>
        <x:v>0</x:v>
      </x:c>
      <x:c r="I46">
        <x:f ca="1">IF(AND($B$1012=1,LEN($I$1053)&gt;0),$I$1053,HLOOKUP(INDIRECT(ADDRESS(2,COLUMN())),OFFSET($T$2,0,0,ROW()-1,14),ROW()-1,FALSE))</x:f>
        <x:v>-0.66975700000000005</x:v>
      </x:c>
      <x:c r="J46">
        <x:f ca="1">IF(AND($B$1012=1,LEN($J$1053)&gt;0),$J$1053,HLOOKUP(INDIRECT(ADDRESS(2,COLUMN())),OFFSET($T$2,0,0,ROW()-1,14),ROW()-1,FALSE))</x:f>
        <x:v>-0.68183800000000006</x:v>
      </x:c>
      <x:c r="K46">
        <x:f ca="1">IF(AND($B$1012=1,LEN($K$1053)&gt;0),$K$1053,HLOOKUP(INDIRECT(ADDRESS(2,COLUMN())),OFFSET($T$2,0,0,ROW()-1,14),ROW()-1,FALSE))</x:f>
        <x:v>0</x:v>
      </x:c>
      <x:c r="L46">
        <x:f ca="1">IF(AND($B$1012=1,LEN($L$1053)&gt;0),$L$1053,HLOOKUP(INDIRECT(ADDRESS(2,COLUMN())),OFFSET($T$2,0,0,ROW()-1,14),ROW()-1,FALSE))</x:f>
        <x:v>-1.3054429999999999</x:v>
      </x:c>
      <x:c r="M46">
        <x:f ca="1">IF(AND($B$1012=1,LEN($M$1053)&gt;0),$M$1053,HLOOKUP(INDIRECT(ADDRESS(2,COLUMN())),OFFSET($T$2,0,0,ROW()-1,14),ROW()-1,FALSE))</x:f>
        <x:v>0</x:v>
      </x:c>
      <x:c r="N46">
        <x:f ca="1">IF(AND($B$1012=1,LEN($N$1053)&gt;0),$N$1053,HLOOKUP(INDIRECT(ADDRESS(2,COLUMN())),OFFSET($T$2,0,0,ROW()-1,14),ROW()-1,FALSE))</x:f>
        <x:v>-0.68723800000000002</x:v>
      </x:c>
      <x:c r="O46">
        <x:f ca="1">IF(AND($B$1012=1,LEN($O$1053)&gt;0),$O$1053,HLOOKUP(INDIRECT(ADDRESS(2,COLUMN())),OFFSET($T$2,0,0,ROW()-1,14),ROW()-1,FALSE))</x:f>
        <x:v>-1.3934979999999999</x:v>
      </x:c>
      <x:c r="P46">
        <x:f ca="1">IF(AND($B$1012=1,LEN($P$1053)&gt;0),$P$1053,HLOOKUP(INDIRECT(ADDRESS(2,COLUMN())),OFFSET($T$2,0,0,ROW()-1,14),ROW()-1,FALSE))</x:f>
        <x:v>-0.67196</x:v>
      </x:c>
      <x:c r="Q46">
        <x:f ca="1">IF(AND($B$1012=1,LEN($Q$1053)&gt;0),$Q$1053,HLOOKUP(INDIRECT(ADDRESS(2,COLUMN())),OFFSET($T$2,0,0,ROW()-1,14),ROW()-1,FALSE))</x:f>
        <x:v>-0.66770700000000005</x:v>
      </x:c>
      <x:c r="R46">
        <x:f ca="1">IF(AND($B$1012=1,LEN($R$1053)&gt;0),$R$1053,HLOOKUP(INDIRECT(ADDRESS(2,COLUMN())),OFFSET($T$2,0,0,ROW()-1,14),ROW()-1,FALSE))</x:f>
        <x:v>0</x:v>
      </x:c>
      <x:c r="S46">
        <x:f ca="1">IF(AND($B$1012=1,LEN($S$1053)&gt;0),$S$1053,HLOOKUP(INDIRECT(ADDRESS(2,COLUMN())),OFFSET($T$2,0,0,ROW()-1,14),ROW()-1,FALSE))</x:f>
        <x:v>-1.2217849999999999</x:v>
      </x:c>
      <x:c r="T46">
        <x:f>0</x:f>
        <x:v>0</x:v>
      </x:c>
      <x:c r="U46">
        <x:f>-1.242702</x:f>
        <x:v>-1.242702</x:v>
      </x:c>
      <x:c r="V46">
        <x:f>0</x:f>
        <x:v>0</x:v>
      </x:c>
      <x:c r="W46">
        <x:f>-0.669757</x:f>
        <x:v>-0.66975700000000005</x:v>
      </x:c>
      <x:c r="X46">
        <x:f>-0.681838</x:f>
        <x:v>-0.68183800000000006</x:v>
      </x:c>
      <x:c r="Y46">
        <x:f>0</x:f>
        <x:v>0</x:v>
      </x:c>
      <x:c r="Z46">
        <x:f>-1.305443</x:f>
        <x:v>-1.3054429999999999</x:v>
      </x:c>
      <x:c r="AA46">
        <x:f>0</x:f>
        <x:v>0</x:v>
      </x:c>
      <x:c r="AB46">
        <x:f>-0.687238</x:f>
        <x:v>-0.68723800000000002</x:v>
      </x:c>
      <x:c r="AC46">
        <x:f>-1.393498</x:f>
        <x:v>-1.3934979999999999</x:v>
      </x:c>
      <x:c r="AD46">
        <x:f>-0.67196</x:f>
        <x:v>-0.67196</x:v>
      </x:c>
      <x:c r="AE46">
        <x:f>-0.667707</x:f>
        <x:v>-0.66770700000000005</x:v>
      </x:c>
      <x:c r="AF46">
        <x:f>0</x:f>
        <x:v>0</x:v>
      </x:c>
      <x:c r="AG46">
        <x:f>-1.221785</x:f>
        <x:v>-1.2217849999999999</x:v>
      </x:c>
    </x:row>
    <x:row r="47" spans="1:33" x14ac:dyDescent="0.25">
      <x:c r="A47" t="str">
        <x:f>"        ProShares Ultra Consumer Discr"</x:f>
        <x:v xml:space="preserve">        ProShares Ultra Consumer Discr</x:v>
      </x:c>
      <x:c r="B47" t="str">
        <x:f>"UCC US Equity"</x:f>
        <x:v>UCC US Equity</x:v>
      </x:c>
      <x:c r="E47" t="str">
        <x:f t="shared" si="1"/>
        <x:v>Expression</x:v>
      </x:c>
      <x:c r="F47">
        <x:f ca="1">IF(AND($B$1012=1,LEN($F$1054)&gt;0),$F$1054,HLOOKUP(INDIRECT(ADDRESS(2,COLUMN())),OFFSET($T$2,0,0,ROW()-1,14),ROW()-1,FALSE))</x:f>
        <x:v>-1.2643759999999999</x:v>
      </x:c>
      <x:c r="G47">
        <x:f ca="1">IF(AND($B$1012=1,LEN($G$1054)&gt;0),$G$1054,HLOOKUP(INDIRECT(ADDRESS(2,COLUMN())),OFFSET($T$2,0,0,ROW()-1,14),ROW()-1,FALSE))</x:f>
        <x:v>-1.6055060000000001</x:v>
      </x:c>
      <x:c r="H47">
        <x:f ca="1">IF(AND($B$1012=1,LEN($H$1054)&gt;0),$H$1054,HLOOKUP(INDIRECT(ADDRESS(2,COLUMN())),OFFSET($T$2,0,0,ROW()-1,14),ROW()-1,FALSE))</x:f>
        <x:v>-1.6499509999999999</x:v>
      </x:c>
      <x:c r="I47">
        <x:f ca="1">IF(AND($B$1012=1,LEN($I$1054)&gt;0),$I$1054,HLOOKUP(INDIRECT(ADDRESS(2,COLUMN())),OFFSET($T$2,0,0,ROW()-1,14),ROW()-1,FALSE))</x:f>
        <x:v>1.61653</x:v>
      </x:c>
      <x:c r="J47">
        <x:f ca="1">IF(AND($B$1012=1,LEN($J$1054)&gt;0),$J$1054,HLOOKUP(INDIRECT(ADDRESS(2,COLUMN())),OFFSET($T$2,0,0,ROW()-1,14),ROW()-1,FALSE))</x:f>
        <x:v>0.70038199999999995</x:v>
      </x:c>
      <x:c r="K47">
        <x:f ca="1">IF(AND($B$1012=1,LEN($K$1054)&gt;0),$K$1054,HLOOKUP(INDIRECT(ADDRESS(2,COLUMN())),OFFSET($T$2,0,0,ROW()-1,14),ROW()-1,FALSE))</x:f>
        <x:v>4.2009999999999999E-3</x:v>
      </x:c>
      <x:c r="L47">
        <x:f ca="1">IF(AND($B$1012=1,LEN($L$1054)&gt;0),$L$1054,HLOOKUP(INDIRECT(ADDRESS(2,COLUMN())),OFFSET($T$2,0,0,ROW()-1,14),ROW()-1,FALSE))</x:f>
        <x:v>0</x:v>
      </x:c>
      <x:c r="M47">
        <x:f ca="1">IF(AND($B$1012=1,LEN($M$1054)&gt;0),$M$1054,HLOOKUP(INDIRECT(ADDRESS(2,COLUMN())),OFFSET($T$2,0,0,ROW()-1,14),ROW()-1,FALSE))</x:f>
        <x:v>-0.26305699999999999</x:v>
      </x:c>
      <x:c r="N47">
        <x:f ca="1">IF(AND($B$1012=1,LEN($N$1054)&gt;0),$N$1054,HLOOKUP(INDIRECT(ADDRESS(2,COLUMN())),OFFSET($T$2,0,0,ROW()-1,14),ROW()-1,FALSE))</x:f>
        <x:v>0.248525</x:v>
      </x:c>
      <x:c r="O47">
        <x:f ca="1">IF(AND($B$1012=1,LEN($O$1054)&gt;0),$O$1054,HLOOKUP(INDIRECT(ADDRESS(2,COLUMN())),OFFSET($T$2,0,0,ROW()-1,14),ROW()-1,FALSE))</x:f>
        <x:v>1.9802439999999999</x:v>
      </x:c>
      <x:c r="P47">
        <x:f ca="1">IF(AND($B$1012=1,LEN($P$1054)&gt;0),$P$1054,HLOOKUP(INDIRECT(ADDRESS(2,COLUMN())),OFFSET($T$2,0,0,ROW()-1,14),ROW()-1,FALSE))</x:f>
        <x:v>0</x:v>
      </x:c>
      <x:c r="Q47">
        <x:f ca="1">IF(AND($B$1012=1,LEN($Q$1054)&gt;0),$Q$1054,HLOOKUP(INDIRECT(ADDRESS(2,COLUMN())),OFFSET($T$2,0,0,ROW()-1,14),ROW()-1,FALSE))</x:f>
        <x:v>-0.45169100000000001</x:v>
      </x:c>
      <x:c r="R47">
        <x:f ca="1">IF(AND($B$1012=1,LEN($R$1054)&gt;0),$R$1054,HLOOKUP(INDIRECT(ADDRESS(2,COLUMN())),OFFSET($T$2,0,0,ROW()-1,14),ROW()-1,FALSE))</x:f>
        <x:v>0</x:v>
      </x:c>
      <x:c r="S47">
        <x:f ca="1">IF(AND($B$1012=1,LEN($S$1054)&gt;0),$S$1054,HLOOKUP(INDIRECT(ADDRESS(2,COLUMN())),OFFSET($T$2,0,0,ROW()-1,14),ROW()-1,FALSE))</x:f>
        <x:v>0</x:v>
      </x:c>
      <x:c r="T47">
        <x:f>-1.264376</x:f>
        <x:v>-1.2643759999999999</x:v>
      </x:c>
      <x:c r="U47">
        <x:f>-1.605506</x:f>
        <x:v>-1.6055060000000001</x:v>
      </x:c>
      <x:c r="V47">
        <x:f>-1.649951</x:f>
        <x:v>-1.6499509999999999</x:v>
      </x:c>
      <x:c r="W47">
        <x:f>1.61653</x:f>
        <x:v>1.61653</x:v>
      </x:c>
      <x:c r="X47">
        <x:f>0.700382</x:f>
        <x:v>0.70038199999999995</x:v>
      </x:c>
      <x:c r="Y47">
        <x:f>0.004201</x:f>
        <x:v>4.2009999999999999E-3</x:v>
      </x:c>
      <x:c r="Z47">
        <x:f>0</x:f>
        <x:v>0</x:v>
      </x:c>
      <x:c r="AA47">
        <x:f>-0.263057</x:f>
        <x:v>-0.26305699999999999</x:v>
      </x:c>
      <x:c r="AB47">
        <x:f>0.248525</x:f>
        <x:v>0.248525</x:v>
      </x:c>
      <x:c r="AC47">
        <x:f>1.980244</x:f>
        <x:v>1.9802439999999999</x:v>
      </x:c>
      <x:c r="AD47">
        <x:f>0</x:f>
        <x:v>0</x:v>
      </x:c>
      <x:c r="AE47">
        <x:f>-0.451691</x:f>
        <x:v>-0.45169100000000001</x:v>
      </x:c>
      <x:c r="AF47">
        <x:f>0</x:f>
        <x:v>0</x:v>
      </x:c>
      <x:c r="AG47">
        <x:f>0</x:f>
        <x:v>0</x:v>
      </x:c>
    </x:row>
    <x:row r="48" spans="1:33" x14ac:dyDescent="0.25">
      <x:c r="A48" t="str">
        <x:f>"        First Trust S-Network Future V"</x:f>
        <x:v xml:space="preserve">        First Trust S-Network Future V</x:v>
      </x:c>
      <x:c r="B48" t="str">
        <x:f>"CARZ US Equity"</x:f>
        <x:v>CARZ US Equity</x:v>
      </x:c>
      <x:c r="E48" t="str">
        <x:f t="shared" si="1"/>
        <x:v>Expression</x:v>
      </x:c>
      <x:c r="F48">
        <x:f ca="1">IF(AND($B$1012=1,LEN($F$1055)&gt;0),$F$1055,HLOOKUP(INDIRECT(ADDRESS(2,COLUMN())),OFFSET($T$2,0,0,ROW()-1,14),ROW()-1,FALSE))</x:f>
        <x:v>0</x:v>
      </x:c>
      <x:c r="G48">
        <x:f ca="1">IF(AND($B$1012=1,LEN($G$1055)&gt;0),$G$1055,HLOOKUP(INDIRECT(ADDRESS(2,COLUMN())),OFFSET($T$2,0,0,ROW()-1,14),ROW()-1,FALSE))</x:f>
        <x:v>0</x:v>
      </x:c>
      <x:c r="H48">
        <x:f ca="1">IF(AND($B$1012=1,LEN($H$1055)&gt;0),$H$1055,HLOOKUP(INDIRECT(ADDRESS(2,COLUMN())),OFFSET($T$2,0,0,ROW()-1,14),ROW()-1,FALSE))</x:f>
        <x:v>-5.4035320000000002</x:v>
      </x:c>
      <x:c r="I48">
        <x:f ca="1">IF(AND($B$1012=1,LEN($I$1055)&gt;0),$I$1055,HLOOKUP(INDIRECT(ADDRESS(2,COLUMN())),OFFSET($T$2,0,0,ROW()-1,14),ROW()-1,FALSE))</x:f>
        <x:v>0</x:v>
      </x:c>
      <x:c r="J48">
        <x:f ca="1">IF(AND($B$1012=1,LEN($J$1055)&gt;0),$J$1055,HLOOKUP(INDIRECT(ADDRESS(2,COLUMN())),OFFSET($T$2,0,0,ROW()-1,14),ROW()-1,FALSE))</x:f>
        <x:v>11.42</x:v>
      </x:c>
      <x:c r="K48">
        <x:f ca="1">IF(AND($B$1012=1,LEN($K$1055)&gt;0),$K$1055,HLOOKUP(INDIRECT(ADDRESS(2,COLUMN())),OFFSET($T$2,0,0,ROW()-1,14),ROW()-1,FALSE))</x:f>
        <x:v>-5.5090000000000003</x:v>
      </x:c>
      <x:c r="L48">
        <x:f ca="1">IF(AND($B$1012=1,LEN($L$1055)&gt;0),$L$1055,HLOOKUP(INDIRECT(ADDRESS(2,COLUMN())),OFFSET($T$2,0,0,ROW()-1,14),ROW()-1,FALSE))</x:f>
        <x:v>0</x:v>
      </x:c>
      <x:c r="M48">
        <x:f ca="1">IF(AND($B$1012=1,LEN($M$1055)&gt;0),$M$1055,HLOOKUP(INDIRECT(ADDRESS(2,COLUMN())),OFFSET($T$2,0,0,ROW()-1,14),ROW()-1,FALSE))</x:f>
        <x:v>0</x:v>
      </x:c>
      <x:c r="N48">
        <x:f ca="1">IF(AND($B$1012=1,LEN($N$1055)&gt;0),$N$1055,HLOOKUP(INDIRECT(ADDRESS(2,COLUMN())),OFFSET($T$2,0,0,ROW()-1,14),ROW()-1,FALSE))</x:f>
        <x:v>-7.2785000000000002</x:v>
      </x:c>
      <x:c r="O48">
        <x:f ca="1">IF(AND($B$1012=1,LEN($O$1055)&gt;0),$O$1055,HLOOKUP(INDIRECT(ADDRESS(2,COLUMN())),OFFSET($T$2,0,0,ROW()-1,14),ROW()-1,FALSE))</x:f>
        <x:v>0</x:v>
      </x:c>
      <x:c r="P48">
        <x:f ca="1">IF(AND($B$1012=1,LEN($P$1055)&gt;0),$P$1055,HLOOKUP(INDIRECT(ADDRESS(2,COLUMN())),OFFSET($T$2,0,0,ROW()-1,14),ROW()-1,FALSE))</x:f>
        <x:v>0</x:v>
      </x:c>
      <x:c r="Q48">
        <x:f ca="1">IF(AND($B$1012=1,LEN($Q$1055)&gt;0),$Q$1055,HLOOKUP(INDIRECT(ADDRESS(2,COLUMN())),OFFSET($T$2,0,0,ROW()-1,14),ROW()-1,FALSE))</x:f>
        <x:v>0</x:v>
      </x:c>
      <x:c r="R48">
        <x:f ca="1">IF(AND($B$1012=1,LEN($R$1055)&gt;0),$R$1055,HLOOKUP(INDIRECT(ADDRESS(2,COLUMN())),OFFSET($T$2,0,0,ROW()-1,14),ROW()-1,FALSE))</x:f>
        <x:v>-2.0673110000000001</x:v>
      </x:c>
      <x:c r="S48">
        <x:f ca="1">IF(AND($B$1012=1,LEN($S$1055)&gt;0),$S$1055,HLOOKUP(INDIRECT(ADDRESS(2,COLUMN())),OFFSET($T$2,0,0,ROW()-1,14),ROW()-1,FALSE))</x:f>
        <x:v>0</x:v>
      </x:c>
      <x:c r="T48">
        <x:f>0</x:f>
        <x:v>0</x:v>
      </x:c>
      <x:c r="U48">
        <x:f>0</x:f>
        <x:v>0</x:v>
      </x:c>
      <x:c r="V48">
        <x:f>-5.403532</x:f>
        <x:v>-5.4035320000000002</x:v>
      </x:c>
      <x:c r="W48">
        <x:f>0</x:f>
        <x:v>0</x:v>
      </x:c>
      <x:c r="X48">
        <x:f>11.42</x:f>
        <x:v>11.42</x:v>
      </x:c>
      <x:c r="Y48">
        <x:f>-5.509</x:f>
        <x:v>-5.5090000000000003</x:v>
      </x:c>
      <x:c r="Z48">
        <x:f>0</x:f>
        <x:v>0</x:v>
      </x:c>
      <x:c r="AA48">
        <x:f>0</x:f>
        <x:v>0</x:v>
      </x:c>
      <x:c r="AB48">
        <x:f>-7.2785</x:f>
        <x:v>-7.2785000000000002</x:v>
      </x:c>
      <x:c r="AC48">
        <x:f>0</x:f>
        <x:v>0</x:v>
      </x:c>
      <x:c r="AD48">
        <x:f>0</x:f>
        <x:v>0</x:v>
      </x:c>
      <x:c r="AE48">
        <x:f>0</x:f>
        <x:v>0</x:v>
      </x:c>
      <x:c r="AF48">
        <x:f>-2.067311</x:f>
        <x:v>-2.0673110000000001</x:v>
      </x:c>
      <x:c r="AG48">
        <x:f>0</x:f>
        <x:v>0</x:v>
      </x:c>
    </x:row>
    <x:row r="49" spans="1:33" x14ac:dyDescent="0.25">
      <x:c r="A49" t="str">
        <x:f>"        SPDR S&amp;P International Consume"</x:f>
        <x:v xml:space="preserve">        SPDR S&amp;P International Consume</x:v>
      </x:c>
      <x:c r="B49" t="str">
        <x:f>"IPD US Equity"</x:f>
        <x:v>IPD US Equity</x:v>
      </x:c>
      <x:c r="E49" t="str">
        <x:f t="shared" si="1"/>
        <x:v>Expression</x:v>
      </x:c>
      <x:c r="F49" t="str">
        <x:f ca="1">IF(AND($B$1012=1,LEN($F$1056)&gt;0),$F$1056,HLOOKUP(INDIRECT(ADDRESS(2,COLUMN())),OFFSET($T$2,0,0,ROW()-1,14),ROW()-1,FALSE))</x:f>
        <x:v/>
      </x:c>
      <x:c r="G49" t="str">
        <x:f ca="1">IF(AND($B$1012=1,LEN($G$1056)&gt;0),$G$1056,HLOOKUP(INDIRECT(ADDRESS(2,COLUMN())),OFFSET($T$2,0,0,ROW()-1,14),ROW()-1,FALSE))</x:f>
        <x:v/>
      </x:c>
      <x:c r="H49" t="str">
        <x:f ca="1">IF(AND($B$1012=1,LEN($H$1056)&gt;0),$H$1056,HLOOKUP(INDIRECT(ADDRESS(2,COLUMN())),OFFSET($T$2,0,0,ROW()-1,14),ROW()-1,FALSE))</x:f>
        <x:v/>
      </x:c>
      <x:c r="I49" t="str">
        <x:f ca="1">IF(AND($B$1012=1,LEN($I$1056)&gt;0),$I$1056,HLOOKUP(INDIRECT(ADDRESS(2,COLUMN())),OFFSET($T$2,0,0,ROW()-1,14),ROW()-1,FALSE))</x:f>
        <x:v/>
      </x:c>
      <x:c r="J49" t="str">
        <x:f ca="1">IF(AND($B$1012=1,LEN($J$1056)&gt;0),$J$1056,HLOOKUP(INDIRECT(ADDRESS(2,COLUMN())),OFFSET($T$2,0,0,ROW()-1,14),ROW()-1,FALSE))</x:f>
        <x:v/>
      </x:c>
      <x:c r="K49" t="str">
        <x:f ca="1">IF(AND($B$1012=1,LEN($K$1056)&gt;0),$K$1056,HLOOKUP(INDIRECT(ADDRESS(2,COLUMN())),OFFSET($T$2,0,0,ROW()-1,14),ROW()-1,FALSE))</x:f>
        <x:v/>
      </x:c>
      <x:c r="L49" t="str">
        <x:f ca="1">IF(AND($B$1012=1,LEN($L$1056)&gt;0),$L$1056,HLOOKUP(INDIRECT(ADDRESS(2,COLUMN())),OFFSET($T$2,0,0,ROW()-1,14),ROW()-1,FALSE))</x:f>
        <x:v/>
      </x:c>
      <x:c r="M49" t="str">
        <x:f ca="1">IF(AND($B$1012=1,LEN($M$1056)&gt;0),$M$1056,HLOOKUP(INDIRECT(ADDRESS(2,COLUMN())),OFFSET($T$2,0,0,ROW()-1,14),ROW()-1,FALSE))</x:f>
        <x:v/>
      </x:c>
      <x:c r="N49" t="str">
        <x:f ca="1">IF(AND($B$1012=1,LEN($N$1056)&gt;0),$N$1056,HLOOKUP(INDIRECT(ADDRESS(2,COLUMN())),OFFSET($T$2,0,0,ROW()-1,14),ROW()-1,FALSE))</x:f>
        <x:v/>
      </x:c>
      <x:c r="O49" t="str">
        <x:f ca="1">IF(AND($B$1012=1,LEN($O$1056)&gt;0),$O$1056,HLOOKUP(INDIRECT(ADDRESS(2,COLUMN())),OFFSET($T$2,0,0,ROW()-1,14),ROW()-1,FALSE))</x:f>
        <x:v/>
      </x:c>
      <x:c r="P49" t="str">
        <x:f ca="1">IF(AND($B$1012=1,LEN($P$1056)&gt;0),$P$1056,HLOOKUP(INDIRECT(ADDRESS(2,COLUMN())),OFFSET($T$2,0,0,ROW()-1,14),ROW()-1,FALSE))</x:f>
        <x:v/>
      </x:c>
      <x:c r="Q49" t="str">
        <x:f ca="1">IF(AND($B$1012=1,LEN($Q$1056)&gt;0),$Q$1056,HLOOKUP(INDIRECT(ADDRESS(2,COLUMN())),OFFSET($T$2,0,0,ROW()-1,14),ROW()-1,FALSE))</x:f>
        <x:v/>
      </x:c>
      <x:c r="R49" t="str">
        <x:f ca="1">IF(AND($B$1012=1,LEN($R$1056)&gt;0),$R$1056,HLOOKUP(INDIRECT(ADDRESS(2,COLUMN())),OFFSET($T$2,0,0,ROW()-1,14),ROW()-1,FALSE))</x:f>
        <x:v/>
      </x:c>
      <x:c r="S49" t="str">
        <x:f ca="1">IF(AND($B$1012=1,LEN($S$1056)&gt;0),$S$1056,HLOOKUP(INDIRECT(ADDRESS(2,COLUMN())),OFFSET($T$2,0,0,ROW()-1,14),ROW()-1,FALSE))</x:f>
        <x:v/>
      </x:c>
      <x:c r="T49" t="str">
        <x:f>""</x:f>
        <x:v/>
      </x:c>
      <x:c r="U49" t="str">
        <x:f>""</x:f>
        <x:v/>
      </x:c>
      <x:c r="V49" t="str">
        <x:f>""</x:f>
        <x:v/>
      </x:c>
      <x:c r="W49" t="str">
        <x:f>""</x:f>
        <x:v/>
      </x:c>
      <x:c r="X49" t="str">
        <x:f>""</x:f>
        <x:v/>
      </x:c>
      <x:c r="Y49" t="str">
        <x:f>""</x:f>
        <x:v/>
      </x:c>
      <x:c r="Z49" t="str">
        <x:f>""</x:f>
        <x:v/>
      </x:c>
      <x:c r="AA49" t="str">
        <x:f>""</x:f>
        <x:v/>
      </x:c>
      <x:c r="AB49" t="str">
        <x:f>""</x:f>
        <x:v/>
      </x:c>
      <x:c r="AC49" t="str">
        <x:f>""</x:f>
        <x:v/>
      </x:c>
      <x:c r="AD49" t="str">
        <x:f>""</x:f>
        <x:v/>
      </x:c>
      <x:c r="AE49" t="str">
        <x:f>""</x:f>
        <x:v/>
      </x:c>
      <x:c r="AF49" t="str">
        <x:f>""</x:f>
        <x:v/>
      </x:c>
      <x:c r="AG49" t="str">
        <x:f>""</x:f>
        <x:v/>
      </x:c>
    </x:row>
    <x:row r="50" spans="1:33" x14ac:dyDescent="0.25">
      <x:c r="A50" t="str">
        <x:f>"        Invesco Dynamic Retail ETF"</x:f>
        <x:v xml:space="preserve">        Invesco Dynamic Retail ETF</x:v>
      </x:c>
      <x:c r="B50" t="str">
        <x:f>"PMR US Equity"</x:f>
        <x:v>PMR US Equity</x:v>
      </x:c>
      <x:c r="E50" t="str">
        <x:f t="shared" si="1"/>
        <x:v>Expression</x:v>
      </x:c>
      <x:c r="F50" t="str">
        <x:f ca="1">IF(AND($B$1012=1,LEN($F$1057)&gt;0),$F$1057,HLOOKUP(INDIRECT(ADDRESS(2,COLUMN())),OFFSET($T$2,0,0,ROW()-1,14),ROW()-1,FALSE))</x:f>
        <x:v/>
      </x:c>
      <x:c r="G50" t="str">
        <x:f ca="1">IF(AND($B$1012=1,LEN($G$1057)&gt;0),$G$1057,HLOOKUP(INDIRECT(ADDRESS(2,COLUMN())),OFFSET($T$2,0,0,ROW()-1,14),ROW()-1,FALSE))</x:f>
        <x:v/>
      </x:c>
      <x:c r="H50" t="str">
        <x:f ca="1">IF(AND($B$1012=1,LEN($H$1057)&gt;0),$H$1057,HLOOKUP(INDIRECT(ADDRESS(2,COLUMN())),OFFSET($T$2,0,0,ROW()-1,14),ROW()-1,FALSE))</x:f>
        <x:v/>
      </x:c>
      <x:c r="I50" t="str">
        <x:f ca="1">IF(AND($B$1012=1,LEN($I$1057)&gt;0),$I$1057,HLOOKUP(INDIRECT(ADDRESS(2,COLUMN())),OFFSET($T$2,0,0,ROW()-1,14),ROW()-1,FALSE))</x:f>
        <x:v/>
      </x:c>
      <x:c r="J50" t="str">
        <x:f ca="1">IF(AND($B$1012=1,LEN($J$1057)&gt;0),$J$1057,HLOOKUP(INDIRECT(ADDRESS(2,COLUMN())),OFFSET($T$2,0,0,ROW()-1,14),ROW()-1,FALSE))</x:f>
        <x:v/>
      </x:c>
      <x:c r="K50" t="str">
        <x:f ca="1">IF(AND($B$1012=1,LEN($K$1057)&gt;0),$K$1057,HLOOKUP(INDIRECT(ADDRESS(2,COLUMN())),OFFSET($T$2,0,0,ROW()-1,14),ROW()-1,FALSE))</x:f>
        <x:v/>
      </x:c>
      <x:c r="L50" t="str">
        <x:f ca="1">IF(AND($B$1012=1,LEN($L$1057)&gt;0),$L$1057,HLOOKUP(INDIRECT(ADDRESS(2,COLUMN())),OFFSET($T$2,0,0,ROW()-1,14),ROW()-1,FALSE))</x:f>
        <x:v/>
      </x:c>
      <x:c r="M50" t="str">
        <x:f ca="1">IF(AND($B$1012=1,LEN($M$1057)&gt;0),$M$1057,HLOOKUP(INDIRECT(ADDRESS(2,COLUMN())),OFFSET($T$2,0,0,ROW()-1,14),ROW()-1,FALSE))</x:f>
        <x:v/>
      </x:c>
      <x:c r="N50" t="str">
        <x:f ca="1">IF(AND($B$1012=1,LEN($N$1057)&gt;0),$N$1057,HLOOKUP(INDIRECT(ADDRESS(2,COLUMN())),OFFSET($T$2,0,0,ROW()-1,14),ROW()-1,FALSE))</x:f>
        <x:v/>
      </x:c>
      <x:c r="O50" t="str">
        <x:f ca="1">IF(AND($B$1012=1,LEN($O$1057)&gt;0),$O$1057,HLOOKUP(INDIRECT(ADDRESS(2,COLUMN())),OFFSET($T$2,0,0,ROW()-1,14),ROW()-1,FALSE))</x:f>
        <x:v/>
      </x:c>
      <x:c r="P50" t="str">
        <x:f ca="1">IF(AND($B$1012=1,LEN($P$1057)&gt;0),$P$1057,HLOOKUP(INDIRECT(ADDRESS(2,COLUMN())),OFFSET($T$2,0,0,ROW()-1,14),ROW()-1,FALSE))</x:f>
        <x:v/>
      </x:c>
      <x:c r="Q50" t="str">
        <x:f ca="1">IF(AND($B$1012=1,LEN($Q$1057)&gt;0),$Q$1057,HLOOKUP(INDIRECT(ADDRESS(2,COLUMN())),OFFSET($T$2,0,0,ROW()-1,14),ROW()-1,FALSE))</x:f>
        <x:v/>
      </x:c>
      <x:c r="R50" t="str">
        <x:f ca="1">IF(AND($B$1012=1,LEN($R$1057)&gt;0),$R$1057,HLOOKUP(INDIRECT(ADDRESS(2,COLUMN())),OFFSET($T$2,0,0,ROW()-1,14),ROW()-1,FALSE))</x:f>
        <x:v/>
      </x:c>
      <x:c r="S50" t="str">
        <x:f ca="1">IF(AND($B$1012=1,LEN($S$1057)&gt;0),$S$1057,HLOOKUP(INDIRECT(ADDRESS(2,COLUMN())),OFFSET($T$2,0,0,ROW()-1,14),ROW()-1,FALSE))</x:f>
        <x:v/>
      </x:c>
      <x:c r="T50" t="str">
        <x:f>""</x:f>
        <x:v/>
      </x:c>
      <x:c r="U50" t="str">
        <x:f>""</x:f>
        <x:v/>
      </x:c>
      <x:c r="V50" t="str">
        <x:f>""</x:f>
        <x:v/>
      </x:c>
      <x:c r="W50" t="str">
        <x:f>""</x:f>
        <x:v/>
      </x:c>
      <x:c r="X50" t="str">
        <x:f>""</x:f>
        <x:v/>
      </x:c>
      <x:c r="Y50" t="str">
        <x:f>""</x:f>
        <x:v/>
      </x:c>
      <x:c r="Z50" t="str">
        <x:f>""</x:f>
        <x:v/>
      </x:c>
      <x:c r="AA50" t="str">
        <x:f>""</x:f>
        <x:v/>
      </x:c>
      <x:c r="AB50" t="str">
        <x:f>""</x:f>
        <x:v/>
      </x:c>
      <x:c r="AC50" t="str">
        <x:f>""</x:f>
        <x:v/>
      </x:c>
      <x:c r="AD50" t="str">
        <x:f>""</x:f>
        <x:v/>
      </x:c>
      <x:c r="AE50" t="str">
        <x:f>""</x:f>
        <x:v/>
      </x:c>
      <x:c r="AF50" t="str">
        <x:f>""</x:f>
        <x:v/>
      </x:c>
      <x:c r="AG50" t="str">
        <x:f>""</x:f>
        <x:v/>
      </x:c>
    </x:row>
    <x:row r="51" spans="1:33" x14ac:dyDescent="0.25">
      <x:c r="A51" t="str">
        <x:f>"        Direxion Daily Homebuilders &amp;"</x:f>
        <x:v xml:space="preserve">        Direxion Daily Homebuilders &amp;</x:v>
      </x:c>
      <x:c r="B51" t="str">
        <x:f>"NAIL US Equity"</x:f>
        <x:v>NAIL US Equity</x:v>
      </x:c>
      <x:c r="E51" t="str">
        <x:f t="shared" si="1"/>
        <x:v>Expression</x:v>
      </x:c>
      <x:c r="F51">
        <x:f ca="1">IF(AND($B$1012=1,LEN($F$1058)&gt;0),$F$1058,HLOOKUP(INDIRECT(ADDRESS(2,COLUMN())),OFFSET($T$2,0,0,ROW()-1,14),ROW()-1,FALSE))</x:f>
        <x:v>-15.868744</x:v>
      </x:c>
      <x:c r="G51">
        <x:f ca="1">IF(AND($B$1012=1,LEN($G$1058)&gt;0),$G$1058,HLOOKUP(INDIRECT(ADDRESS(2,COLUMN())),OFFSET($T$2,0,0,ROW()-1,14),ROW()-1,FALSE))</x:f>
        <x:v>4.4351539999999998</x:v>
      </x:c>
      <x:c r="H51">
        <x:f ca="1">IF(AND($B$1012=1,LEN($H$1058)&gt;0),$H$1058,HLOOKUP(INDIRECT(ADDRESS(2,COLUMN())),OFFSET($T$2,0,0,ROW()-1,14),ROW()-1,FALSE))</x:f>
        <x:v>5.5996680000000003</x:v>
      </x:c>
      <x:c r="I51">
        <x:f ca="1">IF(AND($B$1012=1,LEN($I$1058)&gt;0),$I$1058,HLOOKUP(INDIRECT(ADDRESS(2,COLUMN())),OFFSET($T$2,0,0,ROW()-1,14),ROW()-1,FALSE))</x:f>
        <x:v>-3.4515989999999999</x:v>
      </x:c>
      <x:c r="J51">
        <x:f ca="1">IF(AND($B$1012=1,LEN($J$1058)&gt;0),$J$1058,HLOOKUP(INDIRECT(ADDRESS(2,COLUMN())),OFFSET($T$2,0,0,ROW()-1,14),ROW()-1,FALSE))</x:f>
        <x:v>-12.646295</x:v>
      </x:c>
      <x:c r="K51">
        <x:f ca="1">IF(AND($B$1012=1,LEN($K$1058)&gt;0),$K$1058,HLOOKUP(INDIRECT(ADDRESS(2,COLUMN())),OFFSET($T$2,0,0,ROW()-1,14),ROW()-1,FALSE))</x:f>
        <x:v>-6.6700879999999998</x:v>
      </x:c>
      <x:c r="L51">
        <x:f ca="1">IF(AND($B$1012=1,LEN($L$1058)&gt;0),$L$1058,HLOOKUP(INDIRECT(ADDRESS(2,COLUMN())),OFFSET($T$2,0,0,ROW()-1,14),ROW()-1,FALSE))</x:f>
        <x:v>-5.6292350000000004</x:v>
      </x:c>
      <x:c r="M51">
        <x:f ca="1">IF(AND($B$1012=1,LEN($M$1058)&gt;0),$M$1058,HLOOKUP(INDIRECT(ADDRESS(2,COLUMN())),OFFSET($T$2,0,0,ROW()-1,14),ROW()-1,FALSE))</x:f>
        <x:v>-18.183737000000001</x:v>
      </x:c>
      <x:c r="N51">
        <x:f ca="1">IF(AND($B$1012=1,LEN($N$1058)&gt;0),$N$1058,HLOOKUP(INDIRECT(ADDRESS(2,COLUMN())),OFFSET($T$2,0,0,ROW()-1,14),ROW()-1,FALSE))</x:f>
        <x:v>-1.7391890000000001</x:v>
      </x:c>
      <x:c r="O51">
        <x:f ca="1">IF(AND($B$1012=1,LEN($O$1058)&gt;0),$O$1058,HLOOKUP(INDIRECT(ADDRESS(2,COLUMN())),OFFSET($T$2,0,0,ROW()-1,14),ROW()-1,FALSE))</x:f>
        <x:v>-2.2102949999999999</x:v>
      </x:c>
      <x:c r="P51">
        <x:f ca="1">IF(AND($B$1012=1,LEN($P$1058)&gt;0),$P$1058,HLOOKUP(INDIRECT(ADDRESS(2,COLUMN())),OFFSET($T$2,0,0,ROW()-1,14),ROW()-1,FALSE))</x:f>
        <x:v>-7.4185569999999998</x:v>
      </x:c>
      <x:c r="Q51">
        <x:f ca="1">IF(AND($B$1012=1,LEN($Q$1058)&gt;0),$Q$1058,HLOOKUP(INDIRECT(ADDRESS(2,COLUMN())),OFFSET($T$2,0,0,ROW()-1,14),ROW()-1,FALSE))</x:f>
        <x:v>-10.935264</x:v>
      </x:c>
      <x:c r="R51">
        <x:f ca="1">IF(AND($B$1012=1,LEN($R$1058)&gt;0),$R$1058,HLOOKUP(INDIRECT(ADDRESS(2,COLUMN())),OFFSET($T$2,0,0,ROW()-1,14),ROW()-1,FALSE))</x:f>
        <x:v>-11.947794999999999</x:v>
      </x:c>
      <x:c r="S51">
        <x:f ca="1">IF(AND($B$1012=1,LEN($S$1058)&gt;0),$S$1058,HLOOKUP(INDIRECT(ADDRESS(2,COLUMN())),OFFSET($T$2,0,0,ROW()-1,14),ROW()-1,FALSE))</x:f>
        <x:v>7.0744689999999997</x:v>
      </x:c>
      <x:c r="T51">
        <x:f>-15.868744</x:f>
        <x:v>-15.868744</x:v>
      </x:c>
      <x:c r="U51">
        <x:f>4.435154</x:f>
        <x:v>4.4351539999999998</x:v>
      </x:c>
      <x:c r="V51">
        <x:f>5.599668</x:f>
        <x:v>5.5996680000000003</x:v>
      </x:c>
      <x:c r="W51">
        <x:f>-3.451599</x:f>
        <x:v>-3.4515989999999999</x:v>
      </x:c>
      <x:c r="X51">
        <x:f>-12.646295</x:f>
        <x:v>-12.646295</x:v>
      </x:c>
      <x:c r="Y51">
        <x:f>-6.670088</x:f>
        <x:v>-6.6700879999999998</x:v>
      </x:c>
      <x:c r="Z51">
        <x:f>-5.629235</x:f>
        <x:v>-5.6292350000000004</x:v>
      </x:c>
      <x:c r="AA51">
        <x:f>-18.183737</x:f>
        <x:v>-18.183737000000001</x:v>
      </x:c>
      <x:c r="AB51">
        <x:f>-1.739189</x:f>
        <x:v>-1.7391890000000001</x:v>
      </x:c>
      <x:c r="AC51">
        <x:f>-2.210295</x:f>
        <x:v>-2.2102949999999999</x:v>
      </x:c>
      <x:c r="AD51">
        <x:f>-7.418557</x:f>
        <x:v>-7.4185569999999998</x:v>
      </x:c>
      <x:c r="AE51">
        <x:f>-10.935264</x:f>
        <x:v>-10.935264</x:v>
      </x:c>
      <x:c r="AF51">
        <x:f>-11.947795</x:f>
        <x:v>-11.947794999999999</x:v>
      </x:c>
      <x:c r="AG51">
        <x:f>7.074469</x:f>
        <x:v>7.0744689999999997</x:v>
      </x:c>
    </x:row>
    <x:row r="52" spans="1:33" x14ac:dyDescent="0.25">
      <x:c r="A52" t="str">
        <x:f>"        First Trust Nasdaq Food &amp; Beve"</x:f>
        <x:v xml:space="preserve">        First Trust Nasdaq Food &amp; Beve</x:v>
      </x:c>
      <x:c r="B52" t="str">
        <x:f>"FTXG US Equity"</x:f>
        <x:v>FTXG US Equity</x:v>
      </x:c>
      <x:c r="E52" t="str">
        <x:f t="shared" si="1"/>
        <x:v>Expression</x:v>
      </x:c>
      <x:c r="F52">
        <x:f ca="1">IF(AND($B$1012=1,LEN($F$1059)&gt;0),$F$1059,HLOOKUP(INDIRECT(ADDRESS(2,COLUMN())),OFFSET($T$2,0,0,ROW()-1,14),ROW()-1,FALSE))</x:f>
        <x:v>-15.032906000000001</x:v>
      </x:c>
      <x:c r="G52">
        <x:f ca="1">IF(AND($B$1012=1,LEN($G$1059)&gt;0),$G$1059,HLOOKUP(INDIRECT(ADDRESS(2,COLUMN())),OFFSET($T$2,0,0,ROW()-1,14),ROW()-1,FALSE))</x:f>
        <x:v>-30.667210000000001</x:v>
      </x:c>
      <x:c r="H52">
        <x:f ca="1">IF(AND($B$1012=1,LEN($H$1059)&gt;0),$H$1059,HLOOKUP(INDIRECT(ADDRESS(2,COLUMN())),OFFSET($T$2,0,0,ROW()-1,14),ROW()-1,FALSE))</x:f>
        <x:v>-860.71240699999998</x:v>
      </x:c>
      <x:c r="I52">
        <x:f ca="1">IF(AND($B$1012=1,LEN($I$1059)&gt;0),$I$1059,HLOOKUP(INDIRECT(ADDRESS(2,COLUMN())),OFFSET($T$2,0,0,ROW()-1,14),ROW()-1,FALSE))</x:f>
        <x:v>32.842250999999997</x:v>
      </x:c>
      <x:c r="J52">
        <x:f ca="1">IF(AND($B$1012=1,LEN($J$1059)&gt;0),$J$1059,HLOOKUP(INDIRECT(ADDRESS(2,COLUMN())),OFFSET($T$2,0,0,ROW()-1,14),ROW()-1,FALSE))</x:f>
        <x:v>21.34</x:v>
      </x:c>
      <x:c r="K52">
        <x:f ca="1">IF(AND($B$1012=1,LEN($K$1059)&gt;0),$K$1059,HLOOKUP(INDIRECT(ADDRESS(2,COLUMN())),OFFSET($T$2,0,0,ROW()-1,14),ROW()-1,FALSE))</x:f>
        <x:v>42.356499999999997</x:v>
      </x:c>
      <x:c r="L52">
        <x:f ca="1">IF(AND($B$1012=1,LEN($L$1059)&gt;0),$L$1059,HLOOKUP(INDIRECT(ADDRESS(2,COLUMN())),OFFSET($T$2,0,0,ROW()-1,14),ROW()-1,FALSE))</x:f>
        <x:v>-1.234308</x:v>
      </x:c>
      <x:c r="M52">
        <x:f ca="1">IF(AND($B$1012=1,LEN($M$1059)&gt;0),$M$1059,HLOOKUP(INDIRECT(ADDRESS(2,COLUMN())),OFFSET($T$2,0,0,ROW()-1,14),ROW()-1,FALSE))</x:f>
        <x:v>-2.0718E-2</x:v>
      </x:c>
      <x:c r="N52">
        <x:f ca="1">IF(AND($B$1012=1,LEN($N$1059)&gt;0),$N$1059,HLOOKUP(INDIRECT(ADDRESS(2,COLUMN())),OFFSET($T$2,0,0,ROW()-1,14),ROW()-1,FALSE))</x:f>
        <x:v>-67.597305000000006</x:v>
      </x:c>
      <x:c r="O52">
        <x:f ca="1">IF(AND($B$1012=1,LEN($O$1059)&gt;0),$O$1059,HLOOKUP(INDIRECT(ADDRESS(2,COLUMN())),OFFSET($T$2,0,0,ROW()-1,14),ROW()-1,FALSE))</x:f>
        <x:v>85.964185000000001</x:v>
      </x:c>
      <x:c r="P52">
        <x:f ca="1">IF(AND($B$1012=1,LEN($P$1059)&gt;0),$P$1059,HLOOKUP(INDIRECT(ADDRESS(2,COLUMN())),OFFSET($T$2,0,0,ROW()-1,14),ROW()-1,FALSE))</x:f>
        <x:v>14.829186999999999</x:v>
      </x:c>
      <x:c r="Q52">
        <x:f ca="1">IF(AND($B$1012=1,LEN($Q$1059)&gt;0),$Q$1059,HLOOKUP(INDIRECT(ADDRESS(2,COLUMN())),OFFSET($T$2,0,0,ROW()-1,14),ROW()-1,FALSE))</x:f>
        <x:v>24.890004000000001</x:v>
      </x:c>
      <x:c r="R52">
        <x:f ca="1">IF(AND($B$1012=1,LEN($R$1059)&gt;0),$R$1059,HLOOKUP(INDIRECT(ADDRESS(2,COLUMN())),OFFSET($T$2,0,0,ROW()-1,14),ROW()-1,FALSE))</x:f>
        <x:v>39.276054999999999</x:v>
      </x:c>
      <x:c r="S52">
        <x:f ca="1">IF(AND($B$1012=1,LEN($S$1059)&gt;0),$S$1059,HLOOKUP(INDIRECT(ADDRESS(2,COLUMN())),OFFSET($T$2,0,0,ROW()-1,14),ROW()-1,FALSE))</x:f>
        <x:v>-16.568805000000001</x:v>
      </x:c>
      <x:c r="T52">
        <x:f>-15.032906</x:f>
        <x:v>-15.032906000000001</x:v>
      </x:c>
      <x:c r="U52">
        <x:f>-30.66721</x:f>
        <x:v>-30.667210000000001</x:v>
      </x:c>
      <x:c r="V52">
        <x:f>-860.712407</x:f>
        <x:v>-860.71240699999998</x:v>
      </x:c>
      <x:c r="W52">
        <x:f>32.842251</x:f>
        <x:v>32.842250999999997</x:v>
      </x:c>
      <x:c r="X52">
        <x:f>21.34</x:f>
        <x:v>21.34</x:v>
      </x:c>
      <x:c r="Y52">
        <x:f>42.3565</x:f>
        <x:v>42.356499999999997</x:v>
      </x:c>
      <x:c r="Z52">
        <x:f>-1.234308</x:f>
        <x:v>-1.234308</x:v>
      </x:c>
      <x:c r="AA52">
        <x:f>-0.020718</x:f>
        <x:v>-2.0718E-2</x:v>
      </x:c>
      <x:c r="AB52">
        <x:f>-67.597305</x:f>
        <x:v>-67.597305000000006</x:v>
      </x:c>
      <x:c r="AC52">
        <x:f>85.964185</x:f>
        <x:v>85.964185000000001</x:v>
      </x:c>
      <x:c r="AD52">
        <x:f>14.829187</x:f>
        <x:v>14.829186999999999</x:v>
      </x:c>
      <x:c r="AE52">
        <x:f>24.890004</x:f>
        <x:v>24.890004000000001</x:v>
      </x:c>
      <x:c r="AF52">
        <x:f>39.276055</x:f>
        <x:v>39.276054999999999</x:v>
      </x:c>
      <x:c r="AG52">
        <x:f>-16.568805</x:f>
        <x:v>-16.568805000000001</x:v>
      </x:c>
    </x:row>
    <x:row r="53" spans="1:33" x14ac:dyDescent="0.25">
      <x:c r="A53" t="str">
        <x:f>"        Global X Brazil Consumer ETF"</x:f>
        <x:v xml:space="preserve">        Global X Brazil Consumer ETF</x:v>
      </x:c>
      <x:c r="B53" t="str">
        <x:f>"BRAQ US Equity"</x:f>
        <x:v>BRAQ US Equity</x:v>
      </x:c>
      <x:c r="E53" t="str">
        <x:f t="shared" si="1"/>
        <x:v>Expression</x:v>
      </x:c>
      <x:c r="F53" t="str">
        <x:f ca="1">IF(AND($B$1012=1,LEN($F$1060)&gt;0),$F$1060,HLOOKUP(INDIRECT(ADDRESS(2,COLUMN())),OFFSET($T$2,0,0,ROW()-1,14),ROW()-1,FALSE))</x:f>
        <x:v/>
      </x:c>
      <x:c r="G53" t="str">
        <x:f ca="1">IF(AND($B$1012=1,LEN($G$1060)&gt;0),$G$1060,HLOOKUP(INDIRECT(ADDRESS(2,COLUMN())),OFFSET($T$2,0,0,ROW()-1,14),ROW()-1,FALSE))</x:f>
        <x:v/>
      </x:c>
      <x:c r="H53" t="str">
        <x:f ca="1">IF(AND($B$1012=1,LEN($H$1060)&gt;0),$H$1060,HLOOKUP(INDIRECT(ADDRESS(2,COLUMN())),OFFSET($T$2,0,0,ROW()-1,14),ROW()-1,FALSE))</x:f>
        <x:v/>
      </x:c>
      <x:c r="I53" t="str">
        <x:f ca="1">IF(AND($B$1012=1,LEN($I$1060)&gt;0),$I$1060,HLOOKUP(INDIRECT(ADDRESS(2,COLUMN())),OFFSET($T$2,0,0,ROW()-1,14),ROW()-1,FALSE))</x:f>
        <x:v/>
      </x:c>
      <x:c r="J53" t="str">
        <x:f ca="1">IF(AND($B$1012=1,LEN($J$1060)&gt;0),$J$1060,HLOOKUP(INDIRECT(ADDRESS(2,COLUMN())),OFFSET($T$2,0,0,ROW()-1,14),ROW()-1,FALSE))</x:f>
        <x:v/>
      </x:c>
      <x:c r="K53" t="str">
        <x:f ca="1">IF(AND($B$1012=1,LEN($K$1060)&gt;0),$K$1060,HLOOKUP(INDIRECT(ADDRESS(2,COLUMN())),OFFSET($T$2,0,0,ROW()-1,14),ROW()-1,FALSE))</x:f>
        <x:v/>
      </x:c>
      <x:c r="L53" t="str">
        <x:f ca="1">IF(AND($B$1012=1,LEN($L$1060)&gt;0),$L$1060,HLOOKUP(INDIRECT(ADDRESS(2,COLUMN())),OFFSET($T$2,0,0,ROW()-1,14),ROW()-1,FALSE))</x:f>
        <x:v/>
      </x:c>
      <x:c r="M53" t="str">
        <x:f ca="1">IF(AND($B$1012=1,LEN($M$1060)&gt;0),$M$1060,HLOOKUP(INDIRECT(ADDRESS(2,COLUMN())),OFFSET($T$2,0,0,ROW()-1,14),ROW()-1,FALSE))</x:f>
        <x:v/>
      </x:c>
      <x:c r="N53" t="str">
        <x:f ca="1">IF(AND($B$1012=1,LEN($N$1060)&gt;0),$N$1060,HLOOKUP(INDIRECT(ADDRESS(2,COLUMN())),OFFSET($T$2,0,0,ROW()-1,14),ROW()-1,FALSE))</x:f>
        <x:v/>
      </x:c>
      <x:c r="O53" t="str">
        <x:f ca="1">IF(AND($B$1012=1,LEN($O$1060)&gt;0),$O$1060,HLOOKUP(INDIRECT(ADDRESS(2,COLUMN())),OFFSET($T$2,0,0,ROW()-1,14),ROW()-1,FALSE))</x:f>
        <x:v/>
      </x:c>
      <x:c r="P53" t="str">
        <x:f ca="1">IF(AND($B$1012=1,LEN($P$1060)&gt;0),$P$1060,HLOOKUP(INDIRECT(ADDRESS(2,COLUMN())),OFFSET($T$2,0,0,ROW()-1,14),ROW()-1,FALSE))</x:f>
        <x:v/>
      </x:c>
      <x:c r="Q53" t="str">
        <x:f ca="1">IF(AND($B$1012=1,LEN($Q$1060)&gt;0),$Q$1060,HLOOKUP(INDIRECT(ADDRESS(2,COLUMN())),OFFSET($T$2,0,0,ROW()-1,14),ROW()-1,FALSE))</x:f>
        <x:v/>
      </x:c>
      <x:c r="R53" t="str">
        <x:f ca="1">IF(AND($B$1012=1,LEN($R$1060)&gt;0),$R$1060,HLOOKUP(INDIRECT(ADDRESS(2,COLUMN())),OFFSET($T$2,0,0,ROW()-1,14),ROW()-1,FALSE))</x:f>
        <x:v/>
      </x:c>
      <x:c r="S53" t="str">
        <x:f ca="1">IF(AND($B$1012=1,LEN($S$1060)&gt;0),$S$1060,HLOOKUP(INDIRECT(ADDRESS(2,COLUMN())),OFFSET($T$2,0,0,ROW()-1,14),ROW()-1,FALSE))</x:f>
        <x:v/>
      </x:c>
      <x:c r="T53" t="str">
        <x:f>""</x:f>
        <x:v/>
      </x:c>
      <x:c r="U53" t="str">
        <x:f>""</x:f>
        <x:v/>
      </x:c>
      <x:c r="V53" t="str">
        <x:f>""</x:f>
        <x:v/>
      </x:c>
      <x:c r="W53" t="str">
        <x:f>""</x:f>
        <x:v/>
      </x:c>
      <x:c r="X53" t="str">
        <x:f>""</x:f>
        <x:v/>
      </x:c>
      <x:c r="Y53" t="str">
        <x:f>""</x:f>
        <x:v/>
      </x:c>
      <x:c r="Z53" t="str">
        <x:f>""</x:f>
        <x:v/>
      </x:c>
      <x:c r="AA53" t="str">
        <x:f>""</x:f>
        <x:v/>
      </x:c>
      <x:c r="AB53" t="str">
        <x:f>""</x:f>
        <x:v/>
      </x:c>
      <x:c r="AC53" t="str">
        <x:f>""</x:f>
        <x:v/>
      </x:c>
      <x:c r="AD53" t="str">
        <x:f>""</x:f>
        <x:v/>
      </x:c>
      <x:c r="AE53" t="str">
        <x:f>""</x:f>
        <x:v/>
      </x:c>
      <x:c r="AF53" t="str">
        <x:f>""</x:f>
        <x:v/>
      </x:c>
      <x:c r="AG53" t="str">
        <x:f>""</x:f>
        <x:v/>
      </x:c>
    </x:row>
    <x:row r="54" spans="1:33" x14ac:dyDescent="0.25">
      <x:c r="A54" t="str">
        <x:f>"        Spirited Funds and ETFMG Whisk"</x:f>
        <x:v xml:space="preserve">        Spirited Funds and ETFMG Whisk</x:v>
      </x:c>
      <x:c r="B54" t="str">
        <x:f>"WSKY US Equity"</x:f>
        <x:v>WSKY US Equity</x:v>
      </x:c>
      <x:c r="E54" t="str">
        <x:f t="shared" si="1"/>
        <x:v>Expression</x:v>
      </x:c>
      <x:c r="F54" t="str">
        <x:f ca="1">IF(AND($B$1012=1,LEN($F$1061)&gt;0),$F$1061,HLOOKUP(INDIRECT(ADDRESS(2,COLUMN())),OFFSET($T$2,0,0,ROW()-1,14),ROW()-1,FALSE))</x:f>
        <x:v/>
      </x:c>
      <x:c r="G54" t="str">
        <x:f ca="1">IF(AND($B$1012=1,LEN($G$1061)&gt;0),$G$1061,HLOOKUP(INDIRECT(ADDRESS(2,COLUMN())),OFFSET($T$2,0,0,ROW()-1,14),ROW()-1,FALSE))</x:f>
        <x:v/>
      </x:c>
      <x:c r="H54" t="str">
        <x:f ca="1">IF(AND($B$1012=1,LEN($H$1061)&gt;0),$H$1061,HLOOKUP(INDIRECT(ADDRESS(2,COLUMN())),OFFSET($T$2,0,0,ROW()-1,14),ROW()-1,FALSE))</x:f>
        <x:v/>
      </x:c>
      <x:c r="I54" t="str">
        <x:f ca="1">IF(AND($B$1012=1,LEN($I$1061)&gt;0),$I$1061,HLOOKUP(INDIRECT(ADDRESS(2,COLUMN())),OFFSET($T$2,0,0,ROW()-1,14),ROW()-1,FALSE))</x:f>
        <x:v/>
      </x:c>
      <x:c r="J54" t="str">
        <x:f ca="1">IF(AND($B$1012=1,LEN($J$1061)&gt;0),$J$1061,HLOOKUP(INDIRECT(ADDRESS(2,COLUMN())),OFFSET($T$2,0,0,ROW()-1,14),ROW()-1,FALSE))</x:f>
        <x:v/>
      </x:c>
      <x:c r="K54" t="str">
        <x:f ca="1">IF(AND($B$1012=1,LEN($K$1061)&gt;0),$K$1061,HLOOKUP(INDIRECT(ADDRESS(2,COLUMN())),OFFSET($T$2,0,0,ROW()-1,14),ROW()-1,FALSE))</x:f>
        <x:v/>
      </x:c>
      <x:c r="L54" t="str">
        <x:f ca="1">IF(AND($B$1012=1,LEN($L$1061)&gt;0),$L$1061,HLOOKUP(INDIRECT(ADDRESS(2,COLUMN())),OFFSET($T$2,0,0,ROW()-1,14),ROW()-1,FALSE))</x:f>
        <x:v/>
      </x:c>
      <x:c r="M54" t="str">
        <x:f ca="1">IF(AND($B$1012=1,LEN($M$1061)&gt;0),$M$1061,HLOOKUP(INDIRECT(ADDRESS(2,COLUMN())),OFFSET($T$2,0,0,ROW()-1,14),ROW()-1,FALSE))</x:f>
        <x:v/>
      </x:c>
      <x:c r="N54" t="str">
        <x:f ca="1">IF(AND($B$1012=1,LEN($N$1061)&gt;0),$N$1061,HLOOKUP(INDIRECT(ADDRESS(2,COLUMN())),OFFSET($T$2,0,0,ROW()-1,14),ROW()-1,FALSE))</x:f>
        <x:v/>
      </x:c>
      <x:c r="O54" t="str">
        <x:f ca="1">IF(AND($B$1012=1,LEN($O$1061)&gt;0),$O$1061,HLOOKUP(INDIRECT(ADDRESS(2,COLUMN())),OFFSET($T$2,0,0,ROW()-1,14),ROW()-1,FALSE))</x:f>
        <x:v/>
      </x:c>
      <x:c r="P54" t="str">
        <x:f ca="1">IF(AND($B$1012=1,LEN($P$1061)&gt;0),$P$1061,HLOOKUP(INDIRECT(ADDRESS(2,COLUMN())),OFFSET($T$2,0,0,ROW()-1,14),ROW()-1,FALSE))</x:f>
        <x:v/>
      </x:c>
      <x:c r="Q54" t="str">
        <x:f ca="1">IF(AND($B$1012=1,LEN($Q$1061)&gt;0),$Q$1061,HLOOKUP(INDIRECT(ADDRESS(2,COLUMN())),OFFSET($T$2,0,0,ROW()-1,14),ROW()-1,FALSE))</x:f>
        <x:v/>
      </x:c>
      <x:c r="R54" t="str">
        <x:f ca="1">IF(AND($B$1012=1,LEN($R$1061)&gt;0),$R$1061,HLOOKUP(INDIRECT(ADDRESS(2,COLUMN())),OFFSET($T$2,0,0,ROW()-1,14),ROW()-1,FALSE))</x:f>
        <x:v/>
      </x:c>
      <x:c r="S54" t="str">
        <x:f ca="1">IF(AND($B$1012=1,LEN($S$1061)&gt;0),$S$1061,HLOOKUP(INDIRECT(ADDRESS(2,COLUMN())),OFFSET($T$2,0,0,ROW()-1,14),ROW()-1,FALSE))</x:f>
        <x:v/>
      </x:c>
      <x:c r="T54" t="str">
        <x:f>""</x:f>
        <x:v/>
      </x:c>
      <x:c r="U54" t="str">
        <x:f>""</x:f>
        <x:v/>
      </x:c>
      <x:c r="V54" t="str">
        <x:f>""</x:f>
        <x:v/>
      </x:c>
      <x:c r="W54" t="str">
        <x:f>""</x:f>
        <x:v/>
      </x:c>
      <x:c r="X54" t="str">
        <x:f>""</x:f>
        <x:v/>
      </x:c>
      <x:c r="Y54" t="str">
        <x:f>""</x:f>
        <x:v/>
      </x:c>
      <x:c r="Z54" t="str">
        <x:f>""</x:f>
        <x:v/>
      </x:c>
      <x:c r="AA54" t="str">
        <x:f>""</x:f>
        <x:v/>
      </x:c>
      <x:c r="AB54" t="str">
        <x:f>""</x:f>
        <x:v/>
      </x:c>
      <x:c r="AC54" t="str">
        <x:f>""</x:f>
        <x:v/>
      </x:c>
      <x:c r="AD54" t="str">
        <x:f>""</x:f>
        <x:v/>
      </x:c>
      <x:c r="AE54" t="str">
        <x:f>""</x:f>
        <x:v/>
      </x:c>
      <x:c r="AF54" t="str">
        <x:f>""</x:f>
        <x:v/>
      </x:c>
      <x:c r="AG54" t="str">
        <x:f>""</x:f>
        <x:v/>
      </x:c>
    </x:row>
    <x:row r="55" spans="1:33" x14ac:dyDescent="0.25">
      <x:c r="A55" t="str">
        <x:f>"        iShares Edge MSCI Multifactor"</x:f>
        <x:v xml:space="preserve">        iShares Edge MSCI Multifactor</x:v>
      </x:c>
      <x:c r="B55" t="str">
        <x:f>"CNDF US Equity"</x:f>
        <x:v>CNDF US Equity</x:v>
      </x:c>
      <x:c r="E55" t="str">
        <x:f t="shared" si="1"/>
        <x:v>Expression</x:v>
      </x:c>
      <x:c r="F55" t="str">
        <x:f ca="1">IF(AND($B$1012=1,LEN($F$1062)&gt;0),$F$1062,HLOOKUP(INDIRECT(ADDRESS(2,COLUMN())),OFFSET($T$2,0,0,ROW()-1,14),ROW()-1,FALSE))</x:f>
        <x:v/>
      </x:c>
      <x:c r="G55" t="str">
        <x:f ca="1">IF(AND($B$1012=1,LEN($G$1062)&gt;0),$G$1062,HLOOKUP(INDIRECT(ADDRESS(2,COLUMN())),OFFSET($T$2,0,0,ROW()-1,14),ROW()-1,FALSE))</x:f>
        <x:v/>
      </x:c>
      <x:c r="H55" t="str">
        <x:f ca="1">IF(AND($B$1012=1,LEN($H$1062)&gt;0),$H$1062,HLOOKUP(INDIRECT(ADDRESS(2,COLUMN())),OFFSET($T$2,0,0,ROW()-1,14),ROW()-1,FALSE))</x:f>
        <x:v/>
      </x:c>
      <x:c r="I55" t="str">
        <x:f ca="1">IF(AND($B$1012=1,LEN($I$1062)&gt;0),$I$1062,HLOOKUP(INDIRECT(ADDRESS(2,COLUMN())),OFFSET($T$2,0,0,ROW()-1,14),ROW()-1,FALSE))</x:f>
        <x:v/>
      </x:c>
      <x:c r="J55" t="str">
        <x:f ca="1">IF(AND($B$1012=1,LEN($J$1062)&gt;0),$J$1062,HLOOKUP(INDIRECT(ADDRESS(2,COLUMN())),OFFSET($T$2,0,0,ROW()-1,14),ROW()-1,FALSE))</x:f>
        <x:v/>
      </x:c>
      <x:c r="K55" t="str">
        <x:f ca="1">IF(AND($B$1012=1,LEN($K$1062)&gt;0),$K$1062,HLOOKUP(INDIRECT(ADDRESS(2,COLUMN())),OFFSET($T$2,0,0,ROW()-1,14),ROW()-1,FALSE))</x:f>
        <x:v/>
      </x:c>
      <x:c r="L55" t="str">
        <x:f ca="1">IF(AND($B$1012=1,LEN($L$1062)&gt;0),$L$1062,HLOOKUP(INDIRECT(ADDRESS(2,COLUMN())),OFFSET($T$2,0,0,ROW()-1,14),ROW()-1,FALSE))</x:f>
        <x:v/>
      </x:c>
      <x:c r="M55" t="str">
        <x:f ca="1">IF(AND($B$1012=1,LEN($M$1062)&gt;0),$M$1062,HLOOKUP(INDIRECT(ADDRESS(2,COLUMN())),OFFSET($T$2,0,0,ROW()-1,14),ROW()-1,FALSE))</x:f>
        <x:v/>
      </x:c>
      <x:c r="N55" t="str">
        <x:f ca="1">IF(AND($B$1012=1,LEN($N$1062)&gt;0),$N$1062,HLOOKUP(INDIRECT(ADDRESS(2,COLUMN())),OFFSET($T$2,0,0,ROW()-1,14),ROW()-1,FALSE))</x:f>
        <x:v/>
      </x:c>
      <x:c r="O55" t="str">
        <x:f ca="1">IF(AND($B$1012=1,LEN($O$1062)&gt;0),$O$1062,HLOOKUP(INDIRECT(ADDRESS(2,COLUMN())),OFFSET($T$2,0,0,ROW()-1,14),ROW()-1,FALSE))</x:f>
        <x:v/>
      </x:c>
      <x:c r="P55" t="str">
        <x:f ca="1">IF(AND($B$1012=1,LEN($P$1062)&gt;0),$P$1062,HLOOKUP(INDIRECT(ADDRESS(2,COLUMN())),OFFSET($T$2,0,0,ROW()-1,14),ROW()-1,FALSE))</x:f>
        <x:v/>
      </x:c>
      <x:c r="Q55" t="str">
        <x:f ca="1">IF(AND($B$1012=1,LEN($Q$1062)&gt;0),$Q$1062,HLOOKUP(INDIRECT(ADDRESS(2,COLUMN())),OFFSET($T$2,0,0,ROW()-1,14),ROW()-1,FALSE))</x:f>
        <x:v/>
      </x:c>
      <x:c r="R55" t="str">
        <x:f ca="1">IF(AND($B$1012=1,LEN($R$1062)&gt;0),$R$1062,HLOOKUP(INDIRECT(ADDRESS(2,COLUMN())),OFFSET($T$2,0,0,ROW()-1,14),ROW()-1,FALSE))</x:f>
        <x:v/>
      </x:c>
      <x:c r="S55" t="str">
        <x:f ca="1">IF(AND($B$1012=1,LEN($S$1062)&gt;0),$S$1062,HLOOKUP(INDIRECT(ADDRESS(2,COLUMN())),OFFSET($T$2,0,0,ROW()-1,14),ROW()-1,FALSE))</x:f>
        <x:v/>
      </x:c>
      <x:c r="T55" t="str">
        <x:f>""</x:f>
        <x:v/>
      </x:c>
      <x:c r="U55" t="str">
        <x:f>""</x:f>
        <x:v/>
      </x:c>
      <x:c r="V55" t="str">
        <x:f>""</x:f>
        <x:v/>
      </x:c>
      <x:c r="W55" t="str">
        <x:f>""</x:f>
        <x:v/>
      </x:c>
      <x:c r="X55" t="str">
        <x:f>""</x:f>
        <x:v/>
      </x:c>
      <x:c r="Y55" t="str">
        <x:f>""</x:f>
        <x:v/>
      </x:c>
      <x:c r="Z55" t="str">
        <x:f>""</x:f>
        <x:v/>
      </x:c>
      <x:c r="AA55" t="str">
        <x:f>""</x:f>
        <x:v/>
      </x:c>
      <x:c r="AB55" t="str">
        <x:f>""</x:f>
        <x:v/>
      </x:c>
      <x:c r="AC55" t="str">
        <x:f>""</x:f>
        <x:v/>
      </x:c>
      <x:c r="AD55" t="str">
        <x:f>""</x:f>
        <x:v/>
      </x:c>
      <x:c r="AE55" t="str">
        <x:f>""</x:f>
        <x:v/>
      </x:c>
      <x:c r="AF55" t="str">
        <x:f>""</x:f>
        <x:v/>
      </x:c>
      <x:c r="AG55" t="str">
        <x:f>""</x:f>
        <x:v/>
      </x:c>
    </x:row>
    <x:row r="56" spans="1:33" x14ac:dyDescent="0.25">
      <x:c r="A56" t="str">
        <x:f>"        Direxion Shares Etf Trust-Dire"</x:f>
        <x:v xml:space="preserve">        Direxion Shares Etf Trust-Dire</x:v>
      </x:c>
      <x:c r="B56" t="str">
        <x:f>"CLAW US Equity"</x:f>
        <x:v>CLAW US Equity</x:v>
      </x:c>
      <x:c r="E56" t="str">
        <x:f t="shared" si="1"/>
        <x:v>Expression</x:v>
      </x:c>
      <x:c r="F56" t="str">
        <x:f ca="1">IF(AND($B$1012=1,LEN($F$1063)&gt;0),$F$1063,HLOOKUP(INDIRECT(ADDRESS(2,COLUMN())),OFFSET($T$2,0,0,ROW()-1,14),ROW()-1,FALSE))</x:f>
        <x:v/>
      </x:c>
      <x:c r="G56" t="str">
        <x:f ca="1">IF(AND($B$1012=1,LEN($G$1063)&gt;0),$G$1063,HLOOKUP(INDIRECT(ADDRESS(2,COLUMN())),OFFSET($T$2,0,0,ROW()-1,14),ROW()-1,FALSE))</x:f>
        <x:v/>
      </x:c>
      <x:c r="H56" t="str">
        <x:f ca="1">IF(AND($B$1012=1,LEN($H$1063)&gt;0),$H$1063,HLOOKUP(INDIRECT(ADDRESS(2,COLUMN())),OFFSET($T$2,0,0,ROW()-1,14),ROW()-1,FALSE))</x:f>
        <x:v/>
      </x:c>
      <x:c r="I56" t="str">
        <x:f ca="1">IF(AND($B$1012=1,LEN($I$1063)&gt;0),$I$1063,HLOOKUP(INDIRECT(ADDRESS(2,COLUMN())),OFFSET($T$2,0,0,ROW()-1,14),ROW()-1,FALSE))</x:f>
        <x:v/>
      </x:c>
      <x:c r="J56" t="str">
        <x:f ca="1">IF(AND($B$1012=1,LEN($J$1063)&gt;0),$J$1063,HLOOKUP(INDIRECT(ADDRESS(2,COLUMN())),OFFSET($T$2,0,0,ROW()-1,14),ROW()-1,FALSE))</x:f>
        <x:v/>
      </x:c>
      <x:c r="K56" t="str">
        <x:f ca="1">IF(AND($B$1012=1,LEN($K$1063)&gt;0),$K$1063,HLOOKUP(INDIRECT(ADDRESS(2,COLUMN())),OFFSET($T$2,0,0,ROW()-1,14),ROW()-1,FALSE))</x:f>
        <x:v/>
      </x:c>
      <x:c r="L56" t="str">
        <x:f ca="1">IF(AND($B$1012=1,LEN($L$1063)&gt;0),$L$1063,HLOOKUP(INDIRECT(ADDRESS(2,COLUMN())),OFFSET($T$2,0,0,ROW()-1,14),ROW()-1,FALSE))</x:f>
        <x:v/>
      </x:c>
      <x:c r="M56" t="str">
        <x:f ca="1">IF(AND($B$1012=1,LEN($M$1063)&gt;0),$M$1063,HLOOKUP(INDIRECT(ADDRESS(2,COLUMN())),OFFSET($T$2,0,0,ROW()-1,14),ROW()-1,FALSE))</x:f>
        <x:v/>
      </x:c>
      <x:c r="N56" t="str">
        <x:f ca="1">IF(AND($B$1012=1,LEN($N$1063)&gt;0),$N$1063,HLOOKUP(INDIRECT(ADDRESS(2,COLUMN())),OFFSET($T$2,0,0,ROW()-1,14),ROW()-1,FALSE))</x:f>
        <x:v/>
      </x:c>
      <x:c r="O56" t="str">
        <x:f ca="1">IF(AND($B$1012=1,LEN($O$1063)&gt;0),$O$1063,HLOOKUP(INDIRECT(ADDRESS(2,COLUMN())),OFFSET($T$2,0,0,ROW()-1,14),ROW()-1,FALSE))</x:f>
        <x:v/>
      </x:c>
      <x:c r="P56" t="str">
        <x:f ca="1">IF(AND($B$1012=1,LEN($P$1063)&gt;0),$P$1063,HLOOKUP(INDIRECT(ADDRESS(2,COLUMN())),OFFSET($T$2,0,0,ROW()-1,14),ROW()-1,FALSE))</x:f>
        <x:v/>
      </x:c>
      <x:c r="Q56" t="str">
        <x:f ca="1">IF(AND($B$1012=1,LEN($Q$1063)&gt;0),$Q$1063,HLOOKUP(INDIRECT(ADDRESS(2,COLUMN())),OFFSET($T$2,0,0,ROW()-1,14),ROW()-1,FALSE))</x:f>
        <x:v/>
      </x:c>
      <x:c r="R56" t="str">
        <x:f ca="1">IF(AND($B$1012=1,LEN($R$1063)&gt;0),$R$1063,HLOOKUP(INDIRECT(ADDRESS(2,COLUMN())),OFFSET($T$2,0,0,ROW()-1,14),ROW()-1,FALSE))</x:f>
        <x:v/>
      </x:c>
      <x:c r="S56" t="str">
        <x:f ca="1">IF(AND($B$1012=1,LEN($S$1063)&gt;0),$S$1063,HLOOKUP(INDIRECT(ADDRESS(2,COLUMN())),OFFSET($T$2,0,0,ROW()-1,14),ROW()-1,FALSE))</x:f>
        <x:v/>
      </x:c>
      <x:c r="T56" t="str">
        <x:f>""</x:f>
        <x:v/>
      </x:c>
      <x:c r="U56" t="str">
        <x:f>""</x:f>
        <x:v/>
      </x:c>
      <x:c r="V56" t="str">
        <x:f>""</x:f>
        <x:v/>
      </x:c>
      <x:c r="W56" t="str">
        <x:f>""</x:f>
        <x:v/>
      </x:c>
      <x:c r="X56" t="str">
        <x:f>""</x:f>
        <x:v/>
      </x:c>
      <x:c r="Y56" t="str">
        <x:f>""</x:f>
        <x:v/>
      </x:c>
      <x:c r="Z56" t="str">
        <x:f>""</x:f>
        <x:v/>
      </x:c>
      <x:c r="AA56" t="str">
        <x:f>""</x:f>
        <x:v/>
      </x:c>
      <x:c r="AB56" t="str">
        <x:f>""</x:f>
        <x:v/>
      </x:c>
      <x:c r="AC56" t="str">
        <x:f>""</x:f>
        <x:v/>
      </x:c>
      <x:c r="AD56" t="str">
        <x:f>""</x:f>
        <x:v/>
      </x:c>
      <x:c r="AE56" t="str">
        <x:f>""</x:f>
        <x:v/>
      </x:c>
      <x:c r="AF56" t="str">
        <x:f>""</x:f>
        <x:v/>
      </x:c>
      <x:c r="AG56" t="str">
        <x:f>""</x:f>
        <x:v/>
      </x:c>
    </x:row>
    <x:row r="57" spans="1:33" x14ac:dyDescent="0.25">
      <x:c r="A57" t="str">
        <x:f>"        First Trust S-Network E-Commer"</x:f>
        <x:v xml:space="preserve">        First Trust S-Network E-Commer</x:v>
      </x:c>
      <x:c r="B57" t="str">
        <x:f>"FTXD US Equity"</x:f>
        <x:v>FTXD US Equity</x:v>
      </x:c>
      <x:c r="E57" t="str">
        <x:f t="shared" si="1"/>
        <x:v>Expression</x:v>
      </x:c>
      <x:c r="F57">
        <x:f ca="1">IF(AND($B$1012=1,LEN($F$1064)&gt;0),$F$1064,HLOOKUP(INDIRECT(ADDRESS(2,COLUMN())),OFFSET($T$2,0,0,ROW()-1,14),ROW()-1,FALSE))</x:f>
        <x:v>0</x:v>
      </x:c>
      <x:c r="G57">
        <x:f ca="1">IF(AND($B$1012=1,LEN($G$1064)&gt;0),$G$1064,HLOOKUP(INDIRECT(ADDRESS(2,COLUMN())),OFFSET($T$2,0,0,ROW()-1,14),ROW()-1,FALSE))</x:f>
        <x:v>0</x:v>
      </x:c>
      <x:c r="H57">
        <x:f ca="1">IF(AND($B$1012=1,LEN($H$1064)&gt;0),$H$1064,HLOOKUP(INDIRECT(ADDRESS(2,COLUMN())),OFFSET($T$2,0,0,ROW()-1,14),ROW()-1,FALSE))</x:f>
        <x:v>0</x:v>
      </x:c>
      <x:c r="I57">
        <x:f ca="1">IF(AND($B$1012=1,LEN($I$1064)&gt;0),$I$1064,HLOOKUP(INDIRECT(ADDRESS(2,COLUMN())),OFFSET($T$2,0,0,ROW()-1,14),ROW()-1,FALSE))</x:f>
        <x:v>0</x:v>
      </x:c>
      <x:c r="J57">
        <x:f ca="1">IF(AND($B$1012=1,LEN($J$1064)&gt;0),$J$1064,HLOOKUP(INDIRECT(ADDRESS(2,COLUMN())),OFFSET($T$2,0,0,ROW()-1,14),ROW()-1,FALSE))</x:f>
        <x:v>0</x:v>
      </x:c>
      <x:c r="K57">
        <x:f ca="1">IF(AND($B$1012=1,LEN($K$1064)&gt;0),$K$1064,HLOOKUP(INDIRECT(ADDRESS(2,COLUMN())),OFFSET($T$2,0,0,ROW()-1,14),ROW()-1,FALSE))</x:f>
        <x:v>0</x:v>
      </x:c>
      <x:c r="L57">
        <x:f ca="1">IF(AND($B$1012=1,LEN($L$1064)&gt;0),$L$1064,HLOOKUP(INDIRECT(ADDRESS(2,COLUMN())),OFFSET($T$2,0,0,ROW()-1,14),ROW()-1,FALSE))</x:f>
        <x:v>0</x:v>
      </x:c>
      <x:c r="M57">
        <x:f ca="1">IF(AND($B$1012=1,LEN($M$1064)&gt;0),$M$1064,HLOOKUP(INDIRECT(ADDRESS(2,COLUMN())),OFFSET($T$2,0,0,ROW()-1,14),ROW()-1,FALSE))</x:f>
        <x:v>0</x:v>
      </x:c>
      <x:c r="N57">
        <x:f ca="1">IF(AND($B$1012=1,LEN($N$1064)&gt;0),$N$1064,HLOOKUP(INDIRECT(ADDRESS(2,COLUMN())),OFFSET($T$2,0,0,ROW()-1,14),ROW()-1,FALSE))</x:f>
        <x:v>0</x:v>
      </x:c>
      <x:c r="O57">
        <x:f ca="1">IF(AND($B$1012=1,LEN($O$1064)&gt;0),$O$1064,HLOOKUP(INDIRECT(ADDRESS(2,COLUMN())),OFFSET($T$2,0,0,ROW()-1,14),ROW()-1,FALSE))</x:f>
        <x:v>0</x:v>
      </x:c>
      <x:c r="P57">
        <x:f ca="1">IF(AND($B$1012=1,LEN($P$1064)&gt;0),$P$1064,HLOOKUP(INDIRECT(ADDRESS(2,COLUMN())),OFFSET($T$2,0,0,ROW()-1,14),ROW()-1,FALSE))</x:f>
        <x:v>0</x:v>
      </x:c>
      <x:c r="Q57">
        <x:f ca="1">IF(AND($B$1012=1,LEN($Q$1064)&gt;0),$Q$1064,HLOOKUP(INDIRECT(ADDRESS(2,COLUMN())),OFFSET($T$2,0,0,ROW()-1,14),ROW()-1,FALSE))</x:f>
        <x:v>0</x:v>
      </x:c>
      <x:c r="R57">
        <x:f ca="1">IF(AND($B$1012=1,LEN($R$1064)&gt;0),$R$1064,HLOOKUP(INDIRECT(ADDRESS(2,COLUMN())),OFFSET($T$2,0,0,ROW()-1,14),ROW()-1,FALSE))</x:f>
        <x:v>0</x:v>
      </x:c>
      <x:c r="S57">
        <x:f ca="1">IF(AND($B$1012=1,LEN($S$1064)&gt;0),$S$1064,HLOOKUP(INDIRECT(ADDRESS(2,COLUMN())),OFFSET($T$2,0,0,ROW()-1,14),ROW()-1,FALSE))</x:f>
        <x:v>0</x:v>
      </x:c>
      <x:c r="T57">
        <x:f>0</x:f>
        <x:v>0</x:v>
      </x:c>
      <x:c r="U57">
        <x:f>0</x:f>
        <x:v>0</x:v>
      </x:c>
      <x:c r="V57">
        <x:f>0</x:f>
        <x:v>0</x:v>
      </x:c>
      <x:c r="W57">
        <x:f>0</x:f>
        <x:v>0</x:v>
      </x:c>
      <x:c r="X57">
        <x:f>0</x:f>
        <x:v>0</x:v>
      </x:c>
      <x:c r="Y57">
        <x:f>0</x:f>
        <x:v>0</x:v>
      </x:c>
      <x:c r="Z57">
        <x:f>0</x:f>
        <x:v>0</x:v>
      </x:c>
      <x:c r="AA57">
        <x:f>0</x:f>
        <x:v>0</x:v>
      </x:c>
      <x:c r="AB57">
        <x:f>0</x:f>
        <x:v>0</x:v>
      </x:c>
      <x:c r="AC57">
        <x:f>0</x:f>
        <x:v>0</x:v>
      </x:c>
      <x:c r="AD57">
        <x:f>0</x:f>
        <x:v>0</x:v>
      </x:c>
      <x:c r="AE57">
        <x:f>0</x:f>
        <x:v>0</x:v>
      </x:c>
      <x:c r="AF57">
        <x:f>0</x:f>
        <x:v>0</x:v>
      </x:c>
      <x:c r="AG57">
        <x:f>0</x:f>
        <x:v>0</x:v>
      </x:c>
    </x:row>
    <x:row r="58" spans="1:33" x14ac:dyDescent="0.25">
      <x:c r="A58" t="str">
        <x:f>"        ProShares UltraShort Consumer"</x:f>
        <x:v xml:space="preserve">        ProShares UltraShort Consumer</x:v>
      </x:c>
      <x:c r="B58" t="str">
        <x:f>"SCC US Equity"</x:f>
        <x:v>SCC US Equity</x:v>
      </x:c>
      <x:c r="E58" t="str">
        <x:f t="shared" si="1"/>
        <x:v>Expression</x:v>
      </x:c>
      <x:c r="F58">
        <x:f ca="1">IF(AND($B$1012=1,LEN($F$1065)&gt;0),$F$1065,HLOOKUP(INDIRECT(ADDRESS(2,COLUMN())),OFFSET($T$2,0,0,ROW()-1,14),ROW()-1,FALSE))</x:f>
        <x:v>-0.173428</x:v>
      </x:c>
      <x:c r="G58">
        <x:f ca="1">IF(AND($B$1012=1,LEN($G$1065)&gt;0),$G$1065,HLOOKUP(INDIRECT(ADDRESS(2,COLUMN())),OFFSET($T$2,0,0,ROW()-1,14),ROW()-1,FALSE))</x:f>
        <x:v>0.83289000000000002</x:v>
      </x:c>
      <x:c r="H58">
        <x:f ca="1">IF(AND($B$1012=1,LEN($H$1065)&gt;0),$H$1065,HLOOKUP(INDIRECT(ADDRESS(2,COLUMN())),OFFSET($T$2,0,0,ROW()-1,14),ROW()-1,FALSE))</x:f>
        <x:v>-0.16498299999999999</x:v>
      </x:c>
      <x:c r="I58">
        <x:f ca="1">IF(AND($B$1012=1,LEN($I$1065)&gt;0),$I$1065,HLOOKUP(INDIRECT(ADDRESS(2,COLUMN())),OFFSET($T$2,0,0,ROW()-1,14),ROW()-1,FALSE))</x:f>
        <x:v>0</x:v>
      </x:c>
      <x:c r="J58">
        <x:f ca="1">IF(AND($B$1012=1,LEN($J$1065)&gt;0),$J$1065,HLOOKUP(INDIRECT(ADDRESS(2,COLUMN())),OFFSET($T$2,0,0,ROW()-1,14),ROW()-1,FALSE))</x:f>
        <x:v>0.15457799999999999</x:v>
      </x:c>
      <x:c r="K58">
        <x:f ca="1">IF(AND($B$1012=1,LEN($K$1065)&gt;0),$K$1065,HLOOKUP(INDIRECT(ADDRESS(2,COLUMN())),OFFSET($T$2,0,0,ROW()-1,14),ROW()-1,FALSE))</x:f>
        <x:v>-0.68879299999999999</x:v>
      </x:c>
      <x:c r="L58">
        <x:f ca="1">IF(AND($B$1012=1,LEN($L$1065)&gt;0),$L$1065,HLOOKUP(INDIRECT(ADDRESS(2,COLUMN())),OFFSET($T$2,0,0,ROW()-1,14),ROW()-1,FALSE))</x:f>
        <x:v>0.57840000000000003</x:v>
      </x:c>
      <x:c r="M58">
        <x:f ca="1">IF(AND($B$1012=1,LEN($M$1065)&gt;0),$M$1065,HLOOKUP(INDIRECT(ADDRESS(2,COLUMN())),OFFSET($T$2,0,0,ROW()-1,14),ROW()-1,FALSE))</x:f>
        <x:v>0</x:v>
      </x:c>
      <x:c r="N58">
        <x:f ca="1">IF(AND($B$1012=1,LEN($N$1065)&gt;0),$N$1065,HLOOKUP(INDIRECT(ADDRESS(2,COLUMN())),OFFSET($T$2,0,0,ROW()-1,14),ROW()-1,FALSE))</x:f>
        <x:v>-0.60888500000000001</x:v>
      </x:c>
      <x:c r="O58">
        <x:f ca="1">IF(AND($B$1012=1,LEN($O$1065)&gt;0),$O$1065,HLOOKUP(INDIRECT(ADDRESS(2,COLUMN())),OFFSET($T$2,0,0,ROW()-1,14),ROW()-1,FALSE))</x:f>
        <x:v>-0.51883000000000001</x:v>
      </x:c>
      <x:c r="P58">
        <x:f ca="1">IF(AND($B$1012=1,LEN($P$1065)&gt;0),$P$1065,HLOOKUP(INDIRECT(ADDRESS(2,COLUMN())),OFFSET($T$2,0,0,ROW()-1,14),ROW()-1,FALSE))</x:f>
        <x:v>-0.59371700000000005</x:v>
      </x:c>
      <x:c r="Q58">
        <x:f ca="1">IF(AND($B$1012=1,LEN($Q$1065)&gt;0),$Q$1065,HLOOKUP(INDIRECT(ADDRESS(2,COLUMN())),OFFSET($T$2,0,0,ROW()-1,14),ROW()-1,FALSE))</x:f>
        <x:v>0</x:v>
      </x:c>
      <x:c r="R58">
        <x:f ca="1">IF(AND($B$1012=1,LEN($R$1065)&gt;0),$R$1065,HLOOKUP(INDIRECT(ADDRESS(2,COLUMN())),OFFSET($T$2,0,0,ROW()-1,14),ROW()-1,FALSE))</x:f>
        <x:v>-1.2561249999999999</x:v>
      </x:c>
      <x:c r="S58">
        <x:f ca="1">IF(AND($B$1012=1,LEN($S$1065)&gt;0),$S$1065,HLOOKUP(INDIRECT(ADDRESS(2,COLUMN())),OFFSET($T$2,0,0,ROW()-1,14),ROW()-1,FALSE))</x:f>
        <x:v>-4.1578679999999997</x:v>
      </x:c>
      <x:c r="T58">
        <x:f>-0.173428</x:f>
        <x:v>-0.173428</x:v>
      </x:c>
      <x:c r="U58">
        <x:f>0.83289</x:f>
        <x:v>0.83289000000000002</x:v>
      </x:c>
      <x:c r="V58">
        <x:f>-0.164983</x:f>
        <x:v>-0.16498299999999999</x:v>
      </x:c>
      <x:c r="W58">
        <x:f>0</x:f>
        <x:v>0</x:v>
      </x:c>
      <x:c r="X58">
        <x:f>0.154578</x:f>
        <x:v>0.15457799999999999</x:v>
      </x:c>
      <x:c r="Y58">
        <x:f>-0.688793</x:f>
        <x:v>-0.68879299999999999</x:v>
      </x:c>
      <x:c r="Z58">
        <x:f>0.5784</x:f>
        <x:v>0.57840000000000003</x:v>
      </x:c>
      <x:c r="AA58">
        <x:f>0</x:f>
        <x:v>0</x:v>
      </x:c>
      <x:c r="AB58">
        <x:f>-0.608885</x:f>
        <x:v>-0.60888500000000001</x:v>
      </x:c>
      <x:c r="AC58">
        <x:f>-0.51883</x:f>
        <x:v>-0.51883000000000001</x:v>
      </x:c>
      <x:c r="AD58">
        <x:f>-0.593717</x:f>
        <x:v>-0.59371700000000005</x:v>
      </x:c>
      <x:c r="AE58">
        <x:f>0</x:f>
        <x:v>0</x:v>
      </x:c>
      <x:c r="AF58">
        <x:f>-1.256125</x:f>
        <x:v>-1.2561249999999999</x:v>
      </x:c>
      <x:c r="AG58">
        <x:f>-4.157868</x:f>
        <x:v>-4.1578679999999997</x:v>
      </x:c>
    </x:row>
    <x:row r="59" spans="1:33" x14ac:dyDescent="0.25">
      <x:c r="A59" t="str">
        <x:f>"        USCF Restaurant Leaders Fund"</x:f>
        <x:v xml:space="preserve">        USCF Restaurant Leaders Fund</x:v>
      </x:c>
      <x:c r="B59" t="str">
        <x:f>"MENU US Equity"</x:f>
        <x:v>MENU US Equity</x:v>
      </x:c>
      <x:c r="E59" t="str">
        <x:f t="shared" si="1"/>
        <x:v>Expression</x:v>
      </x:c>
      <x:c r="F59" t="str">
        <x:f ca="1">IF(AND($B$1012=1,LEN($F$1066)&gt;0),$F$1066,HLOOKUP(INDIRECT(ADDRESS(2,COLUMN())),OFFSET($T$2,0,0,ROW()-1,14),ROW()-1,FALSE))</x:f>
        <x:v/>
      </x:c>
      <x:c r="G59" t="str">
        <x:f ca="1">IF(AND($B$1012=1,LEN($G$1066)&gt;0),$G$1066,HLOOKUP(INDIRECT(ADDRESS(2,COLUMN())),OFFSET($T$2,0,0,ROW()-1,14),ROW()-1,FALSE))</x:f>
        <x:v/>
      </x:c>
      <x:c r="H59" t="str">
        <x:f ca="1">IF(AND($B$1012=1,LEN($H$1066)&gt;0),$H$1066,HLOOKUP(INDIRECT(ADDRESS(2,COLUMN())),OFFSET($T$2,0,0,ROW()-1,14),ROW()-1,FALSE))</x:f>
        <x:v/>
      </x:c>
      <x:c r="I59" t="str">
        <x:f ca="1">IF(AND($B$1012=1,LEN($I$1066)&gt;0),$I$1066,HLOOKUP(INDIRECT(ADDRESS(2,COLUMN())),OFFSET($T$2,0,0,ROW()-1,14),ROW()-1,FALSE))</x:f>
        <x:v/>
      </x:c>
      <x:c r="J59" t="str">
        <x:f ca="1">IF(AND($B$1012=1,LEN($J$1066)&gt;0),$J$1066,HLOOKUP(INDIRECT(ADDRESS(2,COLUMN())),OFFSET($T$2,0,0,ROW()-1,14),ROW()-1,FALSE))</x:f>
        <x:v/>
      </x:c>
      <x:c r="K59" t="str">
        <x:f ca="1">IF(AND($B$1012=1,LEN($K$1066)&gt;0),$K$1066,HLOOKUP(INDIRECT(ADDRESS(2,COLUMN())),OFFSET($T$2,0,0,ROW()-1,14),ROW()-1,FALSE))</x:f>
        <x:v/>
      </x:c>
      <x:c r="L59" t="str">
        <x:f ca="1">IF(AND($B$1012=1,LEN($L$1066)&gt;0),$L$1066,HLOOKUP(INDIRECT(ADDRESS(2,COLUMN())),OFFSET($T$2,0,0,ROW()-1,14),ROW()-1,FALSE))</x:f>
        <x:v/>
      </x:c>
      <x:c r="M59" t="str">
        <x:f ca="1">IF(AND($B$1012=1,LEN($M$1066)&gt;0),$M$1066,HLOOKUP(INDIRECT(ADDRESS(2,COLUMN())),OFFSET($T$2,0,0,ROW()-1,14),ROW()-1,FALSE))</x:f>
        <x:v/>
      </x:c>
      <x:c r="N59" t="str">
        <x:f ca="1">IF(AND($B$1012=1,LEN($N$1066)&gt;0),$N$1066,HLOOKUP(INDIRECT(ADDRESS(2,COLUMN())),OFFSET($T$2,0,0,ROW()-1,14),ROW()-1,FALSE))</x:f>
        <x:v/>
      </x:c>
      <x:c r="O59" t="str">
        <x:f ca="1">IF(AND($B$1012=1,LEN($O$1066)&gt;0),$O$1066,HLOOKUP(INDIRECT(ADDRESS(2,COLUMN())),OFFSET($T$2,0,0,ROW()-1,14),ROW()-1,FALSE))</x:f>
        <x:v/>
      </x:c>
      <x:c r="P59" t="str">
        <x:f ca="1">IF(AND($B$1012=1,LEN($P$1066)&gt;0),$P$1066,HLOOKUP(INDIRECT(ADDRESS(2,COLUMN())),OFFSET($T$2,0,0,ROW()-1,14),ROW()-1,FALSE))</x:f>
        <x:v/>
      </x:c>
      <x:c r="Q59" t="str">
        <x:f ca="1">IF(AND($B$1012=1,LEN($Q$1066)&gt;0),$Q$1066,HLOOKUP(INDIRECT(ADDRESS(2,COLUMN())),OFFSET($T$2,0,0,ROW()-1,14),ROW()-1,FALSE))</x:f>
        <x:v/>
      </x:c>
      <x:c r="R59" t="str">
        <x:f ca="1">IF(AND($B$1012=1,LEN($R$1066)&gt;0),$R$1066,HLOOKUP(INDIRECT(ADDRESS(2,COLUMN())),OFFSET($T$2,0,0,ROW()-1,14),ROW()-1,FALSE))</x:f>
        <x:v/>
      </x:c>
      <x:c r="S59" t="str">
        <x:f ca="1">IF(AND($B$1012=1,LEN($S$1066)&gt;0),$S$1066,HLOOKUP(INDIRECT(ADDRESS(2,COLUMN())),OFFSET($T$2,0,0,ROW()-1,14),ROW()-1,FALSE))</x:f>
        <x:v/>
      </x:c>
      <x:c r="T59" t="str">
        <x:f>""</x:f>
        <x:v/>
      </x:c>
      <x:c r="U59" t="str">
        <x:f>""</x:f>
        <x:v/>
      </x:c>
      <x:c r="V59" t="str">
        <x:f>""</x:f>
        <x:v/>
      </x:c>
      <x:c r="W59" t="str">
        <x:f>""</x:f>
        <x:v/>
      </x:c>
      <x:c r="X59" t="str">
        <x:f>""</x:f>
        <x:v/>
      </x:c>
      <x:c r="Y59" t="str">
        <x:f>""</x:f>
        <x:v/>
      </x:c>
      <x:c r="Z59" t="str">
        <x:f>""</x:f>
        <x:v/>
      </x:c>
      <x:c r="AA59" t="str">
        <x:f>""</x:f>
        <x:v/>
      </x:c>
      <x:c r="AB59" t="str">
        <x:f>""</x:f>
        <x:v/>
      </x:c>
      <x:c r="AC59" t="str">
        <x:f>""</x:f>
        <x:v/>
      </x:c>
      <x:c r="AD59" t="str">
        <x:f>""</x:f>
        <x:v/>
      </x:c>
      <x:c r="AE59" t="str">
        <x:f>""</x:f>
        <x:v/>
      </x:c>
      <x:c r="AF59" t="str">
        <x:f>""</x:f>
        <x:v/>
      </x:c>
      <x:c r="AG59" t="str">
        <x:f>""</x:f>
        <x:v/>
      </x:c>
    </x:row>
    <x:row r="60" spans="1:33" x14ac:dyDescent="0.25">
      <x:c r="A60" t="str">
        <x:f>"        Elkhorn S&amp;P MidCap Consumer Di"</x:f>
        <x:v xml:space="preserve">        Elkhorn S&amp;P MidCap Consumer Di</x:v>
      </x:c>
      <x:c r="B60" t="str">
        <x:f>"XD US Equity"</x:f>
        <x:v>XD US Equity</x:v>
      </x:c>
      <x:c r="E60" t="str">
        <x:f t="shared" si="1"/>
        <x:v>Expression</x:v>
      </x:c>
      <x:c r="F60" t="str">
        <x:f ca="1">IF(AND($B$1012=1,LEN($F$1067)&gt;0),$F$1067,HLOOKUP(INDIRECT(ADDRESS(2,COLUMN())),OFFSET($T$2,0,0,ROW()-1,14),ROW()-1,FALSE))</x:f>
        <x:v/>
      </x:c>
      <x:c r="G60" t="str">
        <x:f ca="1">IF(AND($B$1012=1,LEN($G$1067)&gt;0),$G$1067,HLOOKUP(INDIRECT(ADDRESS(2,COLUMN())),OFFSET($T$2,0,0,ROW()-1,14),ROW()-1,FALSE))</x:f>
        <x:v/>
      </x:c>
      <x:c r="H60" t="str">
        <x:f ca="1">IF(AND($B$1012=1,LEN($H$1067)&gt;0),$H$1067,HLOOKUP(INDIRECT(ADDRESS(2,COLUMN())),OFFSET($T$2,0,0,ROW()-1,14),ROW()-1,FALSE))</x:f>
        <x:v/>
      </x:c>
      <x:c r="I60" t="str">
        <x:f ca="1">IF(AND($B$1012=1,LEN($I$1067)&gt;0),$I$1067,HLOOKUP(INDIRECT(ADDRESS(2,COLUMN())),OFFSET($T$2,0,0,ROW()-1,14),ROW()-1,FALSE))</x:f>
        <x:v/>
      </x:c>
      <x:c r="J60" t="str">
        <x:f ca="1">IF(AND($B$1012=1,LEN($J$1067)&gt;0),$J$1067,HLOOKUP(INDIRECT(ADDRESS(2,COLUMN())),OFFSET($T$2,0,0,ROW()-1,14),ROW()-1,FALSE))</x:f>
        <x:v/>
      </x:c>
      <x:c r="K60" t="str">
        <x:f ca="1">IF(AND($B$1012=1,LEN($K$1067)&gt;0),$K$1067,HLOOKUP(INDIRECT(ADDRESS(2,COLUMN())),OFFSET($T$2,0,0,ROW()-1,14),ROW()-1,FALSE))</x:f>
        <x:v/>
      </x:c>
      <x:c r="L60" t="str">
        <x:f ca="1">IF(AND($B$1012=1,LEN($L$1067)&gt;0),$L$1067,HLOOKUP(INDIRECT(ADDRESS(2,COLUMN())),OFFSET($T$2,0,0,ROW()-1,14),ROW()-1,FALSE))</x:f>
        <x:v/>
      </x:c>
      <x:c r="M60" t="str">
        <x:f ca="1">IF(AND($B$1012=1,LEN($M$1067)&gt;0),$M$1067,HLOOKUP(INDIRECT(ADDRESS(2,COLUMN())),OFFSET($T$2,0,0,ROW()-1,14),ROW()-1,FALSE))</x:f>
        <x:v/>
      </x:c>
      <x:c r="N60" t="str">
        <x:f ca="1">IF(AND($B$1012=1,LEN($N$1067)&gt;0),$N$1067,HLOOKUP(INDIRECT(ADDRESS(2,COLUMN())),OFFSET($T$2,0,0,ROW()-1,14),ROW()-1,FALSE))</x:f>
        <x:v/>
      </x:c>
      <x:c r="O60" t="str">
        <x:f ca="1">IF(AND($B$1012=1,LEN($O$1067)&gt;0),$O$1067,HLOOKUP(INDIRECT(ADDRESS(2,COLUMN())),OFFSET($T$2,0,0,ROW()-1,14),ROW()-1,FALSE))</x:f>
        <x:v/>
      </x:c>
      <x:c r="P60" t="str">
        <x:f ca="1">IF(AND($B$1012=1,LEN($P$1067)&gt;0),$P$1067,HLOOKUP(INDIRECT(ADDRESS(2,COLUMN())),OFFSET($T$2,0,0,ROW()-1,14),ROW()-1,FALSE))</x:f>
        <x:v/>
      </x:c>
      <x:c r="Q60" t="str">
        <x:f ca="1">IF(AND($B$1012=1,LEN($Q$1067)&gt;0),$Q$1067,HLOOKUP(INDIRECT(ADDRESS(2,COLUMN())),OFFSET($T$2,0,0,ROW()-1,14),ROW()-1,FALSE))</x:f>
        <x:v/>
      </x:c>
      <x:c r="R60" t="str">
        <x:f ca="1">IF(AND($B$1012=1,LEN($R$1067)&gt;0),$R$1067,HLOOKUP(INDIRECT(ADDRESS(2,COLUMN())),OFFSET($T$2,0,0,ROW()-1,14),ROW()-1,FALSE))</x:f>
        <x:v/>
      </x:c>
      <x:c r="S60" t="str">
        <x:f ca="1">IF(AND($B$1012=1,LEN($S$1067)&gt;0),$S$1067,HLOOKUP(INDIRECT(ADDRESS(2,COLUMN())),OFFSET($T$2,0,0,ROW()-1,14),ROW()-1,FALSE))</x:f>
        <x:v/>
      </x:c>
      <x:c r="T60" t="str">
        <x:f>""</x:f>
        <x:v/>
      </x:c>
      <x:c r="U60" t="str">
        <x:f>""</x:f>
        <x:v/>
      </x:c>
      <x:c r="V60" t="str">
        <x:f>""</x:f>
        <x:v/>
      </x:c>
      <x:c r="W60" t="str">
        <x:f>""</x:f>
        <x:v/>
      </x:c>
      <x:c r="X60" t="str">
        <x:f>""</x:f>
        <x:v/>
      </x:c>
      <x:c r="Y60" t="str">
        <x:f>""</x:f>
        <x:v/>
      </x:c>
      <x:c r="Z60" t="str">
        <x:f>""</x:f>
        <x:v/>
      </x:c>
      <x:c r="AA60" t="str">
        <x:f>""</x:f>
        <x:v/>
      </x:c>
      <x:c r="AB60" t="str">
        <x:f>""</x:f>
        <x:v/>
      </x:c>
      <x:c r="AC60" t="str">
        <x:f>""</x:f>
        <x:v/>
      </x:c>
      <x:c r="AD60" t="str">
        <x:f>""</x:f>
        <x:v/>
      </x:c>
      <x:c r="AE60" t="str">
        <x:f>""</x:f>
        <x:v/>
      </x:c>
      <x:c r="AF60" t="str">
        <x:f>""</x:f>
        <x:v/>
      </x:c>
      <x:c r="AG60" t="str">
        <x:f>""</x:f>
        <x:v/>
      </x:c>
    </x:row>
    <x:row r="61" spans="1:33" x14ac:dyDescent="0.25">
      <x:c r="A61" t="str">
        <x:f>"        iShares U.S. Consumer Focused"</x:f>
        <x:v xml:space="preserve">        iShares U.S. Consumer Focused</x:v>
      </x:c>
      <x:c r="B61" t="str">
        <x:f>"IEDI US Equity"</x:f>
        <x:v>IEDI US Equity</x:v>
      </x:c>
      <x:c r="E61" t="str">
        <x:f t="shared" si="1"/>
        <x:v>Expression</x:v>
      </x:c>
      <x:c r="F61">
        <x:f ca="1">IF(AND($B$1012=1,LEN($F$1068)&gt;0),$F$1068,HLOOKUP(INDIRECT(ADDRESS(2,COLUMN())),OFFSET($T$2,0,0,ROW()-1,14),ROW()-1,FALSE))</x:f>
        <x:v>0</x:v>
      </x:c>
      <x:c r="G61">
        <x:f ca="1">IF(AND($B$1012=1,LEN($G$1068)&gt;0),$G$1068,HLOOKUP(INDIRECT(ADDRESS(2,COLUMN())),OFFSET($T$2,0,0,ROW()-1,14),ROW()-1,FALSE))</x:f>
        <x:v>0</x:v>
      </x:c>
      <x:c r="H61">
        <x:f ca="1">IF(AND($B$1012=1,LEN($H$1068)&gt;0),$H$1068,HLOOKUP(INDIRECT(ADDRESS(2,COLUMN())),OFFSET($T$2,0,0,ROW()-1,14),ROW()-1,FALSE))</x:f>
        <x:v>0</x:v>
      </x:c>
      <x:c r="I61">
        <x:f ca="1">IF(AND($B$1012=1,LEN($I$1068)&gt;0),$I$1068,HLOOKUP(INDIRECT(ADDRESS(2,COLUMN())),OFFSET($T$2,0,0,ROW()-1,14),ROW()-1,FALSE))</x:f>
        <x:v>0</x:v>
      </x:c>
      <x:c r="J61">
        <x:f ca="1">IF(AND($B$1012=1,LEN($J$1068)&gt;0),$J$1068,HLOOKUP(INDIRECT(ADDRESS(2,COLUMN())),OFFSET($T$2,0,0,ROW()-1,14),ROW()-1,FALSE))</x:f>
        <x:v>0</x:v>
      </x:c>
      <x:c r="K61">
        <x:f ca="1">IF(AND($B$1012=1,LEN($K$1068)&gt;0),$K$1068,HLOOKUP(INDIRECT(ADDRESS(2,COLUMN())),OFFSET($T$2,0,0,ROW()-1,14),ROW()-1,FALSE))</x:f>
        <x:v>0</x:v>
      </x:c>
      <x:c r="L61">
        <x:f ca="1">IF(AND($B$1012=1,LEN($L$1068)&gt;0),$L$1068,HLOOKUP(INDIRECT(ADDRESS(2,COLUMN())),OFFSET($T$2,0,0,ROW()-1,14),ROW()-1,FALSE))</x:f>
        <x:v>0</x:v>
      </x:c>
      <x:c r="M61">
        <x:f ca="1">IF(AND($B$1012=1,LEN($M$1068)&gt;0),$M$1068,HLOOKUP(INDIRECT(ADDRESS(2,COLUMN())),OFFSET($T$2,0,0,ROW()-1,14),ROW()-1,FALSE))</x:f>
        <x:v>0</x:v>
      </x:c>
      <x:c r="N61">
        <x:f ca="1">IF(AND($B$1012=1,LEN($N$1068)&gt;0),$N$1068,HLOOKUP(INDIRECT(ADDRESS(2,COLUMN())),OFFSET($T$2,0,0,ROW()-1,14),ROW()-1,FALSE))</x:f>
        <x:v>0</x:v>
      </x:c>
      <x:c r="O61">
        <x:f ca="1">IF(AND($B$1012=1,LEN($O$1068)&gt;0),$O$1068,HLOOKUP(INDIRECT(ADDRESS(2,COLUMN())),OFFSET($T$2,0,0,ROW()-1,14),ROW()-1,FALSE))</x:f>
        <x:v>0</x:v>
      </x:c>
      <x:c r="P61">
        <x:f ca="1">IF(AND($B$1012=1,LEN($P$1068)&gt;0),$P$1068,HLOOKUP(INDIRECT(ADDRESS(2,COLUMN())),OFFSET($T$2,0,0,ROW()-1,14),ROW()-1,FALSE))</x:f>
        <x:v>0</x:v>
      </x:c>
      <x:c r="Q61">
        <x:f ca="1">IF(AND($B$1012=1,LEN($Q$1068)&gt;0),$Q$1068,HLOOKUP(INDIRECT(ADDRESS(2,COLUMN())),OFFSET($T$2,0,0,ROW()-1,14),ROW()-1,FALSE))</x:f>
        <x:v>-1.96804</x:v>
      </x:c>
      <x:c r="R61">
        <x:f ca="1">IF(AND($B$1012=1,LEN($R$1068)&gt;0),$R$1068,HLOOKUP(INDIRECT(ADDRESS(2,COLUMN())),OFFSET($T$2,0,0,ROW()-1,14),ROW()-1,FALSE))</x:f>
        <x:v>1.9323399999999999</x:v>
      </x:c>
      <x:c r="S61">
        <x:f ca="1">IF(AND($B$1012=1,LEN($S$1068)&gt;0),$S$1068,HLOOKUP(INDIRECT(ADDRESS(2,COLUMN())),OFFSET($T$2,0,0,ROW()-1,14),ROW()-1,FALSE))</x:f>
        <x:v>-3.6387700000000001</x:v>
      </x:c>
      <x:c r="T61">
        <x:f>0</x:f>
        <x:v>0</x:v>
      </x:c>
      <x:c r="U61">
        <x:f>0</x:f>
        <x:v>0</x:v>
      </x:c>
      <x:c r="V61">
        <x:f>0</x:f>
        <x:v>0</x:v>
      </x:c>
      <x:c r="W61">
        <x:f>0</x:f>
        <x:v>0</x:v>
      </x:c>
      <x:c r="X61">
        <x:f>0</x:f>
        <x:v>0</x:v>
      </x:c>
      <x:c r="Y61">
        <x:f>0</x:f>
        <x:v>0</x:v>
      </x:c>
      <x:c r="Z61">
        <x:f>0</x:f>
        <x:v>0</x:v>
      </x:c>
      <x:c r="AA61">
        <x:f>0</x:f>
        <x:v>0</x:v>
      </x:c>
      <x:c r="AB61">
        <x:f>0</x:f>
        <x:v>0</x:v>
      </x:c>
      <x:c r="AC61">
        <x:f>0</x:f>
        <x:v>0</x:v>
      </x:c>
      <x:c r="AD61">
        <x:f>0</x:f>
        <x:v>0</x:v>
      </x:c>
      <x:c r="AE61">
        <x:f>-1.96804</x:f>
        <x:v>-1.96804</x:v>
      </x:c>
      <x:c r="AF61">
        <x:f>1.93234</x:f>
        <x:v>1.9323399999999999</x:v>
      </x:c>
      <x:c r="AG61">
        <x:f>-3.63877</x:f>
        <x:v>-3.6387700000000001</x:v>
      </x:c>
    </x:row>
    <x:row r="62" spans="1:33" x14ac:dyDescent="0.25">
      <x:c r="A62" t="str">
        <x:f>"        ProShares Decline of the Retai"</x:f>
        <x:v xml:space="preserve">        ProShares Decline of the Retai</x:v>
      </x:c>
      <x:c r="B62" t="str">
        <x:f>"EMTY US Equity"</x:f>
        <x:v>EMTY US Equity</x:v>
      </x:c>
      <x:c r="E62" t="str">
        <x:f t="shared" si="1"/>
        <x:v>Expression</x:v>
      </x:c>
      <x:c r="F62">
        <x:f ca="1">IF(AND($B$1012=1,LEN($F$1069)&gt;0),$F$1069,HLOOKUP(INDIRECT(ADDRESS(2,COLUMN())),OFFSET($T$2,0,0,ROW()-1,14),ROW()-1,FALSE))</x:f>
        <x:v>0.33424999999999999</x:v>
      </x:c>
      <x:c r="G62">
        <x:f ca="1">IF(AND($B$1012=1,LEN($G$1069)&gt;0),$G$1069,HLOOKUP(INDIRECT(ADDRESS(2,COLUMN())),OFFSET($T$2,0,0,ROW()-1,14),ROW()-1,FALSE))</x:f>
        <x:v>-0.34849999999999998</x:v>
      </x:c>
      <x:c r="H62">
        <x:f ca="1">IF(AND($B$1012=1,LEN($H$1069)&gt;0),$H$1069,HLOOKUP(INDIRECT(ADDRESS(2,COLUMN())),OFFSET($T$2,0,0,ROW()-1,14),ROW()-1,FALSE))</x:f>
        <x:v>0</x:v>
      </x:c>
      <x:c r="I62">
        <x:f ca="1">IF(AND($B$1012=1,LEN($I$1069)&gt;0),$I$1069,HLOOKUP(INDIRECT(ADDRESS(2,COLUMN())),OFFSET($T$2,0,0,ROW()-1,14),ROW()-1,FALSE))</x:f>
        <x:v>0.17602100000000001</x:v>
      </x:c>
      <x:c r="J62">
        <x:f ca="1">IF(AND($B$1012=1,LEN($J$1069)&gt;0),$J$1069,HLOOKUP(INDIRECT(ADDRESS(2,COLUMN())),OFFSET($T$2,0,0,ROW()-1,14),ROW()-1,FALSE))</x:f>
        <x:v>-1.1906460000000001</x:v>
      </x:c>
      <x:c r="K62">
        <x:f ca="1">IF(AND($B$1012=1,LEN($K$1069)&gt;0),$K$1069,HLOOKUP(INDIRECT(ADDRESS(2,COLUMN())),OFFSET($T$2,0,0,ROW()-1,14),ROW()-1,FALSE))</x:f>
        <x:v>0</x:v>
      </x:c>
      <x:c r="L62">
        <x:f ca="1">IF(AND($B$1012=1,LEN($L$1069)&gt;0),$L$1069,HLOOKUP(INDIRECT(ADDRESS(2,COLUMN())),OFFSET($T$2,0,0,ROW()-1,14),ROW()-1,FALSE))</x:f>
        <x:v>-1.0836619999999999</x:v>
      </x:c>
      <x:c r="M62">
        <x:f ca="1">IF(AND($B$1012=1,LEN($M$1069)&gt;0),$M$1069,HLOOKUP(INDIRECT(ADDRESS(2,COLUMN())),OFFSET($T$2,0,0,ROW()-1,14),ROW()-1,FALSE))</x:f>
        <x:v>-0.71665500000000004</x:v>
      </x:c>
      <x:c r="N62">
        <x:f ca="1">IF(AND($B$1012=1,LEN($N$1069)&gt;0),$N$1069,HLOOKUP(INDIRECT(ADDRESS(2,COLUMN())),OFFSET($T$2,0,0,ROW()-1,14),ROW()-1,FALSE))</x:f>
        <x:v>-0.37281999999999998</x:v>
      </x:c>
      <x:c r="O62">
        <x:f ca="1">IF(AND($B$1012=1,LEN($O$1069)&gt;0),$O$1069,HLOOKUP(INDIRECT(ADDRESS(2,COLUMN())),OFFSET($T$2,0,0,ROW()-1,14),ROW()-1,FALSE))</x:f>
        <x:v>-2.7540650000000002</x:v>
      </x:c>
      <x:c r="P62">
        <x:f ca="1">IF(AND($B$1012=1,LEN($P$1069)&gt;0),$P$1069,HLOOKUP(INDIRECT(ADDRESS(2,COLUMN())),OFFSET($T$2,0,0,ROW()-1,14),ROW()-1,FALSE))</x:f>
        <x:v>-0.72284000000000004</x:v>
      </x:c>
      <x:c r="Q62">
        <x:f ca="1">IF(AND($B$1012=1,LEN($Q$1069)&gt;0),$Q$1069,HLOOKUP(INDIRECT(ADDRESS(2,COLUMN())),OFFSET($T$2,0,0,ROW()-1,14),ROW()-1,FALSE))</x:f>
        <x:v>-0.74070000000000003</x:v>
      </x:c>
      <x:c r="R62">
        <x:f ca="1">IF(AND($B$1012=1,LEN($R$1069)&gt;0),$R$1069,HLOOKUP(INDIRECT(ADDRESS(2,COLUMN())),OFFSET($T$2,0,0,ROW()-1,14),ROW()-1,FALSE))</x:f>
        <x:v>-3.848875</x:v>
      </x:c>
      <x:c r="S62">
        <x:f ca="1">IF(AND($B$1012=1,LEN($S$1069)&gt;0),$S$1069,HLOOKUP(INDIRECT(ADDRESS(2,COLUMN())),OFFSET($T$2,0,0,ROW()-1,14),ROW()-1,FALSE))</x:f>
        <x:v>-4.7850099999999998</x:v>
      </x:c>
      <x:c r="T62">
        <x:f>0.33425</x:f>
        <x:v>0.33424999999999999</x:v>
      </x:c>
      <x:c r="U62">
        <x:f>-0.3485</x:f>
        <x:v>-0.34849999999999998</x:v>
      </x:c>
      <x:c r="V62">
        <x:f>0</x:f>
        <x:v>0</x:v>
      </x:c>
      <x:c r="W62">
        <x:f>0.176021</x:f>
        <x:v>0.17602100000000001</x:v>
      </x:c>
      <x:c r="X62">
        <x:f>-1.190646</x:f>
        <x:v>-1.1906460000000001</x:v>
      </x:c>
      <x:c r="Y62">
        <x:f>0</x:f>
        <x:v>0</x:v>
      </x:c>
      <x:c r="Z62">
        <x:f>-1.083662</x:f>
        <x:v>-1.0836619999999999</x:v>
      </x:c>
      <x:c r="AA62">
        <x:f>-0.716655</x:f>
        <x:v>-0.71665500000000004</x:v>
      </x:c>
      <x:c r="AB62">
        <x:f>-0.37282</x:f>
        <x:v>-0.37281999999999998</x:v>
      </x:c>
      <x:c r="AC62">
        <x:f>-2.754065</x:f>
        <x:v>-2.7540650000000002</x:v>
      </x:c>
      <x:c r="AD62">
        <x:f>-0.72284</x:f>
        <x:v>-0.72284000000000004</x:v>
      </x:c>
      <x:c r="AE62">
        <x:f>-0.7407</x:f>
        <x:v>-0.74070000000000003</x:v>
      </x:c>
      <x:c r="AF62">
        <x:f>-3.848875</x:f>
        <x:v>-3.848875</x:v>
      </x:c>
      <x:c r="AG62">
        <x:f>-4.78501</x:f>
        <x:v>-4.7850099999999998</x:v>
      </x:c>
    </x:row>
    <x:row r="63" spans="1:33" x14ac:dyDescent="0.25">
      <x:c r="A63" t="str">
        <x:f>"        Global X E-Commerce ETF"</x:f>
        <x:v xml:space="preserve">        Global X E-Commerce ETF</x:v>
      </x:c>
      <x:c r="B63" t="str">
        <x:f>"EBIZ US Equity"</x:f>
        <x:v>EBIZ US Equity</x:v>
      </x:c>
      <x:c r="E63" t="str">
        <x:f t="shared" si="1"/>
        <x:v>Expression</x:v>
      </x:c>
      <x:c r="F63">
        <x:f ca="1">IF(AND($B$1012=1,LEN($F$1070)&gt;0),$F$1070,HLOOKUP(INDIRECT(ADDRESS(2,COLUMN())),OFFSET($T$2,0,0,ROW()-1,14),ROW()-1,FALSE))</x:f>
        <x:v>0</x:v>
      </x:c>
      <x:c r="G63">
        <x:f ca="1">IF(AND($B$1012=1,LEN($G$1070)&gt;0),$G$1070,HLOOKUP(INDIRECT(ADDRESS(2,COLUMN())),OFFSET($T$2,0,0,ROW()-1,14),ROW()-1,FALSE))</x:f>
        <x:v>5.2009999999999996</x:v>
      </x:c>
      <x:c r="H63">
        <x:f ca="1">IF(AND($B$1012=1,LEN($H$1070)&gt;0),$H$1070,HLOOKUP(INDIRECT(ADDRESS(2,COLUMN())),OFFSET($T$2,0,0,ROW()-1,14),ROW()-1,FALSE))</x:f>
        <x:v>2.7254999999999998</x:v>
      </x:c>
      <x:c r="I63">
        <x:f ca="1">IF(AND($B$1012=1,LEN($I$1070)&gt;0),$I$1070,HLOOKUP(INDIRECT(ADDRESS(2,COLUMN())),OFFSET($T$2,0,0,ROW()-1,14),ROW()-1,FALSE))</x:f>
        <x:v>6.7563000000000004</x:v>
      </x:c>
      <x:c r="J63">
        <x:f ca="1">IF(AND($B$1012=1,LEN($J$1070)&gt;0),$J$1070,HLOOKUP(INDIRECT(ADDRESS(2,COLUMN())),OFFSET($T$2,0,0,ROW()-1,14),ROW()-1,FALSE))</x:f>
        <x:v>11.037000000000001</x:v>
      </x:c>
      <x:c r="K63">
        <x:f ca="1">IF(AND($B$1012=1,LEN($K$1070)&gt;0),$K$1070,HLOOKUP(INDIRECT(ADDRESS(2,COLUMN())),OFFSET($T$2,0,0,ROW()-1,14),ROW()-1,FALSE))</x:f>
        <x:v>-2.3544</x:v>
      </x:c>
      <x:c r="L63">
        <x:f ca="1">IF(AND($B$1012=1,LEN($L$1070)&gt;0),$L$1070,HLOOKUP(INDIRECT(ADDRESS(2,COLUMN())),OFFSET($T$2,0,0,ROW()-1,14),ROW()-1,FALSE))</x:f>
        <x:v>-2.4914999999999998</x:v>
      </x:c>
      <x:c r="M63">
        <x:f ca="1">IF(AND($B$1012=1,LEN($M$1070)&gt;0),$M$1070,HLOOKUP(INDIRECT(ADDRESS(2,COLUMN())),OFFSET($T$2,0,0,ROW()-1,14),ROW()-1,FALSE))</x:f>
        <x:v>-2.5259999999999998</x:v>
      </x:c>
      <x:c r="N63">
        <x:f ca="1">IF(AND($B$1012=1,LEN($N$1070)&gt;0),$N$1070,HLOOKUP(INDIRECT(ADDRESS(2,COLUMN())),OFFSET($T$2,0,0,ROW()-1,14),ROW()-1,FALSE))</x:f>
        <x:v>-1.575</x:v>
      </x:c>
      <x:c r="O63">
        <x:f ca="1">IF(AND($B$1012=1,LEN($O$1070)&gt;0),$O$1070,HLOOKUP(INDIRECT(ADDRESS(2,COLUMN())),OFFSET($T$2,0,0,ROW()-1,14),ROW()-1,FALSE))</x:f>
        <x:v>3.548</x:v>
      </x:c>
      <x:c r="P63">
        <x:f ca="1">IF(AND($B$1012=1,LEN($P$1070)&gt;0),$P$1070,HLOOKUP(INDIRECT(ADDRESS(2,COLUMN())),OFFSET($T$2,0,0,ROW()-1,14),ROW()-1,FALSE))</x:f>
        <x:v>-2.9205000000000001</x:v>
      </x:c>
      <x:c r="Q63">
        <x:f ca="1">IF(AND($B$1012=1,LEN($Q$1070)&gt;0),$Q$1070,HLOOKUP(INDIRECT(ADDRESS(2,COLUMN())),OFFSET($T$2,0,0,ROW()-1,14),ROW()-1,FALSE))</x:f>
        <x:v>0</x:v>
      </x:c>
      <x:c r="R63">
        <x:f ca="1">IF(AND($B$1012=1,LEN($R$1070)&gt;0),$R$1070,HLOOKUP(INDIRECT(ADDRESS(2,COLUMN())),OFFSET($T$2,0,0,ROW()-1,14),ROW()-1,FALSE))</x:f>
        <x:v>-0.63880000000000003</x:v>
      </x:c>
      <x:c r="S63">
        <x:f ca="1">IF(AND($B$1012=1,LEN($S$1070)&gt;0),$S$1070,HLOOKUP(INDIRECT(ADDRESS(2,COLUMN())),OFFSET($T$2,0,0,ROW()-1,14),ROW()-1,FALSE))</x:f>
        <x:v>-1.3792</x:v>
      </x:c>
      <x:c r="T63">
        <x:f>0</x:f>
        <x:v>0</x:v>
      </x:c>
      <x:c r="U63">
        <x:f>5.201</x:f>
        <x:v>5.2009999999999996</x:v>
      </x:c>
      <x:c r="V63">
        <x:f>2.7255</x:f>
        <x:v>2.7254999999999998</x:v>
      </x:c>
      <x:c r="W63">
        <x:f>6.7563</x:f>
        <x:v>6.7563000000000004</x:v>
      </x:c>
      <x:c r="X63">
        <x:f>11.037</x:f>
        <x:v>11.037000000000001</x:v>
      </x:c>
      <x:c r="Y63">
        <x:f>-2.3544</x:f>
        <x:v>-2.3544</x:v>
      </x:c>
      <x:c r="Z63">
        <x:f>-2.4915</x:f>
        <x:v>-2.4914999999999998</x:v>
      </x:c>
      <x:c r="AA63">
        <x:f>-2.526</x:f>
        <x:v>-2.5259999999999998</x:v>
      </x:c>
      <x:c r="AB63">
        <x:f>-1.575</x:f>
        <x:v>-1.575</x:v>
      </x:c>
      <x:c r="AC63">
        <x:f>3.548</x:f>
        <x:v>3.548</x:v>
      </x:c>
      <x:c r="AD63">
        <x:f>-2.9205</x:f>
        <x:v>-2.9205000000000001</x:v>
      </x:c>
      <x:c r="AE63">
        <x:f>0</x:f>
        <x:v>0</x:v>
      </x:c>
      <x:c r="AF63">
        <x:f>-0.6388</x:f>
        <x:v>-0.63880000000000003</x:v>
      </x:c>
      <x:c r="AG63">
        <x:f>-1.3792</x:f>
        <x:v>-1.3792</x:v>
      </x:c>
    </x:row>
    <x:row r="64" spans="1:33" x14ac:dyDescent="0.25">
      <x:c r="A64" t="str">
        <x:f>"        Direxion Daily Consumer Discre"</x:f>
        <x:v xml:space="preserve">        Direxion Daily Consumer Discre</x:v>
      </x:c>
      <x:c r="B64" t="str">
        <x:f>"PASS US Equity"</x:f>
        <x:v>PASS US Equity</x:v>
      </x:c>
      <x:c r="E64" t="str">
        <x:f t="shared" si="1"/>
        <x:v>Expression</x:v>
      </x:c>
      <x:c r="F64" t="str">
        <x:f ca="1">IF(AND($B$1012=1,LEN($F$1071)&gt;0),$F$1071,HLOOKUP(INDIRECT(ADDRESS(2,COLUMN())),OFFSET($T$2,0,0,ROW()-1,14),ROW()-1,FALSE))</x:f>
        <x:v/>
      </x:c>
      <x:c r="G64" t="str">
        <x:f ca="1">IF(AND($B$1012=1,LEN($G$1071)&gt;0),$G$1071,HLOOKUP(INDIRECT(ADDRESS(2,COLUMN())),OFFSET($T$2,0,0,ROW()-1,14),ROW()-1,FALSE))</x:f>
        <x:v/>
      </x:c>
      <x:c r="H64" t="str">
        <x:f ca="1">IF(AND($B$1012=1,LEN($H$1071)&gt;0),$H$1071,HLOOKUP(INDIRECT(ADDRESS(2,COLUMN())),OFFSET($T$2,0,0,ROW()-1,14),ROW()-1,FALSE))</x:f>
        <x:v/>
      </x:c>
      <x:c r="I64" t="str">
        <x:f ca="1">IF(AND($B$1012=1,LEN($I$1071)&gt;0),$I$1071,HLOOKUP(INDIRECT(ADDRESS(2,COLUMN())),OFFSET($T$2,0,0,ROW()-1,14),ROW()-1,FALSE))</x:f>
        <x:v/>
      </x:c>
      <x:c r="J64" t="str">
        <x:f ca="1">IF(AND($B$1012=1,LEN($J$1071)&gt;0),$J$1071,HLOOKUP(INDIRECT(ADDRESS(2,COLUMN())),OFFSET($T$2,0,0,ROW()-1,14),ROW()-1,FALSE))</x:f>
        <x:v/>
      </x:c>
      <x:c r="K64" t="str">
        <x:f ca="1">IF(AND($B$1012=1,LEN($K$1071)&gt;0),$K$1071,HLOOKUP(INDIRECT(ADDRESS(2,COLUMN())),OFFSET($T$2,0,0,ROW()-1,14),ROW()-1,FALSE))</x:f>
        <x:v/>
      </x:c>
      <x:c r="L64" t="str">
        <x:f ca="1">IF(AND($B$1012=1,LEN($L$1071)&gt;0),$L$1071,HLOOKUP(INDIRECT(ADDRESS(2,COLUMN())),OFFSET($T$2,0,0,ROW()-1,14),ROW()-1,FALSE))</x:f>
        <x:v/>
      </x:c>
      <x:c r="M64" t="str">
        <x:f ca="1">IF(AND($B$1012=1,LEN($M$1071)&gt;0),$M$1071,HLOOKUP(INDIRECT(ADDRESS(2,COLUMN())),OFFSET($T$2,0,0,ROW()-1,14),ROW()-1,FALSE))</x:f>
        <x:v/>
      </x:c>
      <x:c r="N64" t="str">
        <x:f ca="1">IF(AND($B$1012=1,LEN($N$1071)&gt;0),$N$1071,HLOOKUP(INDIRECT(ADDRESS(2,COLUMN())),OFFSET($T$2,0,0,ROW()-1,14),ROW()-1,FALSE))</x:f>
        <x:v/>
      </x:c>
      <x:c r="O64" t="str">
        <x:f ca="1">IF(AND($B$1012=1,LEN($O$1071)&gt;0),$O$1071,HLOOKUP(INDIRECT(ADDRESS(2,COLUMN())),OFFSET($T$2,0,0,ROW()-1,14),ROW()-1,FALSE))</x:f>
        <x:v/>
      </x:c>
      <x:c r="P64" t="str">
        <x:f ca="1">IF(AND($B$1012=1,LEN($P$1071)&gt;0),$P$1071,HLOOKUP(INDIRECT(ADDRESS(2,COLUMN())),OFFSET($T$2,0,0,ROW()-1,14),ROW()-1,FALSE))</x:f>
        <x:v/>
      </x:c>
      <x:c r="Q64" t="str">
        <x:f ca="1">IF(AND($B$1012=1,LEN($Q$1071)&gt;0),$Q$1071,HLOOKUP(INDIRECT(ADDRESS(2,COLUMN())),OFFSET($T$2,0,0,ROW()-1,14),ROW()-1,FALSE))</x:f>
        <x:v/>
      </x:c>
      <x:c r="R64" t="str">
        <x:f ca="1">IF(AND($B$1012=1,LEN($R$1071)&gt;0),$R$1071,HLOOKUP(INDIRECT(ADDRESS(2,COLUMN())),OFFSET($T$2,0,0,ROW()-1,14),ROW()-1,FALSE))</x:f>
        <x:v/>
      </x:c>
      <x:c r="S64" t="str">
        <x:f ca="1">IF(AND($B$1012=1,LEN($S$1071)&gt;0),$S$1071,HLOOKUP(INDIRECT(ADDRESS(2,COLUMN())),OFFSET($T$2,0,0,ROW()-1,14),ROW()-1,FALSE))</x:f>
        <x:v/>
      </x:c>
      <x:c r="T64" t="str">
        <x:f>""</x:f>
        <x:v/>
      </x:c>
      <x:c r="U64" t="str">
        <x:f>""</x:f>
        <x:v/>
      </x:c>
      <x:c r="V64" t="str">
        <x:f>""</x:f>
        <x:v/>
      </x:c>
      <x:c r="W64" t="str">
        <x:f>""</x:f>
        <x:v/>
      </x:c>
      <x:c r="X64" t="str">
        <x:f>""</x:f>
        <x:v/>
      </x:c>
      <x:c r="Y64" t="str">
        <x:f>""</x:f>
        <x:v/>
      </x:c>
      <x:c r="Z64" t="str">
        <x:f>""</x:f>
        <x:v/>
      </x:c>
      <x:c r="AA64" t="str">
        <x:f>""</x:f>
        <x:v/>
      </x:c>
      <x:c r="AB64" t="str">
        <x:f>""</x:f>
        <x:v/>
      </x:c>
      <x:c r="AC64" t="str">
        <x:f>""</x:f>
        <x:v/>
      </x:c>
      <x:c r="AD64" t="str">
        <x:f>""</x:f>
        <x:v/>
      </x:c>
      <x:c r="AE64" t="str">
        <x:f>""</x:f>
        <x:v/>
      </x:c>
      <x:c r="AF64" t="str">
        <x:f>""</x:f>
        <x:v/>
      </x:c>
      <x:c r="AG64" t="str">
        <x:f>""</x:f>
        <x:v/>
      </x:c>
    </x:row>
    <x:row r="65" spans="1:33" x14ac:dyDescent="0.25">
      <x:c r="A65" t="str">
        <x:f>"        Direxion Daily Consumer Discre"</x:f>
        <x:v xml:space="preserve">        Direxion Daily Consumer Discre</x:v>
      </x:c>
      <x:c r="B65" t="str">
        <x:f>"WANT US Equity"</x:f>
        <x:v>WANT US Equity</x:v>
      </x:c>
      <x:c r="E65" t="str">
        <x:f t="shared" si="1"/>
        <x:v>Expression</x:v>
      </x:c>
      <x:c r="F65">
        <x:f ca="1">IF(AND($B$1012=1,LEN($F$1072)&gt;0),$F$1072,HLOOKUP(INDIRECT(ADDRESS(2,COLUMN())),OFFSET($T$2,0,0,ROW()-1,14),ROW()-1,FALSE))</x:f>
        <x:v>-0.27044899999999999</x:v>
      </x:c>
      <x:c r="G65">
        <x:f ca="1">IF(AND($B$1012=1,LEN($G$1072)&gt;0),$G$1072,HLOOKUP(INDIRECT(ADDRESS(2,COLUMN())),OFFSET($T$2,0,0,ROW()-1,14),ROW()-1,FALSE))</x:f>
        <x:v>1.0506819999999999</x:v>
      </x:c>
      <x:c r="H65">
        <x:f ca="1">IF(AND($B$1012=1,LEN($H$1072)&gt;0),$H$1072,HLOOKUP(INDIRECT(ADDRESS(2,COLUMN())),OFFSET($T$2,0,0,ROW()-1,14),ROW()-1,FALSE))</x:f>
        <x:v>-1.696286</x:v>
      </x:c>
      <x:c r="I65">
        <x:f ca="1">IF(AND($B$1012=1,LEN($I$1072)&gt;0),$I$1072,HLOOKUP(INDIRECT(ADDRESS(2,COLUMN())),OFFSET($T$2,0,0,ROW()-1,14),ROW()-1,FALSE))</x:f>
        <x:v>-3.0555409999999998</x:v>
      </x:c>
      <x:c r="J65">
        <x:f ca="1">IF(AND($B$1012=1,LEN($J$1072)&gt;0),$J$1072,HLOOKUP(INDIRECT(ADDRESS(2,COLUMN())),OFFSET($T$2,0,0,ROW()-1,14),ROW()-1,FALSE))</x:f>
        <x:v>-1.757652</x:v>
      </x:c>
      <x:c r="K65">
        <x:f ca="1">IF(AND($B$1012=1,LEN($K$1072)&gt;0),$K$1072,HLOOKUP(INDIRECT(ADDRESS(2,COLUMN())),OFFSET($T$2,0,0,ROW()-1,14),ROW()-1,FALSE))</x:f>
        <x:v>4.1561729999999999</x:v>
      </x:c>
      <x:c r="L65">
        <x:f ca="1">IF(AND($B$1012=1,LEN($L$1072)&gt;0),$L$1072,HLOOKUP(INDIRECT(ADDRESS(2,COLUMN())),OFFSET($T$2,0,0,ROW()-1,14),ROW()-1,FALSE))</x:f>
        <x:v>-1.122468</x:v>
      </x:c>
      <x:c r="M65">
        <x:f ca="1">IF(AND($B$1012=1,LEN($M$1072)&gt;0),$M$1072,HLOOKUP(INDIRECT(ADDRESS(2,COLUMN())),OFFSET($T$2,0,0,ROW()-1,14),ROW()-1,FALSE))</x:f>
        <x:v>0</x:v>
      </x:c>
      <x:c r="N65">
        <x:f ca="1">IF(AND($B$1012=1,LEN($N$1072)&gt;0),$N$1072,HLOOKUP(INDIRECT(ADDRESS(2,COLUMN())),OFFSET($T$2,0,0,ROW()-1,14),ROW()-1,FALSE))</x:f>
        <x:v>-7.1019999999999998E-3</x:v>
      </x:c>
      <x:c r="O65">
        <x:f ca="1">IF(AND($B$1012=1,LEN($O$1072)&gt;0),$O$1072,HLOOKUP(INDIRECT(ADDRESS(2,COLUMN())),OFFSET($T$2,0,0,ROW()-1,14),ROW()-1,FALSE))</x:f>
        <x:v>0</x:v>
      </x:c>
      <x:c r="P65">
        <x:f ca="1">IF(AND($B$1012=1,LEN($P$1072)&gt;0),$P$1072,HLOOKUP(INDIRECT(ADDRESS(2,COLUMN())),OFFSET($T$2,0,0,ROW()-1,14),ROW()-1,FALSE))</x:f>
        <x:v>-0.24431900000000001</x:v>
      </x:c>
      <x:c r="Q65">
        <x:f ca="1">IF(AND($B$1012=1,LEN($Q$1072)&gt;0),$Q$1072,HLOOKUP(INDIRECT(ADDRESS(2,COLUMN())),OFFSET($T$2,0,0,ROW()-1,14),ROW()-1,FALSE))</x:f>
        <x:v>0.77355700000000005</x:v>
      </x:c>
      <x:c r="R65">
        <x:f ca="1">IF(AND($B$1012=1,LEN($R$1072)&gt;0),$R$1072,HLOOKUP(INDIRECT(ADDRESS(2,COLUMN())),OFFSET($T$2,0,0,ROW()-1,14),ROW()-1,FALSE))</x:f>
        <x:v>2.180917</x:v>
      </x:c>
      <x:c r="S65">
        <x:f ca="1">IF(AND($B$1012=1,LEN($S$1072)&gt;0),$S$1072,HLOOKUP(INDIRECT(ADDRESS(2,COLUMN())),OFFSET($T$2,0,0,ROW()-1,14),ROW()-1,FALSE))</x:f>
        <x:v>1.2094590000000001</x:v>
      </x:c>
      <x:c r="T65">
        <x:f>-0.270449</x:f>
        <x:v>-0.27044899999999999</x:v>
      </x:c>
      <x:c r="U65">
        <x:f>1.050682</x:f>
        <x:v>1.0506819999999999</x:v>
      </x:c>
      <x:c r="V65">
        <x:f>-1.696286</x:f>
        <x:v>-1.696286</x:v>
      </x:c>
      <x:c r="W65">
        <x:f>-3.055541</x:f>
        <x:v>-3.0555409999999998</x:v>
      </x:c>
      <x:c r="X65">
        <x:f>-1.757652</x:f>
        <x:v>-1.757652</x:v>
      </x:c>
      <x:c r="Y65">
        <x:f>4.156173</x:f>
        <x:v>4.1561729999999999</x:v>
      </x:c>
      <x:c r="Z65">
        <x:f>-1.122468</x:f>
        <x:v>-1.122468</x:v>
      </x:c>
      <x:c r="AA65">
        <x:f>0</x:f>
        <x:v>0</x:v>
      </x:c>
      <x:c r="AB65">
        <x:f>-0.007102</x:f>
        <x:v>-7.1019999999999998E-3</x:v>
      </x:c>
      <x:c r="AC65">
        <x:f>0</x:f>
        <x:v>0</x:v>
      </x:c>
      <x:c r="AD65">
        <x:f>-0.244319</x:f>
        <x:v>-0.24431900000000001</x:v>
      </x:c>
      <x:c r="AE65">
        <x:f>0.773557</x:f>
        <x:v>0.77355700000000005</x:v>
      </x:c>
      <x:c r="AF65">
        <x:f>2.180917</x:f>
        <x:v>2.180917</x:v>
      </x:c>
      <x:c r="AG65">
        <x:f>1.209459</x:f>
        <x:v>1.2094590000000001</x:v>
      </x:c>
    </x:row>
    <x:row r="66" spans="1:33" x14ac:dyDescent="0.25">
      <x:c r="A66" t="str">
        <x:f>"        Infusive US Trust-Infusive R C"</x:f>
        <x:v xml:space="preserve">        Infusive US Trust-Infusive R C</x:v>
      </x:c>
      <x:c r="B66" t="str">
        <x:f>"JOYY US Equity"</x:f>
        <x:v>JOYY US Equity</x:v>
      </x:c>
      <x:c r="E66" t="str">
        <x:f t="shared" si="1"/>
        <x:v>Expression</x:v>
      </x:c>
      <x:c r="F66" t="str">
        <x:f ca="1">IF(AND($B$1012=1,LEN($F$1073)&gt;0),$F$1073,HLOOKUP(INDIRECT(ADDRESS(2,COLUMN())),OFFSET($T$2,0,0,ROW()-1,14),ROW()-1,FALSE))</x:f>
        <x:v/>
      </x:c>
      <x:c r="G66" t="str">
        <x:f ca="1">IF(AND($B$1012=1,LEN($G$1073)&gt;0),$G$1073,HLOOKUP(INDIRECT(ADDRESS(2,COLUMN())),OFFSET($T$2,0,0,ROW()-1,14),ROW()-1,FALSE))</x:f>
        <x:v/>
      </x:c>
      <x:c r="H66" t="str">
        <x:f ca="1">IF(AND($B$1012=1,LEN($H$1073)&gt;0),$H$1073,HLOOKUP(INDIRECT(ADDRESS(2,COLUMN())),OFFSET($T$2,0,0,ROW()-1,14),ROW()-1,FALSE))</x:f>
        <x:v/>
      </x:c>
      <x:c r="I66" t="str">
        <x:f ca="1">IF(AND($B$1012=1,LEN($I$1073)&gt;0),$I$1073,HLOOKUP(INDIRECT(ADDRESS(2,COLUMN())),OFFSET($T$2,0,0,ROW()-1,14),ROW()-1,FALSE))</x:f>
        <x:v/>
      </x:c>
      <x:c r="J66" t="str">
        <x:f ca="1">IF(AND($B$1012=1,LEN($J$1073)&gt;0),$J$1073,HLOOKUP(INDIRECT(ADDRESS(2,COLUMN())),OFFSET($T$2,0,0,ROW()-1,14),ROW()-1,FALSE))</x:f>
        <x:v/>
      </x:c>
      <x:c r="K66" t="str">
        <x:f ca="1">IF(AND($B$1012=1,LEN($K$1073)&gt;0),$K$1073,HLOOKUP(INDIRECT(ADDRESS(2,COLUMN())),OFFSET($T$2,0,0,ROW()-1,14),ROW()-1,FALSE))</x:f>
        <x:v/>
      </x:c>
      <x:c r="L66" t="str">
        <x:f ca="1">IF(AND($B$1012=1,LEN($L$1073)&gt;0),$L$1073,HLOOKUP(INDIRECT(ADDRESS(2,COLUMN())),OFFSET($T$2,0,0,ROW()-1,14),ROW()-1,FALSE))</x:f>
        <x:v/>
      </x:c>
      <x:c r="M66" t="str">
        <x:f ca="1">IF(AND($B$1012=1,LEN($M$1073)&gt;0),$M$1073,HLOOKUP(INDIRECT(ADDRESS(2,COLUMN())),OFFSET($T$2,0,0,ROW()-1,14),ROW()-1,FALSE))</x:f>
        <x:v/>
      </x:c>
      <x:c r="N66" t="str">
        <x:f ca="1">IF(AND($B$1012=1,LEN($N$1073)&gt;0),$N$1073,HLOOKUP(INDIRECT(ADDRESS(2,COLUMN())),OFFSET($T$2,0,0,ROW()-1,14),ROW()-1,FALSE))</x:f>
        <x:v/>
      </x:c>
      <x:c r="O66" t="str">
        <x:f ca="1">IF(AND($B$1012=1,LEN($O$1073)&gt;0),$O$1073,HLOOKUP(INDIRECT(ADDRESS(2,COLUMN())),OFFSET($T$2,0,0,ROW()-1,14),ROW()-1,FALSE))</x:f>
        <x:v/>
      </x:c>
      <x:c r="P66" t="str">
        <x:f ca="1">IF(AND($B$1012=1,LEN($P$1073)&gt;0),$P$1073,HLOOKUP(INDIRECT(ADDRESS(2,COLUMN())),OFFSET($T$2,0,0,ROW()-1,14),ROW()-1,FALSE))</x:f>
        <x:v/>
      </x:c>
      <x:c r="Q66" t="str">
        <x:f ca="1">IF(AND($B$1012=1,LEN($Q$1073)&gt;0),$Q$1073,HLOOKUP(INDIRECT(ADDRESS(2,COLUMN())),OFFSET($T$2,0,0,ROW()-1,14),ROW()-1,FALSE))</x:f>
        <x:v/>
      </x:c>
      <x:c r="R66" t="str">
        <x:f ca="1">IF(AND($B$1012=1,LEN($R$1073)&gt;0),$R$1073,HLOOKUP(INDIRECT(ADDRESS(2,COLUMN())),OFFSET($T$2,0,0,ROW()-1,14),ROW()-1,FALSE))</x:f>
        <x:v/>
      </x:c>
      <x:c r="S66" t="str">
        <x:f ca="1">IF(AND($B$1012=1,LEN($S$1073)&gt;0),$S$1073,HLOOKUP(INDIRECT(ADDRESS(2,COLUMN())),OFFSET($T$2,0,0,ROW()-1,14),ROW()-1,FALSE))</x:f>
        <x:v/>
      </x:c>
      <x:c r="T66" t="str">
        <x:f>""</x:f>
        <x:v/>
      </x:c>
      <x:c r="U66" t="str">
        <x:f>""</x:f>
        <x:v/>
      </x:c>
      <x:c r="V66" t="str">
        <x:f>""</x:f>
        <x:v/>
      </x:c>
      <x:c r="W66" t="str">
        <x:f>""</x:f>
        <x:v/>
      </x:c>
      <x:c r="X66" t="str">
        <x:f>""</x:f>
        <x:v/>
      </x:c>
      <x:c r="Y66" t="str">
        <x:f>""</x:f>
        <x:v/>
      </x:c>
      <x:c r="Z66" t="str">
        <x:f>""</x:f>
        <x:v/>
      </x:c>
      <x:c r="AA66" t="str">
        <x:f>""</x:f>
        <x:v/>
      </x:c>
      <x:c r="AB66" t="str">
        <x:f>""</x:f>
        <x:v/>
      </x:c>
      <x:c r="AC66" t="str">
        <x:f>""</x:f>
        <x:v/>
      </x:c>
      <x:c r="AD66" t="str">
        <x:f>""</x:f>
        <x:v/>
      </x:c>
      <x:c r="AE66" t="str">
        <x:f>""</x:f>
        <x:v/>
      </x:c>
      <x:c r="AF66" t="str">
        <x:f>""</x:f>
        <x:v/>
      </x:c>
      <x:c r="AG66" t="str">
        <x:f>""</x:f>
        <x:v/>
      </x:c>
    </x:row>
    <x:row r="67" spans="1:33" x14ac:dyDescent="0.25">
      <x:c r="A67" t="str">
        <x:f>"        KraneShares CICC China Consume"</x:f>
        <x:v xml:space="preserve">        KraneShares CICC China Consume</x:v>
      </x:c>
      <x:c r="B67" t="str">
        <x:f>"KBUY US Equity"</x:f>
        <x:v>KBUY US Equity</x:v>
      </x:c>
      <x:c r="E67" t="str">
        <x:f t="shared" si="1"/>
        <x:v>Expression</x:v>
      </x:c>
      <x:c r="F67">
        <x:f ca="1">IF(AND($B$1012=1,LEN($F$1074)&gt;0),$F$1074,HLOOKUP(INDIRECT(ADDRESS(2,COLUMN())),OFFSET($T$2,0,0,ROW()-1,14),ROW()-1,FALSE))</x:f>
        <x:v>0</x:v>
      </x:c>
      <x:c r="G67">
        <x:f ca="1">IF(AND($B$1012=1,LEN($G$1074)&gt;0),$G$1074,HLOOKUP(INDIRECT(ADDRESS(2,COLUMN())),OFFSET($T$2,0,0,ROW()-1,14),ROW()-1,FALSE))</x:f>
        <x:v>0</x:v>
      </x:c>
      <x:c r="H67">
        <x:f ca="1">IF(AND($B$1012=1,LEN($H$1074)&gt;0),$H$1074,HLOOKUP(INDIRECT(ADDRESS(2,COLUMN())),OFFSET($T$2,0,0,ROW()-1,14),ROW()-1,FALSE))</x:f>
        <x:v>0</x:v>
      </x:c>
      <x:c r="I67">
        <x:f ca="1">IF(AND($B$1012=1,LEN($I$1074)&gt;0),$I$1074,HLOOKUP(INDIRECT(ADDRESS(2,COLUMN())),OFFSET($T$2,0,0,ROW()-1,14),ROW()-1,FALSE))</x:f>
        <x:v>0</x:v>
      </x:c>
      <x:c r="J67">
        <x:f ca="1">IF(AND($B$1012=1,LEN($J$1074)&gt;0),$J$1074,HLOOKUP(INDIRECT(ADDRESS(2,COLUMN())),OFFSET($T$2,0,0,ROW()-1,14),ROW()-1,FALSE))</x:f>
        <x:v>0</x:v>
      </x:c>
      <x:c r="K67">
        <x:f ca="1">IF(AND($B$1012=1,LEN($K$1074)&gt;0),$K$1074,HLOOKUP(INDIRECT(ADDRESS(2,COLUMN())),OFFSET($T$2,0,0,ROW()-1,14),ROW()-1,FALSE))</x:f>
        <x:v>0</x:v>
      </x:c>
      <x:c r="L67">
        <x:f ca="1">IF(AND($B$1012=1,LEN($L$1074)&gt;0),$L$1074,HLOOKUP(INDIRECT(ADDRESS(2,COLUMN())),OFFSET($T$2,0,0,ROW()-1,14),ROW()-1,FALSE))</x:f>
        <x:v>0</x:v>
      </x:c>
      <x:c r="M67">
        <x:f ca="1">IF(AND($B$1012=1,LEN($M$1074)&gt;0),$M$1074,HLOOKUP(INDIRECT(ADDRESS(2,COLUMN())),OFFSET($T$2,0,0,ROW()-1,14),ROW()-1,FALSE))</x:f>
        <x:v>0</x:v>
      </x:c>
      <x:c r="N67">
        <x:f ca="1">IF(AND($B$1012=1,LEN($N$1074)&gt;0),$N$1074,HLOOKUP(INDIRECT(ADDRESS(2,COLUMN())),OFFSET($T$2,0,0,ROW()-1,14),ROW()-1,FALSE))</x:f>
        <x:v>0</x:v>
      </x:c>
      <x:c r="O67">
        <x:f ca="1">IF(AND($B$1012=1,LEN($O$1074)&gt;0),$O$1074,HLOOKUP(INDIRECT(ADDRESS(2,COLUMN())),OFFSET($T$2,0,0,ROW()-1,14),ROW()-1,FALSE))</x:f>
        <x:v>0</x:v>
      </x:c>
      <x:c r="P67">
        <x:f ca="1">IF(AND($B$1012=1,LEN($P$1074)&gt;0),$P$1074,HLOOKUP(INDIRECT(ADDRESS(2,COLUMN())),OFFSET($T$2,0,0,ROW()-1,14),ROW()-1,FALSE))</x:f>
        <x:v>0</x:v>
      </x:c>
      <x:c r="Q67">
        <x:f ca="1">IF(AND($B$1012=1,LEN($Q$1074)&gt;0),$Q$1074,HLOOKUP(INDIRECT(ADDRESS(2,COLUMN())),OFFSET($T$2,0,0,ROW()-1,14),ROW()-1,FALSE))</x:f>
        <x:v>0</x:v>
      </x:c>
      <x:c r="R67">
        <x:f ca="1">IF(AND($B$1012=1,LEN($R$1074)&gt;0),$R$1074,HLOOKUP(INDIRECT(ADDRESS(2,COLUMN())),OFFSET($T$2,0,0,ROW()-1,14),ROW()-1,FALSE))</x:f>
        <x:v>-0.83599999999999997</x:v>
      </x:c>
      <x:c r="S67">
        <x:f ca="1">IF(AND($B$1012=1,LEN($S$1074)&gt;0),$S$1074,HLOOKUP(INDIRECT(ADDRESS(2,COLUMN())),OFFSET($T$2,0,0,ROW()-1,14),ROW()-1,FALSE))</x:f>
        <x:v>0</x:v>
      </x:c>
      <x:c r="T67">
        <x:f>0</x:f>
        <x:v>0</x:v>
      </x:c>
      <x:c r="U67">
        <x:f>0</x:f>
        <x:v>0</x:v>
      </x:c>
      <x:c r="V67">
        <x:f>0</x:f>
        <x:v>0</x:v>
      </x:c>
      <x:c r="W67">
        <x:f>0</x:f>
        <x:v>0</x:v>
      </x:c>
      <x:c r="X67">
        <x:f>0</x:f>
        <x:v>0</x:v>
      </x:c>
      <x:c r="Y67">
        <x:f>0</x:f>
        <x:v>0</x:v>
      </x:c>
      <x:c r="Z67">
        <x:f>0</x:f>
        <x:v>0</x:v>
      </x:c>
      <x:c r="AA67">
        <x:f>0</x:f>
        <x:v>0</x:v>
      </x:c>
      <x:c r="AB67">
        <x:f>0</x:f>
        <x:v>0</x:v>
      </x:c>
      <x:c r="AC67">
        <x:f>0</x:f>
        <x:v>0</x:v>
      </x:c>
      <x:c r="AD67">
        <x:f>0</x:f>
        <x:v>0</x:v>
      </x:c>
      <x:c r="AE67">
        <x:f>0</x:f>
        <x:v>0</x:v>
      </x:c>
      <x:c r="AF67">
        <x:f>-0.836</x:f>
        <x:v>-0.83599999999999997</x:v>
      </x:c>
      <x:c r="AG67">
        <x:f>0</x:f>
        <x:v>0</x:v>
      </x:c>
    </x:row>
    <x:row r="68" spans="1:33" x14ac:dyDescent="0.25">
      <x:c r="A68" t="str">
        <x:f>"        AXS 2X NKE Bull Daily ETF"</x:f>
        <x:v xml:space="preserve">        AXS 2X NKE Bull Daily ETF</x:v>
      </x:c>
      <x:c r="B68" t="str">
        <x:f>"NKEL US Equity"</x:f>
        <x:v>NKEL US Equity</x:v>
      </x:c>
      <x:c r="E68" t="str">
        <x:f t="shared" si="1"/>
        <x:v>Expression</x:v>
      </x:c>
      <x:c r="F68" t="str">
        <x:f ca="1">IF(AND($B$1012=1,LEN($F$1075)&gt;0),$F$1075,HLOOKUP(INDIRECT(ADDRESS(2,COLUMN())),OFFSET($T$2,0,0,ROW()-1,14),ROW()-1,FALSE))</x:f>
        <x:v/>
      </x:c>
      <x:c r="G68" t="str">
        <x:f ca="1">IF(AND($B$1012=1,LEN($G$1075)&gt;0),$G$1075,HLOOKUP(INDIRECT(ADDRESS(2,COLUMN())),OFFSET($T$2,0,0,ROW()-1,14),ROW()-1,FALSE))</x:f>
        <x:v/>
      </x:c>
      <x:c r="H68" t="str">
        <x:f ca="1">IF(AND($B$1012=1,LEN($H$1075)&gt;0),$H$1075,HLOOKUP(INDIRECT(ADDRESS(2,COLUMN())),OFFSET($T$2,0,0,ROW()-1,14),ROW()-1,FALSE))</x:f>
        <x:v/>
      </x:c>
      <x:c r="I68" t="str">
        <x:f ca="1">IF(AND($B$1012=1,LEN($I$1075)&gt;0),$I$1075,HLOOKUP(INDIRECT(ADDRESS(2,COLUMN())),OFFSET($T$2,0,0,ROW()-1,14),ROW()-1,FALSE))</x:f>
        <x:v/>
      </x:c>
      <x:c r="J68" t="str">
        <x:f ca="1">IF(AND($B$1012=1,LEN($J$1075)&gt;0),$J$1075,HLOOKUP(INDIRECT(ADDRESS(2,COLUMN())),OFFSET($T$2,0,0,ROW()-1,14),ROW()-1,FALSE))</x:f>
        <x:v/>
      </x:c>
      <x:c r="K68">
        <x:f ca="1">IF(AND($B$1012=1,LEN($K$1075)&gt;0),$K$1075,HLOOKUP(INDIRECT(ADDRESS(2,COLUMN())),OFFSET($T$2,0,0,ROW()-1,14),ROW()-1,FALSE))</x:f>
        <x:v>0.58412200000000003</x:v>
      </x:c>
      <x:c r="L68">
        <x:f ca="1">IF(AND($B$1012=1,LEN($L$1075)&gt;0),$L$1075,HLOOKUP(INDIRECT(ADDRESS(2,COLUMN())),OFFSET($T$2,0,0,ROW()-1,14),ROW()-1,FALSE))</x:f>
        <x:v>-0.115777</x:v>
      </x:c>
      <x:c r="M68">
        <x:f ca="1">IF(AND($B$1012=1,LEN($M$1075)&gt;0),$M$1075,HLOOKUP(INDIRECT(ADDRESS(2,COLUMN())),OFFSET($T$2,0,0,ROW()-1,14),ROW()-1,FALSE))</x:f>
        <x:v>0</x:v>
      </x:c>
      <x:c r="N68">
        <x:f ca="1">IF(AND($B$1012=1,LEN($N$1075)&gt;0),$N$1075,HLOOKUP(INDIRECT(ADDRESS(2,COLUMN())),OFFSET($T$2,0,0,ROW()-1,14),ROW()-1,FALSE))</x:f>
        <x:v>1.054E-3</x:v>
      </x:c>
      <x:c r="O68">
        <x:f ca="1">IF(AND($B$1012=1,LEN($O$1075)&gt;0),$O$1075,HLOOKUP(INDIRECT(ADDRESS(2,COLUMN())),OFFSET($T$2,0,0,ROW()-1,14),ROW()-1,FALSE))</x:f>
        <x:v>0</x:v>
      </x:c>
      <x:c r="P68">
        <x:f ca="1">IF(AND($B$1012=1,LEN($P$1075)&gt;0),$P$1075,HLOOKUP(INDIRECT(ADDRESS(2,COLUMN())),OFFSET($T$2,0,0,ROW()-1,14),ROW()-1,FALSE))</x:f>
        <x:v>-0.371919</x:v>
      </x:c>
      <x:c r="Q68">
        <x:f ca="1">IF(AND($B$1012=1,LEN($Q$1075)&gt;0),$Q$1075,HLOOKUP(INDIRECT(ADDRESS(2,COLUMN())),OFFSET($T$2,0,0,ROW()-1,14),ROW()-1,FALSE))</x:f>
        <x:v>0</x:v>
      </x:c>
      <x:c r="R68">
        <x:f ca="1">IF(AND($B$1012=1,LEN($R$1075)&gt;0),$R$1075,HLOOKUP(INDIRECT(ADDRESS(2,COLUMN())),OFFSET($T$2,0,0,ROW()-1,14),ROW()-1,FALSE))</x:f>
        <x:v>0.28517100000000001</x:v>
      </x:c>
      <x:c r="S68">
        <x:f ca="1">IF(AND($B$1012=1,LEN($S$1075)&gt;0),$S$1075,HLOOKUP(INDIRECT(ADDRESS(2,COLUMN())),OFFSET($T$2,0,0,ROW()-1,14),ROW()-1,FALSE))</x:f>
        <x:v>0</x:v>
      </x:c>
      <x:c r="T68" t="str">
        <x:f>""</x:f>
        <x:v/>
      </x:c>
      <x:c r="U68" t="str">
        <x:f>""</x:f>
        <x:v/>
      </x:c>
      <x:c r="V68" t="str">
        <x:f>""</x:f>
        <x:v/>
      </x:c>
      <x:c r="W68" t="str">
        <x:f>""</x:f>
        <x:v/>
      </x:c>
      <x:c r="X68" t="str">
        <x:f>""</x:f>
        <x:v/>
      </x:c>
      <x:c r="Y68">
        <x:f>0.584122</x:f>
        <x:v>0.58412200000000003</x:v>
      </x:c>
      <x:c r="Z68">
        <x:f>-0.115777</x:f>
        <x:v>-0.115777</x:v>
      </x:c>
      <x:c r="AA68">
        <x:f>0</x:f>
        <x:v>0</x:v>
      </x:c>
      <x:c r="AB68">
        <x:f>0.001054</x:f>
        <x:v>1.054E-3</x:v>
      </x:c>
      <x:c r="AC68">
        <x:f>0</x:f>
        <x:v>0</x:v>
      </x:c>
      <x:c r="AD68">
        <x:f>-0.371919</x:f>
        <x:v>-0.371919</x:v>
      </x:c>
      <x:c r="AE68">
        <x:f>0</x:f>
        <x:v>0</x:v>
      </x:c>
      <x:c r="AF68">
        <x:f>0.285171</x:f>
        <x:v>0.28517100000000001</x:v>
      </x:c>
      <x:c r="AG68">
        <x:f>0</x:f>
        <x:v>0</x:v>
      </x:c>
    </x:row>
    <x:row r="69" spans="1:33" x14ac:dyDescent="0.25">
      <x:c r="A69" t="str">
        <x:f>"        AXS 2X NKE Bear Daily ETF"</x:f>
        <x:v xml:space="preserve">        AXS 2X NKE Bear Daily ETF</x:v>
      </x:c>
      <x:c r="B69" t="str">
        <x:f>"NKEQ US Equity"</x:f>
        <x:v>NKEQ US Equity</x:v>
      </x:c>
      <x:c r="E69" t="str">
        <x:f t="shared" si="1"/>
        <x:v>Expression</x:v>
      </x:c>
      <x:c r="F69" t="str">
        <x:f ca="1">IF(AND($B$1012=1,LEN($F$1076)&gt;0),$F$1076,HLOOKUP(INDIRECT(ADDRESS(2,COLUMN())),OFFSET($T$2,0,0,ROW()-1,14),ROW()-1,FALSE))</x:f>
        <x:v/>
      </x:c>
      <x:c r="G69" t="str">
        <x:f ca="1">IF(AND($B$1012=1,LEN($G$1076)&gt;0),$G$1076,HLOOKUP(INDIRECT(ADDRESS(2,COLUMN())),OFFSET($T$2,0,0,ROW()-1,14),ROW()-1,FALSE))</x:f>
        <x:v/>
      </x:c>
      <x:c r="H69" t="str">
        <x:f ca="1">IF(AND($B$1012=1,LEN($H$1076)&gt;0),$H$1076,HLOOKUP(INDIRECT(ADDRESS(2,COLUMN())),OFFSET($T$2,0,0,ROW()-1,14),ROW()-1,FALSE))</x:f>
        <x:v/>
      </x:c>
      <x:c r="I69" t="str">
        <x:f ca="1">IF(AND($B$1012=1,LEN($I$1076)&gt;0),$I$1076,HLOOKUP(INDIRECT(ADDRESS(2,COLUMN())),OFFSET($T$2,0,0,ROW()-1,14),ROW()-1,FALSE))</x:f>
        <x:v/>
      </x:c>
      <x:c r="J69" t="str">
        <x:f ca="1">IF(AND($B$1012=1,LEN($J$1076)&gt;0),$J$1076,HLOOKUP(INDIRECT(ADDRESS(2,COLUMN())),OFFSET($T$2,0,0,ROW()-1,14),ROW()-1,FALSE))</x:f>
        <x:v/>
      </x:c>
      <x:c r="K69">
        <x:f ca="1">IF(AND($B$1012=1,LEN($K$1076)&gt;0),$K$1076,HLOOKUP(INDIRECT(ADDRESS(2,COLUMN())),OFFSET($T$2,0,0,ROW()-1,14),ROW()-1,FALSE))</x:f>
        <x:v>-0.33798800000000001</x:v>
      </x:c>
      <x:c r="L69">
        <x:f ca="1">IF(AND($B$1012=1,LEN($L$1076)&gt;0),$L$1076,HLOOKUP(INDIRECT(ADDRESS(2,COLUMN())),OFFSET($T$2,0,0,ROW()-1,14),ROW()-1,FALSE))</x:f>
        <x:v>-0.51868499999999995</x:v>
      </x:c>
      <x:c r="M69">
        <x:f ca="1">IF(AND($B$1012=1,LEN($M$1076)&gt;0),$M$1076,HLOOKUP(INDIRECT(ADDRESS(2,COLUMN())),OFFSET($T$2,0,0,ROW()-1,14),ROW()-1,FALSE))</x:f>
        <x:v>0</x:v>
      </x:c>
      <x:c r="N69">
        <x:f ca="1">IF(AND($B$1012=1,LEN($N$1076)&gt;0),$N$1076,HLOOKUP(INDIRECT(ADDRESS(2,COLUMN())),OFFSET($T$2,0,0,ROW()-1,14),ROW()-1,FALSE))</x:f>
        <x:v>-0.13420099999999999</x:v>
      </x:c>
      <x:c r="O69">
        <x:f ca="1">IF(AND($B$1012=1,LEN($O$1076)&gt;0),$O$1076,HLOOKUP(INDIRECT(ADDRESS(2,COLUMN())),OFFSET($T$2,0,0,ROW()-1,14),ROW()-1,FALSE))</x:f>
        <x:v>0</x:v>
      </x:c>
      <x:c r="P69">
        <x:f ca="1">IF(AND($B$1012=1,LEN($P$1076)&gt;0),$P$1076,HLOOKUP(INDIRECT(ADDRESS(2,COLUMN())),OFFSET($T$2,0,0,ROW()-1,14),ROW()-1,FALSE))</x:f>
        <x:v>0.28737499999999999</x:v>
      </x:c>
      <x:c r="Q69">
        <x:f ca="1">IF(AND($B$1012=1,LEN($Q$1076)&gt;0),$Q$1076,HLOOKUP(INDIRECT(ADDRESS(2,COLUMN())),OFFSET($T$2,0,0,ROW()-1,14),ROW()-1,FALSE))</x:f>
        <x:v>0</x:v>
      </x:c>
      <x:c r="R69">
        <x:f ca="1">IF(AND($B$1012=1,LEN($R$1076)&gt;0),$R$1076,HLOOKUP(INDIRECT(ADDRESS(2,COLUMN())),OFFSET($T$2,0,0,ROW()-1,14),ROW()-1,FALSE))</x:f>
        <x:v>0.38100200000000001</x:v>
      </x:c>
      <x:c r="S69">
        <x:f ca="1">IF(AND($B$1012=1,LEN($S$1076)&gt;0),$S$1076,HLOOKUP(INDIRECT(ADDRESS(2,COLUMN())),OFFSET($T$2,0,0,ROW()-1,14),ROW()-1,FALSE))</x:f>
        <x:v>0</x:v>
      </x:c>
      <x:c r="T69" t="str">
        <x:f>""</x:f>
        <x:v/>
      </x:c>
      <x:c r="U69" t="str">
        <x:f>""</x:f>
        <x:v/>
      </x:c>
      <x:c r="V69" t="str">
        <x:f>""</x:f>
        <x:v/>
      </x:c>
      <x:c r="W69" t="str">
        <x:f>""</x:f>
        <x:v/>
      </x:c>
      <x:c r="X69" t="str">
        <x:f>""</x:f>
        <x:v/>
      </x:c>
      <x:c r="Y69">
        <x:f>-0.337988</x:f>
        <x:v>-0.33798800000000001</x:v>
      </x:c>
      <x:c r="Z69">
        <x:f>-0.518685</x:f>
        <x:v>-0.51868499999999995</x:v>
      </x:c>
      <x:c r="AA69">
        <x:f>0</x:f>
        <x:v>0</x:v>
      </x:c>
      <x:c r="AB69">
        <x:f>-0.134201</x:f>
        <x:v>-0.13420099999999999</x:v>
      </x:c>
      <x:c r="AC69">
        <x:f>0</x:f>
        <x:v>0</x:v>
      </x:c>
      <x:c r="AD69">
        <x:f>0.287375</x:f>
        <x:v>0.28737499999999999</x:v>
      </x:c>
      <x:c r="AE69">
        <x:f>0</x:f>
        <x:v>0</x:v>
      </x:c>
      <x:c r="AF69">
        <x:f>0.381002</x:f>
        <x:v>0.38100200000000001</x:v>
      </x:c>
      <x:c r="AG69">
        <x:f>0</x:f>
        <x:v>0</x:v>
      </x:c>
    </x:row>
    <x:row r="70" spans="1:33" x14ac:dyDescent="0.25">
      <x:c r="A70" t="str">
        <x:f>"        GraniteShares 1x Short TSLA Da"</x:f>
        <x:v xml:space="preserve">        GraniteShares 1x Short TSLA Da</x:v>
      </x:c>
      <x:c r="B70" t="str">
        <x:f>"TSLI US Equity"</x:f>
        <x:v>TSLI US Equity</x:v>
      </x:c>
      <x:c r="E70" t="str">
        <x:f t="shared" si="1"/>
        <x:v>Expression</x:v>
      </x:c>
      <x:c r="F70" t="str">
        <x:f ca="1">IF(AND($B$1012=1,LEN($F$1077)&gt;0),$F$1077,HLOOKUP(INDIRECT(ADDRESS(2,COLUMN())),OFFSET($T$2,0,0,ROW()-1,14),ROW()-1,FALSE))</x:f>
        <x:v/>
      </x:c>
      <x:c r="G70" t="str">
        <x:f ca="1">IF(AND($B$1012=1,LEN($G$1077)&gt;0),$G$1077,HLOOKUP(INDIRECT(ADDRESS(2,COLUMN())),OFFSET($T$2,0,0,ROW()-1,14),ROW()-1,FALSE))</x:f>
        <x:v/>
      </x:c>
      <x:c r="H70" t="str">
        <x:f ca="1">IF(AND($B$1012=1,LEN($H$1077)&gt;0),$H$1077,HLOOKUP(INDIRECT(ADDRESS(2,COLUMN())),OFFSET($T$2,0,0,ROW()-1,14),ROW()-1,FALSE))</x:f>
        <x:v/>
      </x:c>
      <x:c r="I70" t="str">
        <x:f ca="1">IF(AND($B$1012=1,LEN($I$1077)&gt;0),$I$1077,HLOOKUP(INDIRECT(ADDRESS(2,COLUMN())),OFFSET($T$2,0,0,ROW()-1,14),ROW()-1,FALSE))</x:f>
        <x:v/>
      </x:c>
      <x:c r="J70" t="str">
        <x:f ca="1">IF(AND($B$1012=1,LEN($J$1077)&gt;0),$J$1077,HLOOKUP(INDIRECT(ADDRESS(2,COLUMN())),OFFSET($T$2,0,0,ROW()-1,14),ROW()-1,FALSE))</x:f>
        <x:v/>
      </x:c>
      <x:c r="K70">
        <x:f ca="1">IF(AND($B$1012=1,LEN($K$1077)&gt;0),$K$1077,HLOOKUP(INDIRECT(ADDRESS(2,COLUMN())),OFFSET($T$2,0,0,ROW()-1,14),ROW()-1,FALSE))</x:f>
        <x:v>0</x:v>
      </x:c>
      <x:c r="L70">
        <x:f ca="1">IF(AND($B$1012=1,LEN($L$1077)&gt;0),$L$1077,HLOOKUP(INDIRECT(ADDRESS(2,COLUMN())),OFFSET($T$2,0,0,ROW()-1,14),ROW()-1,FALSE))</x:f>
        <x:v>1.2447630000000001</x:v>
      </x:c>
      <x:c r="M70">
        <x:f ca="1">IF(AND($B$1012=1,LEN($M$1077)&gt;0),$M$1077,HLOOKUP(INDIRECT(ADDRESS(2,COLUMN())),OFFSET($T$2,0,0,ROW()-1,14),ROW()-1,FALSE))</x:f>
        <x:v>-1.397915</x:v>
      </x:c>
      <x:c r="N70">
        <x:f ca="1">IF(AND($B$1012=1,LEN($N$1077)&gt;0),$N$1077,HLOOKUP(INDIRECT(ADDRESS(2,COLUMN())),OFFSET($T$2,0,0,ROW()-1,14),ROW()-1,FALSE))</x:f>
        <x:v>0.827461</x:v>
      </x:c>
      <x:c r="O70">
        <x:f ca="1">IF(AND($B$1012=1,LEN($O$1077)&gt;0),$O$1077,HLOOKUP(INDIRECT(ADDRESS(2,COLUMN())),OFFSET($T$2,0,0,ROW()-1,14),ROW()-1,FALSE))</x:f>
        <x:v>0.52533399999999997</x:v>
      </x:c>
      <x:c r="P70">
        <x:f ca="1">IF(AND($B$1012=1,LEN($P$1077)&gt;0),$P$1077,HLOOKUP(INDIRECT(ADDRESS(2,COLUMN())),OFFSET($T$2,0,0,ROW()-1,14),ROW()-1,FALSE))</x:f>
        <x:v>-1.920374</x:v>
      </x:c>
      <x:c r="Q70">
        <x:f ca="1">IF(AND($B$1012=1,LEN($Q$1077)&gt;0),$Q$1077,HLOOKUP(INDIRECT(ADDRESS(2,COLUMN())),OFFSET($T$2,0,0,ROW()-1,14),ROW()-1,FALSE))</x:f>
        <x:v>2.8783859999999999</x:v>
      </x:c>
      <x:c r="R70">
        <x:f ca="1">IF(AND($B$1012=1,LEN($R$1077)&gt;0),$R$1077,HLOOKUP(INDIRECT(ADDRESS(2,COLUMN())),OFFSET($T$2,0,0,ROW()-1,14),ROW()-1,FALSE))</x:f>
        <x:v>-0.41283500000000001</x:v>
      </x:c>
      <x:c r="S70">
        <x:f ca="1">IF(AND($B$1012=1,LEN($S$1077)&gt;0),$S$1077,HLOOKUP(INDIRECT(ADDRESS(2,COLUMN())),OFFSET($T$2,0,0,ROW()-1,14),ROW()-1,FALSE))</x:f>
        <x:v>0.321575</x:v>
      </x:c>
      <x:c r="T70" t="str">
        <x:f>""</x:f>
        <x:v/>
      </x:c>
      <x:c r="U70" t="str">
        <x:f>""</x:f>
        <x:v/>
      </x:c>
      <x:c r="V70" t="str">
        <x:f>""</x:f>
        <x:v/>
      </x:c>
      <x:c r="W70" t="str">
        <x:f>""</x:f>
        <x:v/>
      </x:c>
      <x:c r="X70" t="str">
        <x:f>""</x:f>
        <x:v/>
      </x:c>
      <x:c r="Y70">
        <x:f>0</x:f>
        <x:v>0</x:v>
      </x:c>
      <x:c r="Z70">
        <x:f>1.244763</x:f>
        <x:v>1.2447630000000001</x:v>
      </x:c>
      <x:c r="AA70">
        <x:f>-1.397915</x:f>
        <x:v>-1.397915</x:v>
      </x:c>
      <x:c r="AB70">
        <x:f>0.827461</x:f>
        <x:v>0.827461</x:v>
      </x:c>
      <x:c r="AC70">
        <x:f>0.525334</x:f>
        <x:v>0.52533399999999997</x:v>
      </x:c>
      <x:c r="AD70">
        <x:f>-1.920374</x:f>
        <x:v>-1.920374</x:v>
      </x:c>
      <x:c r="AE70">
        <x:f>2.878386</x:f>
        <x:v>2.8783859999999999</x:v>
      </x:c>
      <x:c r="AF70">
        <x:f>-0.412835</x:f>
        <x:v>-0.41283500000000001</x:v>
      </x:c>
      <x:c r="AG70">
        <x:f>0.321575</x:f>
        <x:v>0.321575</x:v>
      </x:c>
    </x:row>
    <x:row r="71" spans="1:33" x14ac:dyDescent="0.25">
      <x:c r="A71" t="str">
        <x:f>"        Direxion Daily TSLA Bull 1.5X"</x:f>
        <x:v xml:space="preserve">        Direxion Daily TSLA Bull 1.5X</x:v>
      </x:c>
      <x:c r="B71" t="str">
        <x:f>"TSLL US Equity"</x:f>
        <x:v>TSLL US Equity</x:v>
      </x:c>
      <x:c r="E71" t="str">
        <x:f t="shared" si="1"/>
        <x:v>Expression</x:v>
      </x:c>
      <x:c r="F71">
        <x:f ca="1">IF(AND($B$1012=1,LEN($F$1078)&gt;0),$F$1078,HLOOKUP(INDIRECT(ADDRESS(2,COLUMN())),OFFSET($T$2,0,0,ROW()-1,14),ROW()-1,FALSE))</x:f>
        <x:v>1.7773220000000001</x:v>
      </x:c>
      <x:c r="G71">
        <x:f ca="1">IF(AND($B$1012=1,LEN($G$1078)&gt;0),$G$1078,HLOOKUP(INDIRECT(ADDRESS(2,COLUMN())),OFFSET($T$2,0,0,ROW()-1,14),ROW()-1,FALSE))</x:f>
        <x:v>46.767459000000002</x:v>
      </x:c>
      <x:c r="H71">
        <x:f ca="1">IF(AND($B$1012=1,LEN($H$1078)&gt;0),$H$1078,HLOOKUP(INDIRECT(ADDRESS(2,COLUMN())),OFFSET($T$2,0,0,ROW()-1,14),ROW()-1,FALSE))</x:f>
        <x:v>26.558109000000002</x:v>
      </x:c>
      <x:c r="I71">
        <x:f ca="1">IF(AND($B$1012=1,LEN($I$1078)&gt;0),$I$1078,HLOOKUP(INDIRECT(ADDRESS(2,COLUMN())),OFFSET($T$2,0,0,ROW()-1,14),ROW()-1,FALSE))</x:f>
        <x:v>34.481836999999999</x:v>
      </x:c>
      <x:c r="J71">
        <x:f ca="1">IF(AND($B$1012=1,LEN($J$1078)&gt;0),$J$1078,HLOOKUP(INDIRECT(ADDRESS(2,COLUMN())),OFFSET($T$2,0,0,ROW()-1,14),ROW()-1,FALSE))</x:f>
        <x:v>246.958012</x:v>
      </x:c>
      <x:c r="K71">
        <x:f ca="1">IF(AND($B$1012=1,LEN($K$1078)&gt;0),$K$1078,HLOOKUP(INDIRECT(ADDRESS(2,COLUMN())),OFFSET($T$2,0,0,ROW()-1,14),ROW()-1,FALSE))</x:f>
        <x:v>9.189864</x:v>
      </x:c>
      <x:c r="L71">
        <x:f ca="1">IF(AND($B$1012=1,LEN($L$1078)&gt;0),$L$1078,HLOOKUP(INDIRECT(ADDRESS(2,COLUMN())),OFFSET($T$2,0,0,ROW()-1,14),ROW()-1,FALSE))</x:f>
        <x:v>-20.869378000000001</x:v>
      </x:c>
      <x:c r="M71">
        <x:f ca="1">IF(AND($B$1012=1,LEN($M$1078)&gt;0),$M$1078,HLOOKUP(INDIRECT(ADDRESS(2,COLUMN())),OFFSET($T$2,0,0,ROW()-1,14),ROW()-1,FALSE))</x:f>
        <x:v>78.535696000000002</x:v>
      </x:c>
      <x:c r="N71">
        <x:f ca="1">IF(AND($B$1012=1,LEN($N$1078)&gt;0),$N$1078,HLOOKUP(INDIRECT(ADDRESS(2,COLUMN())),OFFSET($T$2,0,0,ROW()-1,14),ROW()-1,FALSE))</x:f>
        <x:v>44.149813000000002</x:v>
      </x:c>
      <x:c r="O71">
        <x:f ca="1">IF(AND($B$1012=1,LEN($O$1078)&gt;0),$O$1078,HLOOKUP(INDIRECT(ADDRESS(2,COLUMN())),OFFSET($T$2,0,0,ROW()-1,14),ROW()-1,FALSE))</x:f>
        <x:v>86.135461000000006</x:v>
      </x:c>
      <x:c r="P71">
        <x:f ca="1">IF(AND($B$1012=1,LEN($P$1078)&gt;0),$P$1078,HLOOKUP(INDIRECT(ADDRESS(2,COLUMN())),OFFSET($T$2,0,0,ROW()-1,14),ROW()-1,FALSE))</x:f>
        <x:v>4.2911320000000002</x:v>
      </x:c>
      <x:c r="Q71">
        <x:f ca="1">IF(AND($B$1012=1,LEN($Q$1078)&gt;0),$Q$1078,HLOOKUP(INDIRECT(ADDRESS(2,COLUMN())),OFFSET($T$2,0,0,ROW()-1,14),ROW()-1,FALSE))</x:f>
        <x:v>117.207409</x:v>
      </x:c>
      <x:c r="R71">
        <x:f ca="1">IF(AND($B$1012=1,LEN($R$1078)&gt;0),$R$1078,HLOOKUP(INDIRECT(ADDRESS(2,COLUMN())),OFFSET($T$2,0,0,ROW()-1,14),ROW()-1,FALSE))</x:f>
        <x:v>53.196455</x:v>
      </x:c>
      <x:c r="S71">
        <x:f ca="1">IF(AND($B$1012=1,LEN($S$1078)&gt;0),$S$1078,HLOOKUP(INDIRECT(ADDRESS(2,COLUMN())),OFFSET($T$2,0,0,ROW()-1,14),ROW()-1,FALSE))</x:f>
        <x:v>55.343653000000003</x:v>
      </x:c>
      <x:c r="T71">
        <x:f>1.777322</x:f>
        <x:v>1.7773220000000001</x:v>
      </x:c>
      <x:c r="U71">
        <x:f>46.767459</x:f>
        <x:v>46.767459000000002</x:v>
      </x:c>
      <x:c r="V71">
        <x:f>26.558109</x:f>
        <x:v>26.558109000000002</x:v>
      </x:c>
      <x:c r="W71">
        <x:f>34.481837</x:f>
        <x:v>34.481836999999999</x:v>
      </x:c>
      <x:c r="X71">
        <x:f>246.958012</x:f>
        <x:v>246.958012</x:v>
      </x:c>
      <x:c r="Y71">
        <x:f>9.189864</x:f>
        <x:v>9.189864</x:v>
      </x:c>
      <x:c r="Z71">
        <x:f>-20.869378</x:f>
        <x:v>-20.869378000000001</x:v>
      </x:c>
      <x:c r="AA71">
        <x:f>78.535696</x:f>
        <x:v>78.535696000000002</x:v>
      </x:c>
      <x:c r="AB71">
        <x:f>44.149813</x:f>
        <x:v>44.149813000000002</x:v>
      </x:c>
      <x:c r="AC71">
        <x:f>86.135461</x:f>
        <x:v>86.135461000000006</x:v>
      </x:c>
      <x:c r="AD71">
        <x:f>4.291132</x:f>
        <x:v>4.2911320000000002</x:v>
      </x:c>
      <x:c r="AE71">
        <x:f>117.207409</x:f>
        <x:v>117.207409</x:v>
      </x:c>
      <x:c r="AF71">
        <x:f>53.196455</x:f>
        <x:v>53.196455</x:v>
      </x:c>
      <x:c r="AG71">
        <x:f>55.343653</x:f>
        <x:v>55.343653000000003</x:v>
      </x:c>
    </x:row>
    <x:row r="72" spans="1:33" x14ac:dyDescent="0.25">
      <x:c r="A72" t="str">
        <x:f>"        Direxion Daily TSLA Bear 1X Sh"</x:f>
        <x:v xml:space="preserve">        Direxion Daily TSLA Bear 1X Sh</x:v>
      </x:c>
      <x:c r="B72" t="str">
        <x:f>"TSLS US Equity"</x:f>
        <x:v>TSLS US Equity</x:v>
      </x:c>
      <x:c r="E72" t="str">
        <x:f t="shared" si="1"/>
        <x:v>Expression</x:v>
      </x:c>
      <x:c r="F72">
        <x:f ca="1">IF(AND($B$1012=1,LEN($F$1079)&gt;0),$F$1079,HLOOKUP(INDIRECT(ADDRESS(2,COLUMN())),OFFSET($T$2,0,0,ROW()-1,14),ROW()-1,FALSE))</x:f>
        <x:v>-1.62323</x:v>
      </x:c>
      <x:c r="G72">
        <x:f ca="1">IF(AND($B$1012=1,LEN($G$1079)&gt;0),$G$1079,HLOOKUP(INDIRECT(ADDRESS(2,COLUMN())),OFFSET($T$2,0,0,ROW()-1,14),ROW()-1,FALSE))</x:f>
        <x:v>-13.106494</x:v>
      </x:c>
      <x:c r="H72">
        <x:f ca="1">IF(AND($B$1012=1,LEN($H$1079)&gt;0),$H$1079,HLOOKUP(INDIRECT(ADDRESS(2,COLUMN())),OFFSET($T$2,0,0,ROW()-1,14),ROW()-1,FALSE))</x:f>
        <x:v>7.5329410000000001</x:v>
      </x:c>
      <x:c r="I72">
        <x:f ca="1">IF(AND($B$1012=1,LEN($I$1079)&gt;0),$I$1079,HLOOKUP(INDIRECT(ADDRESS(2,COLUMN())),OFFSET($T$2,0,0,ROW()-1,14),ROW()-1,FALSE))</x:f>
        <x:v>-1.6379589999999999</x:v>
      </x:c>
      <x:c r="J72">
        <x:f ca="1">IF(AND($B$1012=1,LEN($J$1079)&gt;0),$J$1079,HLOOKUP(INDIRECT(ADDRESS(2,COLUMN())),OFFSET($T$2,0,0,ROW()-1,14),ROW()-1,FALSE))</x:f>
        <x:v>-2.1151599999999999</x:v>
      </x:c>
      <x:c r="K72">
        <x:f ca="1">IF(AND($B$1012=1,LEN($K$1079)&gt;0),$K$1079,HLOOKUP(INDIRECT(ADDRESS(2,COLUMN())),OFFSET($T$2,0,0,ROW()-1,14),ROW()-1,FALSE))</x:f>
        <x:v>23.505406000000001</x:v>
      </x:c>
      <x:c r="L72">
        <x:f ca="1">IF(AND($B$1012=1,LEN($L$1079)&gt;0),$L$1079,HLOOKUP(INDIRECT(ADDRESS(2,COLUMN())),OFFSET($T$2,0,0,ROW()-1,14),ROW()-1,FALSE))</x:f>
        <x:v>-2.8281619999999998</x:v>
      </x:c>
      <x:c r="M72">
        <x:f ca="1">IF(AND($B$1012=1,LEN($M$1079)&gt;0),$M$1079,HLOOKUP(INDIRECT(ADDRESS(2,COLUMN())),OFFSET($T$2,0,0,ROW()-1,14),ROW()-1,FALSE))</x:f>
        <x:v>-5.0391890000000004</x:v>
      </x:c>
      <x:c r="N72">
        <x:f ca="1">IF(AND($B$1012=1,LEN($N$1079)&gt;0),$N$1079,HLOOKUP(INDIRECT(ADDRESS(2,COLUMN())),OFFSET($T$2,0,0,ROW()-1,14),ROW()-1,FALSE))</x:f>
        <x:v>-24.051772</x:v>
      </x:c>
      <x:c r="O72">
        <x:f ca="1">IF(AND($B$1012=1,LEN($O$1079)&gt;0),$O$1079,HLOOKUP(INDIRECT(ADDRESS(2,COLUMN())),OFFSET($T$2,0,0,ROW()-1,14),ROW()-1,FALSE))</x:f>
        <x:v>4.5913360000000001</x:v>
      </x:c>
      <x:c r="P72">
        <x:f ca="1">IF(AND($B$1012=1,LEN($P$1079)&gt;0),$P$1079,HLOOKUP(INDIRECT(ADDRESS(2,COLUMN())),OFFSET($T$2,0,0,ROW()-1,14),ROW()-1,FALSE))</x:f>
        <x:v>50.375230000000002</x:v>
      </x:c>
      <x:c r="Q72">
        <x:f ca="1">IF(AND($B$1012=1,LEN($Q$1079)&gt;0),$Q$1079,HLOOKUP(INDIRECT(ADDRESS(2,COLUMN())),OFFSET($T$2,0,0,ROW()-1,14),ROW()-1,FALSE))</x:f>
        <x:v>8.6124500000000008</x:v>
      </x:c>
      <x:c r="R72">
        <x:f ca="1">IF(AND($B$1012=1,LEN($R$1079)&gt;0),$R$1079,HLOOKUP(INDIRECT(ADDRESS(2,COLUMN())),OFFSET($T$2,0,0,ROW()-1,14),ROW()-1,FALSE))</x:f>
        <x:v>6.663926</x:v>
      </x:c>
      <x:c r="S72">
        <x:f ca="1">IF(AND($B$1012=1,LEN($S$1079)&gt;0),$S$1079,HLOOKUP(INDIRECT(ADDRESS(2,COLUMN())),OFFSET($T$2,0,0,ROW()-1,14),ROW()-1,FALSE))</x:f>
        <x:v>2.021112</x:v>
      </x:c>
      <x:c r="T72">
        <x:f>-1.62323</x:f>
        <x:v>-1.62323</x:v>
      </x:c>
      <x:c r="U72">
        <x:f>-13.106494</x:f>
        <x:v>-13.106494</x:v>
      </x:c>
      <x:c r="V72">
        <x:f>7.532941</x:f>
        <x:v>7.5329410000000001</x:v>
      </x:c>
      <x:c r="W72">
        <x:f>-1.637959</x:f>
        <x:v>-1.6379589999999999</x:v>
      </x:c>
      <x:c r="X72">
        <x:f>-2.11516</x:f>
        <x:v>-2.1151599999999999</x:v>
      </x:c>
      <x:c r="Y72">
        <x:f>23.505406</x:f>
        <x:v>23.505406000000001</x:v>
      </x:c>
      <x:c r="Z72">
        <x:f>-2.828162</x:f>
        <x:v>-2.8281619999999998</x:v>
      </x:c>
      <x:c r="AA72">
        <x:f>-5.039189</x:f>
        <x:v>-5.0391890000000004</x:v>
      </x:c>
      <x:c r="AB72">
        <x:f>-24.051772</x:f>
        <x:v>-24.051772</x:v>
      </x:c>
      <x:c r="AC72">
        <x:f>4.591336</x:f>
        <x:v>4.5913360000000001</x:v>
      </x:c>
      <x:c r="AD72">
        <x:f>50.37523</x:f>
        <x:v>50.375230000000002</x:v>
      </x:c>
      <x:c r="AE72">
        <x:f>8.61245</x:f>
        <x:v>8.6124500000000008</x:v>
      </x:c>
      <x:c r="AF72">
        <x:f>6.663926</x:f>
        <x:v>6.663926</x:v>
      </x:c>
      <x:c r="AG72">
        <x:f>2.021112</x:f>
        <x:v>2.021112</x:v>
      </x:c>
    </x:row>
    <x:row r="73" spans="1:33" x14ac:dyDescent="0.25">
      <x:c r="A73" t="str">
        <x:f>"        Yieldmax Tsla Option Income Et"</x:f>
        <x:v xml:space="preserve">        Yieldmax Tsla Option Income Et</x:v>
      </x:c>
      <x:c r="B73" t="str">
        <x:f>"TSLY US Equity"</x:f>
        <x:v>TSLY US Equity</x:v>
      </x:c>
      <x:c r="E73" t="str">
        <x:f t="shared" si="1"/>
        <x:v>Expression</x:v>
      </x:c>
      <x:c r="F73">
        <x:f ca="1">IF(AND($B$1012=1,LEN($F$1080)&gt;0),$F$1080,HLOOKUP(INDIRECT(ADDRESS(2,COLUMN())),OFFSET($T$2,0,0,ROW()-1,14),ROW()-1,FALSE))</x:f>
        <x:v>68.750083000000004</x:v>
      </x:c>
      <x:c r="G73">
        <x:f ca="1">IF(AND($B$1012=1,LEN($G$1080)&gt;0),$G$1080,HLOOKUP(INDIRECT(ADDRESS(2,COLUMN())),OFFSET($T$2,0,0,ROW()-1,14),ROW()-1,FALSE))</x:f>
        <x:v>116.47972</x:v>
      </x:c>
      <x:c r="H73">
        <x:f ca="1">IF(AND($B$1012=1,LEN($H$1080)&gt;0),$H$1080,HLOOKUP(INDIRECT(ADDRESS(2,COLUMN())),OFFSET($T$2,0,0,ROW()-1,14),ROW()-1,FALSE))</x:f>
        <x:v>162.71022500000001</x:v>
      </x:c>
      <x:c r="I73">
        <x:f ca="1">IF(AND($B$1012=1,LEN($I$1080)&gt;0),$I$1080,HLOOKUP(INDIRECT(ADDRESS(2,COLUMN())),OFFSET($T$2,0,0,ROW()-1,14),ROW()-1,FALSE))</x:f>
        <x:v>297.821888</x:v>
      </x:c>
      <x:c r="J73">
        <x:f ca="1">IF(AND($B$1012=1,LEN($J$1080)&gt;0),$J$1080,HLOOKUP(INDIRECT(ADDRESS(2,COLUMN())),OFFSET($T$2,0,0,ROW()-1,14),ROW()-1,FALSE))</x:f>
        <x:v>187.19546</x:v>
      </x:c>
      <x:c r="K73">
        <x:f ca="1">IF(AND($B$1012=1,LEN($K$1080)&gt;0),$K$1080,HLOOKUP(INDIRECT(ADDRESS(2,COLUMN())),OFFSET($T$2,0,0,ROW()-1,14),ROW()-1,FALSE))</x:f>
        <x:v>70.722836999999998</x:v>
      </x:c>
      <x:c r="L73">
        <x:f ca="1">IF(AND($B$1012=1,LEN($L$1080)&gt;0),$L$1080,HLOOKUP(INDIRECT(ADDRESS(2,COLUMN())),OFFSET($T$2,0,0,ROW()-1,14),ROW()-1,FALSE))</x:f>
        <x:v>17.785537000000001</x:v>
      </x:c>
      <x:c r="M73">
        <x:f ca="1">IF(AND($B$1012=1,LEN($M$1080)&gt;0),$M$1080,HLOOKUP(INDIRECT(ADDRESS(2,COLUMN())),OFFSET($T$2,0,0,ROW()-1,14),ROW()-1,FALSE))</x:f>
        <x:v>38.626582999999997</x:v>
      </x:c>
      <x:c r="N73">
        <x:f ca="1">IF(AND($B$1012=1,LEN($N$1080)&gt;0),$N$1080,HLOOKUP(INDIRECT(ADDRESS(2,COLUMN())),OFFSET($T$2,0,0,ROW()-1,14),ROW()-1,FALSE))</x:f>
        <x:v>16.399084999999999</x:v>
      </x:c>
      <x:c r="O73">
        <x:f ca="1">IF(AND($B$1012=1,LEN($O$1080)&gt;0),$O$1080,HLOOKUP(INDIRECT(ADDRESS(2,COLUMN())),OFFSET($T$2,0,0,ROW()-1,14),ROW()-1,FALSE))</x:f>
        <x:v>3.3651879999999998</x:v>
      </x:c>
      <x:c r="P73">
        <x:f ca="1">IF(AND($B$1012=1,LEN($P$1080)&gt;0),$P$1080,HLOOKUP(INDIRECT(ADDRESS(2,COLUMN())),OFFSET($T$2,0,0,ROW()-1,14),ROW()-1,FALSE))</x:f>
        <x:v>0</x:v>
      </x:c>
      <x:c r="Q73">
        <x:f ca="1">IF(AND($B$1012=1,LEN($Q$1080)&gt;0),$Q$1080,HLOOKUP(INDIRECT(ADDRESS(2,COLUMN())),OFFSET($T$2,0,0,ROW()-1,14),ROW()-1,FALSE))</x:f>
        <x:v>0</x:v>
      </x:c>
      <x:c r="R73">
        <x:f ca="1">IF(AND($B$1012=1,LEN($R$1080)&gt;0),$R$1080,HLOOKUP(INDIRECT(ADDRESS(2,COLUMN())),OFFSET($T$2,0,0,ROW()-1,14),ROW()-1,FALSE))</x:f>
        <x:v>0</x:v>
      </x:c>
      <x:c r="S73" t="str">
        <x:f ca="1">IF(AND($B$1012=1,LEN($S$1080)&gt;0),$S$1080,HLOOKUP(INDIRECT(ADDRESS(2,COLUMN())),OFFSET($T$2,0,0,ROW()-1,14),ROW()-1,FALSE))</x:f>
        <x:v/>
      </x:c>
      <x:c r="T73">
        <x:f>68.750083</x:f>
        <x:v>68.750083000000004</x:v>
      </x:c>
      <x:c r="U73">
        <x:f>116.47972</x:f>
        <x:v>116.47972</x:v>
      </x:c>
      <x:c r="V73">
        <x:f>162.710225</x:f>
        <x:v>162.71022500000001</x:v>
      </x:c>
      <x:c r="W73">
        <x:f>297.821888</x:f>
        <x:v>297.821888</x:v>
      </x:c>
      <x:c r="X73">
        <x:f>187.19546</x:f>
        <x:v>187.19546</x:v>
      </x:c>
      <x:c r="Y73">
        <x:f>70.722837</x:f>
        <x:v>70.722836999999998</x:v>
      </x:c>
      <x:c r="Z73">
        <x:f>17.785537</x:f>
        <x:v>17.785537000000001</x:v>
      </x:c>
      <x:c r="AA73">
        <x:f>38.626583</x:f>
        <x:v>38.626582999999997</x:v>
      </x:c>
      <x:c r="AB73">
        <x:f>16.399085</x:f>
        <x:v>16.399084999999999</x:v>
      </x:c>
      <x:c r="AC73">
        <x:f>3.365188</x:f>
        <x:v>3.3651879999999998</x:v>
      </x:c>
      <x:c r="AD73">
        <x:f>0</x:f>
        <x:v>0</x:v>
      </x:c>
      <x:c r="AE73">
        <x:f>0</x:f>
        <x:v>0</x:v>
      </x:c>
      <x:c r="AF73">
        <x:f>0</x:f>
        <x:v>0</x:v>
      </x:c>
      <x:c r="AG73" t="str">
        <x:f>""</x:f>
        <x:v/>
      </x:c>
    </x:row>
    <x:row r="74" spans="1:33" x14ac:dyDescent="0.25">
      <x:c r="A74" t="str">
        <x:f>"    Consumer Staples"</x:f>
        <x:v xml:space="preserve">    Consumer Staples</x:v>
      </x:c>
      <x:c r="B74" t="str">
        <x:f>""</x:f>
        <x:v/>
      </x:c>
      <x:c r="E74" t="str">
        <x:f>"Sum"</x:f>
        <x:v>Sum</x:v>
      </x:c>
      <x:c r="F74">
        <x:f ca="1">IF(ISERROR(IF(SUM($F$75:$F$96) = 0, "", SUM($F$75:$F$96))), "", (IF(SUM($F$75:$F$96) = 0, "", SUM($F$75:$F$96))))</x:f>
        <x:v>-944.56873900000016</x:v>
      </x:c>
      <x:c r="G74">
        <x:f ca="1">IF(ISERROR(IF(SUM($G$75:$G$96) = 0, "", SUM($G$75:$G$96))), "", (IF(SUM($G$75:$G$96) = 0, "", SUM($G$75:$G$96))))</x:f>
        <x:v>-639.02576599999986</x:v>
      </x:c>
      <x:c r="H74">
        <x:f ca="1">IF(ISERROR(IF(SUM($H$75:$H$96) = 0, "", SUM($H$75:$H$96))), "", (IF(SUM($H$75:$H$96) = 0, "", SUM($H$75:$H$96))))</x:f>
        <x:v>-633.63069199999995</x:v>
      </x:c>
      <x:c r="I74">
        <x:f ca="1">IF(ISERROR(IF(SUM($I$75:$I$96) = 0, "", SUM($I$75:$I$96))), "", (IF(SUM($I$75:$I$96) = 0, "", SUM($I$75:$I$96))))</x:f>
        <x:v>-863.27417500000001</x:v>
      </x:c>
      <x:c r="J74">
        <x:f ca="1">IF(ISERROR(IF(SUM($J$75:$J$96) = 0, "", SUM($J$75:$J$96))), "", (IF(SUM($J$75:$J$96) = 0, "", SUM($J$75:$J$96))))</x:f>
        <x:v>594.76071999999999</x:v>
      </x:c>
      <x:c r="K74">
        <x:f ca="1">IF(ISERROR(IF(SUM($K$75:$K$96) = 0, "", SUM($K$75:$K$96))), "", (IF(SUM($K$75:$K$96) = 0, "", SUM($K$75:$K$96))))</x:f>
        <x:v>-711.61822600000005</x:v>
      </x:c>
      <x:c r="L74">
        <x:f ca="1">IF(ISERROR(IF(SUM($L$75:$L$96) = 0, "", SUM($L$75:$L$96))), "", (IF(SUM($L$75:$L$96) = 0, "", SUM($L$75:$L$96))))</x:f>
        <x:v>-38.124296999999984</x:v>
      </x:c>
      <x:c r="M74">
        <x:f ca="1">IF(ISERROR(IF(SUM($M$75:$M$96) = 0, "", SUM($M$75:$M$96))), "", (IF(SUM($M$75:$M$96) = 0, "", SUM($M$75:$M$96))))</x:f>
        <x:v>1359.5211099999999</x:v>
      </x:c>
      <x:c r="N74">
        <x:f ca="1">IF(ISERROR(IF(SUM($N$75:$N$96) = 0, "", SUM($N$75:$N$96))), "", (IF(SUM($N$75:$N$96) = 0, "", SUM($N$75:$N$96))))</x:f>
        <x:v>110.30325500000001</x:v>
      </x:c>
      <x:c r="O74">
        <x:f ca="1">IF(ISERROR(IF(SUM($O$75:$O$96) = 0, "", SUM($O$75:$O$96))), "", (IF(SUM($O$75:$O$96) = 0, "", SUM($O$75:$O$96))))</x:f>
        <x:v>-476.5608390000001</x:v>
      </x:c>
      <x:c r="P74">
        <x:f ca="1">IF(ISERROR(IF(SUM($P$75:$P$96) = 0, "", SUM($P$75:$P$96))), "", (IF(SUM($P$75:$P$96) = 0, "", SUM($P$75:$P$96))))</x:f>
        <x:v>-16.042919000000008</x:v>
      </x:c>
      <x:c r="Q74">
        <x:f ca="1">IF(ISERROR(IF(SUM($Q$75:$Q$96) = 0, "", SUM($Q$75:$Q$96))), "", (IF(SUM($Q$75:$Q$96) = 0, "", SUM($Q$75:$Q$96))))</x:f>
        <x:v>428.63397299999997</x:v>
      </x:c>
      <x:c r="R74">
        <x:f ca="1">IF(ISERROR(IF(SUM($R$75:$R$96) = 0, "", SUM($R$75:$R$96))), "", (IF(SUM($R$75:$R$96) = 0, "", SUM($R$75:$R$96))))</x:f>
        <x:v>1183.2080880000003</x:v>
      </x:c>
      <x:c r="S74">
        <x:f ca="1">IF(ISERROR(IF(SUM($S$75:$S$96) = 0, "", SUM($S$75:$S$96))), "", (IF(SUM($S$75:$S$96) = 0, "", SUM($S$75:$S$96))))</x:f>
        <x:v>284.54547400000001</x:v>
      </x:c>
      <x:c r="T74">
        <x:f>-944.568739</x:f>
        <x:v>-944.56873900000005</x:v>
      </x:c>
      <x:c r="U74">
        <x:f>-639.025766</x:f>
        <x:v>-639.02576599999998</x:v>
      </x:c>
      <x:c r="V74">
        <x:f>-633.630692</x:f>
        <x:v>-633.63069199999995</x:v>
      </x:c>
      <x:c r="W74">
        <x:f>-863.274175</x:f>
        <x:v>-863.27417500000001</x:v>
      </x:c>
      <x:c r="X74">
        <x:f>594.76072</x:f>
        <x:v>594.76071999999999</x:v>
      </x:c>
      <x:c r="Y74">
        <x:f>-711.618226</x:f>
        <x:v>-711.61822600000005</x:v>
      </x:c>
      <x:c r="Z74">
        <x:f>-38.124297</x:f>
        <x:v>-38.124296999999999</x:v>
      </x:c>
      <x:c r="AA74">
        <x:f>1359.52111</x:f>
        <x:v>1359.5211099999999</x:v>
      </x:c>
      <x:c r="AB74">
        <x:f>110.303255</x:f>
        <x:v>110.30325499999999</x:v>
      </x:c>
      <x:c r="AC74">
        <x:f>-476.560839</x:f>
        <x:v>-476.56083899999999</x:v>
      </x:c>
      <x:c r="AD74">
        <x:f>-16.042919</x:f>
        <x:v>-16.042919000000001</x:v>
      </x:c>
      <x:c r="AE74">
        <x:f>428.633973</x:f>
        <x:v>428.63397300000003</x:v>
      </x:c>
      <x:c r="AF74">
        <x:f>1183.208088</x:f>
        <x:v>1183.2080880000001</x:v>
      </x:c>
      <x:c r="AG74">
        <x:f>284.545474</x:f>
        <x:v>284.54547400000001</x:v>
      </x:c>
    </x:row>
    <x:row r="75" spans="1:33" x14ac:dyDescent="0.25">
      <x:c r="A75" t="str">
        <x:f>"        Consumer Staples Select Sector"</x:f>
        <x:v xml:space="preserve">        Consumer Staples Select Sector</x:v>
      </x:c>
      <x:c r="B75" t="str">
        <x:f>"XLP US Equity"</x:f>
        <x:v>XLP US Equity</x:v>
      </x:c>
      <x:c r="E75" t="str">
        <x:f t="shared" ref="E75:E96" si="2">"Expression"</x:f>
        <x:v>Expression</x:v>
      </x:c>
      <x:c r="F75">
        <x:f ca="1">IF(AND($B$1012=1,LEN($F$1081)&gt;0),$F$1081,HLOOKUP(INDIRECT(ADDRESS(2,COLUMN())),OFFSET($T$2,0,0,ROW()-1,14),ROW()-1,FALSE))</x:f>
        <x:v>-746.57422699999995</x:v>
      </x:c>
      <x:c r="G75">
        <x:f ca="1">IF(AND($B$1012=1,LEN($G$1081)&gt;0),$G$1081,HLOOKUP(INDIRECT(ADDRESS(2,COLUMN())),OFFSET($T$2,0,0,ROW()-1,14),ROW()-1,FALSE))</x:f>
        <x:v>-161.08550500000001</x:v>
      </x:c>
      <x:c r="H75">
        <x:f ca="1">IF(AND($B$1012=1,LEN($H$1081)&gt;0),$H$1081,HLOOKUP(INDIRECT(ADDRESS(2,COLUMN())),OFFSET($T$2,0,0,ROW()-1,14),ROW()-1,FALSE))</x:f>
        <x:v>187.87731199999999</x:v>
      </x:c>
      <x:c r="I75">
        <x:f ca="1">IF(AND($B$1012=1,LEN($I$1081)&gt;0),$I$1081,HLOOKUP(INDIRECT(ADDRESS(2,COLUMN())),OFFSET($T$2,0,0,ROW()-1,14),ROW()-1,FALSE))</x:f>
        <x:v>-569.27476200000001</x:v>
      </x:c>
      <x:c r="J75">
        <x:f ca="1">IF(AND($B$1012=1,LEN($J$1081)&gt;0),$J$1081,HLOOKUP(INDIRECT(ADDRESS(2,COLUMN())),OFFSET($T$2,0,0,ROW()-1,14),ROW()-1,FALSE))</x:f>
        <x:v>491.38149299999998</x:v>
      </x:c>
      <x:c r="K75">
        <x:f ca="1">IF(AND($B$1012=1,LEN($K$1081)&gt;0),$K$1081,HLOOKUP(INDIRECT(ADDRESS(2,COLUMN())),OFFSET($T$2,0,0,ROW()-1,14),ROW()-1,FALSE))</x:f>
        <x:v>-326.24937999999997</x:v>
      </x:c>
      <x:c r="L75">
        <x:f ca="1">IF(AND($B$1012=1,LEN($L$1081)&gt;0),$L$1081,HLOOKUP(INDIRECT(ADDRESS(2,COLUMN())),OFFSET($T$2,0,0,ROW()-1,14),ROW()-1,FALSE))</x:f>
        <x:v>-221.51902100000001</x:v>
      </x:c>
      <x:c r="M75">
        <x:f ca="1">IF(AND($B$1012=1,LEN($M$1081)&gt;0),$M$1081,HLOOKUP(INDIRECT(ADDRESS(2,COLUMN())),OFFSET($T$2,0,0,ROW()-1,14),ROW()-1,FALSE))</x:f>
        <x:v>1102.182836</x:v>
      </x:c>
      <x:c r="N75">
        <x:f ca="1">IF(AND($B$1012=1,LEN($N$1081)&gt;0),$N$1081,HLOOKUP(INDIRECT(ADDRESS(2,COLUMN())),OFFSET($T$2,0,0,ROW()-1,14),ROW()-1,FALSE))</x:f>
        <x:v>25.612020999999999</x:v>
      </x:c>
      <x:c r="O75">
        <x:f ca="1">IF(AND($B$1012=1,LEN($O$1081)&gt;0),$O$1081,HLOOKUP(INDIRECT(ADDRESS(2,COLUMN())),OFFSET($T$2,0,0,ROW()-1,14),ROW()-1,FALSE))</x:f>
        <x:v>-277.41648500000002</x:v>
      </x:c>
      <x:c r="P75">
        <x:f ca="1">IF(AND($B$1012=1,LEN($P$1081)&gt;0),$P$1081,HLOOKUP(INDIRECT(ADDRESS(2,COLUMN())),OFFSET($T$2,0,0,ROW()-1,14),ROW()-1,FALSE))</x:f>
        <x:v>-102.953614</x:v>
      </x:c>
      <x:c r="Q75">
        <x:f ca="1">IF(AND($B$1012=1,LEN($Q$1081)&gt;0),$Q$1081,HLOOKUP(INDIRECT(ADDRESS(2,COLUMN())),OFFSET($T$2,0,0,ROW()-1,14),ROW()-1,FALSE))</x:f>
        <x:v>154.79119700000001</x:v>
      </x:c>
      <x:c r="R75">
        <x:f ca="1">IF(AND($B$1012=1,LEN($R$1081)&gt;0),$R$1081,HLOOKUP(INDIRECT(ADDRESS(2,COLUMN())),OFFSET($T$2,0,0,ROW()-1,14),ROW()-1,FALSE))</x:f>
        <x:v>781.01433499999996</x:v>
      </x:c>
      <x:c r="S75">
        <x:f ca="1">IF(AND($B$1012=1,LEN($S$1081)&gt;0),$S$1081,HLOOKUP(INDIRECT(ADDRESS(2,COLUMN())),OFFSET($T$2,0,0,ROW()-1,14),ROW()-1,FALSE))</x:f>
        <x:v>221.08660900000001</x:v>
      </x:c>
      <x:c r="T75">
        <x:f>-746.574227</x:f>
        <x:v>-746.57422699999995</x:v>
      </x:c>
      <x:c r="U75">
        <x:f>-161.085505</x:f>
        <x:v>-161.08550500000001</x:v>
      </x:c>
      <x:c r="V75">
        <x:f>187.877312</x:f>
        <x:v>187.87731199999999</x:v>
      </x:c>
      <x:c r="W75">
        <x:f>-569.274762</x:f>
        <x:v>-569.27476200000001</x:v>
      </x:c>
      <x:c r="X75">
        <x:f>491.381493</x:f>
        <x:v>491.38149299999998</x:v>
      </x:c>
      <x:c r="Y75">
        <x:f>-326.24938</x:f>
        <x:v>-326.24937999999997</x:v>
      </x:c>
      <x:c r="Z75">
        <x:f>-221.519021</x:f>
        <x:v>-221.51902100000001</x:v>
      </x:c>
      <x:c r="AA75">
        <x:f>1102.182836</x:f>
        <x:v>1102.182836</x:v>
      </x:c>
      <x:c r="AB75">
        <x:f>25.612021</x:f>
        <x:v>25.612020999999999</x:v>
      </x:c>
      <x:c r="AC75">
        <x:f>-277.416485</x:f>
        <x:v>-277.41648500000002</x:v>
      </x:c>
      <x:c r="AD75">
        <x:f>-102.953614</x:f>
        <x:v>-102.953614</x:v>
      </x:c>
      <x:c r="AE75">
        <x:f>154.791197</x:f>
        <x:v>154.79119700000001</x:v>
      </x:c>
      <x:c r="AF75">
        <x:f>781.014335</x:f>
        <x:v>781.01433499999996</x:v>
      </x:c>
      <x:c r="AG75">
        <x:f>221.086609</x:f>
        <x:v>221.08660900000001</x:v>
      </x:c>
    </x:row>
    <x:row r="76" spans="1:33" x14ac:dyDescent="0.25">
      <x:c r="A76" t="str">
        <x:f>"        Vanguard Consumer Staples ETF"</x:f>
        <x:v xml:space="preserve">        Vanguard Consumer Staples ETF</x:v>
      </x:c>
      <x:c r="B76" t="str">
        <x:f>"VDC US Equity"</x:f>
        <x:v>VDC US Equity</x:v>
      </x:c>
      <x:c r="E76" t="str">
        <x:f t="shared" si="2"/>
        <x:v>Expression</x:v>
      </x:c>
      <x:c r="F76">
        <x:f ca="1">IF(AND($B$1012=1,LEN($F$1082)&gt;0),$F$1082,HLOOKUP(INDIRECT(ADDRESS(2,COLUMN())),OFFSET($T$2,0,0,ROW()-1,14),ROW()-1,FALSE))</x:f>
        <x:v>-68.674499999999995</x:v>
      </x:c>
      <x:c r="G76">
        <x:f ca="1">IF(AND($B$1012=1,LEN($G$1082)&gt;0),$G$1082,HLOOKUP(INDIRECT(ADDRESS(2,COLUMN())),OFFSET($T$2,0,0,ROW()-1,14),ROW()-1,FALSE))</x:f>
        <x:v>-321.36699199999998</x:v>
      </x:c>
      <x:c r="H76">
        <x:f ca="1">IF(AND($B$1012=1,LEN($H$1082)&gt;0),$H$1082,HLOOKUP(INDIRECT(ADDRESS(2,COLUMN())),OFFSET($T$2,0,0,ROW()-1,14),ROW()-1,FALSE))</x:f>
        <x:v>-4.9269999999999996</x:v>
      </x:c>
      <x:c r="I76">
        <x:f ca="1">IF(AND($B$1012=1,LEN($I$1082)&gt;0),$I$1082,HLOOKUP(INDIRECT(ADDRESS(2,COLUMN())),OFFSET($T$2,0,0,ROW()-1,14),ROW()-1,FALSE))</x:f>
        <x:v>-111.954606</x:v>
      </x:c>
      <x:c r="J76">
        <x:f ca="1">IF(AND($B$1012=1,LEN($J$1082)&gt;0),$J$1082,HLOOKUP(INDIRECT(ADDRESS(2,COLUMN())),OFFSET($T$2,0,0,ROW()-1,14),ROW()-1,FALSE))</x:f>
        <x:v>233.68742700000001</x:v>
      </x:c>
      <x:c r="K76">
        <x:f ca="1">IF(AND($B$1012=1,LEN($K$1082)&gt;0),$K$1082,HLOOKUP(INDIRECT(ADDRESS(2,COLUMN())),OFFSET($T$2,0,0,ROW()-1,14),ROW()-1,FALSE))</x:f>
        <x:v>-35.562353999999999</x:v>
      </x:c>
      <x:c r="L76">
        <x:f ca="1">IF(AND($B$1012=1,LEN($L$1082)&gt;0),$L$1082,HLOOKUP(INDIRECT(ADDRESS(2,COLUMN())),OFFSET($T$2,0,0,ROW()-1,14),ROW()-1,FALSE))</x:f>
        <x:v>88.630936000000005</x:v>
      </x:c>
      <x:c r="M76">
        <x:f ca="1">IF(AND($B$1012=1,LEN($M$1082)&gt;0),$M$1082,HLOOKUP(INDIRECT(ADDRESS(2,COLUMN())),OFFSET($T$2,0,0,ROW()-1,14),ROW()-1,FALSE))</x:f>
        <x:v>19.314250000000001</x:v>
      </x:c>
      <x:c r="N76">
        <x:f ca="1">IF(AND($B$1012=1,LEN($N$1082)&gt;0),$N$1082,HLOOKUP(INDIRECT(ADDRESS(2,COLUMN())),OFFSET($T$2,0,0,ROW()-1,14),ROW()-1,FALSE))</x:f>
        <x:v>-23.092683999999998</x:v>
      </x:c>
      <x:c r="O76">
        <x:f ca="1">IF(AND($B$1012=1,LEN($O$1082)&gt;0),$O$1082,HLOOKUP(INDIRECT(ADDRESS(2,COLUMN())),OFFSET($T$2,0,0,ROW()-1,14),ROW()-1,FALSE))</x:f>
        <x:v>-9.0539850000000008</x:v>
      </x:c>
      <x:c r="P76">
        <x:f ca="1">IF(AND($B$1012=1,LEN($P$1082)&gt;0),$P$1082,HLOOKUP(INDIRECT(ADDRESS(2,COLUMN())),OFFSET($T$2,0,0,ROW()-1,14),ROW()-1,FALSE))</x:f>
        <x:v>8.3177350000000008</x:v>
      </x:c>
      <x:c r="Q76">
        <x:f ca="1">IF(AND($B$1012=1,LEN($Q$1082)&gt;0),$Q$1082,HLOOKUP(INDIRECT(ADDRESS(2,COLUMN())),OFFSET($T$2,0,0,ROW()-1,14),ROW()-1,FALSE))</x:f>
        <x:v>34.999248999999999</x:v>
      </x:c>
      <x:c r="R76">
        <x:f ca="1">IF(AND($B$1012=1,LEN($R$1082)&gt;0),$R$1082,HLOOKUP(INDIRECT(ADDRESS(2,COLUMN())),OFFSET($T$2,0,0,ROW()-1,14),ROW()-1,FALSE))</x:f>
        <x:v>87.581220999999999</x:v>
      </x:c>
      <x:c r="S76">
        <x:f ca="1">IF(AND($B$1012=1,LEN($S$1082)&gt;0),$S$1082,HLOOKUP(INDIRECT(ADDRESS(2,COLUMN())),OFFSET($T$2,0,0,ROW()-1,14),ROW()-1,FALSE))</x:f>
        <x:v>-60.262918999999997</x:v>
      </x:c>
      <x:c r="T76">
        <x:f>-68.6745</x:f>
        <x:v>-68.674499999999995</x:v>
      </x:c>
      <x:c r="U76">
        <x:f>-321.366992</x:f>
        <x:v>-321.36699199999998</x:v>
      </x:c>
      <x:c r="V76">
        <x:f>-4.927</x:f>
        <x:v>-4.9269999999999996</x:v>
      </x:c>
      <x:c r="W76">
        <x:f>-111.954606</x:f>
        <x:v>-111.954606</x:v>
      </x:c>
      <x:c r="X76">
        <x:f>233.687427</x:f>
        <x:v>233.68742700000001</x:v>
      </x:c>
      <x:c r="Y76">
        <x:f>-35.562354</x:f>
        <x:v>-35.562353999999999</x:v>
      </x:c>
      <x:c r="Z76">
        <x:f>88.630936</x:f>
        <x:v>88.630936000000005</x:v>
      </x:c>
      <x:c r="AA76">
        <x:f>19.31425</x:f>
        <x:v>19.314250000000001</x:v>
      </x:c>
      <x:c r="AB76">
        <x:f>-23.092684</x:f>
        <x:v>-23.092683999999998</x:v>
      </x:c>
      <x:c r="AC76">
        <x:f>-9.053985</x:f>
        <x:v>-9.0539850000000008</x:v>
      </x:c>
      <x:c r="AD76">
        <x:f>8.317735</x:f>
        <x:v>8.3177350000000008</x:v>
      </x:c>
      <x:c r="AE76">
        <x:f>34.999249</x:f>
        <x:v>34.999248999999999</x:v>
      </x:c>
      <x:c r="AF76">
        <x:f>87.581221</x:f>
        <x:v>87.581220999999999</x:v>
      </x:c>
      <x:c r="AG76">
        <x:f>-60.262919</x:f>
        <x:v>-60.262918999999997</x:v>
      </x:c>
    </x:row>
    <x:row r="77" spans="1:33" x14ac:dyDescent="0.25">
      <x:c r="A77" t="str">
        <x:f>"        iShares Global Consumer Staple"</x:f>
        <x:v xml:space="preserve">        iShares Global Consumer Staple</x:v>
      </x:c>
      <x:c r="B77" t="str">
        <x:f>"KXI US Equity"</x:f>
        <x:v>KXI US Equity</x:v>
      </x:c>
      <x:c r="E77" t="str">
        <x:f t="shared" si="2"/>
        <x:v>Expression</x:v>
      </x:c>
      <x:c r="F77">
        <x:f ca="1">IF(AND($B$1012=1,LEN($F$1083)&gt;0),$F$1083,HLOOKUP(INDIRECT(ADDRESS(2,COLUMN())),OFFSET($T$2,0,0,ROW()-1,14),ROW()-1,FALSE))</x:f>
        <x:v>-14.365208000000001</x:v>
      </x:c>
      <x:c r="G77">
        <x:f ca="1">IF(AND($B$1012=1,LEN($G$1083)&gt;0),$G$1083,HLOOKUP(INDIRECT(ADDRESS(2,COLUMN())),OFFSET($T$2,0,0,ROW()-1,14),ROW()-1,FALSE))</x:f>
        <x:v>-8.4338470000000001</x:v>
      </x:c>
      <x:c r="H77">
        <x:f ca="1">IF(AND($B$1012=1,LEN($H$1083)&gt;0),$H$1083,HLOOKUP(INDIRECT(ADDRESS(2,COLUMN())),OFFSET($T$2,0,0,ROW()-1,14),ROW()-1,FALSE))</x:f>
        <x:v>-486.38033799999999</x:v>
      </x:c>
      <x:c r="I77">
        <x:f ca="1">IF(AND($B$1012=1,LEN($I$1083)&gt;0),$I$1083,HLOOKUP(INDIRECT(ADDRESS(2,COLUMN())),OFFSET($T$2,0,0,ROW()-1,14),ROW()-1,FALSE))</x:f>
        <x:v>-21.374639999999999</x:v>
      </x:c>
      <x:c r="J77">
        <x:f ca="1">IF(AND($B$1012=1,LEN($J$1083)&gt;0),$J$1083,HLOOKUP(INDIRECT(ADDRESS(2,COLUMN())),OFFSET($T$2,0,0,ROW()-1,14),ROW()-1,FALSE))</x:f>
        <x:v>-67.807464999999993</x:v>
      </x:c>
      <x:c r="K77">
        <x:f ca="1">IF(AND($B$1012=1,LEN($K$1083)&gt;0),$K$1083,HLOOKUP(INDIRECT(ADDRESS(2,COLUMN())),OFFSET($T$2,0,0,ROW()-1,14),ROW()-1,FALSE))</x:f>
        <x:v>-3.112625</x:v>
      </x:c>
      <x:c r="L77">
        <x:f ca="1">IF(AND($B$1012=1,LEN($L$1083)&gt;0),$L$1083,HLOOKUP(INDIRECT(ADDRESS(2,COLUMN())),OFFSET($T$2,0,0,ROW()-1,14),ROW()-1,FALSE))</x:f>
        <x:v>50.364314999999998</x:v>
      </x:c>
      <x:c r="M77">
        <x:f ca="1">IF(AND($B$1012=1,LEN($M$1083)&gt;0),$M$1083,HLOOKUP(INDIRECT(ADDRESS(2,COLUMN())),OFFSET($T$2,0,0,ROW()-1,14),ROW()-1,FALSE))</x:f>
        <x:v>9.4482649999999992</x:v>
      </x:c>
      <x:c r="N77">
        <x:f ca="1">IF(AND($B$1012=1,LEN($N$1083)&gt;0),$N$1083,HLOOKUP(INDIRECT(ADDRESS(2,COLUMN())),OFFSET($T$2,0,0,ROW()-1,14),ROW()-1,FALSE))</x:f>
        <x:v>21.312094999999999</x:v>
      </x:c>
      <x:c r="O77">
        <x:f ca="1">IF(AND($B$1012=1,LEN($O$1083)&gt;0),$O$1083,HLOOKUP(INDIRECT(ADDRESS(2,COLUMN())),OFFSET($T$2,0,0,ROW()-1,14),ROW()-1,FALSE))</x:f>
        <x:v>-38.841670000000001</x:v>
      </x:c>
      <x:c r="P77">
        <x:f ca="1">IF(AND($B$1012=1,LEN($P$1083)&gt;0),$P$1083,HLOOKUP(INDIRECT(ADDRESS(2,COLUMN())),OFFSET($T$2,0,0,ROW()-1,14),ROW()-1,FALSE))</x:f>
        <x:v>-18.080269999999999</x:v>
      </x:c>
      <x:c r="Q77">
        <x:f ca="1">IF(AND($B$1012=1,LEN($Q$1083)&gt;0),$Q$1083,HLOOKUP(INDIRECT(ADDRESS(2,COLUMN())),OFFSET($T$2,0,0,ROW()-1,14),ROW()-1,FALSE))</x:f>
        <x:v>51.986564999999999</x:v>
      </x:c>
      <x:c r="R77">
        <x:f ca="1">IF(AND($B$1012=1,LEN($R$1083)&gt;0),$R$1083,HLOOKUP(INDIRECT(ADDRESS(2,COLUMN())),OFFSET($T$2,0,0,ROW()-1,14),ROW()-1,FALSE))</x:f>
        <x:v>196.91039499999999</x:v>
      </x:c>
      <x:c r="S77">
        <x:f ca="1">IF(AND($B$1012=1,LEN($S$1083)&gt;0),$S$1083,HLOOKUP(INDIRECT(ADDRESS(2,COLUMN())),OFFSET($T$2,0,0,ROW()-1,14),ROW()-1,FALSE))</x:f>
        <x:v>-8.5654950000000003</x:v>
      </x:c>
      <x:c r="T77">
        <x:f>-14.365208</x:f>
        <x:v>-14.365208000000001</x:v>
      </x:c>
      <x:c r="U77">
        <x:f>-8.433847</x:f>
        <x:v>-8.4338470000000001</x:v>
      </x:c>
      <x:c r="V77">
        <x:f>-486.380338</x:f>
        <x:v>-486.38033799999999</x:v>
      </x:c>
      <x:c r="W77">
        <x:f>-21.37464</x:f>
        <x:v>-21.374639999999999</x:v>
      </x:c>
      <x:c r="X77">
        <x:f>-67.807465</x:f>
        <x:v>-67.807464999999993</x:v>
      </x:c>
      <x:c r="Y77">
        <x:f>-3.112625</x:f>
        <x:v>-3.112625</x:v>
      </x:c>
      <x:c r="Z77">
        <x:f>50.364315</x:f>
        <x:v>50.364314999999998</x:v>
      </x:c>
      <x:c r="AA77">
        <x:f>9.448265</x:f>
        <x:v>9.4482649999999992</x:v>
      </x:c>
      <x:c r="AB77">
        <x:f>21.312095</x:f>
        <x:v>21.312094999999999</x:v>
      </x:c>
      <x:c r="AC77">
        <x:f>-38.84167</x:f>
        <x:v>-38.841670000000001</x:v>
      </x:c>
      <x:c r="AD77">
        <x:f>-18.08027</x:f>
        <x:v>-18.080269999999999</x:v>
      </x:c>
      <x:c r="AE77">
        <x:f>51.986565</x:f>
        <x:v>51.986564999999999</x:v>
      </x:c>
      <x:c r="AF77">
        <x:f>196.910395</x:f>
        <x:v>196.91039499999999</x:v>
      </x:c>
      <x:c r="AG77">
        <x:f>-8.565495</x:f>
        <x:v>-8.5654950000000003</x:v>
      </x:c>
    </x:row>
    <x:row r="78" spans="1:33" x14ac:dyDescent="0.25">
      <x:c r="A78" t="str">
        <x:f>"        iShares US Consumer Staples ET"</x:f>
        <x:v xml:space="preserve">        iShares US Consumer Staples ET</x:v>
      </x:c>
      <x:c r="B78" t="str">
        <x:f>"IYK US Equity"</x:f>
        <x:v>IYK US Equity</x:v>
      </x:c>
      <x:c r="E78" t="str">
        <x:f t="shared" si="2"/>
        <x:v>Expression</x:v>
      </x:c>
      <x:c r="F78">
        <x:f ca="1">IF(AND($B$1012=1,LEN($F$1084)&gt;0),$F$1084,HLOOKUP(INDIRECT(ADDRESS(2,COLUMN())),OFFSET($T$2,0,0,ROW()-1,14),ROW()-1,FALSE))</x:f>
        <x:v>-56.151544999999999</x:v>
      </x:c>
      <x:c r="G78">
        <x:f ca="1">IF(AND($B$1012=1,LEN($G$1084)&gt;0),$G$1084,HLOOKUP(INDIRECT(ADDRESS(2,COLUMN())),OFFSET($T$2,0,0,ROW()-1,14),ROW()-1,FALSE))</x:f>
        <x:v>-18.069880999999999</x:v>
      </x:c>
      <x:c r="H78">
        <x:f ca="1">IF(AND($B$1012=1,LEN($H$1084)&gt;0),$H$1084,HLOOKUP(INDIRECT(ADDRESS(2,COLUMN())),OFFSET($T$2,0,0,ROW()-1,14),ROW()-1,FALSE))</x:f>
        <x:v>-174.370947</x:v>
      </x:c>
      <x:c r="I78">
        <x:f ca="1">IF(AND($B$1012=1,LEN($I$1084)&gt;0),$I$1084,HLOOKUP(INDIRECT(ADDRESS(2,COLUMN())),OFFSET($T$2,0,0,ROW()-1,14),ROW()-1,FALSE))</x:f>
        <x:v>-50.044809999999998</x:v>
      </x:c>
      <x:c r="J78">
        <x:f ca="1">IF(AND($B$1012=1,LEN($J$1084)&gt;0),$J$1084,HLOOKUP(INDIRECT(ADDRESS(2,COLUMN())),OFFSET($T$2,0,0,ROW()-1,14),ROW()-1,FALSE))</x:f>
        <x:v>40.350965000000002</x:v>
      </x:c>
      <x:c r="K78">
        <x:f ca="1">IF(AND($B$1012=1,LEN($K$1084)&gt;0),$K$1084,HLOOKUP(INDIRECT(ADDRESS(2,COLUMN())),OFFSET($T$2,0,0,ROW()-1,14),ROW()-1,FALSE))</x:f>
        <x:v>-79.629440000000002</x:v>
      </x:c>
      <x:c r="L78">
        <x:f ca="1">IF(AND($B$1012=1,LEN($L$1084)&gt;0),$L$1084,HLOOKUP(INDIRECT(ADDRESS(2,COLUMN())),OFFSET($T$2,0,0,ROW()-1,14),ROW()-1,FALSE))</x:f>
        <x:v>31.007365</x:v>
      </x:c>
      <x:c r="M78">
        <x:f ca="1">IF(AND($B$1012=1,LEN($M$1084)&gt;0),$M$1084,HLOOKUP(INDIRECT(ADDRESS(2,COLUMN())),OFFSET($T$2,0,0,ROW()-1,14),ROW()-1,FALSE))</x:f>
        <x:v>0</x:v>
      </x:c>
      <x:c r="N78">
        <x:f ca="1">IF(AND($B$1012=1,LEN($N$1084)&gt;0),$N$1084,HLOOKUP(INDIRECT(ADDRESS(2,COLUMN())),OFFSET($T$2,0,0,ROW()-1,14),ROW()-1,FALSE))</x:f>
        <x:v>-19.284410000000001</x:v>
      </x:c>
      <x:c r="O78">
        <x:f ca="1">IF(AND($B$1012=1,LEN($O$1084)&gt;0),$O$1084,HLOOKUP(INDIRECT(ADDRESS(2,COLUMN())),OFFSET($T$2,0,0,ROW()-1,14),ROW()-1,FALSE))</x:f>
        <x:v>-78.892404999999997</x:v>
      </x:c>
      <x:c r="P78">
        <x:f ca="1">IF(AND($B$1012=1,LEN($P$1084)&gt;0),$P$1084,HLOOKUP(INDIRECT(ADDRESS(2,COLUMN())),OFFSET($T$2,0,0,ROW()-1,14),ROW()-1,FALSE))</x:f>
        <x:v>31.672260000000001</x:v>
      </x:c>
      <x:c r="Q78">
        <x:f ca="1">IF(AND($B$1012=1,LEN($Q$1084)&gt;0),$Q$1084,HLOOKUP(INDIRECT(ADDRESS(2,COLUMN())),OFFSET($T$2,0,0,ROW()-1,14),ROW()-1,FALSE))</x:f>
        <x:v>80.832854999999995</x:v>
      </x:c>
      <x:c r="R78">
        <x:f ca="1">IF(AND($B$1012=1,LEN($R$1084)&gt;0),$R$1084,HLOOKUP(INDIRECT(ADDRESS(2,COLUMN())),OFFSET($T$2,0,0,ROW()-1,14),ROW()-1,FALSE))</x:f>
        <x:v>20.507774999999999</x:v>
      </x:c>
      <x:c r="S78">
        <x:f ca="1">IF(AND($B$1012=1,LEN($S$1084)&gt;0),$S$1084,HLOOKUP(INDIRECT(ADDRESS(2,COLUMN())),OFFSET($T$2,0,0,ROW()-1,14),ROW()-1,FALSE))</x:f>
        <x:v>129.50269</x:v>
      </x:c>
      <x:c r="T78">
        <x:f>-56.151545</x:f>
        <x:v>-56.151544999999999</x:v>
      </x:c>
      <x:c r="U78">
        <x:f>-18.069881</x:f>
        <x:v>-18.069880999999999</x:v>
      </x:c>
      <x:c r="V78">
        <x:f>-174.370947</x:f>
        <x:v>-174.370947</x:v>
      </x:c>
      <x:c r="W78">
        <x:f>-50.04481</x:f>
        <x:v>-50.044809999999998</x:v>
      </x:c>
      <x:c r="X78">
        <x:f>40.350965</x:f>
        <x:v>40.350965000000002</x:v>
      </x:c>
      <x:c r="Y78">
        <x:f>-79.62944</x:f>
        <x:v>-79.629440000000002</x:v>
      </x:c>
      <x:c r="Z78">
        <x:f>31.007365</x:f>
        <x:v>31.007365</x:v>
      </x:c>
      <x:c r="AA78">
        <x:f>0</x:f>
        <x:v>0</x:v>
      </x:c>
      <x:c r="AB78">
        <x:f>-19.28441</x:f>
        <x:v>-19.284410000000001</x:v>
      </x:c>
      <x:c r="AC78">
        <x:f>-78.892405</x:f>
        <x:v>-78.892404999999997</x:v>
      </x:c>
      <x:c r="AD78">
        <x:f>31.67226</x:f>
        <x:v>31.672260000000001</x:v>
      </x:c>
      <x:c r="AE78">
        <x:f>80.832855</x:f>
        <x:v>80.832854999999995</x:v>
      </x:c>
      <x:c r="AF78">
        <x:f>20.507775</x:f>
        <x:v>20.507774999999999</x:v>
      </x:c>
      <x:c r="AG78">
        <x:f>129.50269</x:f>
        <x:v>129.50269</x:v>
      </x:c>
    </x:row>
    <x:row r="79" spans="1:33" x14ac:dyDescent="0.25">
      <x:c r="A79" t="str">
        <x:f>"        First Trust Consumer Staples A"</x:f>
        <x:v xml:space="preserve">        First Trust Consumer Staples A</x:v>
      </x:c>
      <x:c r="B79" t="str">
        <x:f>"FXG US Equity"</x:f>
        <x:v>FXG US Equity</x:v>
      </x:c>
      <x:c r="E79" t="str">
        <x:f t="shared" si="2"/>
        <x:v>Expression</x:v>
      </x:c>
      <x:c r="F79">
        <x:f ca="1">IF(AND($B$1012=1,LEN($F$1085)&gt;0),$F$1085,HLOOKUP(INDIRECT(ADDRESS(2,COLUMN())),OFFSET($T$2,0,0,ROW()-1,14),ROW()-1,FALSE))</x:f>
        <x:v>-20.777047</x:v>
      </x:c>
      <x:c r="G79">
        <x:f ca="1">IF(AND($B$1012=1,LEN($G$1085)&gt;0),$G$1085,HLOOKUP(INDIRECT(ADDRESS(2,COLUMN())),OFFSET($T$2,0,0,ROW()-1,14),ROW()-1,FALSE))</x:f>
        <x:v>-70.158174000000002</x:v>
      </x:c>
      <x:c r="H79">
        <x:f ca="1">IF(AND($B$1012=1,LEN($H$1085)&gt;0),$H$1085,HLOOKUP(INDIRECT(ADDRESS(2,COLUMN())),OFFSET($T$2,0,0,ROW()-1,14),ROW()-1,FALSE))</x:f>
        <x:v>-67.376396</x:v>
      </x:c>
      <x:c r="I79">
        <x:f ca="1">IF(AND($B$1012=1,LEN($I$1085)&gt;0),$I$1085,HLOOKUP(INDIRECT(ADDRESS(2,COLUMN())),OFFSET($T$2,0,0,ROW()-1,14),ROW()-1,FALSE))</x:f>
        <x:v>50.695360999999998</x:v>
      </x:c>
      <x:c r="J79">
        <x:f ca="1">IF(AND($B$1012=1,LEN($J$1085)&gt;0),$J$1085,HLOOKUP(INDIRECT(ADDRESS(2,COLUMN())),OFFSET($T$2,0,0,ROW()-1,14),ROW()-1,FALSE))</x:f>
        <x:v>-31.847999999999999</x:v>
      </x:c>
      <x:c r="K79">
        <x:f ca="1">IF(AND($B$1012=1,LEN($K$1085)&gt;0),$K$1085,HLOOKUP(INDIRECT(ADDRESS(2,COLUMN())),OFFSET($T$2,0,0,ROW()-1,14),ROW()-1,FALSE))</x:f>
        <x:v>-24.763999999999999</x:v>
      </x:c>
      <x:c r="L79">
        <x:f ca="1">IF(AND($B$1012=1,LEN($L$1085)&gt;0),$L$1085,HLOOKUP(INDIRECT(ADDRESS(2,COLUMN())),OFFSET($T$2,0,0,ROW()-1,14),ROW()-1,FALSE))</x:f>
        <x:v>12.741</x:v>
      </x:c>
      <x:c r="M79">
        <x:f ca="1">IF(AND($B$1012=1,LEN($M$1085)&gt;0),$M$1085,HLOOKUP(INDIRECT(ADDRESS(2,COLUMN())),OFFSET($T$2,0,0,ROW()-1,14),ROW()-1,FALSE))</x:f>
        <x:v>-3.153</x:v>
      </x:c>
      <x:c r="N79">
        <x:f ca="1">IF(AND($B$1012=1,LEN($N$1085)&gt;0),$N$1085,HLOOKUP(INDIRECT(ADDRESS(2,COLUMN())),OFFSET($T$2,0,0,ROW()-1,14),ROW()-1,FALSE))</x:f>
        <x:v>-21.115500000000001</x:v>
      </x:c>
      <x:c r="O79">
        <x:f ca="1">IF(AND($B$1012=1,LEN($O$1085)&gt;0),$O$1085,HLOOKUP(INDIRECT(ADDRESS(2,COLUMN())),OFFSET($T$2,0,0,ROW()-1,14),ROW()-1,FALSE))</x:f>
        <x:v>-37.713999999999999</x:v>
      </x:c>
      <x:c r="P79">
        <x:f ca="1">IF(AND($B$1012=1,LEN($P$1085)&gt;0),$P$1085,HLOOKUP(INDIRECT(ADDRESS(2,COLUMN())),OFFSET($T$2,0,0,ROW()-1,14),ROW()-1,FALSE))</x:f>
        <x:v>28.058993999999998</x:v>
      </x:c>
      <x:c r="Q79">
        <x:f ca="1">IF(AND($B$1012=1,LEN($Q$1085)&gt;0),$Q$1085,HLOOKUP(INDIRECT(ADDRESS(2,COLUMN())),OFFSET($T$2,0,0,ROW()-1,14),ROW()-1,FALSE))</x:f>
        <x:v>47.605815999999997</x:v>
      </x:c>
      <x:c r="R79">
        <x:f ca="1">IF(AND($B$1012=1,LEN($R$1085)&gt;0),$R$1085,HLOOKUP(INDIRECT(ADDRESS(2,COLUMN())),OFFSET($T$2,0,0,ROW()-1,14),ROW()-1,FALSE))</x:f>
        <x:v>35.138426000000003</x:v>
      </x:c>
      <x:c r="S79">
        <x:f ca="1">IF(AND($B$1012=1,LEN($S$1085)&gt;0),$S$1085,HLOOKUP(INDIRECT(ADDRESS(2,COLUMN())),OFFSET($T$2,0,0,ROW()-1,14),ROW()-1,FALSE))</x:f>
        <x:v>-2.9113549999999999</x:v>
      </x:c>
      <x:c r="T79">
        <x:f>-20.777047</x:f>
        <x:v>-20.777047</x:v>
      </x:c>
      <x:c r="U79">
        <x:f>-70.158174</x:f>
        <x:v>-70.158174000000002</x:v>
      </x:c>
      <x:c r="V79">
        <x:f>-67.376396</x:f>
        <x:v>-67.376396</x:v>
      </x:c>
      <x:c r="W79">
        <x:f>50.695361</x:f>
        <x:v>50.695360999999998</x:v>
      </x:c>
      <x:c r="X79">
        <x:f>-31.848</x:f>
        <x:v>-31.847999999999999</x:v>
      </x:c>
      <x:c r="Y79">
        <x:f>-24.764</x:f>
        <x:v>-24.763999999999999</x:v>
      </x:c>
      <x:c r="Z79">
        <x:f>12.741</x:f>
        <x:v>12.741</x:v>
      </x:c>
      <x:c r="AA79">
        <x:f>-3.153</x:f>
        <x:v>-3.153</x:v>
      </x:c>
      <x:c r="AB79">
        <x:f>-21.1155</x:f>
        <x:v>-21.115500000000001</x:v>
      </x:c>
      <x:c r="AC79">
        <x:f>-37.714</x:f>
        <x:v>-37.713999999999999</x:v>
      </x:c>
      <x:c r="AD79">
        <x:f>28.058994</x:f>
        <x:v>28.058993999999998</x:v>
      </x:c>
      <x:c r="AE79">
        <x:f>47.605816</x:f>
        <x:v>47.605815999999997</x:v>
      </x:c>
      <x:c r="AF79">
        <x:f>35.138426</x:f>
        <x:v>35.138426000000003</x:v>
      </x:c>
      <x:c r="AG79">
        <x:f>-2.911355</x:f>
        <x:v>-2.9113549999999999</x:v>
      </x:c>
    </x:row>
    <x:row r="80" spans="1:33" x14ac:dyDescent="0.25">
      <x:c r="A80" t="str">
        <x:f>"        Invesco S&amp;P 500 Equal Weight C"</x:f>
        <x:v xml:space="preserve">        Invesco S&amp;P 500 Equal Weight C</x:v>
      </x:c>
      <x:c r="B80" t="str">
        <x:f>"RHS US Equity"</x:f>
        <x:v>RHS US Equity</x:v>
      </x:c>
      <x:c r="E80" t="str">
        <x:f t="shared" si="2"/>
        <x:v>Expression</x:v>
      </x:c>
      <x:c r="F80">
        <x:f ca="1">IF(AND($B$1012=1,LEN($F$1086)&gt;0),$F$1086,HLOOKUP(INDIRECT(ADDRESS(2,COLUMN())),OFFSET($T$2,0,0,ROW()-1,14),ROW()-1,FALSE))</x:f>
        <x:v>-14.911557999999999</x:v>
      </x:c>
      <x:c r="G80">
        <x:f ca="1">IF(AND($B$1012=1,LEN($G$1086)&gt;0),$G$1086,HLOOKUP(INDIRECT(ADDRESS(2,COLUMN())),OFFSET($T$2,0,0,ROW()-1,14),ROW()-1,FALSE))</x:f>
        <x:v>-18.437694</x:v>
      </x:c>
      <x:c r="H80">
        <x:f ca="1">IF(AND($B$1012=1,LEN($H$1086)&gt;0),$H$1086,HLOOKUP(INDIRECT(ADDRESS(2,COLUMN())),OFFSET($T$2,0,0,ROW()-1,14),ROW()-1,FALSE))</x:f>
        <x:v>-15.076976999999999</x:v>
      </x:c>
      <x:c r="I80">
        <x:f ca="1">IF(AND($B$1012=1,LEN($I$1086)&gt;0),$I$1086,HLOOKUP(INDIRECT(ADDRESS(2,COLUMN())),OFFSET($T$2,0,0,ROW()-1,14),ROW()-1,FALSE))</x:f>
        <x:v>-68.310398000000006</x:v>
      </x:c>
      <x:c r="J80">
        <x:f ca="1">IF(AND($B$1012=1,LEN($J$1086)&gt;0),$J$1086,HLOOKUP(INDIRECT(ADDRESS(2,COLUMN())),OFFSET($T$2,0,0,ROW()-1,14),ROW()-1,FALSE))</x:f>
        <x:v>-20.593015999999999</x:v>
      </x:c>
      <x:c r="K80">
        <x:f ca="1">IF(AND($B$1012=1,LEN($K$1086)&gt;0),$K$1086,HLOOKUP(INDIRECT(ADDRESS(2,COLUMN())),OFFSET($T$2,0,0,ROW()-1,14),ROW()-1,FALSE))</x:f>
        <x:v>-282.01566700000001</x:v>
      </x:c>
      <x:c r="L80">
        <x:f ca="1">IF(AND($B$1012=1,LEN($L$1086)&gt;0),$L$1086,HLOOKUP(INDIRECT(ADDRESS(2,COLUMN())),OFFSET($T$2,0,0,ROW()-1,14),ROW()-1,FALSE))</x:f>
        <x:v>-16.785896999999999</x:v>
      </x:c>
      <x:c r="M80">
        <x:f ca="1">IF(AND($B$1012=1,LEN($M$1086)&gt;0),$M$1086,HLOOKUP(INDIRECT(ADDRESS(2,COLUMN())),OFFSET($T$2,0,0,ROW()-1,14),ROW()-1,FALSE))</x:f>
        <x:v>236.37224900000001</x:v>
      </x:c>
      <x:c r="N80">
        <x:f ca="1">IF(AND($B$1012=1,LEN($N$1086)&gt;0),$N$1086,HLOOKUP(INDIRECT(ADDRESS(2,COLUMN())),OFFSET($T$2,0,0,ROW()-1,14),ROW()-1,FALSE))</x:f>
        <x:v>93.953536</x:v>
      </x:c>
      <x:c r="O80">
        <x:f ca="1">IF(AND($B$1012=1,LEN($O$1086)&gt;0),$O$1086,HLOOKUP(INDIRECT(ADDRESS(2,COLUMN())),OFFSET($T$2,0,0,ROW()-1,14),ROW()-1,FALSE))</x:f>
        <x:v>-11.791755</x:v>
      </x:c>
      <x:c r="P80">
        <x:f ca="1">IF(AND($B$1012=1,LEN($P$1086)&gt;0),$P$1086,HLOOKUP(INDIRECT(ADDRESS(2,COLUMN())),OFFSET($T$2,0,0,ROW()-1,14),ROW()-1,FALSE))</x:f>
        <x:v>52.702227000000001</x:v>
      </x:c>
      <x:c r="Q80">
        <x:f ca="1">IF(AND($B$1012=1,LEN($Q$1086)&gt;0),$Q$1086,HLOOKUP(INDIRECT(ADDRESS(2,COLUMN())),OFFSET($T$2,0,0,ROW()-1,14),ROW()-1,FALSE))</x:f>
        <x:v>1.6839489999999999</x:v>
      </x:c>
      <x:c r="R80">
        <x:f ca="1">IF(AND($B$1012=1,LEN($R$1086)&gt;0),$R$1086,HLOOKUP(INDIRECT(ADDRESS(2,COLUMN())),OFFSET($T$2,0,0,ROW()-1,14),ROW()-1,FALSE))</x:f>
        <x:v>23.696272</x:v>
      </x:c>
      <x:c r="S80">
        <x:f ca="1">IF(AND($B$1012=1,LEN($S$1086)&gt;0),$S$1086,HLOOKUP(INDIRECT(ADDRESS(2,COLUMN())),OFFSET($T$2,0,0,ROW()-1,14),ROW()-1,FALSE))</x:f>
        <x:v>14.949252</x:v>
      </x:c>
      <x:c r="T80">
        <x:f>-14.911558</x:f>
        <x:v>-14.911557999999999</x:v>
      </x:c>
      <x:c r="U80">
        <x:f>-18.437694</x:f>
        <x:v>-18.437694</x:v>
      </x:c>
      <x:c r="V80">
        <x:f>-15.076977</x:f>
        <x:v>-15.076976999999999</x:v>
      </x:c>
      <x:c r="W80">
        <x:f>-68.310398</x:f>
        <x:v>-68.310398000000006</x:v>
      </x:c>
      <x:c r="X80">
        <x:f>-20.593016</x:f>
        <x:v>-20.593015999999999</x:v>
      </x:c>
      <x:c r="Y80">
        <x:f>-282.015667</x:f>
        <x:v>-282.01566700000001</x:v>
      </x:c>
      <x:c r="Z80">
        <x:f>-16.785897</x:f>
        <x:v>-16.785896999999999</x:v>
      </x:c>
      <x:c r="AA80">
        <x:f>236.372249</x:f>
        <x:v>236.37224900000001</x:v>
      </x:c>
      <x:c r="AB80">
        <x:f>93.953536</x:f>
        <x:v>93.953536</x:v>
      </x:c>
      <x:c r="AC80">
        <x:f>-11.791755</x:f>
        <x:v>-11.791755</x:v>
      </x:c>
      <x:c r="AD80">
        <x:f>52.702227</x:f>
        <x:v>52.702227000000001</x:v>
      </x:c>
      <x:c r="AE80">
        <x:f>1.683949</x:f>
        <x:v>1.6839489999999999</x:v>
      </x:c>
      <x:c r="AF80">
        <x:f>23.696272</x:f>
        <x:v>23.696272</x:v>
      </x:c>
      <x:c r="AG80">
        <x:f>14.949252</x:f>
        <x:v>14.949252</x:v>
      </x:c>
    </x:row>
    <x:row r="81" spans="1:33" x14ac:dyDescent="0.25">
      <x:c r="A81" t="str">
        <x:f>"        Fidelity MSCI Consumer Staples"</x:f>
        <x:v xml:space="preserve">        Fidelity MSCI Consumer Staples</x:v>
      </x:c>
      <x:c r="B81" t="str">
        <x:f>"FSTA US Equity"</x:f>
        <x:v>FSTA US Equity</x:v>
      </x:c>
      <x:c r="E81" t="str">
        <x:f t="shared" si="2"/>
        <x:v>Expression</x:v>
      </x:c>
      <x:c r="F81">
        <x:f ca="1">IF(AND($B$1012=1,LEN($F$1087)&gt;0),$F$1087,HLOOKUP(INDIRECT(ADDRESS(2,COLUMN())),OFFSET($T$2,0,0,ROW()-1,14),ROW()-1,FALSE))</x:f>
        <x:v>-10.781779999999999</x:v>
      </x:c>
      <x:c r="G81">
        <x:f ca="1">IF(AND($B$1012=1,LEN($G$1087)&gt;0),$G$1087,HLOOKUP(INDIRECT(ADDRESS(2,COLUMN())),OFFSET($T$2,0,0,ROW()-1,14),ROW()-1,FALSE))</x:f>
        <x:v>-14.48597</x:v>
      </x:c>
      <x:c r="H81">
        <x:f ca="1">IF(AND($B$1012=1,LEN($H$1087)&gt;0),$H$1087,HLOOKUP(INDIRECT(ADDRESS(2,COLUMN())),OFFSET($T$2,0,0,ROW()-1,14),ROW()-1,FALSE))</x:f>
        <x:v>-19.707840000000001</x:v>
      </x:c>
      <x:c r="I81">
        <x:f ca="1">IF(AND($B$1012=1,LEN($I$1087)&gt;0),$I$1087,HLOOKUP(INDIRECT(ADDRESS(2,COLUMN())),OFFSET($T$2,0,0,ROW()-1,14),ROW()-1,FALSE))</x:f>
        <x:v>-50.144325000000002</x:v>
      </x:c>
      <x:c r="J81">
        <x:f ca="1">IF(AND($B$1012=1,LEN($J$1087)&gt;0),$J$1087,HLOOKUP(INDIRECT(ADDRESS(2,COLUMN())),OFFSET($T$2,0,0,ROW()-1,14),ROW()-1,FALSE))</x:f>
        <x:v>-29.713740000000001</x:v>
      </x:c>
      <x:c r="K81">
        <x:f ca="1">IF(AND($B$1012=1,LEN($K$1087)&gt;0),$K$1087,HLOOKUP(INDIRECT(ADDRESS(2,COLUMN())),OFFSET($T$2,0,0,ROW()-1,14),ROW()-1,FALSE))</x:f>
        <x:v>51.701045000000001</x:v>
      </x:c>
      <x:c r="L81">
        <x:f ca="1">IF(AND($B$1012=1,LEN($L$1087)&gt;0),$L$1087,HLOOKUP(INDIRECT(ADDRESS(2,COLUMN())),OFFSET($T$2,0,0,ROW()-1,14),ROW()-1,FALSE))</x:f>
        <x:v>25.022069999999999</x:v>
      </x:c>
      <x:c r="M81">
        <x:f ca="1">IF(AND($B$1012=1,LEN($M$1087)&gt;0),$M$1087,HLOOKUP(INDIRECT(ADDRESS(2,COLUMN())),OFFSET($T$2,0,0,ROW()-1,14),ROW()-1,FALSE))</x:f>
        <x:v>-13.704005</x:v>
      </x:c>
      <x:c r="N81">
        <x:f ca="1">IF(AND($B$1012=1,LEN($N$1087)&gt;0),$N$1087,HLOOKUP(INDIRECT(ADDRESS(2,COLUMN())),OFFSET($T$2,0,0,ROW()-1,14),ROW()-1,FALSE))</x:f>
        <x:v>34.985720000000001</x:v>
      </x:c>
      <x:c r="O81">
        <x:f ca="1">IF(AND($B$1012=1,LEN($O$1087)&gt;0),$O$1087,HLOOKUP(INDIRECT(ADDRESS(2,COLUMN())),OFFSET($T$2,0,0,ROW()-1,14),ROW()-1,FALSE))</x:f>
        <x:v>4.416925</x:v>
      </x:c>
      <x:c r="P81">
        <x:f ca="1">IF(AND($B$1012=1,LEN($P$1087)&gt;0),$P$1087,HLOOKUP(INDIRECT(ADDRESS(2,COLUMN())),OFFSET($T$2,0,0,ROW()-1,14),ROW()-1,FALSE))</x:f>
        <x:v>9.0403199999999995</x:v>
      </x:c>
      <x:c r="Q81">
        <x:f ca="1">IF(AND($B$1012=1,LEN($Q$1087)&gt;0),$Q$1087,HLOOKUP(INDIRECT(ADDRESS(2,COLUMN())),OFFSET($T$2,0,0,ROW()-1,14),ROW()-1,FALSE))</x:f>
        <x:v>11.440004999999999</x:v>
      </x:c>
      <x:c r="R81">
        <x:f ca="1">IF(AND($B$1012=1,LEN($R$1087)&gt;0),$R$1087,HLOOKUP(INDIRECT(ADDRESS(2,COLUMN())),OFFSET($T$2,0,0,ROW()-1,14),ROW()-1,FALSE))</x:f>
        <x:v>11.018554999999999</x:v>
      </x:c>
      <x:c r="S81">
        <x:f ca="1">IF(AND($B$1012=1,LEN($S$1087)&gt;0),$S$1087,HLOOKUP(INDIRECT(ADDRESS(2,COLUMN())),OFFSET($T$2,0,0,ROW()-1,14),ROW()-1,FALSE))</x:f>
        <x:v>8.0963999999999992</x:v>
      </x:c>
      <x:c r="T81">
        <x:f>-10.78178</x:f>
        <x:v>-10.781779999999999</x:v>
      </x:c>
      <x:c r="U81">
        <x:f>-14.48597</x:f>
        <x:v>-14.48597</x:v>
      </x:c>
      <x:c r="V81">
        <x:f>-19.70784</x:f>
        <x:v>-19.707840000000001</x:v>
      </x:c>
      <x:c r="W81">
        <x:f>-50.144325</x:f>
        <x:v>-50.144325000000002</x:v>
      </x:c>
      <x:c r="X81">
        <x:f>-29.71374</x:f>
        <x:v>-29.713740000000001</x:v>
      </x:c>
      <x:c r="Y81">
        <x:f>51.701045</x:f>
        <x:v>51.701045000000001</x:v>
      </x:c>
      <x:c r="Z81">
        <x:f>25.02207</x:f>
        <x:v>25.022069999999999</x:v>
      </x:c>
      <x:c r="AA81">
        <x:f>-13.704005</x:f>
        <x:v>-13.704005</x:v>
      </x:c>
      <x:c r="AB81">
        <x:f>34.98572</x:f>
        <x:v>34.985720000000001</x:v>
      </x:c>
      <x:c r="AC81">
        <x:f>4.416925</x:f>
        <x:v>4.416925</x:v>
      </x:c>
      <x:c r="AD81">
        <x:f>9.04032</x:f>
        <x:v>9.0403199999999995</x:v>
      </x:c>
      <x:c r="AE81">
        <x:f>11.440005</x:f>
        <x:v>11.440004999999999</x:v>
      </x:c>
      <x:c r="AF81">
        <x:f>11.018555</x:f>
        <x:v>11.018554999999999</x:v>
      </x:c>
      <x:c r="AG81">
        <x:f>8.0964</x:f>
        <x:v>8.0963999999999992</x:v>
      </x:c>
    </x:row>
    <x:row r="82" spans="1:33" x14ac:dyDescent="0.25">
      <x:c r="A82" t="str">
        <x:f>"        Invesco Dynamic Food &amp; Beverag"</x:f>
        <x:v xml:space="preserve">        Invesco Dynamic Food &amp; Beverag</x:v>
      </x:c>
      <x:c r="B82" t="str">
        <x:f>"PBJ US Equity"</x:f>
        <x:v>PBJ US Equity</x:v>
      </x:c>
      <x:c r="E82" t="str">
        <x:f t="shared" si="2"/>
        <x:v>Expression</x:v>
      </x:c>
      <x:c r="F82">
        <x:f ca="1">IF(AND($B$1012=1,LEN($F$1088)&gt;0),$F$1088,HLOOKUP(INDIRECT(ADDRESS(2,COLUMN())),OFFSET($T$2,0,0,ROW()-1,14),ROW()-1,FALSE))</x:f>
        <x:v>-9.8508089999999999</x:v>
      </x:c>
      <x:c r="G82">
        <x:f ca="1">IF(AND($B$1012=1,LEN($G$1088)&gt;0),$G$1088,HLOOKUP(INDIRECT(ADDRESS(2,COLUMN())),OFFSET($T$2,0,0,ROW()-1,14),ROW()-1,FALSE))</x:f>
        <x:v>-19.676297999999999</x:v>
      </x:c>
      <x:c r="H82">
        <x:f ca="1">IF(AND($B$1012=1,LEN($H$1088)&gt;0),$H$1088,HLOOKUP(INDIRECT(ADDRESS(2,COLUMN())),OFFSET($T$2,0,0,ROW()-1,14),ROW()-1,FALSE))</x:f>
        <x:v>-21.804022</x:v>
      </x:c>
      <x:c r="I82">
        <x:f ca="1">IF(AND($B$1012=1,LEN($I$1088)&gt;0),$I$1088,HLOOKUP(INDIRECT(ADDRESS(2,COLUMN())),OFFSET($T$2,0,0,ROW()-1,14),ROW()-1,FALSE))</x:f>
        <x:v>-22.813559000000001</x:v>
      </x:c>
      <x:c r="J82">
        <x:f ca="1">IF(AND($B$1012=1,LEN($J$1088)&gt;0),$J$1088,HLOOKUP(INDIRECT(ADDRESS(2,COLUMN())),OFFSET($T$2,0,0,ROW()-1,14),ROW()-1,FALSE))</x:f>
        <x:v>-24.98434</x:v>
      </x:c>
      <x:c r="K82">
        <x:f ca="1">IF(AND($B$1012=1,LEN($K$1088)&gt;0),$K$1088,HLOOKUP(INDIRECT(ADDRESS(2,COLUMN())),OFFSET($T$2,0,0,ROW()-1,14),ROW()-1,FALSE))</x:f>
        <x:v>-13.237299</x:v>
      </x:c>
      <x:c r="L82">
        <x:f ca="1">IF(AND($B$1012=1,LEN($L$1088)&gt;0),$L$1088,HLOOKUP(INDIRECT(ADDRESS(2,COLUMN())),OFFSET($T$2,0,0,ROW()-1,14),ROW()-1,FALSE))</x:f>
        <x:v>-14.798969</x:v>
      </x:c>
      <x:c r="M82">
        <x:f ca="1">IF(AND($B$1012=1,LEN($M$1088)&gt;0),$M$1088,HLOOKUP(INDIRECT(ADDRESS(2,COLUMN())),OFFSET($T$2,0,0,ROW()-1,14),ROW()-1,FALSE))</x:f>
        <x:v>3.725946</x:v>
      </x:c>
      <x:c r="N82">
        <x:f ca="1">IF(AND($B$1012=1,LEN($N$1088)&gt;0),$N$1088,HLOOKUP(INDIRECT(ADDRESS(2,COLUMN())),OFFSET($T$2,0,0,ROW()-1,14),ROW()-1,FALSE))</x:f>
        <x:v>-6.3019910000000001</x:v>
      </x:c>
      <x:c r="O82">
        <x:f ca="1">IF(AND($B$1012=1,LEN($O$1088)&gt;0),$O$1088,HLOOKUP(INDIRECT(ADDRESS(2,COLUMN())),OFFSET($T$2,0,0,ROW()-1,14),ROW()-1,FALSE))</x:f>
        <x:v>-21.073619000000001</x:v>
      </x:c>
      <x:c r="P82">
        <x:f ca="1">IF(AND($B$1012=1,LEN($P$1088)&gt;0),$P$1088,HLOOKUP(INDIRECT(ADDRESS(2,COLUMN())),OFFSET($T$2,0,0,ROW()-1,14),ROW()-1,FALSE))</x:f>
        <x:v>-19.582636000000001</x:v>
      </x:c>
      <x:c r="Q82">
        <x:f ca="1">IF(AND($B$1012=1,LEN($Q$1088)&gt;0),$Q$1088,HLOOKUP(INDIRECT(ADDRESS(2,COLUMN())),OFFSET($T$2,0,0,ROW()-1,14),ROW()-1,FALSE))</x:f>
        <x:v>21.001553999999999</x:v>
      </x:c>
      <x:c r="R82">
        <x:f ca="1">IF(AND($B$1012=1,LEN($R$1088)&gt;0),$R$1088,HLOOKUP(INDIRECT(ADDRESS(2,COLUMN())),OFFSET($T$2,0,0,ROW()-1,14),ROW()-1,FALSE))</x:f>
        <x:v>19.605640000000001</x:v>
      </x:c>
      <x:c r="S82">
        <x:f ca="1">IF(AND($B$1012=1,LEN($S$1088)&gt;0),$S$1088,HLOOKUP(INDIRECT(ADDRESS(2,COLUMN())),OFFSET($T$2,0,0,ROW()-1,14),ROW()-1,FALSE))</x:f>
        <x:v>0.67073199999999999</x:v>
      </x:c>
      <x:c r="T82">
        <x:f>-9.850809</x:f>
        <x:v>-9.8508089999999999</x:v>
      </x:c>
      <x:c r="U82">
        <x:f>-19.676298</x:f>
        <x:v>-19.676297999999999</x:v>
      </x:c>
      <x:c r="V82">
        <x:f>-21.804022</x:f>
        <x:v>-21.804022</x:v>
      </x:c>
      <x:c r="W82">
        <x:f>-22.813559</x:f>
        <x:v>-22.813559000000001</x:v>
      </x:c>
      <x:c r="X82">
        <x:f>-24.98434</x:f>
        <x:v>-24.98434</x:v>
      </x:c>
      <x:c r="Y82">
        <x:f>-13.237299</x:f>
        <x:v>-13.237299</x:v>
      </x:c>
      <x:c r="Z82">
        <x:f>-14.798969</x:f>
        <x:v>-14.798969</x:v>
      </x:c>
      <x:c r="AA82">
        <x:f>3.725946</x:f>
        <x:v>3.725946</x:v>
      </x:c>
      <x:c r="AB82">
        <x:f>-6.301991</x:f>
        <x:v>-6.3019910000000001</x:v>
      </x:c>
      <x:c r="AC82">
        <x:f>-21.073619</x:f>
        <x:v>-21.073619000000001</x:v>
      </x:c>
      <x:c r="AD82">
        <x:f>-19.582636</x:f>
        <x:v>-19.582636000000001</x:v>
      </x:c>
      <x:c r="AE82">
        <x:f>21.001554</x:f>
        <x:v>21.001553999999999</x:v>
      </x:c>
      <x:c r="AF82">
        <x:f>19.60564</x:f>
        <x:v>19.605640000000001</x:v>
      </x:c>
      <x:c r="AG82">
        <x:f>0.670732</x:f>
        <x:v>0.67073199999999999</x:v>
      </x:c>
    </x:row>
    <x:row r="83" spans="1:33" x14ac:dyDescent="0.25">
      <x:c r="A83" t="str">
        <x:f>"        Invesco DWA Consumer Staples M"</x:f>
        <x:v xml:space="preserve">        Invesco DWA Consumer Staples M</x:v>
      </x:c>
      <x:c r="B83" t="str">
        <x:f>"PSL US Equity"</x:f>
        <x:v>PSL US Equity</x:v>
      </x:c>
      <x:c r="E83" t="str">
        <x:f t="shared" si="2"/>
        <x:v>Expression</x:v>
      </x:c>
      <x:c r="F83">
        <x:f ca="1">IF(AND($B$1012=1,LEN($F$1089)&gt;0),$F$1089,HLOOKUP(INDIRECT(ADDRESS(2,COLUMN())),OFFSET($T$2,0,0,ROW()-1,14),ROW()-1,FALSE))</x:f>
        <x:v>0</x:v>
      </x:c>
      <x:c r="G83">
        <x:f ca="1">IF(AND($B$1012=1,LEN($G$1089)&gt;0),$G$1089,HLOOKUP(INDIRECT(ADDRESS(2,COLUMN())),OFFSET($T$2,0,0,ROW()-1,14),ROW()-1,FALSE))</x:f>
        <x:v>-4.8634579999999996</x:v>
      </x:c>
      <x:c r="H83">
        <x:f ca="1">IF(AND($B$1012=1,LEN($H$1089)&gt;0),$H$1089,HLOOKUP(INDIRECT(ADDRESS(2,COLUMN())),OFFSET($T$2,0,0,ROW()-1,14),ROW()-1,FALSE))</x:f>
        <x:v>-27.559059000000001</x:v>
      </x:c>
      <x:c r="I83">
        <x:f ca="1">IF(AND($B$1012=1,LEN($I$1089)&gt;0),$I$1089,HLOOKUP(INDIRECT(ADDRESS(2,COLUMN())),OFFSET($T$2,0,0,ROW()-1,14),ROW()-1,FALSE))</x:f>
        <x:v>0</x:v>
      </x:c>
      <x:c r="J83">
        <x:f ca="1">IF(AND($B$1012=1,LEN($J$1089)&gt;0),$J$1089,HLOOKUP(INDIRECT(ADDRESS(2,COLUMN())),OFFSET($T$2,0,0,ROW()-1,14),ROW()-1,FALSE))</x:f>
        <x:v>-0.872251</x:v>
      </x:c>
      <x:c r="K83">
        <x:f ca="1">IF(AND($B$1012=1,LEN($K$1089)&gt;0),$K$1089,HLOOKUP(INDIRECT(ADDRESS(2,COLUMN())),OFFSET($T$2,0,0,ROW()-1,14),ROW()-1,FALSE))</x:f>
        <x:v>0.85538800000000004</x:v>
      </x:c>
      <x:c r="L83">
        <x:f ca="1">IF(AND($B$1012=1,LEN($L$1089)&gt;0),$L$1089,HLOOKUP(INDIRECT(ADDRESS(2,COLUMN())),OFFSET($T$2,0,0,ROW()-1,14),ROW()-1,FALSE))</x:f>
        <x:v>-3.4991530000000002</x:v>
      </x:c>
      <x:c r="M83">
        <x:f ca="1">IF(AND($B$1012=1,LEN($M$1089)&gt;0),$M$1089,HLOOKUP(INDIRECT(ADDRESS(2,COLUMN())),OFFSET($T$2,0,0,ROW()-1,14),ROW()-1,FALSE))</x:f>
        <x:v>-2.5890740000000001</x:v>
      </x:c>
      <x:c r="N83">
        <x:f ca="1">IF(AND($B$1012=1,LEN($N$1089)&gt;0),$N$1089,HLOOKUP(INDIRECT(ADDRESS(2,COLUMN())),OFFSET($T$2,0,0,ROW()-1,14),ROW()-1,FALSE))</x:f>
        <x:v>-2.9680749999999998</x:v>
      </x:c>
      <x:c r="O83">
        <x:f ca="1">IF(AND($B$1012=1,LEN($O$1089)&gt;0),$O$1089,HLOOKUP(INDIRECT(ADDRESS(2,COLUMN())),OFFSET($T$2,0,0,ROW()-1,14),ROW()-1,FALSE))</x:f>
        <x:v>-0.84097299999999997</x:v>
      </x:c>
      <x:c r="P83">
        <x:f ca="1">IF(AND($B$1012=1,LEN($P$1089)&gt;0),$P$1089,HLOOKUP(INDIRECT(ADDRESS(2,COLUMN())),OFFSET($T$2,0,0,ROW()-1,14),ROW()-1,FALSE))</x:f>
        <x:v>-1.7362649999999999</x:v>
      </x:c>
      <x:c r="Q83">
        <x:f ca="1">IF(AND($B$1012=1,LEN($Q$1089)&gt;0),$Q$1089,HLOOKUP(INDIRECT(ADDRESS(2,COLUMN())),OFFSET($T$2,0,0,ROW()-1,14),ROW()-1,FALSE))</x:f>
        <x:v>1.7684329999999999</x:v>
      </x:c>
      <x:c r="R83">
        <x:f ca="1">IF(AND($B$1012=1,LEN($R$1089)&gt;0),$R$1089,HLOOKUP(INDIRECT(ADDRESS(2,COLUMN())),OFFSET($T$2,0,0,ROW()-1,14),ROW()-1,FALSE))</x:f>
        <x:v>-1.646914</x:v>
      </x:c>
      <x:c r="S83">
        <x:f ca="1">IF(AND($B$1012=1,LEN($S$1089)&gt;0),$S$1089,HLOOKUP(INDIRECT(ADDRESS(2,COLUMN())),OFFSET($T$2,0,0,ROW()-1,14),ROW()-1,FALSE))</x:f>
        <x:v>-0.77059500000000003</x:v>
      </x:c>
      <x:c r="T83">
        <x:f>0</x:f>
        <x:v>0</x:v>
      </x:c>
      <x:c r="U83">
        <x:f>-4.863458</x:f>
        <x:v>-4.8634579999999996</x:v>
      </x:c>
      <x:c r="V83">
        <x:f>-27.559059</x:f>
        <x:v>-27.559059000000001</x:v>
      </x:c>
      <x:c r="W83">
        <x:f>0</x:f>
        <x:v>0</x:v>
      </x:c>
      <x:c r="X83">
        <x:f>-0.872251</x:f>
        <x:v>-0.872251</x:v>
      </x:c>
      <x:c r="Y83">
        <x:f>0.855388</x:f>
        <x:v>0.85538800000000004</x:v>
      </x:c>
      <x:c r="Z83">
        <x:f>-3.499153</x:f>
        <x:v>-3.4991530000000002</x:v>
      </x:c>
      <x:c r="AA83">
        <x:f>-2.589074</x:f>
        <x:v>-2.5890740000000001</x:v>
      </x:c>
      <x:c r="AB83">
        <x:f>-2.968075</x:f>
        <x:v>-2.9680749999999998</x:v>
      </x:c>
      <x:c r="AC83">
        <x:f>-0.840973</x:f>
        <x:v>-0.84097299999999997</x:v>
      </x:c>
      <x:c r="AD83">
        <x:f>-1.736265</x:f>
        <x:v>-1.7362649999999999</x:v>
      </x:c>
      <x:c r="AE83">
        <x:f>1.768433</x:f>
        <x:v>1.7684329999999999</x:v>
      </x:c>
      <x:c r="AF83">
        <x:f>-1.646914</x:f>
        <x:v>-1.646914</x:v>
      </x:c>
      <x:c r="AG83">
        <x:f>-0.770595</x:f>
        <x:v>-0.77059500000000003</x:v>
      </x:c>
    </x:row>
    <x:row r="84" spans="1:33" x14ac:dyDescent="0.25">
      <x:c r="A84" t="str">
        <x:f>"        Invesco S&amp;P SmallCap Consumer"</x:f>
        <x:v xml:space="preserve">        Invesco S&amp;P SmallCap Consumer</x:v>
      </x:c>
      <x:c r="B84" t="str">
        <x:f>"PSCC US Equity"</x:f>
        <x:v>PSCC US Equity</x:v>
      </x:c>
      <x:c r="E84" t="str">
        <x:f t="shared" si="2"/>
        <x:v>Expression</x:v>
      </x:c>
      <x:c r="F84">
        <x:f ca="1">IF(AND($B$1012=1,LEN($F$1090)&gt;0),$F$1090,HLOOKUP(INDIRECT(ADDRESS(2,COLUMN())),OFFSET($T$2,0,0,ROW()-1,14),ROW()-1,FALSE))</x:f>
        <x:v>-2.3391099999999998</x:v>
      </x:c>
      <x:c r="G84">
        <x:f ca="1">IF(AND($B$1012=1,LEN($G$1090)&gt;0),$G$1090,HLOOKUP(INDIRECT(ADDRESS(2,COLUMN())),OFFSET($T$2,0,0,ROW()-1,14),ROW()-1,FALSE))</x:f>
        <x:v>-1.9966390000000001</x:v>
      </x:c>
      <x:c r="H84">
        <x:f ca="1">IF(AND($B$1012=1,LEN($H$1090)&gt;0),$H$1090,HLOOKUP(INDIRECT(ADDRESS(2,COLUMN())),OFFSET($T$2,0,0,ROW()-1,14),ROW()-1,FALSE))</x:f>
        <x:v>0</x:v>
      </x:c>
      <x:c r="I84">
        <x:f ca="1">IF(AND($B$1012=1,LEN($I$1090)&gt;0),$I$1090,HLOOKUP(INDIRECT(ADDRESS(2,COLUMN())),OFFSET($T$2,0,0,ROW()-1,14),ROW()-1,FALSE))</x:f>
        <x:v>-0.67713599999999996</x:v>
      </x:c>
      <x:c r="J84">
        <x:f ca="1">IF(AND($B$1012=1,LEN($J$1090)&gt;0),$J$1090,HLOOKUP(INDIRECT(ADDRESS(2,COLUMN())),OFFSET($T$2,0,0,ROW()-1,14),ROW()-1,FALSE))</x:f>
        <x:v>5.4676020000000003</x:v>
      </x:c>
      <x:c r="K84">
        <x:f ca="1">IF(AND($B$1012=1,LEN($K$1090)&gt;0),$K$1090,HLOOKUP(INDIRECT(ADDRESS(2,COLUMN())),OFFSET($T$2,0,0,ROW()-1,14),ROW()-1,FALSE))</x:f>
        <x:v>1.0950899999999999</x:v>
      </x:c>
      <x:c r="L84">
        <x:f ca="1">IF(AND($B$1012=1,LEN($L$1090)&gt;0),$L$1090,HLOOKUP(INDIRECT(ADDRESS(2,COLUMN())),OFFSET($T$2,0,0,ROW()-1,14),ROW()-1,FALSE))</x:f>
        <x:v>10.852434000000001</x:v>
      </x:c>
      <x:c r="M84">
        <x:f ca="1">IF(AND($B$1012=1,LEN($M$1090)&gt;0),$M$1090,HLOOKUP(INDIRECT(ADDRESS(2,COLUMN())),OFFSET($T$2,0,0,ROW()-1,14),ROW()-1,FALSE))</x:f>
        <x:v>5.5243679999999999</x:v>
      </x:c>
      <x:c r="N84">
        <x:f ca="1">IF(AND($B$1012=1,LEN($N$1090)&gt;0),$N$1090,HLOOKUP(INDIRECT(ADDRESS(2,COLUMN())),OFFSET($T$2,0,0,ROW()-1,14),ROW()-1,FALSE))</x:f>
        <x:v>9.4118999999999993</x:v>
      </x:c>
      <x:c r="O84">
        <x:f ca="1">IF(AND($B$1012=1,LEN($O$1090)&gt;0),$O$1090,HLOOKUP(INDIRECT(ADDRESS(2,COLUMN())),OFFSET($T$2,0,0,ROW()-1,14),ROW()-1,FALSE))</x:f>
        <x:v>-6.5978130000000004</x:v>
      </x:c>
      <x:c r="P84">
        <x:f ca="1">IF(AND($B$1012=1,LEN($P$1090)&gt;0),$P$1090,HLOOKUP(INDIRECT(ADDRESS(2,COLUMN())),OFFSET($T$2,0,0,ROW()-1,14),ROW()-1,FALSE))</x:f>
        <x:v>-3.085572</x:v>
      </x:c>
      <x:c r="Q84">
        <x:f ca="1">IF(AND($B$1012=1,LEN($Q$1090)&gt;0),$Q$1090,HLOOKUP(INDIRECT(ADDRESS(2,COLUMN())),OFFSET($T$2,0,0,ROW()-1,14),ROW()-1,FALSE))</x:f>
        <x:v>4.3460210000000004</x:v>
      </x:c>
      <x:c r="R84">
        <x:f ca="1">IF(AND($B$1012=1,LEN($R$1090)&gt;0),$R$1090,HLOOKUP(INDIRECT(ADDRESS(2,COLUMN())),OFFSET($T$2,0,0,ROW()-1,14),ROW()-1,FALSE))</x:f>
        <x:v>-2.1509269999999998</x:v>
      </x:c>
      <x:c r="S84">
        <x:f ca="1">IF(AND($B$1012=1,LEN($S$1090)&gt;0),$S$1090,HLOOKUP(INDIRECT(ADDRESS(2,COLUMN())),OFFSET($T$2,0,0,ROW()-1,14),ROW()-1,FALSE))</x:f>
        <x:v>-1.927646</x:v>
      </x:c>
      <x:c r="T84">
        <x:f>-2.33911</x:f>
        <x:v>-2.3391099999999998</x:v>
      </x:c>
      <x:c r="U84">
        <x:f>-1.996639</x:f>
        <x:v>-1.9966390000000001</x:v>
      </x:c>
      <x:c r="V84">
        <x:f>0</x:f>
        <x:v>0</x:v>
      </x:c>
      <x:c r="W84">
        <x:f>-0.677136</x:f>
        <x:v>-0.67713599999999996</x:v>
      </x:c>
      <x:c r="X84">
        <x:f>5.467602</x:f>
        <x:v>5.4676020000000003</x:v>
      </x:c>
      <x:c r="Y84">
        <x:f>1.09509</x:f>
        <x:v>1.0950899999999999</x:v>
      </x:c>
      <x:c r="Z84">
        <x:f>10.852434</x:f>
        <x:v>10.852434000000001</x:v>
      </x:c>
      <x:c r="AA84">
        <x:f>5.524368</x:f>
        <x:v>5.5243679999999999</x:v>
      </x:c>
      <x:c r="AB84">
        <x:f>9.4119</x:f>
        <x:v>9.4118999999999993</x:v>
      </x:c>
      <x:c r="AC84">
        <x:f>-6.597813</x:f>
        <x:v>-6.5978130000000004</x:v>
      </x:c>
      <x:c r="AD84">
        <x:f>-3.085572</x:f>
        <x:v>-3.085572</x:v>
      </x:c>
      <x:c r="AE84">
        <x:f>4.346021</x:f>
        <x:v>4.3460210000000004</x:v>
      </x:c>
      <x:c r="AF84">
        <x:f>-2.150927</x:f>
        <x:v>-2.1509269999999998</x:v>
      </x:c>
      <x:c r="AG84">
        <x:f>-1.927646</x:f>
        <x:v>-1.927646</x:v>
      </x:c>
    </x:row>
    <x:row r="85" spans="1:33" x14ac:dyDescent="0.25">
      <x:c r="A85" t="str">
        <x:f>"        SPDR S&amp;P International Consume"</x:f>
        <x:v xml:space="preserve">        SPDR S&amp;P International Consume</x:v>
      </x:c>
      <x:c r="B85" t="str">
        <x:f>"IPS US Equity"</x:f>
        <x:v>IPS US Equity</x:v>
      </x:c>
      <x:c r="E85" t="str">
        <x:f t="shared" si="2"/>
        <x:v>Expression</x:v>
      </x:c>
      <x:c r="F85" t="str">
        <x:f ca="1">IF(AND($B$1012=1,LEN($F$1091)&gt;0),$F$1091,HLOOKUP(INDIRECT(ADDRESS(2,COLUMN())),OFFSET($T$2,0,0,ROW()-1,14),ROW()-1,FALSE))</x:f>
        <x:v/>
      </x:c>
      <x:c r="G85" t="str">
        <x:f ca="1">IF(AND($B$1012=1,LEN($G$1091)&gt;0),$G$1091,HLOOKUP(INDIRECT(ADDRESS(2,COLUMN())),OFFSET($T$2,0,0,ROW()-1,14),ROW()-1,FALSE))</x:f>
        <x:v/>
      </x:c>
      <x:c r="H85" t="str">
        <x:f ca="1">IF(AND($B$1012=1,LEN($H$1091)&gt;0),$H$1091,HLOOKUP(INDIRECT(ADDRESS(2,COLUMN())),OFFSET($T$2,0,0,ROW()-1,14),ROW()-1,FALSE))</x:f>
        <x:v/>
      </x:c>
      <x:c r="I85" t="str">
        <x:f ca="1">IF(AND($B$1012=1,LEN($I$1091)&gt;0),$I$1091,HLOOKUP(INDIRECT(ADDRESS(2,COLUMN())),OFFSET($T$2,0,0,ROW()-1,14),ROW()-1,FALSE))</x:f>
        <x:v/>
      </x:c>
      <x:c r="J85" t="str">
        <x:f ca="1">IF(AND($B$1012=1,LEN($J$1091)&gt;0),$J$1091,HLOOKUP(INDIRECT(ADDRESS(2,COLUMN())),OFFSET($T$2,0,0,ROW()-1,14),ROW()-1,FALSE))</x:f>
        <x:v/>
      </x:c>
      <x:c r="K85" t="str">
        <x:f ca="1">IF(AND($B$1012=1,LEN($K$1091)&gt;0),$K$1091,HLOOKUP(INDIRECT(ADDRESS(2,COLUMN())),OFFSET($T$2,0,0,ROW()-1,14),ROW()-1,FALSE))</x:f>
        <x:v/>
      </x:c>
      <x:c r="L85" t="str">
        <x:f ca="1">IF(AND($B$1012=1,LEN($L$1091)&gt;0),$L$1091,HLOOKUP(INDIRECT(ADDRESS(2,COLUMN())),OFFSET($T$2,0,0,ROW()-1,14),ROW()-1,FALSE))</x:f>
        <x:v/>
      </x:c>
      <x:c r="M85" t="str">
        <x:f ca="1">IF(AND($B$1012=1,LEN($M$1091)&gt;0),$M$1091,HLOOKUP(INDIRECT(ADDRESS(2,COLUMN())),OFFSET($T$2,0,0,ROW()-1,14),ROW()-1,FALSE))</x:f>
        <x:v/>
      </x:c>
      <x:c r="N85" t="str">
        <x:f ca="1">IF(AND($B$1012=1,LEN($N$1091)&gt;0),$N$1091,HLOOKUP(INDIRECT(ADDRESS(2,COLUMN())),OFFSET($T$2,0,0,ROW()-1,14),ROW()-1,FALSE))</x:f>
        <x:v/>
      </x:c>
      <x:c r="O85" t="str">
        <x:f ca="1">IF(AND($B$1012=1,LEN($O$1091)&gt;0),$O$1091,HLOOKUP(INDIRECT(ADDRESS(2,COLUMN())),OFFSET($T$2,0,0,ROW()-1,14),ROW()-1,FALSE))</x:f>
        <x:v/>
      </x:c>
      <x:c r="P85" t="str">
        <x:f ca="1">IF(AND($B$1012=1,LEN($P$1091)&gt;0),$P$1091,HLOOKUP(INDIRECT(ADDRESS(2,COLUMN())),OFFSET($T$2,0,0,ROW()-1,14),ROW()-1,FALSE))</x:f>
        <x:v/>
      </x:c>
      <x:c r="Q85" t="str">
        <x:f ca="1">IF(AND($B$1012=1,LEN($Q$1091)&gt;0),$Q$1091,HLOOKUP(INDIRECT(ADDRESS(2,COLUMN())),OFFSET($T$2,0,0,ROW()-1,14),ROW()-1,FALSE))</x:f>
        <x:v/>
      </x:c>
      <x:c r="R85" t="str">
        <x:f ca="1">IF(AND($B$1012=1,LEN($R$1091)&gt;0),$R$1091,HLOOKUP(INDIRECT(ADDRESS(2,COLUMN())),OFFSET($T$2,0,0,ROW()-1,14),ROW()-1,FALSE))</x:f>
        <x:v/>
      </x:c>
      <x:c r="S85" t="str">
        <x:f ca="1">IF(AND($B$1012=1,LEN($S$1091)&gt;0),$S$1091,HLOOKUP(INDIRECT(ADDRESS(2,COLUMN())),OFFSET($T$2,0,0,ROW()-1,14),ROW()-1,FALSE))</x:f>
        <x:v/>
      </x:c>
      <x:c r="T85" t="str">
        <x:f>""</x:f>
        <x:v/>
      </x:c>
      <x:c r="U85" t="str">
        <x:f>""</x:f>
        <x:v/>
      </x:c>
      <x:c r="V85" t="str">
        <x:f>""</x:f>
        <x:v/>
      </x:c>
      <x:c r="W85" t="str">
        <x:f>""</x:f>
        <x:v/>
      </x:c>
      <x:c r="X85" t="str">
        <x:f>""</x:f>
        <x:v/>
      </x:c>
      <x:c r="Y85" t="str">
        <x:f>""</x:f>
        <x:v/>
      </x:c>
      <x:c r="Z85" t="str">
        <x:f>""</x:f>
        <x:v/>
      </x:c>
      <x:c r="AA85" t="str">
        <x:f>""</x:f>
        <x:v/>
      </x:c>
      <x:c r="AB85" t="str">
        <x:f>""</x:f>
        <x:v/>
      </x:c>
      <x:c r="AC85" t="str">
        <x:f>""</x:f>
        <x:v/>
      </x:c>
      <x:c r="AD85" t="str">
        <x:f>""</x:f>
        <x:v/>
      </x:c>
      <x:c r="AE85" t="str">
        <x:f>""</x:f>
        <x:v/>
      </x:c>
      <x:c r="AF85" t="str">
        <x:f>""</x:f>
        <x:v/>
      </x:c>
      <x:c r="AG85" t="str">
        <x:f>""</x:f>
        <x:v/>
      </x:c>
    </x:row>
    <x:row r="86" spans="1:33" x14ac:dyDescent="0.25">
      <x:c r="A86" t="str">
        <x:f>"        John Hancock Multifactor Consu"</x:f>
        <x:v xml:space="preserve">        John Hancock Multifactor Consu</x:v>
      </x:c>
      <x:c r="B86" t="str">
        <x:f>"JHMS US Equity"</x:f>
        <x:v>JHMS US Equity</x:v>
      </x:c>
      <x:c r="E86" t="str">
        <x:f t="shared" si="2"/>
        <x:v>Expression</x:v>
      </x:c>
      <x:c r="F86" t="str">
        <x:f ca="1">IF(AND($B$1012=1,LEN($F$1092)&gt;0),$F$1092,HLOOKUP(INDIRECT(ADDRESS(2,COLUMN())),OFFSET($T$2,0,0,ROW()-1,14),ROW()-1,FALSE))</x:f>
        <x:v/>
      </x:c>
      <x:c r="G86" t="str">
        <x:f ca="1">IF(AND($B$1012=1,LEN($G$1092)&gt;0),$G$1092,HLOOKUP(INDIRECT(ADDRESS(2,COLUMN())),OFFSET($T$2,0,0,ROW()-1,14),ROW()-1,FALSE))</x:f>
        <x:v/>
      </x:c>
      <x:c r="H86" t="str">
        <x:f ca="1">IF(AND($B$1012=1,LEN($H$1092)&gt;0),$H$1092,HLOOKUP(INDIRECT(ADDRESS(2,COLUMN())),OFFSET($T$2,0,0,ROW()-1,14),ROW()-1,FALSE))</x:f>
        <x:v/>
      </x:c>
      <x:c r="I86" t="str">
        <x:f ca="1">IF(AND($B$1012=1,LEN($I$1092)&gt;0),$I$1092,HLOOKUP(INDIRECT(ADDRESS(2,COLUMN())),OFFSET($T$2,0,0,ROW()-1,14),ROW()-1,FALSE))</x:f>
        <x:v/>
      </x:c>
      <x:c r="J86" t="str">
        <x:f ca="1">IF(AND($B$1012=1,LEN($J$1092)&gt;0),$J$1092,HLOOKUP(INDIRECT(ADDRESS(2,COLUMN())),OFFSET($T$2,0,0,ROW()-1,14),ROW()-1,FALSE))</x:f>
        <x:v/>
      </x:c>
      <x:c r="K86" t="str">
        <x:f ca="1">IF(AND($B$1012=1,LEN($K$1092)&gt;0),$K$1092,HLOOKUP(INDIRECT(ADDRESS(2,COLUMN())),OFFSET($T$2,0,0,ROW()-1,14),ROW()-1,FALSE))</x:f>
        <x:v/>
      </x:c>
      <x:c r="L86" t="str">
        <x:f ca="1">IF(AND($B$1012=1,LEN($L$1092)&gt;0),$L$1092,HLOOKUP(INDIRECT(ADDRESS(2,COLUMN())),OFFSET($T$2,0,0,ROW()-1,14),ROW()-1,FALSE))</x:f>
        <x:v/>
      </x:c>
      <x:c r="M86" t="str">
        <x:f ca="1">IF(AND($B$1012=1,LEN($M$1092)&gt;0),$M$1092,HLOOKUP(INDIRECT(ADDRESS(2,COLUMN())),OFFSET($T$2,0,0,ROW()-1,14),ROW()-1,FALSE))</x:f>
        <x:v/>
      </x:c>
      <x:c r="N86" t="str">
        <x:f ca="1">IF(AND($B$1012=1,LEN($N$1092)&gt;0),$N$1092,HLOOKUP(INDIRECT(ADDRESS(2,COLUMN())),OFFSET($T$2,0,0,ROW()-1,14),ROW()-1,FALSE))</x:f>
        <x:v/>
      </x:c>
      <x:c r="O86" t="str">
        <x:f ca="1">IF(AND($B$1012=1,LEN($O$1092)&gt;0),$O$1092,HLOOKUP(INDIRECT(ADDRESS(2,COLUMN())),OFFSET($T$2,0,0,ROW()-1,14),ROW()-1,FALSE))</x:f>
        <x:v/>
      </x:c>
      <x:c r="P86" t="str">
        <x:f ca="1">IF(AND($B$1012=1,LEN($P$1092)&gt;0),$P$1092,HLOOKUP(INDIRECT(ADDRESS(2,COLUMN())),OFFSET($T$2,0,0,ROW()-1,14),ROW()-1,FALSE))</x:f>
        <x:v/>
      </x:c>
      <x:c r="Q86" t="str">
        <x:f ca="1">IF(AND($B$1012=1,LEN($Q$1092)&gt;0),$Q$1092,HLOOKUP(INDIRECT(ADDRESS(2,COLUMN())),OFFSET($T$2,0,0,ROW()-1,14),ROW()-1,FALSE))</x:f>
        <x:v/>
      </x:c>
      <x:c r="R86" t="str">
        <x:f ca="1">IF(AND($B$1012=1,LEN($R$1092)&gt;0),$R$1092,HLOOKUP(INDIRECT(ADDRESS(2,COLUMN())),OFFSET($T$2,0,0,ROW()-1,14),ROW()-1,FALSE))</x:f>
        <x:v/>
      </x:c>
      <x:c r="S86">
        <x:f ca="1">IF(AND($B$1012=1,LEN($S$1092)&gt;0),$S$1092,HLOOKUP(INDIRECT(ADDRESS(2,COLUMN())),OFFSET($T$2,0,0,ROW()-1,14),ROW()-1,FALSE))</x:f>
        <x:v>-10.748907000000001</x:v>
      </x:c>
      <x:c r="T86" t="str">
        <x:f>""</x:f>
        <x:v/>
      </x:c>
      <x:c r="U86" t="str">
        <x:f>""</x:f>
        <x:v/>
      </x:c>
      <x:c r="V86" t="str">
        <x:f>""</x:f>
        <x:v/>
      </x:c>
      <x:c r="W86" t="str">
        <x:f>""</x:f>
        <x:v/>
      </x:c>
      <x:c r="X86" t="str">
        <x:f>""</x:f>
        <x:v/>
      </x:c>
      <x:c r="Y86" t="str">
        <x:f>""</x:f>
        <x:v/>
      </x:c>
      <x:c r="Z86" t="str">
        <x:f>""</x:f>
        <x:v/>
      </x:c>
      <x:c r="AA86" t="str">
        <x:f>""</x:f>
        <x:v/>
      </x:c>
      <x:c r="AB86" t="str">
        <x:f>""</x:f>
        <x:v/>
      </x:c>
      <x:c r="AC86" t="str">
        <x:f>""</x:f>
        <x:v/>
      </x:c>
      <x:c r="AD86" t="str">
        <x:f>""</x:f>
        <x:v/>
      </x:c>
      <x:c r="AE86" t="str">
        <x:f>""</x:f>
        <x:v/>
      </x:c>
      <x:c r="AF86" t="str">
        <x:f>""</x:f>
        <x:v/>
      </x:c>
      <x:c r="AG86">
        <x:f>-10.748907</x:f>
        <x:v>-10.748907000000001</x:v>
      </x:c>
    </x:row>
    <x:row r="87" spans="1:33" x14ac:dyDescent="0.25">
      <x:c r="A87" t="str">
        <x:f>"        ProShares Ultra Consumer Stapl"</x:f>
        <x:v xml:space="preserve">        ProShares Ultra Consumer Stapl</x:v>
      </x:c>
      <x:c r="B87" t="str">
        <x:f>"UGE US Equity"</x:f>
        <x:v>UGE US Equity</x:v>
      </x:c>
      <x:c r="E87" t="str">
        <x:f t="shared" si="2"/>
        <x:v>Expression</x:v>
      </x:c>
      <x:c r="F87">
        <x:f ca="1">IF(AND($B$1012=1,LEN($F$1093)&gt;0),$F$1093,HLOOKUP(INDIRECT(ADDRESS(2,COLUMN())),OFFSET($T$2,0,0,ROW()-1,14),ROW()-1,FALSE))</x:f>
        <x:v>-0.14582700000000001</x:v>
      </x:c>
      <x:c r="G87">
        <x:f ca="1">IF(AND($B$1012=1,LEN($G$1093)&gt;0),$G$1093,HLOOKUP(INDIRECT(ADDRESS(2,COLUMN())),OFFSET($T$2,0,0,ROW()-1,14),ROW()-1,FALSE))</x:f>
        <x:v>-1.51946</x:v>
      </x:c>
      <x:c r="H87">
        <x:f ca="1">IF(AND($B$1012=1,LEN($H$1093)&gt;0),$H$1093,HLOOKUP(INDIRECT(ADDRESS(2,COLUMN())),OFFSET($T$2,0,0,ROW()-1,14),ROW()-1,FALSE))</x:f>
        <x:v>-0.31471700000000002</x:v>
      </x:c>
      <x:c r="I87">
        <x:f ca="1">IF(AND($B$1012=1,LEN($I$1093)&gt;0),$I$1093,HLOOKUP(INDIRECT(ADDRESS(2,COLUMN())),OFFSET($T$2,0,0,ROW()-1,14),ROW()-1,FALSE))</x:f>
        <x:v>0</x:v>
      </x:c>
      <x:c r="J87">
        <x:f ca="1">IF(AND($B$1012=1,LEN($J$1093)&gt;0),$J$1093,HLOOKUP(INDIRECT(ADDRESS(2,COLUMN())),OFFSET($T$2,0,0,ROW()-1,14),ROW()-1,FALSE))</x:f>
        <x:v>-0.16961200000000001</x:v>
      </x:c>
      <x:c r="K87">
        <x:f ca="1">IF(AND($B$1012=1,LEN($K$1093)&gt;0),$K$1093,HLOOKUP(INDIRECT(ADDRESS(2,COLUMN())),OFFSET($T$2,0,0,ROW()-1,14),ROW()-1,FALSE))</x:f>
        <x:v>-0.16772200000000001</x:v>
      </x:c>
      <x:c r="L87">
        <x:f ca="1">IF(AND($B$1012=1,LEN($L$1093)&gt;0),$L$1093,HLOOKUP(INDIRECT(ADDRESS(2,COLUMN())),OFFSET($T$2,0,0,ROW()-1,14),ROW()-1,FALSE))</x:f>
        <x:v>0.40581499999999998</x:v>
      </x:c>
      <x:c r="M87">
        <x:f ca="1">IF(AND($B$1012=1,LEN($M$1093)&gt;0),$M$1093,HLOOKUP(INDIRECT(ADDRESS(2,COLUMN())),OFFSET($T$2,0,0,ROW()-1,14),ROW()-1,FALSE))</x:f>
        <x:v>2.6681750000000002</x:v>
      </x:c>
      <x:c r="N87">
        <x:f ca="1">IF(AND($B$1012=1,LEN($N$1093)&gt;0),$N$1093,HLOOKUP(INDIRECT(ADDRESS(2,COLUMN())),OFFSET($T$2,0,0,ROW()-1,14),ROW()-1,FALSE))</x:f>
        <x:v>-3.3533469999999999</x:v>
      </x:c>
      <x:c r="O87">
        <x:f ca="1">IF(AND($B$1012=1,LEN($O$1093)&gt;0),$O$1093,HLOOKUP(INDIRECT(ADDRESS(2,COLUMN())),OFFSET($T$2,0,0,ROW()-1,14),ROW()-1,FALSE))</x:f>
        <x:v>0.89227800000000002</x:v>
      </x:c>
      <x:c r="P87">
        <x:f ca="1">IF(AND($B$1012=1,LEN($P$1093)&gt;0),$P$1093,HLOOKUP(INDIRECT(ADDRESS(2,COLUMN())),OFFSET($T$2,0,0,ROW()-1,14),ROW()-1,FALSE))</x:f>
        <x:v>-0.39609800000000001</x:v>
      </x:c>
      <x:c r="Q87">
        <x:f ca="1">IF(AND($B$1012=1,LEN($Q$1093)&gt;0),$Q$1093,HLOOKUP(INDIRECT(ADDRESS(2,COLUMN())),OFFSET($T$2,0,0,ROW()-1,14),ROW()-1,FALSE))</x:f>
        <x:v>1.303328</x:v>
      </x:c>
      <x:c r="R87">
        <x:f ca="1">IF(AND($B$1012=1,LEN($R$1093)&gt;0),$R$1093,HLOOKUP(INDIRECT(ADDRESS(2,COLUMN())),OFFSET($T$2,0,0,ROW()-1,14),ROW()-1,FALSE))</x:f>
        <x:v>1.8381099999999999</x:v>
      </x:c>
      <x:c r="S87">
        <x:f ca="1">IF(AND($B$1012=1,LEN($S$1093)&gt;0),$S$1093,HLOOKUP(INDIRECT(ADDRESS(2,COLUMN())),OFFSET($T$2,0,0,ROW()-1,14),ROW()-1,FALSE))</x:f>
        <x:v>-0.44043199999999999</x:v>
      </x:c>
      <x:c r="T87">
        <x:f>-0.145827</x:f>
        <x:v>-0.14582700000000001</x:v>
      </x:c>
      <x:c r="U87">
        <x:f>-1.51946</x:f>
        <x:v>-1.51946</x:v>
      </x:c>
      <x:c r="V87">
        <x:f>-0.314717</x:f>
        <x:v>-0.31471700000000002</x:v>
      </x:c>
      <x:c r="W87">
        <x:f>0</x:f>
        <x:v>0</x:v>
      </x:c>
      <x:c r="X87">
        <x:f>-0.169612</x:f>
        <x:v>-0.16961200000000001</x:v>
      </x:c>
      <x:c r="Y87">
        <x:f>-0.167722</x:f>
        <x:v>-0.16772200000000001</x:v>
      </x:c>
      <x:c r="Z87">
        <x:f>0.405815</x:f>
        <x:v>0.40581499999999998</x:v>
      </x:c>
      <x:c r="AA87">
        <x:f>2.668175</x:f>
        <x:v>2.6681750000000002</x:v>
      </x:c>
      <x:c r="AB87">
        <x:f>-3.353347</x:f>
        <x:v>-3.3533469999999999</x:v>
      </x:c>
      <x:c r="AC87">
        <x:f>0.892278</x:f>
        <x:v>0.89227800000000002</x:v>
      </x:c>
      <x:c r="AD87">
        <x:f>-0.396098</x:f>
        <x:v>-0.39609800000000001</x:v>
      </x:c>
      <x:c r="AE87">
        <x:f>1.303328</x:f>
        <x:v>1.303328</x:v>
      </x:c>
      <x:c r="AF87">
        <x:f>1.83811</x:f>
        <x:v>1.8381099999999999</x:v>
      </x:c>
      <x:c r="AG87">
        <x:f>-0.440432</x:f>
        <x:v>-0.44043199999999999</x:v>
      </x:c>
    </x:row>
    <x:row r="88" spans="1:33" x14ac:dyDescent="0.25">
      <x:c r="A88" t="str">
        <x:f>"        iShares Edge MSCI Multifactor"</x:f>
        <x:v xml:space="preserve">        iShares Edge MSCI Multifactor</x:v>
      </x:c>
      <x:c r="B88" t="str">
        <x:f>"CNSF US Equity"</x:f>
        <x:v>CNSF US Equity</x:v>
      </x:c>
      <x:c r="E88" t="str">
        <x:f t="shared" si="2"/>
        <x:v>Expression</x:v>
      </x:c>
      <x:c r="F88" t="str">
        <x:f ca="1">IF(AND($B$1012=1,LEN($F$1094)&gt;0),$F$1094,HLOOKUP(INDIRECT(ADDRESS(2,COLUMN())),OFFSET($T$2,0,0,ROW()-1,14),ROW()-1,FALSE))</x:f>
        <x:v/>
      </x:c>
      <x:c r="G88" t="str">
        <x:f ca="1">IF(AND($B$1012=1,LEN($G$1094)&gt;0),$G$1094,HLOOKUP(INDIRECT(ADDRESS(2,COLUMN())),OFFSET($T$2,0,0,ROW()-1,14),ROW()-1,FALSE))</x:f>
        <x:v/>
      </x:c>
      <x:c r="H88" t="str">
        <x:f ca="1">IF(AND($B$1012=1,LEN($H$1094)&gt;0),$H$1094,HLOOKUP(INDIRECT(ADDRESS(2,COLUMN())),OFFSET($T$2,0,0,ROW()-1,14),ROW()-1,FALSE))</x:f>
        <x:v/>
      </x:c>
      <x:c r="I88" t="str">
        <x:f ca="1">IF(AND($B$1012=1,LEN($I$1094)&gt;0),$I$1094,HLOOKUP(INDIRECT(ADDRESS(2,COLUMN())),OFFSET($T$2,0,0,ROW()-1,14),ROW()-1,FALSE))</x:f>
        <x:v/>
      </x:c>
      <x:c r="J88" t="str">
        <x:f ca="1">IF(AND($B$1012=1,LEN($J$1094)&gt;0),$J$1094,HLOOKUP(INDIRECT(ADDRESS(2,COLUMN())),OFFSET($T$2,0,0,ROW()-1,14),ROW()-1,FALSE))</x:f>
        <x:v/>
      </x:c>
      <x:c r="K88" t="str">
        <x:f ca="1">IF(AND($B$1012=1,LEN($K$1094)&gt;0),$K$1094,HLOOKUP(INDIRECT(ADDRESS(2,COLUMN())),OFFSET($T$2,0,0,ROW()-1,14),ROW()-1,FALSE))</x:f>
        <x:v/>
      </x:c>
      <x:c r="L88" t="str">
        <x:f ca="1">IF(AND($B$1012=1,LEN($L$1094)&gt;0),$L$1094,HLOOKUP(INDIRECT(ADDRESS(2,COLUMN())),OFFSET($T$2,0,0,ROW()-1,14),ROW()-1,FALSE))</x:f>
        <x:v/>
      </x:c>
      <x:c r="M88" t="str">
        <x:f ca="1">IF(AND($B$1012=1,LEN($M$1094)&gt;0),$M$1094,HLOOKUP(INDIRECT(ADDRESS(2,COLUMN())),OFFSET($T$2,0,0,ROW()-1,14),ROW()-1,FALSE))</x:f>
        <x:v/>
      </x:c>
      <x:c r="N88" t="str">
        <x:f ca="1">IF(AND($B$1012=1,LEN($N$1094)&gt;0),$N$1094,HLOOKUP(INDIRECT(ADDRESS(2,COLUMN())),OFFSET($T$2,0,0,ROW()-1,14),ROW()-1,FALSE))</x:f>
        <x:v/>
      </x:c>
      <x:c r="O88" t="str">
        <x:f ca="1">IF(AND($B$1012=1,LEN($O$1094)&gt;0),$O$1094,HLOOKUP(INDIRECT(ADDRESS(2,COLUMN())),OFFSET($T$2,0,0,ROW()-1,14),ROW()-1,FALSE))</x:f>
        <x:v/>
      </x:c>
      <x:c r="P88" t="str">
        <x:f ca="1">IF(AND($B$1012=1,LEN($P$1094)&gt;0),$P$1094,HLOOKUP(INDIRECT(ADDRESS(2,COLUMN())),OFFSET($T$2,0,0,ROW()-1,14),ROW()-1,FALSE))</x:f>
        <x:v/>
      </x:c>
      <x:c r="Q88" t="str">
        <x:f ca="1">IF(AND($B$1012=1,LEN($Q$1094)&gt;0),$Q$1094,HLOOKUP(INDIRECT(ADDRESS(2,COLUMN())),OFFSET($T$2,0,0,ROW()-1,14),ROW()-1,FALSE))</x:f>
        <x:v/>
      </x:c>
      <x:c r="R88" t="str">
        <x:f ca="1">IF(AND($B$1012=1,LEN($R$1094)&gt;0),$R$1094,HLOOKUP(INDIRECT(ADDRESS(2,COLUMN())),OFFSET($T$2,0,0,ROW()-1,14),ROW()-1,FALSE))</x:f>
        <x:v/>
      </x:c>
      <x:c r="S88" t="str">
        <x:f ca="1">IF(AND($B$1012=1,LEN($S$1094)&gt;0),$S$1094,HLOOKUP(INDIRECT(ADDRESS(2,COLUMN())),OFFSET($T$2,0,0,ROW()-1,14),ROW()-1,FALSE))</x:f>
        <x:v/>
      </x:c>
      <x:c r="T88" t="str">
        <x:f>""</x:f>
        <x:v/>
      </x:c>
      <x:c r="U88" t="str">
        <x:f>""</x:f>
        <x:v/>
      </x:c>
      <x:c r="V88" t="str">
        <x:f>""</x:f>
        <x:v/>
      </x:c>
      <x:c r="W88" t="str">
        <x:f>""</x:f>
        <x:v/>
      </x:c>
      <x:c r="X88" t="str">
        <x:f>""</x:f>
        <x:v/>
      </x:c>
      <x:c r="Y88" t="str">
        <x:f>""</x:f>
        <x:v/>
      </x:c>
      <x:c r="Z88" t="str">
        <x:f>""</x:f>
        <x:v/>
      </x:c>
      <x:c r="AA88" t="str">
        <x:f>""</x:f>
        <x:v/>
      </x:c>
      <x:c r="AB88" t="str">
        <x:f>""</x:f>
        <x:v/>
      </x:c>
      <x:c r="AC88" t="str">
        <x:f>""</x:f>
        <x:v/>
      </x:c>
      <x:c r="AD88" t="str">
        <x:f>""</x:f>
        <x:v/>
      </x:c>
      <x:c r="AE88" t="str">
        <x:f>""</x:f>
        <x:v/>
      </x:c>
      <x:c r="AF88" t="str">
        <x:f>""</x:f>
        <x:v/>
      </x:c>
      <x:c r="AG88" t="str">
        <x:f>""</x:f>
        <x:v/>
      </x:c>
    </x:row>
    <x:row r="89" spans="1:33" x14ac:dyDescent="0.25">
      <x:c r="A89" t="str">
        <x:f>"        Direxion Daily Consumer Staple"</x:f>
        <x:v xml:space="preserve">        Direxion Daily Consumer Staple</x:v>
      </x:c>
      <x:c r="B89" t="str">
        <x:f>"SPLZ US Equity"</x:f>
        <x:v>SPLZ US Equity</x:v>
      </x:c>
      <x:c r="E89" t="str">
        <x:f t="shared" si="2"/>
        <x:v>Expression</x:v>
      </x:c>
      <x:c r="F89" t="str">
        <x:f ca="1">IF(AND($B$1012=1,LEN($F$1095)&gt;0),$F$1095,HLOOKUP(INDIRECT(ADDRESS(2,COLUMN())),OFFSET($T$2,0,0,ROW()-1,14),ROW()-1,FALSE))</x:f>
        <x:v/>
      </x:c>
      <x:c r="G89" t="str">
        <x:f ca="1">IF(AND($B$1012=1,LEN($G$1095)&gt;0),$G$1095,HLOOKUP(INDIRECT(ADDRESS(2,COLUMN())),OFFSET($T$2,0,0,ROW()-1,14),ROW()-1,FALSE))</x:f>
        <x:v/>
      </x:c>
      <x:c r="H89" t="str">
        <x:f ca="1">IF(AND($B$1012=1,LEN($H$1095)&gt;0),$H$1095,HLOOKUP(INDIRECT(ADDRESS(2,COLUMN())),OFFSET($T$2,0,0,ROW()-1,14),ROW()-1,FALSE))</x:f>
        <x:v/>
      </x:c>
      <x:c r="I89" t="str">
        <x:f ca="1">IF(AND($B$1012=1,LEN($I$1095)&gt;0),$I$1095,HLOOKUP(INDIRECT(ADDRESS(2,COLUMN())),OFFSET($T$2,0,0,ROW()-1,14),ROW()-1,FALSE))</x:f>
        <x:v/>
      </x:c>
      <x:c r="J89" t="str">
        <x:f ca="1">IF(AND($B$1012=1,LEN($J$1095)&gt;0),$J$1095,HLOOKUP(INDIRECT(ADDRESS(2,COLUMN())),OFFSET($T$2,0,0,ROW()-1,14),ROW()-1,FALSE))</x:f>
        <x:v/>
      </x:c>
      <x:c r="K89" t="str">
        <x:f ca="1">IF(AND($B$1012=1,LEN($K$1095)&gt;0),$K$1095,HLOOKUP(INDIRECT(ADDRESS(2,COLUMN())),OFFSET($T$2,0,0,ROW()-1,14),ROW()-1,FALSE))</x:f>
        <x:v/>
      </x:c>
      <x:c r="L89" t="str">
        <x:f ca="1">IF(AND($B$1012=1,LEN($L$1095)&gt;0),$L$1095,HLOOKUP(INDIRECT(ADDRESS(2,COLUMN())),OFFSET($T$2,0,0,ROW()-1,14),ROW()-1,FALSE))</x:f>
        <x:v/>
      </x:c>
      <x:c r="M89" t="str">
        <x:f ca="1">IF(AND($B$1012=1,LEN($M$1095)&gt;0),$M$1095,HLOOKUP(INDIRECT(ADDRESS(2,COLUMN())),OFFSET($T$2,0,0,ROW()-1,14),ROW()-1,FALSE))</x:f>
        <x:v/>
      </x:c>
      <x:c r="N89" t="str">
        <x:f ca="1">IF(AND($B$1012=1,LEN($N$1095)&gt;0),$N$1095,HLOOKUP(INDIRECT(ADDRESS(2,COLUMN())),OFFSET($T$2,0,0,ROW()-1,14),ROW()-1,FALSE))</x:f>
        <x:v/>
      </x:c>
      <x:c r="O89" t="str">
        <x:f ca="1">IF(AND($B$1012=1,LEN($O$1095)&gt;0),$O$1095,HLOOKUP(INDIRECT(ADDRESS(2,COLUMN())),OFFSET($T$2,0,0,ROW()-1,14),ROW()-1,FALSE))</x:f>
        <x:v/>
      </x:c>
      <x:c r="P89" t="str">
        <x:f ca="1">IF(AND($B$1012=1,LEN($P$1095)&gt;0),$P$1095,HLOOKUP(INDIRECT(ADDRESS(2,COLUMN())),OFFSET($T$2,0,0,ROW()-1,14),ROW()-1,FALSE))</x:f>
        <x:v/>
      </x:c>
      <x:c r="Q89" t="str">
        <x:f ca="1">IF(AND($B$1012=1,LEN($Q$1095)&gt;0),$Q$1095,HLOOKUP(INDIRECT(ADDRESS(2,COLUMN())),OFFSET($T$2,0,0,ROW()-1,14),ROW()-1,FALSE))</x:f>
        <x:v/>
      </x:c>
      <x:c r="R89" t="str">
        <x:f ca="1">IF(AND($B$1012=1,LEN($R$1095)&gt;0),$R$1095,HLOOKUP(INDIRECT(ADDRESS(2,COLUMN())),OFFSET($T$2,0,0,ROW()-1,14),ROW()-1,FALSE))</x:f>
        <x:v/>
      </x:c>
      <x:c r="S89" t="str">
        <x:f ca="1">IF(AND($B$1012=1,LEN($S$1095)&gt;0),$S$1095,HLOOKUP(INDIRECT(ADDRESS(2,COLUMN())),OFFSET($T$2,0,0,ROW()-1,14),ROW()-1,FALSE))</x:f>
        <x:v/>
      </x:c>
      <x:c r="T89" t="str">
        <x:f>""</x:f>
        <x:v/>
      </x:c>
      <x:c r="U89" t="str">
        <x:f>""</x:f>
        <x:v/>
      </x:c>
      <x:c r="V89" t="str">
        <x:f>""</x:f>
        <x:v/>
      </x:c>
      <x:c r="W89" t="str">
        <x:f>""</x:f>
        <x:v/>
      </x:c>
      <x:c r="X89" t="str">
        <x:f>""</x:f>
        <x:v/>
      </x:c>
      <x:c r="Y89" t="str">
        <x:f>""</x:f>
        <x:v/>
      </x:c>
      <x:c r="Z89" t="str">
        <x:f>""</x:f>
        <x:v/>
      </x:c>
      <x:c r="AA89" t="str">
        <x:f>""</x:f>
        <x:v/>
      </x:c>
      <x:c r="AB89" t="str">
        <x:f>""</x:f>
        <x:v/>
      </x:c>
      <x:c r="AC89" t="str">
        <x:f>""</x:f>
        <x:v/>
      </x:c>
      <x:c r="AD89" t="str">
        <x:f>""</x:f>
        <x:v/>
      </x:c>
      <x:c r="AE89" t="str">
        <x:f>""</x:f>
        <x:v/>
      </x:c>
      <x:c r="AF89" t="str">
        <x:f>""</x:f>
        <x:v/>
      </x:c>
      <x:c r="AG89" t="str">
        <x:f>""</x:f>
        <x:v/>
      </x:c>
    </x:row>
    <x:row r="90" spans="1:33" x14ac:dyDescent="0.25">
      <x:c r="A90" t="str">
        <x:f>"        ProShares UltraShort Consumer"</x:f>
        <x:v xml:space="preserve">        ProShares UltraShort Consumer</x:v>
      </x:c>
      <x:c r="B90" t="str">
        <x:f>"SZK US Equity"</x:f>
        <x:v>SZK US Equity</x:v>
      </x:c>
      <x:c r="E90" t="str">
        <x:f t="shared" si="2"/>
        <x:v>Expression</x:v>
      </x:c>
      <x:c r="F90">
        <x:f ca="1">IF(AND($B$1012=1,LEN($F$1096)&gt;0),$F$1096,HLOOKUP(INDIRECT(ADDRESS(2,COLUMN())),OFFSET($T$2,0,0,ROW()-1,14),ROW()-1,FALSE))</x:f>
        <x:v>2.872E-3</x:v>
      </x:c>
      <x:c r="G90">
        <x:f ca="1">IF(AND($B$1012=1,LEN($G$1096)&gt;0),$G$1096,HLOOKUP(INDIRECT(ADDRESS(2,COLUMN())),OFFSET($T$2,0,0,ROW()-1,14),ROW()-1,FALSE))</x:f>
        <x:v>1.068152</x:v>
      </x:c>
      <x:c r="H90">
        <x:f ca="1">IF(AND($B$1012=1,LEN($H$1096)&gt;0),$H$1096,HLOOKUP(INDIRECT(ADDRESS(2,COLUMN())),OFFSET($T$2,0,0,ROW()-1,14),ROW()-1,FALSE))</x:f>
        <x:v>-0.15670799999999999</x:v>
      </x:c>
      <x:c r="I90">
        <x:f ca="1">IF(AND($B$1012=1,LEN($I$1096)&gt;0),$I$1096,HLOOKUP(INDIRECT(ADDRESS(2,COLUMN())),OFFSET($T$2,0,0,ROW()-1,14),ROW()-1,FALSE))</x:f>
        <x:v>0</x:v>
      </x:c>
      <x:c r="J90">
        <x:f ca="1">IF(AND($B$1012=1,LEN($J$1096)&gt;0),$J$1096,HLOOKUP(INDIRECT(ADDRESS(2,COLUMN())),OFFSET($T$2,0,0,ROW()-1,14),ROW()-1,FALSE))</x:f>
        <x:v>-0.13834299999999999</x:v>
      </x:c>
      <x:c r="K90">
        <x:f ca="1">IF(AND($B$1012=1,LEN($K$1096)&gt;0),$K$1096,HLOOKUP(INDIRECT(ADDRESS(2,COLUMN())),OFFSET($T$2,0,0,ROW()-1,14),ROW()-1,FALSE))</x:f>
        <x:v>-0.53126200000000001</x:v>
      </x:c>
      <x:c r="L90">
        <x:f ca="1">IF(AND($B$1012=1,LEN($L$1096)&gt;0),$L$1096,HLOOKUP(INDIRECT(ADDRESS(2,COLUMN())),OFFSET($T$2,0,0,ROW()-1,14),ROW()-1,FALSE))</x:f>
        <x:v>-0.33919199999999999</x:v>
      </x:c>
      <x:c r="M90">
        <x:f ca="1">IF(AND($B$1012=1,LEN($M$1096)&gt;0),$M$1096,HLOOKUP(INDIRECT(ADDRESS(2,COLUMN())),OFFSET($T$2,0,0,ROW()-1,14),ROW()-1,FALSE))</x:f>
        <x:v>-0.71030000000000004</x:v>
      </x:c>
      <x:c r="N90">
        <x:f ca="1">IF(AND($B$1012=1,LEN($N$1096)&gt;0),$N$1096,HLOOKUP(INDIRECT(ADDRESS(2,COLUMN())),OFFSET($T$2,0,0,ROW()-1,14),ROW()-1,FALSE))</x:f>
        <x:v>1.1439900000000001</x:v>
      </x:c>
      <x:c r="O90">
        <x:f ca="1">IF(AND($B$1012=1,LEN($O$1096)&gt;0),$O$1096,HLOOKUP(INDIRECT(ADDRESS(2,COLUMN())),OFFSET($T$2,0,0,ROW()-1,14),ROW()-1,FALSE))</x:f>
        <x:v>0.352663</x:v>
      </x:c>
      <x:c r="P90">
        <x:f ca="1">IF(AND($B$1012=1,LEN($P$1096)&gt;0),$P$1096,HLOOKUP(INDIRECT(ADDRESS(2,COLUMN())),OFFSET($T$2,0,0,ROW()-1,14),ROW()-1,FALSE))</x:f>
        <x:v>0</x:v>
      </x:c>
      <x:c r="Q90">
        <x:f ca="1">IF(AND($B$1012=1,LEN($Q$1096)&gt;0),$Q$1096,HLOOKUP(INDIRECT(ADDRESS(2,COLUMN())),OFFSET($T$2,0,0,ROW()-1,14),ROW()-1,FALSE))</x:f>
        <x:v>-1.2280869999999999</x:v>
      </x:c>
      <x:c r="R90">
        <x:f ca="1">IF(AND($B$1012=1,LEN($R$1096)&gt;0),$R$1096,HLOOKUP(INDIRECT(ADDRESS(2,COLUMN())),OFFSET($T$2,0,0,ROW()-1,14),ROW()-1,FALSE))</x:f>
        <x:v>0</x:v>
      </x:c>
      <x:c r="S90">
        <x:f ca="1">IF(AND($B$1012=1,LEN($S$1096)&gt;0),$S$1096,HLOOKUP(INDIRECT(ADDRESS(2,COLUMN())),OFFSET($T$2,0,0,ROW()-1,14),ROW()-1,FALSE))</x:f>
        <x:v>-0.86326000000000003</x:v>
      </x:c>
      <x:c r="T90">
        <x:f>0.002872</x:f>
        <x:v>2.872E-3</x:v>
      </x:c>
      <x:c r="U90">
        <x:f>1.068152</x:f>
        <x:v>1.068152</x:v>
      </x:c>
      <x:c r="V90">
        <x:f>-0.156708</x:f>
        <x:v>-0.15670799999999999</x:v>
      </x:c>
      <x:c r="W90">
        <x:f>0</x:f>
        <x:v>0</x:v>
      </x:c>
      <x:c r="X90">
        <x:f>-0.138343</x:f>
        <x:v>-0.13834299999999999</x:v>
      </x:c>
      <x:c r="Y90">
        <x:f>-0.531262</x:f>
        <x:v>-0.53126200000000001</x:v>
      </x:c>
      <x:c r="Z90">
        <x:f>-0.339192</x:f>
        <x:v>-0.33919199999999999</x:v>
      </x:c>
      <x:c r="AA90">
        <x:f>-0.7103</x:f>
        <x:v>-0.71030000000000004</x:v>
      </x:c>
      <x:c r="AB90">
        <x:f>1.14399</x:f>
        <x:v>1.1439900000000001</x:v>
      </x:c>
      <x:c r="AC90">
        <x:f>0.352663</x:f>
        <x:v>0.352663</x:v>
      </x:c>
      <x:c r="AD90">
        <x:f>0</x:f>
        <x:v>0</x:v>
      </x:c>
      <x:c r="AE90">
        <x:f>-1.228087</x:f>
        <x:v>-1.2280869999999999</x:v>
      </x:c>
      <x:c r="AF90">
        <x:f>0</x:f>
        <x:v>0</x:v>
      </x:c>
      <x:c r="AG90">
        <x:f>-0.86326</x:f>
        <x:v>-0.86326000000000003</x:v>
      </x:c>
    </x:row>
    <x:row r="91" spans="1:33" x14ac:dyDescent="0.25">
      <x:c r="A91" t="str">
        <x:f>"        Elkhorn S&amp;P MidCap Consumer St"</x:f>
        <x:v xml:space="preserve">        Elkhorn S&amp;P MidCap Consumer St</x:v>
      </x:c>
      <x:c r="B91" t="str">
        <x:f>"XS US Equity"</x:f>
        <x:v>XS US Equity</x:v>
      </x:c>
      <x:c r="E91" t="str">
        <x:f t="shared" si="2"/>
        <x:v>Expression</x:v>
      </x:c>
      <x:c r="F91" t="str">
        <x:f ca="1">IF(AND($B$1012=1,LEN($F$1097)&gt;0),$F$1097,HLOOKUP(INDIRECT(ADDRESS(2,COLUMN())),OFFSET($T$2,0,0,ROW()-1,14),ROW()-1,FALSE))</x:f>
        <x:v/>
      </x:c>
      <x:c r="G91" t="str">
        <x:f ca="1">IF(AND($B$1012=1,LEN($G$1097)&gt;0),$G$1097,HLOOKUP(INDIRECT(ADDRESS(2,COLUMN())),OFFSET($T$2,0,0,ROW()-1,14),ROW()-1,FALSE))</x:f>
        <x:v/>
      </x:c>
      <x:c r="H91" t="str">
        <x:f ca="1">IF(AND($B$1012=1,LEN($H$1097)&gt;0),$H$1097,HLOOKUP(INDIRECT(ADDRESS(2,COLUMN())),OFFSET($T$2,0,0,ROW()-1,14),ROW()-1,FALSE))</x:f>
        <x:v/>
      </x:c>
      <x:c r="I91" t="str">
        <x:f ca="1">IF(AND($B$1012=1,LEN($I$1097)&gt;0),$I$1097,HLOOKUP(INDIRECT(ADDRESS(2,COLUMN())),OFFSET($T$2,0,0,ROW()-1,14),ROW()-1,FALSE))</x:f>
        <x:v/>
      </x:c>
      <x:c r="J91" t="str">
        <x:f ca="1">IF(AND($B$1012=1,LEN($J$1097)&gt;0),$J$1097,HLOOKUP(INDIRECT(ADDRESS(2,COLUMN())),OFFSET($T$2,0,0,ROW()-1,14),ROW()-1,FALSE))</x:f>
        <x:v/>
      </x:c>
      <x:c r="K91" t="str">
        <x:f ca="1">IF(AND($B$1012=1,LEN($K$1097)&gt;0),$K$1097,HLOOKUP(INDIRECT(ADDRESS(2,COLUMN())),OFFSET($T$2,0,0,ROW()-1,14),ROW()-1,FALSE))</x:f>
        <x:v/>
      </x:c>
      <x:c r="L91" t="str">
        <x:f ca="1">IF(AND($B$1012=1,LEN($L$1097)&gt;0),$L$1097,HLOOKUP(INDIRECT(ADDRESS(2,COLUMN())),OFFSET($T$2,0,0,ROW()-1,14),ROW()-1,FALSE))</x:f>
        <x:v/>
      </x:c>
      <x:c r="M91" t="str">
        <x:f ca="1">IF(AND($B$1012=1,LEN($M$1097)&gt;0),$M$1097,HLOOKUP(INDIRECT(ADDRESS(2,COLUMN())),OFFSET($T$2,0,0,ROW()-1,14),ROW()-1,FALSE))</x:f>
        <x:v/>
      </x:c>
      <x:c r="N91" t="str">
        <x:f ca="1">IF(AND($B$1012=1,LEN($N$1097)&gt;0),$N$1097,HLOOKUP(INDIRECT(ADDRESS(2,COLUMN())),OFFSET($T$2,0,0,ROW()-1,14),ROW()-1,FALSE))</x:f>
        <x:v/>
      </x:c>
      <x:c r="O91" t="str">
        <x:f ca="1">IF(AND($B$1012=1,LEN($O$1097)&gt;0),$O$1097,HLOOKUP(INDIRECT(ADDRESS(2,COLUMN())),OFFSET($T$2,0,0,ROW()-1,14),ROW()-1,FALSE))</x:f>
        <x:v/>
      </x:c>
      <x:c r="P91" t="str">
        <x:f ca="1">IF(AND($B$1012=1,LEN($P$1097)&gt;0),$P$1097,HLOOKUP(INDIRECT(ADDRESS(2,COLUMN())),OFFSET($T$2,0,0,ROW()-1,14),ROW()-1,FALSE))</x:f>
        <x:v/>
      </x:c>
      <x:c r="Q91" t="str">
        <x:f ca="1">IF(AND($B$1012=1,LEN($Q$1097)&gt;0),$Q$1097,HLOOKUP(INDIRECT(ADDRESS(2,COLUMN())),OFFSET($T$2,0,0,ROW()-1,14),ROW()-1,FALSE))</x:f>
        <x:v/>
      </x:c>
      <x:c r="R91" t="str">
        <x:f ca="1">IF(AND($B$1012=1,LEN($R$1097)&gt;0),$R$1097,HLOOKUP(INDIRECT(ADDRESS(2,COLUMN())),OFFSET($T$2,0,0,ROW()-1,14),ROW()-1,FALSE))</x:f>
        <x:v/>
      </x:c>
      <x:c r="S91" t="str">
        <x:f ca="1">IF(AND($B$1012=1,LEN($S$1097)&gt;0),$S$1097,HLOOKUP(INDIRECT(ADDRESS(2,COLUMN())),OFFSET($T$2,0,0,ROW()-1,14),ROW()-1,FALSE))</x:f>
        <x:v/>
      </x:c>
      <x:c r="T91" t="str">
        <x:f>""</x:f>
        <x:v/>
      </x:c>
      <x:c r="U91" t="str">
        <x:f>""</x:f>
        <x:v/>
      </x:c>
      <x:c r="V91" t="str">
        <x:f>""</x:f>
        <x:v/>
      </x:c>
      <x:c r="W91" t="str">
        <x:f>""</x:f>
        <x:v/>
      </x:c>
      <x:c r="X91" t="str">
        <x:f>""</x:f>
        <x:v/>
      </x:c>
      <x:c r="Y91" t="str">
        <x:f>""</x:f>
        <x:v/>
      </x:c>
      <x:c r="Z91" t="str">
        <x:f>""</x:f>
        <x:v/>
      </x:c>
      <x:c r="AA91" t="str">
        <x:f>""</x:f>
        <x:v/>
      </x:c>
      <x:c r="AB91" t="str">
        <x:f>""</x:f>
        <x:v/>
      </x:c>
      <x:c r="AC91" t="str">
        <x:f>""</x:f>
        <x:v/>
      </x:c>
      <x:c r="AD91" t="str">
        <x:f>""</x:f>
        <x:v/>
      </x:c>
      <x:c r="AE91" t="str">
        <x:f>""</x:f>
        <x:v/>
      </x:c>
      <x:c r="AF91" t="str">
        <x:f>""</x:f>
        <x:v/>
      </x:c>
      <x:c r="AG91" t="str">
        <x:f>""</x:f>
        <x:v/>
      </x:c>
    </x:row>
    <x:row r="92" spans="1:33" x14ac:dyDescent="0.25">
      <x:c r="A92" t="str">
        <x:f>"        iShares Evolved US Consumer St"</x:f>
        <x:v xml:space="preserve">        iShares Evolved US Consumer St</x:v>
      </x:c>
      <x:c r="B92" t="str">
        <x:f>"IECS US Equity"</x:f>
        <x:v>IECS US Equity</x:v>
      </x:c>
      <x:c r="E92" t="str">
        <x:f t="shared" si="2"/>
        <x:v>Expression</x:v>
      </x:c>
      <x:c r="F92" t="str">
        <x:f ca="1">IF(AND($B$1012=1,LEN($F$1098)&gt;0),$F$1098,HLOOKUP(INDIRECT(ADDRESS(2,COLUMN())),OFFSET($T$2,0,0,ROW()-1,14),ROW()-1,FALSE))</x:f>
        <x:v/>
      </x:c>
      <x:c r="G92" t="str">
        <x:f ca="1">IF(AND($B$1012=1,LEN($G$1098)&gt;0),$G$1098,HLOOKUP(INDIRECT(ADDRESS(2,COLUMN())),OFFSET($T$2,0,0,ROW()-1,14),ROW()-1,FALSE))</x:f>
        <x:v/>
      </x:c>
      <x:c r="H92" t="str">
        <x:f ca="1">IF(AND($B$1012=1,LEN($H$1098)&gt;0),$H$1098,HLOOKUP(INDIRECT(ADDRESS(2,COLUMN())),OFFSET($T$2,0,0,ROW()-1,14),ROW()-1,FALSE))</x:f>
        <x:v/>
      </x:c>
      <x:c r="I92" t="str">
        <x:f ca="1">IF(AND($B$1012=1,LEN($I$1098)&gt;0),$I$1098,HLOOKUP(INDIRECT(ADDRESS(2,COLUMN())),OFFSET($T$2,0,0,ROW()-1,14),ROW()-1,FALSE))</x:f>
        <x:v/>
      </x:c>
      <x:c r="J92" t="str">
        <x:f ca="1">IF(AND($B$1012=1,LEN($J$1098)&gt;0),$J$1098,HLOOKUP(INDIRECT(ADDRESS(2,COLUMN())),OFFSET($T$2,0,0,ROW()-1,14),ROW()-1,FALSE))</x:f>
        <x:v/>
      </x:c>
      <x:c r="K92" t="str">
        <x:f ca="1">IF(AND($B$1012=1,LEN($K$1098)&gt;0),$K$1098,HLOOKUP(INDIRECT(ADDRESS(2,COLUMN())),OFFSET($T$2,0,0,ROW()-1,14),ROW()-1,FALSE))</x:f>
        <x:v/>
      </x:c>
      <x:c r="L92" t="str">
        <x:f ca="1">IF(AND($B$1012=1,LEN($L$1098)&gt;0),$L$1098,HLOOKUP(INDIRECT(ADDRESS(2,COLUMN())),OFFSET($T$2,0,0,ROW()-1,14),ROW()-1,FALSE))</x:f>
        <x:v/>
      </x:c>
      <x:c r="M92" t="str">
        <x:f ca="1">IF(AND($B$1012=1,LEN($M$1098)&gt;0),$M$1098,HLOOKUP(INDIRECT(ADDRESS(2,COLUMN())),OFFSET($T$2,0,0,ROW()-1,14),ROW()-1,FALSE))</x:f>
        <x:v/>
      </x:c>
      <x:c r="N92" t="str">
        <x:f ca="1">IF(AND($B$1012=1,LEN($N$1098)&gt;0),$N$1098,HLOOKUP(INDIRECT(ADDRESS(2,COLUMN())),OFFSET($T$2,0,0,ROW()-1,14),ROW()-1,FALSE))</x:f>
        <x:v/>
      </x:c>
      <x:c r="O92" t="str">
        <x:f ca="1">IF(AND($B$1012=1,LEN($O$1098)&gt;0),$O$1098,HLOOKUP(INDIRECT(ADDRESS(2,COLUMN())),OFFSET($T$2,0,0,ROW()-1,14),ROW()-1,FALSE))</x:f>
        <x:v/>
      </x:c>
      <x:c r="P92" t="str">
        <x:f ca="1">IF(AND($B$1012=1,LEN($P$1098)&gt;0),$P$1098,HLOOKUP(INDIRECT(ADDRESS(2,COLUMN())),OFFSET($T$2,0,0,ROW()-1,14),ROW()-1,FALSE))</x:f>
        <x:v/>
      </x:c>
      <x:c r="Q92" t="str">
        <x:f ca="1">IF(AND($B$1012=1,LEN($Q$1098)&gt;0),$Q$1098,HLOOKUP(INDIRECT(ADDRESS(2,COLUMN())),OFFSET($T$2,0,0,ROW()-1,14),ROW()-1,FALSE))</x:f>
        <x:v/>
      </x:c>
      <x:c r="R92" t="str">
        <x:f ca="1">IF(AND($B$1012=1,LEN($R$1098)&gt;0),$R$1098,HLOOKUP(INDIRECT(ADDRESS(2,COLUMN())),OFFSET($T$2,0,0,ROW()-1,14),ROW()-1,FALSE))</x:f>
        <x:v/>
      </x:c>
      <x:c r="S92" t="str">
        <x:f ca="1">IF(AND($B$1012=1,LEN($S$1098)&gt;0),$S$1098,HLOOKUP(INDIRECT(ADDRESS(2,COLUMN())),OFFSET($T$2,0,0,ROW()-1,14),ROW()-1,FALSE))</x:f>
        <x:v/>
      </x:c>
      <x:c r="T92" t="str">
        <x:f>""</x:f>
        <x:v/>
      </x:c>
      <x:c r="U92" t="str">
        <x:f>""</x:f>
        <x:v/>
      </x:c>
      <x:c r="V92" t="str">
        <x:f>""</x:f>
        <x:v/>
      </x:c>
      <x:c r="W92" t="str">
        <x:f>""</x:f>
        <x:v/>
      </x:c>
      <x:c r="X92" t="str">
        <x:f>""</x:f>
        <x:v/>
      </x:c>
      <x:c r="Y92" t="str">
        <x:f>""</x:f>
        <x:v/>
      </x:c>
      <x:c r="Z92" t="str">
        <x:f>""</x:f>
        <x:v/>
      </x:c>
      <x:c r="AA92" t="str">
        <x:f>""</x:f>
        <x:v/>
      </x:c>
      <x:c r="AB92" t="str">
        <x:f>""</x:f>
        <x:v/>
      </x:c>
      <x:c r="AC92" t="str">
        <x:f>""</x:f>
        <x:v/>
      </x:c>
      <x:c r="AD92" t="str">
        <x:f>""</x:f>
        <x:v/>
      </x:c>
      <x:c r="AE92" t="str">
        <x:f>""</x:f>
        <x:v/>
      </x:c>
      <x:c r="AF92" t="str">
        <x:f>""</x:f>
        <x:v/>
      </x:c>
      <x:c r="AG92" t="str">
        <x:f>""</x:f>
        <x:v/>
      </x:c>
    </x:row>
    <x:row r="93" spans="1:33" x14ac:dyDescent="0.25">
      <x:c r="A93" t="str">
        <x:f>"        Global X MSCI China Consumer S"</x:f>
        <x:v xml:space="preserve">        Global X MSCI China Consumer S</x:v>
      </x:c>
      <x:c r="B93" t="str">
        <x:f>"CHIS US Equity"</x:f>
        <x:v>CHIS US Equity</x:v>
      </x:c>
      <x:c r="E93" t="str">
        <x:f t="shared" si="2"/>
        <x:v>Expression</x:v>
      </x:c>
      <x:c r="F93">
        <x:f ca="1">IF(AND($B$1012=1,LEN($F$1099)&gt;0),$F$1099,HLOOKUP(INDIRECT(ADDRESS(2,COLUMN())),OFFSET($T$2,0,0,ROW()-1,14),ROW()-1,FALSE))</x:f>
        <x:v>0</x:v>
      </x:c>
      <x:c r="G93">
        <x:f ca="1">IF(AND($B$1012=1,LEN($G$1099)&gt;0),$G$1099,HLOOKUP(INDIRECT(ADDRESS(2,COLUMN())),OFFSET($T$2,0,0,ROW()-1,14),ROW()-1,FALSE))</x:f>
        <x:v>0</x:v>
      </x:c>
      <x:c r="H93">
        <x:f ca="1">IF(AND($B$1012=1,LEN($H$1099)&gt;0),$H$1099,HLOOKUP(INDIRECT(ADDRESS(2,COLUMN())),OFFSET($T$2,0,0,ROW()-1,14),ROW()-1,FALSE))</x:f>
        <x:v>-3.8340000000000001</x:v>
      </x:c>
      <x:c r="I93">
        <x:f ca="1">IF(AND($B$1012=1,LEN($I$1099)&gt;0),$I$1099,HLOOKUP(INDIRECT(ADDRESS(2,COLUMN())),OFFSET($T$2,0,0,ROW()-1,14),ROW()-1,FALSE))</x:f>
        <x:v>-19.375299999999999</x:v>
      </x:c>
      <x:c r="J93">
        <x:f ca="1">IF(AND($B$1012=1,LEN($J$1099)&gt;0),$J$1099,HLOOKUP(INDIRECT(ADDRESS(2,COLUMN())),OFFSET($T$2,0,0,ROW()-1,14),ROW()-1,FALSE))</x:f>
        <x:v>0</x:v>
      </x:c>
      <x:c r="K93">
        <x:f ca="1">IF(AND($B$1012=1,LEN($K$1099)&gt;0),$K$1099,HLOOKUP(INDIRECT(ADDRESS(2,COLUMN())),OFFSET($T$2,0,0,ROW()-1,14),ROW()-1,FALSE))</x:f>
        <x:v>0</x:v>
      </x:c>
      <x:c r="L93">
        <x:f ca="1">IF(AND($B$1012=1,LEN($L$1099)&gt;0),$L$1099,HLOOKUP(INDIRECT(ADDRESS(2,COLUMN())),OFFSET($T$2,0,0,ROW()-1,14),ROW()-1,FALSE))</x:f>
        <x:v>-0.20599999999999999</x:v>
      </x:c>
      <x:c r="M93">
        <x:f ca="1">IF(AND($B$1012=1,LEN($M$1099)&gt;0),$M$1099,HLOOKUP(INDIRECT(ADDRESS(2,COLUMN())),OFFSET($T$2,0,0,ROW()-1,14),ROW()-1,FALSE))</x:f>
        <x:v>0.44140000000000001</x:v>
      </x:c>
      <x:c r="N93">
        <x:f ca="1">IF(AND($B$1012=1,LEN($N$1099)&gt;0),$N$1099,HLOOKUP(INDIRECT(ADDRESS(2,COLUMN())),OFFSET($T$2,0,0,ROW()-1,14),ROW()-1,FALSE))</x:f>
        <x:v>0</x:v>
      </x:c>
      <x:c r="O93">
        <x:f ca="1">IF(AND($B$1012=1,LEN($O$1099)&gt;0),$O$1099,HLOOKUP(INDIRECT(ADDRESS(2,COLUMN())),OFFSET($T$2,0,0,ROW()-1,14),ROW()-1,FALSE))</x:f>
        <x:v>0</x:v>
      </x:c>
      <x:c r="P93">
        <x:f ca="1">IF(AND($B$1012=1,LEN($P$1099)&gt;0),$P$1099,HLOOKUP(INDIRECT(ADDRESS(2,COLUMN())),OFFSET($T$2,0,0,ROW()-1,14),ROW()-1,FALSE))</x:f>
        <x:v>0</x:v>
      </x:c>
      <x:c r="Q93">
        <x:f ca="1">IF(AND($B$1012=1,LEN($Q$1099)&gt;0),$Q$1099,HLOOKUP(INDIRECT(ADDRESS(2,COLUMN())),OFFSET($T$2,0,0,ROW()-1,14),ROW()-1,FALSE))</x:f>
        <x:v>17.486699999999999</x:v>
      </x:c>
      <x:c r="R93">
        <x:f ca="1">IF(AND($B$1012=1,LEN($R$1099)&gt;0),$R$1099,HLOOKUP(INDIRECT(ADDRESS(2,COLUMN())),OFFSET($T$2,0,0,ROW()-1,14),ROW()-1,FALSE))</x:f>
        <x:v>9.6951999999999998</x:v>
      </x:c>
      <x:c r="S93">
        <x:f ca="1">IF(AND($B$1012=1,LEN($S$1099)&gt;0),$S$1099,HLOOKUP(INDIRECT(ADDRESS(2,COLUMN())),OFFSET($T$2,0,0,ROW()-1,14),ROW()-1,FALSE))</x:f>
        <x:v>-3.2696000000000001</x:v>
      </x:c>
      <x:c r="T93">
        <x:f>0</x:f>
        <x:v>0</x:v>
      </x:c>
      <x:c r="U93">
        <x:f>0</x:f>
        <x:v>0</x:v>
      </x:c>
      <x:c r="V93">
        <x:f>-3.834</x:f>
        <x:v>-3.8340000000000001</x:v>
      </x:c>
      <x:c r="W93">
        <x:f>-19.3753</x:f>
        <x:v>-19.375299999999999</x:v>
      </x:c>
      <x:c r="X93">
        <x:f>0</x:f>
        <x:v>0</x:v>
      </x:c>
      <x:c r="Y93">
        <x:f>0</x:f>
        <x:v>0</x:v>
      </x:c>
      <x:c r="Z93">
        <x:f>-0.206</x:f>
        <x:v>-0.20599999999999999</x:v>
      </x:c>
      <x:c r="AA93">
        <x:f>0.4414</x:f>
        <x:v>0.44140000000000001</x:v>
      </x:c>
      <x:c r="AB93">
        <x:f>0</x:f>
        <x:v>0</x:v>
      </x:c>
      <x:c r="AC93">
        <x:f>0</x:f>
        <x:v>0</x:v>
      </x:c>
      <x:c r="AD93">
        <x:f>0</x:f>
        <x:v>0</x:v>
      </x:c>
      <x:c r="AE93">
        <x:f>17.4867</x:f>
        <x:v>17.486699999999999</x:v>
      </x:c>
      <x:c r="AF93">
        <x:f>9.6952</x:f>
        <x:v>9.6951999999999998</x:v>
      </x:c>
      <x:c r="AG93">
        <x:f>-3.2696</x:f>
        <x:v>-3.2696000000000001</x:v>
      </x:c>
    </x:row>
    <x:row r="94" spans="1:33" x14ac:dyDescent="0.25">
      <x:c r="A94" t="str">
        <x:f>"        Direxion Daily Consumer Staple"</x:f>
        <x:v xml:space="preserve">        Direxion Daily Consumer Staple</x:v>
      </x:c>
      <x:c r="B94" t="str">
        <x:f>"LACK US Equity"</x:f>
        <x:v>LACK US Equity</x:v>
      </x:c>
      <x:c r="E94" t="str">
        <x:f t="shared" si="2"/>
        <x:v>Expression</x:v>
      </x:c>
      <x:c r="F94" t="str">
        <x:f ca="1">IF(AND($B$1012=1,LEN($F$1100)&gt;0),$F$1100,HLOOKUP(INDIRECT(ADDRESS(2,COLUMN())),OFFSET($T$2,0,0,ROW()-1,14),ROW()-1,FALSE))</x:f>
        <x:v/>
      </x:c>
      <x:c r="G94" t="str">
        <x:f ca="1">IF(AND($B$1012=1,LEN($G$1100)&gt;0),$G$1100,HLOOKUP(INDIRECT(ADDRESS(2,COLUMN())),OFFSET($T$2,0,0,ROW()-1,14),ROW()-1,FALSE))</x:f>
        <x:v/>
      </x:c>
      <x:c r="H94" t="str">
        <x:f ca="1">IF(AND($B$1012=1,LEN($H$1100)&gt;0),$H$1100,HLOOKUP(INDIRECT(ADDRESS(2,COLUMN())),OFFSET($T$2,0,0,ROW()-1,14),ROW()-1,FALSE))</x:f>
        <x:v/>
      </x:c>
      <x:c r="I94" t="str">
        <x:f ca="1">IF(AND($B$1012=1,LEN($I$1100)&gt;0),$I$1100,HLOOKUP(INDIRECT(ADDRESS(2,COLUMN())),OFFSET($T$2,0,0,ROW()-1,14),ROW()-1,FALSE))</x:f>
        <x:v/>
      </x:c>
      <x:c r="J94" t="str">
        <x:f ca="1">IF(AND($B$1012=1,LEN($J$1100)&gt;0),$J$1100,HLOOKUP(INDIRECT(ADDRESS(2,COLUMN())),OFFSET($T$2,0,0,ROW()-1,14),ROW()-1,FALSE))</x:f>
        <x:v/>
      </x:c>
      <x:c r="K94" t="str">
        <x:f ca="1">IF(AND($B$1012=1,LEN($K$1100)&gt;0),$K$1100,HLOOKUP(INDIRECT(ADDRESS(2,COLUMN())),OFFSET($T$2,0,0,ROW()-1,14),ROW()-1,FALSE))</x:f>
        <x:v/>
      </x:c>
      <x:c r="L94" t="str">
        <x:f ca="1">IF(AND($B$1012=1,LEN($L$1100)&gt;0),$L$1100,HLOOKUP(INDIRECT(ADDRESS(2,COLUMN())),OFFSET($T$2,0,0,ROW()-1,14),ROW()-1,FALSE))</x:f>
        <x:v/>
      </x:c>
      <x:c r="M94" t="str">
        <x:f ca="1">IF(AND($B$1012=1,LEN($M$1100)&gt;0),$M$1100,HLOOKUP(INDIRECT(ADDRESS(2,COLUMN())),OFFSET($T$2,0,0,ROW()-1,14),ROW()-1,FALSE))</x:f>
        <x:v/>
      </x:c>
      <x:c r="N94" t="str">
        <x:f ca="1">IF(AND($B$1012=1,LEN($N$1100)&gt;0),$N$1100,HLOOKUP(INDIRECT(ADDRESS(2,COLUMN())),OFFSET($T$2,0,0,ROW()-1,14),ROW()-1,FALSE))</x:f>
        <x:v/>
      </x:c>
      <x:c r="O94" t="str">
        <x:f ca="1">IF(AND($B$1012=1,LEN($O$1100)&gt;0),$O$1100,HLOOKUP(INDIRECT(ADDRESS(2,COLUMN())),OFFSET($T$2,0,0,ROW()-1,14),ROW()-1,FALSE))</x:f>
        <x:v/>
      </x:c>
      <x:c r="P94" t="str">
        <x:f ca="1">IF(AND($B$1012=1,LEN($P$1100)&gt;0),$P$1100,HLOOKUP(INDIRECT(ADDRESS(2,COLUMN())),OFFSET($T$2,0,0,ROW()-1,14),ROW()-1,FALSE))</x:f>
        <x:v/>
      </x:c>
      <x:c r="Q94" t="str">
        <x:f ca="1">IF(AND($B$1012=1,LEN($Q$1100)&gt;0),$Q$1100,HLOOKUP(INDIRECT(ADDRESS(2,COLUMN())),OFFSET($T$2,0,0,ROW()-1,14),ROW()-1,FALSE))</x:f>
        <x:v/>
      </x:c>
      <x:c r="R94" t="str">
        <x:f ca="1">IF(AND($B$1012=1,LEN($R$1100)&gt;0),$R$1100,HLOOKUP(INDIRECT(ADDRESS(2,COLUMN())),OFFSET($T$2,0,0,ROW()-1,14),ROW()-1,FALSE))</x:f>
        <x:v/>
      </x:c>
      <x:c r="S94" t="str">
        <x:f ca="1">IF(AND($B$1012=1,LEN($S$1100)&gt;0),$S$1100,HLOOKUP(INDIRECT(ADDRESS(2,COLUMN())),OFFSET($T$2,0,0,ROW()-1,14),ROW()-1,FALSE))</x:f>
        <x:v/>
      </x:c>
      <x:c r="T94" t="str">
        <x:f>""</x:f>
        <x:v/>
      </x:c>
      <x:c r="U94" t="str">
        <x:f>""</x:f>
        <x:v/>
      </x:c>
      <x:c r="V94" t="str">
        <x:f>""</x:f>
        <x:v/>
      </x:c>
      <x:c r="W94" t="str">
        <x:f>""</x:f>
        <x:v/>
      </x:c>
      <x:c r="X94" t="str">
        <x:f>""</x:f>
        <x:v/>
      </x:c>
      <x:c r="Y94" t="str">
        <x:f>""</x:f>
        <x:v/>
      </x:c>
      <x:c r="Z94" t="str">
        <x:f>""</x:f>
        <x:v/>
      </x:c>
      <x:c r="AA94" t="str">
        <x:f>""</x:f>
        <x:v/>
      </x:c>
      <x:c r="AB94" t="str">
        <x:f>""</x:f>
        <x:v/>
      </x:c>
      <x:c r="AC94" t="str">
        <x:f>""</x:f>
        <x:v/>
      </x:c>
      <x:c r="AD94" t="str">
        <x:f>""</x:f>
        <x:v/>
      </x:c>
      <x:c r="AE94" t="str">
        <x:f>""</x:f>
        <x:v/>
      </x:c>
      <x:c r="AF94" t="str">
        <x:f>""</x:f>
        <x:v/>
      </x:c>
      <x:c r="AG94" t="str">
        <x:f>""</x:f>
        <x:v/>
      </x:c>
    </x:row>
    <x:row r="95" spans="1:33" x14ac:dyDescent="0.25">
      <x:c r="A95" t="str">
        <x:f>"        Direxion Daily Consumer Staple"</x:f>
        <x:v xml:space="preserve">        Direxion Daily Consumer Staple</x:v>
      </x:c>
      <x:c r="B95" t="str">
        <x:f>"NEED US Equity"</x:f>
        <x:v>NEED US Equity</x:v>
      </x:c>
      <x:c r="E95" t="str">
        <x:f t="shared" si="2"/>
        <x:v>Expression</x:v>
      </x:c>
      <x:c r="F95" t="str">
        <x:f ca="1">IF(AND($B$1012=1,LEN($F$1101)&gt;0),$F$1101,HLOOKUP(INDIRECT(ADDRESS(2,COLUMN())),OFFSET($T$2,0,0,ROW()-1,14),ROW()-1,FALSE))</x:f>
        <x:v/>
      </x:c>
      <x:c r="G95" t="str">
        <x:f ca="1">IF(AND($B$1012=1,LEN($G$1101)&gt;0),$G$1101,HLOOKUP(INDIRECT(ADDRESS(2,COLUMN())),OFFSET($T$2,0,0,ROW()-1,14),ROW()-1,FALSE))</x:f>
        <x:v/>
      </x:c>
      <x:c r="H95" t="str">
        <x:f ca="1">IF(AND($B$1012=1,LEN($H$1101)&gt;0),$H$1101,HLOOKUP(INDIRECT(ADDRESS(2,COLUMN())),OFFSET($T$2,0,0,ROW()-1,14),ROW()-1,FALSE))</x:f>
        <x:v/>
      </x:c>
      <x:c r="I95" t="str">
        <x:f ca="1">IF(AND($B$1012=1,LEN($I$1101)&gt;0),$I$1101,HLOOKUP(INDIRECT(ADDRESS(2,COLUMN())),OFFSET($T$2,0,0,ROW()-1,14),ROW()-1,FALSE))</x:f>
        <x:v/>
      </x:c>
      <x:c r="J95" t="str">
        <x:f ca="1">IF(AND($B$1012=1,LEN($J$1101)&gt;0),$J$1101,HLOOKUP(INDIRECT(ADDRESS(2,COLUMN())),OFFSET($T$2,0,0,ROW()-1,14),ROW()-1,FALSE))</x:f>
        <x:v/>
      </x:c>
      <x:c r="K95" t="str">
        <x:f ca="1">IF(AND($B$1012=1,LEN($K$1101)&gt;0),$K$1101,HLOOKUP(INDIRECT(ADDRESS(2,COLUMN())),OFFSET($T$2,0,0,ROW()-1,14),ROW()-1,FALSE))</x:f>
        <x:v/>
      </x:c>
      <x:c r="L95" t="str">
        <x:f ca="1">IF(AND($B$1012=1,LEN($L$1101)&gt;0),$L$1101,HLOOKUP(INDIRECT(ADDRESS(2,COLUMN())),OFFSET($T$2,0,0,ROW()-1,14),ROW()-1,FALSE))</x:f>
        <x:v/>
      </x:c>
      <x:c r="M95" t="str">
        <x:f ca="1">IF(AND($B$1012=1,LEN($M$1101)&gt;0),$M$1101,HLOOKUP(INDIRECT(ADDRESS(2,COLUMN())),OFFSET($T$2,0,0,ROW()-1,14),ROW()-1,FALSE))</x:f>
        <x:v/>
      </x:c>
      <x:c r="N95" t="str">
        <x:f ca="1">IF(AND($B$1012=1,LEN($N$1101)&gt;0),$N$1101,HLOOKUP(INDIRECT(ADDRESS(2,COLUMN())),OFFSET($T$2,0,0,ROW()-1,14),ROW()-1,FALSE))</x:f>
        <x:v/>
      </x:c>
      <x:c r="O95" t="str">
        <x:f ca="1">IF(AND($B$1012=1,LEN($O$1101)&gt;0),$O$1101,HLOOKUP(INDIRECT(ADDRESS(2,COLUMN())),OFFSET($T$2,0,0,ROW()-1,14),ROW()-1,FALSE))</x:f>
        <x:v/>
      </x:c>
      <x:c r="P95" t="str">
        <x:f ca="1">IF(AND($B$1012=1,LEN($P$1101)&gt;0),$P$1101,HLOOKUP(INDIRECT(ADDRESS(2,COLUMN())),OFFSET($T$2,0,0,ROW()-1,14),ROW()-1,FALSE))</x:f>
        <x:v/>
      </x:c>
      <x:c r="Q95" t="str">
        <x:f ca="1">IF(AND($B$1012=1,LEN($Q$1101)&gt;0),$Q$1101,HLOOKUP(INDIRECT(ADDRESS(2,COLUMN())),OFFSET($T$2,0,0,ROW()-1,14),ROW()-1,FALSE))</x:f>
        <x:v/>
      </x:c>
      <x:c r="R95" t="str">
        <x:f ca="1">IF(AND($B$1012=1,LEN($R$1101)&gt;0),$R$1101,HLOOKUP(INDIRECT(ADDRESS(2,COLUMN())),OFFSET($T$2,0,0,ROW()-1,14),ROW()-1,FALSE))</x:f>
        <x:v/>
      </x:c>
      <x:c r="S95" t="str">
        <x:f ca="1">IF(AND($B$1012=1,LEN($S$1101)&gt;0),$S$1101,HLOOKUP(INDIRECT(ADDRESS(2,COLUMN())),OFFSET($T$2,0,0,ROW()-1,14),ROW()-1,FALSE))</x:f>
        <x:v/>
      </x:c>
      <x:c r="T95" t="str">
        <x:f>""</x:f>
        <x:v/>
      </x:c>
      <x:c r="U95" t="str">
        <x:f>""</x:f>
        <x:v/>
      </x:c>
      <x:c r="V95" t="str">
        <x:f>""</x:f>
        <x:v/>
      </x:c>
      <x:c r="W95" t="str">
        <x:f>""</x:f>
        <x:v/>
      </x:c>
      <x:c r="X95" t="str">
        <x:f>""</x:f>
        <x:v/>
      </x:c>
      <x:c r="Y95" t="str">
        <x:f>""</x:f>
        <x:v/>
      </x:c>
      <x:c r="Z95" t="str">
        <x:f>""</x:f>
        <x:v/>
      </x:c>
      <x:c r="AA95" t="str">
        <x:f>""</x:f>
        <x:v/>
      </x:c>
      <x:c r="AB95" t="str">
        <x:f>""</x:f>
        <x:v/>
      </x:c>
      <x:c r="AC95" t="str">
        <x:f>""</x:f>
        <x:v/>
      </x:c>
      <x:c r="AD95" t="str">
        <x:f>""</x:f>
        <x:v/>
      </x:c>
      <x:c r="AE95" t="str">
        <x:f>""</x:f>
        <x:v/>
      </x:c>
      <x:c r="AF95" t="str">
        <x:f>""</x:f>
        <x:v/>
      </x:c>
      <x:c r="AG95" t="str">
        <x:f>""</x:f>
        <x:v/>
      </x:c>
    </x:row>
    <x:row r="96" spans="1:33" x14ac:dyDescent="0.25">
      <x:c r="A96" t="str">
        <x:f>"        Subversive Food Security ETF"</x:f>
        <x:v xml:space="preserve">        Subversive Food Security ETF</x:v>
      </x:c>
      <x:c r="B96" t="str">
        <x:f>"KCAL US Equity"</x:f>
        <x:v>KCAL US Equity</x:v>
      </x:c>
      <x:c r="E96" t="str">
        <x:f t="shared" si="2"/>
        <x:v>Expression</x:v>
      </x:c>
      <x:c r="F96">
        <x:f ca="1">IF(AND($B$1012=1,LEN($F$1102)&gt;0),$F$1102,HLOOKUP(INDIRECT(ADDRESS(2,COLUMN())),OFFSET($T$2,0,0,ROW()-1,14),ROW()-1,FALSE))</x:f>
        <x:v>0</x:v>
      </x:c>
      <x:c r="G96">
        <x:f ca="1">IF(AND($B$1012=1,LEN($G$1102)&gt;0),$G$1102,HLOOKUP(INDIRECT(ADDRESS(2,COLUMN())),OFFSET($T$2,0,0,ROW()-1,14),ROW()-1,FALSE))</x:f>
        <x:v>0</x:v>
      </x:c>
      <x:c r="H96">
        <x:f ca="1">IF(AND($B$1012=1,LEN($H$1102)&gt;0),$H$1102,HLOOKUP(INDIRECT(ADDRESS(2,COLUMN())),OFFSET($T$2,0,0,ROW()-1,14),ROW()-1,FALSE))</x:f>
        <x:v>0</x:v>
      </x:c>
      <x:c r="I96">
        <x:f ca="1">IF(AND($B$1012=1,LEN($I$1102)&gt;0),$I$1102,HLOOKUP(INDIRECT(ADDRESS(2,COLUMN())),OFFSET($T$2,0,0,ROW()-1,14),ROW()-1,FALSE))</x:f>
        <x:v>0</x:v>
      </x:c>
      <x:c r="J96">
        <x:f ca="1">IF(AND($B$1012=1,LEN($J$1102)&gt;0),$J$1102,HLOOKUP(INDIRECT(ADDRESS(2,COLUMN())),OFFSET($T$2,0,0,ROW()-1,14),ROW()-1,FALSE))</x:f>
        <x:v>0</x:v>
      </x:c>
      <x:c r="K96">
        <x:f ca="1">IF(AND($B$1012=1,LEN($K$1102)&gt;0),$K$1102,HLOOKUP(INDIRECT(ADDRESS(2,COLUMN())),OFFSET($T$2,0,0,ROW()-1,14),ROW()-1,FALSE))</x:f>
        <x:v>0</x:v>
      </x:c>
      <x:c r="L96">
        <x:f ca="1">IF(AND($B$1012=1,LEN($L$1102)&gt;0),$L$1102,HLOOKUP(INDIRECT(ADDRESS(2,COLUMN())),OFFSET($T$2,0,0,ROW()-1,14),ROW()-1,FALSE))</x:f>
        <x:v>0</x:v>
      </x:c>
      <x:c r="M96">
        <x:f ca="1">IF(AND($B$1012=1,LEN($M$1102)&gt;0),$M$1102,HLOOKUP(INDIRECT(ADDRESS(2,COLUMN())),OFFSET($T$2,0,0,ROW()-1,14),ROW()-1,FALSE))</x:f>
        <x:v>0</x:v>
      </x:c>
      <x:c r="N96">
        <x:f ca="1">IF(AND($B$1012=1,LEN($N$1102)&gt;0),$N$1102,HLOOKUP(INDIRECT(ADDRESS(2,COLUMN())),OFFSET($T$2,0,0,ROW()-1,14),ROW()-1,FALSE))</x:f>
        <x:v>0</x:v>
      </x:c>
      <x:c r="O96">
        <x:f ca="1">IF(AND($B$1012=1,LEN($O$1102)&gt;0),$O$1102,HLOOKUP(INDIRECT(ADDRESS(2,COLUMN())),OFFSET($T$2,0,0,ROW()-1,14),ROW()-1,FALSE))</x:f>
        <x:v>0</x:v>
      </x:c>
      <x:c r="P96">
        <x:f ca="1">IF(AND($B$1012=1,LEN($P$1102)&gt;0),$P$1102,HLOOKUP(INDIRECT(ADDRESS(2,COLUMN())),OFFSET($T$2,0,0,ROW()-1,14),ROW()-1,FALSE))</x:f>
        <x:v>0</x:v>
      </x:c>
      <x:c r="Q96">
        <x:f ca="1">IF(AND($B$1012=1,LEN($Q$1102)&gt;0),$Q$1102,HLOOKUP(INDIRECT(ADDRESS(2,COLUMN())),OFFSET($T$2,0,0,ROW()-1,14),ROW()-1,FALSE))</x:f>
        <x:v>0.61638800000000005</x:v>
      </x:c>
      <x:c r="R96" t="str">
        <x:f ca="1">IF(AND($B$1012=1,LEN($R$1102)&gt;0),$R$1102,HLOOKUP(INDIRECT(ADDRESS(2,COLUMN())),OFFSET($T$2,0,0,ROW()-1,14),ROW()-1,FALSE))</x:f>
        <x:v/>
      </x:c>
      <x:c r="S96" t="str">
        <x:f ca="1">IF(AND($B$1012=1,LEN($S$1102)&gt;0),$S$1102,HLOOKUP(INDIRECT(ADDRESS(2,COLUMN())),OFFSET($T$2,0,0,ROW()-1,14),ROW()-1,FALSE))</x:f>
        <x:v/>
      </x:c>
      <x:c r="T96">
        <x:f>0</x:f>
        <x:v>0</x:v>
      </x:c>
      <x:c r="U96">
        <x:f>0</x:f>
        <x:v>0</x:v>
      </x:c>
      <x:c r="V96">
        <x:f>0</x:f>
        <x:v>0</x:v>
      </x:c>
      <x:c r="W96">
        <x:f>0</x:f>
        <x:v>0</x:v>
      </x:c>
      <x:c r="X96">
        <x:f>0</x:f>
        <x:v>0</x:v>
      </x:c>
      <x:c r="Y96">
        <x:f>0</x:f>
        <x:v>0</x:v>
      </x:c>
      <x:c r="Z96">
        <x:f>0</x:f>
        <x:v>0</x:v>
      </x:c>
      <x:c r="AA96">
        <x:f>0</x:f>
        <x:v>0</x:v>
      </x:c>
      <x:c r="AB96">
        <x:f>0</x:f>
        <x:v>0</x:v>
      </x:c>
      <x:c r="AC96">
        <x:f>0</x:f>
        <x:v>0</x:v>
      </x:c>
      <x:c r="AD96">
        <x:f>0</x:f>
        <x:v>0</x:v>
      </x:c>
      <x:c r="AE96">
        <x:f>0.616388</x:f>
        <x:v>0.61638800000000005</x:v>
      </x:c>
      <x:c r="AF96" t="str">
        <x:f>""</x:f>
        <x:v/>
      </x:c>
      <x:c r="AG96" t="str">
        <x:f>""</x:f>
        <x:v/>
      </x:c>
    </x:row>
    <x:row r="97" spans="1:33" x14ac:dyDescent="0.25">
      <x:c r="A97" t="str">
        <x:f>"    Energy"</x:f>
        <x:v xml:space="preserve">    Energy</x:v>
      </x:c>
      <x:c r="B97" t="str">
        <x:f>""</x:f>
        <x:v/>
      </x:c>
      <x:c r="E97" t="str">
        <x:f>"Sum"</x:f>
        <x:v>Sum</x:v>
      </x:c>
      <x:c r="F97">
        <x:f ca="1">IF(ISERROR(IF(SUM($F$98:$F$204) = 0, "", SUM($F$98:$F$204))), "", (IF(SUM($F$98:$F$204) = 0, "", SUM($F$98:$F$204))))</x:f>
        <x:v>-133.59415199999995</x:v>
      </x:c>
      <x:c r="G97">
        <x:f ca="1">IF(ISERROR(IF(SUM($G$98:$G$204) = 0, "", SUM($G$98:$G$204))), "", (IF(SUM($G$98:$G$204) = 0, "", SUM($G$98:$G$204))))</x:f>
        <x:v>2659.5908019999993</x:v>
      </x:c>
      <x:c r="H97">
        <x:f ca="1">IF(ISERROR(IF(SUM($H$98:$H$204) = 0, "", SUM($H$98:$H$204))), "", (IF(SUM($H$98:$H$204) = 0, "", SUM($H$98:$H$204))))</x:f>
        <x:v>859.05921899999987</x:v>
      </x:c>
      <x:c r="I97">
        <x:f ca="1">IF(ISERROR(IF(SUM($I$98:$I$204) = 0, "", SUM($I$98:$I$204))), "", (IF(SUM($I$98:$I$204) = 0, "", SUM($I$98:$I$204))))</x:f>
        <x:v>125.83602500000003</x:v>
      </x:c>
      <x:c r="J97">
        <x:f ca="1">IF(ISERROR(IF(SUM($J$98:$J$204) = 0, "", SUM($J$98:$J$204))), "", (IF(SUM($J$98:$J$204) = 0, "", SUM($J$98:$J$204))))</x:f>
        <x:v>1487.6733730000008</x:v>
      </x:c>
      <x:c r="K97">
        <x:f ca="1">IF(ISERROR(IF(SUM($K$98:$K$204) = 0, "", SUM($K$98:$K$204))), "", (IF(SUM($K$98:$K$204) = 0, "", SUM($K$98:$K$204))))</x:f>
        <x:v>-2348.1177009999988</x:v>
      </x:c>
      <x:c r="L97">
        <x:f ca="1">IF(ISERROR(IF(SUM($L$98:$L$204) = 0, "", SUM($L$98:$L$204))), "", (IF(SUM($L$98:$L$204) = 0, "", SUM($L$98:$L$204))))</x:f>
        <x:v>-2468.0006989999997</x:v>
      </x:c>
      <x:c r="M97">
        <x:f ca="1">IF(ISERROR(IF(SUM($M$98:$M$204) = 0, "", SUM($M$98:$M$204))), "", (IF(SUM($M$98:$M$204) = 0, "", SUM($M$98:$M$204))))</x:f>
        <x:v>-1268.8214630000004</x:v>
      </x:c>
      <x:c r="N97">
        <x:f ca="1">IF(ISERROR(IF(SUM($N$98:$N$204) = 0, "", SUM($N$98:$N$204))), "", (IF(SUM($N$98:$N$204) = 0, "", SUM($N$98:$N$204))))</x:f>
        <x:v>-2748.0275190000002</x:v>
      </x:c>
      <x:c r="O97">
        <x:f ca="1">IF(ISERROR(IF(SUM($O$98:$O$204) = 0, "", SUM($O$98:$O$204))), "", (IF(SUM($O$98:$O$204) = 0, "", SUM($O$98:$O$204))))</x:f>
        <x:v>-1906.6980150000004</x:v>
      </x:c>
      <x:c r="P97">
        <x:f ca="1">IF(ISERROR(IF(SUM($P$98:$P$204) = 0, "", SUM($P$98:$P$204))), "", (IF(SUM($P$98:$P$204) = 0, "", SUM($P$98:$P$204))))</x:f>
        <x:v>-594.14347500000008</x:v>
      </x:c>
      <x:c r="Q97">
        <x:f ca="1">IF(ISERROR(IF(SUM($Q$98:$Q$204) = 0, "", SUM($Q$98:$Q$204))), "", (IF(SUM($Q$98:$Q$204) = 0, "", SUM($Q$98:$Q$204))))</x:f>
        <x:v>-388.23231899999985</x:v>
      </x:c>
      <x:c r="R97">
        <x:f ca="1">IF(ISERROR(IF(SUM($R$98:$R$204) = 0, "", SUM($R$98:$R$204))), "", (IF(SUM($R$98:$R$204) = 0, "", SUM($R$98:$R$204))))</x:f>
        <x:v>131.68542299999996</x:v>
      </x:c>
      <x:c r="S97">
        <x:f ca="1">IF(ISERROR(IF(SUM($S$98:$S$204) = 0, "", SUM($S$98:$S$204))), "", (IF(SUM($S$98:$S$204) = 0, "", SUM($S$98:$S$204))))</x:f>
        <x:v>1548.279074</x:v>
      </x:c>
      <x:c r="T97">
        <x:f>-133.594152</x:f>
        <x:v>-133.59415200000001</x:v>
      </x:c>
      <x:c r="U97">
        <x:f>2659.590802</x:f>
        <x:v>2659.5908020000002</x:v>
      </x:c>
      <x:c r="V97">
        <x:f>859.059219</x:f>
        <x:v>859.05921899999998</x:v>
      </x:c>
      <x:c r="W97">
        <x:f>125.836025</x:f>
        <x:v>125.83602500000001</x:v>
      </x:c>
      <x:c r="X97">
        <x:f>1487.673373</x:f>
        <x:v>1487.6733730000001</x:v>
      </x:c>
      <x:c r="Y97">
        <x:f>-2348.117701</x:f>
        <x:v>-2348.1177010000001</x:v>
      </x:c>
      <x:c r="Z97">
        <x:f>-2468.000699</x:f>
        <x:v>-2468.0006990000002</x:v>
      </x:c>
      <x:c r="AA97">
        <x:f>-1268.821463</x:f>
        <x:v>-1268.821463</x:v>
      </x:c>
      <x:c r="AB97">
        <x:f>-2748.027519</x:f>
        <x:v>-2748.0275190000002</x:v>
      </x:c>
      <x:c r="AC97">
        <x:f>-1906.698015</x:f>
        <x:v>-1906.6980149999999</x:v>
      </x:c>
      <x:c r="AD97">
        <x:f>-594.143475</x:f>
        <x:v>-594.14347499999997</x:v>
      </x:c>
      <x:c r="AE97">
        <x:f>-388.232319</x:f>
        <x:v>-388.23231900000002</x:v>
      </x:c>
      <x:c r="AF97">
        <x:f>131.685423</x:f>
        <x:v>131.68542299999999</x:v>
      </x:c>
      <x:c r="AG97">
        <x:f>1548.279074</x:f>
        <x:v>1548.279074</x:v>
      </x:c>
    </x:row>
    <x:row r="98" spans="1:33" x14ac:dyDescent="0.25">
      <x:c r="A98" t="str">
        <x:f>"        Energy Select Sector SPDR Fund"</x:f>
        <x:v xml:space="preserve">        Energy Select Sector SPDR Fund</x:v>
      </x:c>
      <x:c r="B98" t="str">
        <x:f>"XLE US Equity"</x:f>
        <x:v>XLE US Equity</x:v>
      </x:c>
      <x:c r="E98" t="str">
        <x:f t="shared" ref="E98:E129" si="3">"Expression"</x:f>
        <x:v>Expression</x:v>
      </x:c>
      <x:c r="F98">
        <x:f ca="1">IF(AND($B$1012=1,LEN($F$1103)&gt;0),$F$1103,HLOOKUP(INDIRECT(ADDRESS(2,COLUMN())),OFFSET($T$2,0,0,ROW()-1,14),ROW()-1,FALSE))</x:f>
        <x:v>-140.52253300000001</x:v>
      </x:c>
      <x:c r="G98">
        <x:f ca="1">IF(AND($B$1012=1,LEN($G$1103)&gt;0),$G$1103,HLOOKUP(INDIRECT(ADDRESS(2,COLUMN())),OFFSET($T$2,0,0,ROW()-1,14),ROW()-1,FALSE))</x:f>
        <x:v>1373.1304259999999</x:v>
      </x:c>
      <x:c r="H98">
        <x:f ca="1">IF(AND($B$1012=1,LEN($H$1103)&gt;0),$H$1103,HLOOKUP(INDIRECT(ADDRESS(2,COLUMN())),OFFSET($T$2,0,0,ROW()-1,14),ROW()-1,FALSE))</x:f>
        <x:v>529.45491600000003</x:v>
      </x:c>
      <x:c r="I98">
        <x:f ca="1">IF(AND($B$1012=1,LEN($I$1103)&gt;0),$I$1103,HLOOKUP(INDIRECT(ADDRESS(2,COLUMN())),OFFSET($T$2,0,0,ROW()-1,14),ROW()-1,FALSE))</x:f>
        <x:v>67.068460000000002</x:v>
      </x:c>
      <x:c r="J98">
        <x:f ca="1">IF(AND($B$1012=1,LEN($J$1103)&gt;0),$J$1103,HLOOKUP(INDIRECT(ADDRESS(2,COLUMN())),OFFSET($T$2,0,0,ROW()-1,14),ROW()-1,FALSE))</x:f>
        <x:v>1111.3090480000001</x:v>
      </x:c>
      <x:c r="K98">
        <x:f ca="1">IF(AND($B$1012=1,LEN($K$1103)&gt;0),$K$1103,HLOOKUP(INDIRECT(ADDRESS(2,COLUMN())),OFFSET($T$2,0,0,ROW()-1,14),ROW()-1,FALSE))</x:f>
        <x:v>-1517.6646949999999</x:v>
      </x:c>
      <x:c r="L98">
        <x:f ca="1">IF(AND($B$1012=1,LEN($L$1103)&gt;0),$L$1103,HLOOKUP(INDIRECT(ADDRESS(2,COLUMN())),OFFSET($T$2,0,0,ROW()-1,14),ROW()-1,FALSE))</x:f>
        <x:v>-1597.506286</x:v>
      </x:c>
      <x:c r="M98">
        <x:f ca="1">IF(AND($B$1012=1,LEN($M$1103)&gt;0),$M$1103,HLOOKUP(INDIRECT(ADDRESS(2,COLUMN())),OFFSET($T$2,0,0,ROW()-1,14),ROW()-1,FALSE))</x:f>
        <x:v>-653.37012100000004</x:v>
      </x:c>
      <x:c r="N98">
        <x:f ca="1">IF(AND($B$1012=1,LEN($N$1103)&gt;0),$N$1103,HLOOKUP(INDIRECT(ADDRESS(2,COLUMN())),OFFSET($T$2,0,0,ROW()-1,14),ROW()-1,FALSE))</x:f>
        <x:v>-734.50197300000002</x:v>
      </x:c>
      <x:c r="O98">
        <x:f ca="1">IF(AND($B$1012=1,LEN($O$1103)&gt;0),$O$1103,HLOOKUP(INDIRECT(ADDRESS(2,COLUMN())),OFFSET($T$2,0,0,ROW()-1,14),ROW()-1,FALSE))</x:f>
        <x:v>-109.602051</x:v>
      </x:c>
      <x:c r="P98">
        <x:f ca="1">IF(AND($B$1012=1,LEN($P$1103)&gt;0),$P$1103,HLOOKUP(INDIRECT(ADDRESS(2,COLUMN())),OFFSET($T$2,0,0,ROW()-1,14),ROW()-1,FALSE))</x:f>
        <x:v>321.926331</x:v>
      </x:c>
      <x:c r="Q98">
        <x:f ca="1">IF(AND($B$1012=1,LEN($Q$1103)&gt;0),$Q$1103,HLOOKUP(INDIRECT(ADDRESS(2,COLUMN())),OFFSET($T$2,0,0,ROW()-1,14),ROW()-1,FALSE))</x:f>
        <x:v>-240.78975299999999</x:v>
      </x:c>
      <x:c r="R98">
        <x:f ca="1">IF(AND($B$1012=1,LEN($R$1103)&gt;0),$R$1103,HLOOKUP(INDIRECT(ADDRESS(2,COLUMN())),OFFSET($T$2,0,0,ROW()-1,14),ROW()-1,FALSE))</x:f>
        <x:v>-443.34214200000002</x:v>
      </x:c>
      <x:c r="S98">
        <x:f ca="1">IF(AND($B$1012=1,LEN($S$1103)&gt;0),$S$1103,HLOOKUP(INDIRECT(ADDRESS(2,COLUMN())),OFFSET($T$2,0,0,ROW()-1,14),ROW()-1,FALSE))</x:f>
        <x:v>811.67460200000005</x:v>
      </x:c>
      <x:c r="T98">
        <x:f>-140.522533</x:f>
        <x:v>-140.52253300000001</x:v>
      </x:c>
      <x:c r="U98">
        <x:f>1373.130426</x:f>
        <x:v>1373.1304259999999</x:v>
      </x:c>
      <x:c r="V98">
        <x:f>529.454916</x:f>
        <x:v>529.45491600000003</x:v>
      </x:c>
      <x:c r="W98">
        <x:f>67.06846</x:f>
        <x:v>67.068460000000002</x:v>
      </x:c>
      <x:c r="X98">
        <x:f>1111.309048</x:f>
        <x:v>1111.3090480000001</x:v>
      </x:c>
      <x:c r="Y98">
        <x:f>-1517.664695</x:f>
        <x:v>-1517.6646949999999</x:v>
      </x:c>
      <x:c r="Z98">
        <x:f>-1597.506286</x:f>
        <x:v>-1597.506286</x:v>
      </x:c>
      <x:c r="AA98">
        <x:f>-653.370121</x:f>
        <x:v>-653.37012100000004</x:v>
      </x:c>
      <x:c r="AB98">
        <x:f>-734.501973</x:f>
        <x:v>-734.50197300000002</x:v>
      </x:c>
      <x:c r="AC98">
        <x:f>-109.602051</x:f>
        <x:v>-109.602051</x:v>
      </x:c>
      <x:c r="AD98">
        <x:f>321.926331</x:f>
        <x:v>321.926331</x:v>
      </x:c>
      <x:c r="AE98">
        <x:f>-240.789753</x:f>
        <x:v>-240.78975299999999</x:v>
      </x:c>
      <x:c r="AF98">
        <x:f>-443.342142</x:f>
        <x:v>-443.34214200000002</x:v>
      </x:c>
      <x:c r="AG98">
        <x:f>811.674602</x:f>
        <x:v>811.67460200000005</x:v>
      </x:c>
    </x:row>
    <x:row r="99" spans="1:33" x14ac:dyDescent="0.25">
      <x:c r="A99" t="str">
        <x:f>"        Alerian MLP ETF"</x:f>
        <x:v xml:space="preserve">        Alerian MLP ETF</x:v>
      </x:c>
      <x:c r="B99" t="str">
        <x:f>"AMLP US Equity"</x:f>
        <x:v>AMLP US Equity</x:v>
      </x:c>
      <x:c r="E99" t="str">
        <x:f t="shared" si="3"/>
        <x:v>Expression</x:v>
      </x:c>
      <x:c r="F99">
        <x:f ca="1">IF(AND($B$1012=1,LEN($F$1104)&gt;0),$F$1104,HLOOKUP(INDIRECT(ADDRESS(2,COLUMN())),OFFSET($T$2,0,0,ROW()-1,14),ROW()-1,FALSE))</x:f>
        <x:v>16.879749</x:v>
      </x:c>
      <x:c r="G99">
        <x:f ca="1">IF(AND($B$1012=1,LEN($G$1104)&gt;0),$G$1104,HLOOKUP(INDIRECT(ADDRESS(2,COLUMN())),OFFSET($T$2,0,0,ROW()-1,14),ROW()-1,FALSE))</x:f>
        <x:v>68.050169999999994</x:v>
      </x:c>
      <x:c r="H99">
        <x:f ca="1">IF(AND($B$1012=1,LEN($H$1104)&gt;0),$H$1104,HLOOKUP(INDIRECT(ADDRESS(2,COLUMN())),OFFSET($T$2,0,0,ROW()-1,14),ROW()-1,FALSE))</x:f>
        <x:v>70.991721999999996</x:v>
      </x:c>
      <x:c r="I99">
        <x:f ca="1">IF(AND($B$1012=1,LEN($I$1104)&gt;0),$I$1104,HLOOKUP(INDIRECT(ADDRESS(2,COLUMN())),OFFSET($T$2,0,0,ROW()-1,14),ROW()-1,FALSE))</x:f>
        <x:v>92.550297999999998</x:v>
      </x:c>
      <x:c r="J99">
        <x:f ca="1">IF(AND($B$1012=1,LEN($J$1104)&gt;0),$J$1104,HLOOKUP(INDIRECT(ADDRESS(2,COLUMN())),OFFSET($T$2,0,0,ROW()-1,14),ROW()-1,FALSE))</x:f>
        <x:v>25.263227000000001</x:v>
      </x:c>
      <x:c r="K99">
        <x:f ca="1">IF(AND($B$1012=1,LEN($K$1104)&gt;0),$K$1104,HLOOKUP(INDIRECT(ADDRESS(2,COLUMN())),OFFSET($T$2,0,0,ROW()-1,14),ROW()-1,FALSE))</x:f>
        <x:v>-51.117553999999998</x:v>
      </x:c>
      <x:c r="L99">
        <x:f ca="1">IF(AND($B$1012=1,LEN($L$1104)&gt;0),$L$1104,HLOOKUP(INDIRECT(ADDRESS(2,COLUMN())),OFFSET($T$2,0,0,ROW()-1,14),ROW()-1,FALSE))</x:f>
        <x:v>-109.35342799999999</x:v>
      </x:c>
      <x:c r="M99">
        <x:f ca="1">IF(AND($B$1012=1,LEN($M$1104)&gt;0),$M$1104,HLOOKUP(INDIRECT(ADDRESS(2,COLUMN())),OFFSET($T$2,0,0,ROW()-1,14),ROW()-1,FALSE))</x:f>
        <x:v>10.953564</x:v>
      </x:c>
      <x:c r="N99">
        <x:f ca="1">IF(AND($B$1012=1,LEN($N$1104)&gt;0),$N$1104,HLOOKUP(INDIRECT(ADDRESS(2,COLUMN())),OFFSET($T$2,0,0,ROW()-1,14),ROW()-1,FALSE))</x:f>
        <x:v>34.753104999999998</x:v>
      </x:c>
      <x:c r="O99">
        <x:f ca="1">IF(AND($B$1012=1,LEN($O$1104)&gt;0),$O$1104,HLOOKUP(INDIRECT(ADDRESS(2,COLUMN())),OFFSET($T$2,0,0,ROW()-1,14),ROW()-1,FALSE))</x:f>
        <x:v>-30.506786000000002</x:v>
      </x:c>
      <x:c r="P99">
        <x:f ca="1">IF(AND($B$1012=1,LEN($P$1104)&gt;0),$P$1104,HLOOKUP(INDIRECT(ADDRESS(2,COLUMN())),OFFSET($T$2,0,0,ROW()-1,14),ROW()-1,FALSE))</x:f>
        <x:v>34.451031999999998</x:v>
      </x:c>
      <x:c r="Q99">
        <x:f ca="1">IF(AND($B$1012=1,LEN($Q$1104)&gt;0),$Q$1104,HLOOKUP(INDIRECT(ADDRESS(2,COLUMN())),OFFSET($T$2,0,0,ROW()-1,14),ROW()-1,FALSE))</x:f>
        <x:v>-31.466351</x:v>
      </x:c>
      <x:c r="R99">
        <x:f ca="1">IF(AND($B$1012=1,LEN($R$1104)&gt;0),$R$1104,HLOOKUP(INDIRECT(ADDRESS(2,COLUMN())),OFFSET($T$2,0,0,ROW()-1,14),ROW()-1,FALSE))</x:f>
        <x:v>20.066925999999999</x:v>
      </x:c>
      <x:c r="S99">
        <x:f ca="1">IF(AND($B$1012=1,LEN($S$1104)&gt;0),$S$1104,HLOOKUP(INDIRECT(ADDRESS(2,COLUMN())),OFFSET($T$2,0,0,ROW()-1,14),ROW()-1,FALSE))</x:f>
        <x:v>26.875157999999999</x:v>
      </x:c>
      <x:c r="T99">
        <x:f>16.879749</x:f>
        <x:v>16.879749</x:v>
      </x:c>
      <x:c r="U99">
        <x:f>68.05017</x:f>
        <x:v>68.050169999999994</x:v>
      </x:c>
      <x:c r="V99">
        <x:f>70.991722</x:f>
        <x:v>70.991721999999996</x:v>
      </x:c>
      <x:c r="W99">
        <x:f>92.550298</x:f>
        <x:v>92.550297999999998</x:v>
      </x:c>
      <x:c r="X99">
        <x:f>25.263227</x:f>
        <x:v>25.263227000000001</x:v>
      </x:c>
      <x:c r="Y99">
        <x:f>-51.117554</x:f>
        <x:v>-51.117553999999998</x:v>
      </x:c>
      <x:c r="Z99">
        <x:f>-109.353428</x:f>
        <x:v>-109.35342799999999</x:v>
      </x:c>
      <x:c r="AA99">
        <x:f>10.953564</x:f>
        <x:v>10.953564</x:v>
      </x:c>
      <x:c r="AB99">
        <x:f>34.753105</x:f>
        <x:v>34.753104999999998</x:v>
      </x:c>
      <x:c r="AC99">
        <x:f>-30.506786</x:f>
        <x:v>-30.506786000000002</x:v>
      </x:c>
      <x:c r="AD99">
        <x:f>34.451032</x:f>
        <x:v>34.451031999999998</x:v>
      </x:c>
      <x:c r="AE99">
        <x:f>-31.466351</x:f>
        <x:v>-31.466351</x:v>
      </x:c>
      <x:c r="AF99">
        <x:f>20.066926</x:f>
        <x:v>20.066925999999999</x:v>
      </x:c>
      <x:c r="AG99">
        <x:f>26.875158</x:f>
        <x:v>26.875157999999999</x:v>
      </x:c>
    </x:row>
    <x:row r="100" spans="1:33" x14ac:dyDescent="0.25">
      <x:c r="A100" t="str">
        <x:f>"        Vanguard Energy ETF"</x:f>
        <x:v xml:space="preserve">        Vanguard Energy ETF</x:v>
      </x:c>
      <x:c r="B100" t="str">
        <x:f>"VDE US Equity"</x:f>
        <x:v>VDE US Equity</x:v>
      </x:c>
      <x:c r="E100" t="str">
        <x:f t="shared" si="3"/>
        <x:v>Expression</x:v>
      </x:c>
      <x:c r="F100">
        <x:f ca="1">IF(AND($B$1012=1,LEN($F$1105)&gt;0),$F$1105,HLOOKUP(INDIRECT(ADDRESS(2,COLUMN())),OFFSET($T$2,0,0,ROW()-1,14),ROW()-1,FALSE))</x:f>
        <x:v>12.912901</x:v>
      </x:c>
      <x:c r="G100">
        <x:f ca="1">IF(AND($B$1012=1,LEN($G$1105)&gt;0),$G$1105,HLOOKUP(INDIRECT(ADDRESS(2,COLUMN())),OFFSET($T$2,0,0,ROW()-1,14),ROW()-1,FALSE))</x:f>
        <x:v>-140.654315</x:v>
      </x:c>
      <x:c r="H100">
        <x:f ca="1">IF(AND($B$1012=1,LEN($H$1105)&gt;0),$H$1105,HLOOKUP(INDIRECT(ADDRESS(2,COLUMN())),OFFSET($T$2,0,0,ROW()-1,14),ROW()-1,FALSE))</x:f>
        <x:v>-77.459500000000006</x:v>
      </x:c>
      <x:c r="I100">
        <x:f ca="1">IF(AND($B$1012=1,LEN($I$1105)&gt;0),$I$1105,HLOOKUP(INDIRECT(ADDRESS(2,COLUMN())),OFFSET($T$2,0,0,ROW()-1,14),ROW()-1,FALSE))</x:f>
        <x:v>143.049724</x:v>
      </x:c>
      <x:c r="J100">
        <x:f ca="1">IF(AND($B$1012=1,LEN($J$1105)&gt;0),$J$1105,HLOOKUP(INDIRECT(ADDRESS(2,COLUMN())),OFFSET($T$2,0,0,ROW()-1,14),ROW()-1,FALSE))</x:f>
        <x:v>323.75900000000001</x:v>
      </x:c>
      <x:c r="K100">
        <x:f ca="1">IF(AND($B$1012=1,LEN($K$1105)&gt;0),$K$1105,HLOOKUP(INDIRECT(ADDRESS(2,COLUMN())),OFFSET($T$2,0,0,ROW()-1,14),ROW()-1,FALSE))</x:f>
        <x:v>-85.927728999999999</x:v>
      </x:c>
      <x:c r="L100">
        <x:f ca="1">IF(AND($B$1012=1,LEN($L$1105)&gt;0),$L$1105,HLOOKUP(INDIRECT(ADDRESS(2,COLUMN())),OFFSET($T$2,0,0,ROW()-1,14),ROW()-1,FALSE))</x:f>
        <x:v>-161.82749999999999</x:v>
      </x:c>
      <x:c r="M100">
        <x:f ca="1">IF(AND($B$1012=1,LEN($M$1105)&gt;0),$M$1105,HLOOKUP(INDIRECT(ADDRESS(2,COLUMN())),OFFSET($T$2,0,0,ROW()-1,14),ROW()-1,FALSE))</x:f>
        <x:v>24.642158999999999</x:v>
      </x:c>
      <x:c r="N100">
        <x:f ca="1">IF(AND($B$1012=1,LEN($N$1105)&gt;0),$N$1105,HLOOKUP(INDIRECT(ADDRESS(2,COLUMN())),OFFSET($T$2,0,0,ROW()-1,14),ROW()-1,FALSE))</x:f>
        <x:v>-313.55874999999997</x:v>
      </x:c>
      <x:c r="O100">
        <x:f ca="1">IF(AND($B$1012=1,LEN($O$1105)&gt;0),$O$1105,HLOOKUP(INDIRECT(ADDRESS(2,COLUMN())),OFFSET($T$2,0,0,ROW()-1,14),ROW()-1,FALSE))</x:f>
        <x:v>77.540808999999996</x:v>
      </x:c>
      <x:c r="P100">
        <x:f ca="1">IF(AND($B$1012=1,LEN($P$1105)&gt;0),$P$1105,HLOOKUP(INDIRECT(ADDRESS(2,COLUMN())),OFFSET($T$2,0,0,ROW()-1,14),ROW()-1,FALSE))</x:f>
        <x:v>10.128852999999999</x:v>
      </x:c>
      <x:c r="Q100">
        <x:f ca="1">IF(AND($B$1012=1,LEN($Q$1105)&gt;0),$Q$1105,HLOOKUP(INDIRECT(ADDRESS(2,COLUMN())),OFFSET($T$2,0,0,ROW()-1,14),ROW()-1,FALSE))</x:f>
        <x:v>-274.89707099999998</x:v>
      </x:c>
      <x:c r="R100">
        <x:f ca="1">IF(AND($B$1012=1,LEN($R$1105)&gt;0),$R$1105,HLOOKUP(INDIRECT(ADDRESS(2,COLUMN())),OFFSET($T$2,0,0,ROW()-1,14),ROW()-1,FALSE))</x:f>
        <x:v>191.913005</x:v>
      </x:c>
      <x:c r="S100">
        <x:f ca="1">IF(AND($B$1012=1,LEN($S$1105)&gt;0),$S$1105,HLOOKUP(INDIRECT(ADDRESS(2,COLUMN())),OFFSET($T$2,0,0,ROW()-1,14),ROW()-1,FALSE))</x:f>
        <x:v>66.927563000000006</x:v>
      </x:c>
      <x:c r="T100">
        <x:f>12.912901</x:f>
        <x:v>12.912901</x:v>
      </x:c>
      <x:c r="U100">
        <x:f>-140.654315</x:f>
        <x:v>-140.654315</x:v>
      </x:c>
      <x:c r="V100">
        <x:f>-77.4595</x:f>
        <x:v>-77.459500000000006</x:v>
      </x:c>
      <x:c r="W100">
        <x:f>143.049724</x:f>
        <x:v>143.049724</x:v>
      </x:c>
      <x:c r="X100">
        <x:f>323.759</x:f>
        <x:v>323.75900000000001</x:v>
      </x:c>
      <x:c r="Y100">
        <x:f>-85.927729</x:f>
        <x:v>-85.927728999999999</x:v>
      </x:c>
      <x:c r="Z100">
        <x:f>-161.8275</x:f>
        <x:v>-161.82749999999999</x:v>
      </x:c>
      <x:c r="AA100">
        <x:f>24.642159</x:f>
        <x:v>24.642158999999999</x:v>
      </x:c>
      <x:c r="AB100">
        <x:f>-313.55875</x:f>
        <x:v>-313.55874999999997</x:v>
      </x:c>
      <x:c r="AC100">
        <x:f>77.540809</x:f>
        <x:v>77.540808999999996</x:v>
      </x:c>
      <x:c r="AD100">
        <x:f>10.128853</x:f>
        <x:v>10.128852999999999</x:v>
      </x:c>
      <x:c r="AE100">
        <x:f>-274.897071</x:f>
        <x:v>-274.89707099999998</x:v>
      </x:c>
      <x:c r="AF100">
        <x:f>191.913005</x:f>
        <x:v>191.913005</x:v>
      </x:c>
      <x:c r="AG100">
        <x:f>66.927563</x:f>
        <x:v>66.927563000000006</x:v>
      </x:c>
    </x:row>
    <x:row r="101" spans="1:33" x14ac:dyDescent="0.25">
      <x:c r="A101" t="str">
        <x:f>"        JPMorgan Alerian MLP Index ETN"</x:f>
        <x:v xml:space="preserve">        JPMorgan Alerian MLP Index ETN</x:v>
      </x:c>
      <x:c r="B101" t="str">
        <x:f>"AMJ US Equity"</x:f>
        <x:v>AMJ US Equity</x:v>
      </x:c>
      <x:c r="E101" t="str">
        <x:f t="shared" si="3"/>
        <x:v>Expression</x:v>
      </x:c>
      <x:c r="F101">
        <x:f ca="1">IF(AND($B$1012=1,LEN($F$1106)&gt;0),$F$1106,HLOOKUP(INDIRECT(ADDRESS(2,COLUMN())),OFFSET($T$2,0,0,ROW()-1,14),ROW()-1,FALSE))</x:f>
        <x:v>0</x:v>
      </x:c>
      <x:c r="G101">
        <x:f ca="1">IF(AND($B$1012=1,LEN($G$1106)&gt;0),$G$1106,HLOOKUP(INDIRECT(ADDRESS(2,COLUMN())),OFFSET($T$2,0,0,ROW()-1,14),ROW()-1,FALSE))</x:f>
        <x:v>0</x:v>
      </x:c>
      <x:c r="H101">
        <x:f ca="1">IF(AND($B$1012=1,LEN($H$1106)&gt;0),$H$1106,HLOOKUP(INDIRECT(ADDRESS(2,COLUMN())),OFFSET($T$2,0,0,ROW()-1,14),ROW()-1,FALSE))</x:f>
        <x:v>0</x:v>
      </x:c>
      <x:c r="I101">
        <x:f ca="1">IF(AND($B$1012=1,LEN($I$1106)&gt;0),$I$1106,HLOOKUP(INDIRECT(ADDRESS(2,COLUMN())),OFFSET($T$2,0,0,ROW()-1,14),ROW()-1,FALSE))</x:f>
        <x:v>0</x:v>
      </x:c>
      <x:c r="J101">
        <x:f ca="1">IF(AND($B$1012=1,LEN($J$1106)&gt;0),$J$1106,HLOOKUP(INDIRECT(ADDRESS(2,COLUMN())),OFFSET($T$2,0,0,ROW()-1,14),ROW()-1,FALSE))</x:f>
        <x:v>0</x:v>
      </x:c>
      <x:c r="K101">
        <x:f ca="1">IF(AND($B$1012=1,LEN($K$1106)&gt;0),$K$1106,HLOOKUP(INDIRECT(ADDRESS(2,COLUMN())),OFFSET($T$2,0,0,ROW()-1,14),ROW()-1,FALSE))</x:f>
        <x:v>0</x:v>
      </x:c>
      <x:c r="L101">
        <x:f ca="1">IF(AND($B$1012=1,LEN($L$1106)&gt;0),$L$1106,HLOOKUP(INDIRECT(ADDRESS(2,COLUMN())),OFFSET($T$2,0,0,ROW()-1,14),ROW()-1,FALSE))</x:f>
        <x:v>0</x:v>
      </x:c>
      <x:c r="M101">
        <x:f ca="1">IF(AND($B$1012=1,LEN($M$1106)&gt;0),$M$1106,HLOOKUP(INDIRECT(ADDRESS(2,COLUMN())),OFFSET($T$2,0,0,ROW()-1,14),ROW()-1,FALSE))</x:f>
        <x:v>0</x:v>
      </x:c>
      <x:c r="N101">
        <x:f ca="1">IF(AND($B$1012=1,LEN($N$1106)&gt;0),$N$1106,HLOOKUP(INDIRECT(ADDRESS(2,COLUMN())),OFFSET($T$2,0,0,ROW()-1,14),ROW()-1,FALSE))</x:f>
        <x:v>0</x:v>
      </x:c>
      <x:c r="O101">
        <x:f ca="1">IF(AND($B$1012=1,LEN($O$1106)&gt;0),$O$1106,HLOOKUP(INDIRECT(ADDRESS(2,COLUMN())),OFFSET($T$2,0,0,ROW()-1,14),ROW()-1,FALSE))</x:f>
        <x:v>0</x:v>
      </x:c>
      <x:c r="P101">
        <x:f ca="1">IF(AND($B$1012=1,LEN($P$1106)&gt;0),$P$1106,HLOOKUP(INDIRECT(ADDRESS(2,COLUMN())),OFFSET($T$2,0,0,ROW()-1,14),ROW()-1,FALSE))</x:f>
        <x:v>0</x:v>
      </x:c>
      <x:c r="Q101">
        <x:f ca="1">IF(AND($B$1012=1,LEN($Q$1106)&gt;0),$Q$1106,HLOOKUP(INDIRECT(ADDRESS(2,COLUMN())),OFFSET($T$2,0,0,ROW()-1,14),ROW()-1,FALSE))</x:f>
        <x:v>0</x:v>
      </x:c>
      <x:c r="R101">
        <x:f ca="1">IF(AND($B$1012=1,LEN($R$1106)&gt;0),$R$1106,HLOOKUP(INDIRECT(ADDRESS(2,COLUMN())),OFFSET($T$2,0,0,ROW()-1,14),ROW()-1,FALSE))</x:f>
        <x:v>0</x:v>
      </x:c>
      <x:c r="S101">
        <x:f ca="1">IF(AND($B$1012=1,LEN($S$1106)&gt;0),$S$1106,HLOOKUP(INDIRECT(ADDRESS(2,COLUMN())),OFFSET($T$2,0,0,ROW()-1,14),ROW()-1,FALSE))</x:f>
        <x:v>0</x:v>
      </x:c>
      <x:c r="T101">
        <x:f>0</x:f>
        <x:v>0</x:v>
      </x:c>
      <x:c r="U101">
        <x:f>0</x:f>
        <x:v>0</x:v>
      </x:c>
      <x:c r="V101">
        <x:f>0</x:f>
        <x:v>0</x:v>
      </x:c>
      <x:c r="W101">
        <x:f>0</x:f>
        <x:v>0</x:v>
      </x:c>
      <x:c r="X101">
        <x:f>0</x:f>
        <x:v>0</x:v>
      </x:c>
      <x:c r="Y101">
        <x:f>0</x:f>
        <x:v>0</x:v>
      </x:c>
      <x:c r="Z101">
        <x:f>0</x:f>
        <x:v>0</x:v>
      </x:c>
      <x:c r="AA101">
        <x:f>0</x:f>
        <x:v>0</x:v>
      </x:c>
      <x:c r="AB101">
        <x:f>0</x:f>
        <x:v>0</x:v>
      </x:c>
      <x:c r="AC101">
        <x:f>0</x:f>
        <x:v>0</x:v>
      </x:c>
      <x:c r="AD101">
        <x:f>0</x:f>
        <x:v>0</x:v>
      </x:c>
      <x:c r="AE101">
        <x:f>0</x:f>
        <x:v>0</x:v>
      </x:c>
      <x:c r="AF101">
        <x:f>0</x:f>
        <x:v>0</x:v>
      </x:c>
      <x:c r="AG101">
        <x:f>0</x:f>
        <x:v>0</x:v>
      </x:c>
    </x:row>
    <x:row r="102" spans="1:33" x14ac:dyDescent="0.25">
      <x:c r="A102" t="str">
        <x:f>"        ETRACS Alerian MLP Infrastruct"</x:f>
        <x:v xml:space="preserve">        ETRACS Alerian MLP Infrastruct</x:v>
      </x:c>
      <x:c r="B102" t="str">
        <x:f>"MLPI US Equity"</x:f>
        <x:v>MLPI US Equity</x:v>
      </x:c>
      <x:c r="E102" t="str">
        <x:f t="shared" si="3"/>
        <x:v>Expression</x:v>
      </x:c>
      <x:c r="F102" t="str">
        <x:f ca="1">IF(AND($B$1012=1,LEN($F$1107)&gt;0),$F$1107,HLOOKUP(INDIRECT(ADDRESS(2,COLUMN())),OFFSET($T$2,0,0,ROW()-1,14),ROW()-1,FALSE))</x:f>
        <x:v/>
      </x:c>
      <x:c r="G102" t="str">
        <x:f ca="1">IF(AND($B$1012=1,LEN($G$1107)&gt;0),$G$1107,HLOOKUP(INDIRECT(ADDRESS(2,COLUMN())),OFFSET($T$2,0,0,ROW()-1,14),ROW()-1,FALSE))</x:f>
        <x:v/>
      </x:c>
      <x:c r="H102" t="str">
        <x:f ca="1">IF(AND($B$1012=1,LEN($H$1107)&gt;0),$H$1107,HLOOKUP(INDIRECT(ADDRESS(2,COLUMN())),OFFSET($T$2,0,0,ROW()-1,14),ROW()-1,FALSE))</x:f>
        <x:v/>
      </x:c>
      <x:c r="I102" t="str">
        <x:f ca="1">IF(AND($B$1012=1,LEN($I$1107)&gt;0),$I$1107,HLOOKUP(INDIRECT(ADDRESS(2,COLUMN())),OFFSET($T$2,0,0,ROW()-1,14),ROW()-1,FALSE))</x:f>
        <x:v/>
      </x:c>
      <x:c r="J102" t="str">
        <x:f ca="1">IF(AND($B$1012=1,LEN($J$1107)&gt;0),$J$1107,HLOOKUP(INDIRECT(ADDRESS(2,COLUMN())),OFFSET($T$2,0,0,ROW()-1,14),ROW()-1,FALSE))</x:f>
        <x:v/>
      </x:c>
      <x:c r="K102" t="str">
        <x:f ca="1">IF(AND($B$1012=1,LEN($K$1107)&gt;0),$K$1107,HLOOKUP(INDIRECT(ADDRESS(2,COLUMN())),OFFSET($T$2,0,0,ROW()-1,14),ROW()-1,FALSE))</x:f>
        <x:v/>
      </x:c>
      <x:c r="L102" t="str">
        <x:f ca="1">IF(AND($B$1012=1,LEN($L$1107)&gt;0),$L$1107,HLOOKUP(INDIRECT(ADDRESS(2,COLUMN())),OFFSET($T$2,0,0,ROW()-1,14),ROW()-1,FALSE))</x:f>
        <x:v/>
      </x:c>
      <x:c r="M102" t="str">
        <x:f ca="1">IF(AND($B$1012=1,LEN($M$1107)&gt;0),$M$1107,HLOOKUP(INDIRECT(ADDRESS(2,COLUMN())),OFFSET($T$2,0,0,ROW()-1,14),ROW()-1,FALSE))</x:f>
        <x:v/>
      </x:c>
      <x:c r="N102" t="str">
        <x:f ca="1">IF(AND($B$1012=1,LEN($N$1107)&gt;0),$N$1107,HLOOKUP(INDIRECT(ADDRESS(2,COLUMN())),OFFSET($T$2,0,0,ROW()-1,14),ROW()-1,FALSE))</x:f>
        <x:v/>
      </x:c>
      <x:c r="O102" t="str">
        <x:f ca="1">IF(AND($B$1012=1,LEN($O$1107)&gt;0),$O$1107,HLOOKUP(INDIRECT(ADDRESS(2,COLUMN())),OFFSET($T$2,0,0,ROW()-1,14),ROW()-1,FALSE))</x:f>
        <x:v/>
      </x:c>
      <x:c r="P102" t="str">
        <x:f ca="1">IF(AND($B$1012=1,LEN($P$1107)&gt;0),$P$1107,HLOOKUP(INDIRECT(ADDRESS(2,COLUMN())),OFFSET($T$2,0,0,ROW()-1,14),ROW()-1,FALSE))</x:f>
        <x:v/>
      </x:c>
      <x:c r="Q102" t="str">
        <x:f ca="1">IF(AND($B$1012=1,LEN($Q$1107)&gt;0),$Q$1107,HLOOKUP(INDIRECT(ADDRESS(2,COLUMN())),OFFSET($T$2,0,0,ROW()-1,14),ROW()-1,FALSE))</x:f>
        <x:v/>
      </x:c>
      <x:c r="R102" t="str">
        <x:f ca="1">IF(AND($B$1012=1,LEN($R$1107)&gt;0),$R$1107,HLOOKUP(INDIRECT(ADDRESS(2,COLUMN())),OFFSET($T$2,0,0,ROW()-1,14),ROW()-1,FALSE))</x:f>
        <x:v/>
      </x:c>
      <x:c r="S102" t="str">
        <x:f ca="1">IF(AND($B$1012=1,LEN($S$1107)&gt;0),$S$1107,HLOOKUP(INDIRECT(ADDRESS(2,COLUMN())),OFFSET($T$2,0,0,ROW()-1,14),ROW()-1,FALSE))</x:f>
        <x:v/>
      </x:c>
      <x:c r="T102" t="str">
        <x:f>""</x:f>
        <x:v/>
      </x:c>
      <x:c r="U102" t="str">
        <x:f>""</x:f>
        <x:v/>
      </x:c>
      <x:c r="V102" t="str">
        <x:f>""</x:f>
        <x:v/>
      </x:c>
      <x:c r="W102" t="str">
        <x:f>""</x:f>
        <x:v/>
      </x:c>
      <x:c r="X102" t="str">
        <x:f>""</x:f>
        <x:v/>
      </x:c>
      <x:c r="Y102" t="str">
        <x:f>""</x:f>
        <x:v/>
      </x:c>
      <x:c r="Z102" t="str">
        <x:f>""</x:f>
        <x:v/>
      </x:c>
      <x:c r="AA102" t="str">
        <x:f>""</x:f>
        <x:v/>
      </x:c>
      <x:c r="AB102" t="str">
        <x:f>""</x:f>
        <x:v/>
      </x:c>
      <x:c r="AC102" t="str">
        <x:f>""</x:f>
        <x:v/>
      </x:c>
      <x:c r="AD102" t="str">
        <x:f>""</x:f>
        <x:v/>
      </x:c>
      <x:c r="AE102" t="str">
        <x:f>""</x:f>
        <x:v/>
      </x:c>
      <x:c r="AF102" t="str">
        <x:f>""</x:f>
        <x:v/>
      </x:c>
      <x:c r="AG102" t="str">
        <x:f>""</x:f>
        <x:v/>
      </x:c>
    </x:row>
    <x:row r="103" spans="1:33" x14ac:dyDescent="0.25">
      <x:c r="A103" t="str">
        <x:f>"        SPDR S&amp;P Oil &amp; Gas Exploration"</x:f>
        <x:v xml:space="preserve">        SPDR S&amp;P Oil &amp; Gas Exploration</x:v>
      </x:c>
      <x:c r="B103" t="str">
        <x:f>"XOP US Equity"</x:f>
        <x:v>XOP US Equity</x:v>
      </x:c>
      <x:c r="E103" t="str">
        <x:f t="shared" si="3"/>
        <x:v>Expression</x:v>
      </x:c>
      <x:c r="F103">
        <x:f ca="1">IF(AND($B$1012=1,LEN($F$1108)&gt;0),$F$1108,HLOOKUP(INDIRECT(ADDRESS(2,COLUMN())),OFFSET($T$2,0,0,ROW()-1,14),ROW()-1,FALSE))</x:f>
        <x:v>35.069108</x:v>
      </x:c>
      <x:c r="G103">
        <x:f ca="1">IF(AND($B$1012=1,LEN($G$1108)&gt;0),$G$1108,HLOOKUP(INDIRECT(ADDRESS(2,COLUMN())),OFFSET($T$2,0,0,ROW()-1,14),ROW()-1,FALSE))</x:f>
        <x:v>-24.423902999999999</x:v>
      </x:c>
      <x:c r="H103">
        <x:f ca="1">IF(AND($B$1012=1,LEN($H$1108)&gt;0),$H$1108,HLOOKUP(INDIRECT(ADDRESS(2,COLUMN())),OFFSET($T$2,0,0,ROW()-1,14),ROW()-1,FALSE))</x:f>
        <x:v>-225.08173199999999</x:v>
      </x:c>
      <x:c r="I103">
        <x:f ca="1">IF(AND($B$1012=1,LEN($I$1108)&gt;0),$I$1108,HLOOKUP(INDIRECT(ADDRESS(2,COLUMN())),OFFSET($T$2,0,0,ROW()-1,14),ROW()-1,FALSE))</x:f>
        <x:v>-11.353054</x:v>
      </x:c>
      <x:c r="J103">
        <x:f ca="1">IF(AND($B$1012=1,LEN($J$1108)&gt;0),$J$1108,HLOOKUP(INDIRECT(ADDRESS(2,COLUMN())),OFFSET($T$2,0,0,ROW()-1,14),ROW()-1,FALSE))</x:f>
        <x:v>216.962604</x:v>
      </x:c>
      <x:c r="K103">
        <x:f ca="1">IF(AND($B$1012=1,LEN($K$1108)&gt;0),$K$1108,HLOOKUP(INDIRECT(ADDRESS(2,COLUMN())),OFFSET($T$2,0,0,ROW()-1,14),ROW()-1,FALSE))</x:f>
        <x:v>-136.35541799999999</x:v>
      </x:c>
      <x:c r="L103">
        <x:f ca="1">IF(AND($B$1012=1,LEN($L$1108)&gt;0),$L$1108,HLOOKUP(INDIRECT(ADDRESS(2,COLUMN())),OFFSET($T$2,0,0,ROW()-1,14),ROW()-1,FALSE))</x:f>
        <x:v>-100.051489</x:v>
      </x:c>
      <x:c r="M103">
        <x:f ca="1">IF(AND($B$1012=1,LEN($M$1108)&gt;0),$M$1108,HLOOKUP(INDIRECT(ADDRESS(2,COLUMN())),OFFSET($T$2,0,0,ROW()-1,14),ROW()-1,FALSE))</x:f>
        <x:v>-38.247433999999998</x:v>
      </x:c>
      <x:c r="N103">
        <x:f ca="1">IF(AND($B$1012=1,LEN($N$1108)&gt;0),$N$1108,HLOOKUP(INDIRECT(ADDRESS(2,COLUMN())),OFFSET($T$2,0,0,ROW()-1,14),ROW()-1,FALSE))</x:f>
        <x:v>27.199811</x:v>
      </x:c>
      <x:c r="O103">
        <x:f ca="1">IF(AND($B$1012=1,LEN($O$1108)&gt;0),$O$1108,HLOOKUP(INDIRECT(ADDRESS(2,COLUMN())),OFFSET($T$2,0,0,ROW()-1,14),ROW()-1,FALSE))</x:f>
        <x:v>-284.93082900000002</x:v>
      </x:c>
      <x:c r="P103">
        <x:f ca="1">IF(AND($B$1012=1,LEN($P$1108)&gt;0),$P$1108,HLOOKUP(INDIRECT(ADDRESS(2,COLUMN())),OFFSET($T$2,0,0,ROW()-1,14),ROW()-1,FALSE))</x:f>
        <x:v>-703.28279499999996</x:v>
      </x:c>
      <x:c r="Q103">
        <x:f ca="1">IF(AND($B$1012=1,LEN($Q$1108)&gt;0),$Q$1108,HLOOKUP(INDIRECT(ADDRESS(2,COLUMN())),OFFSET($T$2,0,0,ROW()-1,14),ROW()-1,FALSE))</x:f>
        <x:v>298.15387600000003</x:v>
      </x:c>
      <x:c r="R103">
        <x:f ca="1">IF(AND($B$1012=1,LEN($R$1108)&gt;0),$R$1108,HLOOKUP(INDIRECT(ADDRESS(2,COLUMN())),OFFSET($T$2,0,0,ROW()-1,14),ROW()-1,FALSE))</x:f>
        <x:v>-246.774978</x:v>
      </x:c>
      <x:c r="S103">
        <x:f ca="1">IF(AND($B$1012=1,LEN($S$1108)&gt;0),$S$1108,HLOOKUP(INDIRECT(ADDRESS(2,COLUMN())),OFFSET($T$2,0,0,ROW()-1,14),ROW()-1,FALSE))</x:f>
        <x:v>527.61006899999995</x:v>
      </x:c>
      <x:c r="T103">
        <x:f>35.069108</x:f>
        <x:v>35.069108</x:v>
      </x:c>
      <x:c r="U103">
        <x:f>-24.423903</x:f>
        <x:v>-24.423902999999999</x:v>
      </x:c>
      <x:c r="V103">
        <x:f>-225.081732</x:f>
        <x:v>-225.08173199999999</x:v>
      </x:c>
      <x:c r="W103">
        <x:f>-11.353054</x:f>
        <x:v>-11.353054</x:v>
      </x:c>
      <x:c r="X103">
        <x:f>216.962604</x:f>
        <x:v>216.962604</x:v>
      </x:c>
      <x:c r="Y103">
        <x:f>-136.355418</x:f>
        <x:v>-136.35541799999999</x:v>
      </x:c>
      <x:c r="Z103">
        <x:f>-100.051489</x:f>
        <x:v>-100.051489</x:v>
      </x:c>
      <x:c r="AA103">
        <x:f>-38.247434</x:f>
        <x:v>-38.247433999999998</x:v>
      </x:c>
      <x:c r="AB103">
        <x:f>27.199811</x:f>
        <x:v>27.199811</x:v>
      </x:c>
      <x:c r="AC103">
        <x:f>-284.930829</x:f>
        <x:v>-284.93082900000002</x:v>
      </x:c>
      <x:c r="AD103">
        <x:f>-703.282795</x:f>
        <x:v>-703.28279499999996</x:v>
      </x:c>
      <x:c r="AE103">
        <x:f>298.153876</x:f>
        <x:v>298.15387600000003</x:v>
      </x:c>
      <x:c r="AF103">
        <x:f>-246.774978</x:f>
        <x:v>-246.774978</x:v>
      </x:c>
      <x:c r="AG103">
        <x:f>527.610069</x:f>
        <x:v>527.61006899999995</x:v>
      </x:c>
    </x:row>
    <x:row r="104" spans="1:33" x14ac:dyDescent="0.25">
      <x:c r="A104" t="str">
        <x:f>"        VanEck Oil Services ETF"</x:f>
        <x:v xml:space="preserve">        VanEck Oil Services ETF</x:v>
      </x:c>
      <x:c r="B104" t="str">
        <x:f>"OIH US Equity"</x:f>
        <x:v>OIH US Equity</x:v>
      </x:c>
      <x:c r="E104" t="str">
        <x:f t="shared" si="3"/>
        <x:v>Expression</x:v>
      </x:c>
      <x:c r="F104">
        <x:f ca="1">IF(AND($B$1012=1,LEN($F$1109)&gt;0),$F$1109,HLOOKUP(INDIRECT(ADDRESS(2,COLUMN())),OFFSET($T$2,0,0,ROW()-1,14),ROW()-1,FALSE))</x:f>
        <x:v>-128.23198400000001</x:v>
      </x:c>
      <x:c r="G104">
        <x:f ca="1">IF(AND($B$1012=1,LEN($G$1109)&gt;0),$G$1109,HLOOKUP(INDIRECT(ADDRESS(2,COLUMN())),OFFSET($T$2,0,0,ROW()-1,14),ROW()-1,FALSE))</x:f>
        <x:v>71.318458000000007</x:v>
      </x:c>
      <x:c r="H104">
        <x:f ca="1">IF(AND($B$1012=1,LEN($H$1109)&gt;0),$H$1109,HLOOKUP(INDIRECT(ADDRESS(2,COLUMN())),OFFSET($T$2,0,0,ROW()-1,14),ROW()-1,FALSE))</x:f>
        <x:v>-0.96226800000000001</x:v>
      </x:c>
      <x:c r="I104">
        <x:f ca="1">IF(AND($B$1012=1,LEN($I$1109)&gt;0),$I$1109,HLOOKUP(INDIRECT(ADDRESS(2,COLUMN())),OFFSET($T$2,0,0,ROW()-1,14),ROW()-1,FALSE))</x:f>
        <x:v>-68.276455999999996</x:v>
      </x:c>
      <x:c r="J104">
        <x:f ca="1">IF(AND($B$1012=1,LEN($J$1109)&gt;0),$J$1109,HLOOKUP(INDIRECT(ADDRESS(2,COLUMN())),OFFSET($T$2,0,0,ROW()-1,14),ROW()-1,FALSE))</x:f>
        <x:v>15.925793000000001</x:v>
      </x:c>
      <x:c r="K104">
        <x:f ca="1">IF(AND($B$1012=1,LEN($K$1109)&gt;0),$K$1109,HLOOKUP(INDIRECT(ADDRESS(2,COLUMN())),OFFSET($T$2,0,0,ROW()-1,14),ROW()-1,FALSE))</x:f>
        <x:v>-136.208845</x:v>
      </x:c>
      <x:c r="L104">
        <x:f ca="1">IF(AND($B$1012=1,LEN($L$1109)&gt;0),$L$1109,HLOOKUP(INDIRECT(ADDRESS(2,COLUMN())),OFFSET($T$2,0,0,ROW()-1,14),ROW()-1,FALSE))</x:f>
        <x:v>2.2859859999999999</x:v>
      </x:c>
      <x:c r="M104">
        <x:f ca="1">IF(AND($B$1012=1,LEN($M$1109)&gt;0),$M$1109,HLOOKUP(INDIRECT(ADDRESS(2,COLUMN())),OFFSET($T$2,0,0,ROW()-1,14),ROW()-1,FALSE))</x:f>
        <x:v>-130.590968</x:v>
      </x:c>
      <x:c r="N104">
        <x:f ca="1">IF(AND($B$1012=1,LEN($N$1109)&gt;0),$N$1109,HLOOKUP(INDIRECT(ADDRESS(2,COLUMN())),OFFSET($T$2,0,0,ROW()-1,14),ROW()-1,FALSE))</x:f>
        <x:v>190.56250800000001</x:v>
      </x:c>
      <x:c r="O104">
        <x:f ca="1">IF(AND($B$1012=1,LEN($O$1109)&gt;0),$O$1109,HLOOKUP(INDIRECT(ADDRESS(2,COLUMN())),OFFSET($T$2,0,0,ROW()-1,14),ROW()-1,FALSE))</x:f>
        <x:v>-249.89423500000001</x:v>
      </x:c>
      <x:c r="P104">
        <x:f ca="1">IF(AND($B$1012=1,LEN($P$1109)&gt;0),$P$1109,HLOOKUP(INDIRECT(ADDRESS(2,COLUMN())),OFFSET($T$2,0,0,ROW()-1,14),ROW()-1,FALSE))</x:f>
        <x:v>67.453813999999994</x:v>
      </x:c>
      <x:c r="Q104">
        <x:f ca="1">IF(AND($B$1012=1,LEN($Q$1109)&gt;0),$Q$1109,HLOOKUP(INDIRECT(ADDRESS(2,COLUMN())),OFFSET($T$2,0,0,ROW()-1,14),ROW()-1,FALSE))</x:f>
        <x:v>-105.65682200000001</x:v>
      </x:c>
      <x:c r="R104">
        <x:f ca="1">IF(AND($B$1012=1,LEN($R$1109)&gt;0),$R$1109,HLOOKUP(INDIRECT(ADDRESS(2,COLUMN())),OFFSET($T$2,0,0,ROW()-1,14),ROW()-1,FALSE))</x:f>
        <x:v>-91.112089999999995</x:v>
      </x:c>
      <x:c r="S104">
        <x:f ca="1">IF(AND($B$1012=1,LEN($S$1109)&gt;0),$S$1109,HLOOKUP(INDIRECT(ADDRESS(2,COLUMN())),OFFSET($T$2,0,0,ROW()-1,14),ROW()-1,FALSE))</x:f>
        <x:v>3.5712380000000001</x:v>
      </x:c>
      <x:c r="T104">
        <x:f>-128.231984</x:f>
        <x:v>-128.23198400000001</x:v>
      </x:c>
      <x:c r="U104">
        <x:f>71.318458</x:f>
        <x:v>71.318458000000007</x:v>
      </x:c>
      <x:c r="V104">
        <x:f>-0.962268</x:f>
        <x:v>-0.96226800000000001</x:v>
      </x:c>
      <x:c r="W104">
        <x:f>-68.276456</x:f>
        <x:v>-68.276455999999996</x:v>
      </x:c>
      <x:c r="X104">
        <x:f>15.925793</x:f>
        <x:v>15.925793000000001</x:v>
      </x:c>
      <x:c r="Y104">
        <x:f>-136.208845</x:f>
        <x:v>-136.208845</x:v>
      </x:c>
      <x:c r="Z104">
        <x:f>2.285986</x:f>
        <x:v>2.2859859999999999</x:v>
      </x:c>
      <x:c r="AA104">
        <x:f>-130.590968</x:f>
        <x:v>-130.590968</x:v>
      </x:c>
      <x:c r="AB104">
        <x:f>190.562508</x:f>
        <x:v>190.56250800000001</x:v>
      </x:c>
      <x:c r="AC104">
        <x:f>-249.894235</x:f>
        <x:v>-249.89423500000001</x:v>
      </x:c>
      <x:c r="AD104">
        <x:f>67.453814</x:f>
        <x:v>67.453813999999994</x:v>
      </x:c>
      <x:c r="AE104">
        <x:f>-105.656822</x:f>
        <x:v>-105.65682200000001</x:v>
      </x:c>
      <x:c r="AF104">
        <x:f>-91.11209</x:f>
        <x:v>-91.112089999999995</x:v>
      </x:c>
      <x:c r="AG104">
        <x:f>3.571238</x:f>
        <x:v>3.5712380000000001</x:v>
      </x:c>
    </x:row>
    <x:row r="105" spans="1:33" x14ac:dyDescent="0.25">
      <x:c r="A105" t="str">
        <x:f>"        iShares U.S. Energy ETF"</x:f>
        <x:v xml:space="preserve">        iShares U.S. Energy ETF</x:v>
      </x:c>
      <x:c r="B105" t="str">
        <x:f>"IYE US Equity"</x:f>
        <x:v>IYE US Equity</x:v>
      </x:c>
      <x:c r="E105" t="str">
        <x:f t="shared" si="3"/>
        <x:v>Expression</x:v>
      </x:c>
      <x:c r="F105">
        <x:f ca="1">IF(AND($B$1012=1,LEN($F$1110)&gt;0),$F$1110,HLOOKUP(INDIRECT(ADDRESS(2,COLUMN())),OFFSET($T$2,0,0,ROW()-1,14),ROW()-1,FALSE))</x:f>
        <x:v>2.2103320000000002</x:v>
      </x:c>
      <x:c r="G105">
        <x:f ca="1">IF(AND($B$1012=1,LEN($G$1110)&gt;0),$G$1110,HLOOKUP(INDIRECT(ADDRESS(2,COLUMN())),OFFSET($T$2,0,0,ROW()-1,14),ROW()-1,FALSE))</x:f>
        <x:v>23.447545000000002</x:v>
      </x:c>
      <x:c r="H105">
        <x:f ca="1">IF(AND($B$1012=1,LEN($H$1110)&gt;0),$H$1110,HLOOKUP(INDIRECT(ADDRESS(2,COLUMN())),OFFSET($T$2,0,0,ROW()-1,14),ROW()-1,FALSE))</x:f>
        <x:v>-12.001598</x:v>
      </x:c>
      <x:c r="I105">
        <x:f ca="1">IF(AND($B$1012=1,LEN($I$1110)&gt;0),$I$1110,HLOOKUP(INDIRECT(ADDRESS(2,COLUMN())),OFFSET($T$2,0,0,ROW()-1,14),ROW()-1,FALSE))</x:f>
        <x:v>-23.409655000000001</x:v>
      </x:c>
      <x:c r="J105">
        <x:f ca="1">IF(AND($B$1012=1,LEN($J$1110)&gt;0),$J$1110,HLOOKUP(INDIRECT(ADDRESS(2,COLUMN())),OFFSET($T$2,0,0,ROW()-1,14),ROW()-1,FALSE))</x:f>
        <x:v>-41.326050000000002</x:v>
      </x:c>
      <x:c r="K105">
        <x:f ca="1">IF(AND($B$1012=1,LEN($K$1110)&gt;0),$K$1110,HLOOKUP(INDIRECT(ADDRESS(2,COLUMN())),OFFSET($T$2,0,0,ROW()-1,14),ROW()-1,FALSE))</x:f>
        <x:v>-124.646345</x:v>
      </x:c>
      <x:c r="L105">
        <x:f ca="1">IF(AND($B$1012=1,LEN($L$1110)&gt;0),$L$1110,HLOOKUP(INDIRECT(ADDRESS(2,COLUMN())),OFFSET($T$2,0,0,ROW()-1,14),ROW()-1,FALSE))</x:f>
        <x:v>-68.035020000000003</x:v>
      </x:c>
      <x:c r="M105">
        <x:f ca="1">IF(AND($B$1012=1,LEN($M$1110)&gt;0),$M$1110,HLOOKUP(INDIRECT(ADDRESS(2,COLUMN())),OFFSET($T$2,0,0,ROW()-1,14),ROW()-1,FALSE))</x:f>
        <x:v>-51.695374999999999</x:v>
      </x:c>
      <x:c r="N105">
        <x:f ca="1">IF(AND($B$1012=1,LEN($N$1110)&gt;0),$N$1110,HLOOKUP(INDIRECT(ADDRESS(2,COLUMN())),OFFSET($T$2,0,0,ROW()-1,14),ROW()-1,FALSE))</x:f>
        <x:v>-127.216285</x:v>
      </x:c>
      <x:c r="O105">
        <x:f ca="1">IF(AND($B$1012=1,LEN($O$1110)&gt;0),$O$1110,HLOOKUP(INDIRECT(ADDRESS(2,COLUMN())),OFFSET($T$2,0,0,ROW()-1,14),ROW()-1,FALSE))</x:f>
        <x:v>-76.245350000000002</x:v>
      </x:c>
      <x:c r="P105">
        <x:f ca="1">IF(AND($B$1012=1,LEN($P$1110)&gt;0),$P$1110,HLOOKUP(INDIRECT(ADDRESS(2,COLUMN())),OFFSET($T$2,0,0,ROW()-1,14),ROW()-1,FALSE))</x:f>
        <x:v>-364.74325499999998</x:v>
      </x:c>
      <x:c r="Q105">
        <x:f ca="1">IF(AND($B$1012=1,LEN($Q$1110)&gt;0),$Q$1110,HLOOKUP(INDIRECT(ADDRESS(2,COLUMN())),OFFSET($T$2,0,0,ROW()-1,14),ROW()-1,FALSE))</x:f>
        <x:v>-15.972854999999999</x:v>
      </x:c>
      <x:c r="R105">
        <x:f ca="1">IF(AND($B$1012=1,LEN($R$1110)&gt;0),$R$1110,HLOOKUP(INDIRECT(ADDRESS(2,COLUMN())),OFFSET($T$2,0,0,ROW()-1,14),ROW()-1,FALSE))</x:f>
        <x:v>2.4048799999999999</x:v>
      </x:c>
      <x:c r="S105">
        <x:f ca="1">IF(AND($B$1012=1,LEN($S$1110)&gt;0),$S$1110,HLOOKUP(INDIRECT(ADDRESS(2,COLUMN())),OFFSET($T$2,0,0,ROW()-1,14),ROW()-1,FALSE))</x:f>
        <x:v>-14.54927</x:v>
      </x:c>
      <x:c r="T105">
        <x:f>2.210332</x:f>
        <x:v>2.2103320000000002</x:v>
      </x:c>
      <x:c r="U105">
        <x:f>23.447545</x:f>
        <x:v>23.447545000000002</x:v>
      </x:c>
      <x:c r="V105">
        <x:f>-12.001598</x:f>
        <x:v>-12.001598</x:v>
      </x:c>
      <x:c r="W105">
        <x:f>-23.409655</x:f>
        <x:v>-23.409655000000001</x:v>
      </x:c>
      <x:c r="X105">
        <x:f>-41.32605</x:f>
        <x:v>-41.326050000000002</x:v>
      </x:c>
      <x:c r="Y105">
        <x:f>-124.646345</x:f>
        <x:v>-124.646345</x:v>
      </x:c>
      <x:c r="Z105">
        <x:f>-68.03502</x:f>
        <x:v>-68.035020000000003</x:v>
      </x:c>
      <x:c r="AA105">
        <x:f>-51.695375</x:f>
        <x:v>-51.695374999999999</x:v>
      </x:c>
      <x:c r="AB105">
        <x:f>-127.216285</x:f>
        <x:v>-127.216285</x:v>
      </x:c>
      <x:c r="AC105">
        <x:f>-76.24535</x:f>
        <x:v>-76.245350000000002</x:v>
      </x:c>
      <x:c r="AD105">
        <x:f>-364.743255</x:f>
        <x:v>-364.74325499999998</x:v>
      </x:c>
      <x:c r="AE105">
        <x:f>-15.972855</x:f>
        <x:v>-15.972854999999999</x:v>
      </x:c>
      <x:c r="AF105">
        <x:f>2.40488</x:f>
        <x:v>2.4048799999999999</x:v>
      </x:c>
      <x:c r="AG105">
        <x:f>-14.54927</x:f>
        <x:v>-14.54927</x:v>
      </x:c>
    </x:row>
    <x:row r="106" spans="1:33" x14ac:dyDescent="0.25">
      <x:c r="A106" t="str">
        <x:f>"        SPDR S&amp;P North American Natura"</x:f>
        <x:v xml:space="preserve">        SPDR S&amp;P North American Natura</x:v>
      </x:c>
      <x:c r="B106" t="str">
        <x:f>"NANR US Equity"</x:f>
        <x:v>NANR US Equity</x:v>
      </x:c>
      <x:c r="E106" t="str">
        <x:f t="shared" si="3"/>
        <x:v>Expression</x:v>
      </x:c>
      <x:c r="F106">
        <x:f ca="1">IF(AND($B$1012=1,LEN($F$1111)&gt;0),$F$1111,HLOOKUP(INDIRECT(ADDRESS(2,COLUMN())),OFFSET($T$2,0,0,ROW()-1,14),ROW()-1,FALSE))</x:f>
        <x:v>-8.6893960000000003</x:v>
      </x:c>
      <x:c r="G106">
        <x:f ca="1">IF(AND($B$1012=1,LEN($G$1111)&gt;0),$G$1111,HLOOKUP(INDIRECT(ADDRESS(2,COLUMN())),OFFSET($T$2,0,0,ROW()-1,14),ROW()-1,FALSE))</x:f>
        <x:v>-1.3078369999999999</x:v>
      </x:c>
      <x:c r="H106">
        <x:f ca="1">IF(AND($B$1012=1,LEN($H$1111)&gt;0),$H$1111,HLOOKUP(INDIRECT(ADDRESS(2,COLUMN())),OFFSET($T$2,0,0,ROW()-1,14),ROW()-1,FALSE))</x:f>
        <x:v>-4.0701229999999997</x:v>
      </x:c>
      <x:c r="I106">
        <x:f ca="1">IF(AND($B$1012=1,LEN($I$1111)&gt;0),$I$1111,HLOOKUP(INDIRECT(ADDRESS(2,COLUMN())),OFFSET($T$2,0,0,ROW()-1,14),ROW()-1,FALSE))</x:f>
        <x:v>0</x:v>
      </x:c>
      <x:c r="J106">
        <x:f ca="1">IF(AND($B$1012=1,LEN($J$1111)&gt;0),$J$1111,HLOOKUP(INDIRECT(ADDRESS(2,COLUMN())),OFFSET($T$2,0,0,ROW()-1,14),ROW()-1,FALSE))</x:f>
        <x:v>-2.7703329999999999</x:v>
      </x:c>
      <x:c r="K106">
        <x:f ca="1">IF(AND($B$1012=1,LEN($K$1111)&gt;0),$K$1111,HLOOKUP(INDIRECT(ADDRESS(2,COLUMN())),OFFSET($T$2,0,0,ROW()-1,14),ROW()-1,FALSE))</x:f>
        <x:v>-5.2735430000000001</x:v>
      </x:c>
      <x:c r="L106">
        <x:f ca="1">IF(AND($B$1012=1,LEN($L$1111)&gt;0),$L$1111,HLOOKUP(INDIRECT(ADDRESS(2,COLUMN())),OFFSET($T$2,0,0,ROW()-1,14),ROW()-1,FALSE))</x:f>
        <x:v>7.5696000000000003</x:v>
      </x:c>
      <x:c r="M106">
        <x:f ca="1">IF(AND($B$1012=1,LEN($M$1111)&gt;0),$M$1111,HLOOKUP(INDIRECT(ADDRESS(2,COLUMN())),OFFSET($T$2,0,0,ROW()-1,14),ROW()-1,FALSE))</x:f>
        <x:v>-8.1568020000000008</x:v>
      </x:c>
      <x:c r="N106">
        <x:f ca="1">IF(AND($B$1012=1,LEN($N$1111)&gt;0),$N$1111,HLOOKUP(INDIRECT(ADDRESS(2,COLUMN())),OFFSET($T$2,0,0,ROW()-1,14),ROW()-1,FALSE))</x:f>
        <x:v>-189.52456599999999</x:v>
      </x:c>
      <x:c r="O106">
        <x:f ca="1">IF(AND($B$1012=1,LEN($O$1111)&gt;0),$O$1111,HLOOKUP(INDIRECT(ADDRESS(2,COLUMN())),OFFSET($T$2,0,0,ROW()-1,14),ROW()-1,FALSE))</x:f>
        <x:v>9.7665620000000004</x:v>
      </x:c>
      <x:c r="P106">
        <x:f ca="1">IF(AND($B$1012=1,LEN($P$1111)&gt;0),$P$1111,HLOOKUP(INDIRECT(ADDRESS(2,COLUMN())),OFFSET($T$2,0,0,ROW()-1,14),ROW()-1,FALSE))</x:f>
        <x:v>89.262805999999998</x:v>
      </x:c>
      <x:c r="Q106">
        <x:f ca="1">IF(AND($B$1012=1,LEN($Q$1111)&gt;0),$Q$1111,HLOOKUP(INDIRECT(ADDRESS(2,COLUMN())),OFFSET($T$2,0,0,ROW()-1,14),ROW()-1,FALSE))</x:f>
        <x:v>129.441879</x:v>
      </x:c>
      <x:c r="R106">
        <x:f ca="1">IF(AND($B$1012=1,LEN($R$1111)&gt;0),$R$1111,HLOOKUP(INDIRECT(ADDRESS(2,COLUMN())),OFFSET($T$2,0,0,ROW()-1,14),ROW()-1,FALSE))</x:f>
        <x:v>-25.416215999999999</x:v>
      </x:c>
      <x:c r="S106">
        <x:f ca="1">IF(AND($B$1012=1,LEN($S$1111)&gt;0),$S$1111,HLOOKUP(INDIRECT(ADDRESS(2,COLUMN())),OFFSET($T$2,0,0,ROW()-1,14),ROW()-1,FALSE))</x:f>
        <x:v>-0.83558699999999997</x:v>
      </x:c>
      <x:c r="T106">
        <x:f>-8.689396</x:f>
        <x:v>-8.6893960000000003</x:v>
      </x:c>
      <x:c r="U106">
        <x:f>-1.307837</x:f>
        <x:v>-1.3078369999999999</x:v>
      </x:c>
      <x:c r="V106">
        <x:f>-4.070123</x:f>
        <x:v>-4.0701229999999997</x:v>
      </x:c>
      <x:c r="W106">
        <x:f>0</x:f>
        <x:v>0</x:v>
      </x:c>
      <x:c r="X106">
        <x:f>-2.770333</x:f>
        <x:v>-2.7703329999999999</x:v>
      </x:c>
      <x:c r="Y106">
        <x:f>-5.273543</x:f>
        <x:v>-5.2735430000000001</x:v>
      </x:c>
      <x:c r="Z106">
        <x:f>7.5696</x:f>
        <x:v>7.5696000000000003</x:v>
      </x:c>
      <x:c r="AA106">
        <x:f>-8.156802</x:f>
        <x:v>-8.1568020000000008</x:v>
      </x:c>
      <x:c r="AB106">
        <x:f>-189.524566</x:f>
        <x:v>-189.52456599999999</x:v>
      </x:c>
      <x:c r="AC106">
        <x:f>9.766562</x:f>
        <x:v>9.7665620000000004</x:v>
      </x:c>
      <x:c r="AD106">
        <x:f>89.262806</x:f>
        <x:v>89.262805999999998</x:v>
      </x:c>
      <x:c r="AE106">
        <x:f>129.441879</x:f>
        <x:v>129.441879</x:v>
      </x:c>
      <x:c r="AF106">
        <x:f>-25.416216</x:f>
        <x:v>-25.416215999999999</x:v>
      </x:c>
      <x:c r="AG106">
        <x:f>-0.835587</x:f>
        <x:v>-0.83558699999999997</x:v>
      </x:c>
    </x:row>
    <x:row r="107" spans="1:33" x14ac:dyDescent="0.25">
      <x:c r="A107" t="str">
        <x:f>"        iShares Global Energy ETF"</x:f>
        <x:v xml:space="preserve">        iShares Global Energy ETF</x:v>
      </x:c>
      <x:c r="B107" t="str">
        <x:f>"IXC US Equity"</x:f>
        <x:v>IXC US Equity</x:v>
      </x:c>
      <x:c r="E107" t="str">
        <x:f t="shared" si="3"/>
        <x:v>Expression</x:v>
      </x:c>
      <x:c r="F107">
        <x:f ca="1">IF(AND($B$1012=1,LEN($F$1112)&gt;0),$F$1112,HLOOKUP(INDIRECT(ADDRESS(2,COLUMN())),OFFSET($T$2,0,0,ROW()-1,14),ROW()-1,FALSE))</x:f>
        <x:v>76.752270999999993</x:v>
      </x:c>
      <x:c r="G107">
        <x:f ca="1">IF(AND($B$1012=1,LEN($G$1112)&gt;0),$G$1112,HLOOKUP(INDIRECT(ADDRESS(2,COLUMN())),OFFSET($T$2,0,0,ROW()-1,14),ROW()-1,FALSE))</x:f>
        <x:v>1073.007832</x:v>
      </x:c>
      <x:c r="H107">
        <x:f ca="1">IF(AND($B$1012=1,LEN($H$1112)&gt;0),$H$1112,HLOOKUP(INDIRECT(ADDRESS(2,COLUMN())),OFFSET($T$2,0,0,ROW()-1,14),ROW()-1,FALSE))</x:f>
        <x:v>36.979900999999998</x:v>
      </x:c>
      <x:c r="I107">
        <x:f ca="1">IF(AND($B$1012=1,LEN($I$1112)&gt;0),$I$1112,HLOOKUP(INDIRECT(ADDRESS(2,COLUMN())),OFFSET($T$2,0,0,ROW()-1,14),ROW()-1,FALSE))</x:f>
        <x:v>17.955884999999999</x:v>
      </x:c>
      <x:c r="J107">
        <x:f ca="1">IF(AND($B$1012=1,LEN($J$1112)&gt;0),$J$1112,HLOOKUP(INDIRECT(ADDRESS(2,COLUMN())),OFFSET($T$2,0,0,ROW()-1,14),ROW()-1,FALSE))</x:f>
        <x:v>-61.447155000000002</x:v>
      </x:c>
      <x:c r="K107">
        <x:f ca="1">IF(AND($B$1012=1,LEN($K$1112)&gt;0),$K$1112,HLOOKUP(INDIRECT(ADDRESS(2,COLUMN())),OFFSET($T$2,0,0,ROW()-1,14),ROW()-1,FALSE))</x:f>
        <x:v>-5.49594</x:v>
      </x:c>
      <x:c r="L107">
        <x:f ca="1">IF(AND($B$1012=1,LEN($L$1112)&gt;0),$L$1112,HLOOKUP(INDIRECT(ADDRESS(2,COLUMN())),OFFSET($T$2,0,0,ROW()-1,14),ROW()-1,FALSE))</x:f>
        <x:v>0</x:v>
      </x:c>
      <x:c r="M107">
        <x:f ca="1">IF(AND($B$1012=1,LEN($M$1112)&gt;0),$M$1112,HLOOKUP(INDIRECT(ADDRESS(2,COLUMN())),OFFSET($T$2,0,0,ROW()-1,14),ROW()-1,FALSE))</x:f>
        <x:v>5.8453350000000004</x:v>
      </x:c>
      <x:c r="N107">
        <x:f ca="1">IF(AND($B$1012=1,LEN($N$1112)&gt;0),$N$1112,HLOOKUP(INDIRECT(ADDRESS(2,COLUMN())),OFFSET($T$2,0,0,ROW()-1,14),ROW()-1,FALSE))</x:f>
        <x:v>-143.05143699999999</x:v>
      </x:c>
      <x:c r="O107">
        <x:f ca="1">IF(AND($B$1012=1,LEN($O$1112)&gt;0),$O$1112,HLOOKUP(INDIRECT(ADDRESS(2,COLUMN())),OFFSET($T$2,0,0,ROW()-1,14),ROW()-1,FALSE))</x:f>
        <x:v>-41.071950000000001</x:v>
      </x:c>
      <x:c r="P107">
        <x:f ca="1">IF(AND($B$1012=1,LEN($P$1112)&gt;0),$P$1112,HLOOKUP(INDIRECT(ADDRESS(2,COLUMN())),OFFSET($T$2,0,0,ROW()-1,14),ROW()-1,FALSE))</x:f>
        <x:v>-41.762039999999999</x:v>
      </x:c>
      <x:c r="Q107">
        <x:f ca="1">IF(AND($B$1012=1,LEN($Q$1112)&gt;0),$Q$1112,HLOOKUP(INDIRECT(ADDRESS(2,COLUMN())),OFFSET($T$2,0,0,ROW()-1,14),ROW()-1,FALSE))</x:f>
        <x:v>-22.713315000000001</x:v>
      </x:c>
      <x:c r="R107">
        <x:f ca="1">IF(AND($B$1012=1,LEN($R$1112)&gt;0),$R$1112,HLOOKUP(INDIRECT(ADDRESS(2,COLUMN())),OFFSET($T$2,0,0,ROW()-1,14),ROW()-1,FALSE))</x:f>
        <x:v>-36.442365000000002</x:v>
      </x:c>
      <x:c r="S107">
        <x:f ca="1">IF(AND($B$1012=1,LEN($S$1112)&gt;0),$S$1112,HLOOKUP(INDIRECT(ADDRESS(2,COLUMN())),OFFSET($T$2,0,0,ROW()-1,14),ROW()-1,FALSE))</x:f>
        <x:v>-37.19088</x:v>
      </x:c>
      <x:c r="T107">
        <x:f>76.752271</x:f>
        <x:v>76.752270999999993</x:v>
      </x:c>
      <x:c r="U107">
        <x:f>1073.007832</x:f>
        <x:v>1073.007832</x:v>
      </x:c>
      <x:c r="V107">
        <x:f>36.979901</x:f>
        <x:v>36.979900999999998</x:v>
      </x:c>
      <x:c r="W107">
        <x:f>17.955885</x:f>
        <x:v>17.955884999999999</x:v>
      </x:c>
      <x:c r="X107">
        <x:f>-61.447155</x:f>
        <x:v>-61.447155000000002</x:v>
      </x:c>
      <x:c r="Y107">
        <x:f>-5.49594</x:f>
        <x:v>-5.49594</x:v>
      </x:c>
      <x:c r="Z107">
        <x:f>0</x:f>
        <x:v>0</x:v>
      </x:c>
      <x:c r="AA107">
        <x:f>5.845335</x:f>
        <x:v>5.8453350000000004</x:v>
      </x:c>
      <x:c r="AB107">
        <x:f>-143.051437</x:f>
        <x:v>-143.05143699999999</x:v>
      </x:c>
      <x:c r="AC107">
        <x:f>-41.07195</x:f>
        <x:v>-41.071950000000001</x:v>
      </x:c>
      <x:c r="AD107">
        <x:f>-41.76204</x:f>
        <x:v>-41.762039999999999</x:v>
      </x:c>
      <x:c r="AE107">
        <x:f>-22.713315</x:f>
        <x:v>-22.713315000000001</x:v>
      </x:c>
      <x:c r="AF107">
        <x:f>-36.442365</x:f>
        <x:v>-36.442365000000002</x:v>
      </x:c>
      <x:c r="AG107">
        <x:f>-37.19088</x:f>
        <x:v>-37.19088</x:v>
      </x:c>
    </x:row>
    <x:row r="108" spans="1:33" x14ac:dyDescent="0.25">
      <x:c r="A108" t="str">
        <x:f>"        Global X MLP ETF"</x:f>
        <x:v xml:space="preserve">        Global X MLP ETF</x:v>
      </x:c>
      <x:c r="B108" t="str">
        <x:f>"MLPA US Equity"</x:f>
        <x:v>MLPA US Equity</x:v>
      </x:c>
      <x:c r="E108" t="str">
        <x:f t="shared" si="3"/>
        <x:v>Expression</x:v>
      </x:c>
      <x:c r="F108">
        <x:f ca="1">IF(AND($B$1012=1,LEN($F$1113)&gt;0),$F$1113,HLOOKUP(INDIRECT(ADDRESS(2,COLUMN())),OFFSET($T$2,0,0,ROW()-1,14),ROW()-1,FALSE))</x:f>
        <x:v>25.311699999999998</x:v>
      </x:c>
      <x:c r="G108">
        <x:f ca="1">IF(AND($B$1012=1,LEN($G$1113)&gt;0),$G$1113,HLOOKUP(INDIRECT(ADDRESS(2,COLUMN())),OFFSET($T$2,0,0,ROW()-1,14),ROW()-1,FALSE))</x:f>
        <x:v>14.545</x:v>
      </x:c>
      <x:c r="H108">
        <x:f ca="1">IF(AND($B$1012=1,LEN($H$1113)&gt;0),$H$1113,HLOOKUP(INDIRECT(ADDRESS(2,COLUMN())),OFFSET($T$2,0,0,ROW()-1,14),ROW()-1,FALSE))</x:f>
        <x:v>-0.92030000000000001</x:v>
      </x:c>
      <x:c r="I108">
        <x:f ca="1">IF(AND($B$1012=1,LEN($I$1113)&gt;0),$I$1113,HLOOKUP(INDIRECT(ADDRESS(2,COLUMN())),OFFSET($T$2,0,0,ROW()-1,14),ROW()-1,FALSE))</x:f>
        <x:v>-3.4950000000000001</x:v>
      </x:c>
      <x:c r="J108">
        <x:f ca="1">IF(AND($B$1012=1,LEN($J$1113)&gt;0),$J$1113,HLOOKUP(INDIRECT(ADDRESS(2,COLUMN())),OFFSET($T$2,0,0,ROW()-1,14),ROW()-1,FALSE))</x:f>
        <x:v>-7.2394999999999996</x:v>
      </x:c>
      <x:c r="K108">
        <x:f ca="1">IF(AND($B$1012=1,LEN($K$1113)&gt;0),$K$1113,HLOOKUP(INDIRECT(ADDRESS(2,COLUMN())),OFFSET($T$2,0,0,ROW()-1,14),ROW()-1,FALSE))</x:f>
        <x:v>-29.337700000000002</x:v>
      </x:c>
      <x:c r="L108">
        <x:f ca="1">IF(AND($B$1012=1,LEN($L$1113)&gt;0),$L$1113,HLOOKUP(INDIRECT(ADDRESS(2,COLUMN())),OFFSET($T$2,0,0,ROW()-1,14),ROW()-1,FALSE))</x:f>
        <x:v>-10.4308</x:v>
      </x:c>
      <x:c r="M108">
        <x:f ca="1">IF(AND($B$1012=1,LEN($M$1113)&gt;0),$M$1113,HLOOKUP(INDIRECT(ADDRESS(2,COLUMN())),OFFSET($T$2,0,0,ROW()-1,14),ROW()-1,FALSE))</x:f>
        <x:v>-9.6649999999999991</x:v>
      </x:c>
      <x:c r="N108">
        <x:f ca="1">IF(AND($B$1012=1,LEN($N$1113)&gt;0),$N$1113,HLOOKUP(INDIRECT(ADDRESS(2,COLUMN())),OFFSET($T$2,0,0,ROW()-1,14),ROW()-1,FALSE))</x:f>
        <x:v>24.401</x:v>
      </x:c>
      <x:c r="O108">
        <x:f ca="1">IF(AND($B$1012=1,LEN($O$1113)&gt;0),$O$1113,HLOOKUP(INDIRECT(ADDRESS(2,COLUMN())),OFFSET($T$2,0,0,ROW()-1,14),ROW()-1,FALSE))</x:f>
        <x:v>11.1281</x:v>
      </x:c>
      <x:c r="P108">
        <x:f ca="1">IF(AND($B$1012=1,LEN($P$1113)&gt;0),$P$1113,HLOOKUP(INDIRECT(ADDRESS(2,COLUMN())),OFFSET($T$2,0,0,ROW()-1,14),ROW()-1,FALSE))</x:f>
        <x:v>1.3527</x:v>
      </x:c>
      <x:c r="Q108">
        <x:f ca="1">IF(AND($B$1012=1,LEN($Q$1113)&gt;0),$Q$1113,HLOOKUP(INDIRECT(ADDRESS(2,COLUMN())),OFFSET($T$2,0,0,ROW()-1,14),ROW()-1,FALSE))</x:f>
        <x:v>-4.0475000000000003</x:v>
      </x:c>
      <x:c r="R108">
        <x:f ca="1">IF(AND($B$1012=1,LEN($R$1113)&gt;0),$R$1113,HLOOKUP(INDIRECT(ADDRESS(2,COLUMN())),OFFSET($T$2,0,0,ROW()-1,14),ROW()-1,FALSE))</x:f>
        <x:v>18.683499999999999</x:v>
      </x:c>
      <x:c r="S108">
        <x:f ca="1">IF(AND($B$1012=1,LEN($S$1113)&gt;0),$S$1113,HLOOKUP(INDIRECT(ADDRESS(2,COLUMN())),OFFSET($T$2,0,0,ROW()-1,14),ROW()-1,FALSE))</x:f>
        <x:v>52.366</x:v>
      </x:c>
      <x:c r="T108">
        <x:f>25.3117</x:f>
        <x:v>25.311699999999998</x:v>
      </x:c>
      <x:c r="U108">
        <x:f>14.545</x:f>
        <x:v>14.545</x:v>
      </x:c>
      <x:c r="V108">
        <x:f>-0.9203</x:f>
        <x:v>-0.92030000000000001</x:v>
      </x:c>
      <x:c r="W108">
        <x:f>-3.495</x:f>
        <x:v>-3.4950000000000001</x:v>
      </x:c>
      <x:c r="X108">
        <x:f>-7.2395</x:f>
        <x:v>-7.2394999999999996</x:v>
      </x:c>
      <x:c r="Y108">
        <x:f>-29.3377</x:f>
        <x:v>-29.337700000000002</x:v>
      </x:c>
      <x:c r="Z108">
        <x:f>-10.4308</x:f>
        <x:v>-10.4308</x:v>
      </x:c>
      <x:c r="AA108">
        <x:f>-9.665</x:f>
        <x:v>-9.6649999999999991</x:v>
      </x:c>
      <x:c r="AB108">
        <x:f>24.401</x:f>
        <x:v>24.401</x:v>
      </x:c>
      <x:c r="AC108">
        <x:f>11.1281</x:f>
        <x:v>11.1281</x:v>
      </x:c>
      <x:c r="AD108">
        <x:f>1.3527</x:f>
        <x:v>1.3527</x:v>
      </x:c>
      <x:c r="AE108">
        <x:f>-4.0475</x:f>
        <x:v>-4.0475000000000003</x:v>
      </x:c>
      <x:c r="AF108">
        <x:f>18.6835</x:f>
        <x:v>18.683499999999999</x:v>
      </x:c>
      <x:c r="AG108">
        <x:f>52.366</x:f>
        <x:v>52.366</x:v>
      </x:c>
    </x:row>
    <x:row r="109" spans="1:33" x14ac:dyDescent="0.25">
      <x:c r="A109" t="str">
        <x:f>"        Direxion Daily Energy Bull 2X"</x:f>
        <x:v xml:space="preserve">        Direxion Daily Energy Bull 2X</x:v>
      </x:c>
      <x:c r="B109" t="str">
        <x:f>"ERX US Equity"</x:f>
        <x:v>ERX US Equity</x:v>
      </x:c>
      <x:c r="E109" t="str">
        <x:f t="shared" si="3"/>
        <x:v>Expression</x:v>
      </x:c>
      <x:c r="F109">
        <x:f ca="1">IF(AND($B$1012=1,LEN($F$1114)&gt;0),$F$1114,HLOOKUP(INDIRECT(ADDRESS(2,COLUMN())),OFFSET($T$2,0,0,ROW()-1,14),ROW()-1,FALSE))</x:f>
        <x:v>16.913515</x:v>
      </x:c>
      <x:c r="G109">
        <x:f ca="1">IF(AND($B$1012=1,LEN($G$1114)&gt;0),$G$1114,HLOOKUP(INDIRECT(ADDRESS(2,COLUMN())),OFFSET($T$2,0,0,ROW()-1,14),ROW()-1,FALSE))</x:f>
        <x:v>6.0947810000000002</x:v>
      </x:c>
      <x:c r="H109">
        <x:f ca="1">IF(AND($B$1012=1,LEN($H$1114)&gt;0),$H$1114,HLOOKUP(INDIRECT(ADDRESS(2,COLUMN())),OFFSET($T$2,0,0,ROW()-1,14),ROW()-1,FALSE))</x:f>
        <x:v>-16.750745999999999</x:v>
      </x:c>
      <x:c r="I109">
        <x:f ca="1">IF(AND($B$1012=1,LEN($I$1114)&gt;0),$I$1114,HLOOKUP(INDIRECT(ADDRESS(2,COLUMN())),OFFSET($T$2,0,0,ROW()-1,14),ROW()-1,FALSE))</x:f>
        <x:v>-22.079066000000001</x:v>
      </x:c>
      <x:c r="J109">
        <x:f ca="1">IF(AND($B$1012=1,LEN($J$1114)&gt;0),$J$1114,HLOOKUP(INDIRECT(ADDRESS(2,COLUMN())),OFFSET($T$2,0,0,ROW()-1,14),ROW()-1,FALSE))</x:f>
        <x:v>-22.198820999999999</x:v>
      </x:c>
      <x:c r="K109">
        <x:f ca="1">IF(AND($B$1012=1,LEN($K$1114)&gt;0),$K$1114,HLOOKUP(INDIRECT(ADDRESS(2,COLUMN())),OFFSET($T$2,0,0,ROW()-1,14),ROW()-1,FALSE))</x:f>
        <x:v>-2.6471420000000001</x:v>
      </x:c>
      <x:c r="L109">
        <x:f ca="1">IF(AND($B$1012=1,LEN($L$1114)&gt;0),$L$1114,HLOOKUP(INDIRECT(ADDRESS(2,COLUMN())),OFFSET($T$2,0,0,ROW()-1,14),ROW()-1,FALSE))</x:f>
        <x:v>18.031327999999998</x:v>
      </x:c>
      <x:c r="M109">
        <x:f ca="1">IF(AND($B$1012=1,LEN($M$1114)&gt;0),$M$1114,HLOOKUP(INDIRECT(ADDRESS(2,COLUMN())),OFFSET($T$2,0,0,ROW()-1,14),ROW()-1,FALSE))</x:f>
        <x:v>-24.898544999999999</x:v>
      </x:c>
      <x:c r="N109">
        <x:f ca="1">IF(AND($B$1012=1,LEN($N$1114)&gt;0),$N$1114,HLOOKUP(INDIRECT(ADDRESS(2,COLUMN())),OFFSET($T$2,0,0,ROW()-1,14),ROW()-1,FALSE))</x:f>
        <x:v>13.292536999999999</x:v>
      </x:c>
      <x:c r="O109">
        <x:f ca="1">IF(AND($B$1012=1,LEN($O$1114)&gt;0),$O$1114,HLOOKUP(INDIRECT(ADDRESS(2,COLUMN())),OFFSET($T$2,0,0,ROW()-1,14),ROW()-1,FALSE))</x:f>
        <x:v>3.214585</x:v>
      </x:c>
      <x:c r="P109">
        <x:f ca="1">IF(AND($B$1012=1,LEN($P$1114)&gt;0),$P$1114,HLOOKUP(INDIRECT(ADDRESS(2,COLUMN())),OFFSET($T$2,0,0,ROW()-1,14),ROW()-1,FALSE))</x:f>
        <x:v>-34.904969999999999</x:v>
      </x:c>
      <x:c r="Q109">
        <x:f ca="1">IF(AND($B$1012=1,LEN($Q$1114)&gt;0),$Q$1114,HLOOKUP(INDIRECT(ADDRESS(2,COLUMN())),OFFSET($T$2,0,0,ROW()-1,14),ROW()-1,FALSE))</x:f>
        <x:v>-22.285029999999999</x:v>
      </x:c>
      <x:c r="R109">
        <x:f ca="1">IF(AND($B$1012=1,LEN($R$1114)&gt;0),$R$1114,HLOOKUP(INDIRECT(ADDRESS(2,COLUMN())),OFFSET($T$2,0,0,ROW()-1,14),ROW()-1,FALSE))</x:f>
        <x:v>-6.9549640000000004</x:v>
      </x:c>
      <x:c r="S109">
        <x:f ca="1">IF(AND($B$1012=1,LEN($S$1114)&gt;0),$S$1114,HLOOKUP(INDIRECT(ADDRESS(2,COLUMN())),OFFSET($T$2,0,0,ROW()-1,14),ROW()-1,FALSE))</x:f>
        <x:v>-54.906588999999997</x:v>
      </x:c>
      <x:c r="T109">
        <x:f>16.913515</x:f>
        <x:v>16.913515</x:v>
      </x:c>
      <x:c r="U109">
        <x:f>6.094781</x:f>
        <x:v>6.0947810000000002</x:v>
      </x:c>
      <x:c r="V109">
        <x:f>-16.750746</x:f>
        <x:v>-16.750745999999999</x:v>
      </x:c>
      <x:c r="W109">
        <x:f>-22.079066</x:f>
        <x:v>-22.079066000000001</x:v>
      </x:c>
      <x:c r="X109">
        <x:f>-22.198821</x:f>
        <x:v>-22.198820999999999</x:v>
      </x:c>
      <x:c r="Y109">
        <x:f>-2.647142</x:f>
        <x:v>-2.6471420000000001</x:v>
      </x:c>
      <x:c r="Z109">
        <x:f>18.031328</x:f>
        <x:v>18.031327999999998</x:v>
      </x:c>
      <x:c r="AA109">
        <x:f>-24.898545</x:f>
        <x:v>-24.898544999999999</x:v>
      </x:c>
      <x:c r="AB109">
        <x:f>13.292537</x:f>
        <x:v>13.292536999999999</x:v>
      </x:c>
      <x:c r="AC109">
        <x:f>3.214585</x:f>
        <x:v>3.214585</x:v>
      </x:c>
      <x:c r="AD109">
        <x:f>-34.90497</x:f>
        <x:v>-34.904969999999999</x:v>
      </x:c>
      <x:c r="AE109">
        <x:f>-22.28503</x:f>
        <x:v>-22.285029999999999</x:v>
      </x:c>
      <x:c r="AF109">
        <x:f>-6.954964</x:f>
        <x:v>-6.9549640000000004</x:v>
      </x:c>
      <x:c r="AG109">
        <x:f>-54.906589</x:f>
        <x:v>-54.906588999999997</x:v>
      </x:c>
    </x:row>
    <x:row r="110" spans="1:33" x14ac:dyDescent="0.25">
      <x:c r="A110" t="str">
        <x:f>"        iPath Select MLP ETN"</x:f>
        <x:v xml:space="preserve">        iPath Select MLP ETN</x:v>
      </x:c>
      <x:c r="B110" t="str">
        <x:f>"ATMP US Equity"</x:f>
        <x:v>ATMP US Equity</x:v>
      </x:c>
      <x:c r="E110" t="str">
        <x:f t="shared" si="3"/>
        <x:v>Expression</x:v>
      </x:c>
      <x:c r="F110">
        <x:f ca="1">IF(AND($B$1012=1,LEN($F$1115)&gt;0),$F$1115,HLOOKUP(INDIRECT(ADDRESS(2,COLUMN())),OFFSET($T$2,0,0,ROW()-1,14),ROW()-1,FALSE))</x:f>
        <x:v>1.81304</x:v>
      </x:c>
      <x:c r="G110">
        <x:f ca="1">IF(AND($B$1012=1,LEN($G$1115)&gt;0),$G$1115,HLOOKUP(INDIRECT(ADDRESS(2,COLUMN())),OFFSET($T$2,0,0,ROW()-1,14),ROW()-1,FALSE))</x:f>
        <x:v>2.0942229999999999</x:v>
      </x:c>
      <x:c r="H110">
        <x:f ca="1">IF(AND($B$1012=1,LEN($H$1115)&gt;0),$H$1115,HLOOKUP(INDIRECT(ADDRESS(2,COLUMN())),OFFSET($T$2,0,0,ROW()-1,14),ROW()-1,FALSE))</x:f>
        <x:v>-6.7357E-2</x:v>
      </x:c>
      <x:c r="I110">
        <x:f ca="1">IF(AND($B$1012=1,LEN($I$1115)&gt;0),$I$1115,HLOOKUP(INDIRECT(ADDRESS(2,COLUMN())),OFFSET($T$2,0,0,ROW()-1,14),ROW()-1,FALSE))</x:f>
        <x:v>2.1472319999999998</x:v>
      </x:c>
      <x:c r="J110">
        <x:f ca="1">IF(AND($B$1012=1,LEN($J$1115)&gt;0),$J$1115,HLOOKUP(INDIRECT(ADDRESS(2,COLUMN())),OFFSET($T$2,0,0,ROW()-1,14),ROW()-1,FALSE))</x:f>
        <x:v>0</x:v>
      </x:c>
      <x:c r="K110">
        <x:f ca="1">IF(AND($B$1012=1,LEN($K$1115)&gt;0),$K$1115,HLOOKUP(INDIRECT(ADDRESS(2,COLUMN())),OFFSET($T$2,0,0,ROW()-1,14),ROW()-1,FALSE))</x:f>
        <x:v>0</x:v>
      </x:c>
      <x:c r="L110">
        <x:f ca="1">IF(AND($B$1012=1,LEN($L$1115)&gt;0),$L$1115,HLOOKUP(INDIRECT(ADDRESS(2,COLUMN())),OFFSET($T$2,0,0,ROW()-1,14),ROW()-1,FALSE))</x:f>
        <x:v>-2.874174</x:v>
      </x:c>
      <x:c r="M110">
        <x:f ca="1">IF(AND($B$1012=1,LEN($M$1115)&gt;0),$M$1115,HLOOKUP(INDIRECT(ADDRESS(2,COLUMN())),OFFSET($T$2,0,0,ROW()-1,14),ROW()-1,FALSE))</x:f>
        <x:v>1.4872749999999999</x:v>
      </x:c>
      <x:c r="N110">
        <x:f ca="1">IF(AND($B$1012=1,LEN($N$1115)&gt;0),$N$1115,HLOOKUP(INDIRECT(ADDRESS(2,COLUMN())),OFFSET($T$2,0,0,ROW()-1,14),ROW()-1,FALSE))</x:f>
        <x:v>2.6339939999999999</x:v>
      </x:c>
      <x:c r="O110">
        <x:f ca="1">IF(AND($B$1012=1,LEN($O$1115)&gt;0),$O$1115,HLOOKUP(INDIRECT(ADDRESS(2,COLUMN())),OFFSET($T$2,0,0,ROW()-1,14),ROW()-1,FALSE))</x:f>
        <x:v>5.291048</x:v>
      </x:c>
      <x:c r="P110">
        <x:f ca="1">IF(AND($B$1012=1,LEN($P$1115)&gt;0),$P$1115,HLOOKUP(INDIRECT(ADDRESS(2,COLUMN())),OFFSET($T$2,0,0,ROW()-1,14),ROW()-1,FALSE))</x:f>
        <x:v>1.2514670000000001</x:v>
      </x:c>
      <x:c r="Q110">
        <x:f ca="1">IF(AND($B$1012=1,LEN($Q$1115)&gt;0),$Q$1115,HLOOKUP(INDIRECT(ADDRESS(2,COLUMN())),OFFSET($T$2,0,0,ROW()-1,14),ROW()-1,FALSE))</x:f>
        <x:v>4.1748139999999996</x:v>
      </x:c>
      <x:c r="R110">
        <x:f ca="1">IF(AND($B$1012=1,LEN($R$1115)&gt;0),$R$1115,HLOOKUP(INDIRECT(ADDRESS(2,COLUMN())),OFFSET($T$2,0,0,ROW()-1,14),ROW()-1,FALSE))</x:f>
        <x:v>9.1390080000000005</x:v>
      </x:c>
      <x:c r="S110">
        <x:f ca="1">IF(AND($B$1012=1,LEN($S$1115)&gt;0),$S$1115,HLOOKUP(INDIRECT(ADDRESS(2,COLUMN())),OFFSET($T$2,0,0,ROW()-1,14),ROW()-1,FALSE))</x:f>
        <x:v>4.2177490000000004</x:v>
      </x:c>
      <x:c r="T110">
        <x:f>1.81304</x:f>
        <x:v>1.81304</x:v>
      </x:c>
      <x:c r="U110">
        <x:f>2.094223</x:f>
        <x:v>2.0942229999999999</x:v>
      </x:c>
      <x:c r="V110">
        <x:f>-0.067357</x:f>
        <x:v>-6.7357E-2</x:v>
      </x:c>
      <x:c r="W110">
        <x:f>2.147232</x:f>
        <x:v>2.1472319999999998</x:v>
      </x:c>
      <x:c r="X110">
        <x:f>0</x:f>
        <x:v>0</x:v>
      </x:c>
      <x:c r="Y110">
        <x:f>0</x:f>
        <x:v>0</x:v>
      </x:c>
      <x:c r="Z110">
        <x:f>-2.874174</x:f>
        <x:v>-2.874174</x:v>
      </x:c>
      <x:c r="AA110">
        <x:f>1.487275</x:f>
        <x:v>1.4872749999999999</x:v>
      </x:c>
      <x:c r="AB110">
        <x:f>2.633994</x:f>
        <x:v>2.6339939999999999</x:v>
      </x:c>
      <x:c r="AC110">
        <x:f>5.291048</x:f>
        <x:v>5.291048</x:v>
      </x:c>
      <x:c r="AD110">
        <x:f>1.251467</x:f>
        <x:v>1.2514670000000001</x:v>
      </x:c>
      <x:c r="AE110">
        <x:f>4.174814</x:f>
        <x:v>4.1748139999999996</x:v>
      </x:c>
      <x:c r="AF110">
        <x:f>9.139008</x:f>
        <x:v>9.1390080000000005</x:v>
      </x:c>
      <x:c r="AG110">
        <x:f>4.217749</x:f>
        <x:v>4.2177490000000004</x:v>
      </x:c>
    </x:row>
    <x:row r="111" spans="1:33" x14ac:dyDescent="0.25">
      <x:c r="A111" t="str">
        <x:f>"        ETRACS Alerian MLP Index ETN"</x:f>
        <x:v xml:space="preserve">        ETRACS Alerian MLP Index ETN</x:v>
      </x:c>
      <x:c r="B111" t="str">
        <x:f>"AMU US Equity"</x:f>
        <x:v>AMU US Equity</x:v>
      </x:c>
      <x:c r="E111" t="str">
        <x:f t="shared" si="3"/>
        <x:v>Expression</x:v>
      </x:c>
      <x:c r="F111" t="str">
        <x:f ca="1">IF(AND($B$1012=1,LEN($F$1116)&gt;0),$F$1116,HLOOKUP(INDIRECT(ADDRESS(2,COLUMN())),OFFSET($T$2,0,0,ROW()-1,14),ROW()-1,FALSE))</x:f>
        <x:v/>
      </x:c>
      <x:c r="G111" t="str">
        <x:f ca="1">IF(AND($B$1012=1,LEN($G$1116)&gt;0),$G$1116,HLOOKUP(INDIRECT(ADDRESS(2,COLUMN())),OFFSET($T$2,0,0,ROW()-1,14),ROW()-1,FALSE))</x:f>
        <x:v/>
      </x:c>
      <x:c r="H111" t="str">
        <x:f ca="1">IF(AND($B$1012=1,LEN($H$1116)&gt;0),$H$1116,HLOOKUP(INDIRECT(ADDRESS(2,COLUMN())),OFFSET($T$2,0,0,ROW()-1,14),ROW()-1,FALSE))</x:f>
        <x:v/>
      </x:c>
      <x:c r="I111" t="str">
        <x:f ca="1">IF(AND($B$1012=1,LEN($I$1116)&gt;0),$I$1116,HLOOKUP(INDIRECT(ADDRESS(2,COLUMN())),OFFSET($T$2,0,0,ROW()-1,14),ROW()-1,FALSE))</x:f>
        <x:v/>
      </x:c>
      <x:c r="J111" t="str">
        <x:f ca="1">IF(AND($B$1012=1,LEN($J$1116)&gt;0),$J$1116,HLOOKUP(INDIRECT(ADDRESS(2,COLUMN())),OFFSET($T$2,0,0,ROW()-1,14),ROW()-1,FALSE))</x:f>
        <x:v/>
      </x:c>
      <x:c r="K111" t="str">
        <x:f ca="1">IF(AND($B$1012=1,LEN($K$1116)&gt;0),$K$1116,HLOOKUP(INDIRECT(ADDRESS(2,COLUMN())),OFFSET($T$2,0,0,ROW()-1,14),ROW()-1,FALSE))</x:f>
        <x:v/>
      </x:c>
      <x:c r="L111" t="str">
        <x:f ca="1">IF(AND($B$1012=1,LEN($L$1116)&gt;0),$L$1116,HLOOKUP(INDIRECT(ADDRESS(2,COLUMN())),OFFSET($T$2,0,0,ROW()-1,14),ROW()-1,FALSE))</x:f>
        <x:v/>
      </x:c>
      <x:c r="M111" t="str">
        <x:f ca="1">IF(AND($B$1012=1,LEN($M$1116)&gt;0),$M$1116,HLOOKUP(INDIRECT(ADDRESS(2,COLUMN())),OFFSET($T$2,0,0,ROW()-1,14),ROW()-1,FALSE))</x:f>
        <x:v/>
      </x:c>
      <x:c r="N111" t="str">
        <x:f ca="1">IF(AND($B$1012=1,LEN($N$1116)&gt;0),$N$1116,HLOOKUP(INDIRECT(ADDRESS(2,COLUMN())),OFFSET($T$2,0,0,ROW()-1,14),ROW()-1,FALSE))</x:f>
        <x:v/>
      </x:c>
      <x:c r="O111" t="str">
        <x:f ca="1">IF(AND($B$1012=1,LEN($O$1116)&gt;0),$O$1116,HLOOKUP(INDIRECT(ADDRESS(2,COLUMN())),OFFSET($T$2,0,0,ROW()-1,14),ROW()-1,FALSE))</x:f>
        <x:v/>
      </x:c>
      <x:c r="P111" t="str">
        <x:f ca="1">IF(AND($B$1012=1,LEN($P$1116)&gt;0),$P$1116,HLOOKUP(INDIRECT(ADDRESS(2,COLUMN())),OFFSET($T$2,0,0,ROW()-1,14),ROW()-1,FALSE))</x:f>
        <x:v/>
      </x:c>
      <x:c r="Q111" t="str">
        <x:f ca="1">IF(AND($B$1012=1,LEN($Q$1116)&gt;0),$Q$1116,HLOOKUP(INDIRECT(ADDRESS(2,COLUMN())),OFFSET($T$2,0,0,ROW()-1,14),ROW()-1,FALSE))</x:f>
        <x:v/>
      </x:c>
      <x:c r="R111" t="str">
        <x:f ca="1">IF(AND($B$1012=1,LEN($R$1116)&gt;0),$R$1116,HLOOKUP(INDIRECT(ADDRESS(2,COLUMN())),OFFSET($T$2,0,0,ROW()-1,14),ROW()-1,FALSE))</x:f>
        <x:v/>
      </x:c>
      <x:c r="S111" t="str">
        <x:f ca="1">IF(AND($B$1012=1,LEN($S$1116)&gt;0),$S$1116,HLOOKUP(INDIRECT(ADDRESS(2,COLUMN())),OFFSET($T$2,0,0,ROW()-1,14),ROW()-1,FALSE))</x:f>
        <x:v/>
      </x:c>
      <x:c r="T111" t="str">
        <x:f>""</x:f>
        <x:v/>
      </x:c>
      <x:c r="U111" t="str">
        <x:f>""</x:f>
        <x:v/>
      </x:c>
      <x:c r="V111" t="str">
        <x:f>""</x:f>
        <x:v/>
      </x:c>
      <x:c r="W111" t="str">
        <x:f>""</x:f>
        <x:v/>
      </x:c>
      <x:c r="X111" t="str">
        <x:f>""</x:f>
        <x:v/>
      </x:c>
      <x:c r="Y111" t="str">
        <x:f>""</x:f>
        <x:v/>
      </x:c>
      <x:c r="Z111" t="str">
        <x:f>""</x:f>
        <x:v/>
      </x:c>
      <x:c r="AA111" t="str">
        <x:f>""</x:f>
        <x:v/>
      </x:c>
      <x:c r="AB111" t="str">
        <x:f>""</x:f>
        <x:v/>
      </x:c>
      <x:c r="AC111" t="str">
        <x:f>""</x:f>
        <x:v/>
      </x:c>
      <x:c r="AD111" t="str">
        <x:f>""</x:f>
        <x:v/>
      </x:c>
      <x:c r="AE111" t="str">
        <x:f>""</x:f>
        <x:v/>
      </x:c>
      <x:c r="AF111" t="str">
        <x:f>""</x:f>
        <x:v/>
      </x:c>
      <x:c r="AG111" t="str">
        <x:f>""</x:f>
        <x:v/>
      </x:c>
    </x:row>
    <x:row r="112" spans="1:33" x14ac:dyDescent="0.25">
      <x:c r="A112" t="str">
        <x:f>"        Fidelity MSCI Energy Index ETF"</x:f>
        <x:v xml:space="preserve">        Fidelity MSCI Energy Index ETF</x:v>
      </x:c>
      <x:c r="B112" t="str">
        <x:f>"FENY US Equity"</x:f>
        <x:v>FENY US Equity</x:v>
      </x:c>
      <x:c r="E112" t="str">
        <x:f t="shared" si="3"/>
        <x:v>Expression</x:v>
      </x:c>
      <x:c r="F112">
        <x:f ca="1">IF(AND($B$1012=1,LEN($F$1117)&gt;0),$F$1117,HLOOKUP(INDIRECT(ADDRESS(2,COLUMN())),OFFSET($T$2,0,0,ROW()-1,14),ROW()-1,FALSE))</x:f>
        <x:v>-3.4291649999999998</x:v>
      </x:c>
      <x:c r="G112">
        <x:f ca="1">IF(AND($B$1012=1,LEN($G$1117)&gt;0),$G$1117,HLOOKUP(INDIRECT(ADDRESS(2,COLUMN())),OFFSET($T$2,0,0,ROW()-1,14),ROW()-1,FALSE))</x:f>
        <x:v>10.953239999999999</x:v>
      </x:c>
      <x:c r="H112">
        <x:f ca="1">IF(AND($B$1012=1,LEN($H$1117)&gt;0),$H$1117,HLOOKUP(INDIRECT(ADDRESS(2,COLUMN())),OFFSET($T$2,0,0,ROW()-1,14),ROW()-1,FALSE))</x:f>
        <x:v>32.588169999999998</x:v>
      </x:c>
      <x:c r="I112">
        <x:f ca="1">IF(AND($B$1012=1,LEN($I$1117)&gt;0),$I$1117,HLOOKUP(INDIRECT(ADDRESS(2,COLUMN())),OFFSET($T$2,0,0,ROW()-1,14),ROW()-1,FALSE))</x:f>
        <x:v>-14.385630000000001</x:v>
      </x:c>
      <x:c r="J112">
        <x:f ca="1">IF(AND($B$1012=1,LEN($J$1117)&gt;0),$J$1117,HLOOKUP(INDIRECT(ADDRESS(2,COLUMN())),OFFSET($T$2,0,0,ROW()-1,14),ROW()-1,FALSE))</x:f>
        <x:v>-3.2372999999999998</x:v>
      </x:c>
      <x:c r="K112">
        <x:f ca="1">IF(AND($B$1012=1,LEN($K$1117)&gt;0),$K$1117,HLOOKUP(INDIRECT(ADDRESS(2,COLUMN())),OFFSET($T$2,0,0,ROW()-1,14),ROW()-1,FALSE))</x:f>
        <x:v>48.18974</x:v>
      </x:c>
      <x:c r="L112">
        <x:f ca="1">IF(AND($B$1012=1,LEN($L$1117)&gt;0),$L$1117,HLOOKUP(INDIRECT(ADDRESS(2,COLUMN())),OFFSET($T$2,0,0,ROW()-1,14),ROW()-1,FALSE))</x:f>
        <x:v>-41.762965000000001</x:v>
      </x:c>
      <x:c r="M112">
        <x:f ca="1">IF(AND($B$1012=1,LEN($M$1117)&gt;0),$M$1117,HLOOKUP(INDIRECT(ADDRESS(2,COLUMN())),OFFSET($T$2,0,0,ROW()-1,14),ROW()-1,FALSE))</x:f>
        <x:v>-14.822039999999999</x:v>
      </x:c>
      <x:c r="N112">
        <x:f ca="1">IF(AND($B$1012=1,LEN($N$1117)&gt;0),$N$1117,HLOOKUP(INDIRECT(ADDRESS(2,COLUMN())),OFFSET($T$2,0,0,ROW()-1,14),ROW()-1,FALSE))</x:f>
        <x:v>-45.090155000000003</x:v>
      </x:c>
      <x:c r="O112">
        <x:f ca="1">IF(AND($B$1012=1,LEN($O$1117)&gt;0),$O$1117,HLOOKUP(INDIRECT(ADDRESS(2,COLUMN())),OFFSET($T$2,0,0,ROW()-1,14),ROW()-1,FALSE))</x:f>
        <x:v>7.4942849999999996</x:v>
      </x:c>
      <x:c r="P112">
        <x:f ca="1">IF(AND($B$1012=1,LEN($P$1117)&gt;0),$P$1117,HLOOKUP(INDIRECT(ADDRESS(2,COLUMN())),OFFSET($T$2,0,0,ROW()-1,14),ROW()-1,FALSE))</x:f>
        <x:v>14.808355000000001</x:v>
      </x:c>
      <x:c r="Q112">
        <x:f ca="1">IF(AND($B$1012=1,LEN($Q$1117)&gt;0),$Q$1117,HLOOKUP(INDIRECT(ADDRESS(2,COLUMN())),OFFSET($T$2,0,0,ROW()-1,14),ROW()-1,FALSE))</x:f>
        <x:v>-10.565965</x:v>
      </x:c>
      <x:c r="R112">
        <x:f ca="1">IF(AND($B$1012=1,LEN($R$1117)&gt;0),$R$1117,HLOOKUP(INDIRECT(ADDRESS(2,COLUMN())),OFFSET($T$2,0,0,ROW()-1,14),ROW()-1,FALSE))</x:f>
        <x:v>23.826025000000001</x:v>
      </x:c>
      <x:c r="S112">
        <x:f ca="1">IF(AND($B$1012=1,LEN($S$1117)&gt;0),$S$1117,HLOOKUP(INDIRECT(ADDRESS(2,COLUMN())),OFFSET($T$2,0,0,ROW()-1,14),ROW()-1,FALSE))</x:f>
        <x:v>11.465785</x:v>
      </x:c>
      <x:c r="T112">
        <x:f>-3.429165</x:f>
        <x:v>-3.4291649999999998</x:v>
      </x:c>
      <x:c r="U112">
        <x:f>10.95324</x:f>
        <x:v>10.953239999999999</x:v>
      </x:c>
      <x:c r="V112">
        <x:f>32.58817</x:f>
        <x:v>32.588169999999998</x:v>
      </x:c>
      <x:c r="W112">
        <x:f>-14.38563</x:f>
        <x:v>-14.385630000000001</x:v>
      </x:c>
      <x:c r="X112">
        <x:f>-3.2373</x:f>
        <x:v>-3.2372999999999998</x:v>
      </x:c>
      <x:c r="Y112">
        <x:f>48.18974</x:f>
        <x:v>48.18974</x:v>
      </x:c>
      <x:c r="Z112">
        <x:f>-41.762965</x:f>
        <x:v>-41.762965000000001</x:v>
      </x:c>
      <x:c r="AA112">
        <x:f>-14.82204</x:f>
        <x:v>-14.822039999999999</x:v>
      </x:c>
      <x:c r="AB112">
        <x:f>-45.090155</x:f>
        <x:v>-45.090155000000003</x:v>
      </x:c>
      <x:c r="AC112">
        <x:f>7.494285</x:f>
        <x:v>7.4942849999999996</x:v>
      </x:c>
      <x:c r="AD112">
        <x:f>14.808355</x:f>
        <x:v>14.808355000000001</x:v>
      </x:c>
      <x:c r="AE112">
        <x:f>-10.565965</x:f>
        <x:v>-10.565965</x:v>
      </x:c>
      <x:c r="AF112">
        <x:f>23.826025</x:f>
        <x:v>23.826025000000001</x:v>
      </x:c>
      <x:c r="AG112">
        <x:f>11.465785</x:f>
        <x:v>11.465785</x:v>
      </x:c>
    </x:row>
    <x:row r="113" spans="1:33" x14ac:dyDescent="0.25">
      <x:c r="A113" t="str">
        <x:f>"        InfraCap MLP ETF"</x:f>
        <x:v xml:space="preserve">        InfraCap MLP ETF</x:v>
      </x:c>
      <x:c r="B113" t="str">
        <x:f>"AMZA US Equity"</x:f>
        <x:v>AMZA US Equity</x:v>
      </x:c>
      <x:c r="E113" t="str">
        <x:f t="shared" si="3"/>
        <x:v>Expression</x:v>
      </x:c>
      <x:c r="F113">
        <x:f ca="1">IF(AND($B$1012=1,LEN($F$1118)&gt;0),$F$1118,HLOOKUP(INDIRECT(ADDRESS(2,COLUMN())),OFFSET($T$2,0,0,ROW()-1,14),ROW()-1,FALSE))</x:f>
        <x:v>2.5644610000000001</x:v>
      </x:c>
      <x:c r="G113">
        <x:f ca="1">IF(AND($B$1012=1,LEN($G$1118)&gt;0),$G$1118,HLOOKUP(INDIRECT(ADDRESS(2,COLUMN())),OFFSET($T$2,0,0,ROW()-1,14),ROW()-1,FALSE))</x:f>
        <x:v>3.3267519999999999</x:v>
      </x:c>
      <x:c r="H113">
        <x:f ca="1">IF(AND($B$1012=1,LEN($H$1118)&gt;0),$H$1118,HLOOKUP(INDIRECT(ADDRESS(2,COLUMN())),OFFSET($T$2,0,0,ROW()-1,14),ROW()-1,FALSE))</x:f>
        <x:v>1.7220150000000001</x:v>
      </x:c>
      <x:c r="I113">
        <x:f ca="1">IF(AND($B$1012=1,LEN($I$1118)&gt;0),$I$1118,HLOOKUP(INDIRECT(ADDRESS(2,COLUMN())),OFFSET($T$2,0,0,ROW()-1,14),ROW()-1,FALSE))</x:f>
        <x:v>3.3649610000000001</x:v>
      </x:c>
      <x:c r="J113">
        <x:f ca="1">IF(AND($B$1012=1,LEN($J$1118)&gt;0),$J$1118,HLOOKUP(INDIRECT(ADDRESS(2,COLUMN())),OFFSET($T$2,0,0,ROW()-1,14),ROW()-1,FALSE))</x:f>
        <x:v>-8.5065170000000006</x:v>
      </x:c>
      <x:c r="K113">
        <x:f ca="1">IF(AND($B$1012=1,LEN($K$1118)&gt;0),$K$1118,HLOOKUP(INDIRECT(ADDRESS(2,COLUMN())),OFFSET($T$2,0,0,ROW()-1,14),ROW()-1,FALSE))</x:f>
        <x:v>0</x:v>
      </x:c>
      <x:c r="L113">
        <x:f ca="1">IF(AND($B$1012=1,LEN($L$1118)&gt;0),$L$1118,HLOOKUP(INDIRECT(ADDRESS(2,COLUMN())),OFFSET($T$2,0,0,ROW()-1,14),ROW()-1,FALSE))</x:f>
        <x:v>-2.1056999999999999E-2</x:v>
      </x:c>
      <x:c r="M113">
        <x:f ca="1">IF(AND($B$1012=1,LEN($M$1118)&gt;0),$M$1118,HLOOKUP(INDIRECT(ADDRESS(2,COLUMN())),OFFSET($T$2,0,0,ROW()-1,14),ROW()-1,FALSE))</x:f>
        <x:v>-1.1107000000000001E-2</x:v>
      </x:c>
      <x:c r="N113">
        <x:f ca="1">IF(AND($B$1012=1,LEN($N$1118)&gt;0),$N$1118,HLOOKUP(INDIRECT(ADDRESS(2,COLUMN())),OFFSET($T$2,0,0,ROW()-1,14),ROW()-1,FALSE))</x:f>
        <x:v>0</x:v>
      </x:c>
      <x:c r="O113">
        <x:f ca="1">IF(AND($B$1012=1,LEN($O$1118)&gt;0),$O$1118,HLOOKUP(INDIRECT(ADDRESS(2,COLUMN())),OFFSET($T$2,0,0,ROW()-1,14),ROW()-1,FALSE))</x:f>
        <x:v>8.3238479999999999</x:v>
      </x:c>
      <x:c r="P113">
        <x:f ca="1">IF(AND($B$1012=1,LEN($P$1118)&gt;0),$P$1118,HLOOKUP(INDIRECT(ADDRESS(2,COLUMN())),OFFSET($T$2,0,0,ROW()-1,14),ROW()-1,FALSE))</x:f>
        <x:v>-8.2460950000000004</x:v>
      </x:c>
      <x:c r="Q113">
        <x:f ca="1">IF(AND($B$1012=1,LEN($Q$1118)&gt;0),$Q$1118,HLOOKUP(INDIRECT(ADDRESS(2,COLUMN())),OFFSET($T$2,0,0,ROW()-1,14),ROW()-1,FALSE))</x:f>
        <x:v>-17.341607</x:v>
      </x:c>
      <x:c r="R113">
        <x:f ca="1">IF(AND($B$1012=1,LEN($R$1118)&gt;0),$R$1118,HLOOKUP(INDIRECT(ADDRESS(2,COLUMN())),OFFSET($T$2,0,0,ROW()-1,14),ROW()-1,FALSE))</x:f>
        <x:v>-3.9341000000000001E-2</x:v>
      </x:c>
      <x:c r="S113">
        <x:f ca="1">IF(AND($B$1012=1,LEN($S$1118)&gt;0),$S$1118,HLOOKUP(INDIRECT(ADDRESS(2,COLUMN())),OFFSET($T$2,0,0,ROW()-1,14),ROW()-1,FALSE))</x:f>
        <x:v>-4.371632</x:v>
      </x:c>
      <x:c r="T113">
        <x:f>2.564461</x:f>
        <x:v>2.5644610000000001</x:v>
      </x:c>
      <x:c r="U113">
        <x:f>3.326752</x:f>
        <x:v>3.3267519999999999</x:v>
      </x:c>
      <x:c r="V113">
        <x:f>1.722015</x:f>
        <x:v>1.7220150000000001</x:v>
      </x:c>
      <x:c r="W113">
        <x:f>3.364961</x:f>
        <x:v>3.3649610000000001</x:v>
      </x:c>
      <x:c r="X113">
        <x:f>-8.506517</x:f>
        <x:v>-8.5065170000000006</x:v>
      </x:c>
      <x:c r="Y113">
        <x:f>0</x:f>
        <x:v>0</x:v>
      </x:c>
      <x:c r="Z113">
        <x:f>-0.021057</x:f>
        <x:v>-2.1056999999999999E-2</x:v>
      </x:c>
      <x:c r="AA113">
        <x:f>-0.011107</x:f>
        <x:v>-1.1107000000000001E-2</x:v>
      </x:c>
      <x:c r="AB113">
        <x:f>0</x:f>
        <x:v>0</x:v>
      </x:c>
      <x:c r="AC113">
        <x:f>8.323848</x:f>
        <x:v>8.3238479999999999</x:v>
      </x:c>
      <x:c r="AD113">
        <x:f>-8.246095</x:f>
        <x:v>-8.2460950000000004</x:v>
      </x:c>
      <x:c r="AE113">
        <x:f>-17.341607</x:f>
        <x:v>-17.341607</x:v>
      </x:c>
      <x:c r="AF113">
        <x:f>-0.039341</x:f>
        <x:v>-3.9341000000000001E-2</x:v>
      </x:c>
      <x:c r="AG113">
        <x:f>-4.371632</x:f>
        <x:v>-4.371632</x:v>
      </x:c>
    </x:row>
    <x:row r="114" spans="1:33" x14ac:dyDescent="0.25">
      <x:c r="A114" t="str">
        <x:f>"        iShares U.S. Oil &amp; Gas Explora"</x:f>
        <x:v xml:space="preserve">        iShares U.S. Oil &amp; Gas Explora</x:v>
      </x:c>
      <x:c r="B114" t="str">
        <x:f>"IEO US Equity"</x:f>
        <x:v>IEO US Equity</x:v>
      </x:c>
      <x:c r="E114" t="str">
        <x:f t="shared" si="3"/>
        <x:v>Expression</x:v>
      </x:c>
      <x:c r="F114">
        <x:f ca="1">IF(AND($B$1012=1,LEN($F$1119)&gt;0),$F$1119,HLOOKUP(INDIRECT(ADDRESS(2,COLUMN())),OFFSET($T$2,0,0,ROW()-1,14),ROW()-1,FALSE))</x:f>
        <x:v>-14.114858</x:v>
      </x:c>
      <x:c r="G114">
        <x:f ca="1">IF(AND($B$1012=1,LEN($G$1119)&gt;0),$G$1119,HLOOKUP(INDIRECT(ADDRESS(2,COLUMN())),OFFSET($T$2,0,0,ROW()-1,14),ROW()-1,FALSE))</x:f>
        <x:v>22.508524999999999</x:v>
      </x:c>
      <x:c r="H114">
        <x:f ca="1">IF(AND($B$1012=1,LEN($H$1119)&gt;0),$H$1119,HLOOKUP(INDIRECT(ADDRESS(2,COLUMN())),OFFSET($T$2,0,0,ROW()-1,14),ROW()-1,FALSE))</x:f>
        <x:v>190.62491299999999</x:v>
      </x:c>
      <x:c r="I114">
        <x:f ca="1">IF(AND($B$1012=1,LEN($I$1119)&gt;0),$I$1119,HLOOKUP(INDIRECT(ADDRESS(2,COLUMN())),OFFSET($T$2,0,0,ROW()-1,14),ROW()-1,FALSE))</x:f>
        <x:v>14.583425</x:v>
      </x:c>
      <x:c r="J114">
        <x:f ca="1">IF(AND($B$1012=1,LEN($J$1119)&gt;0),$J$1119,HLOOKUP(INDIRECT(ADDRESS(2,COLUMN())),OFFSET($T$2,0,0,ROW()-1,14),ROW()-1,FALSE))</x:f>
        <x:v>-9.2885650000000002</x:v>
      </x:c>
      <x:c r="K114">
        <x:f ca="1">IF(AND($B$1012=1,LEN($K$1119)&gt;0),$K$1119,HLOOKUP(INDIRECT(ADDRESS(2,COLUMN())),OFFSET($T$2,0,0,ROW()-1,14),ROW()-1,FALSE))</x:f>
        <x:v>-28.922274999999999</x:v>
      </x:c>
      <x:c r="L114">
        <x:f ca="1">IF(AND($B$1012=1,LEN($L$1119)&gt;0),$L$1119,HLOOKUP(INDIRECT(ADDRESS(2,COLUMN())),OFFSET($T$2,0,0,ROW()-1,14),ROW()-1,FALSE))</x:f>
        <x:v>-36.452804999999998</x:v>
      </x:c>
      <x:c r="M114">
        <x:f ca="1">IF(AND($B$1012=1,LEN($M$1119)&gt;0),$M$1119,HLOOKUP(INDIRECT(ADDRESS(2,COLUMN())),OFFSET($T$2,0,0,ROW()-1,14),ROW()-1,FALSE))</x:f>
        <x:v>-34.778574999999996</x:v>
      </x:c>
      <x:c r="N114">
        <x:f ca="1">IF(AND($B$1012=1,LEN($N$1119)&gt;0),$N$1119,HLOOKUP(INDIRECT(ADDRESS(2,COLUMN())),OFFSET($T$2,0,0,ROW()-1,14),ROW()-1,FALSE))</x:f>
        <x:v>-171.94240500000001</x:v>
      </x:c>
      <x:c r="O114">
        <x:f ca="1">IF(AND($B$1012=1,LEN($O$1119)&gt;0),$O$1119,HLOOKUP(INDIRECT(ADDRESS(2,COLUMN())),OFFSET($T$2,0,0,ROW()-1,14),ROW()-1,FALSE))</x:f>
        <x:v>-44.716844999999999</x:v>
      </x:c>
      <x:c r="P114">
        <x:f ca="1">IF(AND($B$1012=1,LEN($P$1119)&gt;0),$P$1119,HLOOKUP(INDIRECT(ADDRESS(2,COLUMN())),OFFSET($T$2,0,0,ROW()-1,14),ROW()-1,FALSE))</x:f>
        <x:v>-37.594320000000003</x:v>
      </x:c>
      <x:c r="Q114">
        <x:f ca="1">IF(AND($B$1012=1,LEN($Q$1119)&gt;0),$Q$1119,HLOOKUP(INDIRECT(ADDRESS(2,COLUMN())),OFFSET($T$2,0,0,ROW()-1,14),ROW()-1,FALSE))</x:f>
        <x:v>-46.121519999999997</x:v>
      </x:c>
      <x:c r="R114">
        <x:f ca="1">IF(AND($B$1012=1,LEN($R$1119)&gt;0),$R$1119,HLOOKUP(INDIRECT(ADDRESS(2,COLUMN())),OFFSET($T$2,0,0,ROW()-1,14),ROW()-1,FALSE))</x:f>
        <x:v>41.390124999999998</x:v>
      </x:c>
      <x:c r="S114">
        <x:f ca="1">IF(AND($B$1012=1,LEN($S$1119)&gt;0),$S$1119,HLOOKUP(INDIRECT(ADDRESS(2,COLUMN())),OFFSET($T$2,0,0,ROW()-1,14),ROW()-1,FALSE))</x:f>
        <x:v>106.82722</x:v>
      </x:c>
      <x:c r="T114">
        <x:f>-14.114858</x:f>
        <x:v>-14.114858</x:v>
      </x:c>
      <x:c r="U114">
        <x:f>22.508525</x:f>
        <x:v>22.508524999999999</x:v>
      </x:c>
      <x:c r="V114">
        <x:f>190.624913</x:f>
        <x:v>190.62491299999999</x:v>
      </x:c>
      <x:c r="W114">
        <x:f>14.583425</x:f>
        <x:v>14.583425</x:v>
      </x:c>
      <x:c r="X114">
        <x:f>-9.288565</x:f>
        <x:v>-9.2885650000000002</x:v>
      </x:c>
      <x:c r="Y114">
        <x:f>-28.922275</x:f>
        <x:v>-28.922274999999999</x:v>
      </x:c>
      <x:c r="Z114">
        <x:f>-36.452805</x:f>
        <x:v>-36.452804999999998</x:v>
      </x:c>
      <x:c r="AA114">
        <x:f>-34.778575</x:f>
        <x:v>-34.778574999999996</x:v>
      </x:c>
      <x:c r="AB114">
        <x:f>-171.942405</x:f>
        <x:v>-171.94240500000001</x:v>
      </x:c>
      <x:c r="AC114">
        <x:f>-44.716845</x:f>
        <x:v>-44.716844999999999</x:v>
      </x:c>
      <x:c r="AD114">
        <x:f>-37.59432</x:f>
        <x:v>-37.594320000000003</x:v>
      </x:c>
      <x:c r="AE114">
        <x:f>-46.12152</x:f>
        <x:v>-46.121519999999997</x:v>
      </x:c>
      <x:c r="AF114">
        <x:f>41.390125</x:f>
        <x:v>41.390124999999998</x:v>
      </x:c>
      <x:c r="AG114">
        <x:f>106.82722</x:f>
        <x:v>106.82722</x:v>
      </x:c>
    </x:row>
    <x:row r="115" spans="1:33" x14ac:dyDescent="0.25">
      <x:c r="A115" t="str">
        <x:f>"        First Trust Energy AlphaDEX Fu"</x:f>
        <x:v xml:space="preserve">        First Trust Energy AlphaDEX Fu</x:v>
      </x:c>
      <x:c r="B115" t="str">
        <x:f>"FXN US Equity"</x:f>
        <x:v>FXN US Equity</x:v>
      </x:c>
      <x:c r="E115" t="str">
        <x:f t="shared" si="3"/>
        <x:v>Expression</x:v>
      </x:c>
      <x:c r="F115">
        <x:f ca="1">IF(AND($B$1012=1,LEN($F$1120)&gt;0),$F$1120,HLOOKUP(INDIRECT(ADDRESS(2,COLUMN())),OFFSET($T$2,0,0,ROW()-1,14),ROW()-1,FALSE))</x:f>
        <x:v>-3.4145430000000001</x:v>
      </x:c>
      <x:c r="G115">
        <x:f ca="1">IF(AND($B$1012=1,LEN($G$1120)&gt;0),$G$1120,HLOOKUP(INDIRECT(ADDRESS(2,COLUMN())),OFFSET($T$2,0,0,ROW()-1,14),ROW()-1,FALSE))</x:f>
        <x:v>26.363624999999999</x:v>
      </x:c>
      <x:c r="H115">
        <x:f ca="1">IF(AND($B$1012=1,LEN($H$1120)&gt;0),$H$1120,HLOOKUP(INDIRECT(ADDRESS(2,COLUMN())),OFFSET($T$2,0,0,ROW()-1,14),ROW()-1,FALSE))</x:f>
        <x:v>40.051569999999998</x:v>
      </x:c>
      <x:c r="I115">
        <x:f ca="1">IF(AND($B$1012=1,LEN($I$1120)&gt;0),$I$1120,HLOOKUP(INDIRECT(ADDRESS(2,COLUMN())),OFFSET($T$2,0,0,ROW()-1,14),ROW()-1,FALSE))</x:f>
        <x:v>31.346734000000001</x:v>
      </x:c>
      <x:c r="J115">
        <x:f ca="1">IF(AND($B$1012=1,LEN($J$1120)&gt;0),$J$1120,HLOOKUP(INDIRECT(ADDRESS(2,COLUMN())),OFFSET($T$2,0,0,ROW()-1,14),ROW()-1,FALSE))</x:f>
        <x:v>-26.852499999999999</x:v>
      </x:c>
      <x:c r="K115">
        <x:f ca="1">IF(AND($B$1012=1,LEN($K$1120)&gt;0),$K$1120,HLOOKUP(INDIRECT(ADDRESS(2,COLUMN())),OFFSET($T$2,0,0,ROW()-1,14),ROW()-1,FALSE))</x:f>
        <x:v>-38.448500000000003</x:v>
      </x:c>
      <x:c r="L115">
        <x:f ca="1">IF(AND($B$1012=1,LEN($L$1120)&gt;0),$L$1120,HLOOKUP(INDIRECT(ADDRESS(2,COLUMN())),OFFSET($T$2,0,0,ROW()-1,14),ROW()-1,FALSE))</x:f>
        <x:v>-85.95</x:v>
      </x:c>
      <x:c r="M115">
        <x:f ca="1">IF(AND($B$1012=1,LEN($M$1120)&gt;0),$M$1120,HLOOKUP(INDIRECT(ADDRESS(2,COLUMN())),OFFSET($T$2,0,0,ROW()-1,14),ROW()-1,FALSE))</x:f>
        <x:v>-59.838500000000003</x:v>
      </x:c>
      <x:c r="N115">
        <x:f ca="1">IF(AND($B$1012=1,LEN($N$1120)&gt;0),$N$1120,HLOOKUP(INDIRECT(ADDRESS(2,COLUMN())),OFFSET($T$2,0,0,ROW()-1,14),ROW()-1,FALSE))</x:f>
        <x:v>-100.85899999999999</x:v>
      </x:c>
      <x:c r="O115">
        <x:f ca="1">IF(AND($B$1012=1,LEN($O$1120)&gt;0),$O$1120,HLOOKUP(INDIRECT(ADDRESS(2,COLUMN())),OFFSET($T$2,0,0,ROW()-1,14),ROW()-1,FALSE))</x:f>
        <x:v>-1044.1199999999999</x:v>
      </x:c>
      <x:c r="P115">
        <x:f ca="1">IF(AND($B$1012=1,LEN($P$1120)&gt;0),$P$1120,HLOOKUP(INDIRECT(ADDRESS(2,COLUMN())),OFFSET($T$2,0,0,ROW()-1,14),ROW()-1,FALSE))</x:f>
        <x:v>7.1341029999999996</x:v>
      </x:c>
      <x:c r="Q115">
        <x:f ca="1">IF(AND($B$1012=1,LEN($Q$1120)&gt;0),$Q$1120,HLOOKUP(INDIRECT(ADDRESS(2,COLUMN())),OFFSET($T$2,0,0,ROW()-1,14),ROW()-1,FALSE))</x:f>
        <x:v>52.149973000000003</x:v>
      </x:c>
      <x:c r="R115">
        <x:f ca="1">IF(AND($B$1012=1,LEN($R$1120)&gt;0),$R$1120,HLOOKUP(INDIRECT(ADDRESS(2,COLUMN())),OFFSET($T$2,0,0,ROW()-1,14),ROW()-1,FALSE))</x:f>
        <x:v>105.293786</x:v>
      </x:c>
      <x:c r="S115">
        <x:f ca="1">IF(AND($B$1012=1,LEN($S$1120)&gt;0),$S$1120,HLOOKUP(INDIRECT(ADDRESS(2,COLUMN())),OFFSET($T$2,0,0,ROW()-1,14),ROW()-1,FALSE))</x:f>
        <x:v>23.427420999999999</x:v>
      </x:c>
      <x:c r="T115">
        <x:f>-3.414543</x:f>
        <x:v>-3.4145430000000001</x:v>
      </x:c>
      <x:c r="U115">
        <x:f>26.363625</x:f>
        <x:v>26.363624999999999</x:v>
      </x:c>
      <x:c r="V115">
        <x:f>40.05157</x:f>
        <x:v>40.051569999999998</x:v>
      </x:c>
      <x:c r="W115">
        <x:f>31.346734</x:f>
        <x:v>31.346734000000001</x:v>
      </x:c>
      <x:c r="X115">
        <x:f>-26.8525</x:f>
        <x:v>-26.852499999999999</x:v>
      </x:c>
      <x:c r="Y115">
        <x:f>-38.4485</x:f>
        <x:v>-38.448500000000003</x:v>
      </x:c>
      <x:c r="Z115">
        <x:f>-85.95</x:f>
        <x:v>-85.95</x:v>
      </x:c>
      <x:c r="AA115">
        <x:f>-59.8385</x:f>
        <x:v>-59.838500000000003</x:v>
      </x:c>
      <x:c r="AB115">
        <x:f>-100.859</x:f>
        <x:v>-100.85899999999999</x:v>
      </x:c>
      <x:c r="AC115">
        <x:f>-1044.12</x:f>
        <x:v>-1044.1199999999999</x:v>
      </x:c>
      <x:c r="AD115">
        <x:f>7.134103</x:f>
        <x:v>7.1341029999999996</x:v>
      </x:c>
      <x:c r="AE115">
        <x:f>52.149973</x:f>
        <x:v>52.149973000000003</x:v>
      </x:c>
      <x:c r="AF115">
        <x:f>105.293786</x:f>
        <x:v>105.293786</x:v>
      </x:c>
      <x:c r="AG115">
        <x:f>23.427421</x:f>
        <x:v>23.427420999999999</x:v>
      </x:c>
    </x:row>
    <x:row r="116" spans="1:33" x14ac:dyDescent="0.25">
      <x:c r="A116" t="str">
        <x:f>"        SPDR S&amp;P Oil &amp; Gas Equipment &amp;"</x:f>
        <x:v xml:space="preserve">        SPDR S&amp;P Oil &amp; Gas Equipment &amp;</x:v>
      </x:c>
      <x:c r="B116" t="str">
        <x:f>"XES US Equity"</x:f>
        <x:v>XES US Equity</x:v>
      </x:c>
      <x:c r="E116" t="str">
        <x:f t="shared" si="3"/>
        <x:v>Expression</x:v>
      </x:c>
      <x:c r="F116">
        <x:f ca="1">IF(AND($B$1012=1,LEN($F$1121)&gt;0),$F$1121,HLOOKUP(INDIRECT(ADDRESS(2,COLUMN())),OFFSET($T$2,0,0,ROW()-1,14),ROW()-1,FALSE))</x:f>
        <x:v>-4.145804</x:v>
      </x:c>
      <x:c r="G116">
        <x:f ca="1">IF(AND($B$1012=1,LEN($G$1121)&gt;0),$G$1121,HLOOKUP(INDIRECT(ADDRESS(2,COLUMN())),OFFSET($T$2,0,0,ROW()-1,14),ROW()-1,FALSE))</x:f>
        <x:v>27.514652999999999</x:v>
      </x:c>
      <x:c r="H116">
        <x:f ca="1">IF(AND($B$1012=1,LEN($H$1121)&gt;0),$H$1121,HLOOKUP(INDIRECT(ADDRESS(2,COLUMN())),OFFSET($T$2,0,0,ROW()-1,14),ROW()-1,FALSE))</x:f>
        <x:v>63.577616999999996</x:v>
      </x:c>
      <x:c r="I116">
        <x:f ca="1">IF(AND($B$1012=1,LEN($I$1121)&gt;0),$I$1121,HLOOKUP(INDIRECT(ADDRESS(2,COLUMN())),OFFSET($T$2,0,0,ROW()-1,14),ROW()-1,FALSE))</x:f>
        <x:v>23.402505000000001</x:v>
      </x:c>
      <x:c r="J116">
        <x:f ca="1">IF(AND($B$1012=1,LEN($J$1121)&gt;0),$J$1121,HLOOKUP(INDIRECT(ADDRESS(2,COLUMN())),OFFSET($T$2,0,0,ROW()-1,14),ROW()-1,FALSE))</x:f>
        <x:v>13.845681000000001</x:v>
      </x:c>
      <x:c r="K116">
        <x:f ca="1">IF(AND($B$1012=1,LEN($K$1121)&gt;0),$K$1121,HLOOKUP(INDIRECT(ADDRESS(2,COLUMN())),OFFSET($T$2,0,0,ROW()-1,14),ROW()-1,FALSE))</x:f>
        <x:v>-26.006893000000002</x:v>
      </x:c>
      <x:c r="L116">
        <x:f ca="1">IF(AND($B$1012=1,LEN($L$1121)&gt;0),$L$1121,HLOOKUP(INDIRECT(ADDRESS(2,COLUMN())),OFFSET($T$2,0,0,ROW()-1,14),ROW()-1,FALSE))</x:f>
        <x:v>-34.549568999999998</x:v>
      </x:c>
      <x:c r="M116">
        <x:f ca="1">IF(AND($B$1012=1,LEN($M$1121)&gt;0),$M$1121,HLOOKUP(INDIRECT(ADDRESS(2,COLUMN())),OFFSET($T$2,0,0,ROW()-1,14),ROW()-1,FALSE))</x:f>
        <x:v>-112.542213</x:v>
      </x:c>
      <x:c r="N116">
        <x:f ca="1">IF(AND($B$1012=1,LEN($N$1121)&gt;0),$N$1121,HLOOKUP(INDIRECT(ADDRESS(2,COLUMN())),OFFSET($T$2,0,0,ROW()-1,14),ROW()-1,FALSE))</x:f>
        <x:v>-26.376576</x:v>
      </x:c>
      <x:c r="O116">
        <x:f ca="1">IF(AND($B$1012=1,LEN($O$1121)&gt;0),$O$1121,HLOOKUP(INDIRECT(ADDRESS(2,COLUMN())),OFFSET($T$2,0,0,ROW()-1,14),ROW()-1,FALSE))</x:f>
        <x:v>177.03546299999999</x:v>
      </x:c>
      <x:c r="P116">
        <x:f ca="1">IF(AND($B$1012=1,LEN($P$1121)&gt;0),$P$1121,HLOOKUP(INDIRECT(ADDRESS(2,COLUMN())),OFFSET($T$2,0,0,ROW()-1,14),ROW()-1,FALSE))</x:f>
        <x:v>25.272597999999999</x:v>
      </x:c>
      <x:c r="Q116">
        <x:f ca="1">IF(AND($B$1012=1,LEN($Q$1121)&gt;0),$Q$1121,HLOOKUP(INDIRECT(ADDRESS(2,COLUMN())),OFFSET($T$2,0,0,ROW()-1,14),ROW()-1,FALSE))</x:f>
        <x:v>-7.7366109999999999</x:v>
      </x:c>
      <x:c r="R116">
        <x:f ca="1">IF(AND($B$1012=1,LEN($R$1121)&gt;0),$R$1121,HLOOKUP(INDIRECT(ADDRESS(2,COLUMN())),OFFSET($T$2,0,0,ROW()-1,14),ROW()-1,FALSE))</x:f>
        <x:v>-47.495291999999999</x:v>
      </x:c>
      <x:c r="S116">
        <x:f ca="1">IF(AND($B$1012=1,LEN($S$1121)&gt;0),$S$1121,HLOOKUP(INDIRECT(ADDRESS(2,COLUMN())),OFFSET($T$2,0,0,ROW()-1,14),ROW()-1,FALSE))</x:f>
        <x:v>69.680318</x:v>
      </x:c>
      <x:c r="T116">
        <x:f>-4.145804</x:f>
        <x:v>-4.145804</x:v>
      </x:c>
      <x:c r="U116">
        <x:f>27.514653</x:f>
        <x:v>27.514652999999999</x:v>
      </x:c>
      <x:c r="V116">
        <x:f>63.577617</x:f>
        <x:v>63.577616999999996</x:v>
      </x:c>
      <x:c r="W116">
        <x:f>23.402505</x:f>
        <x:v>23.402505000000001</x:v>
      </x:c>
      <x:c r="X116">
        <x:f>13.845681</x:f>
        <x:v>13.845681000000001</x:v>
      </x:c>
      <x:c r="Y116">
        <x:f>-26.006893</x:f>
        <x:v>-26.006893000000002</x:v>
      </x:c>
      <x:c r="Z116">
        <x:f>-34.549569</x:f>
        <x:v>-34.549568999999998</x:v>
      </x:c>
      <x:c r="AA116">
        <x:f>-112.542213</x:f>
        <x:v>-112.542213</x:v>
      </x:c>
      <x:c r="AB116">
        <x:f>-26.376576</x:f>
        <x:v>-26.376576</x:v>
      </x:c>
      <x:c r="AC116">
        <x:f>177.035463</x:f>
        <x:v>177.03546299999999</x:v>
      </x:c>
      <x:c r="AD116">
        <x:f>25.272598</x:f>
        <x:v>25.272597999999999</x:v>
      </x:c>
      <x:c r="AE116">
        <x:f>-7.736611</x:f>
        <x:v>-7.7366109999999999</x:v>
      </x:c>
      <x:c r="AF116">
        <x:f>-47.495292</x:f>
        <x:v>-47.495291999999999</x:v>
      </x:c>
      <x:c r="AG116">
        <x:f>69.680318</x:f>
        <x:v>69.680318</x:v>
      </x:c>
    </x:row>
    <x:row r="117" spans="1:33" x14ac:dyDescent="0.25">
      <x:c r="A117" t="str">
        <x:f>"        Global X MLP &amp; Energy Infrastr"</x:f>
        <x:v xml:space="preserve">        Global X MLP &amp; Energy Infrastr</x:v>
      </x:c>
      <x:c r="B117" t="str">
        <x:f>"MLPX US Equity"</x:f>
        <x:v>MLPX US Equity</x:v>
      </x:c>
      <x:c r="E117" t="str">
        <x:f t="shared" si="3"/>
        <x:v>Expression</x:v>
      </x:c>
      <x:c r="F117">
        <x:f ca="1">IF(AND($B$1012=1,LEN($F$1122)&gt;0),$F$1122,HLOOKUP(INDIRECT(ADDRESS(2,COLUMN())),OFFSET($T$2,0,0,ROW()-1,14),ROW()-1,FALSE))</x:f>
        <x:v>0.44019999999999998</x:v>
      </x:c>
      <x:c r="G117">
        <x:f ca="1">IF(AND($B$1012=1,LEN($G$1122)&gt;0),$G$1122,HLOOKUP(INDIRECT(ADDRESS(2,COLUMN())),OFFSET($T$2,0,0,ROW()-1,14),ROW()-1,FALSE))</x:f>
        <x:v>-2.0207000000000002</x:v>
      </x:c>
      <x:c r="H117">
        <x:f ca="1">IF(AND($B$1012=1,LEN($H$1122)&gt;0),$H$1122,HLOOKUP(INDIRECT(ADDRESS(2,COLUMN())),OFFSET($T$2,0,0,ROW()-1,14),ROW()-1,FALSE))</x:f>
        <x:v>-5.5590999999999999</x:v>
      </x:c>
      <x:c r="I117">
        <x:f ca="1">IF(AND($B$1012=1,LEN($I$1122)&gt;0),$I$1122,HLOOKUP(INDIRECT(ADDRESS(2,COLUMN())),OFFSET($T$2,0,0,ROW()-1,14),ROW()-1,FALSE))</x:f>
        <x:v>-5.5423999999999998</x:v>
      </x:c>
      <x:c r="J117">
        <x:f ca="1">IF(AND($B$1012=1,LEN($J$1122)&gt;0),$J$1122,HLOOKUP(INDIRECT(ADDRESS(2,COLUMN())),OFFSET($T$2,0,0,ROW()-1,14),ROW()-1,FALSE))</x:f>
        <x:v>-12.2119</x:v>
      </x:c>
      <x:c r="K117">
        <x:f ca="1">IF(AND($B$1012=1,LEN($K$1122)&gt;0),$K$1122,HLOOKUP(INDIRECT(ADDRESS(2,COLUMN())),OFFSET($T$2,0,0,ROW()-1,14),ROW()-1,FALSE))</x:f>
        <x:v>-13.355399999999999</x:v>
      </x:c>
      <x:c r="L117">
        <x:f ca="1">IF(AND($B$1012=1,LEN($L$1122)&gt;0),$L$1122,HLOOKUP(INDIRECT(ADDRESS(2,COLUMN())),OFFSET($T$2,0,0,ROW()-1,14),ROW()-1,FALSE))</x:f>
        <x:v>-14.151</x:v>
      </x:c>
      <x:c r="M117">
        <x:f ca="1">IF(AND($B$1012=1,LEN($M$1122)&gt;0),$M$1122,HLOOKUP(INDIRECT(ADDRESS(2,COLUMN())),OFFSET($T$2,0,0,ROW()-1,14),ROW()-1,FALSE))</x:f>
        <x:v>3.6951999999999998</x:v>
      </x:c>
      <x:c r="N117">
        <x:f ca="1">IF(AND($B$1012=1,LEN($N$1122)&gt;0),$N$1122,HLOOKUP(INDIRECT(ADDRESS(2,COLUMN())),OFFSET($T$2,0,0,ROW()-1,14),ROW()-1,FALSE))</x:f>
        <x:v>-40.778100000000002</x:v>
      </x:c>
      <x:c r="O117">
        <x:f ca="1">IF(AND($B$1012=1,LEN($O$1122)&gt;0),$O$1122,HLOOKUP(INDIRECT(ADDRESS(2,COLUMN())),OFFSET($T$2,0,0,ROW()-1,14),ROW()-1,FALSE))</x:f>
        <x:v>-56.010599999999997</x:v>
      </x:c>
      <x:c r="P117">
        <x:f ca="1">IF(AND($B$1012=1,LEN($P$1122)&gt;0),$P$1122,HLOOKUP(INDIRECT(ADDRESS(2,COLUMN())),OFFSET($T$2,0,0,ROW()-1,14),ROW()-1,FALSE))</x:f>
        <x:v>-7.0429000000000004</x:v>
      </x:c>
      <x:c r="Q117">
        <x:f ca="1">IF(AND($B$1012=1,LEN($Q$1122)&gt;0),$Q$1122,HLOOKUP(INDIRECT(ADDRESS(2,COLUMN())),OFFSET($T$2,0,0,ROW()-1,14),ROW()-1,FALSE))</x:f>
        <x:v>37.726199999999999</x:v>
      </x:c>
      <x:c r="R117">
        <x:f ca="1">IF(AND($B$1012=1,LEN($R$1122)&gt;0),$R$1122,HLOOKUP(INDIRECT(ADDRESS(2,COLUMN())),OFFSET($T$2,0,0,ROW()-1,14),ROW()-1,FALSE))</x:f>
        <x:v>9.8768999999999991</x:v>
      </x:c>
      <x:c r="S117">
        <x:f ca="1">IF(AND($B$1012=1,LEN($S$1122)&gt;0),$S$1122,HLOOKUP(INDIRECT(ADDRESS(2,COLUMN())),OFFSET($T$2,0,0,ROW()-1,14),ROW()-1,FALSE))</x:f>
        <x:v>26.324000000000002</x:v>
      </x:c>
      <x:c r="T117">
        <x:f>0.4402</x:f>
        <x:v>0.44019999999999998</x:v>
      </x:c>
      <x:c r="U117">
        <x:f>-2.0207</x:f>
        <x:v>-2.0207000000000002</x:v>
      </x:c>
      <x:c r="V117">
        <x:f>-5.5591</x:f>
        <x:v>-5.5590999999999999</x:v>
      </x:c>
      <x:c r="W117">
        <x:f>-5.5424</x:f>
        <x:v>-5.5423999999999998</x:v>
      </x:c>
      <x:c r="X117">
        <x:f>-12.2119</x:f>
        <x:v>-12.2119</x:v>
      </x:c>
      <x:c r="Y117">
        <x:f>-13.3554</x:f>
        <x:v>-13.355399999999999</x:v>
      </x:c>
      <x:c r="Z117">
        <x:f>-14.151</x:f>
        <x:v>-14.151</x:v>
      </x:c>
      <x:c r="AA117">
        <x:f>3.6952</x:f>
        <x:v>3.6951999999999998</x:v>
      </x:c>
      <x:c r="AB117">
        <x:f>-40.7781</x:f>
        <x:v>-40.778100000000002</x:v>
      </x:c>
      <x:c r="AC117">
        <x:f>-56.0106</x:f>
        <x:v>-56.010599999999997</x:v>
      </x:c>
      <x:c r="AD117">
        <x:f>-7.0429</x:f>
        <x:v>-7.0429000000000004</x:v>
      </x:c>
      <x:c r="AE117">
        <x:f>37.7262</x:f>
        <x:v>37.726199999999999</x:v>
      </x:c>
      <x:c r="AF117">
        <x:f>9.8769</x:f>
        <x:v>9.8768999999999991</x:v>
      </x:c>
      <x:c r="AG117">
        <x:f>26.324</x:f>
        <x:v>26.324000000000002</x:v>
      </x:c>
    </x:row>
    <x:row r="118" spans="1:33" x14ac:dyDescent="0.25">
      <x:c r="A118" t="str">
        <x:f>"        iShares U.S. Oil Equipment &amp; S"</x:f>
        <x:v xml:space="preserve">        iShares U.S. Oil Equipment &amp; S</x:v>
      </x:c>
      <x:c r="B118" t="str">
        <x:f>"IEZ US Equity"</x:f>
        <x:v>IEZ US Equity</x:v>
      </x:c>
      <x:c r="E118" t="str">
        <x:f t="shared" si="3"/>
        <x:v>Expression</x:v>
      </x:c>
      <x:c r="F118">
        <x:f ca="1">IF(AND($B$1012=1,LEN($F$1123)&gt;0),$F$1123,HLOOKUP(INDIRECT(ADDRESS(2,COLUMN())),OFFSET($T$2,0,0,ROW()-1,14),ROW()-1,FALSE))</x:f>
        <x:v>25.345737</x:v>
      </x:c>
      <x:c r="G118">
        <x:f ca="1">IF(AND($B$1012=1,LEN($G$1123)&gt;0),$G$1123,HLOOKUP(INDIRECT(ADDRESS(2,COLUMN())),OFFSET($T$2,0,0,ROW()-1,14),ROW()-1,FALSE))</x:f>
        <x:v>8.3841859999999997</x:v>
      </x:c>
      <x:c r="H118">
        <x:f ca="1">IF(AND($B$1012=1,LEN($H$1123)&gt;0),$H$1123,HLOOKUP(INDIRECT(ADDRESS(2,COLUMN())),OFFSET($T$2,0,0,ROW()-1,14),ROW()-1,FALSE))</x:f>
        <x:v>141.32216399999999</x:v>
      </x:c>
      <x:c r="I118">
        <x:f ca="1">IF(AND($B$1012=1,LEN($I$1123)&gt;0),$I$1123,HLOOKUP(INDIRECT(ADDRESS(2,COLUMN())),OFFSET($T$2,0,0,ROW()-1,14),ROW()-1,FALSE))</x:f>
        <x:v>-1.28624</x:v>
      </x:c>
      <x:c r="J118">
        <x:f ca="1">IF(AND($B$1012=1,LEN($J$1123)&gt;0),$J$1123,HLOOKUP(INDIRECT(ADDRESS(2,COLUMN())),OFFSET($T$2,0,0,ROW()-1,14),ROW()-1,FALSE))</x:f>
        <x:v>-6.6161849999999998</x:v>
      </x:c>
      <x:c r="K118">
        <x:f ca="1">IF(AND($B$1012=1,LEN($K$1123)&gt;0),$K$1123,HLOOKUP(INDIRECT(ADDRESS(2,COLUMN())),OFFSET($T$2,0,0,ROW()-1,14),ROW()-1,FALSE))</x:f>
        <x:v>-15.104305</x:v>
      </x:c>
      <x:c r="L118">
        <x:f ca="1">IF(AND($B$1012=1,LEN($L$1123)&gt;0),$L$1123,HLOOKUP(INDIRECT(ADDRESS(2,COLUMN())),OFFSET($T$2,0,0,ROW()-1,14),ROW()-1,FALSE))</x:f>
        <x:v>-2.6716150000000001</x:v>
      </x:c>
      <x:c r="M118">
        <x:f ca="1">IF(AND($B$1012=1,LEN($M$1123)&gt;0),$M$1123,HLOOKUP(INDIRECT(ADDRESS(2,COLUMN())),OFFSET($T$2,0,0,ROW()-1,14),ROW()-1,FALSE))</x:f>
        <x:v>-30.561235</x:v>
      </x:c>
      <x:c r="N118">
        <x:f ca="1">IF(AND($B$1012=1,LEN($N$1123)&gt;0),$N$1123,HLOOKUP(INDIRECT(ADDRESS(2,COLUMN())),OFFSET($T$2,0,0,ROW()-1,14),ROW()-1,FALSE))</x:f>
        <x:v>-143.06069500000001</x:v>
      </x:c>
      <x:c r="O118">
        <x:f ca="1">IF(AND($B$1012=1,LEN($O$1123)&gt;0),$O$1123,HLOOKUP(INDIRECT(ADDRESS(2,COLUMN())),OFFSET($T$2,0,0,ROW()-1,14),ROW()-1,FALSE))</x:f>
        <x:v>17.99614</x:v>
      </x:c>
      <x:c r="P118">
        <x:f ca="1">IF(AND($B$1012=1,LEN($P$1123)&gt;0),$P$1123,HLOOKUP(INDIRECT(ADDRESS(2,COLUMN())),OFFSET($T$2,0,0,ROW()-1,14),ROW()-1,FALSE))</x:f>
        <x:v>40.759830000000001</x:v>
      </x:c>
      <x:c r="Q118">
        <x:f ca="1">IF(AND($B$1012=1,LEN($Q$1123)&gt;0),$Q$1123,HLOOKUP(INDIRECT(ADDRESS(2,COLUMN())),OFFSET($T$2,0,0,ROW()-1,14),ROW()-1,FALSE))</x:f>
        <x:v>20.387630000000001</x:v>
      </x:c>
      <x:c r="R118">
        <x:f ca="1">IF(AND($B$1012=1,LEN($R$1123)&gt;0),$R$1123,HLOOKUP(INDIRECT(ADDRESS(2,COLUMN())),OFFSET($T$2,0,0,ROW()-1,14),ROW()-1,FALSE))</x:f>
        <x:v>91.890005000000002</x:v>
      </x:c>
      <x:c r="S118">
        <x:f ca="1">IF(AND($B$1012=1,LEN($S$1123)&gt;0),$S$1123,HLOOKUP(INDIRECT(ADDRESS(2,COLUMN())),OFFSET($T$2,0,0,ROW()-1,14),ROW()-1,FALSE))</x:f>
        <x:v>39.861395000000002</x:v>
      </x:c>
      <x:c r="T118">
        <x:f>25.345737</x:f>
        <x:v>25.345737</x:v>
      </x:c>
      <x:c r="U118">
        <x:f>8.384186</x:f>
        <x:v>8.3841859999999997</x:v>
      </x:c>
      <x:c r="V118">
        <x:f>141.322164</x:f>
        <x:v>141.32216399999999</x:v>
      </x:c>
      <x:c r="W118">
        <x:f>-1.28624</x:f>
        <x:v>-1.28624</x:v>
      </x:c>
      <x:c r="X118">
        <x:f>-6.616185</x:f>
        <x:v>-6.6161849999999998</x:v>
      </x:c>
      <x:c r="Y118">
        <x:f>-15.104305</x:f>
        <x:v>-15.104305</x:v>
      </x:c>
      <x:c r="Z118">
        <x:f>-2.671615</x:f>
        <x:v>-2.6716150000000001</x:v>
      </x:c>
      <x:c r="AA118">
        <x:f>-30.561235</x:f>
        <x:v>-30.561235</x:v>
      </x:c>
      <x:c r="AB118">
        <x:f>-143.060695</x:f>
        <x:v>-143.06069500000001</x:v>
      </x:c>
      <x:c r="AC118">
        <x:f>17.99614</x:f>
        <x:v>17.99614</x:v>
      </x:c>
      <x:c r="AD118">
        <x:f>40.75983</x:f>
        <x:v>40.759830000000001</x:v>
      </x:c>
      <x:c r="AE118">
        <x:f>20.38763</x:f>
        <x:v>20.387630000000001</x:v>
      </x:c>
      <x:c r="AF118">
        <x:f>91.890005</x:f>
        <x:v>91.890005000000002</x:v>
      </x:c>
      <x:c r="AG118">
        <x:f>39.861395</x:f>
        <x:v>39.861395000000002</x:v>
      </x:c>
    </x:row>
    <x:row r="119" spans="1:33" x14ac:dyDescent="0.25">
      <x:c r="A119" t="str">
        <x:f>"        Invesco Solar ETF"</x:f>
        <x:v xml:space="preserve">        Invesco Solar ETF</x:v>
      </x:c>
      <x:c r="B119" t="str">
        <x:f>"TAN US Equity"</x:f>
        <x:v>TAN US Equity</x:v>
      </x:c>
      <x:c r="E119" t="str">
        <x:f t="shared" si="3"/>
        <x:v>Expression</x:v>
      </x:c>
      <x:c r="F119">
        <x:f ca="1">IF(AND($B$1012=1,LEN($F$1672)&gt;0),$F$1672,HLOOKUP(INDIRECT(ADDRESS(2,COLUMN())),OFFSET($T$2,0,0,ROW()-1,14),ROW()-1,FALSE))</x:f>
        <x:v>14.546950000000001</x:v>
      </x:c>
      <x:c r="G119">
        <x:f ca="1">IF(AND($B$1012=1,LEN($G$1672)&gt;0),$G$1672,HLOOKUP(INDIRECT(ADDRESS(2,COLUMN())),OFFSET($T$2,0,0,ROW()-1,14),ROW()-1,FALSE))</x:f>
        <x:v>4.0706319999999998</x:v>
      </x:c>
      <x:c r="H119">
        <x:f ca="1">IF(AND($B$1012=1,LEN($H$1672)&gt;0),$H$1672,HLOOKUP(INDIRECT(ADDRESS(2,COLUMN())),OFFSET($T$2,0,0,ROW()-1,14),ROW()-1,FALSE))</x:f>
        <x:v>13.216526</x:v>
      </x:c>
      <x:c r="I119">
        <x:f ca="1">IF(AND($B$1012=1,LEN($I$1672)&gt;0),$I$1672,HLOOKUP(INDIRECT(ADDRESS(2,COLUMN())),OFFSET($T$2,0,0,ROW()-1,14),ROW()-1,FALSE))</x:f>
        <x:v>-60.217519000000003</x:v>
      </x:c>
      <x:c r="J119">
        <x:f ca="1">IF(AND($B$1012=1,LEN($J$1672)&gt;0),$J$1672,HLOOKUP(INDIRECT(ADDRESS(2,COLUMN())),OFFSET($T$2,0,0,ROW()-1,14),ROW()-1,FALSE))</x:f>
        <x:v>-16.232810000000001</x:v>
      </x:c>
      <x:c r="K119">
        <x:f ca="1">IF(AND($B$1012=1,LEN($K$1672)&gt;0),$K$1672,HLOOKUP(INDIRECT(ADDRESS(2,COLUMN())),OFFSET($T$2,0,0,ROW()-1,14),ROW()-1,FALSE))</x:f>
        <x:v>17.295117000000001</x:v>
      </x:c>
      <x:c r="L119">
        <x:f ca="1">IF(AND($B$1012=1,LEN($L$1672)&gt;0),$L$1672,HLOOKUP(INDIRECT(ADDRESS(2,COLUMN())),OFFSET($T$2,0,0,ROW()-1,14),ROW()-1,FALSE))</x:f>
        <x:v>-73.446470000000005</x:v>
      </x:c>
      <x:c r="M119">
        <x:f ca="1">IF(AND($B$1012=1,LEN($M$1672)&gt;0),$M$1672,HLOOKUP(INDIRECT(ADDRESS(2,COLUMN())),OFFSET($T$2,0,0,ROW()-1,14),ROW()-1,FALSE))</x:f>
        <x:v>-65.425025000000005</x:v>
      </x:c>
      <x:c r="N119">
        <x:f ca="1">IF(AND($B$1012=1,LEN($N$1672)&gt;0),$N$1672,HLOOKUP(INDIRECT(ADDRESS(2,COLUMN())),OFFSET($T$2,0,0,ROW()-1,14),ROW()-1,FALSE))</x:f>
        <x:v>-23.446290000000001</x:v>
      </x:c>
      <x:c r="O119">
        <x:f ca="1">IF(AND($B$1012=1,LEN($O$1672)&gt;0),$O$1672,HLOOKUP(INDIRECT(ADDRESS(2,COLUMN())),OFFSET($T$2,0,0,ROW()-1,14),ROW()-1,FALSE))</x:f>
        <x:v>-68.449393000000001</x:v>
      </x:c>
      <x:c r="P119">
        <x:f ca="1">IF(AND($B$1012=1,LEN($P$1672)&gt;0),$P$1672,HLOOKUP(INDIRECT(ADDRESS(2,COLUMN())),OFFSET($T$2,0,0,ROW()-1,14),ROW()-1,FALSE))</x:f>
        <x:v>-36.098858999999997</x:v>
      </x:c>
      <x:c r="Q119">
        <x:f ca="1">IF(AND($B$1012=1,LEN($Q$1672)&gt;0),$Q$1672,HLOOKUP(INDIRECT(ADDRESS(2,COLUMN())),OFFSET($T$2,0,0,ROW()-1,14),ROW()-1,FALSE))</x:f>
        <x:v>-121.945233</x:v>
      </x:c>
      <x:c r="R119">
        <x:f ca="1">IF(AND($B$1012=1,LEN($R$1672)&gt;0),$R$1672,HLOOKUP(INDIRECT(ADDRESS(2,COLUMN())),OFFSET($T$2,0,0,ROW()-1,14),ROW()-1,FALSE))</x:f>
        <x:v>213.53755100000001</x:v>
      </x:c>
      <x:c r="S119">
        <x:f ca="1">IF(AND($B$1012=1,LEN($S$1672)&gt;0),$S$1672,HLOOKUP(INDIRECT(ADDRESS(2,COLUMN())),OFFSET($T$2,0,0,ROW()-1,14),ROW()-1,FALSE))</x:f>
        <x:v>-211.02170699999999</x:v>
      </x:c>
      <x:c r="T119">
        <x:f>14.54695</x:f>
        <x:v>14.546950000000001</x:v>
      </x:c>
      <x:c r="U119">
        <x:f>4.070632</x:f>
        <x:v>4.0706319999999998</x:v>
      </x:c>
      <x:c r="V119">
        <x:f>13.216526</x:f>
        <x:v>13.216526</x:v>
      </x:c>
      <x:c r="W119">
        <x:f>-60.217519</x:f>
        <x:v>-60.217519000000003</x:v>
      </x:c>
      <x:c r="X119">
        <x:f>-16.23281</x:f>
        <x:v>-16.232810000000001</x:v>
      </x:c>
      <x:c r="Y119">
        <x:f>17.295117</x:f>
        <x:v>17.295117000000001</x:v>
      </x:c>
      <x:c r="Z119">
        <x:f>-73.44647</x:f>
        <x:v>-73.446470000000005</x:v>
      </x:c>
      <x:c r="AA119">
        <x:f>-65.425025</x:f>
        <x:v>-65.425025000000005</x:v>
      </x:c>
      <x:c r="AB119">
        <x:f>-23.44629</x:f>
        <x:v>-23.446290000000001</x:v>
      </x:c>
      <x:c r="AC119">
        <x:f>-68.449393</x:f>
        <x:v>-68.449393000000001</x:v>
      </x:c>
      <x:c r="AD119">
        <x:f>-36.098859</x:f>
        <x:v>-36.098858999999997</x:v>
      </x:c>
      <x:c r="AE119">
        <x:f>-121.945233</x:f>
        <x:v>-121.945233</x:v>
      </x:c>
      <x:c r="AF119">
        <x:f>213.537551</x:f>
        <x:v>213.53755100000001</x:v>
      </x:c>
      <x:c r="AG119">
        <x:f>-211.021707</x:f>
        <x:v>-211.02170699999999</x:v>
      </x:c>
    </x:row>
    <x:row r="120" spans="1:33" x14ac:dyDescent="0.25">
      <x:c r="A120" t="str">
        <x:f>"        Invesco S&amp;P 500 Equal Weight E"</x:f>
        <x:v xml:space="preserve">        Invesco S&amp;P 500 Equal Weight E</x:v>
      </x:c>
      <x:c r="B120" t="str">
        <x:f>"RYE US Equity"</x:f>
        <x:v>RYE US Equity</x:v>
      </x:c>
      <x:c r="E120" t="str">
        <x:f t="shared" si="3"/>
        <x:v>Expression</x:v>
      </x:c>
      <x:c r="F120">
        <x:f ca="1">IF(AND($B$1012=1,LEN($F$1125)&gt;0),$F$1125,HLOOKUP(INDIRECT(ADDRESS(2,COLUMN())),OFFSET($T$2,0,0,ROW()-1,14),ROW()-1,FALSE))</x:f>
        <x:v>-8.5874430000000004</x:v>
      </x:c>
      <x:c r="G120">
        <x:f ca="1">IF(AND($B$1012=1,LEN($G$1125)&gt;0),$G$1125,HLOOKUP(INDIRECT(ADDRESS(2,COLUMN())),OFFSET($T$2,0,0,ROW()-1,14),ROW()-1,FALSE))</x:f>
        <x:v>33.387506999999999</x:v>
      </x:c>
      <x:c r="H120">
        <x:f ca="1">IF(AND($B$1012=1,LEN($H$1125)&gt;0),$H$1125,HLOOKUP(INDIRECT(ADDRESS(2,COLUMN())),OFFSET($T$2,0,0,ROW()-1,14),ROW()-1,FALSE))</x:f>
        <x:v>41.753492000000001</x:v>
      </x:c>
      <x:c r="I120">
        <x:f ca="1">IF(AND($B$1012=1,LEN($I$1125)&gt;0),$I$1125,HLOOKUP(INDIRECT(ADDRESS(2,COLUMN())),OFFSET($T$2,0,0,ROW()-1,14),ROW()-1,FALSE))</x:f>
        <x:v>0.44579800000000003</x:v>
      </x:c>
      <x:c r="J120">
        <x:f ca="1">IF(AND($B$1012=1,LEN($J$1125)&gt;0),$J$1125,HLOOKUP(INDIRECT(ADDRESS(2,COLUMN())),OFFSET($T$2,0,0,ROW()-1,14),ROW()-1,FALSE))</x:f>
        <x:v>9.3382260000000006</x:v>
      </x:c>
      <x:c r="K120">
        <x:f ca="1">IF(AND($B$1012=1,LEN($K$1125)&gt;0),$K$1125,HLOOKUP(INDIRECT(ADDRESS(2,COLUMN())),OFFSET($T$2,0,0,ROW()-1,14),ROW()-1,FALSE))</x:f>
        <x:v>-17.561097</x:v>
      </x:c>
      <x:c r="L120" t="str">
        <x:f ca="1">IF(AND($B$1012=1,LEN($L$1125)&gt;0),$L$1125,HLOOKUP(INDIRECT(ADDRESS(2,COLUMN())),OFFSET($T$2,0,0,ROW()-1,14),ROW()-1,FALSE))</x:f>
        <x:v/>
      </x:c>
      <x:c r="M120" t="str">
        <x:f ca="1">IF(AND($B$1012=1,LEN($M$1125)&gt;0),$M$1125,HLOOKUP(INDIRECT(ADDRESS(2,COLUMN())),OFFSET($T$2,0,0,ROW()-1,14),ROW()-1,FALSE))</x:f>
        <x:v/>
      </x:c>
      <x:c r="N120" t="str">
        <x:f ca="1">IF(AND($B$1012=1,LEN($N$1125)&gt;0),$N$1125,HLOOKUP(INDIRECT(ADDRESS(2,COLUMN())),OFFSET($T$2,0,0,ROW()-1,14),ROW()-1,FALSE))</x:f>
        <x:v/>
      </x:c>
      <x:c r="O120" t="str">
        <x:f ca="1">IF(AND($B$1012=1,LEN($O$1125)&gt;0),$O$1125,HLOOKUP(INDIRECT(ADDRESS(2,COLUMN())),OFFSET($T$2,0,0,ROW()-1,14),ROW()-1,FALSE))</x:f>
        <x:v/>
      </x:c>
      <x:c r="P120" t="str">
        <x:f ca="1">IF(AND($B$1012=1,LEN($P$1125)&gt;0),$P$1125,HLOOKUP(INDIRECT(ADDRESS(2,COLUMN())),OFFSET($T$2,0,0,ROW()-1,14),ROW()-1,FALSE))</x:f>
        <x:v/>
      </x:c>
      <x:c r="Q120" t="str">
        <x:f ca="1">IF(AND($B$1012=1,LEN($Q$1125)&gt;0),$Q$1125,HLOOKUP(INDIRECT(ADDRESS(2,COLUMN())),OFFSET($T$2,0,0,ROW()-1,14),ROW()-1,FALSE))</x:f>
        <x:v/>
      </x:c>
      <x:c r="R120" t="str">
        <x:f ca="1">IF(AND($B$1012=1,LEN($R$1125)&gt;0),$R$1125,HLOOKUP(INDIRECT(ADDRESS(2,COLUMN())),OFFSET($T$2,0,0,ROW()-1,14),ROW()-1,FALSE))</x:f>
        <x:v/>
      </x:c>
      <x:c r="S120" t="str">
        <x:f ca="1">IF(AND($B$1012=1,LEN($S$1125)&gt;0),$S$1125,HLOOKUP(INDIRECT(ADDRESS(2,COLUMN())),OFFSET($T$2,0,0,ROW()-1,14),ROW()-1,FALSE))</x:f>
        <x:v/>
      </x:c>
      <x:c r="T120">
        <x:f>-8.587443</x:f>
        <x:v>-8.5874430000000004</x:v>
      </x:c>
      <x:c r="U120">
        <x:f>33.387507</x:f>
        <x:v>33.387506999999999</x:v>
      </x:c>
      <x:c r="V120">
        <x:f>41.753492</x:f>
        <x:v>41.753492000000001</x:v>
      </x:c>
      <x:c r="W120">
        <x:f>0.445798</x:f>
        <x:v>0.44579800000000003</x:v>
      </x:c>
      <x:c r="X120">
        <x:f>9.338226</x:f>
        <x:v>9.3382260000000006</x:v>
      </x:c>
      <x:c r="Y120">
        <x:f>-17.561097</x:f>
        <x:v>-17.561097</x:v>
      </x:c>
      <x:c r="Z120" t="str">
        <x:f>""</x:f>
        <x:v/>
      </x:c>
      <x:c r="AA120" t="str">
        <x:f>""</x:f>
        <x:v/>
      </x:c>
      <x:c r="AB120" t="str">
        <x:f>""</x:f>
        <x:v/>
      </x:c>
      <x:c r="AC120" t="str">
        <x:f>""</x:f>
        <x:v/>
      </x:c>
      <x:c r="AD120" t="str">
        <x:f>""</x:f>
        <x:v/>
      </x:c>
      <x:c r="AE120" t="str">
        <x:f>""</x:f>
        <x:v/>
      </x:c>
      <x:c r="AF120" t="str">
        <x:f>""</x:f>
        <x:v/>
      </x:c>
      <x:c r="AG120" t="str">
        <x:f>""</x:f>
        <x:v/>
      </x:c>
    </x:row>
    <x:row r="121" spans="1:33" x14ac:dyDescent="0.25">
      <x:c r="A121" t="str">
        <x:f>"        First Trust Natural Gas ETF"</x:f>
        <x:v xml:space="preserve">        First Trust Natural Gas ETF</x:v>
      </x:c>
      <x:c r="B121" t="str">
        <x:f>"FCG US Equity"</x:f>
        <x:v>FCG US Equity</x:v>
      </x:c>
      <x:c r="E121" t="str">
        <x:f t="shared" si="3"/>
        <x:v>Expression</x:v>
      </x:c>
      <x:c r="F121">
        <x:f ca="1">IF(AND($B$1012=1,LEN($F$1126)&gt;0),$F$1126,HLOOKUP(INDIRECT(ADDRESS(2,COLUMN())),OFFSET($T$2,0,0,ROW()-1,14),ROW()-1,FALSE))</x:f>
        <x:v>-5.1054919999999999</x:v>
      </x:c>
      <x:c r="G121">
        <x:f ca="1">IF(AND($B$1012=1,LEN($G$1126)&gt;0),$G$1126,HLOOKUP(INDIRECT(ADDRESS(2,COLUMN())),OFFSET($T$2,0,0,ROW()-1,14),ROW()-1,FALSE))</x:f>
        <x:v>8.1277080000000002</x:v>
      </x:c>
      <x:c r="H121">
        <x:f ca="1">IF(AND($B$1012=1,LEN($H$1126)&gt;0),$H$1126,HLOOKUP(INDIRECT(ADDRESS(2,COLUMN())),OFFSET($T$2,0,0,ROW()-1,14),ROW()-1,FALSE))</x:f>
        <x:v>-19.113720000000001</x:v>
      </x:c>
      <x:c r="I121">
        <x:f ca="1">IF(AND($B$1012=1,LEN($I$1126)&gt;0),$I$1126,HLOOKUP(INDIRECT(ADDRESS(2,COLUMN())),OFFSET($T$2,0,0,ROW()-1,14),ROW()-1,FALSE))</x:f>
        <x:v>-4.0525169999999999</x:v>
      </x:c>
      <x:c r="J121">
        <x:f ca="1">IF(AND($B$1012=1,LEN($J$1126)&gt;0),$J$1126,HLOOKUP(INDIRECT(ADDRESS(2,COLUMN())),OFFSET($T$2,0,0,ROW()-1,14),ROW()-1,FALSE))</x:f>
        <x:v>-4.7065000000000001</x:v>
      </x:c>
      <x:c r="K121">
        <x:f ca="1">IF(AND($B$1012=1,LEN($K$1126)&gt;0),$K$1126,HLOOKUP(INDIRECT(ADDRESS(2,COLUMN())),OFFSET($T$2,0,0,ROW()-1,14),ROW()-1,FALSE))</x:f>
        <x:v>-19.425999999999998</x:v>
      </x:c>
      <x:c r="L121">
        <x:f ca="1">IF(AND($B$1012=1,LEN($L$1126)&gt;0),$L$1126,HLOOKUP(INDIRECT(ADDRESS(2,COLUMN())),OFFSET($T$2,0,0,ROW()-1,14),ROW()-1,FALSE))</x:f>
        <x:v>-25.295999999999999</x:v>
      </x:c>
      <x:c r="M121">
        <x:f ca="1">IF(AND($B$1012=1,LEN($M$1126)&gt;0),$M$1126,HLOOKUP(INDIRECT(ADDRESS(2,COLUMN())),OFFSET($T$2,0,0,ROW()-1,14),ROW()-1,FALSE))</x:f>
        <x:v>-12.814</x:v>
      </x:c>
      <x:c r="N121">
        <x:f ca="1">IF(AND($B$1012=1,LEN($N$1126)&gt;0),$N$1126,HLOOKUP(INDIRECT(ADDRESS(2,COLUMN())),OFFSET($T$2,0,0,ROW()-1,14),ROW()-1,FALSE))</x:f>
        <x:v>-60.902999999999999</x:v>
      </x:c>
      <x:c r="O121">
        <x:f ca="1">IF(AND($B$1012=1,LEN($O$1126)&gt;0),$O$1126,HLOOKUP(INDIRECT(ADDRESS(2,COLUMN())),OFFSET($T$2,0,0,ROW()-1,14),ROW()-1,FALSE))</x:f>
        <x:v>-144.04650000000001</x:v>
      </x:c>
      <x:c r="P121">
        <x:f ca="1">IF(AND($B$1012=1,LEN($P$1126)&gt;0),$P$1126,HLOOKUP(INDIRECT(ADDRESS(2,COLUMN())),OFFSET($T$2,0,0,ROW()-1,14),ROW()-1,FALSE))</x:f>
        <x:v>-75.080938000000003</x:v>
      </x:c>
      <x:c r="Q121">
        <x:f ca="1">IF(AND($B$1012=1,LEN($Q$1126)&gt;0),$Q$1126,HLOOKUP(INDIRECT(ADDRESS(2,COLUMN())),OFFSET($T$2,0,0,ROW()-1,14),ROW()-1,FALSE))</x:f>
        <x:v>-36.501539999999999</x:v>
      </x:c>
      <x:c r="R121">
        <x:f ca="1">IF(AND($B$1012=1,LEN($R$1126)&gt;0),$R$1126,HLOOKUP(INDIRECT(ADDRESS(2,COLUMN())),OFFSET($T$2,0,0,ROW()-1,14),ROW()-1,FALSE))</x:f>
        <x:v>4.0887339999999996</x:v>
      </x:c>
      <x:c r="S121">
        <x:f ca="1">IF(AND($B$1012=1,LEN($S$1126)&gt;0),$S$1126,HLOOKUP(INDIRECT(ADDRESS(2,COLUMN())),OFFSET($T$2,0,0,ROW()-1,14),ROW()-1,FALSE))</x:f>
        <x:v>58.117660999999998</x:v>
      </x:c>
      <x:c r="T121">
        <x:f>-5.105492</x:f>
        <x:v>-5.1054919999999999</x:v>
      </x:c>
      <x:c r="U121">
        <x:f>8.127708</x:f>
        <x:v>8.1277080000000002</x:v>
      </x:c>
      <x:c r="V121">
        <x:f>-19.11372</x:f>
        <x:v>-19.113720000000001</x:v>
      </x:c>
      <x:c r="W121">
        <x:f>-4.052517</x:f>
        <x:v>-4.0525169999999999</x:v>
      </x:c>
      <x:c r="X121">
        <x:f>-4.7065</x:f>
        <x:v>-4.7065000000000001</x:v>
      </x:c>
      <x:c r="Y121">
        <x:f>-19.426</x:f>
        <x:v>-19.425999999999998</x:v>
      </x:c>
      <x:c r="Z121">
        <x:f>-25.296</x:f>
        <x:v>-25.295999999999999</x:v>
      </x:c>
      <x:c r="AA121">
        <x:f>-12.814</x:f>
        <x:v>-12.814</x:v>
      </x:c>
      <x:c r="AB121">
        <x:f>-60.903</x:f>
        <x:v>-60.902999999999999</x:v>
      </x:c>
      <x:c r="AC121">
        <x:f>-144.0465</x:f>
        <x:v>-144.04650000000001</x:v>
      </x:c>
      <x:c r="AD121">
        <x:f>-75.080938</x:f>
        <x:v>-75.080938000000003</x:v>
      </x:c>
      <x:c r="AE121">
        <x:f>-36.50154</x:f>
        <x:v>-36.501539999999999</x:v>
      </x:c>
      <x:c r="AF121">
        <x:f>4.088734</x:f>
        <x:v>4.0887339999999996</x:v>
      </x:c>
      <x:c r="AG121">
        <x:f>58.117661</x:f>
        <x:v>58.117660999999998</x:v>
      </x:c>
    </x:row>
    <x:row r="122" spans="1:33" x14ac:dyDescent="0.25">
      <x:c r="A122" t="str">
        <x:f>"        Direxion Daily S&amp;P Oil &amp; Gas E"</x:f>
        <x:v xml:space="preserve">        Direxion Daily S&amp;P Oil &amp; Gas E</x:v>
      </x:c>
      <x:c r="B122" t="str">
        <x:f>"GUSH US Equity"</x:f>
        <x:v>GUSH US Equity</x:v>
      </x:c>
      <x:c r="E122" t="str">
        <x:f t="shared" si="3"/>
        <x:v>Expression</x:v>
      </x:c>
      <x:c r="F122">
        <x:f ca="1">IF(AND($B$1012=1,LEN($F$1127)&gt;0),$F$1127,HLOOKUP(INDIRECT(ADDRESS(2,COLUMN())),OFFSET($T$2,0,0,ROW()-1,14),ROW()-1,FALSE))</x:f>
        <x:v>21.494423999999999</x:v>
      </x:c>
      <x:c r="G122">
        <x:f ca="1">IF(AND($B$1012=1,LEN($G$1127)&gt;0),$G$1127,HLOOKUP(INDIRECT(ADDRESS(2,COLUMN())),OFFSET($T$2,0,0,ROW()-1,14),ROW()-1,FALSE))</x:f>
        <x:v>-22.364812000000001</x:v>
      </x:c>
      <x:c r="H122">
        <x:f ca="1">IF(AND($B$1012=1,LEN($H$1127)&gt;0),$H$1127,HLOOKUP(INDIRECT(ADDRESS(2,COLUMN())),OFFSET($T$2,0,0,ROW()-1,14),ROW()-1,FALSE))</x:f>
        <x:v>-38.110346999999997</x:v>
      </x:c>
      <x:c r="I122">
        <x:f ca="1">IF(AND($B$1012=1,LEN($I$1127)&gt;0),$I$1127,HLOOKUP(INDIRECT(ADDRESS(2,COLUMN())),OFFSET($T$2,0,0,ROW()-1,14),ROW()-1,FALSE))</x:f>
        <x:v>-62.512942000000002</x:v>
      </x:c>
      <x:c r="J122">
        <x:f ca="1">IF(AND($B$1012=1,LEN($J$1127)&gt;0),$J$1127,HLOOKUP(INDIRECT(ADDRESS(2,COLUMN())),OFFSET($T$2,0,0,ROW()-1,14),ROW()-1,FALSE))</x:f>
        <x:v>-35.309828000000003</x:v>
      </x:c>
      <x:c r="K122">
        <x:f ca="1">IF(AND($B$1012=1,LEN($K$1127)&gt;0),$K$1127,HLOOKUP(INDIRECT(ADDRESS(2,COLUMN())),OFFSET($T$2,0,0,ROW()-1,14),ROW()-1,FALSE))</x:f>
        <x:v>-71.911817999999997</x:v>
      </x:c>
      <x:c r="L122">
        <x:f ca="1">IF(AND($B$1012=1,LEN($L$1127)&gt;0),$L$1127,HLOOKUP(INDIRECT(ADDRESS(2,COLUMN())),OFFSET($T$2,0,0,ROW()-1,14),ROW()-1,FALSE))</x:f>
        <x:v>34.696022999999997</x:v>
      </x:c>
      <x:c r="M122">
        <x:f ca="1">IF(AND($B$1012=1,LEN($M$1127)&gt;0),$M$1127,HLOOKUP(INDIRECT(ADDRESS(2,COLUMN())),OFFSET($T$2,0,0,ROW()-1,14),ROW()-1,FALSE))</x:f>
        <x:v>-34.952911999999998</x:v>
      </x:c>
      <x:c r="N122">
        <x:f ca="1">IF(AND($B$1012=1,LEN($N$1127)&gt;0),$N$1127,HLOOKUP(INDIRECT(ADDRESS(2,COLUMN())),OFFSET($T$2,0,0,ROW()-1,14),ROW()-1,FALSE))</x:f>
        <x:v>49.112012999999997</x:v>
      </x:c>
      <x:c r="O122">
        <x:f ca="1">IF(AND($B$1012=1,LEN($O$1127)&gt;0),$O$1127,HLOOKUP(INDIRECT(ADDRESS(2,COLUMN())),OFFSET($T$2,0,0,ROW()-1,14),ROW()-1,FALSE))</x:f>
        <x:v>51.822786000000001</x:v>
      </x:c>
      <x:c r="P122">
        <x:f ca="1">IF(AND($B$1012=1,LEN($P$1127)&gt;0),$P$1127,HLOOKUP(INDIRECT(ADDRESS(2,COLUMN())),OFFSET($T$2,0,0,ROW()-1,14),ROW()-1,FALSE))</x:f>
        <x:v>-34.956910999999998</x:v>
      </x:c>
      <x:c r="Q122">
        <x:f ca="1">IF(AND($B$1012=1,LEN($Q$1127)&gt;0),$Q$1127,HLOOKUP(INDIRECT(ADDRESS(2,COLUMN())),OFFSET($T$2,0,0,ROW()-1,14),ROW()-1,FALSE))</x:f>
        <x:v>50.566268000000001</x:v>
      </x:c>
      <x:c r="R122">
        <x:f ca="1">IF(AND($B$1012=1,LEN($R$1127)&gt;0),$R$1127,HLOOKUP(INDIRECT(ADDRESS(2,COLUMN())),OFFSET($T$2,0,0,ROW()-1,14),ROW()-1,FALSE))</x:f>
        <x:v>-14.639507</x:v>
      </x:c>
      <x:c r="S122">
        <x:f ca="1">IF(AND($B$1012=1,LEN($S$1127)&gt;0),$S$1127,HLOOKUP(INDIRECT(ADDRESS(2,COLUMN())),OFFSET($T$2,0,0,ROW()-1,14),ROW()-1,FALSE))</x:f>
        <x:v>-95.164015000000006</x:v>
      </x:c>
      <x:c r="T122">
        <x:f>21.494424</x:f>
        <x:v>21.494423999999999</x:v>
      </x:c>
      <x:c r="U122">
        <x:f>-22.364812</x:f>
        <x:v>-22.364812000000001</x:v>
      </x:c>
      <x:c r="V122">
        <x:f>-38.110347</x:f>
        <x:v>-38.110346999999997</x:v>
      </x:c>
      <x:c r="W122">
        <x:f>-62.512942</x:f>
        <x:v>-62.512942000000002</x:v>
      </x:c>
      <x:c r="X122">
        <x:f>-35.309828</x:f>
        <x:v>-35.309828000000003</x:v>
      </x:c>
      <x:c r="Y122">
        <x:f>-71.911818</x:f>
        <x:v>-71.911817999999997</x:v>
      </x:c>
      <x:c r="Z122">
        <x:f>34.696023</x:f>
        <x:v>34.696022999999997</x:v>
      </x:c>
      <x:c r="AA122">
        <x:f>-34.952912</x:f>
        <x:v>-34.952911999999998</x:v>
      </x:c>
      <x:c r="AB122">
        <x:f>49.112013</x:f>
        <x:v>49.112012999999997</x:v>
      </x:c>
      <x:c r="AC122">
        <x:f>51.822786</x:f>
        <x:v>51.822786000000001</x:v>
      </x:c>
      <x:c r="AD122">
        <x:f>-34.956911</x:f>
        <x:v>-34.956910999999998</x:v>
      </x:c>
      <x:c r="AE122">
        <x:f>50.566268</x:f>
        <x:v>50.566268000000001</x:v>
      </x:c>
      <x:c r="AF122">
        <x:f>-14.639507</x:f>
        <x:v>-14.639507</x:v>
      </x:c>
      <x:c r="AG122">
        <x:f>-95.164015</x:f>
        <x:v>-95.164015000000006</x:v>
      </x:c>
    </x:row>
    <x:row r="123" spans="1:33" x14ac:dyDescent="0.25">
      <x:c r="A123" t="str">
        <x:f>"        ProShares Ultra Energy"</x:f>
        <x:v xml:space="preserve">        ProShares Ultra Energy</x:v>
      </x:c>
      <x:c r="B123" t="str">
        <x:f>"DIG US Equity"</x:f>
        <x:v>DIG US Equity</x:v>
      </x:c>
      <x:c r="E123" t="str">
        <x:f t="shared" si="3"/>
        <x:v>Expression</x:v>
      </x:c>
      <x:c r="F123">
        <x:f ca="1">IF(AND($B$1012=1,LEN($F$1128)&gt;0),$F$1128,HLOOKUP(INDIRECT(ADDRESS(2,COLUMN())),OFFSET($T$2,0,0,ROW()-1,14),ROW()-1,FALSE))</x:f>
        <x:v>-3.6593399999999998</x:v>
      </x:c>
      <x:c r="G123">
        <x:f ca="1">IF(AND($B$1012=1,LEN($G$1128)&gt;0),$G$1128,HLOOKUP(INDIRECT(ADDRESS(2,COLUMN())),OFFSET($T$2,0,0,ROW()-1,14),ROW()-1,FALSE))</x:f>
        <x:v>0</x:v>
      </x:c>
      <x:c r="H123">
        <x:f ca="1">IF(AND($B$1012=1,LEN($H$1128)&gt;0),$H$1128,HLOOKUP(INDIRECT(ADDRESS(2,COLUMN())),OFFSET($T$2,0,0,ROW()-1,14),ROW()-1,FALSE))</x:f>
        <x:v>-4.6076699999999997</x:v>
      </x:c>
      <x:c r="I123">
        <x:f ca="1">IF(AND($B$1012=1,LEN($I$1128)&gt;0),$I$1128,HLOOKUP(INDIRECT(ADDRESS(2,COLUMN())),OFFSET($T$2,0,0,ROW()-1,14),ROW()-1,FALSE))</x:f>
        <x:v>-2.050335</x:v>
      </x:c>
      <x:c r="J123">
        <x:f ca="1">IF(AND($B$1012=1,LEN($J$1128)&gt;0),$J$1128,HLOOKUP(INDIRECT(ADDRESS(2,COLUMN())),OFFSET($T$2,0,0,ROW()-1,14),ROW()-1,FALSE))</x:f>
        <x:v>-1.85466</x:v>
      </x:c>
      <x:c r="K123">
        <x:f ca="1">IF(AND($B$1012=1,LEN($K$1128)&gt;0),$K$1128,HLOOKUP(INDIRECT(ADDRESS(2,COLUMN())),OFFSET($T$2,0,0,ROW()-1,14),ROW()-1,FALSE))</x:f>
        <x:v>-7.1933199999999999</x:v>
      </x:c>
      <x:c r="L123">
        <x:f ca="1">IF(AND($B$1012=1,LEN($L$1128)&gt;0),$L$1128,HLOOKUP(INDIRECT(ADDRESS(2,COLUMN())),OFFSET($T$2,0,0,ROW()-1,14),ROW()-1,FALSE))</x:f>
        <x:v>3.0892200000000001</x:v>
      </x:c>
      <x:c r="M123">
        <x:f ca="1">IF(AND($B$1012=1,LEN($M$1128)&gt;0),$M$1128,HLOOKUP(INDIRECT(ADDRESS(2,COLUMN())),OFFSET($T$2,0,0,ROW()-1,14),ROW()-1,FALSE))</x:f>
        <x:v>-5.9987000000000004</x:v>
      </x:c>
      <x:c r="N123">
        <x:f ca="1">IF(AND($B$1012=1,LEN($N$1128)&gt;0),$N$1128,HLOOKUP(INDIRECT(ADDRESS(2,COLUMN())),OFFSET($T$2,0,0,ROW()-1,14),ROW()-1,FALSE))</x:f>
        <x:v>1.0414099999999999</x:v>
      </x:c>
      <x:c r="O123">
        <x:f ca="1">IF(AND($B$1012=1,LEN($O$1128)&gt;0),$O$1128,HLOOKUP(INDIRECT(ADDRESS(2,COLUMN())),OFFSET($T$2,0,0,ROW()-1,14),ROW()-1,FALSE))</x:f>
        <x:v>-8.2622</x:v>
      </x:c>
      <x:c r="P123">
        <x:f ca="1">IF(AND($B$1012=1,LEN($P$1128)&gt;0),$P$1128,HLOOKUP(INDIRECT(ADDRESS(2,COLUMN())),OFFSET($T$2,0,0,ROW()-1,14),ROW()-1,FALSE))</x:f>
        <x:v>5.8494400000000004</x:v>
      </x:c>
      <x:c r="Q123">
        <x:f ca="1">IF(AND($B$1012=1,LEN($Q$1128)&gt;0),$Q$1128,HLOOKUP(INDIRECT(ADDRESS(2,COLUMN())),OFFSET($T$2,0,0,ROW()-1,14),ROW()-1,FALSE))</x:f>
        <x:v>-8.1074350000000006</x:v>
      </x:c>
      <x:c r="R123">
        <x:f ca="1">IF(AND($B$1012=1,LEN($R$1128)&gt;0),$R$1128,HLOOKUP(INDIRECT(ADDRESS(2,COLUMN())),OFFSET($T$2,0,0,ROW()-1,14),ROW()-1,FALSE))</x:f>
        <x:v>-6.8763050000000003</x:v>
      </x:c>
      <x:c r="S123">
        <x:f ca="1">IF(AND($B$1012=1,LEN($S$1128)&gt;0),$S$1128,HLOOKUP(INDIRECT(ADDRESS(2,COLUMN())),OFFSET($T$2,0,0,ROW()-1,14),ROW()-1,FALSE))</x:f>
        <x:v>-9.941675</x:v>
      </x:c>
      <x:c r="T123">
        <x:f>-3.65934</x:f>
        <x:v>-3.6593399999999998</x:v>
      </x:c>
      <x:c r="U123">
        <x:f>0</x:f>
        <x:v>0</x:v>
      </x:c>
      <x:c r="V123">
        <x:f>-4.60767</x:f>
        <x:v>-4.6076699999999997</x:v>
      </x:c>
      <x:c r="W123">
        <x:f>-2.050335</x:f>
        <x:v>-2.050335</x:v>
      </x:c>
      <x:c r="X123">
        <x:f>-1.85466</x:f>
        <x:v>-1.85466</x:v>
      </x:c>
      <x:c r="Y123">
        <x:f>-7.19332</x:f>
        <x:v>-7.1933199999999999</x:v>
      </x:c>
      <x:c r="Z123">
        <x:f>3.08922</x:f>
        <x:v>3.0892200000000001</x:v>
      </x:c>
      <x:c r="AA123">
        <x:f>-5.9987</x:f>
        <x:v>-5.9987000000000004</x:v>
      </x:c>
      <x:c r="AB123">
        <x:f>1.04141</x:f>
        <x:v>1.0414099999999999</x:v>
      </x:c>
      <x:c r="AC123">
        <x:f>-8.2622</x:f>
        <x:v>-8.2622</x:v>
      </x:c>
      <x:c r="AD123">
        <x:f>5.84944</x:f>
        <x:v>5.8494400000000004</x:v>
      </x:c>
      <x:c r="AE123">
        <x:f>-8.107435</x:f>
        <x:v>-8.1074350000000006</x:v>
      </x:c>
      <x:c r="AF123">
        <x:f>-6.876305</x:f>
        <x:v>-6.8763050000000003</x:v>
      </x:c>
      <x:c r="AG123">
        <x:f>-9.941675</x:f>
        <x:v>-9.941675</x:v>
      </x:c>
    </x:row>
    <x:row r="124" spans="1:33" x14ac:dyDescent="0.25">
      <x:c r="A124" t="str">
        <x:f>"        C-Tracks ETNs based on Perform"</x:f>
        <x:v xml:space="preserve">        C-Tracks ETNs based on Perform</x:v>
      </x:c>
      <x:c r="B124" t="str">
        <x:f>"MLPC US Equity"</x:f>
        <x:v>MLPC US Equity</x:v>
      </x:c>
      <x:c r="E124" t="str">
        <x:f t="shared" si="3"/>
        <x:v>Expression</x:v>
      </x:c>
      <x:c r="F124" t="str">
        <x:f ca="1">IF(AND($B$1012=1,LEN($F$1129)&gt;0),$F$1129,HLOOKUP(INDIRECT(ADDRESS(2,COLUMN())),OFFSET($T$2,0,0,ROW()-1,14),ROW()-1,FALSE))</x:f>
        <x:v/>
      </x:c>
      <x:c r="G124" t="str">
        <x:f ca="1">IF(AND($B$1012=1,LEN($G$1129)&gt;0),$G$1129,HLOOKUP(INDIRECT(ADDRESS(2,COLUMN())),OFFSET($T$2,0,0,ROW()-1,14),ROW()-1,FALSE))</x:f>
        <x:v/>
      </x:c>
      <x:c r="H124" t="str">
        <x:f ca="1">IF(AND($B$1012=1,LEN($H$1129)&gt;0),$H$1129,HLOOKUP(INDIRECT(ADDRESS(2,COLUMN())),OFFSET($T$2,0,0,ROW()-1,14),ROW()-1,FALSE))</x:f>
        <x:v/>
      </x:c>
      <x:c r="I124" t="str">
        <x:f ca="1">IF(AND($B$1012=1,LEN($I$1129)&gt;0),$I$1129,HLOOKUP(INDIRECT(ADDRESS(2,COLUMN())),OFFSET($T$2,0,0,ROW()-1,14),ROW()-1,FALSE))</x:f>
        <x:v/>
      </x:c>
      <x:c r="J124" t="str">
        <x:f ca="1">IF(AND($B$1012=1,LEN($J$1129)&gt;0),$J$1129,HLOOKUP(INDIRECT(ADDRESS(2,COLUMN())),OFFSET($T$2,0,0,ROW()-1,14),ROW()-1,FALSE))</x:f>
        <x:v/>
      </x:c>
      <x:c r="K124" t="str">
        <x:f ca="1">IF(AND($B$1012=1,LEN($K$1129)&gt;0),$K$1129,HLOOKUP(INDIRECT(ADDRESS(2,COLUMN())),OFFSET($T$2,0,0,ROW()-1,14),ROW()-1,FALSE))</x:f>
        <x:v/>
      </x:c>
      <x:c r="L124" t="str">
        <x:f ca="1">IF(AND($B$1012=1,LEN($L$1129)&gt;0),$L$1129,HLOOKUP(INDIRECT(ADDRESS(2,COLUMN())),OFFSET($T$2,0,0,ROW()-1,14),ROW()-1,FALSE))</x:f>
        <x:v/>
      </x:c>
      <x:c r="M124" t="str">
        <x:f ca="1">IF(AND($B$1012=1,LEN($M$1129)&gt;0),$M$1129,HLOOKUP(INDIRECT(ADDRESS(2,COLUMN())),OFFSET($T$2,0,0,ROW()-1,14),ROW()-1,FALSE))</x:f>
        <x:v/>
      </x:c>
      <x:c r="N124" t="str">
        <x:f ca="1">IF(AND($B$1012=1,LEN($N$1129)&gt;0),$N$1129,HLOOKUP(INDIRECT(ADDRESS(2,COLUMN())),OFFSET($T$2,0,0,ROW()-1,14),ROW()-1,FALSE))</x:f>
        <x:v/>
      </x:c>
      <x:c r="O124" t="str">
        <x:f ca="1">IF(AND($B$1012=1,LEN($O$1129)&gt;0),$O$1129,HLOOKUP(INDIRECT(ADDRESS(2,COLUMN())),OFFSET($T$2,0,0,ROW()-1,14),ROW()-1,FALSE))</x:f>
        <x:v/>
      </x:c>
      <x:c r="P124" t="str">
        <x:f ca="1">IF(AND($B$1012=1,LEN($P$1129)&gt;0),$P$1129,HLOOKUP(INDIRECT(ADDRESS(2,COLUMN())),OFFSET($T$2,0,0,ROW()-1,14),ROW()-1,FALSE))</x:f>
        <x:v/>
      </x:c>
      <x:c r="Q124" t="str">
        <x:f ca="1">IF(AND($B$1012=1,LEN($Q$1129)&gt;0),$Q$1129,HLOOKUP(INDIRECT(ADDRESS(2,COLUMN())),OFFSET($T$2,0,0,ROW()-1,14),ROW()-1,FALSE))</x:f>
        <x:v/>
      </x:c>
      <x:c r="R124" t="str">
        <x:f ca="1">IF(AND($B$1012=1,LEN($R$1129)&gt;0),$R$1129,HLOOKUP(INDIRECT(ADDRESS(2,COLUMN())),OFFSET($T$2,0,0,ROW()-1,14),ROW()-1,FALSE))</x:f>
        <x:v/>
      </x:c>
      <x:c r="S124" t="str">
        <x:f ca="1">IF(AND($B$1012=1,LEN($S$1129)&gt;0),$S$1129,HLOOKUP(INDIRECT(ADDRESS(2,COLUMN())),OFFSET($T$2,0,0,ROW()-1,14),ROW()-1,FALSE))</x:f>
        <x:v/>
      </x:c>
      <x:c r="T124" t="str">
        <x:f>""</x:f>
        <x:v/>
      </x:c>
      <x:c r="U124" t="str">
        <x:f>""</x:f>
        <x:v/>
      </x:c>
      <x:c r="V124" t="str">
        <x:f>""</x:f>
        <x:v/>
      </x:c>
      <x:c r="W124" t="str">
        <x:f>""</x:f>
        <x:v/>
      </x:c>
      <x:c r="X124" t="str">
        <x:f>""</x:f>
        <x:v/>
      </x:c>
      <x:c r="Y124" t="str">
        <x:f>""</x:f>
        <x:v/>
      </x:c>
      <x:c r="Z124" t="str">
        <x:f>""</x:f>
        <x:v/>
      </x:c>
      <x:c r="AA124" t="str">
        <x:f>""</x:f>
        <x:v/>
      </x:c>
      <x:c r="AB124" t="str">
        <x:f>""</x:f>
        <x:v/>
      </x:c>
      <x:c r="AC124" t="str">
        <x:f>""</x:f>
        <x:v/>
      </x:c>
      <x:c r="AD124" t="str">
        <x:f>""</x:f>
        <x:v/>
      </x:c>
      <x:c r="AE124" t="str">
        <x:f>""</x:f>
        <x:v/>
      </x:c>
      <x:c r="AF124" t="str">
        <x:f>""</x:f>
        <x:v/>
      </x:c>
      <x:c r="AG124" t="str">
        <x:f>""</x:f>
        <x:v/>
      </x:c>
    </x:row>
    <x:row r="125" spans="1:33" x14ac:dyDescent="0.25">
      <x:c r="A125" t="str">
        <x:f>"        Invesco DWA Energy Momentum ET"</x:f>
        <x:v xml:space="preserve">        Invesco DWA Energy Momentum ET</x:v>
      </x:c>
      <x:c r="B125" t="str">
        <x:f>"PXI US Equity"</x:f>
        <x:v>PXI US Equity</x:v>
      </x:c>
      <x:c r="E125" t="str">
        <x:f t="shared" si="3"/>
        <x:v>Expression</x:v>
      </x:c>
      <x:c r="F125">
        <x:f ca="1">IF(AND($B$1012=1,LEN($F$1130)&gt;0),$F$1130,HLOOKUP(INDIRECT(ADDRESS(2,COLUMN())),OFFSET($T$2,0,0,ROW()-1,14),ROW()-1,FALSE))</x:f>
        <x:v>-10.514735999999999</x:v>
      </x:c>
      <x:c r="G125">
        <x:f ca="1">IF(AND($B$1012=1,LEN($G$1130)&gt;0),$G$1130,HLOOKUP(INDIRECT(ADDRESS(2,COLUMN())),OFFSET($T$2,0,0,ROW()-1,14),ROW()-1,FALSE))</x:f>
        <x:v>-3.4201860000000002</x:v>
      </x:c>
      <x:c r="H125">
        <x:f ca="1">IF(AND($B$1012=1,LEN($H$1130)&gt;0),$H$1130,HLOOKUP(INDIRECT(ADDRESS(2,COLUMN())),OFFSET($T$2,0,0,ROW()-1,14),ROW()-1,FALSE))</x:f>
        <x:v>32.933768000000001</x:v>
      </x:c>
      <x:c r="I125">
        <x:f ca="1">IF(AND($B$1012=1,LEN($I$1130)&gt;0),$I$1130,HLOOKUP(INDIRECT(ADDRESS(2,COLUMN())),OFFSET($T$2,0,0,ROW()-1,14),ROW()-1,FALSE))</x:f>
        <x:v>-1.310656</x:v>
      </x:c>
      <x:c r="J125">
        <x:f ca="1">IF(AND($B$1012=1,LEN($J$1130)&gt;0),$J$1130,HLOOKUP(INDIRECT(ADDRESS(2,COLUMN())),OFFSET($T$2,0,0,ROW()-1,14),ROW()-1,FALSE))</x:f>
        <x:v>4.6033929999999996</x:v>
      </x:c>
      <x:c r="K125">
        <x:f ca="1">IF(AND($B$1012=1,LEN($K$1130)&gt;0),$K$1130,HLOOKUP(INDIRECT(ADDRESS(2,COLUMN())),OFFSET($T$2,0,0,ROW()-1,14),ROW()-1,FALSE))</x:f>
        <x:v>-6.5885150000000001</x:v>
      </x:c>
      <x:c r="L125">
        <x:f ca="1">IF(AND($B$1012=1,LEN($L$1130)&gt;0),$L$1130,HLOOKUP(INDIRECT(ADDRESS(2,COLUMN())),OFFSET($T$2,0,0,ROW()-1,14),ROW()-1,FALSE))</x:f>
        <x:v>-13.478782000000001</x:v>
      </x:c>
      <x:c r="M125">
        <x:f ca="1">IF(AND($B$1012=1,LEN($M$1130)&gt;0),$M$1130,HLOOKUP(INDIRECT(ADDRESS(2,COLUMN())),OFFSET($T$2,0,0,ROW()-1,14),ROW()-1,FALSE))</x:f>
        <x:v>-34.814821000000002</x:v>
      </x:c>
      <x:c r="N125">
        <x:f ca="1">IF(AND($B$1012=1,LEN($N$1130)&gt;0),$N$1130,HLOOKUP(INDIRECT(ADDRESS(2,COLUMN())),OFFSET($T$2,0,0,ROW()-1,14),ROW()-1,FALSE))</x:f>
        <x:v>-5.1721789999999999</x:v>
      </x:c>
      <x:c r="O125">
        <x:f ca="1">IF(AND($B$1012=1,LEN($O$1130)&gt;0),$O$1130,HLOOKUP(INDIRECT(ADDRESS(2,COLUMN())),OFFSET($T$2,0,0,ROW()-1,14),ROW()-1,FALSE))</x:f>
        <x:v>-60.325966000000001</x:v>
      </x:c>
      <x:c r="P125">
        <x:f ca="1">IF(AND($B$1012=1,LEN($P$1130)&gt;0),$P$1130,HLOOKUP(INDIRECT(ADDRESS(2,COLUMN())),OFFSET($T$2,0,0,ROW()-1,14),ROW()-1,FALSE))</x:f>
        <x:v>-5.6657299999999999</x:v>
      </x:c>
      <x:c r="Q125">
        <x:f ca="1">IF(AND($B$1012=1,LEN($Q$1130)&gt;0),$Q$1130,HLOOKUP(INDIRECT(ADDRESS(2,COLUMN())),OFFSET($T$2,0,0,ROW()-1,14),ROW()-1,FALSE))</x:f>
        <x:v>-3.9167719999999999</x:v>
      </x:c>
      <x:c r="R125">
        <x:f ca="1">IF(AND($B$1012=1,LEN($R$1130)&gt;0),$R$1130,HLOOKUP(INDIRECT(ADDRESS(2,COLUMN())),OFFSET($T$2,0,0,ROW()-1,14),ROW()-1,FALSE))</x:f>
        <x:v>4.2954540000000003</x:v>
      </x:c>
      <x:c r="S125">
        <x:f ca="1">IF(AND($B$1012=1,LEN($S$1130)&gt;0),$S$1130,HLOOKUP(INDIRECT(ADDRESS(2,COLUMN())),OFFSET($T$2,0,0,ROW()-1,14),ROW()-1,FALSE))</x:f>
        <x:v>6.6391720000000003</x:v>
      </x:c>
      <x:c r="T125">
        <x:f>-10.514736</x:f>
        <x:v>-10.514735999999999</x:v>
      </x:c>
      <x:c r="U125">
        <x:f>-3.420186</x:f>
        <x:v>-3.4201860000000002</x:v>
      </x:c>
      <x:c r="V125">
        <x:f>32.933768</x:f>
        <x:v>32.933768000000001</x:v>
      </x:c>
      <x:c r="W125">
        <x:f>-1.310656</x:f>
        <x:v>-1.310656</x:v>
      </x:c>
      <x:c r="X125">
        <x:f>4.603393</x:f>
        <x:v>4.6033929999999996</x:v>
      </x:c>
      <x:c r="Y125">
        <x:f>-6.588515</x:f>
        <x:v>-6.5885150000000001</x:v>
      </x:c>
      <x:c r="Z125">
        <x:f>-13.478782</x:f>
        <x:v>-13.478782000000001</x:v>
      </x:c>
      <x:c r="AA125">
        <x:f>-34.814821</x:f>
        <x:v>-34.814821000000002</x:v>
      </x:c>
      <x:c r="AB125">
        <x:f>-5.172179</x:f>
        <x:v>-5.1721789999999999</x:v>
      </x:c>
      <x:c r="AC125">
        <x:f>-60.325966</x:f>
        <x:v>-60.325966000000001</x:v>
      </x:c>
      <x:c r="AD125">
        <x:f>-5.66573</x:f>
        <x:v>-5.6657299999999999</x:v>
      </x:c>
      <x:c r="AE125">
        <x:f>-3.916772</x:f>
        <x:v>-3.9167719999999999</x:v>
      </x:c>
      <x:c r="AF125">
        <x:f>4.295454</x:f>
        <x:v>4.2954540000000003</x:v>
      </x:c>
      <x:c r="AG125">
        <x:f>6.639172</x:f>
        <x:v>6.6391720000000003</x:v>
      </x:c>
    </x:row>
    <x:row r="126" spans="1:33" x14ac:dyDescent="0.25">
      <x:c r="A126" t="str">
        <x:f>"        VanEck Vectors Coal ETF"</x:f>
        <x:v xml:space="preserve">        VanEck Vectors Coal ETF</x:v>
      </x:c>
      <x:c r="B126" t="str">
        <x:f>"KOL US Equity"</x:f>
        <x:v>KOL US Equity</x:v>
      </x:c>
      <x:c r="E126" t="str">
        <x:f t="shared" si="3"/>
        <x:v>Expression</x:v>
      </x:c>
      <x:c r="F126" t="str">
        <x:f ca="1">IF(AND($B$1012=1,LEN($F$1131)&gt;0),$F$1131,HLOOKUP(INDIRECT(ADDRESS(2,COLUMN())),OFFSET($T$2,0,0,ROW()-1,14),ROW()-1,FALSE))</x:f>
        <x:v/>
      </x:c>
      <x:c r="G126" t="str">
        <x:f ca="1">IF(AND($B$1012=1,LEN($G$1131)&gt;0),$G$1131,HLOOKUP(INDIRECT(ADDRESS(2,COLUMN())),OFFSET($T$2,0,0,ROW()-1,14),ROW()-1,FALSE))</x:f>
        <x:v/>
      </x:c>
      <x:c r="H126" t="str">
        <x:f ca="1">IF(AND($B$1012=1,LEN($H$1131)&gt;0),$H$1131,HLOOKUP(INDIRECT(ADDRESS(2,COLUMN())),OFFSET($T$2,0,0,ROW()-1,14),ROW()-1,FALSE))</x:f>
        <x:v/>
      </x:c>
      <x:c r="I126" t="str">
        <x:f ca="1">IF(AND($B$1012=1,LEN($I$1131)&gt;0),$I$1131,HLOOKUP(INDIRECT(ADDRESS(2,COLUMN())),OFFSET($T$2,0,0,ROW()-1,14),ROW()-1,FALSE))</x:f>
        <x:v/>
      </x:c>
      <x:c r="J126" t="str">
        <x:f ca="1">IF(AND($B$1012=1,LEN($J$1131)&gt;0),$J$1131,HLOOKUP(INDIRECT(ADDRESS(2,COLUMN())),OFFSET($T$2,0,0,ROW()-1,14),ROW()-1,FALSE))</x:f>
        <x:v/>
      </x:c>
      <x:c r="K126" t="str">
        <x:f ca="1">IF(AND($B$1012=1,LEN($K$1131)&gt;0),$K$1131,HLOOKUP(INDIRECT(ADDRESS(2,COLUMN())),OFFSET($T$2,0,0,ROW()-1,14),ROW()-1,FALSE))</x:f>
        <x:v/>
      </x:c>
      <x:c r="L126" t="str">
        <x:f ca="1">IF(AND($B$1012=1,LEN($L$1131)&gt;0),$L$1131,HLOOKUP(INDIRECT(ADDRESS(2,COLUMN())),OFFSET($T$2,0,0,ROW()-1,14),ROW()-1,FALSE))</x:f>
        <x:v/>
      </x:c>
      <x:c r="M126" t="str">
        <x:f ca="1">IF(AND($B$1012=1,LEN($M$1131)&gt;0),$M$1131,HLOOKUP(INDIRECT(ADDRESS(2,COLUMN())),OFFSET($T$2,0,0,ROW()-1,14),ROW()-1,FALSE))</x:f>
        <x:v/>
      </x:c>
      <x:c r="N126" t="str">
        <x:f ca="1">IF(AND($B$1012=1,LEN($N$1131)&gt;0),$N$1131,HLOOKUP(INDIRECT(ADDRESS(2,COLUMN())),OFFSET($T$2,0,0,ROW()-1,14),ROW()-1,FALSE))</x:f>
        <x:v/>
      </x:c>
      <x:c r="O126" t="str">
        <x:f ca="1">IF(AND($B$1012=1,LEN($O$1131)&gt;0),$O$1131,HLOOKUP(INDIRECT(ADDRESS(2,COLUMN())),OFFSET($T$2,0,0,ROW()-1,14),ROW()-1,FALSE))</x:f>
        <x:v/>
      </x:c>
      <x:c r="P126" t="str">
        <x:f ca="1">IF(AND($B$1012=1,LEN($P$1131)&gt;0),$P$1131,HLOOKUP(INDIRECT(ADDRESS(2,COLUMN())),OFFSET($T$2,0,0,ROW()-1,14),ROW()-1,FALSE))</x:f>
        <x:v/>
      </x:c>
      <x:c r="Q126" t="str">
        <x:f ca="1">IF(AND($B$1012=1,LEN($Q$1131)&gt;0),$Q$1131,HLOOKUP(INDIRECT(ADDRESS(2,COLUMN())),OFFSET($T$2,0,0,ROW()-1,14),ROW()-1,FALSE))</x:f>
        <x:v/>
      </x:c>
      <x:c r="R126" t="str">
        <x:f ca="1">IF(AND($B$1012=1,LEN($R$1131)&gt;0),$R$1131,HLOOKUP(INDIRECT(ADDRESS(2,COLUMN())),OFFSET($T$2,0,0,ROW()-1,14),ROW()-1,FALSE))</x:f>
        <x:v/>
      </x:c>
      <x:c r="S126" t="str">
        <x:f ca="1">IF(AND($B$1012=1,LEN($S$1131)&gt;0),$S$1131,HLOOKUP(INDIRECT(ADDRESS(2,COLUMN())),OFFSET($T$2,0,0,ROW()-1,14),ROW()-1,FALSE))</x:f>
        <x:v/>
      </x:c>
      <x:c r="T126" t="str">
        <x:f>""</x:f>
        <x:v/>
      </x:c>
      <x:c r="U126" t="str">
        <x:f>""</x:f>
        <x:v/>
      </x:c>
      <x:c r="V126" t="str">
        <x:f>""</x:f>
        <x:v/>
      </x:c>
      <x:c r="W126" t="str">
        <x:f>""</x:f>
        <x:v/>
      </x:c>
      <x:c r="X126" t="str">
        <x:f>""</x:f>
        <x:v/>
      </x:c>
      <x:c r="Y126" t="str">
        <x:f>""</x:f>
        <x:v/>
      </x:c>
      <x:c r="Z126" t="str">
        <x:f>""</x:f>
        <x:v/>
      </x:c>
      <x:c r="AA126" t="str">
        <x:f>""</x:f>
        <x:v/>
      </x:c>
      <x:c r="AB126" t="str">
        <x:f>""</x:f>
        <x:v/>
      </x:c>
      <x:c r="AC126" t="str">
        <x:f>""</x:f>
        <x:v/>
      </x:c>
      <x:c r="AD126" t="str">
        <x:f>""</x:f>
        <x:v/>
      </x:c>
      <x:c r="AE126" t="str">
        <x:f>""</x:f>
        <x:v/>
      </x:c>
      <x:c r="AF126" t="str">
        <x:f>""</x:f>
        <x:v/>
      </x:c>
      <x:c r="AG126" t="str">
        <x:f>""</x:f>
        <x:v/>
      </x:c>
    </x:row>
    <x:row r="127" spans="1:33" x14ac:dyDescent="0.25">
      <x:c r="A127" t="str">
        <x:f>"        Credit Suisse S&amp;P MLP Index ET"</x:f>
        <x:v xml:space="preserve">        Credit Suisse S&amp;P MLP Index ET</x:v>
      </x:c>
      <x:c r="B127" t="str">
        <x:f>"MLPO US Equity"</x:f>
        <x:v>MLPO US Equity</x:v>
      </x:c>
      <x:c r="E127" t="str">
        <x:f t="shared" si="3"/>
        <x:v>Expression</x:v>
      </x:c>
      <x:c r="F127">
        <x:f ca="1">IF(AND($B$1012=1,LEN($F$1132)&gt;0),$F$1132,HLOOKUP(INDIRECT(ADDRESS(2,COLUMN())),OFFSET($T$2,0,0,ROW()-1,14),ROW()-1,FALSE))</x:f>
        <x:v>0</x:v>
      </x:c>
      <x:c r="G127">
        <x:f ca="1">IF(AND($B$1012=1,LEN($G$1132)&gt;0),$G$1132,HLOOKUP(INDIRECT(ADDRESS(2,COLUMN())),OFFSET($T$2,0,0,ROW()-1,14),ROW()-1,FALSE))</x:f>
        <x:v>0</x:v>
      </x:c>
      <x:c r="H127">
        <x:f ca="1">IF(AND($B$1012=1,LEN($H$1132)&gt;0),$H$1132,HLOOKUP(INDIRECT(ADDRESS(2,COLUMN())),OFFSET($T$2,0,0,ROW()-1,14),ROW()-1,FALSE))</x:f>
        <x:v>0</x:v>
      </x:c>
      <x:c r="I127">
        <x:f ca="1">IF(AND($B$1012=1,LEN($I$1132)&gt;0),$I$1132,HLOOKUP(INDIRECT(ADDRESS(2,COLUMN())),OFFSET($T$2,0,0,ROW()-1,14),ROW()-1,FALSE))</x:f>
        <x:v>0</x:v>
      </x:c>
      <x:c r="J127">
        <x:f ca="1">IF(AND($B$1012=1,LEN($J$1132)&gt;0),$J$1132,HLOOKUP(INDIRECT(ADDRESS(2,COLUMN())),OFFSET($T$2,0,0,ROW()-1,14),ROW()-1,FALSE))</x:f>
        <x:v>0</x:v>
      </x:c>
      <x:c r="K127">
        <x:f ca="1">IF(AND($B$1012=1,LEN($K$1132)&gt;0),$K$1132,HLOOKUP(INDIRECT(ADDRESS(2,COLUMN())),OFFSET($T$2,0,0,ROW()-1,14),ROW()-1,FALSE))</x:f>
        <x:v>-0.13820099999999999</x:v>
      </x:c>
      <x:c r="L127">
        <x:f ca="1">IF(AND($B$1012=1,LEN($L$1132)&gt;0),$L$1132,HLOOKUP(INDIRECT(ADDRESS(2,COLUMN())),OFFSET($T$2,0,0,ROW()-1,14),ROW()-1,FALSE))</x:f>
        <x:v>0</x:v>
      </x:c>
      <x:c r="M127">
        <x:f ca="1">IF(AND($B$1012=1,LEN($M$1132)&gt;0),$M$1132,HLOOKUP(INDIRECT(ADDRESS(2,COLUMN())),OFFSET($T$2,0,0,ROW()-1,14),ROW()-1,FALSE))</x:f>
        <x:v>0</x:v>
      </x:c>
      <x:c r="N127">
        <x:f ca="1">IF(AND($B$1012=1,LEN($N$1132)&gt;0),$N$1132,HLOOKUP(INDIRECT(ADDRESS(2,COLUMN())),OFFSET($T$2,0,0,ROW()-1,14),ROW()-1,FALSE))</x:f>
        <x:v>0</x:v>
      </x:c>
      <x:c r="O127">
        <x:f ca="1">IF(AND($B$1012=1,LEN($O$1132)&gt;0),$O$1132,HLOOKUP(INDIRECT(ADDRESS(2,COLUMN())),OFFSET($T$2,0,0,ROW()-1,14),ROW()-1,FALSE))</x:f>
        <x:v>0</x:v>
      </x:c>
      <x:c r="P127">
        <x:f ca="1">IF(AND($B$1012=1,LEN($P$1132)&gt;0),$P$1132,HLOOKUP(INDIRECT(ADDRESS(2,COLUMN())),OFFSET($T$2,0,0,ROW()-1,14),ROW()-1,FALSE))</x:f>
        <x:v>0</x:v>
      </x:c>
      <x:c r="Q127">
        <x:f ca="1">IF(AND($B$1012=1,LEN($Q$1132)&gt;0),$Q$1132,HLOOKUP(INDIRECT(ADDRESS(2,COLUMN())),OFFSET($T$2,0,0,ROW()-1,14),ROW()-1,FALSE))</x:f>
        <x:v>0</x:v>
      </x:c>
      <x:c r="R127">
        <x:f ca="1">IF(AND($B$1012=1,LEN($R$1132)&gt;0),$R$1132,HLOOKUP(INDIRECT(ADDRESS(2,COLUMN())),OFFSET($T$2,0,0,ROW()-1,14),ROW()-1,FALSE))</x:f>
        <x:v>0</x:v>
      </x:c>
      <x:c r="S127">
        <x:f ca="1">IF(AND($B$1012=1,LEN($S$1132)&gt;0),$S$1132,HLOOKUP(INDIRECT(ADDRESS(2,COLUMN())),OFFSET($T$2,0,0,ROW()-1,14),ROW()-1,FALSE))</x:f>
        <x:v>0</x:v>
      </x:c>
      <x:c r="T127">
        <x:f>0</x:f>
        <x:v>0</x:v>
      </x:c>
      <x:c r="U127">
        <x:f>0</x:f>
        <x:v>0</x:v>
      </x:c>
      <x:c r="V127">
        <x:f>0</x:f>
        <x:v>0</x:v>
      </x:c>
      <x:c r="W127">
        <x:f>0</x:f>
        <x:v>0</x:v>
      </x:c>
      <x:c r="X127">
        <x:f>0</x:f>
        <x:v>0</x:v>
      </x:c>
      <x:c r="Y127">
        <x:f>-0.138201</x:f>
        <x:v>-0.13820099999999999</x:v>
      </x:c>
      <x:c r="Z127">
        <x:f>0</x:f>
        <x:v>0</x:v>
      </x:c>
      <x:c r="AA127">
        <x:f>0</x:f>
        <x:v>0</x:v>
      </x:c>
      <x:c r="AB127">
        <x:f>0</x:f>
        <x:v>0</x:v>
      </x:c>
      <x:c r="AC127">
        <x:f>0</x:f>
        <x:v>0</x:v>
      </x:c>
      <x:c r="AD127">
        <x:f>0</x:f>
        <x:v>0</x:v>
      </x:c>
      <x:c r="AE127">
        <x:f>0</x:f>
        <x:v>0</x:v>
      </x:c>
      <x:c r="AF127">
        <x:f>0</x:f>
        <x:v>0</x:v>
      </x:c>
      <x:c r="AG127">
        <x:f>0</x:f>
        <x:v>0</x:v>
      </x:c>
    </x:row>
    <x:row r="128" spans="1:33" x14ac:dyDescent="0.25">
      <x:c r="A128" t="str">
        <x:f>"        Direxion Zacks MLP High Income"</x:f>
        <x:v xml:space="preserve">        Direxion Zacks MLP High Income</x:v>
      </x:c>
      <x:c r="B128" t="str">
        <x:f>"ZMLP US Equity"</x:f>
        <x:v>ZMLP US Equity</x:v>
      </x:c>
      <x:c r="E128" t="str">
        <x:f t="shared" si="3"/>
        <x:v>Expression</x:v>
      </x:c>
      <x:c r="F128" t="str">
        <x:f ca="1">IF(AND($B$1012=1,LEN($F$1133)&gt;0),$F$1133,HLOOKUP(INDIRECT(ADDRESS(2,COLUMN())),OFFSET($T$2,0,0,ROW()-1,14),ROW()-1,FALSE))</x:f>
        <x:v/>
      </x:c>
      <x:c r="G128" t="str">
        <x:f ca="1">IF(AND($B$1012=1,LEN($G$1133)&gt;0),$G$1133,HLOOKUP(INDIRECT(ADDRESS(2,COLUMN())),OFFSET($T$2,0,0,ROW()-1,14),ROW()-1,FALSE))</x:f>
        <x:v/>
      </x:c>
      <x:c r="H128" t="str">
        <x:f ca="1">IF(AND($B$1012=1,LEN($H$1133)&gt;0),$H$1133,HLOOKUP(INDIRECT(ADDRESS(2,COLUMN())),OFFSET($T$2,0,0,ROW()-1,14),ROW()-1,FALSE))</x:f>
        <x:v/>
      </x:c>
      <x:c r="I128" t="str">
        <x:f ca="1">IF(AND($B$1012=1,LEN($I$1133)&gt;0),$I$1133,HLOOKUP(INDIRECT(ADDRESS(2,COLUMN())),OFFSET($T$2,0,0,ROW()-1,14),ROW()-1,FALSE))</x:f>
        <x:v/>
      </x:c>
      <x:c r="J128" t="str">
        <x:f ca="1">IF(AND($B$1012=1,LEN($J$1133)&gt;0),$J$1133,HLOOKUP(INDIRECT(ADDRESS(2,COLUMN())),OFFSET($T$2,0,0,ROW()-1,14),ROW()-1,FALSE))</x:f>
        <x:v/>
      </x:c>
      <x:c r="K128" t="str">
        <x:f ca="1">IF(AND($B$1012=1,LEN($K$1133)&gt;0),$K$1133,HLOOKUP(INDIRECT(ADDRESS(2,COLUMN())),OFFSET($T$2,0,0,ROW()-1,14),ROW()-1,FALSE))</x:f>
        <x:v/>
      </x:c>
      <x:c r="L128" t="str">
        <x:f ca="1">IF(AND($B$1012=1,LEN($L$1133)&gt;0),$L$1133,HLOOKUP(INDIRECT(ADDRESS(2,COLUMN())),OFFSET($T$2,0,0,ROW()-1,14),ROW()-1,FALSE))</x:f>
        <x:v/>
      </x:c>
      <x:c r="M128" t="str">
        <x:f ca="1">IF(AND($B$1012=1,LEN($M$1133)&gt;0),$M$1133,HLOOKUP(INDIRECT(ADDRESS(2,COLUMN())),OFFSET($T$2,0,0,ROW()-1,14),ROW()-1,FALSE))</x:f>
        <x:v/>
      </x:c>
      <x:c r="N128" t="str">
        <x:f ca="1">IF(AND($B$1012=1,LEN($N$1133)&gt;0),$N$1133,HLOOKUP(INDIRECT(ADDRESS(2,COLUMN())),OFFSET($T$2,0,0,ROW()-1,14),ROW()-1,FALSE))</x:f>
        <x:v/>
      </x:c>
      <x:c r="O128" t="str">
        <x:f ca="1">IF(AND($B$1012=1,LEN($O$1133)&gt;0),$O$1133,HLOOKUP(INDIRECT(ADDRESS(2,COLUMN())),OFFSET($T$2,0,0,ROW()-1,14),ROW()-1,FALSE))</x:f>
        <x:v/>
      </x:c>
      <x:c r="P128" t="str">
        <x:f ca="1">IF(AND($B$1012=1,LEN($P$1133)&gt;0),$P$1133,HLOOKUP(INDIRECT(ADDRESS(2,COLUMN())),OFFSET($T$2,0,0,ROW()-1,14),ROW()-1,FALSE))</x:f>
        <x:v/>
      </x:c>
      <x:c r="Q128" t="str">
        <x:f ca="1">IF(AND($B$1012=1,LEN($Q$1133)&gt;0),$Q$1133,HLOOKUP(INDIRECT(ADDRESS(2,COLUMN())),OFFSET($T$2,0,0,ROW()-1,14),ROW()-1,FALSE))</x:f>
        <x:v/>
      </x:c>
      <x:c r="R128" t="str">
        <x:f ca="1">IF(AND($B$1012=1,LEN($R$1133)&gt;0),$R$1133,HLOOKUP(INDIRECT(ADDRESS(2,COLUMN())),OFFSET($T$2,0,0,ROW()-1,14),ROW()-1,FALSE))</x:f>
        <x:v/>
      </x:c>
      <x:c r="S128" t="str">
        <x:f ca="1">IF(AND($B$1012=1,LEN($S$1133)&gt;0),$S$1133,HLOOKUP(INDIRECT(ADDRESS(2,COLUMN())),OFFSET($T$2,0,0,ROW()-1,14),ROW()-1,FALSE))</x:f>
        <x:v/>
      </x:c>
      <x:c r="T128" t="str">
        <x:f>""</x:f>
        <x:v/>
      </x:c>
      <x:c r="U128" t="str">
        <x:f>""</x:f>
        <x:v/>
      </x:c>
      <x:c r="V128" t="str">
        <x:f>""</x:f>
        <x:v/>
      </x:c>
      <x:c r="W128" t="str">
        <x:f>""</x:f>
        <x:v/>
      </x:c>
      <x:c r="X128" t="str">
        <x:f>""</x:f>
        <x:v/>
      </x:c>
      <x:c r="Y128" t="str">
        <x:f>""</x:f>
        <x:v/>
      </x:c>
      <x:c r="Z128" t="str">
        <x:f>""</x:f>
        <x:v/>
      </x:c>
      <x:c r="AA128" t="str">
        <x:f>""</x:f>
        <x:v/>
      </x:c>
      <x:c r="AB128" t="str">
        <x:f>""</x:f>
        <x:v/>
      </x:c>
      <x:c r="AC128" t="str">
        <x:f>""</x:f>
        <x:v/>
      </x:c>
      <x:c r="AD128" t="str">
        <x:f>""</x:f>
        <x:v/>
      </x:c>
      <x:c r="AE128" t="str">
        <x:f>""</x:f>
        <x:v/>
      </x:c>
      <x:c r="AF128" t="str">
        <x:f>""</x:f>
        <x:v/>
      </x:c>
      <x:c r="AG128" t="str">
        <x:f>""</x:f>
        <x:v/>
      </x:c>
    </x:row>
    <x:row r="129" spans="1:33" x14ac:dyDescent="0.25">
      <x:c r="A129" t="str">
        <x:f>"        VanEck Energy Income ETF"</x:f>
        <x:v xml:space="preserve">        VanEck Energy Income ETF</x:v>
      </x:c>
      <x:c r="B129" t="str">
        <x:f>"EINC US Equity"</x:f>
        <x:v>EINC US Equity</x:v>
      </x:c>
      <x:c r="E129" t="str">
        <x:f t="shared" si="3"/>
        <x:v>Expression</x:v>
      </x:c>
      <x:c r="F129">
        <x:f ca="1">IF(AND($B$1012=1,LEN($F$1134)&gt;0),$F$1134,HLOOKUP(INDIRECT(ADDRESS(2,COLUMN())),OFFSET($T$2,0,0,ROW()-1,14),ROW()-1,FALSE))</x:f>
        <x:v>-1.629516</x:v>
      </x:c>
      <x:c r="G129">
        <x:f ca="1">IF(AND($B$1012=1,LEN($G$1134)&gt;0),$G$1134,HLOOKUP(INDIRECT(ADDRESS(2,COLUMN())),OFFSET($T$2,0,0,ROW()-1,14),ROW()-1,FALSE))</x:f>
        <x:v>1.5837490000000001</x:v>
      </x:c>
      <x:c r="H129">
        <x:f ca="1">IF(AND($B$1012=1,LEN($H$1134)&gt;0),$H$1134,HLOOKUP(INDIRECT(ADDRESS(2,COLUMN())),OFFSET($T$2,0,0,ROW()-1,14),ROW()-1,FALSE))</x:f>
        <x:v>0</x:v>
      </x:c>
      <x:c r="I129">
        <x:f ca="1">IF(AND($B$1012=1,LEN($I$1134)&gt;0),$I$1134,HLOOKUP(INDIRECT(ADDRESS(2,COLUMN())),OFFSET($T$2,0,0,ROW()-1,14),ROW()-1,FALSE))</x:f>
        <x:v>1.642439</x:v>
      </x:c>
      <x:c r="J129">
        <x:f ca="1">IF(AND($B$1012=1,LEN($J$1134)&gt;0),$J$1134,HLOOKUP(INDIRECT(ADDRESS(2,COLUMN())),OFFSET($T$2,0,0,ROW()-1,14),ROW()-1,FALSE))</x:f>
        <x:v>0</x:v>
      </x:c>
      <x:c r="K129">
        <x:f ca="1">IF(AND($B$1012=1,LEN($K$1134)&gt;0),$K$1134,HLOOKUP(INDIRECT(ADDRESS(2,COLUMN())),OFFSET($T$2,0,0,ROW()-1,14),ROW()-1,FALSE))</x:f>
        <x:v>6.3019689999999997</x:v>
      </x:c>
      <x:c r="L129">
        <x:f ca="1">IF(AND($B$1012=1,LEN($L$1134)&gt;0),$L$1134,HLOOKUP(INDIRECT(ADDRESS(2,COLUMN())),OFFSET($T$2,0,0,ROW()-1,14),ROW()-1,FALSE))</x:f>
        <x:v>-1.527806</x:v>
      </x:c>
      <x:c r="M129">
        <x:f ca="1">IF(AND($B$1012=1,LEN($M$1134)&gt;0),$M$1134,HLOOKUP(INDIRECT(ADDRESS(2,COLUMN())),OFFSET($T$2,0,0,ROW()-1,14),ROW()-1,FALSE))</x:f>
        <x:v>0</x:v>
      </x:c>
      <x:c r="N129">
        <x:f ca="1">IF(AND($B$1012=1,LEN($N$1134)&gt;0),$N$1134,HLOOKUP(INDIRECT(ADDRESS(2,COLUMN())),OFFSET($T$2,0,0,ROW()-1,14),ROW()-1,FALSE))</x:f>
        <x:v>0</x:v>
      </x:c>
      <x:c r="O129">
        <x:f ca="1">IF(AND($B$1012=1,LEN($O$1134)&gt;0),$O$1134,HLOOKUP(INDIRECT(ADDRESS(2,COLUMN())),OFFSET($T$2,0,0,ROW()-1,14),ROW()-1,FALSE))</x:f>
        <x:v>0</x:v>
      </x:c>
      <x:c r="P129">
        <x:f ca="1">IF(AND($B$1012=1,LEN($P$1134)&gt;0),$P$1134,HLOOKUP(INDIRECT(ADDRESS(2,COLUMN())),OFFSET($T$2,0,0,ROW()-1,14),ROW()-1,FALSE))</x:f>
        <x:v>-1.612473</x:v>
      </x:c>
      <x:c r="Q129">
        <x:f ca="1">IF(AND($B$1012=1,LEN($Q$1134)&gt;0),$Q$1134,HLOOKUP(INDIRECT(ADDRESS(2,COLUMN())),OFFSET($T$2,0,0,ROW()-1,14),ROW()-1,FALSE))</x:f>
        <x:v>-1.5795250000000001</x:v>
      </x:c>
      <x:c r="R129">
        <x:f ca="1">IF(AND($B$1012=1,LEN($R$1134)&gt;0),$R$1134,HLOOKUP(INDIRECT(ADDRESS(2,COLUMN())),OFFSET($T$2,0,0,ROW()-1,14),ROW()-1,FALSE))</x:f>
        <x:v>0</x:v>
      </x:c>
      <x:c r="S129">
        <x:f ca="1">IF(AND($B$1012=1,LEN($S$1134)&gt;0),$S$1134,HLOOKUP(INDIRECT(ADDRESS(2,COLUMN())),OFFSET($T$2,0,0,ROW()-1,14),ROW()-1,FALSE))</x:f>
        <x:v>-1.5118020000000001</x:v>
      </x:c>
      <x:c r="T129">
        <x:f>-1.629516</x:f>
        <x:v>-1.629516</x:v>
      </x:c>
      <x:c r="U129">
        <x:f>1.583749</x:f>
        <x:v>1.5837490000000001</x:v>
      </x:c>
      <x:c r="V129">
        <x:f>0</x:f>
        <x:v>0</x:v>
      </x:c>
      <x:c r="W129">
        <x:f>1.642439</x:f>
        <x:v>1.642439</x:v>
      </x:c>
      <x:c r="X129">
        <x:f>0</x:f>
        <x:v>0</x:v>
      </x:c>
      <x:c r="Y129">
        <x:f>6.301969</x:f>
        <x:v>6.3019689999999997</x:v>
      </x:c>
      <x:c r="Z129">
        <x:f>-1.527806</x:f>
        <x:v>-1.527806</x:v>
      </x:c>
      <x:c r="AA129">
        <x:f>0</x:f>
        <x:v>0</x:v>
      </x:c>
      <x:c r="AB129">
        <x:f>0</x:f>
        <x:v>0</x:v>
      </x:c>
      <x:c r="AC129">
        <x:f>0</x:f>
        <x:v>0</x:v>
      </x:c>
      <x:c r="AD129">
        <x:f>-1.612473</x:f>
        <x:v>-1.612473</x:v>
      </x:c>
      <x:c r="AE129">
        <x:f>-1.579525</x:f>
        <x:v>-1.5795250000000001</x:v>
      </x:c>
      <x:c r="AF129">
        <x:f>0</x:f>
        <x:v>0</x:v>
      </x:c>
      <x:c r="AG129">
        <x:f>-1.511802</x:f>
        <x:v>-1.5118020000000001</x:v>
      </x:c>
    </x:row>
    <x:row r="130" spans="1:33" x14ac:dyDescent="0.25">
      <x:c r="A130" t="str">
        <x:f>"        Tortoise North American Pipeli"</x:f>
        <x:v xml:space="preserve">        Tortoise North American Pipeli</x:v>
      </x:c>
      <x:c r="B130" t="str">
        <x:f>"TPYP US Equity"</x:f>
        <x:v>TPYP US Equity</x:v>
      </x:c>
      <x:c r="E130" t="str">
        <x:f t="shared" ref="E130:E161" si="4">"Expression"</x:f>
        <x:v>Expression</x:v>
      </x:c>
      <x:c r="F130">
        <x:f ca="1">IF(AND($B$1012=1,LEN($F$1135)&gt;0),$F$1135,HLOOKUP(INDIRECT(ADDRESS(2,COLUMN())),OFFSET($T$2,0,0,ROW()-1,14),ROW()-1,FALSE))</x:f>
        <x:v>-4.9956699999999996</x:v>
      </x:c>
      <x:c r="G130">
        <x:f ca="1">IF(AND($B$1012=1,LEN($G$1135)&gt;0),$G$1135,HLOOKUP(INDIRECT(ADDRESS(2,COLUMN())),OFFSET($T$2,0,0,ROW()-1,14),ROW()-1,FALSE))</x:f>
        <x:v>-13.342575</x:v>
      </x:c>
      <x:c r="H130">
        <x:f ca="1">IF(AND($B$1012=1,LEN($H$1135)&gt;0),$H$1135,HLOOKUP(INDIRECT(ADDRESS(2,COLUMN())),OFFSET($T$2,0,0,ROW()-1,14),ROW()-1,FALSE))</x:f>
        <x:v>-3.7018499999999999</x:v>
      </x:c>
      <x:c r="I130">
        <x:f ca="1">IF(AND($B$1012=1,LEN($I$1135)&gt;0),$I$1135,HLOOKUP(INDIRECT(ADDRESS(2,COLUMN())),OFFSET($T$2,0,0,ROW()-1,14),ROW()-1,FALSE))</x:f>
        <x:v>2.51864</x:v>
      </x:c>
      <x:c r="J130">
        <x:f ca="1">IF(AND($B$1012=1,LEN($J$1135)&gt;0),$J$1135,HLOOKUP(INDIRECT(ADDRESS(2,COLUMN())),OFFSET($T$2,0,0,ROW()-1,14),ROW()-1,FALSE))</x:f>
        <x:v>-1.246715</x:v>
      </x:c>
      <x:c r="K130">
        <x:f ca="1">IF(AND($B$1012=1,LEN($K$1135)&gt;0),$K$1135,HLOOKUP(INDIRECT(ADDRESS(2,COLUMN())),OFFSET($T$2,0,0,ROW()-1,14),ROW()-1,FALSE))</x:f>
        <x:v>-8.5940899999999996</x:v>
      </x:c>
      <x:c r="L130">
        <x:f ca="1">IF(AND($B$1012=1,LEN($L$1135)&gt;0),$L$1135,HLOOKUP(INDIRECT(ADDRESS(2,COLUMN())),OFFSET($T$2,0,0,ROW()-1,14),ROW()-1,FALSE))</x:f>
        <x:v>-32.677644999999998</x:v>
      </x:c>
      <x:c r="M130">
        <x:f ca="1">IF(AND($B$1012=1,LEN($M$1135)&gt;0),$M$1135,HLOOKUP(INDIRECT(ADDRESS(2,COLUMN())),OFFSET($T$2,0,0,ROW()-1,14),ROW()-1,FALSE))</x:f>
        <x:v>0</x:v>
      </x:c>
      <x:c r="N130">
        <x:f ca="1">IF(AND($B$1012=1,LEN($N$1135)&gt;0),$N$1135,HLOOKUP(INDIRECT(ADDRESS(2,COLUMN())),OFFSET($T$2,0,0,ROW()-1,14),ROW()-1,FALSE))</x:f>
        <x:v>-9.2435000000000003E-2</x:v>
      </x:c>
      <x:c r="O130">
        <x:f ca="1">IF(AND($B$1012=1,LEN($O$1135)&gt;0),$O$1135,HLOOKUP(INDIRECT(ADDRESS(2,COLUMN())),OFFSET($T$2,0,0,ROW()-1,14),ROW()-1,FALSE))</x:f>
        <x:v>-2.5504449999999999</x:v>
      </x:c>
      <x:c r="P130">
        <x:f ca="1">IF(AND($B$1012=1,LEN($P$1135)&gt;0),$P$1135,HLOOKUP(INDIRECT(ADDRESS(2,COLUMN())),OFFSET($T$2,0,0,ROW()-1,14),ROW()-1,FALSE))</x:f>
        <x:v>-45.591859999999997</x:v>
      </x:c>
      <x:c r="Q130">
        <x:f ca="1">IF(AND($B$1012=1,LEN($Q$1135)&gt;0),$Q$1135,HLOOKUP(INDIRECT(ADDRESS(2,COLUMN())),OFFSET($T$2,0,0,ROW()-1,14),ROW()-1,FALSE))</x:f>
        <x:v>53.65616</x:v>
      </x:c>
      <x:c r="R130">
        <x:f ca="1">IF(AND($B$1012=1,LEN($R$1135)&gt;0),$R$1135,HLOOKUP(INDIRECT(ADDRESS(2,COLUMN())),OFFSET($T$2,0,0,ROW()-1,14),ROW()-1,FALSE))</x:f>
        <x:v>0</x:v>
      </x:c>
      <x:c r="S130">
        <x:f ca="1">IF(AND($B$1012=1,LEN($S$1135)&gt;0),$S$1135,HLOOKUP(INDIRECT(ADDRESS(2,COLUMN())),OFFSET($T$2,0,0,ROW()-1,14),ROW()-1,FALSE))</x:f>
        <x:v>-20.196935</x:v>
      </x:c>
      <x:c r="T130">
        <x:f>-4.99567</x:f>
        <x:v>-4.9956699999999996</x:v>
      </x:c>
      <x:c r="U130">
        <x:f>-13.342575</x:f>
        <x:v>-13.342575</x:v>
      </x:c>
      <x:c r="V130">
        <x:f>-3.70185</x:f>
        <x:v>-3.7018499999999999</x:v>
      </x:c>
      <x:c r="W130">
        <x:f>2.51864</x:f>
        <x:v>2.51864</x:v>
      </x:c>
      <x:c r="X130">
        <x:f>-1.246715</x:f>
        <x:v>-1.246715</x:v>
      </x:c>
      <x:c r="Y130">
        <x:f>-8.59409</x:f>
        <x:v>-8.5940899999999996</x:v>
      </x:c>
      <x:c r="Z130">
        <x:f>-32.677645</x:f>
        <x:v>-32.677644999999998</x:v>
      </x:c>
      <x:c r="AA130">
        <x:f>0</x:f>
        <x:v>0</x:v>
      </x:c>
      <x:c r="AB130">
        <x:f>-0.092435</x:f>
        <x:v>-9.2435000000000003E-2</x:v>
      </x:c>
      <x:c r="AC130">
        <x:f>-2.550445</x:f>
        <x:v>-2.5504449999999999</x:v>
      </x:c>
      <x:c r="AD130">
        <x:f>-45.59186</x:f>
        <x:v>-45.591859999999997</x:v>
      </x:c>
      <x:c r="AE130">
        <x:f>53.65616</x:f>
        <x:v>53.65616</x:v>
      </x:c>
      <x:c r="AF130">
        <x:f>0</x:f>
        <x:v>0</x:v>
      </x:c>
      <x:c r="AG130">
        <x:f>-20.196935</x:f>
        <x:v>-20.196935</x:v>
      </x:c>
    </x:row>
    <x:row r="131" spans="1:33" x14ac:dyDescent="0.25">
      <x:c r="A131" t="str">
        <x:f>"        Morgan Stanley Cushing MLP Hig"</x:f>
        <x:v xml:space="preserve">        Morgan Stanley Cushing MLP Hig</x:v>
      </x:c>
      <x:c r="B131" t="str">
        <x:f>"MLPY US Equity"</x:f>
        <x:v>MLPY US Equity</x:v>
      </x:c>
      <x:c r="E131" t="str">
        <x:f t="shared" si="4"/>
        <x:v>Expression</x:v>
      </x:c>
      <x:c r="F131" t="str">
        <x:f ca="1">IF(AND($B$1012=1,LEN($F$1136)&gt;0),$F$1136,HLOOKUP(INDIRECT(ADDRESS(2,COLUMN())),OFFSET($T$2,0,0,ROW()-1,14),ROW()-1,FALSE))</x:f>
        <x:v/>
      </x:c>
      <x:c r="G131" t="str">
        <x:f ca="1">IF(AND($B$1012=1,LEN($G$1136)&gt;0),$G$1136,HLOOKUP(INDIRECT(ADDRESS(2,COLUMN())),OFFSET($T$2,0,0,ROW()-1,14),ROW()-1,FALSE))</x:f>
        <x:v/>
      </x:c>
      <x:c r="H131" t="str">
        <x:f ca="1">IF(AND($B$1012=1,LEN($H$1136)&gt;0),$H$1136,HLOOKUP(INDIRECT(ADDRESS(2,COLUMN())),OFFSET($T$2,0,0,ROW()-1,14),ROW()-1,FALSE))</x:f>
        <x:v/>
      </x:c>
      <x:c r="I131" t="str">
        <x:f ca="1">IF(AND($B$1012=1,LEN($I$1136)&gt;0),$I$1136,HLOOKUP(INDIRECT(ADDRESS(2,COLUMN())),OFFSET($T$2,0,0,ROW()-1,14),ROW()-1,FALSE))</x:f>
        <x:v/>
      </x:c>
      <x:c r="J131" t="str">
        <x:f ca="1">IF(AND($B$1012=1,LEN($J$1136)&gt;0),$J$1136,HLOOKUP(INDIRECT(ADDRESS(2,COLUMN())),OFFSET($T$2,0,0,ROW()-1,14),ROW()-1,FALSE))</x:f>
        <x:v/>
      </x:c>
      <x:c r="K131" t="str">
        <x:f ca="1">IF(AND($B$1012=1,LEN($K$1136)&gt;0),$K$1136,HLOOKUP(INDIRECT(ADDRESS(2,COLUMN())),OFFSET($T$2,0,0,ROW()-1,14),ROW()-1,FALSE))</x:f>
        <x:v/>
      </x:c>
      <x:c r="L131" t="str">
        <x:f ca="1">IF(AND($B$1012=1,LEN($L$1136)&gt;0),$L$1136,HLOOKUP(INDIRECT(ADDRESS(2,COLUMN())),OFFSET($T$2,0,0,ROW()-1,14),ROW()-1,FALSE))</x:f>
        <x:v/>
      </x:c>
      <x:c r="M131" t="str">
        <x:f ca="1">IF(AND($B$1012=1,LEN($M$1136)&gt;0),$M$1136,HLOOKUP(INDIRECT(ADDRESS(2,COLUMN())),OFFSET($T$2,0,0,ROW()-1,14),ROW()-1,FALSE))</x:f>
        <x:v/>
      </x:c>
      <x:c r="N131" t="str">
        <x:f ca="1">IF(AND($B$1012=1,LEN($N$1136)&gt;0),$N$1136,HLOOKUP(INDIRECT(ADDRESS(2,COLUMN())),OFFSET($T$2,0,0,ROW()-1,14),ROW()-1,FALSE))</x:f>
        <x:v/>
      </x:c>
      <x:c r="O131" t="str">
        <x:f ca="1">IF(AND($B$1012=1,LEN($O$1136)&gt;0),$O$1136,HLOOKUP(INDIRECT(ADDRESS(2,COLUMN())),OFFSET($T$2,0,0,ROW()-1,14),ROW()-1,FALSE))</x:f>
        <x:v/>
      </x:c>
      <x:c r="P131" t="str">
        <x:f ca="1">IF(AND($B$1012=1,LEN($P$1136)&gt;0),$P$1136,HLOOKUP(INDIRECT(ADDRESS(2,COLUMN())),OFFSET($T$2,0,0,ROW()-1,14),ROW()-1,FALSE))</x:f>
        <x:v/>
      </x:c>
      <x:c r="Q131" t="str">
        <x:f ca="1">IF(AND($B$1012=1,LEN($Q$1136)&gt;0),$Q$1136,HLOOKUP(INDIRECT(ADDRESS(2,COLUMN())),OFFSET($T$2,0,0,ROW()-1,14),ROW()-1,FALSE))</x:f>
        <x:v/>
      </x:c>
      <x:c r="R131" t="str">
        <x:f ca="1">IF(AND($B$1012=1,LEN($R$1136)&gt;0),$R$1136,HLOOKUP(INDIRECT(ADDRESS(2,COLUMN())),OFFSET($T$2,0,0,ROW()-1,14),ROW()-1,FALSE))</x:f>
        <x:v/>
      </x:c>
      <x:c r="S131" t="str">
        <x:f ca="1">IF(AND($B$1012=1,LEN($S$1136)&gt;0),$S$1136,HLOOKUP(INDIRECT(ADDRESS(2,COLUMN())),OFFSET($T$2,0,0,ROW()-1,14),ROW()-1,FALSE))</x:f>
        <x:v/>
      </x:c>
      <x:c r="T131" t="str">
        <x:f>""</x:f>
        <x:v/>
      </x:c>
      <x:c r="U131" t="str">
        <x:f>""</x:f>
        <x:v/>
      </x:c>
      <x:c r="V131" t="str">
        <x:f>""</x:f>
        <x:v/>
      </x:c>
      <x:c r="W131" t="str">
        <x:f>""</x:f>
        <x:v/>
      </x:c>
      <x:c r="X131" t="str">
        <x:f>""</x:f>
        <x:v/>
      </x:c>
      <x:c r="Y131" t="str">
        <x:f>""</x:f>
        <x:v/>
      </x:c>
      <x:c r="Z131" t="str">
        <x:f>""</x:f>
        <x:v/>
      </x:c>
      <x:c r="AA131" t="str">
        <x:f>""</x:f>
        <x:v/>
      </x:c>
      <x:c r="AB131" t="str">
        <x:f>""</x:f>
        <x:v/>
      </x:c>
      <x:c r="AC131" t="str">
        <x:f>""</x:f>
        <x:v/>
      </x:c>
      <x:c r="AD131" t="str">
        <x:f>""</x:f>
        <x:v/>
      </x:c>
      <x:c r="AE131" t="str">
        <x:f>""</x:f>
        <x:v/>
      </x:c>
      <x:c r="AF131" t="str">
        <x:f>""</x:f>
        <x:v/>
      </x:c>
      <x:c r="AG131" t="str">
        <x:f>""</x:f>
        <x:v/>
      </x:c>
    </x:row>
    <x:row r="132" spans="1:33" x14ac:dyDescent="0.25">
      <x:c r="A132" t="str">
        <x:f>"        Invesco Dynamic Energy Explora"</x:f>
        <x:v xml:space="preserve">        Invesco Dynamic Energy Explora</x:v>
      </x:c>
      <x:c r="B132" t="str">
        <x:f>"PXE US Equity"</x:f>
        <x:v>PXE US Equity</x:v>
      </x:c>
      <x:c r="E132" t="str">
        <x:f t="shared" si="4"/>
        <x:v>Expression</x:v>
      </x:c>
      <x:c r="F132">
        <x:f ca="1">IF(AND($B$1012=1,LEN($F$1137)&gt;0),$F$1137,HLOOKUP(INDIRECT(ADDRESS(2,COLUMN())),OFFSET($T$2,0,0,ROW()-1,14),ROW()-1,FALSE))</x:f>
        <x:v>-5.0359189999999998</x:v>
      </x:c>
      <x:c r="G132">
        <x:f ca="1">IF(AND($B$1012=1,LEN($G$1137)&gt;0),$G$1137,HLOOKUP(INDIRECT(ADDRESS(2,COLUMN())),OFFSET($T$2,0,0,ROW()-1,14),ROW()-1,FALSE))</x:f>
        <x:v>-6.8597999999999999</x:v>
      </x:c>
      <x:c r="H132">
        <x:f ca="1">IF(AND($B$1012=1,LEN($H$1137)&gt;0),$H$1137,HLOOKUP(INDIRECT(ADDRESS(2,COLUMN())),OFFSET($T$2,0,0,ROW()-1,14),ROW()-1,FALSE))</x:f>
        <x:v>10.039793</x:v>
      </x:c>
      <x:c r="I132">
        <x:f ca="1">IF(AND($B$1012=1,LEN($I$1137)&gt;0),$I$1137,HLOOKUP(INDIRECT(ADDRESS(2,COLUMN())),OFFSET($T$2,0,0,ROW()-1,14),ROW()-1,FALSE))</x:f>
        <x:v>-0.35432999999999998</x:v>
      </x:c>
      <x:c r="J132">
        <x:f ca="1">IF(AND($B$1012=1,LEN($J$1137)&gt;0),$J$1137,HLOOKUP(INDIRECT(ADDRESS(2,COLUMN())),OFFSET($T$2,0,0,ROW()-1,14),ROW()-1,FALSE))</x:f>
        <x:v>-4.8258010000000002</x:v>
      </x:c>
      <x:c r="K132">
        <x:f ca="1">IF(AND($B$1012=1,LEN($K$1137)&gt;0),$K$1137,HLOOKUP(INDIRECT(ADDRESS(2,COLUMN())),OFFSET($T$2,0,0,ROW()-1,14),ROW()-1,FALSE))</x:f>
        <x:v>-9.171564</x:v>
      </x:c>
      <x:c r="L132">
        <x:f ca="1">IF(AND($B$1012=1,LEN($L$1137)&gt;0),$L$1137,HLOOKUP(INDIRECT(ADDRESS(2,COLUMN())),OFFSET($T$2,0,0,ROW()-1,14),ROW()-1,FALSE))</x:f>
        <x:v>-11.031124</x:v>
      </x:c>
      <x:c r="M132">
        <x:f ca="1">IF(AND($B$1012=1,LEN($M$1137)&gt;0),$M$1137,HLOOKUP(INDIRECT(ADDRESS(2,COLUMN())),OFFSET($T$2,0,0,ROW()-1,14),ROW()-1,FALSE))</x:f>
        <x:v>-3.128517</x:v>
      </x:c>
      <x:c r="N132">
        <x:f ca="1">IF(AND($B$1012=1,LEN($N$1137)&gt;0),$N$1137,HLOOKUP(INDIRECT(ADDRESS(2,COLUMN())),OFFSET($T$2,0,0,ROW()-1,14),ROW()-1,FALSE))</x:f>
        <x:v>-27.874448999999998</x:v>
      </x:c>
      <x:c r="O132">
        <x:f ca="1">IF(AND($B$1012=1,LEN($O$1137)&gt;0),$O$1137,HLOOKUP(INDIRECT(ADDRESS(2,COLUMN())),OFFSET($T$2,0,0,ROW()-1,14),ROW()-1,FALSE))</x:f>
        <x:v>-81.548843000000005</x:v>
      </x:c>
      <x:c r="P132">
        <x:f ca="1">IF(AND($B$1012=1,LEN($P$1137)&gt;0),$P$1137,HLOOKUP(INDIRECT(ADDRESS(2,COLUMN())),OFFSET($T$2,0,0,ROW()-1,14),ROW()-1,FALSE))</x:f>
        <x:v>-10.145948000000001</x:v>
      </x:c>
      <x:c r="Q132">
        <x:f ca="1">IF(AND($B$1012=1,LEN($Q$1137)&gt;0),$Q$1137,HLOOKUP(INDIRECT(ADDRESS(2,COLUMN())),OFFSET($T$2,0,0,ROW()-1,14),ROW()-1,FALSE))</x:f>
        <x:v>-2.6140729999999999</x:v>
      </x:c>
      <x:c r="R132">
        <x:f ca="1">IF(AND($B$1012=1,LEN($R$1137)&gt;0),$R$1137,HLOOKUP(INDIRECT(ADDRESS(2,COLUMN())),OFFSET($T$2,0,0,ROW()-1,14),ROW()-1,FALSE))</x:f>
        <x:v>19.453261999999999</x:v>
      </x:c>
      <x:c r="S132">
        <x:f ca="1">IF(AND($B$1012=1,LEN($S$1137)&gt;0),$S$1137,HLOOKUP(INDIRECT(ADDRESS(2,COLUMN())),OFFSET($T$2,0,0,ROW()-1,14),ROW()-1,FALSE))</x:f>
        <x:v>27.473994999999999</x:v>
      </x:c>
      <x:c r="T132">
        <x:f>-5.035919</x:f>
        <x:v>-5.0359189999999998</x:v>
      </x:c>
      <x:c r="U132">
        <x:f>-6.8598</x:f>
        <x:v>-6.8597999999999999</x:v>
      </x:c>
      <x:c r="V132">
        <x:f>10.039793</x:f>
        <x:v>10.039793</x:v>
      </x:c>
      <x:c r="W132">
        <x:f>-0.35433</x:f>
        <x:v>-0.35432999999999998</x:v>
      </x:c>
      <x:c r="X132">
        <x:f>-4.825801</x:f>
        <x:v>-4.8258010000000002</x:v>
      </x:c>
      <x:c r="Y132">
        <x:f>-9.171564</x:f>
        <x:v>-9.171564</x:v>
      </x:c>
      <x:c r="Z132">
        <x:f>-11.031124</x:f>
        <x:v>-11.031124</x:v>
      </x:c>
      <x:c r="AA132">
        <x:f>-3.128517</x:f>
        <x:v>-3.128517</x:v>
      </x:c>
      <x:c r="AB132">
        <x:f>-27.874449</x:f>
        <x:v>-27.874448999999998</x:v>
      </x:c>
      <x:c r="AC132">
        <x:f>-81.548843</x:f>
        <x:v>-81.548843000000005</x:v>
      </x:c>
      <x:c r="AD132">
        <x:f>-10.145948</x:f>
        <x:v>-10.145948000000001</x:v>
      </x:c>
      <x:c r="AE132">
        <x:f>-2.614073</x:f>
        <x:v>-2.6140729999999999</x:v>
      </x:c>
      <x:c r="AF132">
        <x:f>19.453262</x:f>
        <x:v>19.453261999999999</x:v>
      </x:c>
      <x:c r="AG132">
        <x:f>27.473995</x:f>
        <x:v>27.473994999999999</x:v>
      </x:c>
    </x:row>
    <x:row r="133" spans="1:33" x14ac:dyDescent="0.25">
      <x:c r="A133" t="str">
        <x:f>"        ETRACS 2xMonthly Leveraged S&amp;P"</x:f>
        <x:v xml:space="preserve">        ETRACS 2xMonthly Leveraged S&amp;P</x:v>
      </x:c>
      <x:c r="B133" t="str">
        <x:f>"MLPZ US Equity"</x:f>
        <x:v>MLPZ US Equity</x:v>
      </x:c>
      <x:c r="E133" t="str">
        <x:f t="shared" si="4"/>
        <x:v>Expression</x:v>
      </x:c>
      <x:c r="F133" t="str">
        <x:f ca="1">IF(AND($B$1012=1,LEN($F$1138)&gt;0),$F$1138,HLOOKUP(INDIRECT(ADDRESS(2,COLUMN())),OFFSET($T$2,0,0,ROW()-1,14),ROW()-1,FALSE))</x:f>
        <x:v/>
      </x:c>
      <x:c r="G133" t="str">
        <x:f ca="1">IF(AND($B$1012=1,LEN($G$1138)&gt;0),$G$1138,HLOOKUP(INDIRECT(ADDRESS(2,COLUMN())),OFFSET($T$2,0,0,ROW()-1,14),ROW()-1,FALSE))</x:f>
        <x:v/>
      </x:c>
      <x:c r="H133" t="str">
        <x:f ca="1">IF(AND($B$1012=1,LEN($H$1138)&gt;0),$H$1138,HLOOKUP(INDIRECT(ADDRESS(2,COLUMN())),OFFSET($T$2,0,0,ROW()-1,14),ROW()-1,FALSE))</x:f>
        <x:v/>
      </x:c>
      <x:c r="I133" t="str">
        <x:f ca="1">IF(AND($B$1012=1,LEN($I$1138)&gt;0),$I$1138,HLOOKUP(INDIRECT(ADDRESS(2,COLUMN())),OFFSET($T$2,0,0,ROW()-1,14),ROW()-1,FALSE))</x:f>
        <x:v/>
      </x:c>
      <x:c r="J133" t="str">
        <x:f ca="1">IF(AND($B$1012=1,LEN($J$1138)&gt;0),$J$1138,HLOOKUP(INDIRECT(ADDRESS(2,COLUMN())),OFFSET($T$2,0,0,ROW()-1,14),ROW()-1,FALSE))</x:f>
        <x:v/>
      </x:c>
      <x:c r="K133" t="str">
        <x:f ca="1">IF(AND($B$1012=1,LEN($K$1138)&gt;0),$K$1138,HLOOKUP(INDIRECT(ADDRESS(2,COLUMN())),OFFSET($T$2,0,0,ROW()-1,14),ROW()-1,FALSE))</x:f>
        <x:v/>
      </x:c>
      <x:c r="L133" t="str">
        <x:f ca="1">IF(AND($B$1012=1,LEN($L$1138)&gt;0),$L$1138,HLOOKUP(INDIRECT(ADDRESS(2,COLUMN())),OFFSET($T$2,0,0,ROW()-1,14),ROW()-1,FALSE))</x:f>
        <x:v/>
      </x:c>
      <x:c r="M133" t="str">
        <x:f ca="1">IF(AND($B$1012=1,LEN($M$1138)&gt;0),$M$1138,HLOOKUP(INDIRECT(ADDRESS(2,COLUMN())),OFFSET($T$2,0,0,ROW()-1,14),ROW()-1,FALSE))</x:f>
        <x:v/>
      </x:c>
      <x:c r="N133" t="str">
        <x:f ca="1">IF(AND($B$1012=1,LEN($N$1138)&gt;0),$N$1138,HLOOKUP(INDIRECT(ADDRESS(2,COLUMN())),OFFSET($T$2,0,0,ROW()-1,14),ROW()-1,FALSE))</x:f>
        <x:v/>
      </x:c>
      <x:c r="O133" t="str">
        <x:f ca="1">IF(AND($B$1012=1,LEN($O$1138)&gt;0),$O$1138,HLOOKUP(INDIRECT(ADDRESS(2,COLUMN())),OFFSET($T$2,0,0,ROW()-1,14),ROW()-1,FALSE))</x:f>
        <x:v/>
      </x:c>
      <x:c r="P133" t="str">
        <x:f ca="1">IF(AND($B$1012=1,LEN($P$1138)&gt;0),$P$1138,HLOOKUP(INDIRECT(ADDRESS(2,COLUMN())),OFFSET($T$2,0,0,ROW()-1,14),ROW()-1,FALSE))</x:f>
        <x:v/>
      </x:c>
      <x:c r="Q133" t="str">
        <x:f ca="1">IF(AND($B$1012=1,LEN($Q$1138)&gt;0),$Q$1138,HLOOKUP(INDIRECT(ADDRESS(2,COLUMN())),OFFSET($T$2,0,0,ROW()-1,14),ROW()-1,FALSE))</x:f>
        <x:v/>
      </x:c>
      <x:c r="R133" t="str">
        <x:f ca="1">IF(AND($B$1012=1,LEN($R$1138)&gt;0),$R$1138,HLOOKUP(INDIRECT(ADDRESS(2,COLUMN())),OFFSET($T$2,0,0,ROW()-1,14),ROW()-1,FALSE))</x:f>
        <x:v/>
      </x:c>
      <x:c r="S133" t="str">
        <x:f ca="1">IF(AND($B$1012=1,LEN($S$1138)&gt;0),$S$1138,HLOOKUP(INDIRECT(ADDRESS(2,COLUMN())),OFFSET($T$2,0,0,ROW()-1,14),ROW()-1,FALSE))</x:f>
        <x:v/>
      </x:c>
      <x:c r="T133" t="str">
        <x:f>""</x:f>
        <x:v/>
      </x:c>
      <x:c r="U133" t="str">
        <x:f>""</x:f>
        <x:v/>
      </x:c>
      <x:c r="V133" t="str">
        <x:f>""</x:f>
        <x:v/>
      </x:c>
      <x:c r="W133" t="str">
        <x:f>""</x:f>
        <x:v/>
      </x:c>
      <x:c r="X133" t="str">
        <x:f>""</x:f>
        <x:v/>
      </x:c>
      <x:c r="Y133" t="str">
        <x:f>""</x:f>
        <x:v/>
      </x:c>
      <x:c r="Z133" t="str">
        <x:f>""</x:f>
        <x:v/>
      </x:c>
      <x:c r="AA133" t="str">
        <x:f>""</x:f>
        <x:v/>
      </x:c>
      <x:c r="AB133" t="str">
        <x:f>""</x:f>
        <x:v/>
      </x:c>
      <x:c r="AC133" t="str">
        <x:f>""</x:f>
        <x:v/>
      </x:c>
      <x:c r="AD133" t="str">
        <x:f>""</x:f>
        <x:v/>
      </x:c>
      <x:c r="AE133" t="str">
        <x:f>""</x:f>
        <x:v/>
      </x:c>
      <x:c r="AF133" t="str">
        <x:f>""</x:f>
        <x:v/>
      </x:c>
      <x:c r="AG133" t="str">
        <x:f>""</x:f>
        <x:v/>
      </x:c>
    </x:row>
    <x:row r="134" spans="1:33" x14ac:dyDescent="0.25">
      <x:c r="A134" t="str">
        <x:f>"        iPath Pure Beta Crude Oil ETN"</x:f>
        <x:v xml:space="preserve">        iPath Pure Beta Crude Oil ETN</x:v>
      </x:c>
      <x:c r="B134" t="str">
        <x:f>"OIL US Equity"</x:f>
        <x:v>OIL US Equity</x:v>
      </x:c>
      <x:c r="E134" t="str">
        <x:f t="shared" si="4"/>
        <x:v>Expression</x:v>
      </x:c>
      <x:c r="F134" t="str">
        <x:f ca="1">IF(AND($B$1012=1,LEN($F$1139)&gt;0),$F$1139,HLOOKUP(INDIRECT(ADDRESS(2,COLUMN())),OFFSET($T$2,0,0,ROW()-1,14),ROW()-1,FALSE))</x:f>
        <x:v/>
      </x:c>
      <x:c r="G134" t="str">
        <x:f ca="1">IF(AND($B$1012=1,LEN($G$1139)&gt;0),$G$1139,HLOOKUP(INDIRECT(ADDRESS(2,COLUMN())),OFFSET($T$2,0,0,ROW()-1,14),ROW()-1,FALSE))</x:f>
        <x:v/>
      </x:c>
      <x:c r="H134" t="str">
        <x:f ca="1">IF(AND($B$1012=1,LEN($H$1139)&gt;0),$H$1139,HLOOKUP(INDIRECT(ADDRESS(2,COLUMN())),OFFSET($T$2,0,0,ROW()-1,14),ROW()-1,FALSE))</x:f>
        <x:v/>
      </x:c>
      <x:c r="I134" t="str">
        <x:f ca="1">IF(AND($B$1012=1,LEN($I$1139)&gt;0),$I$1139,HLOOKUP(INDIRECT(ADDRESS(2,COLUMN())),OFFSET($T$2,0,0,ROW()-1,14),ROW()-1,FALSE))</x:f>
        <x:v/>
      </x:c>
      <x:c r="J134" t="str">
        <x:f ca="1">IF(AND($B$1012=1,LEN($J$1139)&gt;0),$J$1139,HLOOKUP(INDIRECT(ADDRESS(2,COLUMN())),OFFSET($T$2,0,0,ROW()-1,14),ROW()-1,FALSE))</x:f>
        <x:v/>
      </x:c>
      <x:c r="K134">
        <x:f ca="1">IF(AND($B$1012=1,LEN($K$1139)&gt;0),$K$1139,HLOOKUP(INDIRECT(ADDRESS(2,COLUMN())),OFFSET($T$2,0,0,ROW()-1,14),ROW()-1,FALSE))</x:f>
        <x:v>-55.847428000000001</x:v>
      </x:c>
      <x:c r="L134">
        <x:f ca="1">IF(AND($B$1012=1,LEN($L$1139)&gt;0),$L$1139,HLOOKUP(INDIRECT(ADDRESS(2,COLUMN())),OFFSET($T$2,0,0,ROW()-1,14),ROW()-1,FALSE))</x:f>
        <x:v>3.2416839999999998</x:v>
      </x:c>
      <x:c r="M134">
        <x:f ca="1">IF(AND($B$1012=1,LEN($M$1139)&gt;0),$M$1139,HLOOKUP(INDIRECT(ADDRESS(2,COLUMN())),OFFSET($T$2,0,0,ROW()-1,14),ROW()-1,FALSE))</x:f>
        <x:v>-6.0230870000000003</x:v>
      </x:c>
      <x:c r="N134">
        <x:f ca="1">IF(AND($B$1012=1,LEN($N$1139)&gt;0),$N$1139,HLOOKUP(INDIRECT(ADDRESS(2,COLUMN())),OFFSET($T$2,0,0,ROW()-1,14),ROW()-1,FALSE))</x:f>
        <x:v>5.8493940000000002</x:v>
      </x:c>
      <x:c r="O134">
        <x:f ca="1">IF(AND($B$1012=1,LEN($O$1139)&gt;0),$O$1139,HLOOKUP(INDIRECT(ADDRESS(2,COLUMN())),OFFSET($T$2,0,0,ROW()-1,14),ROW()-1,FALSE))</x:f>
        <x:v>-2.8097129999999999</x:v>
      </x:c>
      <x:c r="P134">
        <x:f ca="1">IF(AND($B$1012=1,LEN($P$1139)&gt;0),$P$1139,HLOOKUP(INDIRECT(ADDRESS(2,COLUMN())),OFFSET($T$2,0,0,ROW()-1,14),ROW()-1,FALSE))</x:f>
        <x:v>-3.2323840000000001</x:v>
      </x:c>
      <x:c r="Q134">
        <x:f ca="1">IF(AND($B$1012=1,LEN($Q$1139)&gt;0),$Q$1139,HLOOKUP(INDIRECT(ADDRESS(2,COLUMN())),OFFSET($T$2,0,0,ROW()-1,14),ROW()-1,FALSE))</x:f>
        <x:v>-0.23943500000000001</x:v>
      </x:c>
      <x:c r="R134">
        <x:f ca="1">IF(AND($B$1012=1,LEN($R$1139)&gt;0),$R$1139,HLOOKUP(INDIRECT(ADDRESS(2,COLUMN())),OFFSET($T$2,0,0,ROW()-1,14),ROW()-1,FALSE))</x:f>
        <x:v>-3.9112049999999998</x:v>
      </x:c>
      <x:c r="S134">
        <x:f ca="1">IF(AND($B$1012=1,LEN($S$1139)&gt;0),$S$1139,HLOOKUP(INDIRECT(ADDRESS(2,COLUMN())),OFFSET($T$2,0,0,ROW()-1,14),ROW()-1,FALSE))</x:f>
        <x:v>-16.629397000000001</x:v>
      </x:c>
      <x:c r="T134" t="str">
        <x:f>""</x:f>
        <x:v/>
      </x:c>
      <x:c r="U134" t="str">
        <x:f>""</x:f>
        <x:v/>
      </x:c>
      <x:c r="V134" t="str">
        <x:f>""</x:f>
        <x:v/>
      </x:c>
      <x:c r="W134" t="str">
        <x:f>""</x:f>
        <x:v/>
      </x:c>
      <x:c r="X134" t="str">
        <x:f>""</x:f>
        <x:v/>
      </x:c>
      <x:c r="Y134">
        <x:f>-55.847428</x:f>
        <x:v>-55.847428000000001</x:v>
      </x:c>
      <x:c r="Z134">
        <x:f>3.241684</x:f>
        <x:v>3.2416839999999998</x:v>
      </x:c>
      <x:c r="AA134">
        <x:f>-6.023087</x:f>
        <x:v>-6.0230870000000003</x:v>
      </x:c>
      <x:c r="AB134">
        <x:f>5.849394</x:f>
        <x:v>5.8493940000000002</x:v>
      </x:c>
      <x:c r="AC134">
        <x:f>-2.809713</x:f>
        <x:v>-2.8097129999999999</x:v>
      </x:c>
      <x:c r="AD134">
        <x:f>-3.232384</x:f>
        <x:v>-3.2323840000000001</x:v>
      </x:c>
      <x:c r="AE134">
        <x:f>-0.239435</x:f>
        <x:v>-0.23943500000000001</x:v>
      </x:c>
      <x:c r="AF134">
        <x:f>-3.911205</x:f>
        <x:v>-3.9112049999999998</x:v>
      </x:c>
      <x:c r="AG134">
        <x:f>-16.629397</x:f>
        <x:v>-16.629397000000001</x:v>
      </x:c>
    </x:row>
    <x:row r="135" spans="1:33" x14ac:dyDescent="0.25">
      <x:c r="A135" t="str">
        <x:f>"        ETRACS 2xMonthly Leveraged Ale"</x:f>
        <x:v xml:space="preserve">        ETRACS 2xMonthly Leveraged Ale</x:v>
      </x:c>
      <x:c r="B135" t="str">
        <x:f>"MLPQ US Equity"</x:f>
        <x:v>MLPQ US Equity</x:v>
      </x:c>
      <x:c r="E135" t="str">
        <x:f t="shared" si="4"/>
        <x:v>Expression</x:v>
      </x:c>
      <x:c r="F135" t="str">
        <x:f ca="1">IF(AND($B$1012=1,LEN($F$1140)&gt;0),$F$1140,HLOOKUP(INDIRECT(ADDRESS(2,COLUMN())),OFFSET($T$2,0,0,ROW()-1,14),ROW()-1,FALSE))</x:f>
        <x:v/>
      </x:c>
      <x:c r="G135" t="str">
        <x:f ca="1">IF(AND($B$1012=1,LEN($G$1140)&gt;0),$G$1140,HLOOKUP(INDIRECT(ADDRESS(2,COLUMN())),OFFSET($T$2,0,0,ROW()-1,14),ROW()-1,FALSE))</x:f>
        <x:v/>
      </x:c>
      <x:c r="H135" t="str">
        <x:f ca="1">IF(AND($B$1012=1,LEN($H$1140)&gt;0),$H$1140,HLOOKUP(INDIRECT(ADDRESS(2,COLUMN())),OFFSET($T$2,0,0,ROW()-1,14),ROW()-1,FALSE))</x:f>
        <x:v/>
      </x:c>
      <x:c r="I135" t="str">
        <x:f ca="1">IF(AND($B$1012=1,LEN($I$1140)&gt;0),$I$1140,HLOOKUP(INDIRECT(ADDRESS(2,COLUMN())),OFFSET($T$2,0,0,ROW()-1,14),ROW()-1,FALSE))</x:f>
        <x:v/>
      </x:c>
      <x:c r="J135" t="str">
        <x:f ca="1">IF(AND($B$1012=1,LEN($J$1140)&gt;0),$J$1140,HLOOKUP(INDIRECT(ADDRESS(2,COLUMN())),OFFSET($T$2,0,0,ROW()-1,14),ROW()-1,FALSE))</x:f>
        <x:v/>
      </x:c>
      <x:c r="K135" t="str">
        <x:f ca="1">IF(AND($B$1012=1,LEN($K$1140)&gt;0),$K$1140,HLOOKUP(INDIRECT(ADDRESS(2,COLUMN())),OFFSET($T$2,0,0,ROW()-1,14),ROW()-1,FALSE))</x:f>
        <x:v/>
      </x:c>
      <x:c r="L135" t="str">
        <x:f ca="1">IF(AND($B$1012=1,LEN($L$1140)&gt;0),$L$1140,HLOOKUP(INDIRECT(ADDRESS(2,COLUMN())),OFFSET($T$2,0,0,ROW()-1,14),ROW()-1,FALSE))</x:f>
        <x:v/>
      </x:c>
      <x:c r="M135" t="str">
        <x:f ca="1">IF(AND($B$1012=1,LEN($M$1140)&gt;0),$M$1140,HLOOKUP(INDIRECT(ADDRESS(2,COLUMN())),OFFSET($T$2,0,0,ROW()-1,14),ROW()-1,FALSE))</x:f>
        <x:v/>
      </x:c>
      <x:c r="N135" t="str">
        <x:f ca="1">IF(AND($B$1012=1,LEN($N$1140)&gt;0),$N$1140,HLOOKUP(INDIRECT(ADDRESS(2,COLUMN())),OFFSET($T$2,0,0,ROW()-1,14),ROW()-1,FALSE))</x:f>
        <x:v/>
      </x:c>
      <x:c r="O135" t="str">
        <x:f ca="1">IF(AND($B$1012=1,LEN($O$1140)&gt;0),$O$1140,HLOOKUP(INDIRECT(ADDRESS(2,COLUMN())),OFFSET($T$2,0,0,ROW()-1,14),ROW()-1,FALSE))</x:f>
        <x:v/>
      </x:c>
      <x:c r="P135" t="str">
        <x:f ca="1">IF(AND($B$1012=1,LEN($P$1140)&gt;0),$P$1140,HLOOKUP(INDIRECT(ADDRESS(2,COLUMN())),OFFSET($T$2,0,0,ROW()-1,14),ROW()-1,FALSE))</x:f>
        <x:v/>
      </x:c>
      <x:c r="Q135" t="str">
        <x:f ca="1">IF(AND($B$1012=1,LEN($Q$1140)&gt;0),$Q$1140,HLOOKUP(INDIRECT(ADDRESS(2,COLUMN())),OFFSET($T$2,0,0,ROW()-1,14),ROW()-1,FALSE))</x:f>
        <x:v/>
      </x:c>
      <x:c r="R135" t="str">
        <x:f ca="1">IF(AND($B$1012=1,LEN($R$1140)&gt;0),$R$1140,HLOOKUP(INDIRECT(ADDRESS(2,COLUMN())),OFFSET($T$2,0,0,ROW()-1,14),ROW()-1,FALSE))</x:f>
        <x:v/>
      </x:c>
      <x:c r="S135" t="str">
        <x:f ca="1">IF(AND($B$1012=1,LEN($S$1140)&gt;0),$S$1140,HLOOKUP(INDIRECT(ADDRESS(2,COLUMN())),OFFSET($T$2,0,0,ROW()-1,14),ROW()-1,FALSE))</x:f>
        <x:v/>
      </x:c>
      <x:c r="T135" t="str">
        <x:f>""</x:f>
        <x:v/>
      </x:c>
      <x:c r="U135" t="str">
        <x:f>""</x:f>
        <x:v/>
      </x:c>
      <x:c r="V135" t="str">
        <x:f>""</x:f>
        <x:v/>
      </x:c>
      <x:c r="W135" t="str">
        <x:f>""</x:f>
        <x:v/>
      </x:c>
      <x:c r="X135" t="str">
        <x:f>""</x:f>
        <x:v/>
      </x:c>
      <x:c r="Y135" t="str">
        <x:f>""</x:f>
        <x:v/>
      </x:c>
      <x:c r="Z135" t="str">
        <x:f>""</x:f>
        <x:v/>
      </x:c>
      <x:c r="AA135" t="str">
        <x:f>""</x:f>
        <x:v/>
      </x:c>
      <x:c r="AB135" t="str">
        <x:f>""</x:f>
        <x:v/>
      </x:c>
      <x:c r="AC135" t="str">
        <x:f>""</x:f>
        <x:v/>
      </x:c>
      <x:c r="AD135" t="str">
        <x:f>""</x:f>
        <x:v/>
      </x:c>
      <x:c r="AE135" t="str">
        <x:f>""</x:f>
        <x:v/>
      </x:c>
      <x:c r="AF135" t="str">
        <x:f>""</x:f>
        <x:v/>
      </x:c>
      <x:c r="AG135" t="str">
        <x:f>""</x:f>
        <x:v/>
      </x:c>
    </x:row>
    <x:row r="136" spans="1:33" x14ac:dyDescent="0.25">
      <x:c r="A136" t="str">
        <x:f>"        Dorsey Wright MLP Index ETNs"</x:f>
        <x:v xml:space="preserve">        Dorsey Wright MLP Index ETNs</x:v>
      </x:c>
      <x:c r="B136" t="str">
        <x:f>"BMLP US Equity"</x:f>
        <x:v>BMLP US Equity</x:v>
      </x:c>
      <x:c r="E136" t="str">
        <x:f t="shared" si="4"/>
        <x:v>Expression</x:v>
      </x:c>
      <x:c r="F136" t="str">
        <x:f ca="1">IF(AND($B$1012=1,LEN($F$1141)&gt;0),$F$1141,HLOOKUP(INDIRECT(ADDRESS(2,COLUMN())),OFFSET($T$2,0,0,ROW()-1,14),ROW()-1,FALSE))</x:f>
        <x:v/>
      </x:c>
      <x:c r="G136" t="str">
        <x:f ca="1">IF(AND($B$1012=1,LEN($G$1141)&gt;0),$G$1141,HLOOKUP(INDIRECT(ADDRESS(2,COLUMN())),OFFSET($T$2,0,0,ROW()-1,14),ROW()-1,FALSE))</x:f>
        <x:v/>
      </x:c>
      <x:c r="H136" t="str">
        <x:f ca="1">IF(AND($B$1012=1,LEN($H$1141)&gt;0),$H$1141,HLOOKUP(INDIRECT(ADDRESS(2,COLUMN())),OFFSET($T$2,0,0,ROW()-1,14),ROW()-1,FALSE))</x:f>
        <x:v/>
      </x:c>
      <x:c r="I136" t="str">
        <x:f ca="1">IF(AND($B$1012=1,LEN($I$1141)&gt;0),$I$1141,HLOOKUP(INDIRECT(ADDRESS(2,COLUMN())),OFFSET($T$2,0,0,ROW()-1,14),ROW()-1,FALSE))</x:f>
        <x:v/>
      </x:c>
      <x:c r="J136" t="str">
        <x:f ca="1">IF(AND($B$1012=1,LEN($J$1141)&gt;0),$J$1141,HLOOKUP(INDIRECT(ADDRESS(2,COLUMN())),OFFSET($T$2,0,0,ROW()-1,14),ROW()-1,FALSE))</x:f>
        <x:v/>
      </x:c>
      <x:c r="K136" t="str">
        <x:f ca="1">IF(AND($B$1012=1,LEN($K$1141)&gt;0),$K$1141,HLOOKUP(INDIRECT(ADDRESS(2,COLUMN())),OFFSET($T$2,0,0,ROW()-1,14),ROW()-1,FALSE))</x:f>
        <x:v/>
      </x:c>
      <x:c r="L136" t="str">
        <x:f ca="1">IF(AND($B$1012=1,LEN($L$1141)&gt;0),$L$1141,HLOOKUP(INDIRECT(ADDRESS(2,COLUMN())),OFFSET($T$2,0,0,ROW()-1,14),ROW()-1,FALSE))</x:f>
        <x:v/>
      </x:c>
      <x:c r="M136" t="str">
        <x:f ca="1">IF(AND($B$1012=1,LEN($M$1141)&gt;0),$M$1141,HLOOKUP(INDIRECT(ADDRESS(2,COLUMN())),OFFSET($T$2,0,0,ROW()-1,14),ROW()-1,FALSE))</x:f>
        <x:v/>
      </x:c>
      <x:c r="N136" t="str">
        <x:f ca="1">IF(AND($B$1012=1,LEN($N$1141)&gt;0),$N$1141,HLOOKUP(INDIRECT(ADDRESS(2,COLUMN())),OFFSET($T$2,0,0,ROW()-1,14),ROW()-1,FALSE))</x:f>
        <x:v/>
      </x:c>
      <x:c r="O136" t="str">
        <x:f ca="1">IF(AND($B$1012=1,LEN($O$1141)&gt;0),$O$1141,HLOOKUP(INDIRECT(ADDRESS(2,COLUMN())),OFFSET($T$2,0,0,ROW()-1,14),ROW()-1,FALSE))</x:f>
        <x:v/>
      </x:c>
      <x:c r="P136" t="str">
        <x:f ca="1">IF(AND($B$1012=1,LEN($P$1141)&gt;0),$P$1141,HLOOKUP(INDIRECT(ADDRESS(2,COLUMN())),OFFSET($T$2,0,0,ROW()-1,14),ROW()-1,FALSE))</x:f>
        <x:v/>
      </x:c>
      <x:c r="Q136" t="str">
        <x:f ca="1">IF(AND($B$1012=1,LEN($Q$1141)&gt;0),$Q$1141,HLOOKUP(INDIRECT(ADDRESS(2,COLUMN())),OFFSET($T$2,0,0,ROW()-1,14),ROW()-1,FALSE))</x:f>
        <x:v/>
      </x:c>
      <x:c r="R136" t="str">
        <x:f ca="1">IF(AND($B$1012=1,LEN($R$1141)&gt;0),$R$1141,HLOOKUP(INDIRECT(ADDRESS(2,COLUMN())),OFFSET($T$2,0,0,ROW()-1,14),ROW()-1,FALSE))</x:f>
        <x:v/>
      </x:c>
      <x:c r="S136" t="str">
        <x:f ca="1">IF(AND($B$1012=1,LEN($S$1141)&gt;0),$S$1141,HLOOKUP(INDIRECT(ADDRESS(2,COLUMN())),OFFSET($T$2,0,0,ROW()-1,14),ROW()-1,FALSE))</x:f>
        <x:v/>
      </x:c>
      <x:c r="T136" t="str">
        <x:f>""</x:f>
        <x:v/>
      </x:c>
      <x:c r="U136" t="str">
        <x:f>""</x:f>
        <x:v/>
      </x:c>
      <x:c r="V136" t="str">
        <x:f>""</x:f>
        <x:v/>
      </x:c>
      <x:c r="W136" t="str">
        <x:f>""</x:f>
        <x:v/>
      </x:c>
      <x:c r="X136" t="str">
        <x:f>""</x:f>
        <x:v/>
      </x:c>
      <x:c r="Y136" t="str">
        <x:f>""</x:f>
        <x:v/>
      </x:c>
      <x:c r="Z136" t="str">
        <x:f>""</x:f>
        <x:v/>
      </x:c>
      <x:c r="AA136" t="str">
        <x:f>""</x:f>
        <x:v/>
      </x:c>
      <x:c r="AB136" t="str">
        <x:f>""</x:f>
        <x:v/>
      </x:c>
      <x:c r="AC136" t="str">
        <x:f>""</x:f>
        <x:v/>
      </x:c>
      <x:c r="AD136" t="str">
        <x:f>""</x:f>
        <x:v/>
      </x:c>
      <x:c r="AE136" t="str">
        <x:f>""</x:f>
        <x:v/>
      </x:c>
      <x:c r="AF136" t="str">
        <x:f>""</x:f>
        <x:v/>
      </x:c>
      <x:c r="AG136" t="str">
        <x:f>""</x:f>
        <x:v/>
      </x:c>
    </x:row>
    <x:row r="137" spans="1:33" x14ac:dyDescent="0.25">
      <x:c r="A137" t="str">
        <x:f>"        SPDR S&amp;P International Energy"</x:f>
        <x:v xml:space="preserve">        SPDR S&amp;P International Energy</x:v>
      </x:c>
      <x:c r="B137" t="str">
        <x:f>"1863801D US Equity"</x:f>
        <x:v>1863801D US Equity</x:v>
      </x:c>
      <x:c r="E137" t="str">
        <x:f t="shared" si="4"/>
        <x:v>Expression</x:v>
      </x:c>
      <x:c r="F137" t="str">
        <x:f ca="1">IF(AND($B$1012=1,LEN($F$1142)&gt;0),$F$1142,HLOOKUP(INDIRECT(ADDRESS(2,COLUMN())),OFFSET($T$2,0,0,ROW()-1,14),ROW()-1,FALSE))</x:f>
        <x:v/>
      </x:c>
      <x:c r="G137" t="str">
        <x:f ca="1">IF(AND($B$1012=1,LEN($G$1142)&gt;0),$G$1142,HLOOKUP(INDIRECT(ADDRESS(2,COLUMN())),OFFSET($T$2,0,0,ROW()-1,14),ROW()-1,FALSE))</x:f>
        <x:v/>
      </x:c>
      <x:c r="H137" t="str">
        <x:f ca="1">IF(AND($B$1012=1,LEN($H$1142)&gt;0),$H$1142,HLOOKUP(INDIRECT(ADDRESS(2,COLUMN())),OFFSET($T$2,0,0,ROW()-1,14),ROW()-1,FALSE))</x:f>
        <x:v/>
      </x:c>
      <x:c r="I137" t="str">
        <x:f ca="1">IF(AND($B$1012=1,LEN($I$1142)&gt;0),$I$1142,HLOOKUP(INDIRECT(ADDRESS(2,COLUMN())),OFFSET($T$2,0,0,ROW()-1,14),ROW()-1,FALSE))</x:f>
        <x:v/>
      </x:c>
      <x:c r="J137" t="str">
        <x:f ca="1">IF(AND($B$1012=1,LEN($J$1142)&gt;0),$J$1142,HLOOKUP(INDIRECT(ADDRESS(2,COLUMN())),OFFSET($T$2,0,0,ROW()-1,14),ROW()-1,FALSE))</x:f>
        <x:v/>
      </x:c>
      <x:c r="K137" t="str">
        <x:f ca="1">IF(AND($B$1012=1,LEN($K$1142)&gt;0),$K$1142,HLOOKUP(INDIRECT(ADDRESS(2,COLUMN())),OFFSET($T$2,0,0,ROW()-1,14),ROW()-1,FALSE))</x:f>
        <x:v/>
      </x:c>
      <x:c r="L137" t="str">
        <x:f ca="1">IF(AND($B$1012=1,LEN($L$1142)&gt;0),$L$1142,HLOOKUP(INDIRECT(ADDRESS(2,COLUMN())),OFFSET($T$2,0,0,ROW()-1,14),ROW()-1,FALSE))</x:f>
        <x:v/>
      </x:c>
      <x:c r="M137" t="str">
        <x:f ca="1">IF(AND($B$1012=1,LEN($M$1142)&gt;0),$M$1142,HLOOKUP(INDIRECT(ADDRESS(2,COLUMN())),OFFSET($T$2,0,0,ROW()-1,14),ROW()-1,FALSE))</x:f>
        <x:v/>
      </x:c>
      <x:c r="N137" t="str">
        <x:f ca="1">IF(AND($B$1012=1,LEN($N$1142)&gt;0),$N$1142,HLOOKUP(INDIRECT(ADDRESS(2,COLUMN())),OFFSET($T$2,0,0,ROW()-1,14),ROW()-1,FALSE))</x:f>
        <x:v/>
      </x:c>
      <x:c r="O137" t="str">
        <x:f ca="1">IF(AND($B$1012=1,LEN($O$1142)&gt;0),$O$1142,HLOOKUP(INDIRECT(ADDRESS(2,COLUMN())),OFFSET($T$2,0,0,ROW()-1,14),ROW()-1,FALSE))</x:f>
        <x:v/>
      </x:c>
      <x:c r="P137" t="str">
        <x:f ca="1">IF(AND($B$1012=1,LEN($P$1142)&gt;0),$P$1142,HLOOKUP(INDIRECT(ADDRESS(2,COLUMN())),OFFSET($T$2,0,0,ROW()-1,14),ROW()-1,FALSE))</x:f>
        <x:v/>
      </x:c>
      <x:c r="Q137" t="str">
        <x:f ca="1">IF(AND($B$1012=1,LEN($Q$1142)&gt;0),$Q$1142,HLOOKUP(INDIRECT(ADDRESS(2,COLUMN())),OFFSET($T$2,0,0,ROW()-1,14),ROW()-1,FALSE))</x:f>
        <x:v/>
      </x:c>
      <x:c r="R137" t="str">
        <x:f ca="1">IF(AND($B$1012=1,LEN($R$1142)&gt;0),$R$1142,HLOOKUP(INDIRECT(ADDRESS(2,COLUMN())),OFFSET($T$2,0,0,ROW()-1,14),ROW()-1,FALSE))</x:f>
        <x:v/>
      </x:c>
      <x:c r="S137" t="str">
        <x:f ca="1">IF(AND($B$1012=1,LEN($S$1142)&gt;0),$S$1142,HLOOKUP(INDIRECT(ADDRESS(2,COLUMN())),OFFSET($T$2,0,0,ROW()-1,14),ROW()-1,FALSE))</x:f>
        <x:v/>
      </x:c>
      <x:c r="T137" t="str">
        <x:f>""</x:f>
        <x:v/>
      </x:c>
      <x:c r="U137" t="str">
        <x:f>""</x:f>
        <x:v/>
      </x:c>
      <x:c r="V137" t="str">
        <x:f>""</x:f>
        <x:v/>
      </x:c>
      <x:c r="W137" t="str">
        <x:f>""</x:f>
        <x:v/>
      </x:c>
      <x:c r="X137" t="str">
        <x:f>""</x:f>
        <x:v/>
      </x:c>
      <x:c r="Y137" t="str">
        <x:f>""</x:f>
        <x:v/>
      </x:c>
      <x:c r="Z137" t="str">
        <x:f>""</x:f>
        <x:v/>
      </x:c>
      <x:c r="AA137" t="str">
        <x:f>""</x:f>
        <x:v/>
      </x:c>
      <x:c r="AB137" t="str">
        <x:f>""</x:f>
        <x:v/>
      </x:c>
      <x:c r="AC137" t="str">
        <x:f>""</x:f>
        <x:v/>
      </x:c>
      <x:c r="AD137" t="str">
        <x:f>""</x:f>
        <x:v/>
      </x:c>
      <x:c r="AE137" t="str">
        <x:f>""</x:f>
        <x:v/>
      </x:c>
      <x:c r="AF137" t="str">
        <x:f>""</x:f>
        <x:v/>
      </x:c>
      <x:c r="AG137" t="str">
        <x:f>""</x:f>
        <x:v/>
      </x:c>
    </x:row>
    <x:row r="138" spans="1:33" x14ac:dyDescent="0.25">
      <x:c r="A138" t="str">
        <x:f>"        VanEck Vectors Unconventional"</x:f>
        <x:v xml:space="preserve">        VanEck Vectors Unconventional</x:v>
      </x:c>
      <x:c r="B138" t="str">
        <x:f>"FRAK US Equity"</x:f>
        <x:v>FRAK US Equity</x:v>
      </x:c>
      <x:c r="E138" t="str">
        <x:f t="shared" si="4"/>
        <x:v>Expression</x:v>
      </x:c>
      <x:c r="F138" t="str">
        <x:f ca="1">IF(AND($B$1012=1,LEN($F$1143)&gt;0),$F$1143,HLOOKUP(INDIRECT(ADDRESS(2,COLUMN())),OFFSET($T$2,0,0,ROW()-1,14),ROW()-1,FALSE))</x:f>
        <x:v/>
      </x:c>
      <x:c r="G138" t="str">
        <x:f ca="1">IF(AND($B$1012=1,LEN($G$1143)&gt;0),$G$1143,HLOOKUP(INDIRECT(ADDRESS(2,COLUMN())),OFFSET($T$2,0,0,ROW()-1,14),ROW()-1,FALSE))</x:f>
        <x:v/>
      </x:c>
      <x:c r="H138" t="str">
        <x:f ca="1">IF(AND($B$1012=1,LEN($H$1143)&gt;0),$H$1143,HLOOKUP(INDIRECT(ADDRESS(2,COLUMN())),OFFSET($T$2,0,0,ROW()-1,14),ROW()-1,FALSE))</x:f>
        <x:v/>
      </x:c>
      <x:c r="I138" t="str">
        <x:f ca="1">IF(AND($B$1012=1,LEN($I$1143)&gt;0),$I$1143,HLOOKUP(INDIRECT(ADDRESS(2,COLUMN())),OFFSET($T$2,0,0,ROW()-1,14),ROW()-1,FALSE))</x:f>
        <x:v/>
      </x:c>
      <x:c r="J138" t="str">
        <x:f ca="1">IF(AND($B$1012=1,LEN($J$1143)&gt;0),$J$1143,HLOOKUP(INDIRECT(ADDRESS(2,COLUMN())),OFFSET($T$2,0,0,ROW()-1,14),ROW()-1,FALSE))</x:f>
        <x:v/>
      </x:c>
      <x:c r="K138" t="str">
        <x:f ca="1">IF(AND($B$1012=1,LEN($K$1143)&gt;0),$K$1143,HLOOKUP(INDIRECT(ADDRESS(2,COLUMN())),OFFSET($T$2,0,0,ROW()-1,14),ROW()-1,FALSE))</x:f>
        <x:v/>
      </x:c>
      <x:c r="L138" t="str">
        <x:f ca="1">IF(AND($B$1012=1,LEN($L$1143)&gt;0),$L$1143,HLOOKUP(INDIRECT(ADDRESS(2,COLUMN())),OFFSET($T$2,0,0,ROW()-1,14),ROW()-1,FALSE))</x:f>
        <x:v/>
      </x:c>
      <x:c r="M138" t="str">
        <x:f ca="1">IF(AND($B$1012=1,LEN($M$1143)&gt;0),$M$1143,HLOOKUP(INDIRECT(ADDRESS(2,COLUMN())),OFFSET($T$2,0,0,ROW()-1,14),ROW()-1,FALSE))</x:f>
        <x:v/>
      </x:c>
      <x:c r="N138" t="str">
        <x:f ca="1">IF(AND($B$1012=1,LEN($N$1143)&gt;0),$N$1143,HLOOKUP(INDIRECT(ADDRESS(2,COLUMN())),OFFSET($T$2,0,0,ROW()-1,14),ROW()-1,FALSE))</x:f>
        <x:v/>
      </x:c>
      <x:c r="O138" t="str">
        <x:f ca="1">IF(AND($B$1012=1,LEN($O$1143)&gt;0),$O$1143,HLOOKUP(INDIRECT(ADDRESS(2,COLUMN())),OFFSET($T$2,0,0,ROW()-1,14),ROW()-1,FALSE))</x:f>
        <x:v/>
      </x:c>
      <x:c r="P138" t="str">
        <x:f ca="1">IF(AND($B$1012=1,LEN($P$1143)&gt;0),$P$1143,HLOOKUP(INDIRECT(ADDRESS(2,COLUMN())),OFFSET($T$2,0,0,ROW()-1,14),ROW()-1,FALSE))</x:f>
        <x:v/>
      </x:c>
      <x:c r="Q138" t="str">
        <x:f ca="1">IF(AND($B$1012=1,LEN($Q$1143)&gt;0),$Q$1143,HLOOKUP(INDIRECT(ADDRESS(2,COLUMN())),OFFSET($T$2,0,0,ROW()-1,14),ROW()-1,FALSE))</x:f>
        <x:v/>
      </x:c>
      <x:c r="R138" t="str">
        <x:f ca="1">IF(AND($B$1012=1,LEN($R$1143)&gt;0),$R$1143,HLOOKUP(INDIRECT(ADDRESS(2,COLUMN())),OFFSET($T$2,0,0,ROW()-1,14),ROW()-1,FALSE))</x:f>
        <x:v/>
      </x:c>
      <x:c r="S138" t="str">
        <x:f ca="1">IF(AND($B$1012=1,LEN($S$1143)&gt;0),$S$1143,HLOOKUP(INDIRECT(ADDRESS(2,COLUMN())),OFFSET($T$2,0,0,ROW()-1,14),ROW()-1,FALSE))</x:f>
        <x:v/>
      </x:c>
      <x:c r="T138" t="str">
        <x:f>""</x:f>
        <x:v/>
      </x:c>
      <x:c r="U138" t="str">
        <x:f>""</x:f>
        <x:v/>
      </x:c>
      <x:c r="V138" t="str">
        <x:f>""</x:f>
        <x:v/>
      </x:c>
      <x:c r="W138" t="str">
        <x:f>""</x:f>
        <x:v/>
      </x:c>
      <x:c r="X138" t="str">
        <x:f>""</x:f>
        <x:v/>
      </x:c>
      <x:c r="Y138" t="str">
        <x:f>""</x:f>
        <x:v/>
      </x:c>
      <x:c r="Z138" t="str">
        <x:f>""</x:f>
        <x:v/>
      </x:c>
      <x:c r="AA138" t="str">
        <x:f>""</x:f>
        <x:v/>
      </x:c>
      <x:c r="AB138" t="str">
        <x:f>""</x:f>
        <x:v/>
      </x:c>
      <x:c r="AC138" t="str">
        <x:f>""</x:f>
        <x:v/>
      </x:c>
      <x:c r="AD138" t="str">
        <x:f>""</x:f>
        <x:v/>
      </x:c>
      <x:c r="AE138" t="str">
        <x:f>""</x:f>
        <x:v/>
      </x:c>
      <x:c r="AF138" t="str">
        <x:f>""</x:f>
        <x:v/>
      </x:c>
      <x:c r="AG138" t="str">
        <x:f>""</x:f>
        <x:v/>
      </x:c>
    </x:row>
    <x:row r="139" spans="1:33" x14ac:dyDescent="0.25">
      <x:c r="A139" t="str">
        <x:f>"        Direxion Daily Natural Gas Rel"</x:f>
        <x:v xml:space="preserve">        Direxion Daily Natural Gas Rel</x:v>
      </x:c>
      <x:c r="B139" t="str">
        <x:f>"GASL US Equity"</x:f>
        <x:v>GASL US Equity</x:v>
      </x:c>
      <x:c r="E139" t="str">
        <x:f t="shared" si="4"/>
        <x:v>Expression</x:v>
      </x:c>
      <x:c r="F139" t="str">
        <x:f ca="1">IF(AND($B$1012=1,LEN($F$1144)&gt;0),$F$1144,HLOOKUP(INDIRECT(ADDRESS(2,COLUMN())),OFFSET($T$2,0,0,ROW()-1,14),ROW()-1,FALSE))</x:f>
        <x:v/>
      </x:c>
      <x:c r="G139" t="str">
        <x:f ca="1">IF(AND($B$1012=1,LEN($G$1144)&gt;0),$G$1144,HLOOKUP(INDIRECT(ADDRESS(2,COLUMN())),OFFSET($T$2,0,0,ROW()-1,14),ROW()-1,FALSE))</x:f>
        <x:v/>
      </x:c>
      <x:c r="H139" t="str">
        <x:f ca="1">IF(AND($B$1012=1,LEN($H$1144)&gt;0),$H$1144,HLOOKUP(INDIRECT(ADDRESS(2,COLUMN())),OFFSET($T$2,0,0,ROW()-1,14),ROW()-1,FALSE))</x:f>
        <x:v/>
      </x:c>
      <x:c r="I139" t="str">
        <x:f ca="1">IF(AND($B$1012=1,LEN($I$1144)&gt;0),$I$1144,HLOOKUP(INDIRECT(ADDRESS(2,COLUMN())),OFFSET($T$2,0,0,ROW()-1,14),ROW()-1,FALSE))</x:f>
        <x:v/>
      </x:c>
      <x:c r="J139" t="str">
        <x:f ca="1">IF(AND($B$1012=1,LEN($J$1144)&gt;0),$J$1144,HLOOKUP(INDIRECT(ADDRESS(2,COLUMN())),OFFSET($T$2,0,0,ROW()-1,14),ROW()-1,FALSE))</x:f>
        <x:v/>
      </x:c>
      <x:c r="K139" t="str">
        <x:f ca="1">IF(AND($B$1012=1,LEN($K$1144)&gt;0),$K$1144,HLOOKUP(INDIRECT(ADDRESS(2,COLUMN())),OFFSET($T$2,0,0,ROW()-1,14),ROW()-1,FALSE))</x:f>
        <x:v/>
      </x:c>
      <x:c r="L139" t="str">
        <x:f ca="1">IF(AND($B$1012=1,LEN($L$1144)&gt;0),$L$1144,HLOOKUP(INDIRECT(ADDRESS(2,COLUMN())),OFFSET($T$2,0,0,ROW()-1,14),ROW()-1,FALSE))</x:f>
        <x:v/>
      </x:c>
      <x:c r="M139" t="str">
        <x:f ca="1">IF(AND($B$1012=1,LEN($M$1144)&gt;0),$M$1144,HLOOKUP(INDIRECT(ADDRESS(2,COLUMN())),OFFSET($T$2,0,0,ROW()-1,14),ROW()-1,FALSE))</x:f>
        <x:v/>
      </x:c>
      <x:c r="N139" t="str">
        <x:f ca="1">IF(AND($B$1012=1,LEN($N$1144)&gt;0),$N$1144,HLOOKUP(INDIRECT(ADDRESS(2,COLUMN())),OFFSET($T$2,0,0,ROW()-1,14),ROW()-1,FALSE))</x:f>
        <x:v/>
      </x:c>
      <x:c r="O139" t="str">
        <x:f ca="1">IF(AND($B$1012=1,LEN($O$1144)&gt;0),$O$1144,HLOOKUP(INDIRECT(ADDRESS(2,COLUMN())),OFFSET($T$2,0,0,ROW()-1,14),ROW()-1,FALSE))</x:f>
        <x:v/>
      </x:c>
      <x:c r="P139" t="str">
        <x:f ca="1">IF(AND($B$1012=1,LEN($P$1144)&gt;0),$P$1144,HLOOKUP(INDIRECT(ADDRESS(2,COLUMN())),OFFSET($T$2,0,0,ROW()-1,14),ROW()-1,FALSE))</x:f>
        <x:v/>
      </x:c>
      <x:c r="Q139" t="str">
        <x:f ca="1">IF(AND($B$1012=1,LEN($Q$1144)&gt;0),$Q$1144,HLOOKUP(INDIRECT(ADDRESS(2,COLUMN())),OFFSET($T$2,0,0,ROW()-1,14),ROW()-1,FALSE))</x:f>
        <x:v/>
      </x:c>
      <x:c r="R139" t="str">
        <x:f ca="1">IF(AND($B$1012=1,LEN($R$1144)&gt;0),$R$1144,HLOOKUP(INDIRECT(ADDRESS(2,COLUMN())),OFFSET($T$2,0,0,ROW()-1,14),ROW()-1,FALSE))</x:f>
        <x:v/>
      </x:c>
      <x:c r="S139" t="str">
        <x:f ca="1">IF(AND($B$1012=1,LEN($S$1144)&gt;0),$S$1144,HLOOKUP(INDIRECT(ADDRESS(2,COLUMN())),OFFSET($T$2,0,0,ROW()-1,14),ROW()-1,FALSE))</x:f>
        <x:v/>
      </x:c>
      <x:c r="T139" t="str">
        <x:f>""</x:f>
        <x:v/>
      </x:c>
      <x:c r="U139" t="str">
        <x:f>""</x:f>
        <x:v/>
      </x:c>
      <x:c r="V139" t="str">
        <x:f>""</x:f>
        <x:v/>
      </x:c>
      <x:c r="W139" t="str">
        <x:f>""</x:f>
        <x:v/>
      </x:c>
      <x:c r="X139" t="str">
        <x:f>""</x:f>
        <x:v/>
      </x:c>
      <x:c r="Y139" t="str">
        <x:f>""</x:f>
        <x:v/>
      </x:c>
      <x:c r="Z139" t="str">
        <x:f>""</x:f>
        <x:v/>
      </x:c>
      <x:c r="AA139" t="str">
        <x:f>""</x:f>
        <x:v/>
      </x:c>
      <x:c r="AB139" t="str">
        <x:f>""</x:f>
        <x:v/>
      </x:c>
      <x:c r="AC139" t="str">
        <x:f>""</x:f>
        <x:v/>
      </x:c>
      <x:c r="AD139" t="str">
        <x:f>""</x:f>
        <x:v/>
      </x:c>
      <x:c r="AE139" t="str">
        <x:f>""</x:f>
        <x:v/>
      </x:c>
      <x:c r="AF139" t="str">
        <x:f>""</x:f>
        <x:v/>
      </x:c>
      <x:c r="AG139" t="str">
        <x:f>""</x:f>
        <x:v/>
      </x:c>
    </x:row>
    <x:row r="140" spans="1:33" x14ac:dyDescent="0.25">
      <x:c r="A140" t="str">
        <x:f>"        Invesco S&amp;P SmallCap Energy ET"</x:f>
        <x:v xml:space="preserve">        Invesco S&amp;P SmallCap Energy ET</x:v>
      </x:c>
      <x:c r="B140" t="str">
        <x:f>"PSCE US Equity"</x:f>
        <x:v>PSCE US Equity</x:v>
      </x:c>
      <x:c r="E140" t="str">
        <x:f t="shared" si="4"/>
        <x:v>Expression</x:v>
      </x:c>
      <x:c r="F140">
        <x:f ca="1">IF(AND($B$1012=1,LEN($F$1145)&gt;0),$F$1145,HLOOKUP(INDIRECT(ADDRESS(2,COLUMN())),OFFSET($T$2,0,0,ROW()-1,14),ROW()-1,FALSE))</x:f>
        <x:v>-19.986689999999999</x:v>
      </x:c>
      <x:c r="G140">
        <x:f ca="1">IF(AND($B$1012=1,LEN($G$1145)&gt;0),$G$1145,HLOOKUP(INDIRECT(ADDRESS(2,COLUMN())),OFFSET($T$2,0,0,ROW()-1,14),ROW()-1,FALSE))</x:f>
        <x:v>9.322673</x:v>
      </x:c>
      <x:c r="H140">
        <x:f ca="1">IF(AND($B$1012=1,LEN($H$1145)&gt;0),$H$1145,HLOOKUP(INDIRECT(ADDRESS(2,COLUMN())),OFFSET($T$2,0,0,ROW()-1,14),ROW()-1,FALSE))</x:f>
        <x:v>6.3909710000000004</x:v>
      </x:c>
      <x:c r="I140">
        <x:f ca="1">IF(AND($B$1012=1,LEN($I$1145)&gt;0),$I$1145,HLOOKUP(INDIRECT(ADDRESS(2,COLUMN())),OFFSET($T$2,0,0,ROW()-1,14),ROW()-1,FALSE))</x:f>
        <x:v>7.2656419999999997</x:v>
      </x:c>
      <x:c r="J140">
        <x:f ca="1">IF(AND($B$1012=1,LEN($J$1145)&gt;0),$J$1145,HLOOKUP(INDIRECT(ADDRESS(2,COLUMN())),OFFSET($T$2,0,0,ROW()-1,14),ROW()-1,FALSE))</x:f>
        <x:v>4.5889150000000001</x:v>
      </x:c>
      <x:c r="K140">
        <x:f ca="1">IF(AND($B$1012=1,LEN($K$1145)&gt;0),$K$1145,HLOOKUP(INDIRECT(ADDRESS(2,COLUMN())),OFFSET($T$2,0,0,ROW()-1,14),ROW()-1,FALSE))</x:f>
        <x:v>-4.3793769999999999</x:v>
      </x:c>
      <x:c r="L140">
        <x:f ca="1">IF(AND($B$1012=1,LEN($L$1145)&gt;0),$L$1145,HLOOKUP(INDIRECT(ADDRESS(2,COLUMN())),OFFSET($T$2,0,0,ROW()-1,14),ROW()-1,FALSE))</x:f>
        <x:v>13.319614</x:v>
      </x:c>
      <x:c r="M140">
        <x:f ca="1">IF(AND($B$1012=1,LEN($M$1145)&gt;0),$M$1145,HLOOKUP(INDIRECT(ADDRESS(2,COLUMN())),OFFSET($T$2,0,0,ROW()-1,14),ROW()-1,FALSE))</x:f>
        <x:v>74.058565000000002</x:v>
      </x:c>
      <x:c r="N140">
        <x:f ca="1">IF(AND($B$1012=1,LEN($N$1145)&gt;0),$N$1145,HLOOKUP(INDIRECT(ADDRESS(2,COLUMN())),OFFSET($T$2,0,0,ROW()-1,14),ROW()-1,FALSE))</x:f>
        <x:v>-6.1036590000000004</x:v>
      </x:c>
      <x:c r="O140">
        <x:f ca="1">IF(AND($B$1012=1,LEN($O$1145)&gt;0),$O$1145,HLOOKUP(INDIRECT(ADDRESS(2,COLUMN())),OFFSET($T$2,0,0,ROW()-1,14),ROW()-1,FALSE))</x:f>
        <x:v>-4.4102839999999999</x:v>
      </x:c>
      <x:c r="P140">
        <x:f ca="1">IF(AND($B$1012=1,LEN($P$1145)&gt;0),$P$1145,HLOOKUP(INDIRECT(ADDRESS(2,COLUMN())),OFFSET($T$2,0,0,ROW()-1,14),ROW()-1,FALSE))</x:f>
        <x:v>5.2454130000000001</x:v>
      </x:c>
      <x:c r="Q140">
        <x:f ca="1">IF(AND($B$1012=1,LEN($Q$1145)&gt;0),$Q$1145,HLOOKUP(INDIRECT(ADDRESS(2,COLUMN())),OFFSET($T$2,0,0,ROW()-1,14),ROW()-1,FALSE))</x:f>
        <x:v>-11.943269000000001</x:v>
      </x:c>
      <x:c r="R140">
        <x:f ca="1">IF(AND($B$1012=1,LEN($R$1145)&gt;0),$R$1145,HLOOKUP(INDIRECT(ADDRESS(2,COLUMN())),OFFSET($T$2,0,0,ROW()-1,14),ROW()-1,FALSE))</x:f>
        <x:v>4.2604680000000004</x:v>
      </x:c>
      <x:c r="S140">
        <x:f ca="1">IF(AND($B$1012=1,LEN($S$1145)&gt;0),$S$1145,HLOOKUP(INDIRECT(ADDRESS(2,COLUMN())),OFFSET($T$2,0,0,ROW()-1,14),ROW()-1,FALSE))</x:f>
        <x:v>4.769539</x:v>
      </x:c>
      <x:c r="T140">
        <x:f>-19.98669</x:f>
        <x:v>-19.986689999999999</x:v>
      </x:c>
      <x:c r="U140">
        <x:f>9.322673</x:f>
        <x:v>9.322673</x:v>
      </x:c>
      <x:c r="V140">
        <x:f>6.390971</x:f>
        <x:v>6.3909710000000004</x:v>
      </x:c>
      <x:c r="W140">
        <x:f>7.265642</x:f>
        <x:v>7.2656419999999997</x:v>
      </x:c>
      <x:c r="X140">
        <x:f>4.588915</x:f>
        <x:v>4.5889150000000001</x:v>
      </x:c>
      <x:c r="Y140">
        <x:f>-4.379377</x:f>
        <x:v>-4.3793769999999999</x:v>
      </x:c>
      <x:c r="Z140">
        <x:f>13.319614</x:f>
        <x:v>13.319614</x:v>
      </x:c>
      <x:c r="AA140">
        <x:f>74.058565</x:f>
        <x:v>74.058565000000002</x:v>
      </x:c>
      <x:c r="AB140">
        <x:f>-6.103659</x:f>
        <x:v>-6.1036590000000004</x:v>
      </x:c>
      <x:c r="AC140">
        <x:f>-4.410284</x:f>
        <x:v>-4.4102839999999999</x:v>
      </x:c>
      <x:c r="AD140">
        <x:f>5.245413</x:f>
        <x:v>5.2454130000000001</x:v>
      </x:c>
      <x:c r="AE140">
        <x:f>-11.943269</x:f>
        <x:v>-11.943269000000001</x:v>
      </x:c>
      <x:c r="AF140">
        <x:f>4.260468</x:f>
        <x:v>4.2604680000000004</x:v>
      </x:c>
      <x:c r="AG140">
        <x:f>4.769539</x:f>
        <x:v>4.769539</x:v>
      </x:c>
    </x:row>
    <x:row r="141" spans="1:33" x14ac:dyDescent="0.25">
      <x:c r="A141" t="str">
        <x:f>"        ETRACS Alerian MLP Infrastruct"</x:f>
        <x:v xml:space="preserve">        ETRACS Alerian MLP Infrastruct</x:v>
      </x:c>
      <x:c r="B141" t="str">
        <x:f>"MLPB US Equity"</x:f>
        <x:v>MLPB US Equity</x:v>
      </x:c>
      <x:c r="E141" t="str">
        <x:f t="shared" si="4"/>
        <x:v>Expression</x:v>
      </x:c>
      <x:c r="F141">
        <x:f ca="1">IF(AND($B$1012=1,LEN($F$1146)&gt;0),$F$1146,HLOOKUP(INDIRECT(ADDRESS(2,COLUMN())),OFFSET($T$2,0,0,ROW()-1,14),ROW()-1,FALSE))</x:f>
        <x:v>0</x:v>
      </x:c>
      <x:c r="G141">
        <x:f ca="1">IF(AND($B$1012=1,LEN($G$1146)&gt;0),$G$1146,HLOOKUP(INDIRECT(ADDRESS(2,COLUMN())),OFFSET($T$2,0,0,ROW()-1,14),ROW()-1,FALSE))</x:f>
        <x:v>0</x:v>
      </x:c>
      <x:c r="H141">
        <x:f ca="1">IF(AND($B$1012=1,LEN($H$1146)&gt;0),$H$1146,HLOOKUP(INDIRECT(ADDRESS(2,COLUMN())),OFFSET($T$2,0,0,ROW()-1,14),ROW()-1,FALSE))</x:f>
        <x:v>0</x:v>
      </x:c>
      <x:c r="I141">
        <x:f ca="1">IF(AND($B$1012=1,LEN($I$1146)&gt;0),$I$1146,HLOOKUP(INDIRECT(ADDRESS(2,COLUMN())),OFFSET($T$2,0,0,ROW()-1,14),ROW()-1,FALSE))</x:f>
        <x:v>0</x:v>
      </x:c>
      <x:c r="J141">
        <x:f ca="1">IF(AND($B$1012=1,LEN($J$1146)&gt;0),$J$1146,HLOOKUP(INDIRECT(ADDRESS(2,COLUMN())),OFFSET($T$2,0,0,ROW()-1,14),ROW()-1,FALSE))</x:f>
        <x:v>0</x:v>
      </x:c>
      <x:c r="K141">
        <x:f ca="1">IF(AND($B$1012=1,LEN($K$1146)&gt;0),$K$1146,HLOOKUP(INDIRECT(ADDRESS(2,COLUMN())),OFFSET($T$2,0,0,ROW()-1,14),ROW()-1,FALSE))</x:f>
        <x:v>-15.631360000000001</x:v>
      </x:c>
      <x:c r="L141">
        <x:f ca="1">IF(AND($B$1012=1,LEN($L$1146)&gt;0),$L$1146,HLOOKUP(INDIRECT(ADDRESS(2,COLUMN())),OFFSET($T$2,0,0,ROW()-1,14),ROW()-1,FALSE))</x:f>
        <x:v>-16.7607</x:v>
      </x:c>
      <x:c r="M141">
        <x:f ca="1">IF(AND($B$1012=1,LEN($M$1146)&gt;0),$M$1146,HLOOKUP(INDIRECT(ADDRESS(2,COLUMN())),OFFSET($T$2,0,0,ROW()-1,14),ROW()-1,FALSE))</x:f>
        <x:v>-9.3912999999999993</x:v>
      </x:c>
      <x:c r="N141">
        <x:f ca="1">IF(AND($B$1012=1,LEN($N$1146)&gt;0),$N$1146,HLOOKUP(INDIRECT(ADDRESS(2,COLUMN())),OFFSET($T$2,0,0,ROW()-1,14),ROW()-1,FALSE))</x:f>
        <x:v>0</x:v>
      </x:c>
      <x:c r="O141">
        <x:f ca="1">IF(AND($B$1012=1,LEN($O$1146)&gt;0),$O$1146,HLOOKUP(INDIRECT(ADDRESS(2,COLUMN())),OFFSET($T$2,0,0,ROW()-1,14),ROW()-1,FALSE))</x:f>
        <x:v>0</x:v>
      </x:c>
      <x:c r="P141">
        <x:f ca="1">IF(AND($B$1012=1,LEN($P$1146)&gt;0),$P$1146,HLOOKUP(INDIRECT(ADDRESS(2,COLUMN())),OFFSET($T$2,0,0,ROW()-1,14),ROW()-1,FALSE))</x:f>
        <x:v>0</x:v>
      </x:c>
      <x:c r="Q141">
        <x:f ca="1">IF(AND($B$1012=1,LEN($Q$1146)&gt;0),$Q$1146,HLOOKUP(INDIRECT(ADDRESS(2,COLUMN())),OFFSET($T$2,0,0,ROW()-1,14),ROW()-1,FALSE))</x:f>
        <x:v>0</x:v>
      </x:c>
      <x:c r="R141">
        <x:f ca="1">IF(AND($B$1012=1,LEN($R$1146)&gt;0),$R$1146,HLOOKUP(INDIRECT(ADDRESS(2,COLUMN())),OFFSET($T$2,0,0,ROW()-1,14),ROW()-1,FALSE))</x:f>
        <x:v>0</x:v>
      </x:c>
      <x:c r="S141">
        <x:f ca="1">IF(AND($B$1012=1,LEN($S$1146)&gt;0),$S$1146,HLOOKUP(INDIRECT(ADDRESS(2,COLUMN())),OFFSET($T$2,0,0,ROW()-1,14),ROW()-1,FALSE))</x:f>
        <x:v>0</x:v>
      </x:c>
      <x:c r="T141">
        <x:f>0</x:f>
        <x:v>0</x:v>
      </x:c>
      <x:c r="U141">
        <x:f>0</x:f>
        <x:v>0</x:v>
      </x:c>
      <x:c r="V141">
        <x:f>0</x:f>
        <x:v>0</x:v>
      </x:c>
      <x:c r="W141">
        <x:f>0</x:f>
        <x:v>0</x:v>
      </x:c>
      <x:c r="X141">
        <x:f>0</x:f>
        <x:v>0</x:v>
      </x:c>
      <x:c r="Y141">
        <x:f>-15.63136</x:f>
        <x:v>-15.631360000000001</x:v>
      </x:c>
      <x:c r="Z141">
        <x:f>-16.7607</x:f>
        <x:v>-16.7607</x:v>
      </x:c>
      <x:c r="AA141">
        <x:f>-9.3913</x:f>
        <x:v>-9.3912999999999993</x:v>
      </x:c>
      <x:c r="AB141">
        <x:f>0</x:f>
        <x:v>0</x:v>
      </x:c>
      <x:c r="AC141">
        <x:f>0</x:f>
        <x:v>0</x:v>
      </x:c>
      <x:c r="AD141">
        <x:f>0</x:f>
        <x:v>0</x:v>
      </x:c>
      <x:c r="AE141">
        <x:f>0</x:f>
        <x:v>0</x:v>
      </x:c>
      <x:c r="AF141">
        <x:f>0</x:f>
        <x:v>0</x:v>
      </x:c>
      <x:c r="AG141">
        <x:f>0</x:f>
        <x:v>0</x:v>
      </x:c>
    </x:row>
    <x:row r="142" spans="1:33" x14ac:dyDescent="0.25">
      <x:c r="A142" t="str">
        <x:f>"        Direxion Daily Energy Bear 2X"</x:f>
        <x:v xml:space="preserve">        Direxion Daily Energy Bear 2X</x:v>
      </x:c>
      <x:c r="B142" t="str">
        <x:f>"ERY US Equity"</x:f>
        <x:v>ERY US Equity</x:v>
      </x:c>
      <x:c r="E142" t="str">
        <x:f t="shared" si="4"/>
        <x:v>Expression</x:v>
      </x:c>
      <x:c r="F142">
        <x:f ca="1">IF(AND($B$1012=1,LEN($F$1147)&gt;0),$F$1147,HLOOKUP(INDIRECT(ADDRESS(2,COLUMN())),OFFSET($T$2,0,0,ROW()-1,14),ROW()-1,FALSE))</x:f>
        <x:v>-2.678912</x:v>
      </x:c>
      <x:c r="G142">
        <x:f ca="1">IF(AND($B$1012=1,LEN($G$1147)&gt;0),$G$1147,HLOOKUP(INDIRECT(ADDRESS(2,COLUMN())),OFFSET($T$2,0,0,ROW()-1,14),ROW()-1,FALSE))</x:f>
        <x:v>-7.6144569999999998</x:v>
      </x:c>
      <x:c r="H142">
        <x:f ca="1">IF(AND($B$1012=1,LEN($H$1147)&gt;0),$H$1147,HLOOKUP(INDIRECT(ADDRESS(2,COLUMN())),OFFSET($T$2,0,0,ROW()-1,14),ROW()-1,FALSE))</x:f>
        <x:v>4.9811959999999997</x:v>
      </x:c>
      <x:c r="I142">
        <x:f ca="1">IF(AND($B$1012=1,LEN($I$1147)&gt;0),$I$1147,HLOOKUP(INDIRECT(ADDRESS(2,COLUMN())),OFFSET($T$2,0,0,ROW()-1,14),ROW()-1,FALSE))</x:f>
        <x:v>5.749822</x:v>
      </x:c>
      <x:c r="J142">
        <x:f ca="1">IF(AND($B$1012=1,LEN($J$1147)&gt;0),$J$1147,HLOOKUP(INDIRECT(ADDRESS(2,COLUMN())),OFFSET($T$2,0,0,ROW()-1,14),ROW()-1,FALSE))</x:f>
        <x:v>-0.202347</x:v>
      </x:c>
      <x:c r="K142">
        <x:f ca="1">IF(AND($B$1012=1,LEN($K$1147)&gt;0),$K$1147,HLOOKUP(INDIRECT(ADDRESS(2,COLUMN())),OFFSET($T$2,0,0,ROW()-1,14),ROW()-1,FALSE))</x:f>
        <x:v>0.107139</x:v>
      </x:c>
      <x:c r="L142">
        <x:f ca="1">IF(AND($B$1012=1,LEN($L$1147)&gt;0),$L$1147,HLOOKUP(INDIRECT(ADDRESS(2,COLUMN())),OFFSET($T$2,0,0,ROW()-1,14),ROW()-1,FALSE))</x:f>
        <x:v>-8.1552869999999995</x:v>
      </x:c>
      <x:c r="M142">
        <x:f ca="1">IF(AND($B$1012=1,LEN($M$1147)&gt;0),$M$1147,HLOOKUP(INDIRECT(ADDRESS(2,COLUMN())),OFFSET($T$2,0,0,ROW()-1,14),ROW()-1,FALSE))</x:f>
        <x:v>1.530016</x:v>
      </x:c>
      <x:c r="N142">
        <x:f ca="1">IF(AND($B$1012=1,LEN($N$1147)&gt;0),$N$1147,HLOOKUP(INDIRECT(ADDRESS(2,COLUMN())),OFFSET($T$2,0,0,ROW()-1,14),ROW()-1,FALSE))</x:f>
        <x:v>-4.450323</x:v>
      </x:c>
      <x:c r="O142">
        <x:f ca="1">IF(AND($B$1012=1,LEN($O$1147)&gt;0),$O$1147,HLOOKUP(INDIRECT(ADDRESS(2,COLUMN())),OFFSET($T$2,0,0,ROW()-1,14),ROW()-1,FALSE))</x:f>
        <x:v>-4.3862519999999998</x:v>
      </x:c>
      <x:c r="P142">
        <x:f ca="1">IF(AND($B$1012=1,LEN($P$1147)&gt;0),$P$1147,HLOOKUP(INDIRECT(ADDRESS(2,COLUMN())),OFFSET($T$2,0,0,ROW()-1,14),ROW()-1,FALSE))</x:f>
        <x:v>-2.9838E-2</x:v>
      </x:c>
      <x:c r="Q142">
        <x:f ca="1">IF(AND($B$1012=1,LEN($Q$1147)&gt;0),$Q$1147,HLOOKUP(INDIRECT(ADDRESS(2,COLUMN())),OFFSET($T$2,0,0,ROW()-1,14),ROW()-1,FALSE))</x:f>
        <x:v>-16.934676</x:v>
      </x:c>
      <x:c r="R142">
        <x:f ca="1">IF(AND($B$1012=1,LEN($R$1147)&gt;0),$R$1147,HLOOKUP(INDIRECT(ADDRESS(2,COLUMN())),OFFSET($T$2,0,0,ROW()-1,14),ROW()-1,FALSE))</x:f>
        <x:v>15.958142</x:v>
      </x:c>
      <x:c r="S142">
        <x:f ca="1">IF(AND($B$1012=1,LEN($S$1147)&gt;0),$S$1147,HLOOKUP(INDIRECT(ADDRESS(2,COLUMN())),OFFSET($T$2,0,0,ROW()-1,14),ROW()-1,FALSE))</x:f>
        <x:v>6.5967039999999999</x:v>
      </x:c>
      <x:c r="T142">
        <x:f>-2.678912</x:f>
        <x:v>-2.678912</x:v>
      </x:c>
      <x:c r="U142">
        <x:f>-7.614457</x:f>
        <x:v>-7.6144569999999998</x:v>
      </x:c>
      <x:c r="V142">
        <x:f>4.981196</x:f>
        <x:v>4.9811959999999997</x:v>
      </x:c>
      <x:c r="W142">
        <x:f>5.749822</x:f>
        <x:v>5.749822</x:v>
      </x:c>
      <x:c r="X142">
        <x:f>-0.202347</x:f>
        <x:v>-0.202347</x:v>
      </x:c>
      <x:c r="Y142">
        <x:f>0.107139</x:f>
        <x:v>0.107139</x:v>
      </x:c>
      <x:c r="Z142">
        <x:f>-8.155287</x:f>
        <x:v>-8.1552869999999995</x:v>
      </x:c>
      <x:c r="AA142">
        <x:f>1.530016</x:f>
        <x:v>1.530016</x:v>
      </x:c>
      <x:c r="AB142">
        <x:f>-4.450323</x:f>
        <x:v>-4.450323</x:v>
      </x:c>
      <x:c r="AC142">
        <x:f>-4.386252</x:f>
        <x:v>-4.3862519999999998</x:v>
      </x:c>
      <x:c r="AD142">
        <x:f>-0.029838</x:f>
        <x:v>-2.9838E-2</x:v>
      </x:c>
      <x:c r="AE142">
        <x:f>-16.934676</x:f>
        <x:v>-16.934676</x:v>
      </x:c>
      <x:c r="AF142">
        <x:f>15.958142</x:f>
        <x:v>15.958142</x:v>
      </x:c>
      <x:c r="AG142">
        <x:f>6.596704</x:f>
        <x:v>6.5967039999999999</x:v>
      </x:c>
    </x:row>
    <x:row r="143" spans="1:33" x14ac:dyDescent="0.25">
      <x:c r="A143" t="str">
        <x:f>"        VanEck Vectors High Income Inf"</x:f>
        <x:v xml:space="preserve">        VanEck Vectors High Income Inf</x:v>
      </x:c>
      <x:c r="B143" t="str">
        <x:f>"YMLI US Equity"</x:f>
        <x:v>YMLI US Equity</x:v>
      </x:c>
      <x:c r="E143" t="str">
        <x:f t="shared" si="4"/>
        <x:v>Expression</x:v>
      </x:c>
      <x:c r="F143" t="str">
        <x:f ca="1">IF(AND($B$1012=1,LEN($F$1148)&gt;0),$F$1148,HLOOKUP(INDIRECT(ADDRESS(2,COLUMN())),OFFSET($T$2,0,0,ROW()-1,14),ROW()-1,FALSE))</x:f>
        <x:v/>
      </x:c>
      <x:c r="G143" t="str">
        <x:f ca="1">IF(AND($B$1012=1,LEN($G$1148)&gt;0),$G$1148,HLOOKUP(INDIRECT(ADDRESS(2,COLUMN())),OFFSET($T$2,0,0,ROW()-1,14),ROW()-1,FALSE))</x:f>
        <x:v/>
      </x:c>
      <x:c r="H143" t="str">
        <x:f ca="1">IF(AND($B$1012=1,LEN($H$1148)&gt;0),$H$1148,HLOOKUP(INDIRECT(ADDRESS(2,COLUMN())),OFFSET($T$2,0,0,ROW()-1,14),ROW()-1,FALSE))</x:f>
        <x:v/>
      </x:c>
      <x:c r="I143" t="str">
        <x:f ca="1">IF(AND($B$1012=1,LEN($I$1148)&gt;0),$I$1148,HLOOKUP(INDIRECT(ADDRESS(2,COLUMN())),OFFSET($T$2,0,0,ROW()-1,14),ROW()-1,FALSE))</x:f>
        <x:v/>
      </x:c>
      <x:c r="J143" t="str">
        <x:f ca="1">IF(AND($B$1012=1,LEN($J$1148)&gt;0),$J$1148,HLOOKUP(INDIRECT(ADDRESS(2,COLUMN())),OFFSET($T$2,0,0,ROW()-1,14),ROW()-1,FALSE))</x:f>
        <x:v/>
      </x:c>
      <x:c r="K143" t="str">
        <x:f ca="1">IF(AND($B$1012=1,LEN($K$1148)&gt;0),$K$1148,HLOOKUP(INDIRECT(ADDRESS(2,COLUMN())),OFFSET($T$2,0,0,ROW()-1,14),ROW()-1,FALSE))</x:f>
        <x:v/>
      </x:c>
      <x:c r="L143" t="str">
        <x:f ca="1">IF(AND($B$1012=1,LEN($L$1148)&gt;0),$L$1148,HLOOKUP(INDIRECT(ADDRESS(2,COLUMN())),OFFSET($T$2,0,0,ROW()-1,14),ROW()-1,FALSE))</x:f>
        <x:v/>
      </x:c>
      <x:c r="M143" t="str">
        <x:f ca="1">IF(AND($B$1012=1,LEN($M$1148)&gt;0),$M$1148,HLOOKUP(INDIRECT(ADDRESS(2,COLUMN())),OFFSET($T$2,0,0,ROW()-1,14),ROW()-1,FALSE))</x:f>
        <x:v/>
      </x:c>
      <x:c r="N143" t="str">
        <x:f ca="1">IF(AND($B$1012=1,LEN($N$1148)&gt;0),$N$1148,HLOOKUP(INDIRECT(ADDRESS(2,COLUMN())),OFFSET($T$2,0,0,ROW()-1,14),ROW()-1,FALSE))</x:f>
        <x:v/>
      </x:c>
      <x:c r="O143" t="str">
        <x:f ca="1">IF(AND($B$1012=1,LEN($O$1148)&gt;0),$O$1148,HLOOKUP(INDIRECT(ADDRESS(2,COLUMN())),OFFSET($T$2,0,0,ROW()-1,14),ROW()-1,FALSE))</x:f>
        <x:v/>
      </x:c>
      <x:c r="P143" t="str">
        <x:f ca="1">IF(AND($B$1012=1,LEN($P$1148)&gt;0),$P$1148,HLOOKUP(INDIRECT(ADDRESS(2,COLUMN())),OFFSET($T$2,0,0,ROW()-1,14),ROW()-1,FALSE))</x:f>
        <x:v/>
      </x:c>
      <x:c r="Q143" t="str">
        <x:f ca="1">IF(AND($B$1012=1,LEN($Q$1148)&gt;0),$Q$1148,HLOOKUP(INDIRECT(ADDRESS(2,COLUMN())),OFFSET($T$2,0,0,ROW()-1,14),ROW()-1,FALSE))</x:f>
        <x:v/>
      </x:c>
      <x:c r="R143" t="str">
        <x:f ca="1">IF(AND($B$1012=1,LEN($R$1148)&gt;0),$R$1148,HLOOKUP(INDIRECT(ADDRESS(2,COLUMN())),OFFSET($T$2,0,0,ROW()-1,14),ROW()-1,FALSE))</x:f>
        <x:v/>
      </x:c>
      <x:c r="S143" t="str">
        <x:f ca="1">IF(AND($B$1012=1,LEN($S$1148)&gt;0),$S$1148,HLOOKUP(INDIRECT(ADDRESS(2,COLUMN())),OFFSET($T$2,0,0,ROW()-1,14),ROW()-1,FALSE))</x:f>
        <x:v/>
      </x:c>
      <x:c r="T143" t="str">
        <x:f>""</x:f>
        <x:v/>
      </x:c>
      <x:c r="U143" t="str">
        <x:f>""</x:f>
        <x:v/>
      </x:c>
      <x:c r="V143" t="str">
        <x:f>""</x:f>
        <x:v/>
      </x:c>
      <x:c r="W143" t="str">
        <x:f>""</x:f>
        <x:v/>
      </x:c>
      <x:c r="X143" t="str">
        <x:f>""</x:f>
        <x:v/>
      </x:c>
      <x:c r="Y143" t="str">
        <x:f>""</x:f>
        <x:v/>
      </x:c>
      <x:c r="Z143" t="str">
        <x:f>""</x:f>
        <x:v/>
      </x:c>
      <x:c r="AA143" t="str">
        <x:f>""</x:f>
        <x:v/>
      </x:c>
      <x:c r="AB143" t="str">
        <x:f>""</x:f>
        <x:v/>
      </x:c>
      <x:c r="AC143" t="str">
        <x:f>""</x:f>
        <x:v/>
      </x:c>
      <x:c r="AD143" t="str">
        <x:f>""</x:f>
        <x:v/>
      </x:c>
      <x:c r="AE143" t="str">
        <x:f>""</x:f>
        <x:v/>
      </x:c>
      <x:c r="AF143" t="str">
        <x:f>""</x:f>
        <x:v/>
      </x:c>
      <x:c r="AG143" t="str">
        <x:f>""</x:f>
        <x:v/>
      </x:c>
    </x:row>
    <x:row r="144" spans="1:33" x14ac:dyDescent="0.25">
      <x:c r="A144" t="str">
        <x:f>"        iShares MSCI Global Energy Pro"</x:f>
        <x:v xml:space="preserve">        iShares MSCI Global Energy Pro</x:v>
      </x:c>
      <x:c r="B144" t="str">
        <x:f>"FILL US Equity"</x:f>
        <x:v>FILL US Equity</x:v>
      </x:c>
      <x:c r="E144" t="str">
        <x:f t="shared" si="4"/>
        <x:v>Expression</x:v>
      </x:c>
      <x:c r="F144">
        <x:f ca="1">IF(AND($B$1012=1,LEN($F$1149)&gt;0),$F$1149,HLOOKUP(INDIRECT(ADDRESS(2,COLUMN())),OFFSET($T$2,0,0,ROW()-1,14),ROW()-1,FALSE))</x:f>
        <x:v>0</x:v>
      </x:c>
      <x:c r="G144">
        <x:f ca="1">IF(AND($B$1012=1,LEN($G$1149)&gt;0),$G$1149,HLOOKUP(INDIRECT(ADDRESS(2,COLUMN())),OFFSET($T$2,0,0,ROW()-1,14),ROW()-1,FALSE))</x:f>
        <x:v>0</x:v>
      </x:c>
      <x:c r="H144">
        <x:f ca="1">IF(AND($B$1012=1,LEN($H$1149)&gt;0),$H$1149,HLOOKUP(INDIRECT(ADDRESS(2,COLUMN())),OFFSET($T$2,0,0,ROW()-1,14),ROW()-1,FALSE))</x:f>
        <x:v>0</x:v>
      </x:c>
      <x:c r="I144">
        <x:f ca="1">IF(AND($B$1012=1,LEN($I$1149)&gt;0),$I$1149,HLOOKUP(INDIRECT(ADDRESS(2,COLUMN())),OFFSET($T$2,0,0,ROW()-1,14),ROW()-1,FALSE))</x:f>
        <x:v>0</x:v>
      </x:c>
      <x:c r="J144">
        <x:f ca="1">IF(AND($B$1012=1,LEN($J$1149)&gt;0),$J$1149,HLOOKUP(INDIRECT(ADDRESS(2,COLUMN())),OFFSET($T$2,0,0,ROW()-1,14),ROW()-1,FALSE))</x:f>
        <x:v>0</x:v>
      </x:c>
      <x:c r="K144">
        <x:f ca="1">IF(AND($B$1012=1,LEN($K$1149)&gt;0),$K$1149,HLOOKUP(INDIRECT(ADDRESS(2,COLUMN())),OFFSET($T$2,0,0,ROW()-1,14),ROW()-1,FALSE))</x:f>
        <x:v>0</x:v>
      </x:c>
      <x:c r="L144">
        <x:f ca="1">IF(AND($B$1012=1,LEN($L$1149)&gt;0),$L$1149,HLOOKUP(INDIRECT(ADDRESS(2,COLUMN())),OFFSET($T$2,0,0,ROW()-1,14),ROW()-1,FALSE))</x:f>
        <x:v>-4.5947399999999998</x:v>
      </x:c>
      <x:c r="M144">
        <x:f ca="1">IF(AND($B$1012=1,LEN($M$1149)&gt;0),$M$1149,HLOOKUP(INDIRECT(ADDRESS(2,COLUMN())),OFFSET($T$2,0,0,ROW()-1,14),ROW()-1,FALSE))</x:f>
        <x:v>0</x:v>
      </x:c>
      <x:c r="N144">
        <x:f ca="1">IF(AND($B$1012=1,LEN($N$1149)&gt;0),$N$1149,HLOOKUP(INDIRECT(ADDRESS(2,COLUMN())),OFFSET($T$2,0,0,ROW()-1,14),ROW()-1,FALSE))</x:f>
        <x:v>0</x:v>
      </x:c>
      <x:c r="O144">
        <x:f ca="1">IF(AND($B$1012=1,LEN($O$1149)&gt;0),$O$1149,HLOOKUP(INDIRECT(ADDRESS(2,COLUMN())),OFFSET($T$2,0,0,ROW()-1,14),ROW()-1,FALSE))</x:f>
        <x:v>-7.230105</x:v>
      </x:c>
      <x:c r="P144">
        <x:f ca="1">IF(AND($B$1012=1,LEN($P$1149)&gt;0),$P$1149,HLOOKUP(INDIRECT(ADDRESS(2,COLUMN())),OFFSET($T$2,0,0,ROW()-1,14),ROW()-1,FALSE))</x:f>
        <x:v>0</x:v>
      </x:c>
      <x:c r="Q144">
        <x:f ca="1">IF(AND($B$1012=1,LEN($Q$1149)&gt;0),$Q$1149,HLOOKUP(INDIRECT(ADDRESS(2,COLUMN())),OFFSET($T$2,0,0,ROW()-1,14),ROW()-1,FALSE))</x:f>
        <x:v>0</x:v>
      </x:c>
      <x:c r="R144">
        <x:f ca="1">IF(AND($B$1012=1,LEN($R$1149)&gt;0),$R$1149,HLOOKUP(INDIRECT(ADDRESS(2,COLUMN())),OFFSET($T$2,0,0,ROW()-1,14),ROW()-1,FALSE))</x:f>
        <x:v>0</x:v>
      </x:c>
      <x:c r="S144">
        <x:f ca="1">IF(AND($B$1012=1,LEN($S$1149)&gt;0),$S$1149,HLOOKUP(INDIRECT(ADDRESS(2,COLUMN())),OFFSET($T$2,0,0,ROW()-1,14),ROW()-1,FALSE))</x:f>
        <x:v>0</x:v>
      </x:c>
      <x:c r="T144">
        <x:f>0</x:f>
        <x:v>0</x:v>
      </x:c>
      <x:c r="U144">
        <x:f>0</x:f>
        <x:v>0</x:v>
      </x:c>
      <x:c r="V144">
        <x:f>0</x:f>
        <x:v>0</x:v>
      </x:c>
      <x:c r="W144">
        <x:f>0</x:f>
        <x:v>0</x:v>
      </x:c>
      <x:c r="X144">
        <x:f>0</x:f>
        <x:v>0</x:v>
      </x:c>
      <x:c r="Y144">
        <x:f>0</x:f>
        <x:v>0</x:v>
      </x:c>
      <x:c r="Z144">
        <x:f>-4.59474</x:f>
        <x:v>-4.5947399999999998</x:v>
      </x:c>
      <x:c r="AA144">
        <x:f>0</x:f>
        <x:v>0</x:v>
      </x:c>
      <x:c r="AB144">
        <x:f>0</x:f>
        <x:v>0</x:v>
      </x:c>
      <x:c r="AC144">
        <x:f>-7.230105</x:f>
        <x:v>-7.230105</x:v>
      </x:c>
      <x:c r="AD144">
        <x:f>0</x:f>
        <x:v>0</x:v>
      </x:c>
      <x:c r="AE144">
        <x:f>0</x:f>
        <x:v>0</x:v>
      </x:c>
      <x:c r="AF144">
        <x:f>0</x:f>
        <x:v>0</x:v>
      </x:c>
      <x:c r="AG144">
        <x:f>0</x:f>
        <x:v>0</x:v>
      </x:c>
    </x:row>
    <x:row r="145" spans="1:33" x14ac:dyDescent="0.25">
      <x:c r="A145" t="str">
        <x:f>"        ProShares UltraShort Energy"</x:f>
        <x:v xml:space="preserve">        ProShares UltraShort Energy</x:v>
      </x:c>
      <x:c r="B145" t="str">
        <x:f>"DUG US Equity"</x:f>
        <x:v>DUG US Equity</x:v>
      </x:c>
      <x:c r="E145" t="str">
        <x:f t="shared" si="4"/>
        <x:v>Expression</x:v>
      </x:c>
      <x:c r="F145">
        <x:f ca="1">IF(AND($B$1012=1,LEN($F$1150)&gt;0),$F$1150,HLOOKUP(INDIRECT(ADDRESS(2,COLUMN())),OFFSET($T$2,0,0,ROW()-1,14),ROW()-1,FALSE))</x:f>
        <x:v>-9.0221699999999991</x:v>
      </x:c>
      <x:c r="G145">
        <x:f ca="1">IF(AND($B$1012=1,LEN($G$1150)&gt;0),$G$1150,HLOOKUP(INDIRECT(ADDRESS(2,COLUMN())),OFFSET($T$2,0,0,ROW()-1,14),ROW()-1,FALSE))</x:f>
        <x:v>-3.9051900000000002</x:v>
      </x:c>
      <x:c r="H145">
        <x:f ca="1">IF(AND($B$1012=1,LEN($H$1150)&gt;0),$H$1150,HLOOKUP(INDIRECT(ADDRESS(2,COLUMN())),OFFSET($T$2,0,0,ROW()-1,14),ROW()-1,FALSE))</x:f>
        <x:v>0.50404499999999997</x:v>
      </x:c>
      <x:c r="I145">
        <x:f ca="1">IF(AND($B$1012=1,LEN($I$1150)&gt;0),$I$1150,HLOOKUP(INDIRECT(ADDRESS(2,COLUMN())),OFFSET($T$2,0,0,ROW()-1,14),ROW()-1,FALSE))</x:f>
        <x:v>2.2418149999999999</x:v>
      </x:c>
      <x:c r="J145">
        <x:f ca="1">IF(AND($B$1012=1,LEN($J$1150)&gt;0),$J$1150,HLOOKUP(INDIRECT(ADDRESS(2,COLUMN())),OFFSET($T$2,0,0,ROW()-1,14),ROW()-1,FALSE))</x:f>
        <x:v>10.071915000000001</x:v>
      </x:c>
      <x:c r="K145">
        <x:f ca="1">IF(AND($B$1012=1,LEN($K$1150)&gt;0),$K$1150,HLOOKUP(INDIRECT(ADDRESS(2,COLUMN())),OFFSET($T$2,0,0,ROW()-1,14),ROW()-1,FALSE))</x:f>
        <x:v>-4.5835000000000001E-2</x:v>
      </x:c>
      <x:c r="L145">
        <x:f ca="1">IF(AND($B$1012=1,LEN($L$1150)&gt;0),$L$1150,HLOOKUP(INDIRECT(ADDRESS(2,COLUMN())),OFFSET($T$2,0,0,ROW()-1,14),ROW()-1,FALSE))</x:f>
        <x:v>-4.919645</x:v>
      </x:c>
      <x:c r="M145">
        <x:f ca="1">IF(AND($B$1012=1,LEN($M$1150)&gt;0),$M$1150,HLOOKUP(INDIRECT(ADDRESS(2,COLUMN())),OFFSET($T$2,0,0,ROW()-1,14),ROW()-1,FALSE))</x:f>
        <x:v>2.3886599999999998</x:v>
      </x:c>
      <x:c r="N145">
        <x:f ca="1">IF(AND($B$1012=1,LEN($N$1150)&gt;0),$N$1150,HLOOKUP(INDIRECT(ADDRESS(2,COLUMN())),OFFSET($T$2,0,0,ROW()-1,14),ROW()-1,FALSE))</x:f>
        <x:v>-12.944625</x:v>
      </x:c>
      <x:c r="O145">
        <x:f ca="1">IF(AND($B$1012=1,LEN($O$1150)&gt;0),$O$1150,HLOOKUP(INDIRECT(ADDRESS(2,COLUMN())),OFFSET($T$2,0,0,ROW()-1,14),ROW()-1,FALSE))</x:f>
        <x:v>-10.663935</x:v>
      </x:c>
      <x:c r="P145">
        <x:f ca="1">IF(AND($B$1012=1,LEN($P$1150)&gt;0),$P$1150,HLOOKUP(INDIRECT(ADDRESS(2,COLUMN())),OFFSET($T$2,0,0,ROW()-1,14),ROW()-1,FALSE))</x:f>
        <x:v>-0.87354500000000002</x:v>
      </x:c>
      <x:c r="Q145">
        <x:f ca="1">IF(AND($B$1012=1,LEN($Q$1150)&gt;0),$Q$1150,HLOOKUP(INDIRECT(ADDRESS(2,COLUMN())),OFFSET($T$2,0,0,ROW()-1,14),ROW()-1,FALSE))</x:f>
        <x:v>-14.382595</x:v>
      </x:c>
      <x:c r="R145">
        <x:f ca="1">IF(AND($B$1012=1,LEN($R$1150)&gt;0),$R$1150,HLOOKUP(INDIRECT(ADDRESS(2,COLUMN())),OFFSET($T$2,0,0,ROW()-1,14),ROW()-1,FALSE))</x:f>
        <x:v>21.29871</x:v>
      </x:c>
      <x:c r="S145">
        <x:f ca="1">IF(AND($B$1012=1,LEN($S$1150)&gt;0),$S$1150,HLOOKUP(INDIRECT(ADDRESS(2,COLUMN())),OFFSET($T$2,0,0,ROW()-1,14),ROW()-1,FALSE))</x:f>
        <x:v>9.5855999999999995</x:v>
      </x:c>
      <x:c r="T145">
        <x:f>-9.02217</x:f>
        <x:v>-9.0221699999999991</x:v>
      </x:c>
      <x:c r="U145">
        <x:f>-3.90519</x:f>
        <x:v>-3.9051900000000002</x:v>
      </x:c>
      <x:c r="V145">
        <x:f>0.504045</x:f>
        <x:v>0.50404499999999997</x:v>
      </x:c>
      <x:c r="W145">
        <x:f>2.241815</x:f>
        <x:v>2.2418149999999999</x:v>
      </x:c>
      <x:c r="X145">
        <x:f>10.071915</x:f>
        <x:v>10.071915000000001</x:v>
      </x:c>
      <x:c r="Y145">
        <x:f>-0.045835</x:f>
        <x:v>-4.5835000000000001E-2</x:v>
      </x:c>
      <x:c r="Z145">
        <x:f>-4.919645</x:f>
        <x:v>-4.919645</x:v>
      </x:c>
      <x:c r="AA145">
        <x:f>2.38866</x:f>
        <x:v>2.3886599999999998</x:v>
      </x:c>
      <x:c r="AB145">
        <x:f>-12.944625</x:f>
        <x:v>-12.944625</x:v>
      </x:c>
      <x:c r="AC145">
        <x:f>-10.663935</x:f>
        <x:v>-10.663935</x:v>
      </x:c>
      <x:c r="AD145">
        <x:f>-0.873545</x:f>
        <x:v>-0.87354500000000002</x:v>
      </x:c>
      <x:c r="AE145">
        <x:f>-14.382595</x:f>
        <x:v>-14.382595</x:v>
      </x:c>
      <x:c r="AF145">
        <x:f>21.29871</x:f>
        <x:v>21.29871</x:v>
      </x:c>
      <x:c r="AG145">
        <x:f>9.5856</x:f>
        <x:v>9.5855999999999995</x:v>
      </x:c>
    </x:row>
    <x:row r="146" spans="1:33" x14ac:dyDescent="0.25">
      <x:c r="A146" t="str">
        <x:f>"        Credit Suisse X-Links WTI Crud"</x:f>
        <x:v xml:space="preserve">        Credit Suisse X-Links WTI Crud</x:v>
      </x:c>
      <x:c r="B146" t="str">
        <x:f>"OIIL US Equity"</x:f>
        <x:v>OIIL US Equity</x:v>
      </x:c>
      <x:c r="E146" t="str">
        <x:f t="shared" si="4"/>
        <x:v>Expression</x:v>
      </x:c>
      <x:c r="F146" t="str">
        <x:f ca="1">IF(AND($B$1012=1,LEN($F$1151)&gt;0),$F$1151,HLOOKUP(INDIRECT(ADDRESS(2,COLUMN())),OFFSET($T$2,0,0,ROW()-1,14),ROW()-1,FALSE))</x:f>
        <x:v/>
      </x:c>
      <x:c r="G146" t="str">
        <x:f ca="1">IF(AND($B$1012=1,LEN($G$1151)&gt;0),$G$1151,HLOOKUP(INDIRECT(ADDRESS(2,COLUMN())),OFFSET($T$2,0,0,ROW()-1,14),ROW()-1,FALSE))</x:f>
        <x:v/>
      </x:c>
      <x:c r="H146" t="str">
        <x:f ca="1">IF(AND($B$1012=1,LEN($H$1151)&gt;0),$H$1151,HLOOKUP(INDIRECT(ADDRESS(2,COLUMN())),OFFSET($T$2,0,0,ROW()-1,14),ROW()-1,FALSE))</x:f>
        <x:v/>
      </x:c>
      <x:c r="I146" t="str">
        <x:f ca="1">IF(AND($B$1012=1,LEN($I$1151)&gt;0),$I$1151,HLOOKUP(INDIRECT(ADDRESS(2,COLUMN())),OFFSET($T$2,0,0,ROW()-1,14),ROW()-1,FALSE))</x:f>
        <x:v/>
      </x:c>
      <x:c r="J146" t="str">
        <x:f ca="1">IF(AND($B$1012=1,LEN($J$1151)&gt;0),$J$1151,HLOOKUP(INDIRECT(ADDRESS(2,COLUMN())),OFFSET($T$2,0,0,ROW()-1,14),ROW()-1,FALSE))</x:f>
        <x:v/>
      </x:c>
      <x:c r="K146" t="str">
        <x:f ca="1">IF(AND($B$1012=1,LEN($K$1151)&gt;0),$K$1151,HLOOKUP(INDIRECT(ADDRESS(2,COLUMN())),OFFSET($T$2,0,0,ROW()-1,14),ROW()-1,FALSE))</x:f>
        <x:v/>
      </x:c>
      <x:c r="L146" t="str">
        <x:f ca="1">IF(AND($B$1012=1,LEN($L$1151)&gt;0),$L$1151,HLOOKUP(INDIRECT(ADDRESS(2,COLUMN())),OFFSET($T$2,0,0,ROW()-1,14),ROW()-1,FALSE))</x:f>
        <x:v/>
      </x:c>
      <x:c r="M146" t="str">
        <x:f ca="1">IF(AND($B$1012=1,LEN($M$1151)&gt;0),$M$1151,HLOOKUP(INDIRECT(ADDRESS(2,COLUMN())),OFFSET($T$2,0,0,ROW()-1,14),ROW()-1,FALSE))</x:f>
        <x:v/>
      </x:c>
      <x:c r="N146" t="str">
        <x:f ca="1">IF(AND($B$1012=1,LEN($N$1151)&gt;0),$N$1151,HLOOKUP(INDIRECT(ADDRESS(2,COLUMN())),OFFSET($T$2,0,0,ROW()-1,14),ROW()-1,FALSE))</x:f>
        <x:v/>
      </x:c>
      <x:c r="O146" t="str">
        <x:f ca="1">IF(AND($B$1012=1,LEN($O$1151)&gt;0),$O$1151,HLOOKUP(INDIRECT(ADDRESS(2,COLUMN())),OFFSET($T$2,0,0,ROW()-1,14),ROW()-1,FALSE))</x:f>
        <x:v/>
      </x:c>
      <x:c r="P146" t="str">
        <x:f ca="1">IF(AND($B$1012=1,LEN($P$1151)&gt;0),$P$1151,HLOOKUP(INDIRECT(ADDRESS(2,COLUMN())),OFFSET($T$2,0,0,ROW()-1,14),ROW()-1,FALSE))</x:f>
        <x:v/>
      </x:c>
      <x:c r="Q146" t="str">
        <x:f ca="1">IF(AND($B$1012=1,LEN($Q$1151)&gt;0),$Q$1151,HLOOKUP(INDIRECT(ADDRESS(2,COLUMN())),OFFSET($T$2,0,0,ROW()-1,14),ROW()-1,FALSE))</x:f>
        <x:v/>
      </x:c>
      <x:c r="R146" t="str">
        <x:f ca="1">IF(AND($B$1012=1,LEN($R$1151)&gt;0),$R$1151,HLOOKUP(INDIRECT(ADDRESS(2,COLUMN())),OFFSET($T$2,0,0,ROW()-1,14),ROW()-1,FALSE))</x:f>
        <x:v/>
      </x:c>
      <x:c r="S146" t="str">
        <x:f ca="1">IF(AND($B$1012=1,LEN($S$1151)&gt;0),$S$1151,HLOOKUP(INDIRECT(ADDRESS(2,COLUMN())),OFFSET($T$2,0,0,ROW()-1,14),ROW()-1,FALSE))</x:f>
        <x:v/>
      </x:c>
      <x:c r="T146" t="str">
        <x:f>""</x:f>
        <x:v/>
      </x:c>
      <x:c r="U146" t="str">
        <x:f>""</x:f>
        <x:v/>
      </x:c>
      <x:c r="V146" t="str">
        <x:f>""</x:f>
        <x:v/>
      </x:c>
      <x:c r="W146" t="str">
        <x:f>""</x:f>
        <x:v/>
      </x:c>
      <x:c r="X146" t="str">
        <x:f>""</x:f>
        <x:v/>
      </x:c>
      <x:c r="Y146" t="str">
        <x:f>""</x:f>
        <x:v/>
      </x:c>
      <x:c r="Z146" t="str">
        <x:f>""</x:f>
        <x:v/>
      </x:c>
      <x:c r="AA146" t="str">
        <x:f>""</x:f>
        <x:v/>
      </x:c>
      <x:c r="AB146" t="str">
        <x:f>""</x:f>
        <x:v/>
      </x:c>
      <x:c r="AC146" t="str">
        <x:f>""</x:f>
        <x:v/>
      </x:c>
      <x:c r="AD146" t="str">
        <x:f>""</x:f>
        <x:v/>
      </x:c>
      <x:c r="AE146" t="str">
        <x:f>""</x:f>
        <x:v/>
      </x:c>
      <x:c r="AF146" t="str">
        <x:f>""</x:f>
        <x:v/>
      </x:c>
      <x:c r="AG146" t="str">
        <x:f>""</x:f>
        <x:v/>
      </x:c>
    </x:row>
    <x:row r="147" spans="1:33" x14ac:dyDescent="0.25">
      <x:c r="A147" t="str">
        <x:f>"        Alerian Energy Infrastructure"</x:f>
        <x:v xml:space="preserve">        Alerian Energy Infrastructure</x:v>
      </x:c>
      <x:c r="B147" t="str">
        <x:f>"ENFR US Equity"</x:f>
        <x:v>ENFR US Equity</x:v>
      </x:c>
      <x:c r="E147" t="str">
        <x:f t="shared" si="4"/>
        <x:v>Expression</x:v>
      </x:c>
      <x:c r="F147">
        <x:f ca="1">IF(AND($B$1012=1,LEN($F$1152)&gt;0),$F$1152,HLOOKUP(INDIRECT(ADDRESS(2,COLUMN())),OFFSET($T$2,0,0,ROW()-1,14),ROW()-1,FALSE))</x:f>
        <x:v>1.1233109999999999</x:v>
      </x:c>
      <x:c r="G147">
        <x:f ca="1">IF(AND($B$1012=1,LEN($G$1152)&gt;0),$G$1152,HLOOKUP(INDIRECT(ADDRESS(2,COLUMN())),OFFSET($T$2,0,0,ROW()-1,14),ROW()-1,FALSE))</x:f>
        <x:v>2.2737590000000001</x:v>
      </x:c>
      <x:c r="H147">
        <x:f ca="1">IF(AND($B$1012=1,LEN($H$1152)&gt;0),$H$1152,HLOOKUP(INDIRECT(ADDRESS(2,COLUMN())),OFFSET($T$2,0,0,ROW()-1,14),ROW()-1,FALSE))</x:f>
        <x:v>0</x:v>
      </x:c>
      <x:c r="I147">
        <x:f ca="1">IF(AND($B$1012=1,LEN($I$1152)&gt;0),$I$1152,HLOOKUP(INDIRECT(ADDRESS(2,COLUMN())),OFFSET($T$2,0,0,ROW()-1,14),ROW()-1,FALSE))</x:f>
        <x:v>0</x:v>
      </x:c>
      <x:c r="J147">
        <x:f ca="1">IF(AND($B$1012=1,LEN($J$1152)&gt;0),$J$1152,HLOOKUP(INDIRECT(ADDRESS(2,COLUMN())),OFFSET($T$2,0,0,ROW()-1,14),ROW()-1,FALSE))</x:f>
        <x:v>-1.1207450000000001</x:v>
      </x:c>
      <x:c r="K147">
        <x:f ca="1">IF(AND($B$1012=1,LEN($K$1152)&gt;0),$K$1152,HLOOKUP(INDIRECT(ADDRESS(2,COLUMN())),OFFSET($T$2,0,0,ROW()-1,14),ROW()-1,FALSE))</x:f>
        <x:v>-2.674677</x:v>
      </x:c>
      <x:c r="L147">
        <x:f ca="1">IF(AND($B$1012=1,LEN($L$1152)&gt;0),$L$1152,HLOOKUP(INDIRECT(ADDRESS(2,COLUMN())),OFFSET($T$2,0,0,ROW()-1,14),ROW()-1,FALSE))</x:f>
        <x:v>-2.5566659999999999</x:v>
      </x:c>
      <x:c r="M147">
        <x:f ca="1">IF(AND($B$1012=1,LEN($M$1152)&gt;0),$M$1152,HLOOKUP(INDIRECT(ADDRESS(2,COLUMN())),OFFSET($T$2,0,0,ROW()-1,14),ROW()-1,FALSE))</x:f>
        <x:v>-1.072338</x:v>
      </x:c>
      <x:c r="N147">
        <x:f ca="1">IF(AND($B$1012=1,LEN($N$1152)&gt;0),$N$1152,HLOOKUP(INDIRECT(ADDRESS(2,COLUMN())),OFFSET($T$2,0,0,ROW()-1,14),ROW()-1,FALSE))</x:f>
        <x:v>-1.0010209999999999</x:v>
      </x:c>
      <x:c r="O147">
        <x:f ca="1">IF(AND($B$1012=1,LEN($O$1152)&gt;0),$O$1152,HLOOKUP(INDIRECT(ADDRESS(2,COLUMN())),OFFSET($T$2,0,0,ROW()-1,14),ROW()-1,FALSE))</x:f>
        <x:v>-1.6605589999999999</x:v>
      </x:c>
      <x:c r="P147">
        <x:f ca="1">IF(AND($B$1012=1,LEN($P$1152)&gt;0),$P$1152,HLOOKUP(INDIRECT(ADDRESS(2,COLUMN())),OFFSET($T$2,0,0,ROW()-1,14),ROW()-1,FALSE))</x:f>
        <x:v>-4.9843479999999998</x:v>
      </x:c>
      <x:c r="Q147">
        <x:f ca="1">IF(AND($B$1012=1,LEN($Q$1152)&gt;0),$Q$1152,HLOOKUP(INDIRECT(ADDRESS(2,COLUMN())),OFFSET($T$2,0,0,ROW()-1,14),ROW()-1,FALSE))</x:f>
        <x:v>-1.552014</x:v>
      </x:c>
      <x:c r="R147">
        <x:f ca="1">IF(AND($B$1012=1,LEN($R$1152)&gt;0),$R$1152,HLOOKUP(INDIRECT(ADDRESS(2,COLUMN())),OFFSET($T$2,0,0,ROW()-1,14),ROW()-1,FALSE))</x:f>
        <x:v>8.7915229999999998</x:v>
      </x:c>
      <x:c r="S147">
        <x:f ca="1">IF(AND($B$1012=1,LEN($S$1152)&gt;0),$S$1152,HLOOKUP(INDIRECT(ADDRESS(2,COLUMN())),OFFSET($T$2,0,0,ROW()-1,14),ROW()-1,FALSE))</x:f>
        <x:v>-4.8332280000000001</x:v>
      </x:c>
      <x:c r="T147">
        <x:f>1.123311</x:f>
        <x:v>1.1233109999999999</x:v>
      </x:c>
      <x:c r="U147">
        <x:f>2.273759</x:f>
        <x:v>2.2737590000000001</x:v>
      </x:c>
      <x:c r="V147">
        <x:f>0</x:f>
        <x:v>0</x:v>
      </x:c>
      <x:c r="W147">
        <x:f>0</x:f>
        <x:v>0</x:v>
      </x:c>
      <x:c r="X147">
        <x:f>-1.120745</x:f>
        <x:v>-1.1207450000000001</x:v>
      </x:c>
      <x:c r="Y147">
        <x:f>-2.674677</x:f>
        <x:v>-2.674677</x:v>
      </x:c>
      <x:c r="Z147">
        <x:f>-2.556666</x:f>
        <x:v>-2.5566659999999999</x:v>
      </x:c>
      <x:c r="AA147">
        <x:f>-1.072338</x:f>
        <x:v>-1.072338</x:v>
      </x:c>
      <x:c r="AB147">
        <x:f>-1.001021</x:f>
        <x:v>-1.0010209999999999</x:v>
      </x:c>
      <x:c r="AC147">
        <x:f>-1.660559</x:f>
        <x:v>-1.6605589999999999</x:v>
      </x:c>
      <x:c r="AD147">
        <x:f>-4.984348</x:f>
        <x:v>-4.9843479999999998</x:v>
      </x:c>
      <x:c r="AE147">
        <x:f>-1.552014</x:f>
        <x:v>-1.552014</x:v>
      </x:c>
      <x:c r="AF147">
        <x:f>8.791523</x:f>
        <x:v>8.7915229999999998</x:v>
      </x:c>
      <x:c r="AG147">
        <x:f>-4.833228</x:f>
        <x:v>-4.8332280000000001</x:v>
      </x:c>
    </x:row>
    <x:row r="148" spans="1:33" x14ac:dyDescent="0.25">
      <x:c r="A148" t="str">
        <x:f>"        Invesco Dynamic Oil &amp; Gas Serv"</x:f>
        <x:v xml:space="preserve">        Invesco Dynamic Oil &amp; Gas Serv</x:v>
      </x:c>
      <x:c r="B148" t="str">
        <x:f>"PXJ US Equity"</x:f>
        <x:v>PXJ US Equity</x:v>
      </x:c>
      <x:c r="E148" t="str">
        <x:f t="shared" si="4"/>
        <x:v>Expression</x:v>
      </x:c>
      <x:c r="F148">
        <x:f ca="1">IF(AND($B$1012=1,LEN($F$1153)&gt;0),$F$1153,HLOOKUP(INDIRECT(ADDRESS(2,COLUMN())),OFFSET($T$2,0,0,ROW()-1,14),ROW()-1,FALSE))</x:f>
        <x:v>5.8841169999999998</x:v>
      </x:c>
      <x:c r="G148">
        <x:f ca="1">IF(AND($B$1012=1,LEN($G$1153)&gt;0),$G$1153,HLOOKUP(INDIRECT(ADDRESS(2,COLUMN())),OFFSET($T$2,0,0,ROW()-1,14),ROW()-1,FALSE))</x:f>
        <x:v>38.160263999999998</x:v>
      </x:c>
      <x:c r="H148">
        <x:f ca="1">IF(AND($B$1012=1,LEN($H$1153)&gt;0),$H$1153,HLOOKUP(INDIRECT(ADDRESS(2,COLUMN())),OFFSET($T$2,0,0,ROW()-1,14),ROW()-1,FALSE))</x:f>
        <x:v>8.658512</x:v>
      </x:c>
      <x:c r="I148">
        <x:f ca="1">IF(AND($B$1012=1,LEN($I$1153)&gt;0),$I$1153,HLOOKUP(INDIRECT(ADDRESS(2,COLUMN())),OFFSET($T$2,0,0,ROW()-1,14),ROW()-1,FALSE))</x:f>
        <x:v>-0.58120400000000005</x:v>
      </x:c>
      <x:c r="J148">
        <x:f ca="1">IF(AND($B$1012=1,LEN($J$1153)&gt;0),$J$1153,HLOOKUP(INDIRECT(ADDRESS(2,COLUMN())),OFFSET($T$2,0,0,ROW()-1,14),ROW()-1,FALSE))</x:f>
        <x:v>-3.9389910000000001</x:v>
      </x:c>
      <x:c r="K148">
        <x:f ca="1">IF(AND($B$1012=1,LEN($K$1153)&gt;0),$K$1153,HLOOKUP(INDIRECT(ADDRESS(2,COLUMN())),OFFSET($T$2,0,0,ROW()-1,14),ROW()-1,FALSE))</x:f>
        <x:v>-5.2836340000000002</x:v>
      </x:c>
      <x:c r="L148">
        <x:f ca="1">IF(AND($B$1012=1,LEN($L$1153)&gt;0),$L$1153,HLOOKUP(INDIRECT(ADDRESS(2,COLUMN())),OFFSET($T$2,0,0,ROW()-1,14),ROW()-1,FALSE))</x:f>
        <x:v>-41.827621000000001</x:v>
      </x:c>
      <x:c r="M148">
        <x:f ca="1">IF(AND($B$1012=1,LEN($M$1153)&gt;0),$M$1153,HLOOKUP(INDIRECT(ADDRESS(2,COLUMN())),OFFSET($T$2,0,0,ROW()-1,14),ROW()-1,FALSE))</x:f>
        <x:v>-6.3527659999999999</x:v>
      </x:c>
      <x:c r="N148">
        <x:f ca="1">IF(AND($B$1012=1,LEN($N$1153)&gt;0),$N$1153,HLOOKUP(INDIRECT(ADDRESS(2,COLUMN())),OFFSET($T$2,0,0,ROW()-1,14),ROW()-1,FALSE))</x:f>
        <x:v>5.1873610000000001</x:v>
      </x:c>
      <x:c r="O148">
        <x:f ca="1">IF(AND($B$1012=1,LEN($O$1153)&gt;0),$O$1153,HLOOKUP(INDIRECT(ADDRESS(2,COLUMN())),OFFSET($T$2,0,0,ROW()-1,14),ROW()-1,FALSE))</x:f>
        <x:v>11.195463</x:v>
      </x:c>
      <x:c r="P148">
        <x:f ca="1">IF(AND($B$1012=1,LEN($P$1153)&gt;0),$P$1153,HLOOKUP(INDIRECT(ADDRESS(2,COLUMN())),OFFSET($T$2,0,0,ROW()-1,14),ROW()-1,FALSE))</x:f>
        <x:v>9.3405439999999995</x:v>
      </x:c>
      <x:c r="Q148">
        <x:f ca="1">IF(AND($B$1012=1,LEN($Q$1153)&gt;0),$Q$1153,HLOOKUP(INDIRECT(ADDRESS(2,COLUMN())),OFFSET($T$2,0,0,ROW()-1,14),ROW()-1,FALSE))</x:f>
        <x:v>9.3550529999999998</x:v>
      </x:c>
      <x:c r="R148">
        <x:f ca="1">IF(AND($B$1012=1,LEN($R$1153)&gt;0),$R$1153,HLOOKUP(INDIRECT(ADDRESS(2,COLUMN())),OFFSET($T$2,0,0,ROW()-1,14),ROW()-1,FALSE))</x:f>
        <x:v>7.2734100000000002</x:v>
      </x:c>
      <x:c r="S148">
        <x:f ca="1">IF(AND($B$1012=1,LEN($S$1153)&gt;0),$S$1153,HLOOKUP(INDIRECT(ADDRESS(2,COLUMN())),OFFSET($T$2,0,0,ROW()-1,14),ROW()-1,FALSE))</x:f>
        <x:v>21.515637999999999</x:v>
      </x:c>
      <x:c r="T148">
        <x:f>5.884117</x:f>
        <x:v>5.8841169999999998</x:v>
      </x:c>
      <x:c r="U148">
        <x:f>38.160264</x:f>
        <x:v>38.160263999999998</x:v>
      </x:c>
      <x:c r="V148">
        <x:f>8.658512</x:f>
        <x:v>8.658512</x:v>
      </x:c>
      <x:c r="W148">
        <x:f>-0.581204</x:f>
        <x:v>-0.58120400000000005</x:v>
      </x:c>
      <x:c r="X148">
        <x:f>-3.938991</x:f>
        <x:v>-3.9389910000000001</x:v>
      </x:c>
      <x:c r="Y148">
        <x:f>-5.283634</x:f>
        <x:v>-5.2836340000000002</x:v>
      </x:c>
      <x:c r="Z148">
        <x:f>-41.827621</x:f>
        <x:v>-41.827621000000001</x:v>
      </x:c>
      <x:c r="AA148">
        <x:f>-6.352766</x:f>
        <x:v>-6.3527659999999999</x:v>
      </x:c>
      <x:c r="AB148">
        <x:f>5.187361</x:f>
        <x:v>5.1873610000000001</x:v>
      </x:c>
      <x:c r="AC148">
        <x:f>11.195463</x:f>
        <x:v>11.195463</x:v>
      </x:c>
      <x:c r="AD148">
        <x:f>9.340544</x:f>
        <x:v>9.3405439999999995</x:v>
      </x:c>
      <x:c r="AE148">
        <x:f>9.355053</x:f>
        <x:v>9.3550529999999998</x:v>
      </x:c>
      <x:c r="AF148">
        <x:f>7.27341</x:f>
        <x:v>7.2734100000000002</x:v>
      </x:c>
      <x:c r="AG148">
        <x:f>21.515638</x:f>
        <x:v>21.515637999999999</x:v>
      </x:c>
    </x:row>
    <x:row r="149" spans="1:33" x14ac:dyDescent="0.25">
      <x:c r="A149" t="str">
        <x:f>"        ETRACS S&amp;P GSCI Crude Oil Tota"</x:f>
        <x:v xml:space="preserve">        ETRACS S&amp;P GSCI Crude Oil Tota</x:v>
      </x:c>
      <x:c r="B149" t="str">
        <x:f>"OILX US Equity"</x:f>
        <x:v>OILX US Equity</x:v>
      </x:c>
      <x:c r="E149" t="str">
        <x:f t="shared" si="4"/>
        <x:v>Expression</x:v>
      </x:c>
      <x:c r="F149" t="str">
        <x:f ca="1">IF(AND($B$1012=1,LEN($F$1154)&gt;0),$F$1154,HLOOKUP(INDIRECT(ADDRESS(2,COLUMN())),OFFSET($T$2,0,0,ROW()-1,14),ROW()-1,FALSE))</x:f>
        <x:v/>
      </x:c>
      <x:c r="G149" t="str">
        <x:f ca="1">IF(AND($B$1012=1,LEN($G$1154)&gt;0),$G$1154,HLOOKUP(INDIRECT(ADDRESS(2,COLUMN())),OFFSET($T$2,0,0,ROW()-1,14),ROW()-1,FALSE))</x:f>
        <x:v/>
      </x:c>
      <x:c r="H149" t="str">
        <x:f ca="1">IF(AND($B$1012=1,LEN($H$1154)&gt;0),$H$1154,HLOOKUP(INDIRECT(ADDRESS(2,COLUMN())),OFFSET($T$2,0,0,ROW()-1,14),ROW()-1,FALSE))</x:f>
        <x:v/>
      </x:c>
      <x:c r="I149" t="str">
        <x:f ca="1">IF(AND($B$1012=1,LEN($I$1154)&gt;0),$I$1154,HLOOKUP(INDIRECT(ADDRESS(2,COLUMN())),OFFSET($T$2,0,0,ROW()-1,14),ROW()-1,FALSE))</x:f>
        <x:v/>
      </x:c>
      <x:c r="J149" t="str">
        <x:f ca="1">IF(AND($B$1012=1,LEN($J$1154)&gt;0),$J$1154,HLOOKUP(INDIRECT(ADDRESS(2,COLUMN())),OFFSET($T$2,0,0,ROW()-1,14),ROW()-1,FALSE))</x:f>
        <x:v/>
      </x:c>
      <x:c r="K149" t="str">
        <x:f ca="1">IF(AND($B$1012=1,LEN($K$1154)&gt;0),$K$1154,HLOOKUP(INDIRECT(ADDRESS(2,COLUMN())),OFFSET($T$2,0,0,ROW()-1,14),ROW()-1,FALSE))</x:f>
        <x:v/>
      </x:c>
      <x:c r="L149" t="str">
        <x:f ca="1">IF(AND($B$1012=1,LEN($L$1154)&gt;0),$L$1154,HLOOKUP(INDIRECT(ADDRESS(2,COLUMN())),OFFSET($T$2,0,0,ROW()-1,14),ROW()-1,FALSE))</x:f>
        <x:v/>
      </x:c>
      <x:c r="M149" t="str">
        <x:f ca="1">IF(AND($B$1012=1,LEN($M$1154)&gt;0),$M$1154,HLOOKUP(INDIRECT(ADDRESS(2,COLUMN())),OFFSET($T$2,0,0,ROW()-1,14),ROW()-1,FALSE))</x:f>
        <x:v/>
      </x:c>
      <x:c r="N149" t="str">
        <x:f ca="1">IF(AND($B$1012=1,LEN($N$1154)&gt;0),$N$1154,HLOOKUP(INDIRECT(ADDRESS(2,COLUMN())),OFFSET($T$2,0,0,ROW()-1,14),ROW()-1,FALSE))</x:f>
        <x:v/>
      </x:c>
      <x:c r="O149" t="str">
        <x:f ca="1">IF(AND($B$1012=1,LEN($O$1154)&gt;0),$O$1154,HLOOKUP(INDIRECT(ADDRESS(2,COLUMN())),OFFSET($T$2,0,0,ROW()-1,14),ROW()-1,FALSE))</x:f>
        <x:v/>
      </x:c>
      <x:c r="P149" t="str">
        <x:f ca="1">IF(AND($B$1012=1,LEN($P$1154)&gt;0),$P$1154,HLOOKUP(INDIRECT(ADDRESS(2,COLUMN())),OFFSET($T$2,0,0,ROW()-1,14),ROW()-1,FALSE))</x:f>
        <x:v/>
      </x:c>
      <x:c r="Q149" t="str">
        <x:f ca="1">IF(AND($B$1012=1,LEN($Q$1154)&gt;0),$Q$1154,HLOOKUP(INDIRECT(ADDRESS(2,COLUMN())),OFFSET($T$2,0,0,ROW()-1,14),ROW()-1,FALSE))</x:f>
        <x:v/>
      </x:c>
      <x:c r="R149" t="str">
        <x:f ca="1">IF(AND($B$1012=1,LEN($R$1154)&gt;0),$R$1154,HLOOKUP(INDIRECT(ADDRESS(2,COLUMN())),OFFSET($T$2,0,0,ROW()-1,14),ROW()-1,FALSE))</x:f>
        <x:v/>
      </x:c>
      <x:c r="S149" t="str">
        <x:f ca="1">IF(AND($B$1012=1,LEN($S$1154)&gt;0),$S$1154,HLOOKUP(INDIRECT(ADDRESS(2,COLUMN())),OFFSET($T$2,0,0,ROW()-1,14),ROW()-1,FALSE))</x:f>
        <x:v/>
      </x:c>
      <x:c r="T149" t="str">
        <x:f>""</x:f>
        <x:v/>
      </x:c>
      <x:c r="U149" t="str">
        <x:f>""</x:f>
        <x:v/>
      </x:c>
      <x:c r="V149" t="str">
        <x:f>""</x:f>
        <x:v/>
      </x:c>
      <x:c r="W149" t="str">
        <x:f>""</x:f>
        <x:v/>
      </x:c>
      <x:c r="X149" t="str">
        <x:f>""</x:f>
        <x:v/>
      </x:c>
      <x:c r="Y149" t="str">
        <x:f>""</x:f>
        <x:v/>
      </x:c>
      <x:c r="Z149" t="str">
        <x:f>""</x:f>
        <x:v/>
      </x:c>
      <x:c r="AA149" t="str">
        <x:f>""</x:f>
        <x:v/>
      </x:c>
      <x:c r="AB149" t="str">
        <x:f>""</x:f>
        <x:v/>
      </x:c>
      <x:c r="AC149" t="str">
        <x:f>""</x:f>
        <x:v/>
      </x:c>
      <x:c r="AD149" t="str">
        <x:f>""</x:f>
        <x:v/>
      </x:c>
      <x:c r="AE149" t="str">
        <x:f>""</x:f>
        <x:v/>
      </x:c>
      <x:c r="AF149" t="str">
        <x:f>""</x:f>
        <x:v/>
      </x:c>
      <x:c r="AG149" t="str">
        <x:f>""</x:f>
        <x:v/>
      </x:c>
    </x:row>
    <x:row r="150" spans="1:33" x14ac:dyDescent="0.25">
      <x:c r="A150" t="str">
        <x:f>"        VanEck Uranium + Nuclear Energ"</x:f>
        <x:v xml:space="preserve">        VanEck Uranium + Nuclear Energ</x:v>
      </x:c>
      <x:c r="B150" t="str">
        <x:f>"NLR US Equity"</x:f>
        <x:v>NLR US Equity</x:v>
      </x:c>
      <x:c r="E150" t="str">
        <x:f t="shared" si="4"/>
        <x:v>Expression</x:v>
      </x:c>
      <x:c r="F150">
        <x:f ca="1">IF(AND($B$1012=1,LEN($F$1155)&gt;0),$F$1155,HLOOKUP(INDIRECT(ADDRESS(2,COLUMN())),OFFSET($T$2,0,0,ROW()-1,14),ROW()-1,FALSE))</x:f>
        <x:v>5.4910019999999999</x:v>
      </x:c>
      <x:c r="G150">
        <x:f ca="1">IF(AND($B$1012=1,LEN($G$1155)&gt;0),$G$1155,HLOOKUP(INDIRECT(ADDRESS(2,COLUMN())),OFFSET($T$2,0,0,ROW()-1,14),ROW()-1,FALSE))</x:f>
        <x:v>1.442752</x:v>
      </x:c>
      <x:c r="H150">
        <x:f ca="1">IF(AND($B$1012=1,LEN($H$1155)&gt;0),$H$1155,HLOOKUP(INDIRECT(ADDRESS(2,COLUMN())),OFFSET($T$2,0,0,ROW()-1,14),ROW()-1,FALSE))</x:f>
        <x:v>18.690391000000002</x:v>
      </x:c>
      <x:c r="I150">
        <x:f ca="1">IF(AND($B$1012=1,LEN($I$1155)&gt;0),$I$1155,HLOOKUP(INDIRECT(ADDRESS(2,COLUMN())),OFFSET($T$2,0,0,ROW()-1,14),ROW()-1,FALSE))</x:f>
        <x:v>10.832729</x:v>
      </x:c>
      <x:c r="J150">
        <x:f ca="1">IF(AND($B$1012=1,LEN($J$1155)&gt;0),$J$1155,HLOOKUP(INDIRECT(ADDRESS(2,COLUMN())),OFFSET($T$2,0,0,ROW()-1,14),ROW()-1,FALSE))</x:f>
        <x:v>8.9815290000000001</x:v>
      </x:c>
      <x:c r="K150">
        <x:f ca="1">IF(AND($B$1012=1,LEN($K$1155)&gt;0),$K$1155,HLOOKUP(INDIRECT(ADDRESS(2,COLUMN())),OFFSET($T$2,0,0,ROW()-1,14),ROW()-1,FALSE))</x:f>
        <x:v>-2.90184</x:v>
      </x:c>
      <x:c r="L150">
        <x:f ca="1">IF(AND($B$1012=1,LEN($L$1155)&gt;0),$L$1155,HLOOKUP(INDIRECT(ADDRESS(2,COLUMN())),OFFSET($T$2,0,0,ROW()-1,14),ROW()-1,FALSE))</x:f>
        <x:v>0</x:v>
      </x:c>
      <x:c r="M150">
        <x:f ca="1">IF(AND($B$1012=1,LEN($M$1155)&gt;0),$M$1155,HLOOKUP(INDIRECT(ADDRESS(2,COLUMN())),OFFSET($T$2,0,0,ROW()-1,14),ROW()-1,FALSE))</x:f>
        <x:v>1.3760540000000001</x:v>
      </x:c>
      <x:c r="N150">
        <x:f ca="1">IF(AND($B$1012=1,LEN($N$1155)&gt;0),$N$1155,HLOOKUP(INDIRECT(ADDRESS(2,COLUMN())),OFFSET($T$2,0,0,ROW()-1,14),ROW()-1,FALSE))</x:f>
        <x:v>1.3173360000000001</x:v>
      </x:c>
      <x:c r="O150">
        <x:f ca="1">IF(AND($B$1012=1,LEN($O$1155)&gt;0),$O$1155,HLOOKUP(INDIRECT(ADDRESS(2,COLUMN())),OFFSET($T$2,0,0,ROW()-1,14),ROW()-1,FALSE))</x:f>
        <x:v>1.4504280000000001</x:v>
      </x:c>
      <x:c r="P150">
        <x:f ca="1">IF(AND($B$1012=1,LEN($P$1155)&gt;0),$P$1155,HLOOKUP(INDIRECT(ADDRESS(2,COLUMN())),OFFSET($T$2,0,0,ROW()-1,14),ROW()-1,FALSE))</x:f>
        <x:v>0</x:v>
      </x:c>
      <x:c r="Q150">
        <x:f ca="1">IF(AND($B$1012=1,LEN($Q$1155)&gt;0),$Q$1155,HLOOKUP(INDIRECT(ADDRESS(2,COLUMN())),OFFSET($T$2,0,0,ROW()-1,14),ROW()-1,FALSE))</x:f>
        <x:v>-2.7865310000000001</x:v>
      </x:c>
      <x:c r="R150">
        <x:f ca="1">IF(AND($B$1012=1,LEN($R$1155)&gt;0),$R$1155,HLOOKUP(INDIRECT(ADDRESS(2,COLUMN())),OFFSET($T$2,0,0,ROW()-1,14),ROW()-1,FALSE))</x:f>
        <x:v>1.381883</x:v>
      </x:c>
      <x:c r="S150">
        <x:f ca="1">IF(AND($B$1012=1,LEN($S$1155)&gt;0),$S$1155,HLOOKUP(INDIRECT(ADDRESS(2,COLUMN())),OFFSET($T$2,0,0,ROW()-1,14),ROW()-1,FALSE))</x:f>
        <x:v>3.9643470000000001</x:v>
      </x:c>
      <x:c r="T150">
        <x:f>5.491002</x:f>
        <x:v>5.4910019999999999</x:v>
      </x:c>
      <x:c r="U150">
        <x:f>1.442752</x:f>
        <x:v>1.442752</x:v>
      </x:c>
      <x:c r="V150">
        <x:f>18.690391</x:f>
        <x:v>18.690391000000002</x:v>
      </x:c>
      <x:c r="W150">
        <x:f>10.832729</x:f>
        <x:v>10.832729</x:v>
      </x:c>
      <x:c r="X150">
        <x:f>8.981529</x:f>
        <x:v>8.9815290000000001</x:v>
      </x:c>
      <x:c r="Y150">
        <x:f>-2.90184</x:f>
        <x:v>-2.90184</x:v>
      </x:c>
      <x:c r="Z150">
        <x:f>0</x:f>
        <x:v>0</x:v>
      </x:c>
      <x:c r="AA150">
        <x:f>1.376054</x:f>
        <x:v>1.3760540000000001</x:v>
      </x:c>
      <x:c r="AB150">
        <x:f>1.317336</x:f>
        <x:v>1.3173360000000001</x:v>
      </x:c>
      <x:c r="AC150">
        <x:f>1.450428</x:f>
        <x:v>1.4504280000000001</x:v>
      </x:c>
      <x:c r="AD150">
        <x:f>0</x:f>
        <x:v>0</x:v>
      </x:c>
      <x:c r="AE150">
        <x:f>-2.786531</x:f>
        <x:v>-2.7865310000000001</x:v>
      </x:c>
      <x:c r="AF150">
        <x:f>1.381883</x:f>
        <x:v>1.381883</x:v>
      </x:c>
      <x:c r="AG150">
        <x:f>3.964347</x:f>
        <x:v>3.9643470000000001</x:v>
      </x:c>
    </x:row>
    <x:row r="151" spans="1:33" x14ac:dyDescent="0.25">
      <x:c r="A151" t="str">
        <x:f>"        ETRACS Alerian MLP Index ETN S"</x:f>
        <x:v xml:space="preserve">        ETRACS Alerian MLP Index ETN S</x:v>
      </x:c>
      <x:c r="B151" t="str">
        <x:f>"AMUB US Equity"</x:f>
        <x:v>AMUB US Equity</x:v>
      </x:c>
      <x:c r="E151" t="str">
        <x:f t="shared" si="4"/>
        <x:v>Expression</x:v>
      </x:c>
      <x:c r="F151">
        <x:f ca="1">IF(AND($B$1012=1,LEN($F$1156)&gt;0),$F$1156,HLOOKUP(INDIRECT(ADDRESS(2,COLUMN())),OFFSET($T$2,0,0,ROW()-1,14),ROW()-1,FALSE))</x:f>
        <x:v>0</x:v>
      </x:c>
      <x:c r="G151">
        <x:f ca="1">IF(AND($B$1012=1,LEN($G$1156)&gt;0),$G$1156,HLOOKUP(INDIRECT(ADDRESS(2,COLUMN())),OFFSET($T$2,0,0,ROW()-1,14),ROW()-1,FALSE))</x:f>
        <x:v>0</x:v>
      </x:c>
      <x:c r="H151">
        <x:f ca="1">IF(AND($B$1012=1,LEN($H$1156)&gt;0),$H$1156,HLOOKUP(INDIRECT(ADDRESS(2,COLUMN())),OFFSET($T$2,0,0,ROW()-1,14),ROW()-1,FALSE))</x:f>
        <x:v>0</x:v>
      </x:c>
      <x:c r="I151">
        <x:f ca="1">IF(AND($B$1012=1,LEN($I$1156)&gt;0),$I$1156,HLOOKUP(INDIRECT(ADDRESS(2,COLUMN())),OFFSET($T$2,0,0,ROW()-1,14),ROW()-1,FALSE))</x:f>
        <x:v>0</x:v>
      </x:c>
      <x:c r="J151">
        <x:f ca="1">IF(AND($B$1012=1,LEN($J$1156)&gt;0),$J$1156,HLOOKUP(INDIRECT(ADDRESS(2,COLUMN())),OFFSET($T$2,0,0,ROW()-1,14),ROW()-1,FALSE))</x:f>
        <x:v>0</x:v>
      </x:c>
      <x:c r="K151">
        <x:f ca="1">IF(AND($B$1012=1,LEN($K$1156)&gt;0),$K$1156,HLOOKUP(INDIRECT(ADDRESS(2,COLUMN())),OFFSET($T$2,0,0,ROW()-1,14),ROW()-1,FALSE))</x:f>
        <x:v>-11.36528</x:v>
      </x:c>
      <x:c r="L151">
        <x:f ca="1">IF(AND($B$1012=1,LEN($L$1156)&gt;0),$L$1156,HLOOKUP(INDIRECT(ADDRESS(2,COLUMN())),OFFSET($T$2,0,0,ROW()-1,14),ROW()-1,FALSE))</x:f>
        <x:v>-11.11416</x:v>
      </x:c>
      <x:c r="M151">
        <x:f ca="1">IF(AND($B$1012=1,LEN($M$1156)&gt;0),$M$1156,HLOOKUP(INDIRECT(ADDRESS(2,COLUMN())),OFFSET($T$2,0,0,ROW()-1,14),ROW()-1,FALSE))</x:f>
        <x:v>-7.0041000000000002</x:v>
      </x:c>
      <x:c r="N151">
        <x:f ca="1">IF(AND($B$1012=1,LEN($N$1156)&gt;0),$N$1156,HLOOKUP(INDIRECT(ADDRESS(2,COLUMN())),OFFSET($T$2,0,0,ROW()-1,14),ROW()-1,FALSE))</x:f>
        <x:v>0</x:v>
      </x:c>
      <x:c r="O151">
        <x:f ca="1">IF(AND($B$1012=1,LEN($O$1156)&gt;0),$O$1156,HLOOKUP(INDIRECT(ADDRESS(2,COLUMN())),OFFSET($T$2,0,0,ROW()-1,14),ROW()-1,FALSE))</x:f>
        <x:v>0</x:v>
      </x:c>
      <x:c r="P151">
        <x:f ca="1">IF(AND($B$1012=1,LEN($P$1156)&gt;0),$P$1156,HLOOKUP(INDIRECT(ADDRESS(2,COLUMN())),OFFSET($T$2,0,0,ROW()-1,14),ROW()-1,FALSE))</x:f>
        <x:v>0</x:v>
      </x:c>
      <x:c r="Q151">
        <x:f ca="1">IF(AND($B$1012=1,LEN($Q$1156)&gt;0),$Q$1156,HLOOKUP(INDIRECT(ADDRESS(2,COLUMN())),OFFSET($T$2,0,0,ROW()-1,14),ROW()-1,FALSE))</x:f>
        <x:v>0</x:v>
      </x:c>
      <x:c r="R151">
        <x:f ca="1">IF(AND($B$1012=1,LEN($R$1156)&gt;0),$R$1156,HLOOKUP(INDIRECT(ADDRESS(2,COLUMN())),OFFSET($T$2,0,0,ROW()-1,14),ROW()-1,FALSE))</x:f>
        <x:v>0</x:v>
      </x:c>
      <x:c r="S151">
        <x:f ca="1">IF(AND($B$1012=1,LEN($S$1156)&gt;0),$S$1156,HLOOKUP(INDIRECT(ADDRESS(2,COLUMN())),OFFSET($T$2,0,0,ROW()-1,14),ROW()-1,FALSE))</x:f>
        <x:v>0</x:v>
      </x:c>
      <x:c r="T151">
        <x:f>0</x:f>
        <x:v>0</x:v>
      </x:c>
      <x:c r="U151">
        <x:f>0</x:f>
        <x:v>0</x:v>
      </x:c>
      <x:c r="V151">
        <x:f>0</x:f>
        <x:v>0</x:v>
      </x:c>
      <x:c r="W151">
        <x:f>0</x:f>
        <x:v>0</x:v>
      </x:c>
      <x:c r="X151">
        <x:f>0</x:f>
        <x:v>0</x:v>
      </x:c>
      <x:c r="Y151">
        <x:f>-11.36528</x:f>
        <x:v>-11.36528</x:v>
      </x:c>
      <x:c r="Z151">
        <x:f>-11.11416</x:f>
        <x:v>-11.11416</x:v>
      </x:c>
      <x:c r="AA151">
        <x:f>-7.0041</x:f>
        <x:v>-7.0041000000000002</x:v>
      </x:c>
      <x:c r="AB151">
        <x:f>0</x:f>
        <x:v>0</x:v>
      </x:c>
      <x:c r="AC151">
        <x:f>0</x:f>
        <x:v>0</x:v>
      </x:c>
      <x:c r="AD151">
        <x:f>0</x:f>
        <x:v>0</x:v>
      </x:c>
      <x:c r="AE151">
        <x:f>0</x:f>
        <x:v>0</x:v>
      </x:c>
      <x:c r="AF151">
        <x:f>0</x:f>
        <x:v>0</x:v>
      </x:c>
      <x:c r="AG151">
        <x:f>0</x:f>
        <x:v>0</x:v>
      </x:c>
    </x:row>
    <x:row r="152" spans="1:33" x14ac:dyDescent="0.25">
      <x:c r="A152" t="str">
        <x:f>"        ETRACS Monthly Pay 2xLeveraged"</x:f>
        <x:v xml:space="preserve">        ETRACS Monthly Pay 2xLeveraged</x:v>
      </x:c>
      <x:c r="B152" t="str">
        <x:f>"LRET US Equity"</x:f>
        <x:v>LRET US Equity</x:v>
      </x:c>
      <x:c r="E152" t="str">
        <x:f t="shared" si="4"/>
        <x:v>Expression</x:v>
      </x:c>
      <x:c r="F152" t="str">
        <x:f ca="1">IF(AND($B$1012=1,LEN($F$1157)&gt;0),$F$1157,HLOOKUP(INDIRECT(ADDRESS(2,COLUMN())),OFFSET($T$2,0,0,ROW()-1,14),ROW()-1,FALSE))</x:f>
        <x:v/>
      </x:c>
      <x:c r="G152" t="str">
        <x:f ca="1">IF(AND($B$1012=1,LEN($G$1157)&gt;0),$G$1157,HLOOKUP(INDIRECT(ADDRESS(2,COLUMN())),OFFSET($T$2,0,0,ROW()-1,14),ROW()-1,FALSE))</x:f>
        <x:v/>
      </x:c>
      <x:c r="H152" t="str">
        <x:f ca="1">IF(AND($B$1012=1,LEN($H$1157)&gt;0),$H$1157,HLOOKUP(INDIRECT(ADDRESS(2,COLUMN())),OFFSET($T$2,0,0,ROW()-1,14),ROW()-1,FALSE))</x:f>
        <x:v/>
      </x:c>
      <x:c r="I152" t="str">
        <x:f ca="1">IF(AND($B$1012=1,LEN($I$1157)&gt;0),$I$1157,HLOOKUP(INDIRECT(ADDRESS(2,COLUMN())),OFFSET($T$2,0,0,ROW()-1,14),ROW()-1,FALSE))</x:f>
        <x:v/>
      </x:c>
      <x:c r="J152" t="str">
        <x:f ca="1">IF(AND($B$1012=1,LEN($J$1157)&gt;0),$J$1157,HLOOKUP(INDIRECT(ADDRESS(2,COLUMN())),OFFSET($T$2,0,0,ROW()-1,14),ROW()-1,FALSE))</x:f>
        <x:v/>
      </x:c>
      <x:c r="K152" t="str">
        <x:f ca="1">IF(AND($B$1012=1,LEN($K$1157)&gt;0),$K$1157,HLOOKUP(INDIRECT(ADDRESS(2,COLUMN())),OFFSET($T$2,0,0,ROW()-1,14),ROW()-1,FALSE))</x:f>
        <x:v/>
      </x:c>
      <x:c r="L152" t="str">
        <x:f ca="1">IF(AND($B$1012=1,LEN($L$1157)&gt;0),$L$1157,HLOOKUP(INDIRECT(ADDRESS(2,COLUMN())),OFFSET($T$2,0,0,ROW()-1,14),ROW()-1,FALSE))</x:f>
        <x:v/>
      </x:c>
      <x:c r="M152" t="str">
        <x:f ca="1">IF(AND($B$1012=1,LEN($M$1157)&gt;0),$M$1157,HLOOKUP(INDIRECT(ADDRESS(2,COLUMN())),OFFSET($T$2,0,0,ROW()-1,14),ROW()-1,FALSE))</x:f>
        <x:v/>
      </x:c>
      <x:c r="N152" t="str">
        <x:f ca="1">IF(AND($B$1012=1,LEN($N$1157)&gt;0),$N$1157,HLOOKUP(INDIRECT(ADDRESS(2,COLUMN())),OFFSET($T$2,0,0,ROW()-1,14),ROW()-1,FALSE))</x:f>
        <x:v/>
      </x:c>
      <x:c r="O152" t="str">
        <x:f ca="1">IF(AND($B$1012=1,LEN($O$1157)&gt;0),$O$1157,HLOOKUP(INDIRECT(ADDRESS(2,COLUMN())),OFFSET($T$2,0,0,ROW()-1,14),ROW()-1,FALSE))</x:f>
        <x:v/>
      </x:c>
      <x:c r="P152" t="str">
        <x:f ca="1">IF(AND($B$1012=1,LEN($P$1157)&gt;0),$P$1157,HLOOKUP(INDIRECT(ADDRESS(2,COLUMN())),OFFSET($T$2,0,0,ROW()-1,14),ROW()-1,FALSE))</x:f>
        <x:v/>
      </x:c>
      <x:c r="Q152" t="str">
        <x:f ca="1">IF(AND($B$1012=1,LEN($Q$1157)&gt;0),$Q$1157,HLOOKUP(INDIRECT(ADDRESS(2,COLUMN())),OFFSET($T$2,0,0,ROW()-1,14),ROW()-1,FALSE))</x:f>
        <x:v/>
      </x:c>
      <x:c r="R152" t="str">
        <x:f ca="1">IF(AND($B$1012=1,LEN($R$1157)&gt;0),$R$1157,HLOOKUP(INDIRECT(ADDRESS(2,COLUMN())),OFFSET($T$2,0,0,ROW()-1,14),ROW()-1,FALSE))</x:f>
        <x:v/>
      </x:c>
      <x:c r="S152" t="str">
        <x:f ca="1">IF(AND($B$1012=1,LEN($S$1157)&gt;0),$S$1157,HLOOKUP(INDIRECT(ADDRESS(2,COLUMN())),OFFSET($T$2,0,0,ROW()-1,14),ROW()-1,FALSE))</x:f>
        <x:v/>
      </x:c>
      <x:c r="T152" t="str">
        <x:f>""</x:f>
        <x:v/>
      </x:c>
      <x:c r="U152" t="str">
        <x:f>""</x:f>
        <x:v/>
      </x:c>
      <x:c r="V152" t="str">
        <x:f>""</x:f>
        <x:v/>
      </x:c>
      <x:c r="W152" t="str">
        <x:f>""</x:f>
        <x:v/>
      </x:c>
      <x:c r="X152" t="str">
        <x:f>""</x:f>
        <x:v/>
      </x:c>
      <x:c r="Y152" t="str">
        <x:f>""</x:f>
        <x:v/>
      </x:c>
      <x:c r="Z152" t="str">
        <x:f>""</x:f>
        <x:v/>
      </x:c>
      <x:c r="AA152" t="str">
        <x:f>""</x:f>
        <x:v/>
      </x:c>
      <x:c r="AB152" t="str">
        <x:f>""</x:f>
        <x:v/>
      </x:c>
      <x:c r="AC152" t="str">
        <x:f>""</x:f>
        <x:v/>
      </x:c>
      <x:c r="AD152" t="str">
        <x:f>""</x:f>
        <x:v/>
      </x:c>
      <x:c r="AE152" t="str">
        <x:f>""</x:f>
        <x:v/>
      </x:c>
      <x:c r="AF152" t="str">
        <x:f>""</x:f>
        <x:v/>
      </x:c>
      <x:c r="AG152" t="str">
        <x:f>""</x:f>
        <x:v/>
      </x:c>
    </x:row>
    <x:row r="153" spans="1:33" x14ac:dyDescent="0.25">
      <x:c r="A153" t="str">
        <x:f>"        X-Links Monthly Pay 2xLeverage"</x:f>
        <x:v xml:space="preserve">        X-Links Monthly Pay 2xLeverage</x:v>
      </x:c>
      <x:c r="B153" t="str">
        <x:f>"AMJL US Equity"</x:f>
        <x:v>AMJL US Equity</x:v>
      </x:c>
      <x:c r="E153" t="str">
        <x:f t="shared" si="4"/>
        <x:v>Expression</x:v>
      </x:c>
      <x:c r="F153" t="str">
        <x:f ca="1">IF(AND($B$1012=1,LEN($F$1158)&gt;0),$F$1158,HLOOKUP(INDIRECT(ADDRESS(2,COLUMN())),OFFSET($T$2,0,0,ROW()-1,14),ROW()-1,FALSE))</x:f>
        <x:v/>
      </x:c>
      <x:c r="G153" t="str">
        <x:f ca="1">IF(AND($B$1012=1,LEN($G$1158)&gt;0),$G$1158,HLOOKUP(INDIRECT(ADDRESS(2,COLUMN())),OFFSET($T$2,0,0,ROW()-1,14),ROW()-1,FALSE))</x:f>
        <x:v/>
      </x:c>
      <x:c r="H153" t="str">
        <x:f ca="1">IF(AND($B$1012=1,LEN($H$1158)&gt;0),$H$1158,HLOOKUP(INDIRECT(ADDRESS(2,COLUMN())),OFFSET($T$2,0,0,ROW()-1,14),ROW()-1,FALSE))</x:f>
        <x:v/>
      </x:c>
      <x:c r="I153" t="str">
        <x:f ca="1">IF(AND($B$1012=1,LEN($I$1158)&gt;0),$I$1158,HLOOKUP(INDIRECT(ADDRESS(2,COLUMN())),OFFSET($T$2,0,0,ROW()-1,14),ROW()-1,FALSE))</x:f>
        <x:v/>
      </x:c>
      <x:c r="J153" t="str">
        <x:f ca="1">IF(AND($B$1012=1,LEN($J$1158)&gt;0),$J$1158,HLOOKUP(INDIRECT(ADDRESS(2,COLUMN())),OFFSET($T$2,0,0,ROW()-1,14),ROW()-1,FALSE))</x:f>
        <x:v/>
      </x:c>
      <x:c r="K153" t="str">
        <x:f ca="1">IF(AND($B$1012=1,LEN($K$1158)&gt;0),$K$1158,HLOOKUP(INDIRECT(ADDRESS(2,COLUMN())),OFFSET($T$2,0,0,ROW()-1,14),ROW()-1,FALSE))</x:f>
        <x:v/>
      </x:c>
      <x:c r="L153" t="str">
        <x:f ca="1">IF(AND($B$1012=1,LEN($L$1158)&gt;0),$L$1158,HLOOKUP(INDIRECT(ADDRESS(2,COLUMN())),OFFSET($T$2,0,0,ROW()-1,14),ROW()-1,FALSE))</x:f>
        <x:v/>
      </x:c>
      <x:c r="M153" t="str">
        <x:f ca="1">IF(AND($B$1012=1,LEN($M$1158)&gt;0),$M$1158,HLOOKUP(INDIRECT(ADDRESS(2,COLUMN())),OFFSET($T$2,0,0,ROW()-1,14),ROW()-1,FALSE))</x:f>
        <x:v/>
      </x:c>
      <x:c r="N153" t="str">
        <x:f ca="1">IF(AND($B$1012=1,LEN($N$1158)&gt;0),$N$1158,HLOOKUP(INDIRECT(ADDRESS(2,COLUMN())),OFFSET($T$2,0,0,ROW()-1,14),ROW()-1,FALSE))</x:f>
        <x:v/>
      </x:c>
      <x:c r="O153" t="str">
        <x:f ca="1">IF(AND($B$1012=1,LEN($O$1158)&gt;0),$O$1158,HLOOKUP(INDIRECT(ADDRESS(2,COLUMN())),OFFSET($T$2,0,0,ROW()-1,14),ROW()-1,FALSE))</x:f>
        <x:v/>
      </x:c>
      <x:c r="P153" t="str">
        <x:f ca="1">IF(AND($B$1012=1,LEN($P$1158)&gt;0),$P$1158,HLOOKUP(INDIRECT(ADDRESS(2,COLUMN())),OFFSET($T$2,0,0,ROW()-1,14),ROW()-1,FALSE))</x:f>
        <x:v/>
      </x:c>
      <x:c r="Q153" t="str">
        <x:f ca="1">IF(AND($B$1012=1,LEN($Q$1158)&gt;0),$Q$1158,HLOOKUP(INDIRECT(ADDRESS(2,COLUMN())),OFFSET($T$2,0,0,ROW()-1,14),ROW()-1,FALSE))</x:f>
        <x:v/>
      </x:c>
      <x:c r="R153" t="str">
        <x:f ca="1">IF(AND($B$1012=1,LEN($R$1158)&gt;0),$R$1158,HLOOKUP(INDIRECT(ADDRESS(2,COLUMN())),OFFSET($T$2,0,0,ROW()-1,14),ROW()-1,FALSE))</x:f>
        <x:v/>
      </x:c>
      <x:c r="S153" t="str">
        <x:f ca="1">IF(AND($B$1012=1,LEN($S$1158)&gt;0),$S$1158,HLOOKUP(INDIRECT(ADDRESS(2,COLUMN())),OFFSET($T$2,0,0,ROW()-1,14),ROW()-1,FALSE))</x:f>
        <x:v/>
      </x:c>
      <x:c r="T153" t="str">
        <x:f>""</x:f>
        <x:v/>
      </x:c>
      <x:c r="U153" t="str">
        <x:f>""</x:f>
        <x:v/>
      </x:c>
      <x:c r="V153" t="str">
        <x:f>""</x:f>
        <x:v/>
      </x:c>
      <x:c r="W153" t="str">
        <x:f>""</x:f>
        <x:v/>
      </x:c>
      <x:c r="X153" t="str">
        <x:f>""</x:f>
        <x:v/>
      </x:c>
      <x:c r="Y153" t="str">
        <x:f>""</x:f>
        <x:v/>
      </x:c>
      <x:c r="Z153" t="str">
        <x:f>""</x:f>
        <x:v/>
      </x:c>
      <x:c r="AA153" t="str">
        <x:f>""</x:f>
        <x:v/>
      </x:c>
      <x:c r="AB153" t="str">
        <x:f>""</x:f>
        <x:v/>
      </x:c>
      <x:c r="AC153" t="str">
        <x:f>""</x:f>
        <x:v/>
      </x:c>
      <x:c r="AD153" t="str">
        <x:f>""</x:f>
        <x:v/>
      </x:c>
      <x:c r="AE153" t="str">
        <x:f>""</x:f>
        <x:v/>
      </x:c>
      <x:c r="AF153" t="str">
        <x:f>""</x:f>
        <x:v/>
      </x:c>
      <x:c r="AG153" t="str">
        <x:f>""</x:f>
        <x:v/>
      </x:c>
    </x:row>
    <x:row r="154" spans="1:33" x14ac:dyDescent="0.25">
      <x:c r="A154" t="str">
        <x:f>"        Invesco Canadian Energy Income"</x:f>
        <x:v xml:space="preserve">        Invesco Canadian Energy Income</x:v>
      </x:c>
      <x:c r="B154" t="str">
        <x:f>"ENY US Equity"</x:f>
        <x:v>ENY US Equity</x:v>
      </x:c>
      <x:c r="E154" t="str">
        <x:f t="shared" si="4"/>
        <x:v>Expression</x:v>
      </x:c>
      <x:c r="F154" t="str">
        <x:f ca="1">IF(AND($B$1012=1,LEN($F$1159)&gt;0),$F$1159,HLOOKUP(INDIRECT(ADDRESS(2,COLUMN())),OFFSET($T$2,0,0,ROW()-1,14),ROW()-1,FALSE))</x:f>
        <x:v/>
      </x:c>
      <x:c r="G154" t="str">
        <x:f ca="1">IF(AND($B$1012=1,LEN($G$1159)&gt;0),$G$1159,HLOOKUP(INDIRECT(ADDRESS(2,COLUMN())),OFFSET($T$2,0,0,ROW()-1,14),ROW()-1,FALSE))</x:f>
        <x:v/>
      </x:c>
      <x:c r="H154" t="str">
        <x:f ca="1">IF(AND($B$1012=1,LEN($H$1159)&gt;0),$H$1159,HLOOKUP(INDIRECT(ADDRESS(2,COLUMN())),OFFSET($T$2,0,0,ROW()-1,14),ROW()-1,FALSE))</x:f>
        <x:v/>
      </x:c>
      <x:c r="I154" t="str">
        <x:f ca="1">IF(AND($B$1012=1,LEN($I$1159)&gt;0),$I$1159,HLOOKUP(INDIRECT(ADDRESS(2,COLUMN())),OFFSET($T$2,0,0,ROW()-1,14),ROW()-1,FALSE))</x:f>
        <x:v/>
      </x:c>
      <x:c r="J154" t="str">
        <x:f ca="1">IF(AND($B$1012=1,LEN($J$1159)&gt;0),$J$1159,HLOOKUP(INDIRECT(ADDRESS(2,COLUMN())),OFFSET($T$2,0,0,ROW()-1,14),ROW()-1,FALSE))</x:f>
        <x:v/>
      </x:c>
      <x:c r="K154" t="str">
        <x:f ca="1">IF(AND($B$1012=1,LEN($K$1159)&gt;0),$K$1159,HLOOKUP(INDIRECT(ADDRESS(2,COLUMN())),OFFSET($T$2,0,0,ROW()-1,14),ROW()-1,FALSE))</x:f>
        <x:v/>
      </x:c>
      <x:c r="L154" t="str">
        <x:f ca="1">IF(AND($B$1012=1,LEN($L$1159)&gt;0),$L$1159,HLOOKUP(INDIRECT(ADDRESS(2,COLUMN())),OFFSET($T$2,0,0,ROW()-1,14),ROW()-1,FALSE))</x:f>
        <x:v/>
      </x:c>
      <x:c r="M154" t="str">
        <x:f ca="1">IF(AND($B$1012=1,LEN($M$1159)&gt;0),$M$1159,HLOOKUP(INDIRECT(ADDRESS(2,COLUMN())),OFFSET($T$2,0,0,ROW()-1,14),ROW()-1,FALSE))</x:f>
        <x:v/>
      </x:c>
      <x:c r="N154" t="str">
        <x:f ca="1">IF(AND($B$1012=1,LEN($N$1159)&gt;0),$N$1159,HLOOKUP(INDIRECT(ADDRESS(2,COLUMN())),OFFSET($T$2,0,0,ROW()-1,14),ROW()-1,FALSE))</x:f>
        <x:v/>
      </x:c>
      <x:c r="O154" t="str">
        <x:f ca="1">IF(AND($B$1012=1,LEN($O$1159)&gt;0),$O$1159,HLOOKUP(INDIRECT(ADDRESS(2,COLUMN())),OFFSET($T$2,0,0,ROW()-1,14),ROW()-1,FALSE))</x:f>
        <x:v/>
      </x:c>
      <x:c r="P154" t="str">
        <x:f ca="1">IF(AND($B$1012=1,LEN($P$1159)&gt;0),$P$1159,HLOOKUP(INDIRECT(ADDRESS(2,COLUMN())),OFFSET($T$2,0,0,ROW()-1,14),ROW()-1,FALSE))</x:f>
        <x:v/>
      </x:c>
      <x:c r="Q154" t="str">
        <x:f ca="1">IF(AND($B$1012=1,LEN($Q$1159)&gt;0),$Q$1159,HLOOKUP(INDIRECT(ADDRESS(2,COLUMN())),OFFSET($T$2,0,0,ROW()-1,14),ROW()-1,FALSE))</x:f>
        <x:v/>
      </x:c>
      <x:c r="R154" t="str">
        <x:f ca="1">IF(AND($B$1012=1,LEN($R$1159)&gt;0),$R$1159,HLOOKUP(INDIRECT(ADDRESS(2,COLUMN())),OFFSET($T$2,0,0,ROW()-1,14),ROW()-1,FALSE))</x:f>
        <x:v/>
      </x:c>
      <x:c r="S154" t="str">
        <x:f ca="1">IF(AND($B$1012=1,LEN($S$1159)&gt;0),$S$1159,HLOOKUP(INDIRECT(ADDRESS(2,COLUMN())),OFFSET($T$2,0,0,ROW()-1,14),ROW()-1,FALSE))</x:f>
        <x:v/>
      </x:c>
      <x:c r="T154" t="str">
        <x:f>""</x:f>
        <x:v/>
      </x:c>
      <x:c r="U154" t="str">
        <x:f>""</x:f>
        <x:v/>
      </x:c>
      <x:c r="V154" t="str">
        <x:f>""</x:f>
        <x:v/>
      </x:c>
      <x:c r="W154" t="str">
        <x:f>""</x:f>
        <x:v/>
      </x:c>
      <x:c r="X154" t="str">
        <x:f>""</x:f>
        <x:v/>
      </x:c>
      <x:c r="Y154" t="str">
        <x:f>""</x:f>
        <x:v/>
      </x:c>
      <x:c r="Z154" t="str">
        <x:f>""</x:f>
        <x:v/>
      </x:c>
      <x:c r="AA154" t="str">
        <x:f>""</x:f>
        <x:v/>
      </x:c>
      <x:c r="AB154" t="str">
        <x:f>""</x:f>
        <x:v/>
      </x:c>
      <x:c r="AC154" t="str">
        <x:f>""</x:f>
        <x:v/>
      </x:c>
      <x:c r="AD154" t="str">
        <x:f>""</x:f>
        <x:v/>
      </x:c>
      <x:c r="AE154" t="str">
        <x:f>""</x:f>
        <x:v/>
      </x:c>
      <x:c r="AF154" t="str">
        <x:f>""</x:f>
        <x:v/>
      </x:c>
      <x:c r="AG154" t="str">
        <x:f>""</x:f>
        <x:v/>
      </x:c>
    </x:row>
    <x:row r="155" spans="1:33" x14ac:dyDescent="0.25">
      <x:c r="A155" t="str">
        <x:f>"        Invesco WilderHill Progressive"</x:f>
        <x:v xml:space="preserve">        Invesco WilderHill Progressive</x:v>
      </x:c>
      <x:c r="B155" t="str">
        <x:f>"PUW US Equity"</x:f>
        <x:v>PUW US Equity</x:v>
      </x:c>
      <x:c r="E155" t="str">
        <x:f t="shared" si="4"/>
        <x:v>Expression</x:v>
      </x:c>
      <x:c r="F155" t="str">
        <x:f ca="1">IF(AND($B$1012=1,LEN($F$1160)&gt;0),$F$1160,HLOOKUP(INDIRECT(ADDRESS(2,COLUMN())),OFFSET($T$2,0,0,ROW()-1,14),ROW()-1,FALSE))</x:f>
        <x:v/>
      </x:c>
      <x:c r="G155" t="str">
        <x:f ca="1">IF(AND($B$1012=1,LEN($G$1160)&gt;0),$G$1160,HLOOKUP(INDIRECT(ADDRESS(2,COLUMN())),OFFSET($T$2,0,0,ROW()-1,14),ROW()-1,FALSE))</x:f>
        <x:v/>
      </x:c>
      <x:c r="H155" t="str">
        <x:f ca="1">IF(AND($B$1012=1,LEN($H$1160)&gt;0),$H$1160,HLOOKUP(INDIRECT(ADDRESS(2,COLUMN())),OFFSET($T$2,0,0,ROW()-1,14),ROW()-1,FALSE))</x:f>
        <x:v/>
      </x:c>
      <x:c r="I155" t="str">
        <x:f ca="1">IF(AND($B$1012=1,LEN($I$1160)&gt;0),$I$1160,HLOOKUP(INDIRECT(ADDRESS(2,COLUMN())),OFFSET($T$2,0,0,ROW()-1,14),ROW()-1,FALSE))</x:f>
        <x:v/>
      </x:c>
      <x:c r="J155" t="str">
        <x:f ca="1">IF(AND($B$1012=1,LEN($J$1160)&gt;0),$J$1160,HLOOKUP(INDIRECT(ADDRESS(2,COLUMN())),OFFSET($T$2,0,0,ROW()-1,14),ROW()-1,FALSE))</x:f>
        <x:v/>
      </x:c>
      <x:c r="K155" t="str">
        <x:f ca="1">IF(AND($B$1012=1,LEN($K$1160)&gt;0),$K$1160,HLOOKUP(INDIRECT(ADDRESS(2,COLUMN())),OFFSET($T$2,0,0,ROW()-1,14),ROW()-1,FALSE))</x:f>
        <x:v/>
      </x:c>
      <x:c r="L155" t="str">
        <x:f ca="1">IF(AND($B$1012=1,LEN($L$1160)&gt;0),$L$1160,HLOOKUP(INDIRECT(ADDRESS(2,COLUMN())),OFFSET($T$2,0,0,ROW()-1,14),ROW()-1,FALSE))</x:f>
        <x:v/>
      </x:c>
      <x:c r="M155" t="str">
        <x:f ca="1">IF(AND($B$1012=1,LEN($M$1160)&gt;0),$M$1160,HLOOKUP(INDIRECT(ADDRESS(2,COLUMN())),OFFSET($T$2,0,0,ROW()-1,14),ROW()-1,FALSE))</x:f>
        <x:v/>
      </x:c>
      <x:c r="N155" t="str">
        <x:f ca="1">IF(AND($B$1012=1,LEN($N$1160)&gt;0),$N$1160,HLOOKUP(INDIRECT(ADDRESS(2,COLUMN())),OFFSET($T$2,0,0,ROW()-1,14),ROW()-1,FALSE))</x:f>
        <x:v/>
      </x:c>
      <x:c r="O155" t="str">
        <x:f ca="1">IF(AND($B$1012=1,LEN($O$1160)&gt;0),$O$1160,HLOOKUP(INDIRECT(ADDRESS(2,COLUMN())),OFFSET($T$2,0,0,ROW()-1,14),ROW()-1,FALSE))</x:f>
        <x:v/>
      </x:c>
      <x:c r="P155" t="str">
        <x:f ca="1">IF(AND($B$1012=1,LEN($P$1160)&gt;0),$P$1160,HLOOKUP(INDIRECT(ADDRESS(2,COLUMN())),OFFSET($T$2,0,0,ROW()-1,14),ROW()-1,FALSE))</x:f>
        <x:v/>
      </x:c>
      <x:c r="Q155" t="str">
        <x:f ca="1">IF(AND($B$1012=1,LEN($Q$1160)&gt;0),$Q$1160,HLOOKUP(INDIRECT(ADDRESS(2,COLUMN())),OFFSET($T$2,0,0,ROW()-1,14),ROW()-1,FALSE))</x:f>
        <x:v/>
      </x:c>
      <x:c r="R155" t="str">
        <x:f ca="1">IF(AND($B$1012=1,LEN($R$1160)&gt;0),$R$1160,HLOOKUP(INDIRECT(ADDRESS(2,COLUMN())),OFFSET($T$2,0,0,ROW()-1,14),ROW()-1,FALSE))</x:f>
        <x:v/>
      </x:c>
      <x:c r="S155" t="str">
        <x:f ca="1">IF(AND($B$1012=1,LEN($S$1160)&gt;0),$S$1160,HLOOKUP(INDIRECT(ADDRESS(2,COLUMN())),OFFSET($T$2,0,0,ROW()-1,14),ROW()-1,FALSE))</x:f>
        <x:v/>
      </x:c>
      <x:c r="T155" t="str">
        <x:f>""</x:f>
        <x:v/>
      </x:c>
      <x:c r="U155" t="str">
        <x:f>""</x:f>
        <x:v/>
      </x:c>
      <x:c r="V155" t="str">
        <x:f>""</x:f>
        <x:v/>
      </x:c>
      <x:c r="W155" t="str">
        <x:f>""</x:f>
        <x:v/>
      </x:c>
      <x:c r="X155" t="str">
        <x:f>""</x:f>
        <x:v/>
      </x:c>
      <x:c r="Y155" t="str">
        <x:f>""</x:f>
        <x:v/>
      </x:c>
      <x:c r="Z155" t="str">
        <x:f>""</x:f>
        <x:v/>
      </x:c>
      <x:c r="AA155" t="str">
        <x:f>""</x:f>
        <x:v/>
      </x:c>
      <x:c r="AB155" t="str">
        <x:f>""</x:f>
        <x:v/>
      </x:c>
      <x:c r="AC155" t="str">
        <x:f>""</x:f>
        <x:v/>
      </x:c>
      <x:c r="AD155" t="str">
        <x:f>""</x:f>
        <x:v/>
      </x:c>
      <x:c r="AE155" t="str">
        <x:f>""</x:f>
        <x:v/>
      </x:c>
      <x:c r="AF155" t="str">
        <x:f>""</x:f>
        <x:v/>
      </x:c>
      <x:c r="AG155" t="str">
        <x:f>""</x:f>
        <x:v/>
      </x:c>
    </x:row>
    <x:row r="156" spans="1:33" x14ac:dyDescent="0.25">
      <x:c r="A156" t="str">
        <x:f>"        ETRACS Alerian Natural Gas MLP"</x:f>
        <x:v xml:space="preserve">        ETRACS Alerian Natural Gas MLP</x:v>
      </x:c>
      <x:c r="B156" t="str">
        <x:f>"MLPG US Equity"</x:f>
        <x:v>MLPG US Equity</x:v>
      </x:c>
      <x:c r="E156" t="str">
        <x:f t="shared" si="4"/>
        <x:v>Expression</x:v>
      </x:c>
      <x:c r="F156" t="str">
        <x:f ca="1">IF(AND($B$1012=1,LEN($F$1161)&gt;0),$F$1161,HLOOKUP(INDIRECT(ADDRESS(2,COLUMN())),OFFSET($T$2,0,0,ROW()-1,14),ROW()-1,FALSE))</x:f>
        <x:v/>
      </x:c>
      <x:c r="G156" t="str">
        <x:f ca="1">IF(AND($B$1012=1,LEN($G$1161)&gt;0),$G$1161,HLOOKUP(INDIRECT(ADDRESS(2,COLUMN())),OFFSET($T$2,0,0,ROW()-1,14),ROW()-1,FALSE))</x:f>
        <x:v/>
      </x:c>
      <x:c r="H156" t="str">
        <x:f ca="1">IF(AND($B$1012=1,LEN($H$1161)&gt;0),$H$1161,HLOOKUP(INDIRECT(ADDRESS(2,COLUMN())),OFFSET($T$2,0,0,ROW()-1,14),ROW()-1,FALSE))</x:f>
        <x:v/>
      </x:c>
      <x:c r="I156" t="str">
        <x:f ca="1">IF(AND($B$1012=1,LEN($I$1161)&gt;0),$I$1161,HLOOKUP(INDIRECT(ADDRESS(2,COLUMN())),OFFSET($T$2,0,0,ROW()-1,14),ROW()-1,FALSE))</x:f>
        <x:v/>
      </x:c>
      <x:c r="J156" t="str">
        <x:f ca="1">IF(AND($B$1012=1,LEN($J$1161)&gt;0),$J$1161,HLOOKUP(INDIRECT(ADDRESS(2,COLUMN())),OFFSET($T$2,0,0,ROW()-1,14),ROW()-1,FALSE))</x:f>
        <x:v/>
      </x:c>
      <x:c r="K156" t="str">
        <x:f ca="1">IF(AND($B$1012=1,LEN($K$1161)&gt;0),$K$1161,HLOOKUP(INDIRECT(ADDRESS(2,COLUMN())),OFFSET($T$2,0,0,ROW()-1,14),ROW()-1,FALSE))</x:f>
        <x:v/>
      </x:c>
      <x:c r="L156" t="str">
        <x:f ca="1">IF(AND($B$1012=1,LEN($L$1161)&gt;0),$L$1161,HLOOKUP(INDIRECT(ADDRESS(2,COLUMN())),OFFSET($T$2,0,0,ROW()-1,14),ROW()-1,FALSE))</x:f>
        <x:v/>
      </x:c>
      <x:c r="M156" t="str">
        <x:f ca="1">IF(AND($B$1012=1,LEN($M$1161)&gt;0),$M$1161,HLOOKUP(INDIRECT(ADDRESS(2,COLUMN())),OFFSET($T$2,0,0,ROW()-1,14),ROW()-1,FALSE))</x:f>
        <x:v/>
      </x:c>
      <x:c r="N156" t="str">
        <x:f ca="1">IF(AND($B$1012=1,LEN($N$1161)&gt;0),$N$1161,HLOOKUP(INDIRECT(ADDRESS(2,COLUMN())),OFFSET($T$2,0,0,ROW()-1,14),ROW()-1,FALSE))</x:f>
        <x:v/>
      </x:c>
      <x:c r="O156" t="str">
        <x:f ca="1">IF(AND($B$1012=1,LEN($O$1161)&gt;0),$O$1161,HLOOKUP(INDIRECT(ADDRESS(2,COLUMN())),OFFSET($T$2,0,0,ROW()-1,14),ROW()-1,FALSE))</x:f>
        <x:v/>
      </x:c>
      <x:c r="P156" t="str">
        <x:f ca="1">IF(AND($B$1012=1,LEN($P$1161)&gt;0),$P$1161,HLOOKUP(INDIRECT(ADDRESS(2,COLUMN())),OFFSET($T$2,0,0,ROW()-1,14),ROW()-1,FALSE))</x:f>
        <x:v/>
      </x:c>
      <x:c r="Q156" t="str">
        <x:f ca="1">IF(AND($B$1012=1,LEN($Q$1161)&gt;0),$Q$1161,HLOOKUP(INDIRECT(ADDRESS(2,COLUMN())),OFFSET($T$2,0,0,ROW()-1,14),ROW()-1,FALSE))</x:f>
        <x:v/>
      </x:c>
      <x:c r="R156" t="str">
        <x:f ca="1">IF(AND($B$1012=1,LEN($R$1161)&gt;0),$R$1161,HLOOKUP(INDIRECT(ADDRESS(2,COLUMN())),OFFSET($T$2,0,0,ROW()-1,14),ROW()-1,FALSE))</x:f>
        <x:v/>
      </x:c>
      <x:c r="S156" t="str">
        <x:f ca="1">IF(AND($B$1012=1,LEN($S$1161)&gt;0),$S$1161,HLOOKUP(INDIRECT(ADDRESS(2,COLUMN())),OFFSET($T$2,0,0,ROW()-1,14),ROW()-1,FALSE))</x:f>
        <x:v/>
      </x:c>
      <x:c r="T156" t="str">
        <x:f>""</x:f>
        <x:v/>
      </x:c>
      <x:c r="U156" t="str">
        <x:f>""</x:f>
        <x:v/>
      </x:c>
      <x:c r="V156" t="str">
        <x:f>""</x:f>
        <x:v/>
      </x:c>
      <x:c r="W156" t="str">
        <x:f>""</x:f>
        <x:v/>
      </x:c>
      <x:c r="X156" t="str">
        <x:f>""</x:f>
        <x:v/>
      </x:c>
      <x:c r="Y156" t="str">
        <x:f>""</x:f>
        <x:v/>
      </x:c>
      <x:c r="Z156" t="str">
        <x:f>""</x:f>
        <x:v/>
      </x:c>
      <x:c r="AA156" t="str">
        <x:f>""</x:f>
        <x:v/>
      </x:c>
      <x:c r="AB156" t="str">
        <x:f>""</x:f>
        <x:v/>
      </x:c>
      <x:c r="AC156" t="str">
        <x:f>""</x:f>
        <x:v/>
      </x:c>
      <x:c r="AD156" t="str">
        <x:f>""</x:f>
        <x:v/>
      </x:c>
      <x:c r="AE156" t="str">
        <x:f>""</x:f>
        <x:v/>
      </x:c>
      <x:c r="AF156" t="str">
        <x:f>""</x:f>
        <x:v/>
      </x:c>
      <x:c r="AG156" t="str">
        <x:f>""</x:f>
        <x:v/>
      </x:c>
    </x:row>
    <x:row r="157" spans="1:33" x14ac:dyDescent="0.25">
      <x:c r="A157" t="str">
        <x:f>"        Direxion Daily S&amp;P Oil &amp; Gas E"</x:f>
        <x:v xml:space="preserve">        Direxion Daily S&amp;P Oil &amp; Gas E</x:v>
      </x:c>
      <x:c r="B157" t="str">
        <x:f>"DRIP US Equity"</x:f>
        <x:v>DRIP US Equity</x:v>
      </x:c>
      <x:c r="E157" t="str">
        <x:f t="shared" si="4"/>
        <x:v>Expression</x:v>
      </x:c>
      <x:c r="F157">
        <x:f ca="1">IF(AND($B$1012=1,LEN($F$1162)&gt;0),$F$1162,HLOOKUP(INDIRECT(ADDRESS(2,COLUMN())),OFFSET($T$2,0,0,ROW()-1,14),ROW()-1,FALSE))</x:f>
        <x:v>-8.3687489999999993</x:v>
      </x:c>
      <x:c r="G157">
        <x:f ca="1">IF(AND($B$1012=1,LEN($G$1162)&gt;0),$G$1162,HLOOKUP(INDIRECT(ADDRESS(2,COLUMN())),OFFSET($T$2,0,0,ROW()-1,14),ROW()-1,FALSE))</x:f>
        <x:v>-17.755513000000001</x:v>
      </x:c>
      <x:c r="H157">
        <x:f ca="1">IF(AND($B$1012=1,LEN($H$1162)&gt;0),$H$1162,HLOOKUP(INDIRECT(ADDRESS(2,COLUMN())),OFFSET($T$2,0,0,ROW()-1,14),ROW()-1,FALSE))</x:f>
        <x:v>2.1171280000000001</x:v>
      </x:c>
      <x:c r="I157">
        <x:f ca="1">IF(AND($B$1012=1,LEN($I$1162)&gt;0),$I$1162,HLOOKUP(INDIRECT(ADDRESS(2,COLUMN())),OFFSET($T$2,0,0,ROW()-1,14),ROW()-1,FALSE))</x:f>
        <x:v>14.258836000000001</x:v>
      </x:c>
      <x:c r="J157">
        <x:f ca="1">IF(AND($B$1012=1,LEN($J$1162)&gt;0),$J$1162,HLOOKUP(INDIRECT(ADDRESS(2,COLUMN())),OFFSET($T$2,0,0,ROW()-1,14),ROW()-1,FALSE))</x:f>
        <x:v>29.575524000000001</x:v>
      </x:c>
      <x:c r="K157">
        <x:f ca="1">IF(AND($B$1012=1,LEN($K$1162)&gt;0),$K$1162,HLOOKUP(INDIRECT(ADDRESS(2,COLUMN())),OFFSET($T$2,0,0,ROW()-1,14),ROW()-1,FALSE))</x:f>
        <x:v>7.6748589999999997</x:v>
      </x:c>
      <x:c r="L157">
        <x:f ca="1">IF(AND($B$1012=1,LEN($L$1162)&gt;0),$L$1162,HLOOKUP(INDIRECT(ADDRESS(2,COLUMN())),OFFSET($T$2,0,0,ROW()-1,14),ROW()-1,FALSE))</x:f>
        <x:v>-11.845091</x:v>
      </x:c>
      <x:c r="M157">
        <x:f ca="1">IF(AND($B$1012=1,LEN($M$1162)&gt;0),$M$1162,HLOOKUP(INDIRECT(ADDRESS(2,COLUMN())),OFFSET($T$2,0,0,ROW()-1,14),ROW()-1,FALSE))</x:f>
        <x:v>0.43055500000000002</x:v>
      </x:c>
      <x:c r="N157">
        <x:f ca="1">IF(AND($B$1012=1,LEN($N$1162)&gt;0),$N$1162,HLOOKUP(INDIRECT(ADDRESS(2,COLUMN())),OFFSET($T$2,0,0,ROW()-1,14),ROW()-1,FALSE))</x:f>
        <x:v>-16.694313999999999</x:v>
      </x:c>
      <x:c r="O157">
        <x:f ca="1">IF(AND($B$1012=1,LEN($O$1162)&gt;0),$O$1162,HLOOKUP(INDIRECT(ADDRESS(2,COLUMN())),OFFSET($T$2,0,0,ROW()-1,14),ROW()-1,FALSE))</x:f>
        <x:v>-21.818833000000001</x:v>
      </x:c>
      <x:c r="P157">
        <x:f ca="1">IF(AND($B$1012=1,LEN($P$1162)&gt;0),$P$1162,HLOOKUP(INDIRECT(ADDRESS(2,COLUMN())),OFFSET($T$2,0,0,ROW()-1,14),ROW()-1,FALSE))</x:f>
        <x:v>4.5142870000000004</x:v>
      </x:c>
      <x:c r="Q157">
        <x:f ca="1">IF(AND($B$1012=1,LEN($Q$1162)&gt;0),$Q$1162,HLOOKUP(INDIRECT(ADDRESS(2,COLUMN())),OFFSET($T$2,0,0,ROW()-1,14),ROW()-1,FALSE))</x:f>
        <x:v>-37.788091000000001</x:v>
      </x:c>
      <x:c r="R157">
        <x:f ca="1">IF(AND($B$1012=1,LEN($R$1162)&gt;0),$R$1162,HLOOKUP(INDIRECT(ADDRESS(2,COLUMN())),OFFSET($T$2,0,0,ROW()-1,14),ROW()-1,FALSE))</x:f>
        <x:v>13.328905000000001</x:v>
      </x:c>
      <x:c r="S157">
        <x:f ca="1">IF(AND($B$1012=1,LEN($S$1162)&gt;0),$S$1162,HLOOKUP(INDIRECT(ADDRESS(2,COLUMN())),OFFSET($T$2,0,0,ROW()-1,14),ROW()-1,FALSE))</x:f>
        <x:v>39.446210000000001</x:v>
      </x:c>
      <x:c r="T157">
        <x:f>-8.368749</x:f>
        <x:v>-8.3687489999999993</x:v>
      </x:c>
      <x:c r="U157">
        <x:f>-17.755513</x:f>
        <x:v>-17.755513000000001</x:v>
      </x:c>
      <x:c r="V157">
        <x:f>2.117128</x:f>
        <x:v>2.1171280000000001</x:v>
      </x:c>
      <x:c r="W157">
        <x:f>14.258836</x:f>
        <x:v>14.258836000000001</x:v>
      </x:c>
      <x:c r="X157">
        <x:f>29.575524</x:f>
        <x:v>29.575524000000001</x:v>
      </x:c>
      <x:c r="Y157">
        <x:f>7.674859</x:f>
        <x:v>7.6748589999999997</x:v>
      </x:c>
      <x:c r="Z157">
        <x:f>-11.845091</x:f>
        <x:v>-11.845091</x:v>
      </x:c>
      <x:c r="AA157">
        <x:f>0.430555</x:f>
        <x:v>0.43055500000000002</x:v>
      </x:c>
      <x:c r="AB157">
        <x:f>-16.694314</x:f>
        <x:v>-16.694313999999999</x:v>
      </x:c>
      <x:c r="AC157">
        <x:f>-21.818833</x:f>
        <x:v>-21.818833000000001</x:v>
      </x:c>
      <x:c r="AD157">
        <x:f>4.514287</x:f>
        <x:v>4.5142870000000004</x:v>
      </x:c>
      <x:c r="AE157">
        <x:f>-37.788091</x:f>
        <x:v>-37.788091000000001</x:v>
      </x:c>
      <x:c r="AF157">
        <x:f>13.328905</x:f>
        <x:v>13.328905000000001</x:v>
      </x:c>
      <x:c r="AG157">
        <x:f>39.44621</x:f>
        <x:v>39.446210000000001</x:v>
      </x:c>
    </x:row>
    <x:row r="158" spans="1:33" x14ac:dyDescent="0.25">
      <x:c r="A158" t="str">
        <x:f>"        John Hancock Multifactor Energ"</x:f>
        <x:v xml:space="preserve">        John Hancock Multifactor Energ</x:v>
      </x:c>
      <x:c r="B158" t="str">
        <x:f>"JHME US Equity"</x:f>
        <x:v>JHME US Equity</x:v>
      </x:c>
      <x:c r="E158" t="str">
        <x:f t="shared" si="4"/>
        <x:v>Expression</x:v>
      </x:c>
      <x:c r="F158" t="str">
        <x:f ca="1">IF(AND($B$1012=1,LEN($F$1163)&gt;0),$F$1163,HLOOKUP(INDIRECT(ADDRESS(2,COLUMN())),OFFSET($T$2,0,0,ROW()-1,14),ROW()-1,FALSE))</x:f>
        <x:v/>
      </x:c>
      <x:c r="G158" t="str">
        <x:f ca="1">IF(AND($B$1012=1,LEN($G$1163)&gt;0),$G$1163,HLOOKUP(INDIRECT(ADDRESS(2,COLUMN())),OFFSET($T$2,0,0,ROW()-1,14),ROW()-1,FALSE))</x:f>
        <x:v/>
      </x:c>
      <x:c r="H158" t="str">
        <x:f ca="1">IF(AND($B$1012=1,LEN($H$1163)&gt;0),$H$1163,HLOOKUP(INDIRECT(ADDRESS(2,COLUMN())),OFFSET($T$2,0,0,ROW()-1,14),ROW()-1,FALSE))</x:f>
        <x:v/>
      </x:c>
      <x:c r="I158" t="str">
        <x:f ca="1">IF(AND($B$1012=1,LEN($I$1163)&gt;0),$I$1163,HLOOKUP(INDIRECT(ADDRESS(2,COLUMN())),OFFSET($T$2,0,0,ROW()-1,14),ROW()-1,FALSE))</x:f>
        <x:v/>
      </x:c>
      <x:c r="J158" t="str">
        <x:f ca="1">IF(AND($B$1012=1,LEN($J$1163)&gt;0),$J$1163,HLOOKUP(INDIRECT(ADDRESS(2,COLUMN())),OFFSET($T$2,0,0,ROW()-1,14),ROW()-1,FALSE))</x:f>
        <x:v/>
      </x:c>
      <x:c r="K158" t="str">
        <x:f ca="1">IF(AND($B$1012=1,LEN($K$1163)&gt;0),$K$1163,HLOOKUP(INDIRECT(ADDRESS(2,COLUMN())),OFFSET($T$2,0,0,ROW()-1,14),ROW()-1,FALSE))</x:f>
        <x:v/>
      </x:c>
      <x:c r="L158" t="str">
        <x:f ca="1">IF(AND($B$1012=1,LEN($L$1163)&gt;0),$L$1163,HLOOKUP(INDIRECT(ADDRESS(2,COLUMN())),OFFSET($T$2,0,0,ROW()-1,14),ROW()-1,FALSE))</x:f>
        <x:v/>
      </x:c>
      <x:c r="M158" t="str">
        <x:f ca="1">IF(AND($B$1012=1,LEN($M$1163)&gt;0),$M$1163,HLOOKUP(INDIRECT(ADDRESS(2,COLUMN())),OFFSET($T$2,0,0,ROW()-1,14),ROW()-1,FALSE))</x:f>
        <x:v/>
      </x:c>
      <x:c r="N158" t="str">
        <x:f ca="1">IF(AND($B$1012=1,LEN($N$1163)&gt;0),$N$1163,HLOOKUP(INDIRECT(ADDRESS(2,COLUMN())),OFFSET($T$2,0,0,ROW()-1,14),ROW()-1,FALSE))</x:f>
        <x:v/>
      </x:c>
      <x:c r="O158" t="str">
        <x:f ca="1">IF(AND($B$1012=1,LEN($O$1163)&gt;0),$O$1163,HLOOKUP(INDIRECT(ADDRESS(2,COLUMN())),OFFSET($T$2,0,0,ROW()-1,14),ROW()-1,FALSE))</x:f>
        <x:v/>
      </x:c>
      <x:c r="P158" t="str">
        <x:f ca="1">IF(AND($B$1012=1,LEN($P$1163)&gt;0),$P$1163,HLOOKUP(INDIRECT(ADDRESS(2,COLUMN())),OFFSET($T$2,0,0,ROW()-1,14),ROW()-1,FALSE))</x:f>
        <x:v/>
      </x:c>
      <x:c r="Q158" t="str">
        <x:f ca="1">IF(AND($B$1012=1,LEN($Q$1163)&gt;0),$Q$1163,HLOOKUP(INDIRECT(ADDRESS(2,COLUMN())),OFFSET($T$2,0,0,ROW()-1,14),ROW()-1,FALSE))</x:f>
        <x:v/>
      </x:c>
      <x:c r="R158" t="str">
        <x:f ca="1">IF(AND($B$1012=1,LEN($R$1163)&gt;0),$R$1163,HLOOKUP(INDIRECT(ADDRESS(2,COLUMN())),OFFSET($T$2,0,0,ROW()-1,14),ROW()-1,FALSE))</x:f>
        <x:v/>
      </x:c>
      <x:c r="S158">
        <x:f ca="1">IF(AND($B$1012=1,LEN($S$1163)&gt;0),$S$1163,HLOOKUP(INDIRECT(ADDRESS(2,COLUMN())),OFFSET($T$2,0,0,ROW()-1,14),ROW()-1,FALSE))</x:f>
        <x:v>-5.626074</x:v>
      </x:c>
      <x:c r="T158" t="str">
        <x:f>""</x:f>
        <x:v/>
      </x:c>
      <x:c r="U158" t="str">
        <x:f>""</x:f>
        <x:v/>
      </x:c>
      <x:c r="V158" t="str">
        <x:f>""</x:f>
        <x:v/>
      </x:c>
      <x:c r="W158" t="str">
        <x:f>""</x:f>
        <x:v/>
      </x:c>
      <x:c r="X158" t="str">
        <x:f>""</x:f>
        <x:v/>
      </x:c>
      <x:c r="Y158" t="str">
        <x:f>""</x:f>
        <x:v/>
      </x:c>
      <x:c r="Z158" t="str">
        <x:f>""</x:f>
        <x:v/>
      </x:c>
      <x:c r="AA158" t="str">
        <x:f>""</x:f>
        <x:v/>
      </x:c>
      <x:c r="AB158" t="str">
        <x:f>""</x:f>
        <x:v/>
      </x:c>
      <x:c r="AC158" t="str">
        <x:f>""</x:f>
        <x:v/>
      </x:c>
      <x:c r="AD158" t="str">
        <x:f>""</x:f>
        <x:v/>
      </x:c>
      <x:c r="AE158" t="str">
        <x:f>""</x:f>
        <x:v/>
      </x:c>
      <x:c r="AF158" t="str">
        <x:f>""</x:f>
        <x:v/>
      </x:c>
      <x:c r="AG158">
        <x:f>-5.626074</x:f>
        <x:v>-5.626074</x:v>
      </x:c>
    </x:row>
    <x:row r="159" spans="1:33" x14ac:dyDescent="0.25">
      <x:c r="A159" t="str">
        <x:f>"        iShares MSCI Kuwait ETF"</x:f>
        <x:v xml:space="preserve">        iShares MSCI Kuwait ETF</x:v>
      </x:c>
      <x:c r="B159" t="str">
        <x:f>"KWT US Equity"</x:f>
        <x:v>KWT US Equity</x:v>
      </x:c>
      <x:c r="E159" t="str">
        <x:f t="shared" si="4"/>
        <x:v>Expression</x:v>
      </x:c>
      <x:c r="F159">
        <x:f ca="1">IF(AND($B$1012=1,LEN($F$1164)&gt;0),$F$1164,HLOOKUP(INDIRECT(ADDRESS(2,COLUMN())),OFFSET($T$2,0,0,ROW()-1,14),ROW()-1,FALSE))</x:f>
        <x:v>0</x:v>
      </x:c>
      <x:c r="G159">
        <x:f ca="1">IF(AND($B$1012=1,LEN($G$1164)&gt;0),$G$1164,HLOOKUP(INDIRECT(ADDRESS(2,COLUMN())),OFFSET($T$2,0,0,ROW()-1,14),ROW()-1,FALSE))</x:f>
        <x:v>0</x:v>
      </x:c>
      <x:c r="H159">
        <x:f ca="1">IF(AND($B$1012=1,LEN($H$1164)&gt;0),$H$1164,HLOOKUP(INDIRECT(ADDRESS(2,COLUMN())),OFFSET($T$2,0,0,ROW()-1,14),ROW()-1,FALSE))</x:f>
        <x:v>0</x:v>
      </x:c>
      <x:c r="I159">
        <x:f ca="1">IF(AND($B$1012=1,LEN($I$1164)&gt;0),$I$1164,HLOOKUP(INDIRECT(ADDRESS(2,COLUMN())),OFFSET($T$2,0,0,ROW()-1,14),ROW()-1,FALSE))</x:f>
        <x:v>0</x:v>
      </x:c>
      <x:c r="J159">
        <x:f ca="1">IF(AND($B$1012=1,LEN($J$1164)&gt;0),$J$1164,HLOOKUP(INDIRECT(ADDRESS(2,COLUMN())),OFFSET($T$2,0,0,ROW()-1,14),ROW()-1,FALSE))</x:f>
        <x:v>0</x:v>
      </x:c>
      <x:c r="K159">
        <x:f ca="1">IF(AND($B$1012=1,LEN($K$1164)&gt;0),$K$1164,HLOOKUP(INDIRECT(ADDRESS(2,COLUMN())),OFFSET($T$2,0,0,ROW()-1,14),ROW()-1,FALSE))</x:f>
        <x:v>1.54721</x:v>
      </x:c>
      <x:c r="L159">
        <x:f ca="1">IF(AND($B$1012=1,LEN($L$1164)&gt;0),$L$1164,HLOOKUP(INDIRECT(ADDRESS(2,COLUMN())),OFFSET($T$2,0,0,ROW()-1,14),ROW()-1,FALSE))</x:f>
        <x:v>4.7673399999999999</x:v>
      </x:c>
      <x:c r="M159">
        <x:f ca="1">IF(AND($B$1012=1,LEN($M$1164)&gt;0),$M$1164,HLOOKUP(INDIRECT(ADDRESS(2,COLUMN())),OFFSET($T$2,0,0,ROW()-1,14),ROW()-1,FALSE))</x:f>
        <x:v>0</x:v>
      </x:c>
      <x:c r="N159">
        <x:f ca="1">IF(AND($B$1012=1,LEN($N$1164)&gt;0),$N$1164,HLOOKUP(INDIRECT(ADDRESS(2,COLUMN())),OFFSET($T$2,0,0,ROW()-1,14),ROW()-1,FALSE))</x:f>
        <x:v>3.1777600000000001</x:v>
      </x:c>
      <x:c r="O159">
        <x:f ca="1">IF(AND($B$1012=1,LEN($O$1164)&gt;0),$O$1164,HLOOKUP(INDIRECT(ADDRESS(2,COLUMN())),OFFSET($T$2,0,0,ROW()-1,14),ROW()-1,FALSE))</x:f>
        <x:v>21.557265000000001</x:v>
      </x:c>
      <x:c r="P159">
        <x:f ca="1">IF(AND($B$1012=1,LEN($P$1164)&gt;0),$P$1164,HLOOKUP(INDIRECT(ADDRESS(2,COLUMN())),OFFSET($T$2,0,0,ROW()-1,14),ROW()-1,FALSE))</x:f>
        <x:v>0</x:v>
      </x:c>
      <x:c r="Q159">
        <x:f ca="1">IF(AND($B$1012=1,LEN($Q$1164)&gt;0),$Q$1164,HLOOKUP(INDIRECT(ADDRESS(2,COLUMN())),OFFSET($T$2,0,0,ROW()-1,14),ROW()-1,FALSE))</x:f>
        <x:v>0</x:v>
      </x:c>
      <x:c r="R159">
        <x:f ca="1">IF(AND($B$1012=1,LEN($R$1164)&gt;0),$R$1164,HLOOKUP(INDIRECT(ADDRESS(2,COLUMN())),OFFSET($T$2,0,0,ROW()-1,14),ROW()-1,FALSE))</x:f>
        <x:v>0</x:v>
      </x:c>
      <x:c r="S159">
        <x:f ca="1">IF(AND($B$1012=1,LEN($S$1164)&gt;0),$S$1164,HLOOKUP(INDIRECT(ADDRESS(2,COLUMN())),OFFSET($T$2,0,0,ROW()-1,14),ROW()-1,FALSE))</x:f>
        <x:v>0</x:v>
      </x:c>
      <x:c r="T159">
        <x:f>0</x:f>
        <x:v>0</x:v>
      </x:c>
      <x:c r="U159">
        <x:f>0</x:f>
        <x:v>0</x:v>
      </x:c>
      <x:c r="V159">
        <x:f>0</x:f>
        <x:v>0</x:v>
      </x:c>
      <x:c r="W159">
        <x:f>0</x:f>
        <x:v>0</x:v>
      </x:c>
      <x:c r="X159">
        <x:f>0</x:f>
        <x:v>0</x:v>
      </x:c>
      <x:c r="Y159">
        <x:f>1.54721</x:f>
        <x:v>1.54721</x:v>
      </x:c>
      <x:c r="Z159">
        <x:f>4.76734</x:f>
        <x:v>4.7673399999999999</x:v>
      </x:c>
      <x:c r="AA159">
        <x:f>0</x:f>
        <x:v>0</x:v>
      </x:c>
      <x:c r="AB159">
        <x:f>3.17776</x:f>
        <x:v>3.1777600000000001</x:v>
      </x:c>
      <x:c r="AC159">
        <x:f>21.557265</x:f>
        <x:v>21.557265000000001</x:v>
      </x:c>
      <x:c r="AD159">
        <x:f>0</x:f>
        <x:v>0</x:v>
      </x:c>
      <x:c r="AE159">
        <x:f>0</x:f>
        <x:v>0</x:v>
      </x:c>
      <x:c r="AF159">
        <x:f>0</x:f>
        <x:v>0</x:v>
      </x:c>
      <x:c r="AG159">
        <x:f>0</x:f>
        <x:v>0</x:v>
      </x:c>
    </x:row>
    <x:row r="160" spans="1:33" x14ac:dyDescent="0.25">
      <x:c r="A160" t="str">
        <x:f>"        United States Short Oil Fund L"</x:f>
        <x:v xml:space="preserve">        United States Short Oil Fund L</x:v>
      </x:c>
      <x:c r="B160" t="str">
        <x:f>"DNO US Equity"</x:f>
        <x:v>DNO US Equity</x:v>
      </x:c>
      <x:c r="E160" t="str">
        <x:f t="shared" si="4"/>
        <x:v>Expression</x:v>
      </x:c>
      <x:c r="F160" t="str">
        <x:f ca="1">IF(AND($B$1012=1,LEN($F$1165)&gt;0),$F$1165,HLOOKUP(INDIRECT(ADDRESS(2,COLUMN())),OFFSET($T$2,0,0,ROW()-1,14),ROW()-1,FALSE))</x:f>
        <x:v/>
      </x:c>
      <x:c r="G160" t="str">
        <x:f ca="1">IF(AND($B$1012=1,LEN($G$1165)&gt;0),$G$1165,HLOOKUP(INDIRECT(ADDRESS(2,COLUMN())),OFFSET($T$2,0,0,ROW()-1,14),ROW()-1,FALSE))</x:f>
        <x:v/>
      </x:c>
      <x:c r="H160" t="str">
        <x:f ca="1">IF(AND($B$1012=1,LEN($H$1165)&gt;0),$H$1165,HLOOKUP(INDIRECT(ADDRESS(2,COLUMN())),OFFSET($T$2,0,0,ROW()-1,14),ROW()-1,FALSE))</x:f>
        <x:v/>
      </x:c>
      <x:c r="I160" t="str">
        <x:f ca="1">IF(AND($B$1012=1,LEN($I$1165)&gt;0),$I$1165,HLOOKUP(INDIRECT(ADDRESS(2,COLUMN())),OFFSET($T$2,0,0,ROW()-1,14),ROW()-1,FALSE))</x:f>
        <x:v/>
      </x:c>
      <x:c r="J160" t="str">
        <x:f ca="1">IF(AND($B$1012=1,LEN($J$1165)&gt;0),$J$1165,HLOOKUP(INDIRECT(ADDRESS(2,COLUMN())),OFFSET($T$2,0,0,ROW()-1,14),ROW()-1,FALSE))</x:f>
        <x:v/>
      </x:c>
      <x:c r="K160" t="str">
        <x:f ca="1">IF(AND($B$1012=1,LEN($K$1165)&gt;0),$K$1165,HLOOKUP(INDIRECT(ADDRESS(2,COLUMN())),OFFSET($T$2,0,0,ROW()-1,14),ROW()-1,FALSE))</x:f>
        <x:v/>
      </x:c>
      <x:c r="L160" t="str">
        <x:f ca="1">IF(AND($B$1012=1,LEN($L$1165)&gt;0),$L$1165,HLOOKUP(INDIRECT(ADDRESS(2,COLUMN())),OFFSET($T$2,0,0,ROW()-1,14),ROW()-1,FALSE))</x:f>
        <x:v/>
      </x:c>
      <x:c r="M160" t="str">
        <x:f ca="1">IF(AND($B$1012=1,LEN($M$1165)&gt;0),$M$1165,HLOOKUP(INDIRECT(ADDRESS(2,COLUMN())),OFFSET($T$2,0,0,ROW()-1,14),ROW()-1,FALSE))</x:f>
        <x:v/>
      </x:c>
      <x:c r="N160" t="str">
        <x:f ca="1">IF(AND($B$1012=1,LEN($N$1165)&gt;0),$N$1165,HLOOKUP(INDIRECT(ADDRESS(2,COLUMN())),OFFSET($T$2,0,0,ROW()-1,14),ROW()-1,FALSE))</x:f>
        <x:v/>
      </x:c>
      <x:c r="O160" t="str">
        <x:f ca="1">IF(AND($B$1012=1,LEN($O$1165)&gt;0),$O$1165,HLOOKUP(INDIRECT(ADDRESS(2,COLUMN())),OFFSET($T$2,0,0,ROW()-1,14),ROW()-1,FALSE))</x:f>
        <x:v/>
      </x:c>
      <x:c r="P160" t="str">
        <x:f ca="1">IF(AND($B$1012=1,LEN($P$1165)&gt;0),$P$1165,HLOOKUP(INDIRECT(ADDRESS(2,COLUMN())),OFFSET($T$2,0,0,ROW()-1,14),ROW()-1,FALSE))</x:f>
        <x:v/>
      </x:c>
      <x:c r="Q160" t="str">
        <x:f ca="1">IF(AND($B$1012=1,LEN($Q$1165)&gt;0),$Q$1165,HLOOKUP(INDIRECT(ADDRESS(2,COLUMN())),OFFSET($T$2,0,0,ROW()-1,14),ROW()-1,FALSE))</x:f>
        <x:v/>
      </x:c>
      <x:c r="R160" t="str">
        <x:f ca="1">IF(AND($B$1012=1,LEN($R$1165)&gt;0),$R$1165,HLOOKUP(INDIRECT(ADDRESS(2,COLUMN())),OFFSET($T$2,0,0,ROW()-1,14),ROW()-1,FALSE))</x:f>
        <x:v/>
      </x:c>
      <x:c r="S160" t="str">
        <x:f ca="1">IF(AND($B$1012=1,LEN($S$1165)&gt;0),$S$1165,HLOOKUP(INDIRECT(ADDRESS(2,COLUMN())),OFFSET($T$2,0,0,ROW()-1,14),ROW()-1,FALSE))</x:f>
        <x:v/>
      </x:c>
      <x:c r="T160" t="str">
        <x:f>""</x:f>
        <x:v/>
      </x:c>
      <x:c r="U160" t="str">
        <x:f>""</x:f>
        <x:v/>
      </x:c>
      <x:c r="V160" t="str">
        <x:f>""</x:f>
        <x:v/>
      </x:c>
      <x:c r="W160" t="str">
        <x:f>""</x:f>
        <x:v/>
      </x:c>
      <x:c r="X160" t="str">
        <x:f>""</x:f>
        <x:v/>
      </x:c>
      <x:c r="Y160" t="str">
        <x:f>""</x:f>
        <x:v/>
      </x:c>
      <x:c r="Z160" t="str">
        <x:f>""</x:f>
        <x:v/>
      </x:c>
      <x:c r="AA160" t="str">
        <x:f>""</x:f>
        <x:v/>
      </x:c>
      <x:c r="AB160" t="str">
        <x:f>""</x:f>
        <x:v/>
      </x:c>
      <x:c r="AC160" t="str">
        <x:f>""</x:f>
        <x:v/>
      </x:c>
      <x:c r="AD160" t="str">
        <x:f>""</x:f>
        <x:v/>
      </x:c>
      <x:c r="AE160" t="str">
        <x:f>""</x:f>
        <x:v/>
      </x:c>
      <x:c r="AF160" t="str">
        <x:f>""</x:f>
        <x:v/>
      </x:c>
      <x:c r="AG160" t="str">
        <x:f>""</x:f>
        <x:v/>
      </x:c>
    </x:row>
    <x:row r="161" spans="1:33" x14ac:dyDescent="0.25">
      <x:c r="A161" t="str">
        <x:f>"        Global X Junior MLP ETF"</x:f>
        <x:v xml:space="preserve">        Global X Junior MLP ETF</x:v>
      </x:c>
      <x:c r="B161" t="str">
        <x:f>"MLPJ US Equity"</x:f>
        <x:v>MLPJ US Equity</x:v>
      </x:c>
      <x:c r="E161" t="str">
        <x:f t="shared" si="4"/>
        <x:v>Expression</x:v>
      </x:c>
      <x:c r="F161" t="str">
        <x:f ca="1">IF(AND($B$1012=1,LEN($F$1166)&gt;0),$F$1166,HLOOKUP(INDIRECT(ADDRESS(2,COLUMN())),OFFSET($T$2,0,0,ROW()-1,14),ROW()-1,FALSE))</x:f>
        <x:v/>
      </x:c>
      <x:c r="G161" t="str">
        <x:f ca="1">IF(AND($B$1012=1,LEN($G$1166)&gt;0),$G$1166,HLOOKUP(INDIRECT(ADDRESS(2,COLUMN())),OFFSET($T$2,0,0,ROW()-1,14),ROW()-1,FALSE))</x:f>
        <x:v/>
      </x:c>
      <x:c r="H161" t="str">
        <x:f ca="1">IF(AND($B$1012=1,LEN($H$1166)&gt;0),$H$1166,HLOOKUP(INDIRECT(ADDRESS(2,COLUMN())),OFFSET($T$2,0,0,ROW()-1,14),ROW()-1,FALSE))</x:f>
        <x:v/>
      </x:c>
      <x:c r="I161" t="str">
        <x:f ca="1">IF(AND($B$1012=1,LEN($I$1166)&gt;0),$I$1166,HLOOKUP(INDIRECT(ADDRESS(2,COLUMN())),OFFSET($T$2,0,0,ROW()-1,14),ROW()-1,FALSE))</x:f>
        <x:v/>
      </x:c>
      <x:c r="J161" t="str">
        <x:f ca="1">IF(AND($B$1012=1,LEN($J$1166)&gt;0),$J$1166,HLOOKUP(INDIRECT(ADDRESS(2,COLUMN())),OFFSET($T$2,0,0,ROW()-1,14),ROW()-1,FALSE))</x:f>
        <x:v/>
      </x:c>
      <x:c r="K161" t="str">
        <x:f ca="1">IF(AND($B$1012=1,LEN($K$1166)&gt;0),$K$1166,HLOOKUP(INDIRECT(ADDRESS(2,COLUMN())),OFFSET($T$2,0,0,ROW()-1,14),ROW()-1,FALSE))</x:f>
        <x:v/>
      </x:c>
      <x:c r="L161" t="str">
        <x:f ca="1">IF(AND($B$1012=1,LEN($L$1166)&gt;0),$L$1166,HLOOKUP(INDIRECT(ADDRESS(2,COLUMN())),OFFSET($T$2,0,0,ROW()-1,14),ROW()-1,FALSE))</x:f>
        <x:v/>
      </x:c>
      <x:c r="M161" t="str">
        <x:f ca="1">IF(AND($B$1012=1,LEN($M$1166)&gt;0),$M$1166,HLOOKUP(INDIRECT(ADDRESS(2,COLUMN())),OFFSET($T$2,0,0,ROW()-1,14),ROW()-1,FALSE))</x:f>
        <x:v/>
      </x:c>
      <x:c r="N161" t="str">
        <x:f ca="1">IF(AND($B$1012=1,LEN($N$1166)&gt;0),$N$1166,HLOOKUP(INDIRECT(ADDRESS(2,COLUMN())),OFFSET($T$2,0,0,ROW()-1,14),ROW()-1,FALSE))</x:f>
        <x:v/>
      </x:c>
      <x:c r="O161" t="str">
        <x:f ca="1">IF(AND($B$1012=1,LEN($O$1166)&gt;0),$O$1166,HLOOKUP(INDIRECT(ADDRESS(2,COLUMN())),OFFSET($T$2,0,0,ROW()-1,14),ROW()-1,FALSE))</x:f>
        <x:v/>
      </x:c>
      <x:c r="P161" t="str">
        <x:f ca="1">IF(AND($B$1012=1,LEN($P$1166)&gt;0),$P$1166,HLOOKUP(INDIRECT(ADDRESS(2,COLUMN())),OFFSET($T$2,0,0,ROW()-1,14),ROW()-1,FALSE))</x:f>
        <x:v/>
      </x:c>
      <x:c r="Q161" t="str">
        <x:f ca="1">IF(AND($B$1012=1,LEN($Q$1166)&gt;0),$Q$1166,HLOOKUP(INDIRECT(ADDRESS(2,COLUMN())),OFFSET($T$2,0,0,ROW()-1,14),ROW()-1,FALSE))</x:f>
        <x:v/>
      </x:c>
      <x:c r="R161" t="str">
        <x:f ca="1">IF(AND($B$1012=1,LEN($R$1166)&gt;0),$R$1166,HLOOKUP(INDIRECT(ADDRESS(2,COLUMN())),OFFSET($T$2,0,0,ROW()-1,14),ROW()-1,FALSE))</x:f>
        <x:v/>
      </x:c>
      <x:c r="S161" t="str">
        <x:f ca="1">IF(AND($B$1012=1,LEN($S$1166)&gt;0),$S$1166,HLOOKUP(INDIRECT(ADDRESS(2,COLUMN())),OFFSET($T$2,0,0,ROW()-1,14),ROW()-1,FALSE))</x:f>
        <x:v/>
      </x:c>
      <x:c r="T161" t="str">
        <x:f>""</x:f>
        <x:v/>
      </x:c>
      <x:c r="U161" t="str">
        <x:f>""</x:f>
        <x:v/>
      </x:c>
      <x:c r="V161" t="str">
        <x:f>""</x:f>
        <x:v/>
      </x:c>
      <x:c r="W161" t="str">
        <x:f>""</x:f>
        <x:v/>
      </x:c>
      <x:c r="X161" t="str">
        <x:f>""</x:f>
        <x:v/>
      </x:c>
      <x:c r="Y161" t="str">
        <x:f>""</x:f>
        <x:v/>
      </x:c>
      <x:c r="Z161" t="str">
        <x:f>""</x:f>
        <x:v/>
      </x:c>
      <x:c r="AA161" t="str">
        <x:f>""</x:f>
        <x:v/>
      </x:c>
      <x:c r="AB161" t="str">
        <x:f>""</x:f>
        <x:v/>
      </x:c>
      <x:c r="AC161" t="str">
        <x:f>""</x:f>
        <x:v/>
      </x:c>
      <x:c r="AD161" t="str">
        <x:f>""</x:f>
        <x:v/>
      </x:c>
      <x:c r="AE161" t="str">
        <x:f>""</x:f>
        <x:v/>
      </x:c>
      <x:c r="AF161" t="str">
        <x:f>""</x:f>
        <x:v/>
      </x:c>
      <x:c r="AG161" t="str">
        <x:f>""</x:f>
        <x:v/>
      </x:c>
    </x:row>
    <x:row r="162" spans="1:33" x14ac:dyDescent="0.25">
      <x:c r="A162" t="str">
        <x:f>"        ETRACS 1xMonthly Short Alerian"</x:f>
        <x:v xml:space="preserve">        ETRACS 1xMonthly Short Alerian</x:v>
      </x:c>
      <x:c r="B162" t="str">
        <x:f>"MLPS US Equity"</x:f>
        <x:v>MLPS US Equity</x:v>
      </x:c>
      <x:c r="E162" t="str">
        <x:f t="shared" ref="E162:E193" si="5">"Expression"</x:f>
        <x:v>Expression</x:v>
      </x:c>
      <x:c r="F162" t="str">
        <x:f ca="1">IF(AND($B$1012=1,LEN($F$1167)&gt;0),$F$1167,HLOOKUP(INDIRECT(ADDRESS(2,COLUMN())),OFFSET($T$2,0,0,ROW()-1,14),ROW()-1,FALSE))</x:f>
        <x:v/>
      </x:c>
      <x:c r="G162" t="str">
        <x:f ca="1">IF(AND($B$1012=1,LEN($G$1167)&gt;0),$G$1167,HLOOKUP(INDIRECT(ADDRESS(2,COLUMN())),OFFSET($T$2,0,0,ROW()-1,14),ROW()-1,FALSE))</x:f>
        <x:v/>
      </x:c>
      <x:c r="H162" t="str">
        <x:f ca="1">IF(AND($B$1012=1,LEN($H$1167)&gt;0),$H$1167,HLOOKUP(INDIRECT(ADDRESS(2,COLUMN())),OFFSET($T$2,0,0,ROW()-1,14),ROW()-1,FALSE))</x:f>
        <x:v/>
      </x:c>
      <x:c r="I162" t="str">
        <x:f ca="1">IF(AND($B$1012=1,LEN($I$1167)&gt;0),$I$1167,HLOOKUP(INDIRECT(ADDRESS(2,COLUMN())),OFFSET($T$2,0,0,ROW()-1,14),ROW()-1,FALSE))</x:f>
        <x:v/>
      </x:c>
      <x:c r="J162" t="str">
        <x:f ca="1">IF(AND($B$1012=1,LEN($J$1167)&gt;0),$J$1167,HLOOKUP(INDIRECT(ADDRESS(2,COLUMN())),OFFSET($T$2,0,0,ROW()-1,14),ROW()-1,FALSE))</x:f>
        <x:v/>
      </x:c>
      <x:c r="K162" t="str">
        <x:f ca="1">IF(AND($B$1012=1,LEN($K$1167)&gt;0),$K$1167,HLOOKUP(INDIRECT(ADDRESS(2,COLUMN())),OFFSET($T$2,0,0,ROW()-1,14),ROW()-1,FALSE))</x:f>
        <x:v/>
      </x:c>
      <x:c r="L162" t="str">
        <x:f ca="1">IF(AND($B$1012=1,LEN($L$1167)&gt;0),$L$1167,HLOOKUP(INDIRECT(ADDRESS(2,COLUMN())),OFFSET($T$2,0,0,ROW()-1,14),ROW()-1,FALSE))</x:f>
        <x:v/>
      </x:c>
      <x:c r="M162" t="str">
        <x:f ca="1">IF(AND($B$1012=1,LEN($M$1167)&gt;0),$M$1167,HLOOKUP(INDIRECT(ADDRESS(2,COLUMN())),OFFSET($T$2,0,0,ROW()-1,14),ROW()-1,FALSE))</x:f>
        <x:v/>
      </x:c>
      <x:c r="N162" t="str">
        <x:f ca="1">IF(AND($B$1012=1,LEN($N$1167)&gt;0),$N$1167,HLOOKUP(INDIRECT(ADDRESS(2,COLUMN())),OFFSET($T$2,0,0,ROW()-1,14),ROW()-1,FALSE))</x:f>
        <x:v/>
      </x:c>
      <x:c r="O162" t="str">
        <x:f ca="1">IF(AND($B$1012=1,LEN($O$1167)&gt;0),$O$1167,HLOOKUP(INDIRECT(ADDRESS(2,COLUMN())),OFFSET($T$2,0,0,ROW()-1,14),ROW()-1,FALSE))</x:f>
        <x:v/>
      </x:c>
      <x:c r="P162" t="str">
        <x:f ca="1">IF(AND($B$1012=1,LEN($P$1167)&gt;0),$P$1167,HLOOKUP(INDIRECT(ADDRESS(2,COLUMN())),OFFSET($T$2,0,0,ROW()-1,14),ROW()-1,FALSE))</x:f>
        <x:v/>
      </x:c>
      <x:c r="Q162" t="str">
        <x:f ca="1">IF(AND($B$1012=1,LEN($Q$1167)&gt;0),$Q$1167,HLOOKUP(INDIRECT(ADDRESS(2,COLUMN())),OFFSET($T$2,0,0,ROW()-1,14),ROW()-1,FALSE))</x:f>
        <x:v/>
      </x:c>
      <x:c r="R162" t="str">
        <x:f ca="1">IF(AND($B$1012=1,LEN($R$1167)&gt;0),$R$1167,HLOOKUP(INDIRECT(ADDRESS(2,COLUMN())),OFFSET($T$2,0,0,ROW()-1,14),ROW()-1,FALSE))</x:f>
        <x:v/>
      </x:c>
      <x:c r="S162" t="str">
        <x:f ca="1">IF(AND($B$1012=1,LEN($S$1167)&gt;0),$S$1167,HLOOKUP(INDIRECT(ADDRESS(2,COLUMN())),OFFSET($T$2,0,0,ROW()-1,14),ROW()-1,FALSE))</x:f>
        <x:v/>
      </x:c>
      <x:c r="T162" t="str">
        <x:f>""</x:f>
        <x:v/>
      </x:c>
      <x:c r="U162" t="str">
        <x:f>""</x:f>
        <x:v/>
      </x:c>
      <x:c r="V162" t="str">
        <x:f>""</x:f>
        <x:v/>
      </x:c>
      <x:c r="W162" t="str">
        <x:f>""</x:f>
        <x:v/>
      </x:c>
      <x:c r="X162" t="str">
        <x:f>""</x:f>
        <x:v/>
      </x:c>
      <x:c r="Y162" t="str">
        <x:f>""</x:f>
        <x:v/>
      </x:c>
      <x:c r="Z162" t="str">
        <x:f>""</x:f>
        <x:v/>
      </x:c>
      <x:c r="AA162" t="str">
        <x:f>""</x:f>
        <x:v/>
      </x:c>
      <x:c r="AB162" t="str">
        <x:f>""</x:f>
        <x:v/>
      </x:c>
      <x:c r="AC162" t="str">
        <x:f>""</x:f>
        <x:v/>
      </x:c>
      <x:c r="AD162" t="str">
        <x:f>""</x:f>
        <x:v/>
      </x:c>
      <x:c r="AE162" t="str">
        <x:f>""</x:f>
        <x:v/>
      </x:c>
      <x:c r="AF162" t="str">
        <x:f>""</x:f>
        <x:v/>
      </x:c>
      <x:c r="AG162" t="str">
        <x:f>""</x:f>
        <x:v/>
      </x:c>
    </x:row>
    <x:row r="163" spans="1:33" x14ac:dyDescent="0.25">
      <x:c r="A163" t="str">
        <x:f>"        Direxion Daily Natural Gas Rel"</x:f>
        <x:v xml:space="preserve">        Direxion Daily Natural Gas Rel</x:v>
      </x:c>
      <x:c r="B163" t="str">
        <x:f>"GASX US Equity"</x:f>
        <x:v>GASX US Equity</x:v>
      </x:c>
      <x:c r="E163" t="str">
        <x:f t="shared" si="5"/>
        <x:v>Expression</x:v>
      </x:c>
      <x:c r="F163" t="str">
        <x:f ca="1">IF(AND($B$1012=1,LEN($F$1168)&gt;0),$F$1168,HLOOKUP(INDIRECT(ADDRESS(2,COLUMN())),OFFSET($T$2,0,0,ROW()-1,14),ROW()-1,FALSE))</x:f>
        <x:v/>
      </x:c>
      <x:c r="G163" t="str">
        <x:f ca="1">IF(AND($B$1012=1,LEN($G$1168)&gt;0),$G$1168,HLOOKUP(INDIRECT(ADDRESS(2,COLUMN())),OFFSET($T$2,0,0,ROW()-1,14),ROW()-1,FALSE))</x:f>
        <x:v/>
      </x:c>
      <x:c r="H163" t="str">
        <x:f ca="1">IF(AND($B$1012=1,LEN($H$1168)&gt;0),$H$1168,HLOOKUP(INDIRECT(ADDRESS(2,COLUMN())),OFFSET($T$2,0,0,ROW()-1,14),ROW()-1,FALSE))</x:f>
        <x:v/>
      </x:c>
      <x:c r="I163" t="str">
        <x:f ca="1">IF(AND($B$1012=1,LEN($I$1168)&gt;0),$I$1168,HLOOKUP(INDIRECT(ADDRESS(2,COLUMN())),OFFSET($T$2,0,0,ROW()-1,14),ROW()-1,FALSE))</x:f>
        <x:v/>
      </x:c>
      <x:c r="J163" t="str">
        <x:f ca="1">IF(AND($B$1012=1,LEN($J$1168)&gt;0),$J$1168,HLOOKUP(INDIRECT(ADDRESS(2,COLUMN())),OFFSET($T$2,0,0,ROW()-1,14),ROW()-1,FALSE))</x:f>
        <x:v/>
      </x:c>
      <x:c r="K163" t="str">
        <x:f ca="1">IF(AND($B$1012=1,LEN($K$1168)&gt;0),$K$1168,HLOOKUP(INDIRECT(ADDRESS(2,COLUMN())),OFFSET($T$2,0,0,ROW()-1,14),ROW()-1,FALSE))</x:f>
        <x:v/>
      </x:c>
      <x:c r="L163" t="str">
        <x:f ca="1">IF(AND($B$1012=1,LEN($L$1168)&gt;0),$L$1168,HLOOKUP(INDIRECT(ADDRESS(2,COLUMN())),OFFSET($T$2,0,0,ROW()-1,14),ROW()-1,FALSE))</x:f>
        <x:v/>
      </x:c>
      <x:c r="M163" t="str">
        <x:f ca="1">IF(AND($B$1012=1,LEN($M$1168)&gt;0),$M$1168,HLOOKUP(INDIRECT(ADDRESS(2,COLUMN())),OFFSET($T$2,0,0,ROW()-1,14),ROW()-1,FALSE))</x:f>
        <x:v/>
      </x:c>
      <x:c r="N163" t="str">
        <x:f ca="1">IF(AND($B$1012=1,LEN($N$1168)&gt;0),$N$1168,HLOOKUP(INDIRECT(ADDRESS(2,COLUMN())),OFFSET($T$2,0,0,ROW()-1,14),ROW()-1,FALSE))</x:f>
        <x:v/>
      </x:c>
      <x:c r="O163" t="str">
        <x:f ca="1">IF(AND($B$1012=1,LEN($O$1168)&gt;0),$O$1168,HLOOKUP(INDIRECT(ADDRESS(2,COLUMN())),OFFSET($T$2,0,0,ROW()-1,14),ROW()-1,FALSE))</x:f>
        <x:v/>
      </x:c>
      <x:c r="P163" t="str">
        <x:f ca="1">IF(AND($B$1012=1,LEN($P$1168)&gt;0),$P$1168,HLOOKUP(INDIRECT(ADDRESS(2,COLUMN())),OFFSET($T$2,0,0,ROW()-1,14),ROW()-1,FALSE))</x:f>
        <x:v/>
      </x:c>
      <x:c r="Q163" t="str">
        <x:f ca="1">IF(AND($B$1012=1,LEN($Q$1168)&gt;0),$Q$1168,HLOOKUP(INDIRECT(ADDRESS(2,COLUMN())),OFFSET($T$2,0,0,ROW()-1,14),ROW()-1,FALSE))</x:f>
        <x:v/>
      </x:c>
      <x:c r="R163" t="str">
        <x:f ca="1">IF(AND($B$1012=1,LEN($R$1168)&gt;0),$R$1168,HLOOKUP(INDIRECT(ADDRESS(2,COLUMN())),OFFSET($T$2,0,0,ROW()-1,14),ROW()-1,FALSE))</x:f>
        <x:v/>
      </x:c>
      <x:c r="S163" t="str">
        <x:f ca="1">IF(AND($B$1012=1,LEN($S$1168)&gt;0),$S$1168,HLOOKUP(INDIRECT(ADDRESS(2,COLUMN())),OFFSET($T$2,0,0,ROW()-1,14),ROW()-1,FALSE))</x:f>
        <x:v/>
      </x:c>
      <x:c r="T163" t="str">
        <x:f>""</x:f>
        <x:v/>
      </x:c>
      <x:c r="U163" t="str">
        <x:f>""</x:f>
        <x:v/>
      </x:c>
      <x:c r="V163" t="str">
        <x:f>""</x:f>
        <x:v/>
      </x:c>
      <x:c r="W163" t="str">
        <x:f>""</x:f>
        <x:v/>
      </x:c>
      <x:c r="X163" t="str">
        <x:f>""</x:f>
        <x:v/>
      </x:c>
      <x:c r="Y163" t="str">
        <x:f>""</x:f>
        <x:v/>
      </x:c>
      <x:c r="Z163" t="str">
        <x:f>""</x:f>
        <x:v/>
      </x:c>
      <x:c r="AA163" t="str">
        <x:f>""</x:f>
        <x:v/>
      </x:c>
      <x:c r="AB163" t="str">
        <x:f>""</x:f>
        <x:v/>
      </x:c>
      <x:c r="AC163" t="str">
        <x:f>""</x:f>
        <x:v/>
      </x:c>
      <x:c r="AD163" t="str">
        <x:f>""</x:f>
        <x:v/>
      </x:c>
      <x:c r="AE163" t="str">
        <x:f>""</x:f>
        <x:v/>
      </x:c>
      <x:c r="AF163" t="str">
        <x:f>""</x:f>
        <x:v/>
      </x:c>
      <x:c r="AG163" t="str">
        <x:f>""</x:f>
        <x:v/>
      </x:c>
    </x:row>
    <x:row r="164" spans="1:33" x14ac:dyDescent="0.25">
      <x:c r="A164" t="str">
        <x:f>"        VanEck Oil Refiners ETF"</x:f>
        <x:v xml:space="preserve">        VanEck Oil Refiners ETF</x:v>
      </x:c>
      <x:c r="B164" t="str">
        <x:f>"CRAK US Equity"</x:f>
        <x:v>CRAK US Equity</x:v>
      </x:c>
      <x:c r="E164" t="str">
        <x:f t="shared" si="5"/>
        <x:v>Expression</x:v>
      </x:c>
      <x:c r="F164">
        <x:f ca="1">IF(AND($B$1012=1,LEN($F$1169)&gt;0),$F$1169,HLOOKUP(INDIRECT(ADDRESS(2,COLUMN())),OFFSET($T$2,0,0,ROW()-1,14),ROW()-1,FALSE))</x:f>
        <x:v>0</x:v>
      </x:c>
      <x:c r="G164">
        <x:f ca="1">IF(AND($B$1012=1,LEN($G$1169)&gt;0),$G$1169,HLOOKUP(INDIRECT(ADDRESS(2,COLUMN())),OFFSET($T$2,0,0,ROW()-1,14),ROW()-1,FALSE))</x:f>
        <x:v>-2.6721999999999999E-2</x:v>
      </x:c>
      <x:c r="H164">
        <x:f ca="1">IF(AND($B$1012=1,LEN($H$1169)&gt;0),$H$1169,HLOOKUP(INDIRECT(ADDRESS(2,COLUMN())),OFFSET($T$2,0,0,ROW()-1,14),ROW()-1,FALSE))</x:f>
        <x:v>0</x:v>
      </x:c>
      <x:c r="I164">
        <x:f ca="1">IF(AND($B$1012=1,LEN($I$1169)&gt;0),$I$1169,HLOOKUP(INDIRECT(ADDRESS(2,COLUMN())),OFFSET($T$2,0,0,ROW()-1,14),ROW()-1,FALSE))</x:f>
        <x:v>0</x:v>
      </x:c>
      <x:c r="J164">
        <x:f ca="1">IF(AND($B$1012=1,LEN($J$1169)&gt;0),$J$1169,HLOOKUP(INDIRECT(ADDRESS(2,COLUMN())),OFFSET($T$2,0,0,ROW()-1,14),ROW()-1,FALSE))</x:f>
        <x:v>-3.3293210000000002</x:v>
      </x:c>
      <x:c r="K164">
        <x:f ca="1">IF(AND($B$1012=1,LEN($K$1169)&gt;0),$K$1169,HLOOKUP(INDIRECT(ADDRESS(2,COLUMN())),OFFSET($T$2,0,0,ROW()-1,14),ROW()-1,FALSE))</x:f>
        <x:v>-2.262839</x:v>
      </x:c>
      <x:c r="L164">
        <x:f ca="1">IF(AND($B$1012=1,LEN($L$1169)&gt;0),$L$1169,HLOOKUP(INDIRECT(ADDRESS(2,COLUMN())),OFFSET($T$2,0,0,ROW()-1,14),ROW()-1,FALSE))</x:f>
        <x:v>-0.75418399999999997</x:v>
      </x:c>
      <x:c r="M164">
        <x:f ca="1">IF(AND($B$1012=1,LEN($M$1169)&gt;0),$M$1169,HLOOKUP(INDIRECT(ADDRESS(2,COLUMN())),OFFSET($T$2,0,0,ROW()-1,14),ROW()-1,FALSE))</x:f>
        <x:v>-1.548721</x:v>
      </x:c>
      <x:c r="N164">
        <x:f ca="1">IF(AND($B$1012=1,LEN($N$1169)&gt;0),$N$1169,HLOOKUP(INDIRECT(ADDRESS(2,COLUMN())),OFFSET($T$2,0,0,ROW()-1,14),ROW()-1,FALSE))</x:f>
        <x:v>0</x:v>
      </x:c>
      <x:c r="O164">
        <x:f ca="1">IF(AND($B$1012=1,LEN($O$1169)&gt;0),$O$1169,HLOOKUP(INDIRECT(ADDRESS(2,COLUMN())),OFFSET($T$2,0,0,ROW()-1,14),ROW()-1,FALSE))</x:f>
        <x:v>0</x:v>
      </x:c>
      <x:c r="P164">
        <x:f ca="1">IF(AND($B$1012=1,LEN($P$1169)&gt;0),$P$1169,HLOOKUP(INDIRECT(ADDRESS(2,COLUMN())),OFFSET($T$2,0,0,ROW()-1,14),ROW()-1,FALSE))</x:f>
        <x:v>-1.5493589999999999</x:v>
      </x:c>
      <x:c r="Q164">
        <x:f ca="1">IF(AND($B$1012=1,LEN($Q$1169)&gt;0),$Q$1169,HLOOKUP(INDIRECT(ADDRESS(2,COLUMN())),OFFSET($T$2,0,0,ROW()-1,14),ROW()-1,FALSE))</x:f>
        <x:v>0</x:v>
      </x:c>
      <x:c r="R164">
        <x:f ca="1">IF(AND($B$1012=1,LEN($R$1169)&gt;0),$R$1169,HLOOKUP(INDIRECT(ADDRESS(2,COLUMN())),OFFSET($T$2,0,0,ROW()-1,14),ROW()-1,FALSE))</x:f>
        <x:v>0</x:v>
      </x:c>
      <x:c r="S164">
        <x:f ca="1">IF(AND($B$1012=1,LEN($S$1169)&gt;0),$S$1169,HLOOKUP(INDIRECT(ADDRESS(2,COLUMN())),OFFSET($T$2,0,0,ROW()-1,14),ROW()-1,FALSE))</x:f>
        <x:v>0</x:v>
      </x:c>
      <x:c r="T164">
        <x:f>0</x:f>
        <x:v>0</x:v>
      </x:c>
      <x:c r="U164">
        <x:f>-0.026722</x:f>
        <x:v>-2.6721999999999999E-2</x:v>
      </x:c>
      <x:c r="V164">
        <x:f>0</x:f>
        <x:v>0</x:v>
      </x:c>
      <x:c r="W164">
        <x:f>0</x:f>
        <x:v>0</x:v>
      </x:c>
      <x:c r="X164">
        <x:f>-3.329321</x:f>
        <x:v>-3.3293210000000002</x:v>
      </x:c>
      <x:c r="Y164">
        <x:f>-2.262839</x:f>
        <x:v>-2.262839</x:v>
      </x:c>
      <x:c r="Z164">
        <x:f>-0.754184</x:f>
        <x:v>-0.75418399999999997</x:v>
      </x:c>
      <x:c r="AA164">
        <x:f>-1.548721</x:f>
        <x:v>-1.548721</x:v>
      </x:c>
      <x:c r="AB164">
        <x:f>0</x:f>
        <x:v>0</x:v>
      </x:c>
      <x:c r="AC164">
        <x:f>0</x:f>
        <x:v>0</x:v>
      </x:c>
      <x:c r="AD164">
        <x:f>-1.549359</x:f>
        <x:v>-1.5493589999999999</x:v>
      </x:c>
      <x:c r="AE164">
        <x:f>0</x:f>
        <x:v>0</x:v>
      </x:c>
      <x:c r="AF164">
        <x:f>0</x:f>
        <x:v>0</x:v>
      </x:c>
      <x:c r="AG164">
        <x:f>0</x:f>
        <x:v>0</x:v>
      </x:c>
    </x:row>
    <x:row r="165" spans="1:33" x14ac:dyDescent="0.25">
      <x:c r="A165" t="str">
        <x:f>"        ProShares Short Oil &amp; Gas"</x:f>
        <x:v xml:space="preserve">        ProShares Short Oil &amp; Gas</x:v>
      </x:c>
      <x:c r="B165" t="str">
        <x:f>"DDG US Equity"</x:f>
        <x:v>DDG US Equity</x:v>
      </x:c>
      <x:c r="E165" t="str">
        <x:f t="shared" si="5"/>
        <x:v>Expression</x:v>
      </x:c>
      <x:c r="F165" t="str">
        <x:f ca="1">IF(AND($B$1012=1,LEN($F$1170)&gt;0),$F$1170,HLOOKUP(INDIRECT(ADDRESS(2,COLUMN())),OFFSET($T$2,0,0,ROW()-1,14),ROW()-1,FALSE))</x:f>
        <x:v/>
      </x:c>
      <x:c r="G165" t="str">
        <x:f ca="1">IF(AND($B$1012=1,LEN($G$1170)&gt;0),$G$1170,HLOOKUP(INDIRECT(ADDRESS(2,COLUMN())),OFFSET($T$2,0,0,ROW()-1,14),ROW()-1,FALSE))</x:f>
        <x:v/>
      </x:c>
      <x:c r="H165" t="str">
        <x:f ca="1">IF(AND($B$1012=1,LEN($H$1170)&gt;0),$H$1170,HLOOKUP(INDIRECT(ADDRESS(2,COLUMN())),OFFSET($T$2,0,0,ROW()-1,14),ROW()-1,FALSE))</x:f>
        <x:v/>
      </x:c>
      <x:c r="I165" t="str">
        <x:f ca="1">IF(AND($B$1012=1,LEN($I$1170)&gt;0),$I$1170,HLOOKUP(INDIRECT(ADDRESS(2,COLUMN())),OFFSET($T$2,0,0,ROW()-1,14),ROW()-1,FALSE))</x:f>
        <x:v/>
      </x:c>
      <x:c r="J165" t="str">
        <x:f ca="1">IF(AND($B$1012=1,LEN($J$1170)&gt;0),$J$1170,HLOOKUP(INDIRECT(ADDRESS(2,COLUMN())),OFFSET($T$2,0,0,ROW()-1,14),ROW()-1,FALSE))</x:f>
        <x:v/>
      </x:c>
      <x:c r="K165" t="str">
        <x:f ca="1">IF(AND($B$1012=1,LEN($K$1170)&gt;0),$K$1170,HLOOKUP(INDIRECT(ADDRESS(2,COLUMN())),OFFSET($T$2,0,0,ROW()-1,14),ROW()-1,FALSE))</x:f>
        <x:v/>
      </x:c>
      <x:c r="L165" t="str">
        <x:f ca="1">IF(AND($B$1012=1,LEN($L$1170)&gt;0),$L$1170,HLOOKUP(INDIRECT(ADDRESS(2,COLUMN())),OFFSET($T$2,0,0,ROW()-1,14),ROW()-1,FALSE))</x:f>
        <x:v/>
      </x:c>
      <x:c r="M165" t="str">
        <x:f ca="1">IF(AND($B$1012=1,LEN($M$1170)&gt;0),$M$1170,HLOOKUP(INDIRECT(ADDRESS(2,COLUMN())),OFFSET($T$2,0,0,ROW()-1,14),ROW()-1,FALSE))</x:f>
        <x:v/>
      </x:c>
      <x:c r="N165" t="str">
        <x:f ca="1">IF(AND($B$1012=1,LEN($N$1170)&gt;0),$N$1170,HLOOKUP(INDIRECT(ADDRESS(2,COLUMN())),OFFSET($T$2,0,0,ROW()-1,14),ROW()-1,FALSE))</x:f>
        <x:v/>
      </x:c>
      <x:c r="O165" t="str">
        <x:f ca="1">IF(AND($B$1012=1,LEN($O$1170)&gt;0),$O$1170,HLOOKUP(INDIRECT(ADDRESS(2,COLUMN())),OFFSET($T$2,0,0,ROW()-1,14),ROW()-1,FALSE))</x:f>
        <x:v/>
      </x:c>
      <x:c r="P165" t="str">
        <x:f ca="1">IF(AND($B$1012=1,LEN($P$1170)&gt;0),$P$1170,HLOOKUP(INDIRECT(ADDRESS(2,COLUMN())),OFFSET($T$2,0,0,ROW()-1,14),ROW()-1,FALSE))</x:f>
        <x:v/>
      </x:c>
      <x:c r="Q165" t="str">
        <x:f ca="1">IF(AND($B$1012=1,LEN($Q$1170)&gt;0),$Q$1170,HLOOKUP(INDIRECT(ADDRESS(2,COLUMN())),OFFSET($T$2,0,0,ROW()-1,14),ROW()-1,FALSE))</x:f>
        <x:v/>
      </x:c>
      <x:c r="R165" t="str">
        <x:f ca="1">IF(AND($B$1012=1,LEN($R$1170)&gt;0),$R$1170,HLOOKUP(INDIRECT(ADDRESS(2,COLUMN())),OFFSET($T$2,0,0,ROW()-1,14),ROW()-1,FALSE))</x:f>
        <x:v/>
      </x:c>
      <x:c r="S165" t="str">
        <x:f ca="1">IF(AND($B$1012=1,LEN($S$1170)&gt;0),$S$1170,HLOOKUP(INDIRECT(ADDRESS(2,COLUMN())),OFFSET($T$2,0,0,ROW()-1,14),ROW()-1,FALSE))</x:f>
        <x:v/>
      </x:c>
      <x:c r="T165" t="str">
        <x:f>""</x:f>
        <x:v/>
      </x:c>
      <x:c r="U165" t="str">
        <x:f>""</x:f>
        <x:v/>
      </x:c>
      <x:c r="V165" t="str">
        <x:f>""</x:f>
        <x:v/>
      </x:c>
      <x:c r="W165" t="str">
        <x:f>""</x:f>
        <x:v/>
      </x:c>
      <x:c r="X165" t="str">
        <x:f>""</x:f>
        <x:v/>
      </x:c>
      <x:c r="Y165" t="str">
        <x:f>""</x:f>
        <x:v/>
      </x:c>
      <x:c r="Z165" t="str">
        <x:f>""</x:f>
        <x:v/>
      </x:c>
      <x:c r="AA165" t="str">
        <x:f>""</x:f>
        <x:v/>
      </x:c>
      <x:c r="AB165" t="str">
        <x:f>""</x:f>
        <x:v/>
      </x:c>
      <x:c r="AC165" t="str">
        <x:f>""</x:f>
        <x:v/>
      </x:c>
      <x:c r="AD165" t="str">
        <x:f>""</x:f>
        <x:v/>
      </x:c>
      <x:c r="AE165" t="str">
        <x:f>""</x:f>
        <x:v/>
      </x:c>
      <x:c r="AF165" t="str">
        <x:f>""</x:f>
        <x:v/>
      </x:c>
      <x:c r="AG165" t="str">
        <x:f>""</x:f>
        <x:v/>
      </x:c>
    </x:row>
    <x:row r="166" spans="1:33" x14ac:dyDescent="0.25">
      <x:c r="A166" t="str">
        <x:f>"        First Trust Nasdaq Oil &amp; Gas E"</x:f>
        <x:v xml:space="preserve">        First Trust Nasdaq Oil &amp; Gas E</x:v>
      </x:c>
      <x:c r="B166" t="str">
        <x:f>"FTXN US Equity"</x:f>
        <x:v>FTXN US Equity</x:v>
      </x:c>
      <x:c r="E166" t="str">
        <x:f t="shared" si="5"/>
        <x:v>Expression</x:v>
      </x:c>
      <x:c r="F166">
        <x:f ca="1">IF(AND($B$1012=1,LEN($F$1171)&gt;0),$F$1171,HLOOKUP(INDIRECT(ADDRESS(2,COLUMN())),OFFSET($T$2,0,0,ROW()-1,14),ROW()-1,FALSE))</x:f>
        <x:v>2.9900190000000002</x:v>
      </x:c>
      <x:c r="G166">
        <x:f ca="1">IF(AND($B$1012=1,LEN($G$1171)&gt;0),$G$1171,HLOOKUP(INDIRECT(ADDRESS(2,COLUMN())),OFFSET($T$2,0,0,ROW()-1,14),ROW()-1,FALSE))</x:f>
        <x:v>9.0506430000000009</x:v>
      </x:c>
      <x:c r="H166">
        <x:f ca="1">IF(AND($B$1012=1,LEN($H$1171)&gt;0),$H$1171,HLOOKUP(INDIRECT(ADDRESS(2,COLUMN())),OFFSET($T$2,0,0,ROW()-1,14),ROW()-1,FALSE))</x:f>
        <x:v>7.9399309999999996</x:v>
      </x:c>
      <x:c r="I166">
        <x:f ca="1">IF(AND($B$1012=1,LEN($I$1171)&gt;0),$I$1171,HLOOKUP(INDIRECT(ADDRESS(2,COLUMN())),OFFSET($T$2,0,0,ROW()-1,14),ROW()-1,FALSE))</x:f>
        <x:v>3.4987999999999998E-2</x:v>
      </x:c>
      <x:c r="J166">
        <x:f ca="1">IF(AND($B$1012=1,LEN($J$1171)&gt;0),$J$1171,HLOOKUP(INDIRECT(ADDRESS(2,COLUMN())),OFFSET($T$2,0,0,ROW()-1,14),ROW()-1,FALSE))</x:f>
        <x:v>-19.320499999999999</x:v>
      </x:c>
      <x:c r="K166">
        <x:f ca="1">IF(AND($B$1012=1,LEN($K$1171)&gt;0),$K$1171,HLOOKUP(INDIRECT(ADDRESS(2,COLUMN())),OFFSET($T$2,0,0,ROW()-1,14),ROW()-1,FALSE))</x:f>
        <x:v>-21.130500000000001</x:v>
      </x:c>
      <x:c r="L166">
        <x:f ca="1">IF(AND($B$1012=1,LEN($L$1171)&gt;0),$L$1171,HLOOKUP(INDIRECT(ADDRESS(2,COLUMN())),OFFSET($T$2,0,0,ROW()-1,14),ROW()-1,FALSE))</x:f>
        <x:v>-24.1233</x:v>
      </x:c>
      <x:c r="M166">
        <x:f ca="1">IF(AND($B$1012=1,LEN($M$1171)&gt;0),$M$1171,HLOOKUP(INDIRECT(ADDRESS(2,COLUMN())),OFFSET($T$2,0,0,ROW()-1,14),ROW()-1,FALSE))</x:f>
        <x:v>-22.226206000000001</x:v>
      </x:c>
      <x:c r="N166">
        <x:f ca="1">IF(AND($B$1012=1,LEN($N$1171)&gt;0),$N$1171,HLOOKUP(INDIRECT(ADDRESS(2,COLUMN())),OFFSET($T$2,0,0,ROW()-1,14),ROW()-1,FALSE))</x:f>
        <x:v>-853.88167299999998</x:v>
      </x:c>
      <x:c r="O166">
        <x:f ca="1">IF(AND($B$1012=1,LEN($O$1171)&gt;0),$O$1171,HLOOKUP(INDIRECT(ADDRESS(2,COLUMN())),OFFSET($T$2,0,0,ROW()-1,14),ROW()-1,FALSE))</x:f>
        <x:v>14.494581</x:v>
      </x:c>
      <x:c r="P166">
        <x:f ca="1">IF(AND($B$1012=1,LEN($P$1171)&gt;0),$P$1171,HLOOKUP(INDIRECT(ADDRESS(2,COLUMN())),OFFSET($T$2,0,0,ROW()-1,14),ROW()-1,FALSE))</x:f>
        <x:v>22.907093</x:v>
      </x:c>
      <x:c r="Q166">
        <x:f ca="1">IF(AND($B$1012=1,LEN($Q$1171)&gt;0),$Q$1171,HLOOKUP(INDIRECT(ADDRESS(2,COLUMN())),OFFSET($T$2,0,0,ROW()-1,14),ROW()-1,FALSE))</x:f>
        <x:v>7.3919410000000001</x:v>
      </x:c>
      <x:c r="R166">
        <x:f ca="1">IF(AND($B$1012=1,LEN($R$1171)&gt;0),$R$1171,HLOOKUP(INDIRECT(ADDRESS(2,COLUMN())),OFFSET($T$2,0,0,ROW()-1,14),ROW()-1,FALSE))</x:f>
        <x:v>50.125019999999999</x:v>
      </x:c>
      <x:c r="S166">
        <x:f ca="1">IF(AND($B$1012=1,LEN($S$1171)&gt;0),$S$1171,HLOOKUP(INDIRECT(ADDRESS(2,COLUMN())),OFFSET($T$2,0,0,ROW()-1,14),ROW()-1,FALSE))</x:f>
        <x:v>-6.3836120000000003</x:v>
      </x:c>
      <x:c r="T166">
        <x:f>2.990019</x:f>
        <x:v>2.9900190000000002</x:v>
      </x:c>
      <x:c r="U166">
        <x:f>9.050643</x:f>
        <x:v>9.0506430000000009</x:v>
      </x:c>
      <x:c r="V166">
        <x:f>7.939931</x:f>
        <x:v>7.9399309999999996</x:v>
      </x:c>
      <x:c r="W166">
        <x:f>0.034988</x:f>
        <x:v>3.4987999999999998E-2</x:v>
      </x:c>
      <x:c r="X166">
        <x:f>-19.3205</x:f>
        <x:v>-19.320499999999999</x:v>
      </x:c>
      <x:c r="Y166">
        <x:f>-21.1305</x:f>
        <x:v>-21.130500000000001</x:v>
      </x:c>
      <x:c r="Z166">
        <x:f>-24.1233</x:f>
        <x:v>-24.1233</x:v>
      </x:c>
      <x:c r="AA166">
        <x:f>-22.226206</x:f>
        <x:v>-22.226206000000001</x:v>
      </x:c>
      <x:c r="AB166">
        <x:f>-853.881673</x:f>
        <x:v>-853.88167299999998</x:v>
      </x:c>
      <x:c r="AC166">
        <x:f>14.494581</x:f>
        <x:v>14.494581</x:v>
      </x:c>
      <x:c r="AD166">
        <x:f>22.907093</x:f>
        <x:v>22.907093</x:v>
      </x:c>
      <x:c r="AE166">
        <x:f>7.391941</x:f>
        <x:v>7.3919410000000001</x:v>
      </x:c>
      <x:c r="AF166">
        <x:f>50.12502</x:f>
        <x:v>50.125019999999999</x:v>
      </x:c>
      <x:c r="AG166">
        <x:f>-6.383612</x:f>
        <x:v>-6.3836120000000003</x:v>
      </x:c>
    </x:row>
    <x:row r="167" spans="1:33" x14ac:dyDescent="0.25">
      <x:c r="A167" t="str">
        <x:f>"        IQ Global Oil Small Cap ETF"</x:f>
        <x:v xml:space="preserve">        IQ Global Oil Small Cap ETF</x:v>
      </x:c>
      <x:c r="B167" t="str">
        <x:f>"IOIL US Equity"</x:f>
        <x:v>IOIL US Equity</x:v>
      </x:c>
      <x:c r="E167" t="str">
        <x:f t="shared" si="5"/>
        <x:v>Expression</x:v>
      </x:c>
      <x:c r="F167" t="str">
        <x:f ca="1">IF(AND($B$1012=1,LEN($F$1172)&gt;0),$F$1172,HLOOKUP(INDIRECT(ADDRESS(2,COLUMN())),OFFSET($T$2,0,0,ROW()-1,14),ROW()-1,FALSE))</x:f>
        <x:v/>
      </x:c>
      <x:c r="G167" t="str">
        <x:f ca="1">IF(AND($B$1012=1,LEN($G$1172)&gt;0),$G$1172,HLOOKUP(INDIRECT(ADDRESS(2,COLUMN())),OFFSET($T$2,0,0,ROW()-1,14),ROW()-1,FALSE))</x:f>
        <x:v/>
      </x:c>
      <x:c r="H167" t="str">
        <x:f ca="1">IF(AND($B$1012=1,LEN($H$1172)&gt;0),$H$1172,HLOOKUP(INDIRECT(ADDRESS(2,COLUMN())),OFFSET($T$2,0,0,ROW()-1,14),ROW()-1,FALSE))</x:f>
        <x:v/>
      </x:c>
      <x:c r="I167" t="str">
        <x:f ca="1">IF(AND($B$1012=1,LEN($I$1172)&gt;0),$I$1172,HLOOKUP(INDIRECT(ADDRESS(2,COLUMN())),OFFSET($T$2,0,0,ROW()-1,14),ROW()-1,FALSE))</x:f>
        <x:v/>
      </x:c>
      <x:c r="J167" t="str">
        <x:f ca="1">IF(AND($B$1012=1,LEN($J$1172)&gt;0),$J$1172,HLOOKUP(INDIRECT(ADDRESS(2,COLUMN())),OFFSET($T$2,0,0,ROW()-1,14),ROW()-1,FALSE))</x:f>
        <x:v/>
      </x:c>
      <x:c r="K167" t="str">
        <x:f ca="1">IF(AND($B$1012=1,LEN($K$1172)&gt;0),$K$1172,HLOOKUP(INDIRECT(ADDRESS(2,COLUMN())),OFFSET($T$2,0,0,ROW()-1,14),ROW()-1,FALSE))</x:f>
        <x:v/>
      </x:c>
      <x:c r="L167" t="str">
        <x:f ca="1">IF(AND($B$1012=1,LEN($L$1172)&gt;0),$L$1172,HLOOKUP(INDIRECT(ADDRESS(2,COLUMN())),OFFSET($T$2,0,0,ROW()-1,14),ROW()-1,FALSE))</x:f>
        <x:v/>
      </x:c>
      <x:c r="M167" t="str">
        <x:f ca="1">IF(AND($B$1012=1,LEN($M$1172)&gt;0),$M$1172,HLOOKUP(INDIRECT(ADDRESS(2,COLUMN())),OFFSET($T$2,0,0,ROW()-1,14),ROW()-1,FALSE))</x:f>
        <x:v/>
      </x:c>
      <x:c r="N167" t="str">
        <x:f ca="1">IF(AND($B$1012=1,LEN($N$1172)&gt;0),$N$1172,HLOOKUP(INDIRECT(ADDRESS(2,COLUMN())),OFFSET($T$2,0,0,ROW()-1,14),ROW()-1,FALSE))</x:f>
        <x:v/>
      </x:c>
      <x:c r="O167" t="str">
        <x:f ca="1">IF(AND($B$1012=1,LEN($O$1172)&gt;0),$O$1172,HLOOKUP(INDIRECT(ADDRESS(2,COLUMN())),OFFSET($T$2,0,0,ROW()-1,14),ROW()-1,FALSE))</x:f>
        <x:v/>
      </x:c>
      <x:c r="P167" t="str">
        <x:f ca="1">IF(AND($B$1012=1,LEN($P$1172)&gt;0),$P$1172,HLOOKUP(INDIRECT(ADDRESS(2,COLUMN())),OFFSET($T$2,0,0,ROW()-1,14),ROW()-1,FALSE))</x:f>
        <x:v/>
      </x:c>
      <x:c r="Q167" t="str">
        <x:f ca="1">IF(AND($B$1012=1,LEN($Q$1172)&gt;0),$Q$1172,HLOOKUP(INDIRECT(ADDRESS(2,COLUMN())),OFFSET($T$2,0,0,ROW()-1,14),ROW()-1,FALSE))</x:f>
        <x:v/>
      </x:c>
      <x:c r="R167" t="str">
        <x:f ca="1">IF(AND($B$1012=1,LEN($R$1172)&gt;0),$R$1172,HLOOKUP(INDIRECT(ADDRESS(2,COLUMN())),OFFSET($T$2,0,0,ROW()-1,14),ROW()-1,FALSE))</x:f>
        <x:v/>
      </x:c>
      <x:c r="S167" t="str">
        <x:f ca="1">IF(AND($B$1012=1,LEN($S$1172)&gt;0),$S$1172,HLOOKUP(INDIRECT(ADDRESS(2,COLUMN())),OFFSET($T$2,0,0,ROW()-1,14),ROW()-1,FALSE))</x:f>
        <x:v/>
      </x:c>
      <x:c r="T167" t="str">
        <x:f>""</x:f>
        <x:v/>
      </x:c>
      <x:c r="U167" t="str">
        <x:f>""</x:f>
        <x:v/>
      </x:c>
      <x:c r="V167" t="str">
        <x:f>""</x:f>
        <x:v/>
      </x:c>
      <x:c r="W167" t="str">
        <x:f>""</x:f>
        <x:v/>
      </x:c>
      <x:c r="X167" t="str">
        <x:f>""</x:f>
        <x:v/>
      </x:c>
      <x:c r="Y167" t="str">
        <x:f>""</x:f>
        <x:v/>
      </x:c>
      <x:c r="Z167" t="str">
        <x:f>""</x:f>
        <x:v/>
      </x:c>
      <x:c r="AA167" t="str">
        <x:f>""</x:f>
        <x:v/>
      </x:c>
      <x:c r="AB167" t="str">
        <x:f>""</x:f>
        <x:v/>
      </x:c>
      <x:c r="AC167" t="str">
        <x:f>""</x:f>
        <x:v/>
      </x:c>
      <x:c r="AD167" t="str">
        <x:f>""</x:f>
        <x:v/>
      </x:c>
      <x:c r="AE167" t="str">
        <x:f>""</x:f>
        <x:v/>
      </x:c>
      <x:c r="AF167" t="str">
        <x:f>""</x:f>
        <x:v/>
      </x:c>
      <x:c r="AG167" t="str">
        <x:f>""</x:f>
        <x:v/>
      </x:c>
    </x:row>
    <x:row r="168" spans="1:33" x14ac:dyDescent="0.25">
      <x:c r="A168" t="str">
        <x:f>"        iShares Edge MSCI Multifactor"</x:f>
        <x:v xml:space="preserve">        iShares Edge MSCI Multifactor</x:v>
      </x:c>
      <x:c r="B168" t="str">
        <x:f>"ERGF US Equity"</x:f>
        <x:v>ERGF US Equity</x:v>
      </x:c>
      <x:c r="E168" t="str">
        <x:f t="shared" si="5"/>
        <x:v>Expression</x:v>
      </x:c>
      <x:c r="F168" t="str">
        <x:f ca="1">IF(AND($B$1012=1,LEN($F$1173)&gt;0),$F$1173,HLOOKUP(INDIRECT(ADDRESS(2,COLUMN())),OFFSET($T$2,0,0,ROW()-1,14),ROW()-1,FALSE))</x:f>
        <x:v/>
      </x:c>
      <x:c r="G168" t="str">
        <x:f ca="1">IF(AND($B$1012=1,LEN($G$1173)&gt;0),$G$1173,HLOOKUP(INDIRECT(ADDRESS(2,COLUMN())),OFFSET($T$2,0,0,ROW()-1,14),ROW()-1,FALSE))</x:f>
        <x:v/>
      </x:c>
      <x:c r="H168" t="str">
        <x:f ca="1">IF(AND($B$1012=1,LEN($H$1173)&gt;0),$H$1173,HLOOKUP(INDIRECT(ADDRESS(2,COLUMN())),OFFSET($T$2,0,0,ROW()-1,14),ROW()-1,FALSE))</x:f>
        <x:v/>
      </x:c>
      <x:c r="I168" t="str">
        <x:f ca="1">IF(AND($B$1012=1,LEN($I$1173)&gt;0),$I$1173,HLOOKUP(INDIRECT(ADDRESS(2,COLUMN())),OFFSET($T$2,0,0,ROW()-1,14),ROW()-1,FALSE))</x:f>
        <x:v/>
      </x:c>
      <x:c r="J168" t="str">
        <x:f ca="1">IF(AND($B$1012=1,LEN($J$1173)&gt;0),$J$1173,HLOOKUP(INDIRECT(ADDRESS(2,COLUMN())),OFFSET($T$2,0,0,ROW()-1,14),ROW()-1,FALSE))</x:f>
        <x:v/>
      </x:c>
      <x:c r="K168" t="str">
        <x:f ca="1">IF(AND($B$1012=1,LEN($K$1173)&gt;0),$K$1173,HLOOKUP(INDIRECT(ADDRESS(2,COLUMN())),OFFSET($T$2,0,0,ROW()-1,14),ROW()-1,FALSE))</x:f>
        <x:v/>
      </x:c>
      <x:c r="L168" t="str">
        <x:f ca="1">IF(AND($B$1012=1,LEN($L$1173)&gt;0),$L$1173,HLOOKUP(INDIRECT(ADDRESS(2,COLUMN())),OFFSET($T$2,0,0,ROW()-1,14),ROW()-1,FALSE))</x:f>
        <x:v/>
      </x:c>
      <x:c r="M168" t="str">
        <x:f ca="1">IF(AND($B$1012=1,LEN($M$1173)&gt;0),$M$1173,HLOOKUP(INDIRECT(ADDRESS(2,COLUMN())),OFFSET($T$2,0,0,ROW()-1,14),ROW()-1,FALSE))</x:f>
        <x:v/>
      </x:c>
      <x:c r="N168" t="str">
        <x:f ca="1">IF(AND($B$1012=1,LEN($N$1173)&gt;0),$N$1173,HLOOKUP(INDIRECT(ADDRESS(2,COLUMN())),OFFSET($T$2,0,0,ROW()-1,14),ROW()-1,FALSE))</x:f>
        <x:v/>
      </x:c>
      <x:c r="O168" t="str">
        <x:f ca="1">IF(AND($B$1012=1,LEN($O$1173)&gt;0),$O$1173,HLOOKUP(INDIRECT(ADDRESS(2,COLUMN())),OFFSET($T$2,0,0,ROW()-1,14),ROW()-1,FALSE))</x:f>
        <x:v/>
      </x:c>
      <x:c r="P168" t="str">
        <x:f ca="1">IF(AND($B$1012=1,LEN($P$1173)&gt;0),$P$1173,HLOOKUP(INDIRECT(ADDRESS(2,COLUMN())),OFFSET($T$2,0,0,ROW()-1,14),ROW()-1,FALSE))</x:f>
        <x:v/>
      </x:c>
      <x:c r="Q168" t="str">
        <x:f ca="1">IF(AND($B$1012=1,LEN($Q$1173)&gt;0),$Q$1173,HLOOKUP(INDIRECT(ADDRESS(2,COLUMN())),OFFSET($T$2,0,0,ROW()-1,14),ROW()-1,FALSE))</x:f>
        <x:v/>
      </x:c>
      <x:c r="R168" t="str">
        <x:f ca="1">IF(AND($B$1012=1,LEN($R$1173)&gt;0),$R$1173,HLOOKUP(INDIRECT(ADDRESS(2,COLUMN())),OFFSET($T$2,0,0,ROW()-1,14),ROW()-1,FALSE))</x:f>
        <x:v/>
      </x:c>
      <x:c r="S168" t="str">
        <x:f ca="1">IF(AND($B$1012=1,LEN($S$1173)&gt;0),$S$1173,HLOOKUP(INDIRECT(ADDRESS(2,COLUMN())),OFFSET($T$2,0,0,ROW()-1,14),ROW()-1,FALSE))</x:f>
        <x:v/>
      </x:c>
      <x:c r="T168" t="str">
        <x:f>""</x:f>
        <x:v/>
      </x:c>
      <x:c r="U168" t="str">
        <x:f>""</x:f>
        <x:v/>
      </x:c>
      <x:c r="V168" t="str">
        <x:f>""</x:f>
        <x:v/>
      </x:c>
      <x:c r="W168" t="str">
        <x:f>""</x:f>
        <x:v/>
      </x:c>
      <x:c r="X168" t="str">
        <x:f>""</x:f>
        <x:v/>
      </x:c>
      <x:c r="Y168" t="str">
        <x:f>""</x:f>
        <x:v/>
      </x:c>
      <x:c r="Z168" t="str">
        <x:f>""</x:f>
        <x:v/>
      </x:c>
      <x:c r="AA168" t="str">
        <x:f>""</x:f>
        <x:v/>
      </x:c>
      <x:c r="AB168" t="str">
        <x:f>""</x:f>
        <x:v/>
      </x:c>
      <x:c r="AC168" t="str">
        <x:f>""</x:f>
        <x:v/>
      </x:c>
      <x:c r="AD168" t="str">
        <x:f>""</x:f>
        <x:v/>
      </x:c>
      <x:c r="AE168" t="str">
        <x:f>""</x:f>
        <x:v/>
      </x:c>
      <x:c r="AF168" t="str">
        <x:f>""</x:f>
        <x:v/>
      </x:c>
      <x:c r="AG168" t="str">
        <x:f>""</x:f>
        <x:v/>
      </x:c>
    </x:row>
    <x:row r="169" spans="1:33" x14ac:dyDescent="0.25">
      <x:c r="A169" t="str">
        <x:f>"        Global X MSCI China Energy ETF"</x:f>
        <x:v xml:space="preserve">        Global X MSCI China Energy ETF</x:v>
      </x:c>
      <x:c r="B169" t="str">
        <x:f>"CHIE US Equity"</x:f>
        <x:v>CHIE US Equity</x:v>
      </x:c>
      <x:c r="E169" t="str">
        <x:f t="shared" si="5"/>
        <x:v>Expression</x:v>
      </x:c>
      <x:c r="F169">
        <x:f ca="1">IF(AND($B$1012=1,LEN($F$1174)&gt;0),$F$1174,HLOOKUP(INDIRECT(ADDRESS(2,COLUMN())),OFFSET($T$2,0,0,ROW()-1,14),ROW()-1,FALSE))</x:f>
        <x:v>0</x:v>
      </x:c>
      <x:c r="G169">
        <x:f ca="1">IF(AND($B$1012=1,LEN($G$1174)&gt;0),$G$1174,HLOOKUP(INDIRECT(ADDRESS(2,COLUMN())),OFFSET($T$2,0,0,ROW()-1,14),ROW()-1,FALSE))</x:f>
        <x:v>0</x:v>
      </x:c>
      <x:c r="H169">
        <x:f ca="1">IF(AND($B$1012=1,LEN($H$1174)&gt;0),$H$1174,HLOOKUP(INDIRECT(ADDRESS(2,COLUMN())),OFFSET($T$2,0,0,ROW()-1,14),ROW()-1,FALSE))</x:f>
        <x:v>0</x:v>
      </x:c>
      <x:c r="I169">
        <x:f ca="1">IF(AND($B$1012=1,LEN($I$1174)&gt;0),$I$1174,HLOOKUP(INDIRECT(ADDRESS(2,COLUMN())),OFFSET($T$2,0,0,ROW()-1,14),ROW()-1,FALSE))</x:f>
        <x:v>-1.2996000000000001</x:v>
      </x:c>
      <x:c r="J169">
        <x:f ca="1">IF(AND($B$1012=1,LEN($J$1174)&gt;0),$J$1174,HLOOKUP(INDIRECT(ADDRESS(2,COLUMN())),OFFSET($T$2,0,0,ROW()-1,14),ROW()-1,FALSE))</x:f>
        <x:v>-0.29799999999999999</x:v>
      </x:c>
      <x:c r="K169">
        <x:f ca="1">IF(AND($B$1012=1,LEN($K$1174)&gt;0),$K$1174,HLOOKUP(INDIRECT(ADDRESS(2,COLUMN())),OFFSET($T$2,0,0,ROW()-1,14),ROW()-1,FALSE))</x:f>
        <x:v>-3.3740999999999999</x:v>
      </x:c>
      <x:c r="L169">
        <x:f ca="1">IF(AND($B$1012=1,LEN($L$1174)&gt;0),$L$1174,HLOOKUP(INDIRECT(ADDRESS(2,COLUMN())),OFFSET($T$2,0,0,ROW()-1,14),ROW()-1,FALSE))</x:f>
        <x:v>0.48780000000000001</x:v>
      </x:c>
      <x:c r="M169">
        <x:f ca="1">IF(AND($B$1012=1,LEN($M$1174)&gt;0),$M$1174,HLOOKUP(INDIRECT(ADDRESS(2,COLUMN())),OFFSET($T$2,0,0,ROW()-1,14),ROW()-1,FALSE))</x:f>
        <x:v>-0.76649999999999996</x:v>
      </x:c>
      <x:c r="N169">
        <x:f ca="1">IF(AND($B$1012=1,LEN($N$1174)&gt;0),$N$1174,HLOOKUP(INDIRECT(ADDRESS(2,COLUMN())),OFFSET($T$2,0,0,ROW()-1,14),ROW()-1,FALSE))</x:f>
        <x:v>0</x:v>
      </x:c>
      <x:c r="O169">
        <x:f ca="1">IF(AND($B$1012=1,LEN($O$1174)&gt;0),$O$1174,HLOOKUP(INDIRECT(ADDRESS(2,COLUMN())),OFFSET($T$2,0,0,ROW()-1,14),ROW()-1,FALSE))</x:f>
        <x:v>0</x:v>
      </x:c>
      <x:c r="P169">
        <x:f ca="1">IF(AND($B$1012=1,LEN($P$1174)&gt;0),$P$1174,HLOOKUP(INDIRECT(ADDRESS(2,COLUMN())),OFFSET($T$2,0,0,ROW()-1,14),ROW()-1,FALSE))</x:f>
        <x:v>1.2512000000000001</x:v>
      </x:c>
      <x:c r="Q169">
        <x:f ca="1">IF(AND($B$1012=1,LEN($Q$1174)&gt;0),$Q$1174,HLOOKUP(INDIRECT(ADDRESS(2,COLUMN())),OFFSET($T$2,0,0,ROW()-1,14),ROW()-1,FALSE))</x:f>
        <x:v>0</x:v>
      </x:c>
      <x:c r="R169">
        <x:f ca="1">IF(AND($B$1012=1,LEN($R$1174)&gt;0),$R$1174,HLOOKUP(INDIRECT(ADDRESS(2,COLUMN())),OFFSET($T$2,0,0,ROW()-1,14),ROW()-1,FALSE))</x:f>
        <x:v>-0.74050000000000005</x:v>
      </x:c>
      <x:c r="S169">
        <x:f ca="1">IF(AND($B$1012=1,LEN($S$1174)&gt;0),$S$1174,HLOOKUP(INDIRECT(ADDRESS(2,COLUMN())),OFFSET($T$2,0,0,ROW()-1,14),ROW()-1,FALSE))</x:f>
        <x:v>1.5629999999999999</x:v>
      </x:c>
      <x:c r="T169">
        <x:f>0</x:f>
        <x:v>0</x:v>
      </x:c>
      <x:c r="U169">
        <x:f>0</x:f>
        <x:v>0</x:v>
      </x:c>
      <x:c r="V169">
        <x:f>0</x:f>
        <x:v>0</x:v>
      </x:c>
      <x:c r="W169">
        <x:f>-1.2996</x:f>
        <x:v>-1.2996000000000001</x:v>
      </x:c>
      <x:c r="X169">
        <x:f>-0.298</x:f>
        <x:v>-0.29799999999999999</x:v>
      </x:c>
      <x:c r="Y169">
        <x:f>-3.3741</x:f>
        <x:v>-3.3740999999999999</x:v>
      </x:c>
      <x:c r="Z169">
        <x:f>0.4878</x:f>
        <x:v>0.48780000000000001</x:v>
      </x:c>
      <x:c r="AA169">
        <x:f>-0.7665</x:f>
        <x:v>-0.76649999999999996</x:v>
      </x:c>
      <x:c r="AB169">
        <x:f>0</x:f>
        <x:v>0</x:v>
      </x:c>
      <x:c r="AC169">
        <x:f>0</x:f>
        <x:v>0</x:v>
      </x:c>
      <x:c r="AD169">
        <x:f>1.2512</x:f>
        <x:v>1.2512000000000001</x:v>
      </x:c>
      <x:c r="AE169">
        <x:f>0</x:f>
        <x:v>0</x:v>
      </x:c>
      <x:c r="AF169">
        <x:f>-0.7405</x:f>
        <x:v>-0.74050000000000005</x:v>
      </x:c>
      <x:c r="AG169">
        <x:f>1.563</x:f>
        <x:v>1.5629999999999999</x:v>
      </x:c>
    </x:row>
    <x:row r="170" spans="1:33" x14ac:dyDescent="0.25">
      <x:c r="A170" t="str">
        <x:f>"        Proshares Ultra Oil &amp; Gas Expl"</x:f>
        <x:v xml:space="preserve">        Proshares Ultra Oil &amp; Gas Expl</x:v>
      </x:c>
      <x:c r="B170" t="str">
        <x:f>"UOP US Equity"</x:f>
        <x:v>UOP US Equity</x:v>
      </x:c>
      <x:c r="E170" t="str">
        <x:f t="shared" si="5"/>
        <x:v>Expression</x:v>
      </x:c>
      <x:c r="F170" t="str">
        <x:f ca="1">IF(AND($B$1012=1,LEN($F$1175)&gt;0),$F$1175,HLOOKUP(INDIRECT(ADDRESS(2,COLUMN())),OFFSET($T$2,0,0,ROW()-1,14),ROW()-1,FALSE))</x:f>
        <x:v/>
      </x:c>
      <x:c r="G170" t="str">
        <x:f ca="1">IF(AND($B$1012=1,LEN($G$1175)&gt;0),$G$1175,HLOOKUP(INDIRECT(ADDRESS(2,COLUMN())),OFFSET($T$2,0,0,ROW()-1,14),ROW()-1,FALSE))</x:f>
        <x:v/>
      </x:c>
      <x:c r="H170" t="str">
        <x:f ca="1">IF(AND($B$1012=1,LEN($H$1175)&gt;0),$H$1175,HLOOKUP(INDIRECT(ADDRESS(2,COLUMN())),OFFSET($T$2,0,0,ROW()-1,14),ROW()-1,FALSE))</x:f>
        <x:v/>
      </x:c>
      <x:c r="I170" t="str">
        <x:f ca="1">IF(AND($B$1012=1,LEN($I$1175)&gt;0),$I$1175,HLOOKUP(INDIRECT(ADDRESS(2,COLUMN())),OFFSET($T$2,0,0,ROW()-1,14),ROW()-1,FALSE))</x:f>
        <x:v/>
      </x:c>
      <x:c r="J170" t="str">
        <x:f ca="1">IF(AND($B$1012=1,LEN($J$1175)&gt;0),$J$1175,HLOOKUP(INDIRECT(ADDRESS(2,COLUMN())),OFFSET($T$2,0,0,ROW()-1,14),ROW()-1,FALSE))</x:f>
        <x:v/>
      </x:c>
      <x:c r="K170" t="str">
        <x:f ca="1">IF(AND($B$1012=1,LEN($K$1175)&gt;0),$K$1175,HLOOKUP(INDIRECT(ADDRESS(2,COLUMN())),OFFSET($T$2,0,0,ROW()-1,14),ROW()-1,FALSE))</x:f>
        <x:v/>
      </x:c>
      <x:c r="L170" t="str">
        <x:f ca="1">IF(AND($B$1012=1,LEN($L$1175)&gt;0),$L$1175,HLOOKUP(INDIRECT(ADDRESS(2,COLUMN())),OFFSET($T$2,0,0,ROW()-1,14),ROW()-1,FALSE))</x:f>
        <x:v/>
      </x:c>
      <x:c r="M170" t="str">
        <x:f ca="1">IF(AND($B$1012=1,LEN($M$1175)&gt;0),$M$1175,HLOOKUP(INDIRECT(ADDRESS(2,COLUMN())),OFFSET($T$2,0,0,ROW()-1,14),ROW()-1,FALSE))</x:f>
        <x:v/>
      </x:c>
      <x:c r="N170" t="str">
        <x:f ca="1">IF(AND($B$1012=1,LEN($N$1175)&gt;0),$N$1175,HLOOKUP(INDIRECT(ADDRESS(2,COLUMN())),OFFSET($T$2,0,0,ROW()-1,14),ROW()-1,FALSE))</x:f>
        <x:v/>
      </x:c>
      <x:c r="O170" t="str">
        <x:f ca="1">IF(AND($B$1012=1,LEN($O$1175)&gt;0),$O$1175,HLOOKUP(INDIRECT(ADDRESS(2,COLUMN())),OFFSET($T$2,0,0,ROW()-1,14),ROW()-1,FALSE))</x:f>
        <x:v/>
      </x:c>
      <x:c r="P170" t="str">
        <x:f ca="1">IF(AND($B$1012=1,LEN($P$1175)&gt;0),$P$1175,HLOOKUP(INDIRECT(ADDRESS(2,COLUMN())),OFFSET($T$2,0,0,ROW()-1,14),ROW()-1,FALSE))</x:f>
        <x:v/>
      </x:c>
      <x:c r="Q170" t="str">
        <x:f ca="1">IF(AND($B$1012=1,LEN($Q$1175)&gt;0),$Q$1175,HLOOKUP(INDIRECT(ADDRESS(2,COLUMN())),OFFSET($T$2,0,0,ROW()-1,14),ROW()-1,FALSE))</x:f>
        <x:v/>
      </x:c>
      <x:c r="R170" t="str">
        <x:f ca="1">IF(AND($B$1012=1,LEN($R$1175)&gt;0),$R$1175,HLOOKUP(INDIRECT(ADDRESS(2,COLUMN())),OFFSET($T$2,0,0,ROW()-1,14),ROW()-1,FALSE))</x:f>
        <x:v/>
      </x:c>
      <x:c r="S170" t="str">
        <x:f ca="1">IF(AND($B$1012=1,LEN($S$1175)&gt;0),$S$1175,HLOOKUP(INDIRECT(ADDRESS(2,COLUMN())),OFFSET($T$2,0,0,ROW()-1,14),ROW()-1,FALSE))</x:f>
        <x:v/>
      </x:c>
      <x:c r="T170" t="str">
        <x:f>""</x:f>
        <x:v/>
      </x:c>
      <x:c r="U170" t="str">
        <x:f>""</x:f>
        <x:v/>
      </x:c>
      <x:c r="V170" t="str">
        <x:f>""</x:f>
        <x:v/>
      </x:c>
      <x:c r="W170" t="str">
        <x:f>""</x:f>
        <x:v/>
      </x:c>
      <x:c r="X170" t="str">
        <x:f>""</x:f>
        <x:v/>
      </x:c>
      <x:c r="Y170" t="str">
        <x:f>""</x:f>
        <x:v/>
      </x:c>
      <x:c r="Z170" t="str">
        <x:f>""</x:f>
        <x:v/>
      </x:c>
      <x:c r="AA170" t="str">
        <x:f>""</x:f>
        <x:v/>
      </x:c>
      <x:c r="AB170" t="str">
        <x:f>""</x:f>
        <x:v/>
      </x:c>
      <x:c r="AC170" t="str">
        <x:f>""</x:f>
        <x:v/>
      </x:c>
      <x:c r="AD170" t="str">
        <x:f>""</x:f>
        <x:v/>
      </x:c>
      <x:c r="AE170" t="str">
        <x:f>""</x:f>
        <x:v/>
      </x:c>
      <x:c r="AF170" t="str">
        <x:f>""</x:f>
        <x:v/>
      </x:c>
      <x:c r="AG170" t="str">
        <x:f>""</x:f>
        <x:v/>
      </x:c>
    </x:row>
    <x:row r="171" spans="1:33" x14ac:dyDescent="0.25">
      <x:c r="A171" t="str">
        <x:f>"        Elkhorn S&amp;P MidCap Energy Port"</x:f>
        <x:v xml:space="preserve">        Elkhorn S&amp;P MidCap Energy Port</x:v>
      </x:c>
      <x:c r="B171" t="str">
        <x:f>"XE US Equity"</x:f>
        <x:v>XE US Equity</x:v>
      </x:c>
      <x:c r="E171" t="str">
        <x:f t="shared" si="5"/>
        <x:v>Expression</x:v>
      </x:c>
      <x:c r="F171" t="str">
        <x:f ca="1">IF(AND($B$1012=1,LEN($F$1176)&gt;0),$F$1176,HLOOKUP(INDIRECT(ADDRESS(2,COLUMN())),OFFSET($T$2,0,0,ROW()-1,14),ROW()-1,FALSE))</x:f>
        <x:v/>
      </x:c>
      <x:c r="G171" t="str">
        <x:f ca="1">IF(AND($B$1012=1,LEN($G$1176)&gt;0),$G$1176,HLOOKUP(INDIRECT(ADDRESS(2,COLUMN())),OFFSET($T$2,0,0,ROW()-1,14),ROW()-1,FALSE))</x:f>
        <x:v/>
      </x:c>
      <x:c r="H171" t="str">
        <x:f ca="1">IF(AND($B$1012=1,LEN($H$1176)&gt;0),$H$1176,HLOOKUP(INDIRECT(ADDRESS(2,COLUMN())),OFFSET($T$2,0,0,ROW()-1,14),ROW()-1,FALSE))</x:f>
        <x:v/>
      </x:c>
      <x:c r="I171" t="str">
        <x:f ca="1">IF(AND($B$1012=1,LEN($I$1176)&gt;0),$I$1176,HLOOKUP(INDIRECT(ADDRESS(2,COLUMN())),OFFSET($T$2,0,0,ROW()-1,14),ROW()-1,FALSE))</x:f>
        <x:v/>
      </x:c>
      <x:c r="J171" t="str">
        <x:f ca="1">IF(AND($B$1012=1,LEN($J$1176)&gt;0),$J$1176,HLOOKUP(INDIRECT(ADDRESS(2,COLUMN())),OFFSET($T$2,0,0,ROW()-1,14),ROW()-1,FALSE))</x:f>
        <x:v/>
      </x:c>
      <x:c r="K171" t="str">
        <x:f ca="1">IF(AND($B$1012=1,LEN($K$1176)&gt;0),$K$1176,HLOOKUP(INDIRECT(ADDRESS(2,COLUMN())),OFFSET($T$2,0,0,ROW()-1,14),ROW()-1,FALSE))</x:f>
        <x:v/>
      </x:c>
      <x:c r="L171" t="str">
        <x:f ca="1">IF(AND($B$1012=1,LEN($L$1176)&gt;0),$L$1176,HLOOKUP(INDIRECT(ADDRESS(2,COLUMN())),OFFSET($T$2,0,0,ROW()-1,14),ROW()-1,FALSE))</x:f>
        <x:v/>
      </x:c>
      <x:c r="M171" t="str">
        <x:f ca="1">IF(AND($B$1012=1,LEN($M$1176)&gt;0),$M$1176,HLOOKUP(INDIRECT(ADDRESS(2,COLUMN())),OFFSET($T$2,0,0,ROW()-1,14),ROW()-1,FALSE))</x:f>
        <x:v/>
      </x:c>
      <x:c r="N171" t="str">
        <x:f ca="1">IF(AND($B$1012=1,LEN($N$1176)&gt;0),$N$1176,HLOOKUP(INDIRECT(ADDRESS(2,COLUMN())),OFFSET($T$2,0,0,ROW()-1,14),ROW()-1,FALSE))</x:f>
        <x:v/>
      </x:c>
      <x:c r="O171" t="str">
        <x:f ca="1">IF(AND($B$1012=1,LEN($O$1176)&gt;0),$O$1176,HLOOKUP(INDIRECT(ADDRESS(2,COLUMN())),OFFSET($T$2,0,0,ROW()-1,14),ROW()-1,FALSE))</x:f>
        <x:v/>
      </x:c>
      <x:c r="P171" t="str">
        <x:f ca="1">IF(AND($B$1012=1,LEN($P$1176)&gt;0),$P$1176,HLOOKUP(INDIRECT(ADDRESS(2,COLUMN())),OFFSET($T$2,0,0,ROW()-1,14),ROW()-1,FALSE))</x:f>
        <x:v/>
      </x:c>
      <x:c r="Q171" t="str">
        <x:f ca="1">IF(AND($B$1012=1,LEN($Q$1176)&gt;0),$Q$1176,HLOOKUP(INDIRECT(ADDRESS(2,COLUMN())),OFFSET($T$2,0,0,ROW()-1,14),ROW()-1,FALSE))</x:f>
        <x:v/>
      </x:c>
      <x:c r="R171" t="str">
        <x:f ca="1">IF(AND($B$1012=1,LEN($R$1176)&gt;0),$R$1176,HLOOKUP(INDIRECT(ADDRESS(2,COLUMN())),OFFSET($T$2,0,0,ROW()-1,14),ROW()-1,FALSE))</x:f>
        <x:v/>
      </x:c>
      <x:c r="S171" t="str">
        <x:f ca="1">IF(AND($B$1012=1,LEN($S$1176)&gt;0),$S$1176,HLOOKUP(INDIRECT(ADDRESS(2,COLUMN())),OFFSET($T$2,0,0,ROW()-1,14),ROW()-1,FALSE))</x:f>
        <x:v/>
      </x:c>
      <x:c r="T171" t="str">
        <x:f>""</x:f>
        <x:v/>
      </x:c>
      <x:c r="U171" t="str">
        <x:f>""</x:f>
        <x:v/>
      </x:c>
      <x:c r="V171" t="str">
        <x:f>""</x:f>
        <x:v/>
      </x:c>
      <x:c r="W171" t="str">
        <x:f>""</x:f>
        <x:v/>
      </x:c>
      <x:c r="X171" t="str">
        <x:f>""</x:f>
        <x:v/>
      </x:c>
      <x:c r="Y171" t="str">
        <x:f>""</x:f>
        <x:v/>
      </x:c>
      <x:c r="Z171" t="str">
        <x:f>""</x:f>
        <x:v/>
      </x:c>
      <x:c r="AA171" t="str">
        <x:f>""</x:f>
        <x:v/>
      </x:c>
      <x:c r="AB171" t="str">
        <x:f>""</x:f>
        <x:v/>
      </x:c>
      <x:c r="AC171" t="str">
        <x:f>""</x:f>
        <x:v/>
      </x:c>
      <x:c r="AD171" t="str">
        <x:f>""</x:f>
        <x:v/>
      </x:c>
      <x:c r="AE171" t="str">
        <x:f>""</x:f>
        <x:v/>
      </x:c>
      <x:c r="AF171" t="str">
        <x:f>""</x:f>
        <x:v/>
      </x:c>
      <x:c r="AG171" t="str">
        <x:f>""</x:f>
        <x:v/>
      </x:c>
    </x:row>
    <x:row r="172" spans="1:33" x14ac:dyDescent="0.25">
      <x:c r="A172" t="str">
        <x:f>"        Direxion Shares Etf Trust-Dire"</x:f>
        <x:v xml:space="preserve">        Direxion Shares Etf Trust-Dire</x:v>
      </x:c>
      <x:c r="B172" t="str">
        <x:f>"ERYY US Equity"</x:f>
        <x:v>ERYY US Equity</x:v>
      </x:c>
      <x:c r="E172" t="str">
        <x:f t="shared" si="5"/>
        <x:v>Expression</x:v>
      </x:c>
      <x:c r="F172" t="str">
        <x:f ca="1">IF(AND($B$1012=1,LEN($F$1177)&gt;0),$F$1177,HLOOKUP(INDIRECT(ADDRESS(2,COLUMN())),OFFSET($T$2,0,0,ROW()-1,14),ROW()-1,FALSE))</x:f>
        <x:v/>
      </x:c>
      <x:c r="G172" t="str">
        <x:f ca="1">IF(AND($B$1012=1,LEN($G$1177)&gt;0),$G$1177,HLOOKUP(INDIRECT(ADDRESS(2,COLUMN())),OFFSET($T$2,0,0,ROW()-1,14),ROW()-1,FALSE))</x:f>
        <x:v/>
      </x:c>
      <x:c r="H172" t="str">
        <x:f ca="1">IF(AND($B$1012=1,LEN($H$1177)&gt;0),$H$1177,HLOOKUP(INDIRECT(ADDRESS(2,COLUMN())),OFFSET($T$2,0,0,ROW()-1,14),ROW()-1,FALSE))</x:f>
        <x:v/>
      </x:c>
      <x:c r="I172" t="str">
        <x:f ca="1">IF(AND($B$1012=1,LEN($I$1177)&gt;0),$I$1177,HLOOKUP(INDIRECT(ADDRESS(2,COLUMN())),OFFSET($T$2,0,0,ROW()-1,14),ROW()-1,FALSE))</x:f>
        <x:v/>
      </x:c>
      <x:c r="J172" t="str">
        <x:f ca="1">IF(AND($B$1012=1,LEN($J$1177)&gt;0),$J$1177,HLOOKUP(INDIRECT(ADDRESS(2,COLUMN())),OFFSET($T$2,0,0,ROW()-1,14),ROW()-1,FALSE))</x:f>
        <x:v/>
      </x:c>
      <x:c r="K172" t="str">
        <x:f ca="1">IF(AND($B$1012=1,LEN($K$1177)&gt;0),$K$1177,HLOOKUP(INDIRECT(ADDRESS(2,COLUMN())),OFFSET($T$2,0,0,ROW()-1,14),ROW()-1,FALSE))</x:f>
        <x:v/>
      </x:c>
      <x:c r="L172" t="str">
        <x:f ca="1">IF(AND($B$1012=1,LEN($L$1177)&gt;0),$L$1177,HLOOKUP(INDIRECT(ADDRESS(2,COLUMN())),OFFSET($T$2,0,0,ROW()-1,14),ROW()-1,FALSE))</x:f>
        <x:v/>
      </x:c>
      <x:c r="M172" t="str">
        <x:f ca="1">IF(AND($B$1012=1,LEN($M$1177)&gt;0),$M$1177,HLOOKUP(INDIRECT(ADDRESS(2,COLUMN())),OFFSET($T$2,0,0,ROW()-1,14),ROW()-1,FALSE))</x:f>
        <x:v/>
      </x:c>
      <x:c r="N172" t="str">
        <x:f ca="1">IF(AND($B$1012=1,LEN($N$1177)&gt;0),$N$1177,HLOOKUP(INDIRECT(ADDRESS(2,COLUMN())),OFFSET($T$2,0,0,ROW()-1,14),ROW()-1,FALSE))</x:f>
        <x:v/>
      </x:c>
      <x:c r="O172" t="str">
        <x:f ca="1">IF(AND($B$1012=1,LEN($O$1177)&gt;0),$O$1177,HLOOKUP(INDIRECT(ADDRESS(2,COLUMN())),OFFSET($T$2,0,0,ROW()-1,14),ROW()-1,FALSE))</x:f>
        <x:v/>
      </x:c>
      <x:c r="P172" t="str">
        <x:f ca="1">IF(AND($B$1012=1,LEN($P$1177)&gt;0),$P$1177,HLOOKUP(INDIRECT(ADDRESS(2,COLUMN())),OFFSET($T$2,0,0,ROW()-1,14),ROW()-1,FALSE))</x:f>
        <x:v/>
      </x:c>
      <x:c r="Q172" t="str">
        <x:f ca="1">IF(AND($B$1012=1,LEN($Q$1177)&gt;0),$Q$1177,HLOOKUP(INDIRECT(ADDRESS(2,COLUMN())),OFFSET($T$2,0,0,ROW()-1,14),ROW()-1,FALSE))</x:f>
        <x:v/>
      </x:c>
      <x:c r="R172" t="str">
        <x:f ca="1">IF(AND($B$1012=1,LEN($R$1177)&gt;0),$R$1177,HLOOKUP(INDIRECT(ADDRESS(2,COLUMN())),OFFSET($T$2,0,0,ROW()-1,14),ROW()-1,FALSE))</x:f>
        <x:v/>
      </x:c>
      <x:c r="S172" t="str">
        <x:f ca="1">IF(AND($B$1012=1,LEN($S$1177)&gt;0),$S$1177,HLOOKUP(INDIRECT(ADDRESS(2,COLUMN())),OFFSET($T$2,0,0,ROW()-1,14),ROW()-1,FALSE))</x:f>
        <x:v/>
      </x:c>
      <x:c r="T172" t="str">
        <x:f>""</x:f>
        <x:v/>
      </x:c>
      <x:c r="U172" t="str">
        <x:f>""</x:f>
        <x:v/>
      </x:c>
      <x:c r="V172" t="str">
        <x:f>""</x:f>
        <x:v/>
      </x:c>
      <x:c r="W172" t="str">
        <x:f>""</x:f>
        <x:v/>
      </x:c>
      <x:c r="X172" t="str">
        <x:f>""</x:f>
        <x:v/>
      </x:c>
      <x:c r="Y172" t="str">
        <x:f>""</x:f>
        <x:v/>
      </x:c>
      <x:c r="Z172" t="str">
        <x:f>""</x:f>
        <x:v/>
      </x:c>
      <x:c r="AA172" t="str">
        <x:f>""</x:f>
        <x:v/>
      </x:c>
      <x:c r="AB172" t="str">
        <x:f>""</x:f>
        <x:v/>
      </x:c>
      <x:c r="AC172" t="str">
        <x:f>""</x:f>
        <x:v/>
      </x:c>
      <x:c r="AD172" t="str">
        <x:f>""</x:f>
        <x:v/>
      </x:c>
      <x:c r="AE172" t="str">
        <x:f>""</x:f>
        <x:v/>
      </x:c>
      <x:c r="AF172" t="str">
        <x:f>""</x:f>
        <x:v/>
      </x:c>
      <x:c r="AG172" t="str">
        <x:f>""</x:f>
        <x:v/>
      </x:c>
    </x:row>
    <x:row r="173" spans="1:33" x14ac:dyDescent="0.25">
      <x:c r="A173" t="str">
        <x:f>"        iPath Global Carbon ETN"</x:f>
        <x:v xml:space="preserve">        iPath Global Carbon ETN</x:v>
      </x:c>
      <x:c r="B173" t="str">
        <x:f>"GRNTF US Equity"</x:f>
        <x:v>GRNTF US Equity</x:v>
      </x:c>
      <x:c r="E173" t="str">
        <x:f t="shared" si="5"/>
        <x:v>Expression</x:v>
      </x:c>
      <x:c r="F173">
        <x:f ca="1">IF(AND($B$1012=1,LEN($F$1178)&gt;0),$F$1178,HLOOKUP(INDIRECT(ADDRESS(2,COLUMN())),OFFSET($T$2,0,0,ROW()-1,14),ROW()-1,FALSE))</x:f>
        <x:v>-1.0522860000000001</x:v>
      </x:c>
      <x:c r="G173">
        <x:f ca="1">IF(AND($B$1012=1,LEN($G$1178)&gt;0),$G$1178,HLOOKUP(INDIRECT(ADDRESS(2,COLUMN())),OFFSET($T$2,0,0,ROW()-1,14),ROW()-1,FALSE))</x:f>
        <x:v>0</x:v>
      </x:c>
      <x:c r="H173">
        <x:f ca="1">IF(AND($B$1012=1,LEN($H$1178)&gt;0),$H$1178,HLOOKUP(INDIRECT(ADDRESS(2,COLUMN())),OFFSET($T$2,0,0,ROW()-1,14),ROW()-1,FALSE))</x:f>
        <x:v>0</x:v>
      </x:c>
      <x:c r="I173">
        <x:f ca="1">IF(AND($B$1012=1,LEN($I$1178)&gt;0),$I$1178,HLOOKUP(INDIRECT(ADDRESS(2,COLUMN())),OFFSET($T$2,0,0,ROW()-1,14),ROW()-1,FALSE))</x:f>
        <x:v>0</x:v>
      </x:c>
      <x:c r="J173">
        <x:f ca="1">IF(AND($B$1012=1,LEN($J$1178)&gt;0),$J$1178,HLOOKUP(INDIRECT(ADDRESS(2,COLUMN())),OFFSET($T$2,0,0,ROW()-1,14),ROW()-1,FALSE))</x:f>
        <x:v>-0.124083</x:v>
      </x:c>
      <x:c r="K173">
        <x:f ca="1">IF(AND($B$1012=1,LEN($K$1178)&gt;0),$K$1178,HLOOKUP(INDIRECT(ADDRESS(2,COLUMN())),OFFSET($T$2,0,0,ROW()-1,14),ROW()-1,FALSE))</x:f>
        <x:v>0</x:v>
      </x:c>
      <x:c r="L173">
        <x:f ca="1">IF(AND($B$1012=1,LEN($L$1178)&gt;0),$L$1178,HLOOKUP(INDIRECT(ADDRESS(2,COLUMN())),OFFSET($T$2,0,0,ROW()-1,14),ROW()-1,FALSE))</x:f>
        <x:v>0</x:v>
      </x:c>
      <x:c r="M173">
        <x:f ca="1">IF(AND($B$1012=1,LEN($M$1178)&gt;0),$M$1178,HLOOKUP(INDIRECT(ADDRESS(2,COLUMN())),OFFSET($T$2,0,0,ROW()-1,14),ROW()-1,FALSE))</x:f>
        <x:v>-0.66505400000000003</x:v>
      </x:c>
      <x:c r="N173">
        <x:f ca="1">IF(AND($B$1012=1,LEN($N$1178)&gt;0),$N$1178,HLOOKUP(INDIRECT(ADDRESS(2,COLUMN())),OFFSET($T$2,0,0,ROW()-1,14),ROW()-1,FALSE))</x:f>
        <x:v>0</x:v>
      </x:c>
      <x:c r="O173">
        <x:f ca="1">IF(AND($B$1012=1,LEN($O$1178)&gt;0),$O$1178,HLOOKUP(INDIRECT(ADDRESS(2,COLUMN())),OFFSET($T$2,0,0,ROW()-1,14),ROW()-1,FALSE))</x:f>
        <x:v>0</x:v>
      </x:c>
      <x:c r="P173">
        <x:f ca="1">IF(AND($B$1012=1,LEN($P$1178)&gt;0),$P$1178,HLOOKUP(INDIRECT(ADDRESS(2,COLUMN())),OFFSET($T$2,0,0,ROW()-1,14),ROW()-1,FALSE))</x:f>
        <x:v>0</x:v>
      </x:c>
      <x:c r="Q173">
        <x:f ca="1">IF(AND($B$1012=1,LEN($Q$1178)&gt;0),$Q$1178,HLOOKUP(INDIRECT(ADDRESS(2,COLUMN())),OFFSET($T$2,0,0,ROW()-1,14),ROW()-1,FALSE))</x:f>
        <x:v>0</x:v>
      </x:c>
      <x:c r="R173">
        <x:f ca="1">IF(AND($B$1012=1,LEN($R$1178)&gt;0),$R$1178,HLOOKUP(INDIRECT(ADDRESS(2,COLUMN())),OFFSET($T$2,0,0,ROW()-1,14),ROW()-1,FALSE))</x:f>
        <x:v>0</x:v>
      </x:c>
      <x:c r="S173">
        <x:f ca="1">IF(AND($B$1012=1,LEN($S$1178)&gt;0),$S$1178,HLOOKUP(INDIRECT(ADDRESS(2,COLUMN())),OFFSET($T$2,0,0,ROW()-1,14),ROW()-1,FALSE))</x:f>
        <x:v>0</x:v>
      </x:c>
      <x:c r="T173">
        <x:f>-1.052286</x:f>
        <x:v>-1.0522860000000001</x:v>
      </x:c>
      <x:c r="U173">
        <x:f>0</x:f>
        <x:v>0</x:v>
      </x:c>
      <x:c r="V173">
        <x:f>0</x:f>
        <x:v>0</x:v>
      </x:c>
      <x:c r="W173">
        <x:f>0</x:f>
        <x:v>0</x:v>
      </x:c>
      <x:c r="X173">
        <x:f>-0.124083</x:f>
        <x:v>-0.124083</x:v>
      </x:c>
      <x:c r="Y173">
        <x:f>0</x:f>
        <x:v>0</x:v>
      </x:c>
      <x:c r="Z173">
        <x:f>0</x:f>
        <x:v>0</x:v>
      </x:c>
      <x:c r="AA173">
        <x:f>-0.665054</x:f>
        <x:v>-0.66505400000000003</x:v>
      </x:c>
      <x:c r="AB173">
        <x:f>0</x:f>
        <x:v>0</x:v>
      </x:c>
      <x:c r="AC173">
        <x:f>0</x:f>
        <x:v>0</x:v>
      </x:c>
      <x:c r="AD173">
        <x:f>0</x:f>
        <x:v>0</x:v>
      </x:c>
      <x:c r="AE173">
        <x:f>0</x:f>
        <x:v>0</x:v>
      </x:c>
      <x:c r="AF173">
        <x:f>0</x:f>
        <x:v>0</x:v>
      </x:c>
      <x:c r="AG173">
        <x:f>0</x:f>
        <x:v>0</x:v>
      </x:c>
    </x:row>
    <x:row r="174" spans="1:33" x14ac:dyDescent="0.25">
      <x:c r="A174" t="str">
        <x:f>"        Proshares Ultrashort Oil &amp; Gas"</x:f>
        <x:v xml:space="preserve">        Proshares Ultrashort Oil &amp; Gas</x:v>
      </x:c>
      <x:c r="B174" t="str">
        <x:f>"SOP US Equity"</x:f>
        <x:v>SOP US Equity</x:v>
      </x:c>
      <x:c r="E174" t="str">
        <x:f t="shared" si="5"/>
        <x:v>Expression</x:v>
      </x:c>
      <x:c r="F174" t="str">
        <x:f ca="1">IF(AND($B$1012=1,LEN($F$1179)&gt;0),$F$1179,HLOOKUP(INDIRECT(ADDRESS(2,COLUMN())),OFFSET($T$2,0,0,ROW()-1,14),ROW()-1,FALSE))</x:f>
        <x:v/>
      </x:c>
      <x:c r="G174" t="str">
        <x:f ca="1">IF(AND($B$1012=1,LEN($G$1179)&gt;0),$G$1179,HLOOKUP(INDIRECT(ADDRESS(2,COLUMN())),OFFSET($T$2,0,0,ROW()-1,14),ROW()-1,FALSE))</x:f>
        <x:v/>
      </x:c>
      <x:c r="H174" t="str">
        <x:f ca="1">IF(AND($B$1012=1,LEN($H$1179)&gt;0),$H$1179,HLOOKUP(INDIRECT(ADDRESS(2,COLUMN())),OFFSET($T$2,0,0,ROW()-1,14),ROW()-1,FALSE))</x:f>
        <x:v/>
      </x:c>
      <x:c r="I174" t="str">
        <x:f ca="1">IF(AND($B$1012=1,LEN($I$1179)&gt;0),$I$1179,HLOOKUP(INDIRECT(ADDRESS(2,COLUMN())),OFFSET($T$2,0,0,ROW()-1,14),ROW()-1,FALSE))</x:f>
        <x:v/>
      </x:c>
      <x:c r="J174" t="str">
        <x:f ca="1">IF(AND($B$1012=1,LEN($J$1179)&gt;0),$J$1179,HLOOKUP(INDIRECT(ADDRESS(2,COLUMN())),OFFSET($T$2,0,0,ROW()-1,14),ROW()-1,FALSE))</x:f>
        <x:v/>
      </x:c>
      <x:c r="K174" t="str">
        <x:f ca="1">IF(AND($B$1012=1,LEN($K$1179)&gt;0),$K$1179,HLOOKUP(INDIRECT(ADDRESS(2,COLUMN())),OFFSET($T$2,0,0,ROW()-1,14),ROW()-1,FALSE))</x:f>
        <x:v/>
      </x:c>
      <x:c r="L174" t="str">
        <x:f ca="1">IF(AND($B$1012=1,LEN($L$1179)&gt;0),$L$1179,HLOOKUP(INDIRECT(ADDRESS(2,COLUMN())),OFFSET($T$2,0,0,ROW()-1,14),ROW()-1,FALSE))</x:f>
        <x:v/>
      </x:c>
      <x:c r="M174" t="str">
        <x:f ca="1">IF(AND($B$1012=1,LEN($M$1179)&gt;0),$M$1179,HLOOKUP(INDIRECT(ADDRESS(2,COLUMN())),OFFSET($T$2,0,0,ROW()-1,14),ROW()-1,FALSE))</x:f>
        <x:v/>
      </x:c>
      <x:c r="N174" t="str">
        <x:f ca="1">IF(AND($B$1012=1,LEN($N$1179)&gt;0),$N$1179,HLOOKUP(INDIRECT(ADDRESS(2,COLUMN())),OFFSET($T$2,0,0,ROW()-1,14),ROW()-1,FALSE))</x:f>
        <x:v/>
      </x:c>
      <x:c r="O174" t="str">
        <x:f ca="1">IF(AND($B$1012=1,LEN($O$1179)&gt;0),$O$1179,HLOOKUP(INDIRECT(ADDRESS(2,COLUMN())),OFFSET($T$2,0,0,ROW()-1,14),ROW()-1,FALSE))</x:f>
        <x:v/>
      </x:c>
      <x:c r="P174" t="str">
        <x:f ca="1">IF(AND($B$1012=1,LEN($P$1179)&gt;0),$P$1179,HLOOKUP(INDIRECT(ADDRESS(2,COLUMN())),OFFSET($T$2,0,0,ROW()-1,14),ROW()-1,FALSE))</x:f>
        <x:v/>
      </x:c>
      <x:c r="Q174" t="str">
        <x:f ca="1">IF(AND($B$1012=1,LEN($Q$1179)&gt;0),$Q$1179,HLOOKUP(INDIRECT(ADDRESS(2,COLUMN())),OFFSET($T$2,0,0,ROW()-1,14),ROW()-1,FALSE))</x:f>
        <x:v/>
      </x:c>
      <x:c r="R174" t="str">
        <x:f ca="1">IF(AND($B$1012=1,LEN($R$1179)&gt;0),$R$1179,HLOOKUP(INDIRECT(ADDRESS(2,COLUMN())),OFFSET($T$2,0,0,ROW()-1,14),ROW()-1,FALSE))</x:f>
        <x:v/>
      </x:c>
      <x:c r="S174" t="str">
        <x:f ca="1">IF(AND($B$1012=1,LEN($S$1179)&gt;0),$S$1179,HLOOKUP(INDIRECT(ADDRESS(2,COLUMN())),OFFSET($T$2,0,0,ROW()-1,14),ROW()-1,FALSE))</x:f>
        <x:v/>
      </x:c>
      <x:c r="T174" t="str">
        <x:f>""</x:f>
        <x:v/>
      </x:c>
      <x:c r="U174" t="str">
        <x:f>""</x:f>
        <x:v/>
      </x:c>
      <x:c r="V174" t="str">
        <x:f>""</x:f>
        <x:v/>
      </x:c>
      <x:c r="W174" t="str">
        <x:f>""</x:f>
        <x:v/>
      </x:c>
      <x:c r="X174" t="str">
        <x:f>""</x:f>
        <x:v/>
      </x:c>
      <x:c r="Y174" t="str">
        <x:f>""</x:f>
        <x:v/>
      </x:c>
      <x:c r="Z174" t="str">
        <x:f>""</x:f>
        <x:v/>
      </x:c>
      <x:c r="AA174" t="str">
        <x:f>""</x:f>
        <x:v/>
      </x:c>
      <x:c r="AB174" t="str">
        <x:f>""</x:f>
        <x:v/>
      </x:c>
      <x:c r="AC174" t="str">
        <x:f>""</x:f>
        <x:v/>
      </x:c>
      <x:c r="AD174" t="str">
        <x:f>""</x:f>
        <x:v/>
      </x:c>
      <x:c r="AE174" t="str">
        <x:f>""</x:f>
        <x:v/>
      </x:c>
      <x:c r="AF174" t="str">
        <x:f>""</x:f>
        <x:v/>
      </x:c>
      <x:c r="AG174" t="str">
        <x:f>""</x:f>
        <x:v/>
      </x:c>
    </x:row>
    <x:row r="175" spans="1:33" x14ac:dyDescent="0.25">
      <x:c r="A175" t="str">
        <x:f>"        C-Tracks ETNs on the Miller/Ho"</x:f>
        <x:v xml:space="preserve">        C-Tracks ETNs on the Miller/Ho</x:v>
      </x:c>
      <x:c r="B175" t="str">
        <x:f>"MLPE US Equity"</x:f>
        <x:v>MLPE US Equity</x:v>
      </x:c>
      <x:c r="E175" t="str">
        <x:f t="shared" si="5"/>
        <x:v>Expression</x:v>
      </x:c>
      <x:c r="F175" t="str">
        <x:f ca="1">IF(AND($B$1012=1,LEN($F$1180)&gt;0),$F$1180,HLOOKUP(INDIRECT(ADDRESS(2,COLUMN())),OFFSET($T$2,0,0,ROW()-1,14),ROW()-1,FALSE))</x:f>
        <x:v/>
      </x:c>
      <x:c r="G175" t="str">
        <x:f ca="1">IF(AND($B$1012=1,LEN($G$1180)&gt;0),$G$1180,HLOOKUP(INDIRECT(ADDRESS(2,COLUMN())),OFFSET($T$2,0,0,ROW()-1,14),ROW()-1,FALSE))</x:f>
        <x:v/>
      </x:c>
      <x:c r="H175" t="str">
        <x:f ca="1">IF(AND($B$1012=1,LEN($H$1180)&gt;0),$H$1180,HLOOKUP(INDIRECT(ADDRESS(2,COLUMN())),OFFSET($T$2,0,0,ROW()-1,14),ROW()-1,FALSE))</x:f>
        <x:v/>
      </x:c>
      <x:c r="I175" t="str">
        <x:f ca="1">IF(AND($B$1012=1,LEN($I$1180)&gt;0),$I$1180,HLOOKUP(INDIRECT(ADDRESS(2,COLUMN())),OFFSET($T$2,0,0,ROW()-1,14),ROW()-1,FALSE))</x:f>
        <x:v/>
      </x:c>
      <x:c r="J175" t="str">
        <x:f ca="1">IF(AND($B$1012=1,LEN($J$1180)&gt;0),$J$1180,HLOOKUP(INDIRECT(ADDRESS(2,COLUMN())),OFFSET($T$2,0,0,ROW()-1,14),ROW()-1,FALSE))</x:f>
        <x:v/>
      </x:c>
      <x:c r="K175" t="str">
        <x:f ca="1">IF(AND($B$1012=1,LEN($K$1180)&gt;0),$K$1180,HLOOKUP(INDIRECT(ADDRESS(2,COLUMN())),OFFSET($T$2,0,0,ROW()-1,14),ROW()-1,FALSE))</x:f>
        <x:v/>
      </x:c>
      <x:c r="L175" t="str">
        <x:f ca="1">IF(AND($B$1012=1,LEN($L$1180)&gt;0),$L$1180,HLOOKUP(INDIRECT(ADDRESS(2,COLUMN())),OFFSET($T$2,0,0,ROW()-1,14),ROW()-1,FALSE))</x:f>
        <x:v/>
      </x:c>
      <x:c r="M175" t="str">
        <x:f ca="1">IF(AND($B$1012=1,LEN($M$1180)&gt;0),$M$1180,HLOOKUP(INDIRECT(ADDRESS(2,COLUMN())),OFFSET($T$2,0,0,ROW()-1,14),ROW()-1,FALSE))</x:f>
        <x:v/>
      </x:c>
      <x:c r="N175" t="str">
        <x:f ca="1">IF(AND($B$1012=1,LEN($N$1180)&gt;0),$N$1180,HLOOKUP(INDIRECT(ADDRESS(2,COLUMN())),OFFSET($T$2,0,0,ROW()-1,14),ROW()-1,FALSE))</x:f>
        <x:v/>
      </x:c>
      <x:c r="O175" t="str">
        <x:f ca="1">IF(AND($B$1012=1,LEN($O$1180)&gt;0),$O$1180,HLOOKUP(INDIRECT(ADDRESS(2,COLUMN())),OFFSET($T$2,0,0,ROW()-1,14),ROW()-1,FALSE))</x:f>
        <x:v/>
      </x:c>
      <x:c r="P175" t="str">
        <x:f ca="1">IF(AND($B$1012=1,LEN($P$1180)&gt;0),$P$1180,HLOOKUP(INDIRECT(ADDRESS(2,COLUMN())),OFFSET($T$2,0,0,ROW()-1,14),ROW()-1,FALSE))</x:f>
        <x:v/>
      </x:c>
      <x:c r="Q175" t="str">
        <x:f ca="1">IF(AND($B$1012=1,LEN($Q$1180)&gt;0),$Q$1180,HLOOKUP(INDIRECT(ADDRESS(2,COLUMN())),OFFSET($T$2,0,0,ROW()-1,14),ROW()-1,FALSE))</x:f>
        <x:v/>
      </x:c>
      <x:c r="R175" t="str">
        <x:f ca="1">IF(AND($B$1012=1,LEN($R$1180)&gt;0),$R$1180,HLOOKUP(INDIRECT(ADDRESS(2,COLUMN())),OFFSET($T$2,0,0,ROW()-1,14),ROW()-1,FALSE))</x:f>
        <x:v/>
      </x:c>
      <x:c r="S175" t="str">
        <x:f ca="1">IF(AND($B$1012=1,LEN($S$1180)&gt;0),$S$1180,HLOOKUP(INDIRECT(ADDRESS(2,COLUMN())),OFFSET($T$2,0,0,ROW()-1,14),ROW()-1,FALSE))</x:f>
        <x:v/>
      </x:c>
      <x:c r="T175" t="str">
        <x:f>""</x:f>
        <x:v/>
      </x:c>
      <x:c r="U175" t="str">
        <x:f>""</x:f>
        <x:v/>
      </x:c>
      <x:c r="V175" t="str">
        <x:f>""</x:f>
        <x:v/>
      </x:c>
      <x:c r="W175" t="str">
        <x:f>""</x:f>
        <x:v/>
      </x:c>
      <x:c r="X175" t="str">
        <x:f>""</x:f>
        <x:v/>
      </x:c>
      <x:c r="Y175" t="str">
        <x:f>""</x:f>
        <x:v/>
      </x:c>
      <x:c r="Z175" t="str">
        <x:f>""</x:f>
        <x:v/>
      </x:c>
      <x:c r="AA175" t="str">
        <x:f>""</x:f>
        <x:v/>
      </x:c>
      <x:c r="AB175" t="str">
        <x:f>""</x:f>
        <x:v/>
      </x:c>
      <x:c r="AC175" t="str">
        <x:f>""</x:f>
        <x:v/>
      </x:c>
      <x:c r="AD175" t="str">
        <x:f>""</x:f>
        <x:v/>
      </x:c>
      <x:c r="AE175" t="str">
        <x:f>""</x:f>
        <x:v/>
      </x:c>
      <x:c r="AF175" t="str">
        <x:f>""</x:f>
        <x:v/>
      </x:c>
      <x:c r="AG175" t="str">
        <x:f>""</x:f>
        <x:v/>
      </x:c>
    </x:row>
    <x:row r="176" spans="1:33" x14ac:dyDescent="0.25">
      <x:c r="A176" t="str">
        <x:f>"        Amylyx Pharmaceuticals Inc"</x:f>
        <x:v xml:space="preserve">        Amylyx Pharmaceuticals Inc</x:v>
      </x:c>
      <x:c r="B176" t="str">
        <x:f>"AMLX US Equity"</x:f>
        <x:v>AMLX US Equity</x:v>
      </x:c>
      <x:c r="E176" t="str">
        <x:f t="shared" si="5"/>
        <x:v>Expression</x:v>
      </x:c>
      <x:c r="F176" t="str">
        <x:f ca="1">IF(AND($B$1012=1,LEN($F$1181)&gt;0),$F$1181,HLOOKUP(INDIRECT(ADDRESS(2,COLUMN())),OFFSET($T$2,0,0,ROW()-1,14),ROW()-1,FALSE))</x:f>
        <x:v/>
      </x:c>
      <x:c r="G176" t="str">
        <x:f ca="1">IF(AND($B$1012=1,LEN($G$1181)&gt;0),$G$1181,HLOOKUP(INDIRECT(ADDRESS(2,COLUMN())),OFFSET($T$2,0,0,ROW()-1,14),ROW()-1,FALSE))</x:f>
        <x:v/>
      </x:c>
      <x:c r="H176" t="str">
        <x:f ca="1">IF(AND($B$1012=1,LEN($H$1181)&gt;0),$H$1181,HLOOKUP(INDIRECT(ADDRESS(2,COLUMN())),OFFSET($T$2,0,0,ROW()-1,14),ROW()-1,FALSE))</x:f>
        <x:v/>
      </x:c>
      <x:c r="I176" t="str">
        <x:f ca="1">IF(AND($B$1012=1,LEN($I$1181)&gt;0),$I$1181,HLOOKUP(INDIRECT(ADDRESS(2,COLUMN())),OFFSET($T$2,0,0,ROW()-1,14),ROW()-1,FALSE))</x:f>
        <x:v/>
      </x:c>
      <x:c r="J176" t="str">
        <x:f ca="1">IF(AND($B$1012=1,LEN($J$1181)&gt;0),$J$1181,HLOOKUP(INDIRECT(ADDRESS(2,COLUMN())),OFFSET($T$2,0,0,ROW()-1,14),ROW()-1,FALSE))</x:f>
        <x:v/>
      </x:c>
      <x:c r="K176" t="str">
        <x:f ca="1">IF(AND($B$1012=1,LEN($K$1181)&gt;0),$K$1181,HLOOKUP(INDIRECT(ADDRESS(2,COLUMN())),OFFSET($T$2,0,0,ROW()-1,14),ROW()-1,FALSE))</x:f>
        <x:v/>
      </x:c>
      <x:c r="L176" t="str">
        <x:f ca="1">IF(AND($B$1012=1,LEN($L$1181)&gt;0),$L$1181,HLOOKUP(INDIRECT(ADDRESS(2,COLUMN())),OFFSET($T$2,0,0,ROW()-1,14),ROW()-1,FALSE))</x:f>
        <x:v/>
      </x:c>
      <x:c r="M176" t="str">
        <x:f ca="1">IF(AND($B$1012=1,LEN($M$1181)&gt;0),$M$1181,HLOOKUP(INDIRECT(ADDRESS(2,COLUMN())),OFFSET($T$2,0,0,ROW()-1,14),ROW()-1,FALSE))</x:f>
        <x:v/>
      </x:c>
      <x:c r="N176" t="str">
        <x:f ca="1">IF(AND($B$1012=1,LEN($N$1181)&gt;0),$N$1181,HLOOKUP(INDIRECT(ADDRESS(2,COLUMN())),OFFSET($T$2,0,0,ROW()-1,14),ROW()-1,FALSE))</x:f>
        <x:v/>
      </x:c>
      <x:c r="O176" t="str">
        <x:f ca="1">IF(AND($B$1012=1,LEN($O$1181)&gt;0),$O$1181,HLOOKUP(INDIRECT(ADDRESS(2,COLUMN())),OFFSET($T$2,0,0,ROW()-1,14),ROW()-1,FALSE))</x:f>
        <x:v/>
      </x:c>
      <x:c r="P176" t="str">
        <x:f ca="1">IF(AND($B$1012=1,LEN($P$1181)&gt;0),$P$1181,HLOOKUP(INDIRECT(ADDRESS(2,COLUMN())),OFFSET($T$2,0,0,ROW()-1,14),ROW()-1,FALSE))</x:f>
        <x:v/>
      </x:c>
      <x:c r="Q176" t="str">
        <x:f ca="1">IF(AND($B$1012=1,LEN($Q$1181)&gt;0),$Q$1181,HLOOKUP(INDIRECT(ADDRESS(2,COLUMN())),OFFSET($T$2,0,0,ROW()-1,14),ROW()-1,FALSE))</x:f>
        <x:v/>
      </x:c>
      <x:c r="R176" t="str">
        <x:f ca="1">IF(AND($B$1012=1,LEN($R$1181)&gt;0),$R$1181,HLOOKUP(INDIRECT(ADDRESS(2,COLUMN())),OFFSET($T$2,0,0,ROW()-1,14),ROW()-1,FALSE))</x:f>
        <x:v/>
      </x:c>
      <x:c r="S176" t="str">
        <x:f ca="1">IF(AND($B$1012=1,LEN($S$1181)&gt;0),$S$1181,HLOOKUP(INDIRECT(ADDRESS(2,COLUMN())),OFFSET($T$2,0,0,ROW()-1,14),ROW()-1,FALSE))</x:f>
        <x:v/>
      </x:c>
      <x:c r="T176" t="str">
        <x:f>""</x:f>
        <x:v/>
      </x:c>
      <x:c r="U176" t="str">
        <x:f>""</x:f>
        <x:v/>
      </x:c>
      <x:c r="V176" t="str">
        <x:f>""</x:f>
        <x:v/>
      </x:c>
      <x:c r="W176" t="str">
        <x:f>""</x:f>
        <x:v/>
      </x:c>
      <x:c r="X176" t="str">
        <x:f>""</x:f>
        <x:v/>
      </x:c>
      <x:c r="Y176" t="str">
        <x:f>""</x:f>
        <x:v/>
      </x:c>
      <x:c r="Z176" t="str">
        <x:f>""</x:f>
        <x:v/>
      </x:c>
      <x:c r="AA176" t="str">
        <x:f>""</x:f>
        <x:v/>
      </x:c>
      <x:c r="AB176" t="str">
        <x:f>""</x:f>
        <x:v/>
      </x:c>
      <x:c r="AC176" t="str">
        <x:f>""</x:f>
        <x:v/>
      </x:c>
      <x:c r="AD176" t="str">
        <x:f>""</x:f>
        <x:v/>
      </x:c>
      <x:c r="AE176" t="str">
        <x:f>""</x:f>
        <x:v/>
      </x:c>
      <x:c r="AF176" t="str">
        <x:f>""</x:f>
        <x:v/>
      </x:c>
      <x:c r="AG176" t="str">
        <x:f>""</x:f>
        <x:v/>
      </x:c>
    </x:row>
    <x:row r="177" spans="1:33" x14ac:dyDescent="0.25">
      <x:c r="A177" t="str">
        <x:f>"        Cushing 30 MLP Index ETNs due"</x:f>
        <x:v xml:space="preserve">        Cushing 30 MLP Index ETNs due</x:v>
      </x:c>
      <x:c r="B177" t="str">
        <x:f>"PPLN US Equity"</x:f>
        <x:v>PPLN US Equity</x:v>
      </x:c>
      <x:c r="E177" t="str">
        <x:f t="shared" si="5"/>
        <x:v>Expression</x:v>
      </x:c>
      <x:c r="F177" t="str">
        <x:f ca="1">IF(AND($B$1012=1,LEN($F$1182)&gt;0),$F$1182,HLOOKUP(INDIRECT(ADDRESS(2,COLUMN())),OFFSET($T$2,0,0,ROW()-1,14),ROW()-1,FALSE))</x:f>
        <x:v/>
      </x:c>
      <x:c r="G177" t="str">
        <x:f ca="1">IF(AND($B$1012=1,LEN($G$1182)&gt;0),$G$1182,HLOOKUP(INDIRECT(ADDRESS(2,COLUMN())),OFFSET($T$2,0,0,ROW()-1,14),ROW()-1,FALSE))</x:f>
        <x:v/>
      </x:c>
      <x:c r="H177" t="str">
        <x:f ca="1">IF(AND($B$1012=1,LEN($H$1182)&gt;0),$H$1182,HLOOKUP(INDIRECT(ADDRESS(2,COLUMN())),OFFSET($T$2,0,0,ROW()-1,14),ROW()-1,FALSE))</x:f>
        <x:v/>
      </x:c>
      <x:c r="I177" t="str">
        <x:f ca="1">IF(AND($B$1012=1,LEN($I$1182)&gt;0),$I$1182,HLOOKUP(INDIRECT(ADDRESS(2,COLUMN())),OFFSET($T$2,0,0,ROW()-1,14),ROW()-1,FALSE))</x:f>
        <x:v/>
      </x:c>
      <x:c r="J177" t="str">
        <x:f ca="1">IF(AND($B$1012=1,LEN($J$1182)&gt;0),$J$1182,HLOOKUP(INDIRECT(ADDRESS(2,COLUMN())),OFFSET($T$2,0,0,ROW()-1,14),ROW()-1,FALSE))</x:f>
        <x:v/>
      </x:c>
      <x:c r="K177" t="str">
        <x:f ca="1">IF(AND($B$1012=1,LEN($K$1182)&gt;0),$K$1182,HLOOKUP(INDIRECT(ADDRESS(2,COLUMN())),OFFSET($T$2,0,0,ROW()-1,14),ROW()-1,FALSE))</x:f>
        <x:v/>
      </x:c>
      <x:c r="L177" t="str">
        <x:f ca="1">IF(AND($B$1012=1,LEN($L$1182)&gt;0),$L$1182,HLOOKUP(INDIRECT(ADDRESS(2,COLUMN())),OFFSET($T$2,0,0,ROW()-1,14),ROW()-1,FALSE))</x:f>
        <x:v/>
      </x:c>
      <x:c r="M177" t="str">
        <x:f ca="1">IF(AND($B$1012=1,LEN($M$1182)&gt;0),$M$1182,HLOOKUP(INDIRECT(ADDRESS(2,COLUMN())),OFFSET($T$2,0,0,ROW()-1,14),ROW()-1,FALSE))</x:f>
        <x:v/>
      </x:c>
      <x:c r="N177" t="str">
        <x:f ca="1">IF(AND($B$1012=1,LEN($N$1182)&gt;0),$N$1182,HLOOKUP(INDIRECT(ADDRESS(2,COLUMN())),OFFSET($T$2,0,0,ROW()-1,14),ROW()-1,FALSE))</x:f>
        <x:v/>
      </x:c>
      <x:c r="O177" t="str">
        <x:f ca="1">IF(AND($B$1012=1,LEN($O$1182)&gt;0),$O$1182,HLOOKUP(INDIRECT(ADDRESS(2,COLUMN())),OFFSET($T$2,0,0,ROW()-1,14),ROW()-1,FALSE))</x:f>
        <x:v/>
      </x:c>
      <x:c r="P177" t="str">
        <x:f ca="1">IF(AND($B$1012=1,LEN($P$1182)&gt;0),$P$1182,HLOOKUP(INDIRECT(ADDRESS(2,COLUMN())),OFFSET($T$2,0,0,ROW()-1,14),ROW()-1,FALSE))</x:f>
        <x:v/>
      </x:c>
      <x:c r="Q177" t="str">
        <x:f ca="1">IF(AND($B$1012=1,LEN($Q$1182)&gt;0),$Q$1182,HLOOKUP(INDIRECT(ADDRESS(2,COLUMN())),OFFSET($T$2,0,0,ROW()-1,14),ROW()-1,FALSE))</x:f>
        <x:v/>
      </x:c>
      <x:c r="R177" t="str">
        <x:f ca="1">IF(AND($B$1012=1,LEN($R$1182)&gt;0),$R$1182,HLOOKUP(INDIRECT(ADDRESS(2,COLUMN())),OFFSET($T$2,0,0,ROW()-1,14),ROW()-1,FALSE))</x:f>
        <x:v/>
      </x:c>
      <x:c r="S177" t="str">
        <x:f ca="1">IF(AND($B$1012=1,LEN($S$1182)&gt;0),$S$1182,HLOOKUP(INDIRECT(ADDRESS(2,COLUMN())),OFFSET($T$2,0,0,ROW()-1,14),ROW()-1,FALSE))</x:f>
        <x:v/>
      </x:c>
      <x:c r="T177" t="str">
        <x:f>""</x:f>
        <x:v/>
      </x:c>
      <x:c r="U177" t="str">
        <x:f>""</x:f>
        <x:v/>
      </x:c>
      <x:c r="V177" t="str">
        <x:f>""</x:f>
        <x:v/>
      </x:c>
      <x:c r="W177" t="str">
        <x:f>""</x:f>
        <x:v/>
      </x:c>
      <x:c r="X177" t="str">
        <x:f>""</x:f>
        <x:v/>
      </x:c>
      <x:c r="Y177" t="str">
        <x:f>""</x:f>
        <x:v/>
      </x:c>
      <x:c r="Z177" t="str">
        <x:f>""</x:f>
        <x:v/>
      </x:c>
      <x:c r="AA177" t="str">
        <x:f>""</x:f>
        <x:v/>
      </x:c>
      <x:c r="AB177" t="str">
        <x:f>""</x:f>
        <x:v/>
      </x:c>
      <x:c r="AC177" t="str">
        <x:f>""</x:f>
        <x:v/>
      </x:c>
      <x:c r="AD177" t="str">
        <x:f>""</x:f>
        <x:v/>
      </x:c>
      <x:c r="AE177" t="str">
        <x:f>""</x:f>
        <x:v/>
      </x:c>
      <x:c r="AF177" t="str">
        <x:f>""</x:f>
        <x:v/>
      </x:c>
      <x:c r="AG177" t="str">
        <x:f>""</x:f>
        <x:v/>
      </x:c>
    </x:row>
    <x:row r="178" spans="1:33" x14ac:dyDescent="0.25">
      <x:c r="A178" t="str">
        <x:f>"        Harbor Energy Transition Strat"</x:f>
        <x:v xml:space="preserve">        Harbor Energy Transition Strat</x:v>
      </x:c>
      <x:c r="B178" t="str">
        <x:f>"RENW US Equity"</x:f>
        <x:v>RENW US Equity</x:v>
      </x:c>
      <x:c r="E178" t="str">
        <x:f t="shared" si="5"/>
        <x:v>Expression</x:v>
      </x:c>
      <x:c r="F178">
        <x:f ca="1">IF(AND($B$1012=1,LEN($F$1183)&gt;0),$F$1183,HLOOKUP(INDIRECT(ADDRESS(2,COLUMN())),OFFSET($T$2,0,0,ROW()-1,14),ROW()-1,FALSE))</x:f>
        <x:v>0</x:v>
      </x:c>
      <x:c r="G178">
        <x:f ca="1">IF(AND($B$1012=1,LEN($G$1183)&gt;0),$G$1183,HLOOKUP(INDIRECT(ADDRESS(2,COLUMN())),OFFSET($T$2,0,0,ROW()-1,14),ROW()-1,FALSE))</x:f>
        <x:v>0</x:v>
      </x:c>
      <x:c r="H178">
        <x:f ca="1">IF(AND($B$1012=1,LEN($H$1183)&gt;0),$H$1183,HLOOKUP(INDIRECT(ADDRESS(2,COLUMN())),OFFSET($T$2,0,0,ROW()-1,14),ROW()-1,FALSE))</x:f>
        <x:v>0</x:v>
      </x:c>
      <x:c r="I178">
        <x:f ca="1">IF(AND($B$1012=1,LEN($I$1183)&gt;0),$I$1183,HLOOKUP(INDIRECT(ADDRESS(2,COLUMN())),OFFSET($T$2,0,0,ROW()-1,14),ROW()-1,FALSE))</x:f>
        <x:v>0</x:v>
      </x:c>
      <x:c r="J178">
        <x:f ca="1">IF(AND($B$1012=1,LEN($J$1183)&gt;0),$J$1183,HLOOKUP(INDIRECT(ADDRESS(2,COLUMN())),OFFSET($T$2,0,0,ROW()-1,14),ROW()-1,FALSE))</x:f>
        <x:v>0</x:v>
      </x:c>
      <x:c r="K178">
        <x:f ca="1">IF(AND($B$1012=1,LEN($K$1183)&gt;0),$K$1183,HLOOKUP(INDIRECT(ADDRESS(2,COLUMN())),OFFSET($T$2,0,0,ROW()-1,14),ROW()-1,FALSE))</x:f>
        <x:v>0.35742499999999999</x:v>
      </x:c>
      <x:c r="L178">
        <x:f ca="1">IF(AND($B$1012=1,LEN($L$1183)&gt;0),$L$1183,HLOOKUP(INDIRECT(ADDRESS(2,COLUMN())),OFFSET($T$2,0,0,ROW()-1,14),ROW()-1,FALSE))</x:f>
        <x:v>4.6180019999999997</x:v>
      </x:c>
      <x:c r="M178">
        <x:f ca="1">IF(AND($B$1012=1,LEN($M$1183)&gt;0),$M$1183,HLOOKUP(INDIRECT(ADDRESS(2,COLUMN())),OFFSET($T$2,0,0,ROW()-1,14),ROW()-1,FALSE))</x:f>
        <x:v>0</x:v>
      </x:c>
      <x:c r="N178">
        <x:f ca="1">IF(AND($B$1012=1,LEN($N$1183)&gt;0),$N$1183,HLOOKUP(INDIRECT(ADDRESS(2,COLUMN())),OFFSET($T$2,0,0,ROW()-1,14),ROW()-1,FALSE))</x:f>
        <x:v>0</x:v>
      </x:c>
      <x:c r="O178">
        <x:f ca="1">IF(AND($B$1012=1,LEN($O$1183)&gt;0),$O$1183,HLOOKUP(INDIRECT(ADDRESS(2,COLUMN())),OFFSET($T$2,0,0,ROW()-1,14),ROW()-1,FALSE))</x:f>
        <x:v>0</x:v>
      </x:c>
      <x:c r="P178">
        <x:f ca="1">IF(AND($B$1012=1,LEN($P$1183)&gt;0),$P$1183,HLOOKUP(INDIRECT(ADDRESS(2,COLUMN())),OFFSET($T$2,0,0,ROW()-1,14),ROW()-1,FALSE))</x:f>
        <x:v>4.1075499999999998</x:v>
      </x:c>
      <x:c r="Q178">
        <x:f ca="1">IF(AND($B$1012=1,LEN($Q$1183)&gt;0),$Q$1183,HLOOKUP(INDIRECT(ADDRESS(2,COLUMN())),OFFSET($T$2,0,0,ROW()-1,14),ROW()-1,FALSE))</x:f>
        <x:v>0</x:v>
      </x:c>
      <x:c r="R178">
        <x:f ca="1">IF(AND($B$1012=1,LEN($R$1183)&gt;0),$R$1183,HLOOKUP(INDIRECT(ADDRESS(2,COLUMN())),OFFSET($T$2,0,0,ROW()-1,14),ROW()-1,FALSE))</x:f>
        <x:v>0</x:v>
      </x:c>
      <x:c r="S178">
        <x:f ca="1">IF(AND($B$1012=1,LEN($S$1183)&gt;0),$S$1183,HLOOKUP(INDIRECT(ADDRESS(2,COLUMN())),OFFSET($T$2,0,0,ROW()-1,14),ROW()-1,FALSE))</x:f>
        <x:v>0</x:v>
      </x:c>
      <x:c r="T178">
        <x:f>0</x:f>
        <x:v>0</x:v>
      </x:c>
      <x:c r="U178">
        <x:f>0</x:f>
        <x:v>0</x:v>
      </x:c>
      <x:c r="V178">
        <x:f>0</x:f>
        <x:v>0</x:v>
      </x:c>
      <x:c r="W178">
        <x:f>0</x:f>
        <x:v>0</x:v>
      </x:c>
      <x:c r="X178">
        <x:f>0</x:f>
        <x:v>0</x:v>
      </x:c>
      <x:c r="Y178">
        <x:f>0.357425</x:f>
        <x:v>0.35742499999999999</x:v>
      </x:c>
      <x:c r="Z178">
        <x:f>4.618002</x:f>
        <x:v>4.6180019999999997</x:v>
      </x:c>
      <x:c r="AA178">
        <x:f>0</x:f>
        <x:v>0</x:v>
      </x:c>
      <x:c r="AB178">
        <x:f>0</x:f>
        <x:v>0</x:v>
      </x:c>
      <x:c r="AC178">
        <x:f>0</x:f>
        <x:v>0</x:v>
      </x:c>
      <x:c r="AD178">
        <x:f>4.10755</x:f>
        <x:v>4.1075499999999998</x:v>
      </x:c>
      <x:c r="AE178">
        <x:f>0</x:f>
        <x:v>0</x:v>
      </x:c>
      <x:c r="AF178">
        <x:f>0</x:f>
        <x:v>0</x:v>
      </x:c>
      <x:c r="AG178">
        <x:f>0</x:f>
        <x:v>0</x:v>
      </x:c>
    </x:row>
    <x:row r="179" spans="1:33" x14ac:dyDescent="0.25">
      <x:c r="A179" t="str">
        <x:f>"        Pacer American Energy Independ"</x:f>
        <x:v xml:space="preserve">        Pacer American Energy Independ</x:v>
      </x:c>
      <x:c r="B179" t="str">
        <x:f>"USAI US Equity"</x:f>
        <x:v>USAI US Equity</x:v>
      </x:c>
      <x:c r="E179" t="str">
        <x:f t="shared" si="5"/>
        <x:v>Expression</x:v>
      </x:c>
      <x:c r="F179">
        <x:f ca="1">IF(AND($B$1012=1,LEN($F$1184)&gt;0),$F$1184,HLOOKUP(INDIRECT(ADDRESS(2,COLUMN())),OFFSET($T$2,0,0,ROW()-1,14),ROW()-1,FALSE))</x:f>
        <x:v>0</x:v>
      </x:c>
      <x:c r="G179">
        <x:f ca="1">IF(AND($B$1012=1,LEN($G$1184)&gt;0),$G$1184,HLOOKUP(INDIRECT(ADDRESS(2,COLUMN())),OFFSET($T$2,0,0,ROW()-1,14),ROW()-1,FALSE))</x:f>
        <x:v>0</x:v>
      </x:c>
      <x:c r="H179">
        <x:f ca="1">IF(AND($B$1012=1,LEN($H$1184)&gt;0),$H$1184,HLOOKUP(INDIRECT(ADDRESS(2,COLUMN())),OFFSET($T$2,0,0,ROW()-1,14),ROW()-1,FALSE))</x:f>
        <x:v>0</x:v>
      </x:c>
      <x:c r="I179">
        <x:f ca="1">IF(AND($B$1012=1,LEN($I$1184)&gt;0),$I$1184,HLOOKUP(INDIRECT(ADDRESS(2,COLUMN())),OFFSET($T$2,0,0,ROW()-1,14),ROW()-1,FALSE))</x:f>
        <x:v>-1.3958250000000001</x:v>
      </x:c>
      <x:c r="J179">
        <x:f ca="1">IF(AND($B$1012=1,LEN($J$1184)&gt;0),$J$1184,HLOOKUP(INDIRECT(ADDRESS(2,COLUMN())),OFFSET($T$2,0,0,ROW()-1,14),ROW()-1,FALSE))</x:f>
        <x:v>-2.733425</x:v>
      </x:c>
      <x:c r="K179">
        <x:f ca="1">IF(AND($B$1012=1,LEN($K$1184)&gt;0),$K$1184,HLOOKUP(INDIRECT(ADDRESS(2,COLUMN())),OFFSET($T$2,0,0,ROW()-1,14),ROW()-1,FALSE))</x:f>
        <x:v>0</x:v>
      </x:c>
      <x:c r="L179">
        <x:f ca="1">IF(AND($B$1012=1,LEN($L$1184)&gt;0),$L$1184,HLOOKUP(INDIRECT(ADDRESS(2,COLUMN())),OFFSET($T$2,0,0,ROW()-1,14),ROW()-1,FALSE))</x:f>
        <x:v>-2.5767950000000002</x:v>
      </x:c>
      <x:c r="M179">
        <x:f ca="1">IF(AND($B$1012=1,LEN($M$1184)&gt;0),$M$1184,HLOOKUP(INDIRECT(ADDRESS(2,COLUMN())),OFFSET($T$2,0,0,ROW()-1,14),ROW()-1,FALSE))</x:f>
        <x:v>0</x:v>
      </x:c>
      <x:c r="N179">
        <x:f ca="1">IF(AND($B$1012=1,LEN($N$1184)&gt;0),$N$1184,HLOOKUP(INDIRECT(ADDRESS(2,COLUMN())),OFFSET($T$2,0,0,ROW()-1,14),ROW()-1,FALSE))</x:f>
        <x:v>0</x:v>
      </x:c>
      <x:c r="O179">
        <x:f ca="1">IF(AND($B$1012=1,LEN($O$1184)&gt;0),$O$1184,HLOOKUP(INDIRECT(ADDRESS(2,COLUMN())),OFFSET($T$2,0,0,ROW()-1,14),ROW()-1,FALSE))</x:f>
        <x:v>2.7762600000000002</x:v>
      </x:c>
      <x:c r="P179">
        <x:f ca="1">IF(AND($B$1012=1,LEN($P$1184)&gt;0),$P$1184,HLOOKUP(INDIRECT(ADDRESS(2,COLUMN())),OFFSET($T$2,0,0,ROW()-1,14),ROW()-1,FALSE))</x:f>
        <x:v>0</x:v>
      </x:c>
      <x:c r="Q179">
        <x:f ca="1">IF(AND($B$1012=1,LEN($Q$1184)&gt;0),$Q$1184,HLOOKUP(INDIRECT(ADDRESS(2,COLUMN())),OFFSET($T$2,0,0,ROW()-1,14),ROW()-1,FALSE))</x:f>
        <x:v>0</x:v>
      </x:c>
      <x:c r="R179">
        <x:f ca="1">IF(AND($B$1012=1,LEN($R$1184)&gt;0),$R$1184,HLOOKUP(INDIRECT(ADDRESS(2,COLUMN())),OFFSET($T$2,0,0,ROW()-1,14),ROW()-1,FALSE))</x:f>
        <x:v>1.41689</x:v>
      </x:c>
      <x:c r="S179">
        <x:f ca="1">IF(AND($B$1012=1,LEN($S$1184)&gt;0),$S$1184,HLOOKUP(INDIRECT(ADDRESS(2,COLUMN())),OFFSET($T$2,0,0,ROW()-1,14),ROW()-1,FALSE))</x:f>
        <x:v>1.33531</x:v>
      </x:c>
      <x:c r="T179">
        <x:f>0</x:f>
        <x:v>0</x:v>
      </x:c>
      <x:c r="U179">
        <x:f>0</x:f>
        <x:v>0</x:v>
      </x:c>
      <x:c r="V179">
        <x:f>0</x:f>
        <x:v>0</x:v>
      </x:c>
      <x:c r="W179">
        <x:f>-1.395825</x:f>
        <x:v>-1.3958250000000001</x:v>
      </x:c>
      <x:c r="X179">
        <x:f>-2.733425</x:f>
        <x:v>-2.733425</x:v>
      </x:c>
      <x:c r="Y179">
        <x:f>0</x:f>
        <x:v>0</x:v>
      </x:c>
      <x:c r="Z179">
        <x:f>-2.576795</x:f>
        <x:v>-2.5767950000000002</x:v>
      </x:c>
      <x:c r="AA179">
        <x:f>0</x:f>
        <x:v>0</x:v>
      </x:c>
      <x:c r="AB179">
        <x:f>0</x:f>
        <x:v>0</x:v>
      </x:c>
      <x:c r="AC179">
        <x:f>2.77626</x:f>
        <x:v>2.7762600000000002</x:v>
      </x:c>
      <x:c r="AD179">
        <x:f>0</x:f>
        <x:v>0</x:v>
      </x:c>
      <x:c r="AE179">
        <x:f>0</x:f>
        <x:v>0</x:v>
      </x:c>
      <x:c r="AF179">
        <x:f>1.41689</x:f>
        <x:v>1.41689</x:v>
      </x:c>
      <x:c r="AG179">
        <x:f>1.33531</x:f>
        <x:v>1.33531</x:v>
      </x:c>
    </x:row>
    <x:row r="180" spans="1:33" x14ac:dyDescent="0.25">
      <x:c r="A180" t="str">
        <x:f>"        ETRACS NYSE Pickens Core Midst"</x:f>
        <x:v xml:space="preserve">        ETRACS NYSE Pickens Core Midst</x:v>
      </x:c>
      <x:c r="B180" t="str">
        <x:f>"PYPE US Equity"</x:f>
        <x:v>PYPE US Equity</x:v>
      </x:c>
      <x:c r="E180" t="str">
        <x:f t="shared" si="5"/>
        <x:v>Expression</x:v>
      </x:c>
      <x:c r="F180" t="str">
        <x:f ca="1">IF(AND($B$1012=1,LEN($F$1185)&gt;0),$F$1185,HLOOKUP(INDIRECT(ADDRESS(2,COLUMN())),OFFSET($T$2,0,0,ROW()-1,14),ROW()-1,FALSE))</x:f>
        <x:v/>
      </x:c>
      <x:c r="G180" t="str">
        <x:f ca="1">IF(AND($B$1012=1,LEN($G$1185)&gt;0),$G$1185,HLOOKUP(INDIRECT(ADDRESS(2,COLUMN())),OFFSET($T$2,0,0,ROW()-1,14),ROW()-1,FALSE))</x:f>
        <x:v/>
      </x:c>
      <x:c r="H180" t="str">
        <x:f ca="1">IF(AND($B$1012=1,LEN($H$1185)&gt;0),$H$1185,HLOOKUP(INDIRECT(ADDRESS(2,COLUMN())),OFFSET($T$2,0,0,ROW()-1,14),ROW()-1,FALSE))</x:f>
        <x:v/>
      </x:c>
      <x:c r="I180" t="str">
        <x:f ca="1">IF(AND($B$1012=1,LEN($I$1185)&gt;0),$I$1185,HLOOKUP(INDIRECT(ADDRESS(2,COLUMN())),OFFSET($T$2,0,0,ROW()-1,14),ROW()-1,FALSE))</x:f>
        <x:v/>
      </x:c>
      <x:c r="J180" t="str">
        <x:f ca="1">IF(AND($B$1012=1,LEN($J$1185)&gt;0),$J$1185,HLOOKUP(INDIRECT(ADDRESS(2,COLUMN())),OFFSET($T$2,0,0,ROW()-1,14),ROW()-1,FALSE))</x:f>
        <x:v/>
      </x:c>
      <x:c r="K180">
        <x:f ca="1">IF(AND($B$1012=1,LEN($K$1185)&gt;0),$K$1185,HLOOKUP(INDIRECT(ADDRESS(2,COLUMN())),OFFSET($T$2,0,0,ROW()-1,14),ROW()-1,FALSE))</x:f>
        <x:v>0</x:v>
      </x:c>
      <x:c r="L180">
        <x:f ca="1">IF(AND($B$1012=1,LEN($L$1185)&gt;0),$L$1185,HLOOKUP(INDIRECT(ADDRESS(2,COLUMN())),OFFSET($T$2,0,0,ROW()-1,14),ROW()-1,FALSE))</x:f>
        <x:v>-6.1256700000000004</x:v>
      </x:c>
      <x:c r="M180">
        <x:f ca="1">IF(AND($B$1012=1,LEN($M$1185)&gt;0),$M$1185,HLOOKUP(INDIRECT(ADDRESS(2,COLUMN())),OFFSET($T$2,0,0,ROW()-1,14),ROW()-1,FALSE))</x:f>
        <x:v>-10.448549999999999</x:v>
      </x:c>
      <x:c r="N180">
        <x:f ca="1">IF(AND($B$1012=1,LEN($N$1185)&gt;0),$N$1185,HLOOKUP(INDIRECT(ADDRESS(2,COLUMN())),OFFSET($T$2,0,0,ROW()-1,14),ROW()-1,FALSE))</x:f>
        <x:v>0</x:v>
      </x:c>
      <x:c r="O180">
        <x:f ca="1">IF(AND($B$1012=1,LEN($O$1185)&gt;0),$O$1185,HLOOKUP(INDIRECT(ADDRESS(2,COLUMN())),OFFSET($T$2,0,0,ROW()-1,14),ROW()-1,FALSE))</x:f>
        <x:v>0</x:v>
      </x:c>
      <x:c r="P180">
        <x:f ca="1">IF(AND($B$1012=1,LEN($P$1185)&gt;0),$P$1185,HLOOKUP(INDIRECT(ADDRESS(2,COLUMN())),OFFSET($T$2,0,0,ROW()-1,14),ROW()-1,FALSE))</x:f>
        <x:v>0</x:v>
      </x:c>
      <x:c r="Q180">
        <x:f ca="1">IF(AND($B$1012=1,LEN($Q$1185)&gt;0),$Q$1185,HLOOKUP(INDIRECT(ADDRESS(2,COLUMN())),OFFSET($T$2,0,0,ROW()-1,14),ROW()-1,FALSE))</x:f>
        <x:v>0</x:v>
      </x:c>
      <x:c r="R180">
        <x:f ca="1">IF(AND($B$1012=1,LEN($R$1185)&gt;0),$R$1185,HLOOKUP(INDIRECT(ADDRESS(2,COLUMN())),OFFSET($T$2,0,0,ROW()-1,14),ROW()-1,FALSE))</x:f>
        <x:v>0</x:v>
      </x:c>
      <x:c r="S180">
        <x:f ca="1">IF(AND($B$1012=1,LEN($S$1185)&gt;0),$S$1185,HLOOKUP(INDIRECT(ADDRESS(2,COLUMN())),OFFSET($T$2,0,0,ROW()-1,14),ROW()-1,FALSE))</x:f>
        <x:v>0</x:v>
      </x:c>
      <x:c r="T180" t="str">
        <x:f>""</x:f>
        <x:v/>
      </x:c>
      <x:c r="U180" t="str">
        <x:f>""</x:f>
        <x:v/>
      </x:c>
      <x:c r="V180" t="str">
        <x:f>""</x:f>
        <x:v/>
      </x:c>
      <x:c r="W180" t="str">
        <x:f>""</x:f>
        <x:v/>
      </x:c>
      <x:c r="X180" t="str">
        <x:f>""</x:f>
        <x:v/>
      </x:c>
      <x:c r="Y180">
        <x:f>0</x:f>
        <x:v>0</x:v>
      </x:c>
      <x:c r="Z180">
        <x:f>-6.12567</x:f>
        <x:v>-6.1256700000000004</x:v>
      </x:c>
      <x:c r="AA180">
        <x:f>-10.44855</x:f>
        <x:v>-10.448549999999999</x:v>
      </x:c>
      <x:c r="AB180">
        <x:f>0</x:f>
        <x:v>0</x:v>
      </x:c>
      <x:c r="AC180">
        <x:f>0</x:f>
        <x:v>0</x:v>
      </x:c>
      <x:c r="AD180">
        <x:f>0</x:f>
        <x:v>0</x:v>
      </x:c>
      <x:c r="AE180">
        <x:f>0</x:f>
        <x:v>0</x:v>
      </x:c>
      <x:c r="AF180">
        <x:f>0</x:f>
        <x:v>0</x:v>
      </x:c>
      <x:c r="AG180">
        <x:f>0</x:f>
        <x:v>0</x:v>
      </x:c>
    </x:row>
    <x:row r="181" spans="1:33" x14ac:dyDescent="0.25">
      <x:c r="A181" t="str">
        <x:f>"        MicroSectors U.S. Big Oil Inde"</x:f>
        <x:v xml:space="preserve">        MicroSectors U.S. Big Oil Inde</x:v>
      </x:c>
      <x:c r="B181" t="str">
        <x:f>"NRGD US Equity"</x:f>
        <x:v>NRGD US Equity</x:v>
      </x:c>
      <x:c r="E181" t="str">
        <x:f t="shared" si="5"/>
        <x:v>Expression</x:v>
      </x:c>
      <x:c r="F181">
        <x:f ca="1">IF(AND($B$1012=1,LEN($F$1186)&gt;0),$F$1186,HLOOKUP(INDIRECT(ADDRESS(2,COLUMN())),OFFSET($T$2,0,0,ROW()-1,14),ROW()-1,FALSE))</x:f>
        <x:v>0</x:v>
      </x:c>
      <x:c r="G181">
        <x:f ca="1">IF(AND($B$1012=1,LEN($G$1186)&gt;0),$G$1186,HLOOKUP(INDIRECT(ADDRESS(2,COLUMN())),OFFSET($T$2,0,0,ROW()-1,14),ROW()-1,FALSE))</x:f>
        <x:v>0</x:v>
      </x:c>
      <x:c r="H181">
        <x:f ca="1">IF(AND($B$1012=1,LEN($H$1186)&gt;0),$H$1186,HLOOKUP(INDIRECT(ADDRESS(2,COLUMN())),OFFSET($T$2,0,0,ROW()-1,14),ROW()-1,FALSE))</x:f>
        <x:v>0</x:v>
      </x:c>
      <x:c r="I181">
        <x:f ca="1">IF(AND($B$1012=1,LEN($I$1186)&gt;0),$I$1186,HLOOKUP(INDIRECT(ADDRESS(2,COLUMN())),OFFSET($T$2,0,0,ROW()-1,14),ROW()-1,FALSE))</x:f>
        <x:v>0</x:v>
      </x:c>
      <x:c r="J181">
        <x:f ca="1">IF(AND($B$1012=1,LEN($J$1186)&gt;0),$J$1186,HLOOKUP(INDIRECT(ADDRESS(2,COLUMN())),OFFSET($T$2,0,0,ROW()-1,14),ROW()-1,FALSE))</x:f>
        <x:v>0</x:v>
      </x:c>
      <x:c r="K181">
        <x:f ca="1">IF(AND($B$1012=1,LEN($K$1186)&gt;0),$K$1186,HLOOKUP(INDIRECT(ADDRESS(2,COLUMN())),OFFSET($T$2,0,0,ROW()-1,14),ROW()-1,FALSE))</x:f>
        <x:v>0</x:v>
      </x:c>
      <x:c r="L181">
        <x:f ca="1">IF(AND($B$1012=1,LEN($L$1186)&gt;0),$L$1186,HLOOKUP(INDIRECT(ADDRESS(2,COLUMN())),OFFSET($T$2,0,0,ROW()-1,14),ROW()-1,FALSE))</x:f>
        <x:v>0</x:v>
      </x:c>
      <x:c r="M181">
        <x:f ca="1">IF(AND($B$1012=1,LEN($M$1186)&gt;0),$M$1186,HLOOKUP(INDIRECT(ADDRESS(2,COLUMN())),OFFSET($T$2,0,0,ROW()-1,14),ROW()-1,FALSE))</x:f>
        <x:v>0</x:v>
      </x:c>
      <x:c r="N181">
        <x:f ca="1">IF(AND($B$1012=1,LEN($N$1186)&gt;0),$N$1186,HLOOKUP(INDIRECT(ADDRESS(2,COLUMN())),OFFSET($T$2,0,0,ROW()-1,14),ROW()-1,FALSE))</x:f>
        <x:v>0</x:v>
      </x:c>
      <x:c r="O181">
        <x:f ca="1">IF(AND($B$1012=1,LEN($O$1186)&gt;0),$O$1186,HLOOKUP(INDIRECT(ADDRESS(2,COLUMN())),OFFSET($T$2,0,0,ROW()-1,14),ROW()-1,FALSE))</x:f>
        <x:v>0</x:v>
      </x:c>
      <x:c r="P181">
        <x:f ca="1">IF(AND($B$1012=1,LEN($P$1186)&gt;0),$P$1186,HLOOKUP(INDIRECT(ADDRESS(2,COLUMN())),OFFSET($T$2,0,0,ROW()-1,14),ROW()-1,FALSE))</x:f>
        <x:v>0</x:v>
      </x:c>
      <x:c r="Q181">
        <x:f ca="1">IF(AND($B$1012=1,LEN($Q$1186)&gt;0),$Q$1186,HLOOKUP(INDIRECT(ADDRESS(2,COLUMN())),OFFSET($T$2,0,0,ROW()-1,14),ROW()-1,FALSE))</x:f>
        <x:v>0</x:v>
      </x:c>
      <x:c r="R181">
        <x:f ca="1">IF(AND($B$1012=1,LEN($R$1186)&gt;0),$R$1186,HLOOKUP(INDIRECT(ADDRESS(2,COLUMN())),OFFSET($T$2,0,0,ROW()-1,14),ROW()-1,FALSE))</x:f>
        <x:v>57.789985000000001</x:v>
      </x:c>
      <x:c r="S181">
        <x:f ca="1">IF(AND($B$1012=1,LEN($S$1186)&gt;0),$S$1186,HLOOKUP(INDIRECT(ADDRESS(2,COLUMN())),OFFSET($T$2,0,0,ROW()-1,14),ROW()-1,FALSE))</x:f>
        <x:v>52.866630999999998</x:v>
      </x:c>
      <x:c r="T181">
        <x:f>0</x:f>
        <x:v>0</x:v>
      </x:c>
      <x:c r="U181">
        <x:f>0</x:f>
        <x:v>0</x:v>
      </x:c>
      <x:c r="V181">
        <x:f>0</x:f>
        <x:v>0</x:v>
      </x:c>
      <x:c r="W181">
        <x:f>0</x:f>
        <x:v>0</x:v>
      </x:c>
      <x:c r="X181">
        <x:f>0</x:f>
        <x:v>0</x:v>
      </x:c>
      <x:c r="Y181">
        <x:f>0</x:f>
        <x:v>0</x:v>
      </x:c>
      <x:c r="Z181">
        <x:f>0</x:f>
        <x:v>0</x:v>
      </x:c>
      <x:c r="AA181">
        <x:f>0</x:f>
        <x:v>0</x:v>
      </x:c>
      <x:c r="AB181">
        <x:f>0</x:f>
        <x:v>0</x:v>
      </x:c>
      <x:c r="AC181">
        <x:f>0</x:f>
        <x:v>0</x:v>
      </x:c>
      <x:c r="AD181">
        <x:f>0</x:f>
        <x:v>0</x:v>
      </x:c>
      <x:c r="AE181">
        <x:f>0</x:f>
        <x:v>0</x:v>
      </x:c>
      <x:c r="AF181">
        <x:f>57.789985</x:f>
        <x:v>57.789985000000001</x:v>
      </x:c>
      <x:c r="AG181">
        <x:f>52.866631</x:f>
        <x:v>52.866630999999998</x:v>
      </x:c>
    </x:row>
    <x:row r="182" spans="1:33" x14ac:dyDescent="0.25">
      <x:c r="A182" t="str">
        <x:f>"        MicroSectors US Big Oil Index"</x:f>
        <x:v xml:space="preserve">        MicroSectors US Big Oil Index</x:v>
      </x:c>
      <x:c r="B182" t="str">
        <x:f>"NRGO US Equity"</x:f>
        <x:v>NRGO US Equity</x:v>
      </x:c>
      <x:c r="E182" t="str">
        <x:f t="shared" si="5"/>
        <x:v>Expression</x:v>
      </x:c>
      <x:c r="F182" t="str">
        <x:f ca="1">IF(AND($B$1012=1,LEN($F$1187)&gt;0),$F$1187,HLOOKUP(INDIRECT(ADDRESS(2,COLUMN())),OFFSET($T$2,0,0,ROW()-1,14),ROW()-1,FALSE))</x:f>
        <x:v/>
      </x:c>
      <x:c r="G182" t="str">
        <x:f ca="1">IF(AND($B$1012=1,LEN($G$1187)&gt;0),$G$1187,HLOOKUP(INDIRECT(ADDRESS(2,COLUMN())),OFFSET($T$2,0,0,ROW()-1,14),ROW()-1,FALSE))</x:f>
        <x:v/>
      </x:c>
      <x:c r="H182" t="str">
        <x:f ca="1">IF(AND($B$1012=1,LEN($H$1187)&gt;0),$H$1187,HLOOKUP(INDIRECT(ADDRESS(2,COLUMN())),OFFSET($T$2,0,0,ROW()-1,14),ROW()-1,FALSE))</x:f>
        <x:v/>
      </x:c>
      <x:c r="I182" t="str">
        <x:f ca="1">IF(AND($B$1012=1,LEN($I$1187)&gt;0),$I$1187,HLOOKUP(INDIRECT(ADDRESS(2,COLUMN())),OFFSET($T$2,0,0,ROW()-1,14),ROW()-1,FALSE))</x:f>
        <x:v/>
      </x:c>
      <x:c r="J182" t="str">
        <x:f ca="1">IF(AND($B$1012=1,LEN($J$1187)&gt;0),$J$1187,HLOOKUP(INDIRECT(ADDRESS(2,COLUMN())),OFFSET($T$2,0,0,ROW()-1,14),ROW()-1,FALSE))</x:f>
        <x:v/>
      </x:c>
      <x:c r="K182" t="str">
        <x:f ca="1">IF(AND($B$1012=1,LEN($K$1187)&gt;0),$K$1187,HLOOKUP(INDIRECT(ADDRESS(2,COLUMN())),OFFSET($T$2,0,0,ROW()-1,14),ROW()-1,FALSE))</x:f>
        <x:v/>
      </x:c>
      <x:c r="L182" t="str">
        <x:f ca="1">IF(AND($B$1012=1,LEN($L$1187)&gt;0),$L$1187,HLOOKUP(INDIRECT(ADDRESS(2,COLUMN())),OFFSET($T$2,0,0,ROW()-1,14),ROW()-1,FALSE))</x:f>
        <x:v/>
      </x:c>
      <x:c r="M182" t="str">
        <x:f ca="1">IF(AND($B$1012=1,LEN($M$1187)&gt;0),$M$1187,HLOOKUP(INDIRECT(ADDRESS(2,COLUMN())),OFFSET($T$2,0,0,ROW()-1,14),ROW()-1,FALSE))</x:f>
        <x:v/>
      </x:c>
      <x:c r="N182" t="str">
        <x:f ca="1">IF(AND($B$1012=1,LEN($N$1187)&gt;0),$N$1187,HLOOKUP(INDIRECT(ADDRESS(2,COLUMN())),OFFSET($T$2,0,0,ROW()-1,14),ROW()-1,FALSE))</x:f>
        <x:v/>
      </x:c>
      <x:c r="O182" t="str">
        <x:f ca="1">IF(AND($B$1012=1,LEN($O$1187)&gt;0),$O$1187,HLOOKUP(INDIRECT(ADDRESS(2,COLUMN())),OFFSET($T$2,0,0,ROW()-1,14),ROW()-1,FALSE))</x:f>
        <x:v/>
      </x:c>
      <x:c r="P182" t="str">
        <x:f ca="1">IF(AND($B$1012=1,LEN($P$1187)&gt;0),$P$1187,HLOOKUP(INDIRECT(ADDRESS(2,COLUMN())),OFFSET($T$2,0,0,ROW()-1,14),ROW()-1,FALSE))</x:f>
        <x:v/>
      </x:c>
      <x:c r="Q182" t="str">
        <x:f ca="1">IF(AND($B$1012=1,LEN($Q$1187)&gt;0),$Q$1187,HLOOKUP(INDIRECT(ADDRESS(2,COLUMN())),OFFSET($T$2,0,0,ROW()-1,14),ROW()-1,FALSE))</x:f>
        <x:v/>
      </x:c>
      <x:c r="R182" t="str">
        <x:f ca="1">IF(AND($B$1012=1,LEN($R$1187)&gt;0),$R$1187,HLOOKUP(INDIRECT(ADDRESS(2,COLUMN())),OFFSET($T$2,0,0,ROW()-1,14),ROW()-1,FALSE))</x:f>
        <x:v/>
      </x:c>
      <x:c r="S182" t="str">
        <x:f ca="1">IF(AND($B$1012=1,LEN($S$1187)&gt;0),$S$1187,HLOOKUP(INDIRECT(ADDRESS(2,COLUMN())),OFFSET($T$2,0,0,ROW()-1,14),ROW()-1,FALSE))</x:f>
        <x:v/>
      </x:c>
      <x:c r="T182" t="str">
        <x:f>""</x:f>
        <x:v/>
      </x:c>
      <x:c r="U182" t="str">
        <x:f>""</x:f>
        <x:v/>
      </x:c>
      <x:c r="V182" t="str">
        <x:f>""</x:f>
        <x:v/>
      </x:c>
      <x:c r="W182" t="str">
        <x:f>""</x:f>
        <x:v/>
      </x:c>
      <x:c r="X182" t="str">
        <x:f>""</x:f>
        <x:v/>
      </x:c>
      <x:c r="Y182" t="str">
        <x:f>""</x:f>
        <x:v/>
      </x:c>
      <x:c r="Z182" t="str">
        <x:f>""</x:f>
        <x:v/>
      </x:c>
      <x:c r="AA182" t="str">
        <x:f>""</x:f>
        <x:v/>
      </x:c>
      <x:c r="AB182" t="str">
        <x:f>""</x:f>
        <x:v/>
      </x:c>
      <x:c r="AC182" t="str">
        <x:f>""</x:f>
        <x:v/>
      </x:c>
      <x:c r="AD182" t="str">
        <x:f>""</x:f>
        <x:v/>
      </x:c>
      <x:c r="AE182" t="str">
        <x:f>""</x:f>
        <x:v/>
      </x:c>
      <x:c r="AF182" t="str">
        <x:f>""</x:f>
        <x:v/>
      </x:c>
      <x:c r="AG182" t="str">
        <x:f>""</x:f>
        <x:v/>
      </x:c>
    </x:row>
    <x:row r="183" spans="1:33" x14ac:dyDescent="0.25">
      <x:c r="A183" t="str">
        <x:f>"        MicroSectors US Big Oil Index"</x:f>
        <x:v xml:space="preserve">        MicroSectors US Big Oil Index</x:v>
      </x:c>
      <x:c r="B183" t="str">
        <x:f>"NRGU US Equity"</x:f>
        <x:v>NRGU US Equity</x:v>
      </x:c>
      <x:c r="E183" t="str">
        <x:f t="shared" si="5"/>
        <x:v>Expression</x:v>
      </x:c>
      <x:c r="F183">
        <x:f ca="1">IF(AND($B$1012=1,LEN($F$1188)&gt;0),$F$1188,HLOOKUP(INDIRECT(ADDRESS(2,COLUMN())),OFFSET($T$2,0,0,ROW()-1,14),ROW()-1,FALSE))</x:f>
        <x:v>0</x:v>
      </x:c>
      <x:c r="G183">
        <x:f ca="1">IF(AND($B$1012=1,LEN($G$1188)&gt;0),$G$1188,HLOOKUP(INDIRECT(ADDRESS(2,COLUMN())),OFFSET($T$2,0,0,ROW()-1,14),ROW()-1,FALSE))</x:f>
        <x:v>0</x:v>
      </x:c>
      <x:c r="H183">
        <x:f ca="1">IF(AND($B$1012=1,LEN($H$1188)&gt;0),$H$1188,HLOOKUP(INDIRECT(ADDRESS(2,COLUMN())),OFFSET($T$2,0,0,ROW()-1,14),ROW()-1,FALSE))</x:f>
        <x:v>0</x:v>
      </x:c>
      <x:c r="I183">
        <x:f ca="1">IF(AND($B$1012=1,LEN($I$1188)&gt;0),$I$1188,HLOOKUP(INDIRECT(ADDRESS(2,COLUMN())),OFFSET($T$2,0,0,ROW()-1,14),ROW()-1,FALSE))</x:f>
        <x:v>0</x:v>
      </x:c>
      <x:c r="J183">
        <x:f ca="1">IF(AND($B$1012=1,LEN($J$1188)&gt;0),$J$1188,HLOOKUP(INDIRECT(ADDRESS(2,COLUMN())),OFFSET($T$2,0,0,ROW()-1,14),ROW()-1,FALSE))</x:f>
        <x:v>0</x:v>
      </x:c>
      <x:c r="K183">
        <x:f ca="1">IF(AND($B$1012=1,LEN($K$1188)&gt;0),$K$1188,HLOOKUP(INDIRECT(ADDRESS(2,COLUMN())),OFFSET($T$2,0,0,ROW()-1,14),ROW()-1,FALSE))</x:f>
        <x:v>0</x:v>
      </x:c>
      <x:c r="L183">
        <x:f ca="1">IF(AND($B$1012=1,LEN($L$1188)&gt;0),$L$1188,HLOOKUP(INDIRECT(ADDRESS(2,COLUMN())),OFFSET($T$2,0,0,ROW()-1,14),ROW()-1,FALSE))</x:f>
        <x:v>0</x:v>
      </x:c>
      <x:c r="M183">
        <x:f ca="1">IF(AND($B$1012=1,LEN($M$1188)&gt;0),$M$1188,HLOOKUP(INDIRECT(ADDRESS(2,COLUMN())),OFFSET($T$2,0,0,ROW()-1,14),ROW()-1,FALSE))</x:f>
        <x:v>0</x:v>
      </x:c>
      <x:c r="N183">
        <x:f ca="1">IF(AND($B$1012=1,LEN($N$1188)&gt;0),$N$1188,HLOOKUP(INDIRECT(ADDRESS(2,COLUMN())),OFFSET($T$2,0,0,ROW()-1,14),ROW()-1,FALSE))</x:f>
        <x:v>0</x:v>
      </x:c>
      <x:c r="O183">
        <x:f ca="1">IF(AND($B$1012=1,LEN($O$1188)&gt;0),$O$1188,HLOOKUP(INDIRECT(ADDRESS(2,COLUMN())),OFFSET($T$2,0,0,ROW()-1,14),ROW()-1,FALSE))</x:f>
        <x:v>0</x:v>
      </x:c>
      <x:c r="P183">
        <x:f ca="1">IF(AND($B$1012=1,LEN($P$1188)&gt;0),$P$1188,HLOOKUP(INDIRECT(ADDRESS(2,COLUMN())),OFFSET($T$2,0,0,ROW()-1,14),ROW()-1,FALSE))</x:f>
        <x:v>0</x:v>
      </x:c>
      <x:c r="Q183">
        <x:f ca="1">IF(AND($B$1012=1,LEN($Q$1188)&gt;0),$Q$1188,HLOOKUP(INDIRECT(ADDRESS(2,COLUMN())),OFFSET($T$2,0,0,ROW()-1,14),ROW()-1,FALSE))</x:f>
        <x:v>0</x:v>
      </x:c>
      <x:c r="R183">
        <x:f ca="1">IF(AND($B$1012=1,LEN($R$1188)&gt;0),$R$1188,HLOOKUP(INDIRECT(ADDRESS(2,COLUMN())),OFFSET($T$2,0,0,ROW()-1,14),ROW()-1,FALSE))</x:f>
        <x:v>0</x:v>
      </x:c>
      <x:c r="S183">
        <x:f ca="1">IF(AND($B$1012=1,LEN($S$1188)&gt;0),$S$1188,HLOOKUP(INDIRECT(ADDRESS(2,COLUMN())),OFFSET($T$2,0,0,ROW()-1,14),ROW()-1,FALSE))</x:f>
        <x:v>0</x:v>
      </x:c>
      <x:c r="T183">
        <x:f>0</x:f>
        <x:v>0</x:v>
      </x:c>
      <x:c r="U183">
        <x:f>0</x:f>
        <x:v>0</x:v>
      </x:c>
      <x:c r="V183">
        <x:f>0</x:f>
        <x:v>0</x:v>
      </x:c>
      <x:c r="W183">
        <x:f>0</x:f>
        <x:v>0</x:v>
      </x:c>
      <x:c r="X183">
        <x:f>0</x:f>
        <x:v>0</x:v>
      </x:c>
      <x:c r="Y183">
        <x:f>0</x:f>
        <x:v>0</x:v>
      </x:c>
      <x:c r="Z183">
        <x:f>0</x:f>
        <x:v>0</x:v>
      </x:c>
      <x:c r="AA183">
        <x:f>0</x:f>
        <x:v>0</x:v>
      </x:c>
      <x:c r="AB183">
        <x:f>0</x:f>
        <x:v>0</x:v>
      </x:c>
      <x:c r="AC183">
        <x:f>0</x:f>
        <x:v>0</x:v>
      </x:c>
      <x:c r="AD183">
        <x:f>0</x:f>
        <x:v>0</x:v>
      </x:c>
      <x:c r="AE183">
        <x:f>0</x:f>
        <x:v>0</x:v>
      </x:c>
      <x:c r="AF183">
        <x:f>0</x:f>
        <x:v>0</x:v>
      </x:c>
      <x:c r="AG183">
        <x:f>0</x:f>
        <x:v>0</x:v>
      </x:c>
    </x:row>
    <x:row r="184" spans="1:33" x14ac:dyDescent="0.25">
      <x:c r="A184" t="str">
        <x:f>"        MicroSectors US Big Oil Index"</x:f>
        <x:v xml:space="preserve">        MicroSectors US Big Oil Index</x:v>
      </x:c>
      <x:c r="B184" t="str">
        <x:f>"NRGZ US Equity"</x:f>
        <x:v>NRGZ US Equity</x:v>
      </x:c>
      <x:c r="E184" t="str">
        <x:f t="shared" si="5"/>
        <x:v>Expression</x:v>
      </x:c>
      <x:c r="F184" t="str">
        <x:f ca="1">IF(AND($B$1012=1,LEN($F$1189)&gt;0),$F$1189,HLOOKUP(INDIRECT(ADDRESS(2,COLUMN())),OFFSET($T$2,0,0,ROW()-1,14),ROW()-1,FALSE))</x:f>
        <x:v/>
      </x:c>
      <x:c r="G184" t="str">
        <x:f ca="1">IF(AND($B$1012=1,LEN($G$1189)&gt;0),$G$1189,HLOOKUP(INDIRECT(ADDRESS(2,COLUMN())),OFFSET($T$2,0,0,ROW()-1,14),ROW()-1,FALSE))</x:f>
        <x:v/>
      </x:c>
      <x:c r="H184" t="str">
        <x:f ca="1">IF(AND($B$1012=1,LEN($H$1189)&gt;0),$H$1189,HLOOKUP(INDIRECT(ADDRESS(2,COLUMN())),OFFSET($T$2,0,0,ROW()-1,14),ROW()-1,FALSE))</x:f>
        <x:v/>
      </x:c>
      <x:c r="I184" t="str">
        <x:f ca="1">IF(AND($B$1012=1,LEN($I$1189)&gt;0),$I$1189,HLOOKUP(INDIRECT(ADDRESS(2,COLUMN())),OFFSET($T$2,0,0,ROW()-1,14),ROW()-1,FALSE))</x:f>
        <x:v/>
      </x:c>
      <x:c r="J184" t="str">
        <x:f ca="1">IF(AND($B$1012=1,LEN($J$1189)&gt;0),$J$1189,HLOOKUP(INDIRECT(ADDRESS(2,COLUMN())),OFFSET($T$2,0,0,ROW()-1,14),ROW()-1,FALSE))</x:f>
        <x:v/>
      </x:c>
      <x:c r="K184" t="str">
        <x:f ca="1">IF(AND($B$1012=1,LEN($K$1189)&gt;0),$K$1189,HLOOKUP(INDIRECT(ADDRESS(2,COLUMN())),OFFSET($T$2,0,0,ROW()-1,14),ROW()-1,FALSE))</x:f>
        <x:v/>
      </x:c>
      <x:c r="L184" t="str">
        <x:f ca="1">IF(AND($B$1012=1,LEN($L$1189)&gt;0),$L$1189,HLOOKUP(INDIRECT(ADDRESS(2,COLUMN())),OFFSET($T$2,0,0,ROW()-1,14),ROW()-1,FALSE))</x:f>
        <x:v/>
      </x:c>
      <x:c r="M184" t="str">
        <x:f ca="1">IF(AND($B$1012=1,LEN($M$1189)&gt;0),$M$1189,HLOOKUP(INDIRECT(ADDRESS(2,COLUMN())),OFFSET($T$2,0,0,ROW()-1,14),ROW()-1,FALSE))</x:f>
        <x:v/>
      </x:c>
      <x:c r="N184" t="str">
        <x:f ca="1">IF(AND($B$1012=1,LEN($N$1189)&gt;0),$N$1189,HLOOKUP(INDIRECT(ADDRESS(2,COLUMN())),OFFSET($T$2,0,0,ROW()-1,14),ROW()-1,FALSE))</x:f>
        <x:v/>
      </x:c>
      <x:c r="O184" t="str">
        <x:f ca="1">IF(AND($B$1012=1,LEN($O$1189)&gt;0),$O$1189,HLOOKUP(INDIRECT(ADDRESS(2,COLUMN())),OFFSET($T$2,0,0,ROW()-1,14),ROW()-1,FALSE))</x:f>
        <x:v/>
      </x:c>
      <x:c r="P184" t="str">
        <x:f ca="1">IF(AND($B$1012=1,LEN($P$1189)&gt;0),$P$1189,HLOOKUP(INDIRECT(ADDRESS(2,COLUMN())),OFFSET($T$2,0,0,ROW()-1,14),ROW()-1,FALSE))</x:f>
        <x:v/>
      </x:c>
      <x:c r="Q184" t="str">
        <x:f ca="1">IF(AND($B$1012=1,LEN($Q$1189)&gt;0),$Q$1189,HLOOKUP(INDIRECT(ADDRESS(2,COLUMN())),OFFSET($T$2,0,0,ROW()-1,14),ROW()-1,FALSE))</x:f>
        <x:v/>
      </x:c>
      <x:c r="R184" t="str">
        <x:f ca="1">IF(AND($B$1012=1,LEN($R$1189)&gt;0),$R$1189,HLOOKUP(INDIRECT(ADDRESS(2,COLUMN())),OFFSET($T$2,0,0,ROW()-1,14),ROW()-1,FALSE))</x:f>
        <x:v/>
      </x:c>
      <x:c r="S184" t="str">
        <x:f ca="1">IF(AND($B$1012=1,LEN($S$1189)&gt;0),$S$1189,HLOOKUP(INDIRECT(ADDRESS(2,COLUMN())),OFFSET($T$2,0,0,ROW()-1,14),ROW()-1,FALSE))</x:f>
        <x:v/>
      </x:c>
      <x:c r="T184" t="str">
        <x:f>""</x:f>
        <x:v/>
      </x:c>
      <x:c r="U184" t="str">
        <x:f>""</x:f>
        <x:v/>
      </x:c>
      <x:c r="V184" t="str">
        <x:f>""</x:f>
        <x:v/>
      </x:c>
      <x:c r="W184" t="str">
        <x:f>""</x:f>
        <x:v/>
      </x:c>
      <x:c r="X184" t="str">
        <x:f>""</x:f>
        <x:v/>
      </x:c>
      <x:c r="Y184" t="str">
        <x:f>""</x:f>
        <x:v/>
      </x:c>
      <x:c r="Z184" t="str">
        <x:f>""</x:f>
        <x:v/>
      </x:c>
      <x:c r="AA184" t="str">
        <x:f>""</x:f>
        <x:v/>
      </x:c>
      <x:c r="AB184" t="str">
        <x:f>""</x:f>
        <x:v/>
      </x:c>
      <x:c r="AC184" t="str">
        <x:f>""</x:f>
        <x:v/>
      </x:c>
      <x:c r="AD184" t="str">
        <x:f>""</x:f>
        <x:v/>
      </x:c>
      <x:c r="AE184" t="str">
        <x:f>""</x:f>
        <x:v/>
      </x:c>
      <x:c r="AF184" t="str">
        <x:f>""</x:f>
        <x:v/>
      </x:c>
      <x:c r="AG184" t="str">
        <x:f>""</x:f>
        <x:v/>
      </x:c>
    </x:row>
    <x:row r="185" spans="1:33" x14ac:dyDescent="0.25">
      <x:c r="A185" t="str">
        <x:f>"        Cushing Energy &amp; MLP ETF"</x:f>
        <x:v xml:space="preserve">        Cushing Energy &amp; MLP ETF</x:v>
      </x:c>
      <x:c r="B185" t="str">
        <x:f>"XLEY US Equity"</x:f>
        <x:v>XLEY US Equity</x:v>
      </x:c>
      <x:c r="E185" t="str">
        <x:f t="shared" si="5"/>
        <x:v>Expression</x:v>
      </x:c>
      <x:c r="F185" t="str">
        <x:f ca="1">IF(AND($B$1012=1,LEN($F$1190)&gt;0),$F$1190,HLOOKUP(INDIRECT(ADDRESS(2,COLUMN())),OFFSET($T$2,0,0,ROW()-1,14),ROW()-1,FALSE))</x:f>
        <x:v/>
      </x:c>
      <x:c r="G185" t="str">
        <x:f ca="1">IF(AND($B$1012=1,LEN($G$1190)&gt;0),$G$1190,HLOOKUP(INDIRECT(ADDRESS(2,COLUMN())),OFFSET($T$2,0,0,ROW()-1,14),ROW()-1,FALSE))</x:f>
        <x:v/>
      </x:c>
      <x:c r="H185" t="str">
        <x:f ca="1">IF(AND($B$1012=1,LEN($H$1190)&gt;0),$H$1190,HLOOKUP(INDIRECT(ADDRESS(2,COLUMN())),OFFSET($T$2,0,0,ROW()-1,14),ROW()-1,FALSE))</x:f>
        <x:v/>
      </x:c>
      <x:c r="I185" t="str">
        <x:f ca="1">IF(AND($B$1012=1,LEN($I$1190)&gt;0),$I$1190,HLOOKUP(INDIRECT(ADDRESS(2,COLUMN())),OFFSET($T$2,0,0,ROW()-1,14),ROW()-1,FALSE))</x:f>
        <x:v/>
      </x:c>
      <x:c r="J185" t="str">
        <x:f ca="1">IF(AND($B$1012=1,LEN($J$1190)&gt;0),$J$1190,HLOOKUP(INDIRECT(ADDRESS(2,COLUMN())),OFFSET($T$2,0,0,ROW()-1,14),ROW()-1,FALSE))</x:f>
        <x:v/>
      </x:c>
      <x:c r="K185" t="str">
        <x:f ca="1">IF(AND($B$1012=1,LEN($K$1190)&gt;0),$K$1190,HLOOKUP(INDIRECT(ADDRESS(2,COLUMN())),OFFSET($T$2,0,0,ROW()-1,14),ROW()-1,FALSE))</x:f>
        <x:v/>
      </x:c>
      <x:c r="L185" t="str">
        <x:f ca="1">IF(AND($B$1012=1,LEN($L$1190)&gt;0),$L$1190,HLOOKUP(INDIRECT(ADDRESS(2,COLUMN())),OFFSET($T$2,0,0,ROW()-1,14),ROW()-1,FALSE))</x:f>
        <x:v/>
      </x:c>
      <x:c r="M185" t="str">
        <x:f ca="1">IF(AND($B$1012=1,LEN($M$1190)&gt;0),$M$1190,HLOOKUP(INDIRECT(ADDRESS(2,COLUMN())),OFFSET($T$2,0,0,ROW()-1,14),ROW()-1,FALSE))</x:f>
        <x:v/>
      </x:c>
      <x:c r="N185" t="str">
        <x:f ca="1">IF(AND($B$1012=1,LEN($N$1190)&gt;0),$N$1190,HLOOKUP(INDIRECT(ADDRESS(2,COLUMN())),OFFSET($T$2,0,0,ROW()-1,14),ROW()-1,FALSE))</x:f>
        <x:v/>
      </x:c>
      <x:c r="O185" t="str">
        <x:f ca="1">IF(AND($B$1012=1,LEN($O$1190)&gt;0),$O$1190,HLOOKUP(INDIRECT(ADDRESS(2,COLUMN())),OFFSET($T$2,0,0,ROW()-1,14),ROW()-1,FALSE))</x:f>
        <x:v/>
      </x:c>
      <x:c r="P185" t="str">
        <x:f ca="1">IF(AND($B$1012=1,LEN($P$1190)&gt;0),$P$1190,HLOOKUP(INDIRECT(ADDRESS(2,COLUMN())),OFFSET($T$2,0,0,ROW()-1,14),ROW()-1,FALSE))</x:f>
        <x:v/>
      </x:c>
      <x:c r="Q185" t="str">
        <x:f ca="1">IF(AND($B$1012=1,LEN($Q$1190)&gt;0),$Q$1190,HLOOKUP(INDIRECT(ADDRESS(2,COLUMN())),OFFSET($T$2,0,0,ROW()-1,14),ROW()-1,FALSE))</x:f>
        <x:v/>
      </x:c>
      <x:c r="R185" t="str">
        <x:f ca="1">IF(AND($B$1012=1,LEN($R$1190)&gt;0),$R$1190,HLOOKUP(INDIRECT(ADDRESS(2,COLUMN())),OFFSET($T$2,0,0,ROW()-1,14),ROW()-1,FALSE))</x:f>
        <x:v/>
      </x:c>
      <x:c r="S185" t="str">
        <x:f ca="1">IF(AND($B$1012=1,LEN($S$1190)&gt;0),$S$1190,HLOOKUP(INDIRECT(ADDRESS(2,COLUMN())),OFFSET($T$2,0,0,ROW()-1,14),ROW()-1,FALSE))</x:f>
        <x:v/>
      </x:c>
      <x:c r="T185" t="str">
        <x:f>""</x:f>
        <x:v/>
      </x:c>
      <x:c r="U185" t="str">
        <x:f>""</x:f>
        <x:v/>
      </x:c>
      <x:c r="V185" t="str">
        <x:f>""</x:f>
        <x:v/>
      </x:c>
      <x:c r="W185" t="str">
        <x:f>""</x:f>
        <x:v/>
      </x:c>
      <x:c r="X185" t="str">
        <x:f>""</x:f>
        <x:v/>
      </x:c>
      <x:c r="Y185" t="str">
        <x:f>""</x:f>
        <x:v/>
      </x:c>
      <x:c r="Z185" t="str">
        <x:f>""</x:f>
        <x:v/>
      </x:c>
      <x:c r="AA185" t="str">
        <x:f>""</x:f>
        <x:v/>
      </x:c>
      <x:c r="AB185" t="str">
        <x:f>""</x:f>
        <x:v/>
      </x:c>
      <x:c r="AC185" t="str">
        <x:f>""</x:f>
        <x:v/>
      </x:c>
      <x:c r="AD185" t="str">
        <x:f>""</x:f>
        <x:v/>
      </x:c>
      <x:c r="AE185" t="str">
        <x:f>""</x:f>
        <x:v/>
      </x:c>
      <x:c r="AF185" t="str">
        <x:f>""</x:f>
        <x:v/>
      </x:c>
      <x:c r="AG185" t="str">
        <x:f>""</x:f>
        <x:v/>
      </x:c>
    </x:row>
    <x:row r="186" spans="1:33" x14ac:dyDescent="0.25">
      <x:c r="A186" t="str">
        <x:f>"        Cushing Energy Supply Chain &amp;"</x:f>
        <x:v xml:space="preserve">        Cushing Energy Supply Chain &amp;</x:v>
      </x:c>
      <x:c r="B186" t="str">
        <x:f>"XLSY US Equity"</x:f>
        <x:v>XLSY US Equity</x:v>
      </x:c>
      <x:c r="E186" t="str">
        <x:f t="shared" si="5"/>
        <x:v>Expression</x:v>
      </x:c>
      <x:c r="F186" t="str">
        <x:f ca="1">IF(AND($B$1012=1,LEN($F$1191)&gt;0),$F$1191,HLOOKUP(INDIRECT(ADDRESS(2,COLUMN())),OFFSET($T$2,0,0,ROW()-1,14),ROW()-1,FALSE))</x:f>
        <x:v/>
      </x:c>
      <x:c r="G186" t="str">
        <x:f ca="1">IF(AND($B$1012=1,LEN($G$1191)&gt;0),$G$1191,HLOOKUP(INDIRECT(ADDRESS(2,COLUMN())),OFFSET($T$2,0,0,ROW()-1,14),ROW()-1,FALSE))</x:f>
        <x:v/>
      </x:c>
      <x:c r="H186" t="str">
        <x:f ca="1">IF(AND($B$1012=1,LEN($H$1191)&gt;0),$H$1191,HLOOKUP(INDIRECT(ADDRESS(2,COLUMN())),OFFSET($T$2,0,0,ROW()-1,14),ROW()-1,FALSE))</x:f>
        <x:v/>
      </x:c>
      <x:c r="I186" t="str">
        <x:f ca="1">IF(AND($B$1012=1,LEN($I$1191)&gt;0),$I$1191,HLOOKUP(INDIRECT(ADDRESS(2,COLUMN())),OFFSET($T$2,0,0,ROW()-1,14),ROW()-1,FALSE))</x:f>
        <x:v/>
      </x:c>
      <x:c r="J186" t="str">
        <x:f ca="1">IF(AND($B$1012=1,LEN($J$1191)&gt;0),$J$1191,HLOOKUP(INDIRECT(ADDRESS(2,COLUMN())),OFFSET($T$2,0,0,ROW()-1,14),ROW()-1,FALSE))</x:f>
        <x:v/>
      </x:c>
      <x:c r="K186" t="str">
        <x:f ca="1">IF(AND($B$1012=1,LEN($K$1191)&gt;0),$K$1191,HLOOKUP(INDIRECT(ADDRESS(2,COLUMN())),OFFSET($T$2,0,0,ROW()-1,14),ROW()-1,FALSE))</x:f>
        <x:v/>
      </x:c>
      <x:c r="L186" t="str">
        <x:f ca="1">IF(AND($B$1012=1,LEN($L$1191)&gt;0),$L$1191,HLOOKUP(INDIRECT(ADDRESS(2,COLUMN())),OFFSET($T$2,0,0,ROW()-1,14),ROW()-1,FALSE))</x:f>
        <x:v/>
      </x:c>
      <x:c r="M186" t="str">
        <x:f ca="1">IF(AND($B$1012=1,LEN($M$1191)&gt;0),$M$1191,HLOOKUP(INDIRECT(ADDRESS(2,COLUMN())),OFFSET($T$2,0,0,ROW()-1,14),ROW()-1,FALSE))</x:f>
        <x:v/>
      </x:c>
      <x:c r="N186" t="str">
        <x:f ca="1">IF(AND($B$1012=1,LEN($N$1191)&gt;0),$N$1191,HLOOKUP(INDIRECT(ADDRESS(2,COLUMN())),OFFSET($T$2,0,0,ROW()-1,14),ROW()-1,FALSE))</x:f>
        <x:v/>
      </x:c>
      <x:c r="O186" t="str">
        <x:f ca="1">IF(AND($B$1012=1,LEN($O$1191)&gt;0),$O$1191,HLOOKUP(INDIRECT(ADDRESS(2,COLUMN())),OFFSET($T$2,0,0,ROW()-1,14),ROW()-1,FALSE))</x:f>
        <x:v/>
      </x:c>
      <x:c r="P186" t="str">
        <x:f ca="1">IF(AND($B$1012=1,LEN($P$1191)&gt;0),$P$1191,HLOOKUP(INDIRECT(ADDRESS(2,COLUMN())),OFFSET($T$2,0,0,ROW()-1,14),ROW()-1,FALSE))</x:f>
        <x:v/>
      </x:c>
      <x:c r="Q186" t="str">
        <x:f ca="1">IF(AND($B$1012=1,LEN($Q$1191)&gt;0),$Q$1191,HLOOKUP(INDIRECT(ADDRESS(2,COLUMN())),OFFSET($T$2,0,0,ROW()-1,14),ROW()-1,FALSE))</x:f>
        <x:v/>
      </x:c>
      <x:c r="R186" t="str">
        <x:f ca="1">IF(AND($B$1012=1,LEN($R$1191)&gt;0),$R$1191,HLOOKUP(INDIRECT(ADDRESS(2,COLUMN())),OFFSET($T$2,0,0,ROW()-1,14),ROW()-1,FALSE))</x:f>
        <x:v/>
      </x:c>
      <x:c r="S186" t="str">
        <x:f ca="1">IF(AND($B$1012=1,LEN($S$1191)&gt;0),$S$1191,HLOOKUP(INDIRECT(ADDRESS(2,COLUMN())),OFFSET($T$2,0,0,ROW()-1,14),ROW()-1,FALSE))</x:f>
        <x:v/>
      </x:c>
      <x:c r="T186" t="str">
        <x:f>""</x:f>
        <x:v/>
      </x:c>
      <x:c r="U186" t="str">
        <x:f>""</x:f>
        <x:v/>
      </x:c>
      <x:c r="V186" t="str">
        <x:f>""</x:f>
        <x:v/>
      </x:c>
      <x:c r="W186" t="str">
        <x:f>""</x:f>
        <x:v/>
      </x:c>
      <x:c r="X186" t="str">
        <x:f>""</x:f>
        <x:v/>
      </x:c>
      <x:c r="Y186" t="str">
        <x:f>""</x:f>
        <x:v/>
      </x:c>
      <x:c r="Z186" t="str">
        <x:f>""</x:f>
        <x:v/>
      </x:c>
      <x:c r="AA186" t="str">
        <x:f>""</x:f>
        <x:v/>
      </x:c>
      <x:c r="AB186" t="str">
        <x:f>""</x:f>
        <x:v/>
      </x:c>
      <x:c r="AC186" t="str">
        <x:f>""</x:f>
        <x:v/>
      </x:c>
      <x:c r="AD186" t="str">
        <x:f>""</x:f>
        <x:v/>
      </x:c>
      <x:c r="AE186" t="str">
        <x:f>""</x:f>
        <x:v/>
      </x:c>
      <x:c r="AF186" t="str">
        <x:f>""</x:f>
        <x:v/>
      </x:c>
      <x:c r="AG186" t="str">
        <x:f>""</x:f>
        <x:v/>
      </x:c>
    </x:row>
    <x:row r="187" spans="1:33" x14ac:dyDescent="0.25">
      <x:c r="A187" t="str">
        <x:f>"        MicroSectors US Big Oil Index"</x:f>
        <x:v xml:space="preserve">        MicroSectors US Big Oil Index</x:v>
      </x:c>
      <x:c r="B187" t="str">
        <x:f>"YGRN US Equity"</x:f>
        <x:v>YGRN US Equity</x:v>
      </x:c>
      <x:c r="E187" t="str">
        <x:f t="shared" si="5"/>
        <x:v>Expression</x:v>
      </x:c>
      <x:c r="F187" t="str">
        <x:f ca="1">IF(AND($B$1012=1,LEN($F$1192)&gt;0),$F$1192,HLOOKUP(INDIRECT(ADDRESS(2,COLUMN())),OFFSET($T$2,0,0,ROW()-1,14),ROW()-1,FALSE))</x:f>
        <x:v/>
      </x:c>
      <x:c r="G187" t="str">
        <x:f ca="1">IF(AND($B$1012=1,LEN($G$1192)&gt;0),$G$1192,HLOOKUP(INDIRECT(ADDRESS(2,COLUMN())),OFFSET($T$2,0,0,ROW()-1,14),ROW()-1,FALSE))</x:f>
        <x:v/>
      </x:c>
      <x:c r="H187" t="str">
        <x:f ca="1">IF(AND($B$1012=1,LEN($H$1192)&gt;0),$H$1192,HLOOKUP(INDIRECT(ADDRESS(2,COLUMN())),OFFSET($T$2,0,0,ROW()-1,14),ROW()-1,FALSE))</x:f>
        <x:v/>
      </x:c>
      <x:c r="I187" t="str">
        <x:f ca="1">IF(AND($B$1012=1,LEN($I$1192)&gt;0),$I$1192,HLOOKUP(INDIRECT(ADDRESS(2,COLUMN())),OFFSET($T$2,0,0,ROW()-1,14),ROW()-1,FALSE))</x:f>
        <x:v/>
      </x:c>
      <x:c r="J187" t="str">
        <x:f ca="1">IF(AND($B$1012=1,LEN($J$1192)&gt;0),$J$1192,HLOOKUP(INDIRECT(ADDRESS(2,COLUMN())),OFFSET($T$2,0,0,ROW()-1,14),ROW()-1,FALSE))</x:f>
        <x:v/>
      </x:c>
      <x:c r="K187" t="str">
        <x:f ca="1">IF(AND($B$1012=1,LEN($K$1192)&gt;0),$K$1192,HLOOKUP(INDIRECT(ADDRESS(2,COLUMN())),OFFSET($T$2,0,0,ROW()-1,14),ROW()-1,FALSE))</x:f>
        <x:v/>
      </x:c>
      <x:c r="L187" t="str">
        <x:f ca="1">IF(AND($B$1012=1,LEN($L$1192)&gt;0),$L$1192,HLOOKUP(INDIRECT(ADDRESS(2,COLUMN())),OFFSET($T$2,0,0,ROW()-1,14),ROW()-1,FALSE))</x:f>
        <x:v/>
      </x:c>
      <x:c r="M187" t="str">
        <x:f ca="1">IF(AND($B$1012=1,LEN($M$1192)&gt;0),$M$1192,HLOOKUP(INDIRECT(ADDRESS(2,COLUMN())),OFFSET($T$2,0,0,ROW()-1,14),ROW()-1,FALSE))</x:f>
        <x:v/>
      </x:c>
      <x:c r="N187" t="str">
        <x:f ca="1">IF(AND($B$1012=1,LEN($N$1192)&gt;0),$N$1192,HLOOKUP(INDIRECT(ADDRESS(2,COLUMN())),OFFSET($T$2,0,0,ROW()-1,14),ROW()-1,FALSE))</x:f>
        <x:v/>
      </x:c>
      <x:c r="O187" t="str">
        <x:f ca="1">IF(AND($B$1012=1,LEN($O$1192)&gt;0),$O$1192,HLOOKUP(INDIRECT(ADDRESS(2,COLUMN())),OFFSET($T$2,0,0,ROW()-1,14),ROW()-1,FALSE))</x:f>
        <x:v/>
      </x:c>
      <x:c r="P187" t="str">
        <x:f ca="1">IF(AND($B$1012=1,LEN($P$1192)&gt;0),$P$1192,HLOOKUP(INDIRECT(ADDRESS(2,COLUMN())),OFFSET($T$2,0,0,ROW()-1,14),ROW()-1,FALSE))</x:f>
        <x:v/>
      </x:c>
      <x:c r="Q187" t="str">
        <x:f ca="1">IF(AND($B$1012=1,LEN($Q$1192)&gt;0),$Q$1192,HLOOKUP(INDIRECT(ADDRESS(2,COLUMN())),OFFSET($T$2,0,0,ROW()-1,14),ROW()-1,FALSE))</x:f>
        <x:v/>
      </x:c>
      <x:c r="R187" t="str">
        <x:f ca="1">IF(AND($B$1012=1,LEN($R$1192)&gt;0),$R$1192,HLOOKUP(INDIRECT(ADDRESS(2,COLUMN())),OFFSET($T$2,0,0,ROW()-1,14),ROW()-1,FALSE))</x:f>
        <x:v/>
      </x:c>
      <x:c r="S187" t="str">
        <x:f ca="1">IF(AND($B$1012=1,LEN($S$1192)&gt;0),$S$1192,HLOOKUP(INDIRECT(ADDRESS(2,COLUMN())),OFFSET($T$2,0,0,ROW()-1,14),ROW()-1,FALSE))</x:f>
        <x:v/>
      </x:c>
      <x:c r="T187" t="str">
        <x:f>""</x:f>
        <x:v/>
      </x:c>
      <x:c r="U187" t="str">
        <x:f>""</x:f>
        <x:v/>
      </x:c>
      <x:c r="V187" t="str">
        <x:f>""</x:f>
        <x:v/>
      </x:c>
      <x:c r="W187" t="str">
        <x:f>""</x:f>
        <x:v/>
      </x:c>
      <x:c r="X187" t="str">
        <x:f>""</x:f>
        <x:v/>
      </x:c>
      <x:c r="Y187" t="str">
        <x:f>""</x:f>
        <x:v/>
      </x:c>
      <x:c r="Z187" t="str">
        <x:f>""</x:f>
        <x:v/>
      </x:c>
      <x:c r="AA187" t="str">
        <x:f>""</x:f>
        <x:v/>
      </x:c>
      <x:c r="AB187" t="str">
        <x:f>""</x:f>
        <x:v/>
      </x:c>
      <x:c r="AC187" t="str">
        <x:f>""</x:f>
        <x:v/>
      </x:c>
      <x:c r="AD187" t="str">
        <x:f>""</x:f>
        <x:v/>
      </x:c>
      <x:c r="AE187" t="str">
        <x:f>""</x:f>
        <x:v/>
      </x:c>
      <x:c r="AF187" t="str">
        <x:f>""</x:f>
        <x:v/>
      </x:c>
      <x:c r="AG187" t="str">
        <x:f>""</x:f>
        <x:v/>
      </x:c>
    </x:row>
    <x:row r="188" spans="1:33" x14ac:dyDescent="0.25">
      <x:c r="A188" t="str">
        <x:f>"        ETRACS Alerian Midstream Energ"</x:f>
        <x:v xml:space="preserve">        ETRACS Alerian Midstream Energ</x:v>
      </x:c>
      <x:c r="B188" t="str">
        <x:f>"AMNA US Equity"</x:f>
        <x:v>AMNA US Equity</x:v>
      </x:c>
      <x:c r="E188" t="str">
        <x:f t="shared" si="5"/>
        <x:v>Expression</x:v>
      </x:c>
      <x:c r="F188">
        <x:f ca="1">IF(AND($B$1012=1,LEN($F$1193)&gt;0),$F$1193,HLOOKUP(INDIRECT(ADDRESS(2,COLUMN())),OFFSET($T$2,0,0,ROW()-1,14),ROW()-1,FALSE))</x:f>
        <x:v>0</x:v>
      </x:c>
      <x:c r="G188">
        <x:f ca="1">IF(AND($B$1012=1,LEN($G$1193)&gt;0),$G$1193,HLOOKUP(INDIRECT(ADDRESS(2,COLUMN())),OFFSET($T$2,0,0,ROW()-1,14),ROW()-1,FALSE))</x:f>
        <x:v>0</x:v>
      </x:c>
      <x:c r="H188">
        <x:f ca="1">IF(AND($B$1012=1,LEN($H$1193)&gt;0),$H$1193,HLOOKUP(INDIRECT(ADDRESS(2,COLUMN())),OFFSET($T$2,0,0,ROW()-1,14),ROW()-1,FALSE))</x:f>
        <x:v>0</x:v>
      </x:c>
      <x:c r="I188">
        <x:f ca="1">IF(AND($B$1012=1,LEN($I$1193)&gt;0),$I$1193,HLOOKUP(INDIRECT(ADDRESS(2,COLUMN())),OFFSET($T$2,0,0,ROW()-1,14),ROW()-1,FALSE))</x:f>
        <x:v>0</x:v>
      </x:c>
      <x:c r="J188">
        <x:f ca="1">IF(AND($B$1012=1,LEN($J$1193)&gt;0),$J$1193,HLOOKUP(INDIRECT(ADDRESS(2,COLUMN())),OFFSET($T$2,0,0,ROW()-1,14),ROW()-1,FALSE))</x:f>
        <x:v>0</x:v>
      </x:c>
      <x:c r="K188">
        <x:f ca="1">IF(AND($B$1012=1,LEN($K$1193)&gt;0),$K$1193,HLOOKUP(INDIRECT(ADDRESS(2,COLUMN())),OFFSET($T$2,0,0,ROW()-1,14),ROW()-1,FALSE))</x:f>
        <x:v>0</x:v>
      </x:c>
      <x:c r="L188">
        <x:f ca="1">IF(AND($B$1012=1,LEN($L$1193)&gt;0),$L$1193,HLOOKUP(INDIRECT(ADDRESS(2,COLUMN())),OFFSET($T$2,0,0,ROW()-1,14),ROW()-1,FALSE))</x:f>
        <x:v>0</x:v>
      </x:c>
      <x:c r="M188">
        <x:f ca="1">IF(AND($B$1012=1,LEN($M$1193)&gt;0),$M$1193,HLOOKUP(INDIRECT(ADDRESS(2,COLUMN())),OFFSET($T$2,0,0,ROW()-1,14),ROW()-1,FALSE))</x:f>
        <x:v>0</x:v>
      </x:c>
      <x:c r="N188">
        <x:f ca="1">IF(AND($B$1012=1,LEN($N$1193)&gt;0),$N$1193,HLOOKUP(INDIRECT(ADDRESS(2,COLUMN())),OFFSET($T$2,0,0,ROW()-1,14),ROW()-1,FALSE))</x:f>
        <x:v>0</x:v>
      </x:c>
      <x:c r="O188">
        <x:f ca="1">IF(AND($B$1012=1,LEN($O$1193)&gt;0),$O$1193,HLOOKUP(INDIRECT(ADDRESS(2,COLUMN())),OFFSET($T$2,0,0,ROW()-1,14),ROW()-1,FALSE))</x:f>
        <x:v>0</x:v>
      </x:c>
      <x:c r="P188">
        <x:f ca="1">IF(AND($B$1012=1,LEN($P$1193)&gt;0),$P$1193,HLOOKUP(INDIRECT(ADDRESS(2,COLUMN())),OFFSET($T$2,0,0,ROW()-1,14),ROW()-1,FALSE))</x:f>
        <x:v>0</x:v>
      </x:c>
      <x:c r="Q188">
        <x:f ca="1">IF(AND($B$1012=1,LEN($Q$1193)&gt;0),$Q$1193,HLOOKUP(INDIRECT(ADDRESS(2,COLUMN())),OFFSET($T$2,0,0,ROW()-1,14),ROW()-1,FALSE))</x:f>
        <x:v>0</x:v>
      </x:c>
      <x:c r="R188">
        <x:f ca="1">IF(AND($B$1012=1,LEN($R$1193)&gt;0),$R$1193,HLOOKUP(INDIRECT(ADDRESS(2,COLUMN())),OFFSET($T$2,0,0,ROW()-1,14),ROW()-1,FALSE))</x:f>
        <x:v>0</x:v>
      </x:c>
      <x:c r="S188">
        <x:f ca="1">IF(AND($B$1012=1,LEN($S$1193)&gt;0),$S$1193,HLOOKUP(INDIRECT(ADDRESS(2,COLUMN())),OFFSET($T$2,0,0,ROW()-1,14),ROW()-1,FALSE))</x:f>
        <x:v>0</x:v>
      </x:c>
      <x:c r="T188">
        <x:f>0</x:f>
        <x:v>0</x:v>
      </x:c>
      <x:c r="U188">
        <x:f>0</x:f>
        <x:v>0</x:v>
      </x:c>
      <x:c r="V188">
        <x:f>0</x:f>
        <x:v>0</x:v>
      </x:c>
      <x:c r="W188">
        <x:f>0</x:f>
        <x:v>0</x:v>
      </x:c>
      <x:c r="X188">
        <x:f>0</x:f>
        <x:v>0</x:v>
      </x:c>
      <x:c r="Y188">
        <x:f>0</x:f>
        <x:v>0</x:v>
      </x:c>
      <x:c r="Z188">
        <x:f>0</x:f>
        <x:v>0</x:v>
      </x:c>
      <x:c r="AA188">
        <x:f>0</x:f>
        <x:v>0</x:v>
      </x:c>
      <x:c r="AB188">
        <x:f>0</x:f>
        <x:v>0</x:v>
      </x:c>
      <x:c r="AC188">
        <x:f>0</x:f>
        <x:v>0</x:v>
      </x:c>
      <x:c r="AD188">
        <x:f>0</x:f>
        <x:v>0</x:v>
      </x:c>
      <x:c r="AE188">
        <x:f>0</x:f>
        <x:v>0</x:v>
      </x:c>
      <x:c r="AF188">
        <x:f>0</x:f>
        <x:v>0</x:v>
      </x:c>
      <x:c r="AG188">
        <x:f>0</x:f>
        <x:v>0</x:v>
      </x:c>
    </x:row>
    <x:row r="189" spans="1:33" x14ac:dyDescent="0.25">
      <x:c r="A189" t="str">
        <x:f>"        ETRACS Alerian Midstream Energ"</x:f>
        <x:v xml:space="preserve">        ETRACS Alerian Midstream Energ</x:v>
      </x:c>
      <x:c r="B189" t="str">
        <x:f>"AMND US Equity"</x:f>
        <x:v>AMND US Equity</x:v>
      </x:c>
      <x:c r="E189" t="str">
        <x:f t="shared" si="5"/>
        <x:v>Expression</x:v>
      </x:c>
      <x:c r="F189">
        <x:f ca="1">IF(AND($B$1012=1,LEN($F$1194)&gt;0),$F$1194,HLOOKUP(INDIRECT(ADDRESS(2,COLUMN())),OFFSET($T$2,0,0,ROW()-1,14),ROW()-1,FALSE))</x:f>
        <x:v>0</x:v>
      </x:c>
      <x:c r="G189">
        <x:f ca="1">IF(AND($B$1012=1,LEN($G$1194)&gt;0),$G$1194,HLOOKUP(INDIRECT(ADDRESS(2,COLUMN())),OFFSET($T$2,0,0,ROW()-1,14),ROW()-1,FALSE))</x:f>
        <x:v>0</x:v>
      </x:c>
      <x:c r="H189">
        <x:f ca="1">IF(AND($B$1012=1,LEN($H$1194)&gt;0),$H$1194,HLOOKUP(INDIRECT(ADDRESS(2,COLUMN())),OFFSET($T$2,0,0,ROW()-1,14),ROW()-1,FALSE))</x:f>
        <x:v>0</x:v>
      </x:c>
      <x:c r="I189">
        <x:f ca="1">IF(AND($B$1012=1,LEN($I$1194)&gt;0),$I$1194,HLOOKUP(INDIRECT(ADDRESS(2,COLUMN())),OFFSET($T$2,0,0,ROW()-1,14),ROW()-1,FALSE))</x:f>
        <x:v>0</x:v>
      </x:c>
      <x:c r="J189">
        <x:f ca="1">IF(AND($B$1012=1,LEN($J$1194)&gt;0),$J$1194,HLOOKUP(INDIRECT(ADDRESS(2,COLUMN())),OFFSET($T$2,0,0,ROW()-1,14),ROW()-1,FALSE))</x:f>
        <x:v>0</x:v>
      </x:c>
      <x:c r="K189">
        <x:f ca="1">IF(AND($B$1012=1,LEN($K$1194)&gt;0),$K$1194,HLOOKUP(INDIRECT(ADDRESS(2,COLUMN())),OFFSET($T$2,0,0,ROW()-1,14),ROW()-1,FALSE))</x:f>
        <x:v>0</x:v>
      </x:c>
      <x:c r="L189">
        <x:f ca="1">IF(AND($B$1012=1,LEN($L$1194)&gt;0),$L$1194,HLOOKUP(INDIRECT(ADDRESS(2,COLUMN())),OFFSET($T$2,0,0,ROW()-1,14),ROW()-1,FALSE))</x:f>
        <x:v>0</x:v>
      </x:c>
      <x:c r="M189">
        <x:f ca="1">IF(AND($B$1012=1,LEN($M$1194)&gt;0),$M$1194,HLOOKUP(INDIRECT(ADDRESS(2,COLUMN())),OFFSET($T$2,0,0,ROW()-1,14),ROW()-1,FALSE))</x:f>
        <x:v>0</x:v>
      </x:c>
      <x:c r="N189">
        <x:f ca="1">IF(AND($B$1012=1,LEN($N$1194)&gt;0),$N$1194,HLOOKUP(INDIRECT(ADDRESS(2,COLUMN())),OFFSET($T$2,0,0,ROW()-1,14),ROW()-1,FALSE))</x:f>
        <x:v>0</x:v>
      </x:c>
      <x:c r="O189">
        <x:f ca="1">IF(AND($B$1012=1,LEN($O$1194)&gt;0),$O$1194,HLOOKUP(INDIRECT(ADDRESS(2,COLUMN())),OFFSET($T$2,0,0,ROW()-1,14),ROW()-1,FALSE))</x:f>
        <x:v>0</x:v>
      </x:c>
      <x:c r="P189">
        <x:f ca="1">IF(AND($B$1012=1,LEN($P$1194)&gt;0),$P$1194,HLOOKUP(INDIRECT(ADDRESS(2,COLUMN())),OFFSET($T$2,0,0,ROW()-1,14),ROW()-1,FALSE))</x:f>
        <x:v>0</x:v>
      </x:c>
      <x:c r="Q189">
        <x:f ca="1">IF(AND($B$1012=1,LEN($Q$1194)&gt;0),$Q$1194,HLOOKUP(INDIRECT(ADDRESS(2,COLUMN())),OFFSET($T$2,0,0,ROW()-1,14),ROW()-1,FALSE))</x:f>
        <x:v>0</x:v>
      </x:c>
      <x:c r="R189">
        <x:f ca="1">IF(AND($B$1012=1,LEN($R$1194)&gt;0),$R$1194,HLOOKUP(INDIRECT(ADDRESS(2,COLUMN())),OFFSET($T$2,0,0,ROW()-1,14),ROW()-1,FALSE))</x:f>
        <x:v>0</x:v>
      </x:c>
      <x:c r="S189">
        <x:f ca="1">IF(AND($B$1012=1,LEN($S$1194)&gt;0),$S$1194,HLOOKUP(INDIRECT(ADDRESS(2,COLUMN())),OFFSET($T$2,0,0,ROW()-1,14),ROW()-1,FALSE))</x:f>
        <x:v>0</x:v>
      </x:c>
      <x:c r="T189">
        <x:f>0</x:f>
        <x:v>0</x:v>
      </x:c>
      <x:c r="U189">
        <x:f>0</x:f>
        <x:v>0</x:v>
      </x:c>
      <x:c r="V189">
        <x:f>0</x:f>
        <x:v>0</x:v>
      </x:c>
      <x:c r="W189">
        <x:f>0</x:f>
        <x:v>0</x:v>
      </x:c>
      <x:c r="X189">
        <x:f>0</x:f>
        <x:v>0</x:v>
      </x:c>
      <x:c r="Y189">
        <x:f>0</x:f>
        <x:v>0</x:v>
      </x:c>
      <x:c r="Z189">
        <x:f>0</x:f>
        <x:v>0</x:v>
      </x:c>
      <x:c r="AA189">
        <x:f>0</x:f>
        <x:v>0</x:v>
      </x:c>
      <x:c r="AB189">
        <x:f>0</x:f>
        <x:v>0</x:v>
      </x:c>
      <x:c r="AC189">
        <x:f>0</x:f>
        <x:v>0</x:v>
      </x:c>
      <x:c r="AD189">
        <x:f>0</x:f>
        <x:v>0</x:v>
      </x:c>
      <x:c r="AE189">
        <x:f>0</x:f>
        <x:v>0</x:v>
      </x:c>
      <x:c r="AF189">
        <x:f>0</x:f>
        <x:v>0</x:v>
      </x:c>
      <x:c r="AG189">
        <x:f>0</x:f>
        <x:v>0</x:v>
      </x:c>
    </x:row>
    <x:row r="190" spans="1:33" x14ac:dyDescent="0.25">
      <x:c r="A190" t="str">
        <x:f>"        ETRACS Alerian Midstream Energ"</x:f>
        <x:v xml:space="preserve">        ETRACS Alerian Midstream Energ</x:v>
      </x:c>
      <x:c r="B190" t="str">
        <x:f>"AMTR US Equity"</x:f>
        <x:v>AMTR US Equity</x:v>
      </x:c>
      <x:c r="E190" t="str">
        <x:f t="shared" si="5"/>
        <x:v>Expression</x:v>
      </x:c>
      <x:c r="F190">
        <x:f ca="1">IF(AND($B$1012=1,LEN($F$1195)&gt;0),$F$1195,HLOOKUP(INDIRECT(ADDRESS(2,COLUMN())),OFFSET($T$2,0,0,ROW()-1,14),ROW()-1,FALSE))</x:f>
        <x:v>0</x:v>
      </x:c>
      <x:c r="G190">
        <x:f ca="1">IF(AND($B$1012=1,LEN($G$1195)&gt;0),$G$1195,HLOOKUP(INDIRECT(ADDRESS(2,COLUMN())),OFFSET($T$2,0,0,ROW()-1,14),ROW()-1,FALSE))</x:f>
        <x:v>0</x:v>
      </x:c>
      <x:c r="H190">
        <x:f ca="1">IF(AND($B$1012=1,LEN($H$1195)&gt;0),$H$1195,HLOOKUP(INDIRECT(ADDRESS(2,COLUMN())),OFFSET($T$2,0,0,ROW()-1,14),ROW()-1,FALSE))</x:f>
        <x:v>0</x:v>
      </x:c>
      <x:c r="I190">
        <x:f ca="1">IF(AND($B$1012=1,LEN($I$1195)&gt;0),$I$1195,HLOOKUP(INDIRECT(ADDRESS(2,COLUMN())),OFFSET($T$2,0,0,ROW()-1,14),ROW()-1,FALSE))</x:f>
        <x:v>0</x:v>
      </x:c>
      <x:c r="J190">
        <x:f ca="1">IF(AND($B$1012=1,LEN($J$1195)&gt;0),$J$1195,HLOOKUP(INDIRECT(ADDRESS(2,COLUMN())),OFFSET($T$2,0,0,ROW()-1,14),ROW()-1,FALSE))</x:f>
        <x:v>0</x:v>
      </x:c>
      <x:c r="K190">
        <x:f ca="1">IF(AND($B$1012=1,LEN($K$1195)&gt;0),$K$1195,HLOOKUP(INDIRECT(ADDRESS(2,COLUMN())),OFFSET($T$2,0,0,ROW()-1,14),ROW()-1,FALSE))</x:f>
        <x:v>0</x:v>
      </x:c>
      <x:c r="L190">
        <x:f ca="1">IF(AND($B$1012=1,LEN($L$1195)&gt;0),$L$1195,HLOOKUP(INDIRECT(ADDRESS(2,COLUMN())),OFFSET($T$2,0,0,ROW()-1,14),ROW()-1,FALSE))</x:f>
        <x:v>0</x:v>
      </x:c>
      <x:c r="M190">
        <x:f ca="1">IF(AND($B$1012=1,LEN($M$1195)&gt;0),$M$1195,HLOOKUP(INDIRECT(ADDRESS(2,COLUMN())),OFFSET($T$2,0,0,ROW()-1,14),ROW()-1,FALSE))</x:f>
        <x:v>0</x:v>
      </x:c>
      <x:c r="N190">
        <x:f ca="1">IF(AND($B$1012=1,LEN($N$1195)&gt;0),$N$1195,HLOOKUP(INDIRECT(ADDRESS(2,COLUMN())),OFFSET($T$2,0,0,ROW()-1,14),ROW()-1,FALSE))</x:f>
        <x:v>0</x:v>
      </x:c>
      <x:c r="O190">
        <x:f ca="1">IF(AND($B$1012=1,LEN($O$1195)&gt;0),$O$1195,HLOOKUP(INDIRECT(ADDRESS(2,COLUMN())),OFFSET($T$2,0,0,ROW()-1,14),ROW()-1,FALSE))</x:f>
        <x:v>0</x:v>
      </x:c>
      <x:c r="P190">
        <x:f ca="1">IF(AND($B$1012=1,LEN($P$1195)&gt;0),$P$1195,HLOOKUP(INDIRECT(ADDRESS(2,COLUMN())),OFFSET($T$2,0,0,ROW()-1,14),ROW()-1,FALSE))</x:f>
        <x:v>0</x:v>
      </x:c>
      <x:c r="Q190">
        <x:f ca="1">IF(AND($B$1012=1,LEN($Q$1195)&gt;0),$Q$1195,HLOOKUP(INDIRECT(ADDRESS(2,COLUMN())),OFFSET($T$2,0,0,ROW()-1,14),ROW()-1,FALSE))</x:f>
        <x:v>0</x:v>
      </x:c>
      <x:c r="R190">
        <x:f ca="1">IF(AND($B$1012=1,LEN($R$1195)&gt;0),$R$1195,HLOOKUP(INDIRECT(ADDRESS(2,COLUMN())),OFFSET($T$2,0,0,ROW()-1,14),ROW()-1,FALSE))</x:f>
        <x:v>0</x:v>
      </x:c>
      <x:c r="S190">
        <x:f ca="1">IF(AND($B$1012=1,LEN($S$1195)&gt;0),$S$1195,HLOOKUP(INDIRECT(ADDRESS(2,COLUMN())),OFFSET($T$2,0,0,ROW()-1,14),ROW()-1,FALSE))</x:f>
        <x:v>0</x:v>
      </x:c>
      <x:c r="T190">
        <x:f>0</x:f>
        <x:v>0</x:v>
      </x:c>
      <x:c r="U190">
        <x:f>0</x:f>
        <x:v>0</x:v>
      </x:c>
      <x:c r="V190">
        <x:f>0</x:f>
        <x:v>0</x:v>
      </x:c>
      <x:c r="W190">
        <x:f>0</x:f>
        <x:v>0</x:v>
      </x:c>
      <x:c r="X190">
        <x:f>0</x:f>
        <x:v>0</x:v>
      </x:c>
      <x:c r="Y190">
        <x:f>0</x:f>
        <x:v>0</x:v>
      </x:c>
      <x:c r="Z190">
        <x:f>0</x:f>
        <x:v>0</x:v>
      </x:c>
      <x:c r="AA190">
        <x:f>0</x:f>
        <x:v>0</x:v>
      </x:c>
      <x:c r="AB190">
        <x:f>0</x:f>
        <x:v>0</x:v>
      </x:c>
      <x:c r="AC190">
        <x:f>0</x:f>
        <x:v>0</x:v>
      </x:c>
      <x:c r="AD190">
        <x:f>0</x:f>
        <x:v>0</x:v>
      </x:c>
      <x:c r="AE190">
        <x:f>0</x:f>
        <x:v>0</x:v>
      </x:c>
      <x:c r="AF190">
        <x:f>0</x:f>
        <x:v>0</x:v>
      </x:c>
      <x:c r="AG190">
        <x:f>0</x:f>
        <x:v>0</x:v>
      </x:c>
    </x:row>
    <x:row r="191" spans="1:33" x14ac:dyDescent="0.25">
      <x:c r="A191" t="str">
        <x:f>"        ETRACS Quarterly Pay 1.5X Leve"</x:f>
        <x:v xml:space="preserve">        ETRACS Quarterly Pay 1.5X Leve</x:v>
      </x:c>
      <x:c r="B191" t="str">
        <x:f>"MLPR US Equity"</x:f>
        <x:v>MLPR US Equity</x:v>
      </x:c>
      <x:c r="E191" t="str">
        <x:f t="shared" si="5"/>
        <x:v>Expression</x:v>
      </x:c>
      <x:c r="F191">
        <x:f ca="1">IF(AND($B$1012=1,LEN($F$1196)&gt;0),$F$1196,HLOOKUP(INDIRECT(ADDRESS(2,COLUMN())),OFFSET($T$2,0,0,ROW()-1,14),ROW()-1,FALSE))</x:f>
        <x:v>0</x:v>
      </x:c>
      <x:c r="G191">
        <x:f ca="1">IF(AND($B$1012=1,LEN($G$1196)&gt;0),$G$1196,HLOOKUP(INDIRECT(ADDRESS(2,COLUMN())),OFFSET($T$2,0,0,ROW()-1,14),ROW()-1,FALSE))</x:f>
        <x:v>0</x:v>
      </x:c>
      <x:c r="H191">
        <x:f ca="1">IF(AND($B$1012=1,LEN($H$1196)&gt;0),$H$1196,HLOOKUP(INDIRECT(ADDRESS(2,COLUMN())),OFFSET($T$2,0,0,ROW()-1,14),ROW()-1,FALSE))</x:f>
        <x:v>0</x:v>
      </x:c>
      <x:c r="I191">
        <x:f ca="1">IF(AND($B$1012=1,LEN($I$1196)&gt;0),$I$1196,HLOOKUP(INDIRECT(ADDRESS(2,COLUMN())),OFFSET($T$2,0,0,ROW()-1,14),ROW()-1,FALSE))</x:f>
        <x:v>0</x:v>
      </x:c>
      <x:c r="J191">
        <x:f ca="1">IF(AND($B$1012=1,LEN($J$1196)&gt;0),$J$1196,HLOOKUP(INDIRECT(ADDRESS(2,COLUMN())),OFFSET($T$2,0,0,ROW()-1,14),ROW()-1,FALSE))</x:f>
        <x:v>0</x:v>
      </x:c>
      <x:c r="K191">
        <x:f ca="1">IF(AND($B$1012=1,LEN($K$1196)&gt;0),$K$1196,HLOOKUP(INDIRECT(ADDRESS(2,COLUMN())),OFFSET($T$2,0,0,ROW()-1,14),ROW()-1,FALSE))</x:f>
        <x:v>0</x:v>
      </x:c>
      <x:c r="L191">
        <x:f ca="1">IF(AND($B$1012=1,LEN($L$1196)&gt;0),$L$1196,HLOOKUP(INDIRECT(ADDRESS(2,COLUMN())),OFFSET($T$2,0,0,ROW()-1,14),ROW()-1,FALSE))</x:f>
        <x:v>0</x:v>
      </x:c>
      <x:c r="M191">
        <x:f ca="1">IF(AND($B$1012=1,LEN($M$1196)&gt;0),$M$1196,HLOOKUP(INDIRECT(ADDRESS(2,COLUMN())),OFFSET($T$2,0,0,ROW()-1,14),ROW()-1,FALSE))</x:f>
        <x:v>0</x:v>
      </x:c>
      <x:c r="N191">
        <x:f ca="1">IF(AND($B$1012=1,LEN($N$1196)&gt;0),$N$1196,HLOOKUP(INDIRECT(ADDRESS(2,COLUMN())),OFFSET($T$2,0,0,ROW()-1,14),ROW()-1,FALSE))</x:f>
        <x:v>0</x:v>
      </x:c>
      <x:c r="O191">
        <x:f ca="1">IF(AND($B$1012=1,LEN($O$1196)&gt;0),$O$1196,HLOOKUP(INDIRECT(ADDRESS(2,COLUMN())),OFFSET($T$2,0,0,ROW()-1,14),ROW()-1,FALSE))</x:f>
        <x:v>0</x:v>
      </x:c>
      <x:c r="P191">
        <x:f ca="1">IF(AND($B$1012=1,LEN($P$1196)&gt;0),$P$1196,HLOOKUP(INDIRECT(ADDRESS(2,COLUMN())),OFFSET($T$2,0,0,ROW()-1,14),ROW()-1,FALSE))</x:f>
        <x:v>0</x:v>
      </x:c>
      <x:c r="Q191">
        <x:f ca="1">IF(AND($B$1012=1,LEN($Q$1196)&gt;0),$Q$1196,HLOOKUP(INDIRECT(ADDRESS(2,COLUMN())),OFFSET($T$2,0,0,ROW()-1,14),ROW()-1,FALSE))</x:f>
        <x:v>0</x:v>
      </x:c>
      <x:c r="R191">
        <x:f ca="1">IF(AND($B$1012=1,LEN($R$1196)&gt;0),$R$1196,HLOOKUP(INDIRECT(ADDRESS(2,COLUMN())),OFFSET($T$2,0,0,ROW()-1,14),ROW()-1,FALSE))</x:f>
        <x:v>0</x:v>
      </x:c>
      <x:c r="S191">
        <x:f ca="1">IF(AND($B$1012=1,LEN($S$1196)&gt;0),$S$1196,HLOOKUP(INDIRECT(ADDRESS(2,COLUMN())),OFFSET($T$2,0,0,ROW()-1,14),ROW()-1,FALSE))</x:f>
        <x:v>0</x:v>
      </x:c>
      <x:c r="T191">
        <x:f>0</x:f>
        <x:v>0</x:v>
      </x:c>
      <x:c r="U191">
        <x:f>0</x:f>
        <x:v>0</x:v>
      </x:c>
      <x:c r="V191">
        <x:f>0</x:f>
        <x:v>0</x:v>
      </x:c>
      <x:c r="W191">
        <x:f>0</x:f>
        <x:v>0</x:v>
      </x:c>
      <x:c r="X191">
        <x:f>0</x:f>
        <x:v>0</x:v>
      </x:c>
      <x:c r="Y191">
        <x:f>0</x:f>
        <x:v>0</x:v>
      </x:c>
      <x:c r="Z191">
        <x:f>0</x:f>
        <x:v>0</x:v>
      </x:c>
      <x:c r="AA191">
        <x:f>0</x:f>
        <x:v>0</x:v>
      </x:c>
      <x:c r="AB191">
        <x:f>0</x:f>
        <x:v>0</x:v>
      </x:c>
      <x:c r="AC191">
        <x:f>0</x:f>
        <x:v>0</x:v>
      </x:c>
      <x:c r="AD191">
        <x:f>0</x:f>
        <x:v>0</x:v>
      </x:c>
      <x:c r="AE191">
        <x:f>0</x:f>
        <x:v>0</x:v>
      </x:c>
      <x:c r="AF191">
        <x:f>0</x:f>
        <x:v>0</x:v>
      </x:c>
      <x:c r="AG191">
        <x:f>0</x:f>
        <x:v>0</x:v>
      </x:c>
    </x:row>
    <x:row r="192" spans="1:33" x14ac:dyDescent="0.25">
      <x:c r="A192" t="str">
        <x:f>"        MicroSectors Oil &amp; Gas Explora"</x:f>
        <x:v xml:space="preserve">        MicroSectors Oil &amp; Gas Explora</x:v>
      </x:c>
      <x:c r="B192" t="str">
        <x:f>"OILU US Equity"</x:f>
        <x:v>OILU US Equity</x:v>
      </x:c>
      <x:c r="E192" t="str">
        <x:f t="shared" si="5"/>
        <x:v>Expression</x:v>
      </x:c>
      <x:c r="F192">
        <x:f ca="1">IF(AND($B$1012=1,LEN($F$1197)&gt;0),$F$1197,HLOOKUP(INDIRECT(ADDRESS(2,COLUMN())),OFFSET($T$2,0,0,ROW()-1,14),ROW()-1,FALSE))</x:f>
        <x:v>0</x:v>
      </x:c>
      <x:c r="G192">
        <x:f ca="1">IF(AND($B$1012=1,LEN($G$1197)&gt;0),$G$1197,HLOOKUP(INDIRECT(ADDRESS(2,COLUMN())),OFFSET($T$2,0,0,ROW()-1,14),ROW()-1,FALSE))</x:f>
        <x:v>0</x:v>
      </x:c>
      <x:c r="H192">
        <x:f ca="1">IF(AND($B$1012=1,LEN($H$1197)&gt;0),$H$1197,HLOOKUP(INDIRECT(ADDRESS(2,COLUMN())),OFFSET($T$2,0,0,ROW()-1,14),ROW()-1,FALSE))</x:f>
        <x:v>0</x:v>
      </x:c>
      <x:c r="I192">
        <x:f ca="1">IF(AND($B$1012=1,LEN($I$1197)&gt;0),$I$1197,HLOOKUP(INDIRECT(ADDRESS(2,COLUMN())),OFFSET($T$2,0,0,ROW()-1,14),ROW()-1,FALSE))</x:f>
        <x:v>0</x:v>
      </x:c>
      <x:c r="J192">
        <x:f ca="1">IF(AND($B$1012=1,LEN($J$1197)&gt;0),$J$1197,HLOOKUP(INDIRECT(ADDRESS(2,COLUMN())),OFFSET($T$2,0,0,ROW()-1,14),ROW()-1,FALSE))</x:f>
        <x:v>0</x:v>
      </x:c>
      <x:c r="K192">
        <x:f ca="1">IF(AND($B$1012=1,LEN($K$1197)&gt;0),$K$1197,HLOOKUP(INDIRECT(ADDRESS(2,COLUMN())),OFFSET($T$2,0,0,ROW()-1,14),ROW()-1,FALSE))</x:f>
        <x:v>0</x:v>
      </x:c>
      <x:c r="L192">
        <x:f ca="1">IF(AND($B$1012=1,LEN($L$1197)&gt;0),$L$1197,HLOOKUP(INDIRECT(ADDRESS(2,COLUMN())),OFFSET($T$2,0,0,ROW()-1,14),ROW()-1,FALSE))</x:f>
        <x:v>0</x:v>
      </x:c>
      <x:c r="M192">
        <x:f ca="1">IF(AND($B$1012=1,LEN($M$1197)&gt;0),$M$1197,HLOOKUP(INDIRECT(ADDRESS(2,COLUMN())),OFFSET($T$2,0,0,ROW()-1,14),ROW()-1,FALSE))</x:f>
        <x:v>0</x:v>
      </x:c>
      <x:c r="N192">
        <x:f ca="1">IF(AND($B$1012=1,LEN($N$1197)&gt;0),$N$1197,HLOOKUP(INDIRECT(ADDRESS(2,COLUMN())),OFFSET($T$2,0,0,ROW()-1,14),ROW()-1,FALSE))</x:f>
        <x:v>16.737400999999998</x:v>
      </x:c>
      <x:c r="O192">
        <x:f ca="1">IF(AND($B$1012=1,LEN($O$1197)&gt;0),$O$1197,HLOOKUP(INDIRECT(ADDRESS(2,COLUMN())),OFFSET($T$2,0,0,ROW()-1,14),ROW()-1,FALSE))</x:f>
        <x:v>0</x:v>
      </x:c>
      <x:c r="P192">
        <x:f ca="1">IF(AND($B$1012=1,LEN($P$1197)&gt;0),$P$1197,HLOOKUP(INDIRECT(ADDRESS(2,COLUMN())),OFFSET($T$2,0,0,ROW()-1,14),ROW()-1,FALSE))</x:f>
        <x:v>0</x:v>
      </x:c>
      <x:c r="Q192">
        <x:f ca="1">IF(AND($B$1012=1,LEN($Q$1197)&gt;0),$Q$1197,HLOOKUP(INDIRECT(ADDRESS(2,COLUMN())),OFFSET($T$2,0,0,ROW()-1,14),ROW()-1,FALSE))</x:f>
        <x:v>0</x:v>
      </x:c>
      <x:c r="R192">
        <x:f ca="1">IF(AND($B$1012=1,LEN($R$1197)&gt;0),$R$1197,HLOOKUP(INDIRECT(ADDRESS(2,COLUMN())),OFFSET($T$2,0,0,ROW()-1,14),ROW()-1,FALSE))</x:f>
        <x:v>0</x:v>
      </x:c>
      <x:c r="S192">
        <x:f ca="1">IF(AND($B$1012=1,LEN($S$1197)&gt;0),$S$1197,HLOOKUP(INDIRECT(ADDRESS(2,COLUMN())),OFFSET($T$2,0,0,ROW()-1,14),ROW()-1,FALSE))</x:f>
        <x:v>0</x:v>
      </x:c>
      <x:c r="T192">
        <x:f>0</x:f>
        <x:v>0</x:v>
      </x:c>
      <x:c r="U192">
        <x:f>0</x:f>
        <x:v>0</x:v>
      </x:c>
      <x:c r="V192">
        <x:f>0</x:f>
        <x:v>0</x:v>
      </x:c>
      <x:c r="W192">
        <x:f>0</x:f>
        <x:v>0</x:v>
      </x:c>
      <x:c r="X192">
        <x:f>0</x:f>
        <x:v>0</x:v>
      </x:c>
      <x:c r="Y192">
        <x:f>0</x:f>
        <x:v>0</x:v>
      </x:c>
      <x:c r="Z192">
        <x:f>0</x:f>
        <x:v>0</x:v>
      </x:c>
      <x:c r="AA192">
        <x:f>0</x:f>
        <x:v>0</x:v>
      </x:c>
      <x:c r="AB192">
        <x:f>16.737401</x:f>
        <x:v>16.737400999999998</x:v>
      </x:c>
      <x:c r="AC192">
        <x:f>0</x:f>
        <x:v>0</x:v>
      </x:c>
      <x:c r="AD192">
        <x:f>0</x:f>
        <x:v>0</x:v>
      </x:c>
      <x:c r="AE192">
        <x:f>0</x:f>
        <x:v>0</x:v>
      </x:c>
      <x:c r="AF192">
        <x:f>0</x:f>
        <x:v>0</x:v>
      </x:c>
      <x:c r="AG192">
        <x:f>0</x:f>
        <x:v>0</x:v>
      </x:c>
    </x:row>
    <x:row r="193" spans="1:33" x14ac:dyDescent="0.25">
      <x:c r="A193" t="str">
        <x:f>"        MicroSectors Oil &amp; Gas Explora"</x:f>
        <x:v xml:space="preserve">        MicroSectors Oil &amp; Gas Explora</x:v>
      </x:c>
      <x:c r="B193" t="str">
        <x:f>"OILD US Equity"</x:f>
        <x:v>OILD US Equity</x:v>
      </x:c>
      <x:c r="E193" t="str">
        <x:f t="shared" si="5"/>
        <x:v>Expression</x:v>
      </x:c>
      <x:c r="F193">
        <x:f ca="1">IF(AND($B$1012=1,LEN($F$1198)&gt;0),$F$1198,HLOOKUP(INDIRECT(ADDRESS(2,COLUMN())),OFFSET($T$2,0,0,ROW()-1,14),ROW()-1,FALSE))</x:f>
        <x:v>0</x:v>
      </x:c>
      <x:c r="G193">
        <x:f ca="1">IF(AND($B$1012=1,LEN($G$1198)&gt;0),$G$1198,HLOOKUP(INDIRECT(ADDRESS(2,COLUMN())),OFFSET($T$2,0,0,ROW()-1,14),ROW()-1,FALSE))</x:f>
        <x:v>0</x:v>
      </x:c>
      <x:c r="H193">
        <x:f ca="1">IF(AND($B$1012=1,LEN($H$1198)&gt;0),$H$1198,HLOOKUP(INDIRECT(ADDRESS(2,COLUMN())),OFFSET($T$2,0,0,ROW()-1,14),ROW()-1,FALSE))</x:f>
        <x:v>0</x:v>
      </x:c>
      <x:c r="I193">
        <x:f ca="1">IF(AND($B$1012=1,LEN($I$1198)&gt;0),$I$1198,HLOOKUP(INDIRECT(ADDRESS(2,COLUMN())),OFFSET($T$2,0,0,ROW()-1,14),ROW()-1,FALSE))</x:f>
        <x:v>0</x:v>
      </x:c>
      <x:c r="J193">
        <x:f ca="1">IF(AND($B$1012=1,LEN($J$1198)&gt;0),$J$1198,HLOOKUP(INDIRECT(ADDRESS(2,COLUMN())),OFFSET($T$2,0,0,ROW()-1,14),ROW()-1,FALSE))</x:f>
        <x:v>0</x:v>
      </x:c>
      <x:c r="K193">
        <x:f ca="1">IF(AND($B$1012=1,LEN($K$1198)&gt;0),$K$1198,HLOOKUP(INDIRECT(ADDRESS(2,COLUMN())),OFFSET($T$2,0,0,ROW()-1,14),ROW()-1,FALSE))</x:f>
        <x:v>0</x:v>
      </x:c>
      <x:c r="L193">
        <x:f ca="1">IF(AND($B$1012=1,LEN($L$1198)&gt;0),$L$1198,HLOOKUP(INDIRECT(ADDRESS(2,COLUMN())),OFFSET($T$2,0,0,ROW()-1,14),ROW()-1,FALSE))</x:f>
        <x:v>0</x:v>
      </x:c>
      <x:c r="M193">
        <x:f ca="1">IF(AND($B$1012=1,LEN($M$1198)&gt;0),$M$1198,HLOOKUP(INDIRECT(ADDRESS(2,COLUMN())),OFFSET($T$2,0,0,ROW()-1,14),ROW()-1,FALSE))</x:f>
        <x:v>0</x:v>
      </x:c>
      <x:c r="N193">
        <x:f ca="1">IF(AND($B$1012=1,LEN($N$1198)&gt;0),$N$1198,HLOOKUP(INDIRECT(ADDRESS(2,COLUMN())),OFFSET($T$2,0,0,ROW()-1,14),ROW()-1,FALSE))</x:f>
        <x:v>0</x:v>
      </x:c>
      <x:c r="O193">
        <x:f ca="1">IF(AND($B$1012=1,LEN($O$1198)&gt;0),$O$1198,HLOOKUP(INDIRECT(ADDRESS(2,COLUMN())),OFFSET($T$2,0,0,ROW()-1,14),ROW()-1,FALSE))</x:f>
        <x:v>0</x:v>
      </x:c>
      <x:c r="P193">
        <x:f ca="1">IF(AND($B$1012=1,LEN($P$1198)&gt;0),$P$1198,HLOOKUP(INDIRECT(ADDRESS(2,COLUMN())),OFFSET($T$2,0,0,ROW()-1,14),ROW()-1,FALSE))</x:f>
        <x:v>0</x:v>
      </x:c>
      <x:c r="Q193">
        <x:f ca="1">IF(AND($B$1012=1,LEN($Q$1198)&gt;0),$Q$1198,HLOOKUP(INDIRECT(ADDRESS(2,COLUMN())),OFFSET($T$2,0,0,ROW()-1,14),ROW()-1,FALSE))</x:f>
        <x:v>0</x:v>
      </x:c>
      <x:c r="R193">
        <x:f ca="1">IF(AND($B$1012=1,LEN($R$1198)&gt;0),$R$1198,HLOOKUP(INDIRECT(ADDRESS(2,COLUMN())),OFFSET($T$2,0,0,ROW()-1,14),ROW()-1,FALSE))</x:f>
        <x:v>5.8232609999999996</x:v>
      </x:c>
      <x:c r="S193">
        <x:f ca="1">IF(AND($B$1012=1,LEN($S$1198)&gt;0),$S$1198,HLOOKUP(INDIRECT(ADDRESS(2,COLUMN())),OFFSET($T$2,0,0,ROW()-1,14),ROW()-1,FALSE))</x:f>
        <x:v>9.8072649999999992</x:v>
      </x:c>
      <x:c r="T193">
        <x:f>0</x:f>
        <x:v>0</x:v>
      </x:c>
      <x:c r="U193">
        <x:f>0</x:f>
        <x:v>0</x:v>
      </x:c>
      <x:c r="V193">
        <x:f>0</x:f>
        <x:v>0</x:v>
      </x:c>
      <x:c r="W193">
        <x:f>0</x:f>
        <x:v>0</x:v>
      </x:c>
      <x:c r="X193">
        <x:f>0</x:f>
        <x:v>0</x:v>
      </x:c>
      <x:c r="Y193">
        <x:f>0</x:f>
        <x:v>0</x:v>
      </x:c>
      <x:c r="Z193">
        <x:f>0</x:f>
        <x:v>0</x:v>
      </x:c>
      <x:c r="AA193">
        <x:f>0</x:f>
        <x:v>0</x:v>
      </x:c>
      <x:c r="AB193">
        <x:f>0</x:f>
        <x:v>0</x:v>
      </x:c>
      <x:c r="AC193">
        <x:f>0</x:f>
        <x:v>0</x:v>
      </x:c>
      <x:c r="AD193">
        <x:f>0</x:f>
        <x:v>0</x:v>
      </x:c>
      <x:c r="AE193">
        <x:f>0</x:f>
        <x:v>0</x:v>
      </x:c>
      <x:c r="AF193">
        <x:f>5.823261</x:f>
        <x:v>5.8232609999999996</x:v>
      </x:c>
      <x:c r="AG193">
        <x:f>9.807265</x:f>
        <x:v>9.8072649999999992</x:v>
      </x:c>
    </x:row>
    <x:row r="194" spans="1:33" x14ac:dyDescent="0.25">
      <x:c r="A194" t="str">
        <x:f>"        USCF Midstream Energy Income F"</x:f>
        <x:v xml:space="preserve">        USCF Midstream Energy Income F</x:v>
      </x:c>
      <x:c r="B194" t="str">
        <x:f>"UMI US Equity"</x:f>
        <x:v>UMI US Equity</x:v>
      </x:c>
      <x:c r="E194" t="str">
        <x:f t="shared" ref="E194:E204" si="6">"Expression"</x:f>
        <x:v>Expression</x:v>
      </x:c>
      <x:c r="F194">
        <x:f ca="1">IF(AND($B$1012=1,LEN($F$1199)&gt;0),$F$1199,HLOOKUP(INDIRECT(ADDRESS(2,COLUMN())),OFFSET($T$2,0,0,ROW()-1,14),ROW()-1,FALSE))</x:f>
        <x:v>0</x:v>
      </x:c>
      <x:c r="G194">
        <x:f ca="1">IF(AND($B$1012=1,LEN($G$1199)&gt;0),$G$1199,HLOOKUP(INDIRECT(ADDRESS(2,COLUMN())),OFFSET($T$2,0,0,ROW()-1,14),ROW()-1,FALSE))</x:f>
        <x:v>0</x:v>
      </x:c>
      <x:c r="H194">
        <x:f ca="1">IF(AND($B$1012=1,LEN($H$1199)&gt;0),$H$1199,HLOOKUP(INDIRECT(ADDRESS(2,COLUMN())),OFFSET($T$2,0,0,ROW()-1,14),ROW()-1,FALSE))</x:f>
        <x:v>3.5590799999999998</x:v>
      </x:c>
      <x:c r="I194">
        <x:f ca="1">IF(AND($B$1012=1,LEN($I$1199)&gt;0),$I$1199,HLOOKUP(INDIRECT(ADDRESS(2,COLUMN())),OFFSET($T$2,0,0,ROW()-1,14),ROW()-1,FALSE))</x:f>
        <x:v>0</x:v>
      </x:c>
      <x:c r="J194">
        <x:f ca="1">IF(AND($B$1012=1,LEN($J$1199)&gt;0),$J$1199,HLOOKUP(INDIRECT(ADDRESS(2,COLUMN())),OFFSET($T$2,0,0,ROW()-1,14),ROW()-1,FALSE))</x:f>
        <x:v>1.7715129999999999</x:v>
      </x:c>
      <x:c r="K194">
        <x:f ca="1">IF(AND($B$1012=1,LEN($K$1199)&gt;0),$K$1199,HLOOKUP(INDIRECT(ADDRESS(2,COLUMN())),OFFSET($T$2,0,0,ROW()-1,14),ROW()-1,FALSE))</x:f>
        <x:v>1.6978660000000001</x:v>
      </x:c>
      <x:c r="L194">
        <x:f ca="1">IF(AND($B$1012=1,LEN($L$1199)&gt;0),$L$1199,HLOOKUP(INDIRECT(ADDRESS(2,COLUMN())),OFFSET($T$2,0,0,ROW()-1,14),ROW()-1,FALSE))</x:f>
        <x:v>1.6244909999999999</x:v>
      </x:c>
      <x:c r="M194">
        <x:f ca="1">IF(AND($B$1012=1,LEN($M$1199)&gt;0),$M$1199,HLOOKUP(INDIRECT(ADDRESS(2,COLUMN())),OFFSET($T$2,0,0,ROW()-1,14),ROW()-1,FALSE))</x:f>
        <x:v>0</x:v>
      </x:c>
      <x:c r="N194">
        <x:f ca="1">IF(AND($B$1012=1,LEN($N$1199)&gt;0),$N$1199,HLOOKUP(INDIRECT(ADDRESS(2,COLUMN())),OFFSET($T$2,0,0,ROW()-1,14),ROW()-1,FALSE))</x:f>
        <x:v>4.9385940000000002</x:v>
      </x:c>
      <x:c r="O194">
        <x:f ca="1">IF(AND($B$1012=1,LEN($O$1199)&gt;0),$O$1199,HLOOKUP(INDIRECT(ADDRESS(2,COLUMN())),OFFSET($T$2,0,0,ROW()-1,14),ROW()-1,FALSE))</x:f>
        <x:v>8.5311070000000004</x:v>
      </x:c>
      <x:c r="P194">
        <x:f ca="1">IF(AND($B$1012=1,LEN($P$1199)&gt;0),$P$1199,HLOOKUP(INDIRECT(ADDRESS(2,COLUMN())),OFFSET($T$2,0,0,ROW()-1,14),ROW()-1,FALSE))</x:f>
        <x:v>3.5003540000000002</x:v>
      </x:c>
      <x:c r="Q194">
        <x:f ca="1">IF(AND($B$1012=1,LEN($Q$1199)&gt;0),$Q$1199,HLOOKUP(INDIRECT(ADDRESS(2,COLUMN())),OFFSET($T$2,0,0,ROW()-1,14),ROW()-1,FALSE))</x:f>
        <x:v>1.65028</x:v>
      </x:c>
      <x:c r="R194">
        <x:f ca="1">IF(AND($B$1012=1,LEN($R$1199)&gt;0),$R$1199,HLOOKUP(INDIRECT(ADDRESS(2,COLUMN())),OFFSET($T$2,0,0,ROW()-1,14),ROW()-1,FALSE))</x:f>
        <x:v>5.3186159999999996</x:v>
      </x:c>
      <x:c r="S194">
        <x:f ca="1">IF(AND($B$1012=1,LEN($S$1199)&gt;0),$S$1199,HLOOKUP(INDIRECT(ADDRESS(2,COLUMN())),OFFSET($T$2,0,0,ROW()-1,14),ROW()-1,FALSE))</x:f>
        <x:v>3.266635</x:v>
      </x:c>
      <x:c r="T194">
        <x:f>0</x:f>
        <x:v>0</x:v>
      </x:c>
      <x:c r="U194">
        <x:f>0</x:f>
        <x:v>0</x:v>
      </x:c>
      <x:c r="V194">
        <x:f>3.55908</x:f>
        <x:v>3.5590799999999998</x:v>
      </x:c>
      <x:c r="W194">
        <x:f>0</x:f>
        <x:v>0</x:v>
      </x:c>
      <x:c r="X194">
        <x:f>1.771513</x:f>
        <x:v>1.7715129999999999</x:v>
      </x:c>
      <x:c r="Y194">
        <x:f>1.697866</x:f>
        <x:v>1.6978660000000001</x:v>
      </x:c>
      <x:c r="Z194">
        <x:f>1.624491</x:f>
        <x:v>1.6244909999999999</x:v>
      </x:c>
      <x:c r="AA194">
        <x:f>0</x:f>
        <x:v>0</x:v>
      </x:c>
      <x:c r="AB194">
        <x:f>4.938594</x:f>
        <x:v>4.9385940000000002</x:v>
      </x:c>
      <x:c r="AC194">
        <x:f>8.531107</x:f>
        <x:v>8.5311070000000004</x:v>
      </x:c>
      <x:c r="AD194">
        <x:f>3.500354</x:f>
        <x:v>3.5003540000000002</x:v>
      </x:c>
      <x:c r="AE194">
        <x:f>1.65028</x:f>
        <x:v>1.65028</x:v>
      </x:c>
      <x:c r="AF194">
        <x:f>5.318616</x:f>
        <x:v>5.3186159999999996</x:v>
      </x:c>
      <x:c r="AG194">
        <x:f>3.266635</x:f>
        <x:v>3.266635</x:v>
      </x:c>
    </x:row>
    <x:row r="195" spans="1:33" x14ac:dyDescent="0.25">
      <x:c r="A195" t="str">
        <x:f>"        Direxion Daily Oil Services Bu"</x:f>
        <x:v xml:space="preserve">        Direxion Daily Oil Services Bu</x:v>
      </x:c>
      <x:c r="B195" t="str">
        <x:f>"ONG US Equity"</x:f>
        <x:v>ONG US Equity</x:v>
      </x:c>
      <x:c r="E195" t="str">
        <x:f t="shared" si="6"/>
        <x:v>Expression</x:v>
      </x:c>
      <x:c r="F195" t="str">
        <x:f ca="1">IF(AND($B$1012=1,LEN($F$1200)&gt;0),$F$1200,HLOOKUP(INDIRECT(ADDRESS(2,COLUMN())),OFFSET($T$2,0,0,ROW()-1,14),ROW()-1,FALSE))</x:f>
        <x:v/>
      </x:c>
      <x:c r="G195" t="str">
        <x:f ca="1">IF(AND($B$1012=1,LEN($G$1200)&gt;0),$G$1200,HLOOKUP(INDIRECT(ADDRESS(2,COLUMN())),OFFSET($T$2,0,0,ROW()-1,14),ROW()-1,FALSE))</x:f>
        <x:v/>
      </x:c>
      <x:c r="H195" t="str">
        <x:f ca="1">IF(AND($B$1012=1,LEN($H$1200)&gt;0),$H$1200,HLOOKUP(INDIRECT(ADDRESS(2,COLUMN())),OFFSET($T$2,0,0,ROW()-1,14),ROW()-1,FALSE))</x:f>
        <x:v/>
      </x:c>
      <x:c r="I195" t="str">
        <x:f ca="1">IF(AND($B$1012=1,LEN($I$1200)&gt;0),$I$1200,HLOOKUP(INDIRECT(ADDRESS(2,COLUMN())),OFFSET($T$2,0,0,ROW()-1,14),ROW()-1,FALSE))</x:f>
        <x:v/>
      </x:c>
      <x:c r="J195" t="str">
        <x:f ca="1">IF(AND($B$1012=1,LEN($J$1200)&gt;0),$J$1200,HLOOKUP(INDIRECT(ADDRESS(2,COLUMN())),OFFSET($T$2,0,0,ROW()-1,14),ROW()-1,FALSE))</x:f>
        <x:v/>
      </x:c>
      <x:c r="K195" t="str">
        <x:f ca="1">IF(AND($B$1012=1,LEN($K$1200)&gt;0),$K$1200,HLOOKUP(INDIRECT(ADDRESS(2,COLUMN())),OFFSET($T$2,0,0,ROW()-1,14),ROW()-1,FALSE))</x:f>
        <x:v/>
      </x:c>
      <x:c r="L195" t="str">
        <x:f ca="1">IF(AND($B$1012=1,LEN($L$1200)&gt;0),$L$1200,HLOOKUP(INDIRECT(ADDRESS(2,COLUMN())),OFFSET($T$2,0,0,ROW()-1,14),ROW()-1,FALSE))</x:f>
        <x:v/>
      </x:c>
      <x:c r="M195">
        <x:f ca="1">IF(AND($B$1012=1,LEN($M$1200)&gt;0),$M$1200,HLOOKUP(INDIRECT(ADDRESS(2,COLUMN())),OFFSET($T$2,0,0,ROW()-1,14),ROW()-1,FALSE))</x:f>
        <x:v>-1.5657589999999999</x:v>
      </x:c>
      <x:c r="N195">
        <x:f ca="1">IF(AND($B$1012=1,LEN($N$1200)&gt;0),$N$1200,HLOOKUP(INDIRECT(ADDRESS(2,COLUMN())),OFFSET($T$2,0,0,ROW()-1,14),ROW()-1,FALSE))</x:f>
        <x:v>0</x:v>
      </x:c>
      <x:c r="O195">
        <x:f ca="1">IF(AND($B$1012=1,LEN($O$1200)&gt;0),$O$1200,HLOOKUP(INDIRECT(ADDRESS(2,COLUMN())),OFFSET($T$2,0,0,ROW()-1,14),ROW()-1,FALSE))</x:f>
        <x:v>0</x:v>
      </x:c>
      <x:c r="P195">
        <x:f ca="1">IF(AND($B$1012=1,LEN($P$1200)&gt;0),$P$1200,HLOOKUP(INDIRECT(ADDRESS(2,COLUMN())),OFFSET($T$2,0,0,ROW()-1,14),ROW()-1,FALSE))</x:f>
        <x:v>0</x:v>
      </x:c>
      <x:c r="Q195">
        <x:f ca="1">IF(AND($B$1012=1,LEN($Q$1200)&gt;0),$Q$1200,HLOOKUP(INDIRECT(ADDRESS(2,COLUMN())),OFFSET($T$2,0,0,ROW()-1,14),ROW()-1,FALSE))</x:f>
        <x:v>-1.6810579999999999</x:v>
      </x:c>
      <x:c r="R195">
        <x:f ca="1">IF(AND($B$1012=1,LEN($R$1200)&gt;0),$R$1200,HLOOKUP(INDIRECT(ADDRESS(2,COLUMN())),OFFSET($T$2,0,0,ROW()-1,14),ROW()-1,FALSE))</x:f>
        <x:v>-3.7538179999999999</x:v>
      </x:c>
      <x:c r="S195">
        <x:f ca="1">IF(AND($B$1012=1,LEN($S$1200)&gt;0),$S$1200,HLOOKUP(INDIRECT(ADDRESS(2,COLUMN())),OFFSET($T$2,0,0,ROW()-1,14),ROW()-1,FALSE))</x:f>
        <x:v>1.7681359999999999</x:v>
      </x:c>
      <x:c r="T195" t="str">
        <x:f>""</x:f>
        <x:v/>
      </x:c>
      <x:c r="U195" t="str">
        <x:f>""</x:f>
        <x:v/>
      </x:c>
      <x:c r="V195" t="str">
        <x:f>""</x:f>
        <x:v/>
      </x:c>
      <x:c r="W195" t="str">
        <x:f>""</x:f>
        <x:v/>
      </x:c>
      <x:c r="X195" t="str">
        <x:f>""</x:f>
        <x:v/>
      </x:c>
      <x:c r="Y195" t="str">
        <x:f>""</x:f>
        <x:v/>
      </x:c>
      <x:c r="Z195" t="str">
        <x:f>""</x:f>
        <x:v/>
      </x:c>
      <x:c r="AA195">
        <x:f>-1.565759</x:f>
        <x:v>-1.5657589999999999</x:v>
      </x:c>
      <x:c r="AB195">
        <x:f>0</x:f>
        <x:v>0</x:v>
      </x:c>
      <x:c r="AC195">
        <x:f>0</x:f>
        <x:v>0</x:v>
      </x:c>
      <x:c r="AD195">
        <x:f>0</x:f>
        <x:v>0</x:v>
      </x:c>
      <x:c r="AE195">
        <x:f>-1.681058</x:f>
        <x:v>-1.6810579999999999</x:v>
      </x:c>
      <x:c r="AF195">
        <x:f>-3.753818</x:f>
        <x:v>-3.7538179999999999</x:v>
      </x:c>
      <x:c r="AG195">
        <x:f>1.768136</x:f>
        <x:v>1.7681359999999999</x:v>
      </x:c>
    </x:row>
    <x:row r="196" spans="1:33" x14ac:dyDescent="0.25">
      <x:c r="A196" t="str">
        <x:f>"        Subversive Decarbonization ETF"</x:f>
        <x:v xml:space="preserve">        Subversive Decarbonization ETF</x:v>
      </x:c>
      <x:c r="B196" t="str">
        <x:f>"DKRB US Equity"</x:f>
        <x:v>DKRB US Equity</x:v>
      </x:c>
      <x:c r="E196" t="str">
        <x:f t="shared" si="6"/>
        <x:v>Expression</x:v>
      </x:c>
      <x:c r="F196">
        <x:f ca="1">IF(AND($B$1012=1,LEN($F$1201)&gt;0),$F$1201,HLOOKUP(INDIRECT(ADDRESS(2,COLUMN())),OFFSET($T$2,0,0,ROW()-1,14),ROW()-1,FALSE))</x:f>
        <x:v>0</x:v>
      </x:c>
      <x:c r="G196">
        <x:f ca="1">IF(AND($B$1012=1,LEN($G$1201)&gt;0),$G$1201,HLOOKUP(INDIRECT(ADDRESS(2,COLUMN())),OFFSET($T$2,0,0,ROW()-1,14),ROW()-1,FALSE))</x:f>
        <x:v>0</x:v>
      </x:c>
      <x:c r="H196">
        <x:f ca="1">IF(AND($B$1012=1,LEN($H$1201)&gt;0),$H$1201,HLOOKUP(INDIRECT(ADDRESS(2,COLUMN())),OFFSET($T$2,0,0,ROW()-1,14),ROW()-1,FALSE))</x:f>
        <x:v>0</x:v>
      </x:c>
      <x:c r="I196">
        <x:f ca="1">IF(AND($B$1012=1,LEN($I$1201)&gt;0),$I$1201,HLOOKUP(INDIRECT(ADDRESS(2,COLUMN())),OFFSET($T$2,0,0,ROW()-1,14),ROW()-1,FALSE))</x:f>
        <x:v>0</x:v>
      </x:c>
      <x:c r="J196">
        <x:f ca="1">IF(AND($B$1012=1,LEN($J$1201)&gt;0),$J$1201,HLOOKUP(INDIRECT(ADDRESS(2,COLUMN())),OFFSET($T$2,0,0,ROW()-1,14),ROW()-1,FALSE))</x:f>
        <x:v>0</x:v>
      </x:c>
      <x:c r="K196">
        <x:f ca="1">IF(AND($B$1012=1,LEN($K$1201)&gt;0),$K$1201,HLOOKUP(INDIRECT(ADDRESS(2,COLUMN())),OFFSET($T$2,0,0,ROW()-1,14),ROW()-1,FALSE))</x:f>
        <x:v>0</x:v>
      </x:c>
      <x:c r="L196">
        <x:f ca="1">IF(AND($B$1012=1,LEN($L$1201)&gt;0),$L$1201,HLOOKUP(INDIRECT(ADDRESS(2,COLUMN())),OFFSET($T$2,0,0,ROW()-1,14),ROW()-1,FALSE))</x:f>
        <x:v>0</x:v>
      </x:c>
      <x:c r="M196">
        <x:f ca="1">IF(AND($B$1012=1,LEN($M$1201)&gt;0),$M$1201,HLOOKUP(INDIRECT(ADDRESS(2,COLUMN())),OFFSET($T$2,0,0,ROW()-1,14),ROW()-1,FALSE))</x:f>
        <x:v>0</x:v>
      </x:c>
      <x:c r="N196">
        <x:f ca="1">IF(AND($B$1012=1,LEN($N$1201)&gt;0),$N$1201,HLOOKUP(INDIRECT(ADDRESS(2,COLUMN())),OFFSET($T$2,0,0,ROW()-1,14),ROW()-1,FALSE))</x:f>
        <x:v>0</x:v>
      </x:c>
      <x:c r="O196">
        <x:f ca="1">IF(AND($B$1012=1,LEN($O$1201)&gt;0),$O$1201,HLOOKUP(INDIRECT(ADDRESS(2,COLUMN())),OFFSET($T$2,0,0,ROW()-1,14),ROW()-1,FALSE))</x:f>
        <x:v>0</x:v>
      </x:c>
      <x:c r="P196">
        <x:f ca="1">IF(AND($B$1012=1,LEN($P$1201)&gt;0),$P$1201,HLOOKUP(INDIRECT(ADDRESS(2,COLUMN())),OFFSET($T$2,0,0,ROW()-1,14),ROW()-1,FALSE))</x:f>
        <x:v>0</x:v>
      </x:c>
      <x:c r="Q196">
        <x:f ca="1">IF(AND($B$1012=1,LEN($Q$1201)&gt;0),$Q$1201,HLOOKUP(INDIRECT(ADDRESS(2,COLUMN())),OFFSET($T$2,0,0,ROW()-1,14),ROW()-1,FALSE))</x:f>
        <x:v>0.61539299999999997</x:v>
      </x:c>
      <x:c r="R196" t="str">
        <x:f ca="1">IF(AND($B$1012=1,LEN($R$1201)&gt;0),$R$1201,HLOOKUP(INDIRECT(ADDRESS(2,COLUMN())),OFFSET($T$2,0,0,ROW()-1,14),ROW()-1,FALSE))</x:f>
        <x:v/>
      </x:c>
      <x:c r="S196" t="str">
        <x:f ca="1">IF(AND($B$1012=1,LEN($S$1201)&gt;0),$S$1201,HLOOKUP(INDIRECT(ADDRESS(2,COLUMN())),OFFSET($T$2,0,0,ROW()-1,14),ROW()-1,FALSE))</x:f>
        <x:v/>
      </x:c>
      <x:c r="T196">
        <x:f>0</x:f>
        <x:v>0</x:v>
      </x:c>
      <x:c r="U196">
        <x:f>0</x:f>
        <x:v>0</x:v>
      </x:c>
      <x:c r="V196">
        <x:f>0</x:f>
        <x:v>0</x:v>
      </x:c>
      <x:c r="W196">
        <x:f>0</x:f>
        <x:v>0</x:v>
      </x:c>
      <x:c r="X196">
        <x:f>0</x:f>
        <x:v>0</x:v>
      </x:c>
      <x:c r="Y196">
        <x:f>0</x:f>
        <x:v>0</x:v>
      </x:c>
      <x:c r="Z196">
        <x:f>0</x:f>
        <x:v>0</x:v>
      </x:c>
      <x:c r="AA196">
        <x:f>0</x:f>
        <x:v>0</x:v>
      </x:c>
      <x:c r="AB196">
        <x:f>0</x:f>
        <x:v>0</x:v>
      </x:c>
      <x:c r="AC196">
        <x:f>0</x:f>
        <x:v>0</x:v>
      </x:c>
      <x:c r="AD196">
        <x:f>0</x:f>
        <x:v>0</x:v>
      </x:c>
      <x:c r="AE196">
        <x:f>0.615393</x:f>
        <x:v>0.61539299999999997</x:v>
      </x:c>
      <x:c r="AF196" t="str">
        <x:f>""</x:f>
        <x:v/>
      </x:c>
      <x:c r="AG196" t="str">
        <x:f>""</x:f>
        <x:v/>
      </x:c>
    </x:row>
    <x:row r="197" spans="1:33" x14ac:dyDescent="0.25">
      <x:c r="A197" t="str">
        <x:f>"        Strive US Energy ETF"</x:f>
        <x:v xml:space="preserve">        Strive US Energy ETF</x:v>
      </x:c>
      <x:c r="B197" t="str">
        <x:f>"DRLL US Equity"</x:f>
        <x:v>DRLL US Equity</x:v>
      </x:c>
      <x:c r="E197" t="str">
        <x:f t="shared" si="6"/>
        <x:v>Expression</x:v>
      </x:c>
      <x:c r="F197">
        <x:f ca="1">IF(AND($B$1012=1,LEN($F$1202)&gt;0),$F$1202,HLOOKUP(INDIRECT(ADDRESS(2,COLUMN())),OFFSET($T$2,0,0,ROW()-1,14),ROW()-1,FALSE))</x:f>
        <x:v>-2.8416109999999999</x:v>
      </x:c>
      <x:c r="G197">
        <x:f ca="1">IF(AND($B$1012=1,LEN($G$1202)&gt;0),$G$1202,HLOOKUP(INDIRECT(ADDRESS(2,COLUMN())),OFFSET($T$2,0,0,ROW()-1,14),ROW()-1,FALSE))</x:f>
        <x:v>-2.5282360000000001</x:v>
      </x:c>
      <x:c r="H197">
        <x:f ca="1">IF(AND($B$1012=1,LEN($H$1202)&gt;0),$H$1202,HLOOKUP(INDIRECT(ADDRESS(2,COLUMN())),OFFSET($T$2,0,0,ROW()-1,14),ROW()-1,FALSE))</x:f>
        <x:v>-1.817682</x:v>
      </x:c>
      <x:c r="I197">
        <x:f ca="1">IF(AND($B$1012=1,LEN($I$1202)&gt;0),$I$1202,HLOOKUP(INDIRECT(ADDRESS(2,COLUMN())),OFFSET($T$2,0,0,ROW()-1,14),ROW()-1,FALSE))</x:f>
        <x:v>-1.7493030000000001</x:v>
      </x:c>
      <x:c r="J197">
        <x:f ca="1">IF(AND($B$1012=1,LEN($J$1202)&gt;0),$J$1202,HLOOKUP(INDIRECT(ADDRESS(2,COLUMN())),OFFSET($T$2,0,0,ROW()-1,14),ROW()-1,FALSE))</x:f>
        <x:v>-2.780888</x:v>
      </x:c>
      <x:c r="K197">
        <x:f ca="1">IF(AND($B$1012=1,LEN($K$1202)&gt;0),$K$1202,HLOOKUP(INDIRECT(ADDRESS(2,COLUMN())),OFFSET($T$2,0,0,ROW()-1,14),ROW()-1,FALSE))</x:f>
        <x:v>-1.0912520000000001</x:v>
      </x:c>
      <x:c r="L197">
        <x:f ca="1">IF(AND($B$1012=1,LEN($L$1202)&gt;0),$L$1202,HLOOKUP(INDIRECT(ADDRESS(2,COLUMN())),OFFSET($T$2,0,0,ROW()-1,14),ROW()-1,FALSE))</x:f>
        <x:v>0.53731200000000001</x:v>
      </x:c>
      <x:c r="M197">
        <x:f ca="1">IF(AND($B$1012=1,LEN($M$1202)&gt;0),$M$1202,HLOOKUP(INDIRECT(ADDRESS(2,COLUMN())),OFFSET($T$2,0,0,ROW()-1,14),ROW()-1,FALSE))</x:f>
        <x:v>0.284329</x:v>
      </x:c>
      <x:c r="N197">
        <x:f ca="1">IF(AND($B$1012=1,LEN($N$1202)&gt;0),$N$1202,HLOOKUP(INDIRECT(ADDRESS(2,COLUMN())),OFFSET($T$2,0,0,ROW()-1,14),ROW()-1,FALSE))</x:f>
        <x:v>1.411287</x:v>
      </x:c>
      <x:c r="O197">
        <x:f ca="1">IF(AND($B$1012=1,LEN($O$1202)&gt;0),$O$1202,HLOOKUP(INDIRECT(ADDRESS(2,COLUMN())),OFFSET($T$2,0,0,ROW()-1,14),ROW()-1,FALSE))</x:f>
        <x:v>-30.816946999999999</x:v>
      </x:c>
      <x:c r="P197">
        <x:f ca="1">IF(AND($B$1012=1,LEN($P$1202)&gt;0),$P$1202,HLOOKUP(INDIRECT(ADDRESS(2,COLUMN())),OFFSET($T$2,0,0,ROW()-1,14),ROW()-1,FALSE))</x:f>
        <x:v>4.5309169999999996</x:v>
      </x:c>
      <x:c r="Q197">
        <x:f ca="1">IF(AND($B$1012=1,LEN($Q$1202)&gt;0),$Q$1202,HLOOKUP(INDIRECT(ADDRESS(2,COLUMN())),OFFSET($T$2,0,0,ROW()-1,14),ROW()-1,FALSE))</x:f>
        <x:v>-3.4870570000000001</x:v>
      </x:c>
      <x:c r="R197">
        <x:f ca="1">IF(AND($B$1012=1,LEN($R$1202)&gt;0),$R$1202,HLOOKUP(INDIRECT(ADDRESS(2,COLUMN())),OFFSET($T$2,0,0,ROW()-1,14),ROW()-1,FALSE))</x:f>
        <x:v>24.571638</x:v>
      </x:c>
      <x:c r="S197">
        <x:f ca="1">IF(AND($B$1012=1,LEN($S$1202)&gt;0),$S$1202,HLOOKUP(INDIRECT(ADDRESS(2,COLUMN())),OFFSET($T$2,0,0,ROW()-1,14),ROW()-1,FALSE))</x:f>
        <x:v>31.128788</x:v>
      </x:c>
      <x:c r="T197">
        <x:f>-2.841611</x:f>
        <x:v>-2.8416109999999999</x:v>
      </x:c>
      <x:c r="U197">
        <x:f>-2.528236</x:f>
        <x:v>-2.5282360000000001</x:v>
      </x:c>
      <x:c r="V197">
        <x:f>-1.817682</x:f>
        <x:v>-1.817682</x:v>
      </x:c>
      <x:c r="W197">
        <x:f>-1.749303</x:f>
        <x:v>-1.7493030000000001</x:v>
      </x:c>
      <x:c r="X197">
        <x:f>-2.780888</x:f>
        <x:v>-2.780888</x:v>
      </x:c>
      <x:c r="Y197">
        <x:f>-1.091252</x:f>
        <x:v>-1.0912520000000001</x:v>
      </x:c>
      <x:c r="Z197">
        <x:f>0.537312</x:f>
        <x:v>0.53731200000000001</x:v>
      </x:c>
      <x:c r="AA197">
        <x:f>0.284329</x:f>
        <x:v>0.284329</x:v>
      </x:c>
      <x:c r="AB197">
        <x:f>1.411287</x:f>
        <x:v>1.411287</x:v>
      </x:c>
      <x:c r="AC197">
        <x:f>-30.816947</x:f>
        <x:v>-30.816946999999999</x:v>
      </x:c>
      <x:c r="AD197">
        <x:f>4.530917</x:f>
        <x:v>4.5309169999999996</x:v>
      </x:c>
      <x:c r="AE197">
        <x:f>-3.487057</x:f>
        <x:v>-3.4870570000000001</x:v>
      </x:c>
      <x:c r="AF197">
        <x:f>24.571638</x:f>
        <x:v>24.571638</x:v>
      </x:c>
      <x:c r="AG197">
        <x:f>31.128788</x:f>
        <x:v>31.128788</x:v>
      </x:c>
    </x:row>
    <x:row r="198" spans="1:33" x14ac:dyDescent="0.25">
      <x:c r="A198" t="str">
        <x:f>"        FT Energy Income Partners Stra"</x:f>
        <x:v xml:space="preserve">        FT Energy Income Partners Stra</x:v>
      </x:c>
      <x:c r="B198" t="str">
        <x:f>"EIPX US Equity"</x:f>
        <x:v>EIPX US Equity</x:v>
      </x:c>
      <x:c r="E198" t="str">
        <x:f t="shared" si="6"/>
        <x:v>Expression</x:v>
      </x:c>
      <x:c r="F198">
        <x:f ca="1">IF(AND($B$1012=1,LEN($F$1203)&gt;0),$F$1203,HLOOKUP(INDIRECT(ADDRESS(2,COLUMN())),OFFSET($T$2,0,0,ROW()-1,14),ROW()-1,FALSE))</x:f>
        <x:v>8.4177979999999994</x:v>
      </x:c>
      <x:c r="G198">
        <x:f ca="1">IF(AND($B$1012=1,LEN($G$1203)&gt;0),$G$1203,HLOOKUP(INDIRECT(ADDRESS(2,COLUMN())),OFFSET($T$2,0,0,ROW()-1,14),ROW()-1,FALSE))</x:f>
        <x:v>60.394528000000001</x:v>
      </x:c>
      <x:c r="H198">
        <x:f ca="1">IF(AND($B$1012=1,LEN($H$1203)&gt;0),$H$1203,HLOOKUP(INDIRECT(ADDRESS(2,COLUMN())),OFFSET($T$2,0,0,ROW()-1,14),ROW()-1,FALSE))</x:f>
        <x:v>6.427956</x:v>
      </x:c>
      <x:c r="I198">
        <x:f ca="1">IF(AND($B$1012=1,LEN($I$1203)&gt;0),$I$1203,HLOOKUP(INDIRECT(ADDRESS(2,COLUMN())),OFFSET($T$2,0,0,ROW()-1,14),ROW()-1,FALSE))</x:f>
        <x:v>4.1911399999999999</x:v>
      </x:c>
      <x:c r="J198">
        <x:f ca="1">IF(AND($B$1012=1,LEN($J$1203)&gt;0),$J$1203,HLOOKUP(INDIRECT(ADDRESS(2,COLUMN())),OFFSET($T$2,0,0,ROW()-1,14),ROW()-1,FALSE))</x:f>
        <x:v>-1.7000000000000001E-2</x:v>
      </x:c>
      <x:c r="K198">
        <x:f ca="1">IF(AND($B$1012=1,LEN($K$1203)&gt;0),$K$1203,HLOOKUP(INDIRECT(ADDRESS(2,COLUMN())),OFFSET($T$2,0,0,ROW()-1,14),ROW()-1,FALSE))</x:f>
        <x:v>4.9749999999999996</x:v>
      </x:c>
      <x:c r="L198">
        <x:f ca="1">IF(AND($B$1012=1,LEN($L$1203)&gt;0),$L$1203,HLOOKUP(INDIRECT(ADDRESS(2,COLUMN())),OFFSET($T$2,0,0,ROW()-1,14),ROW()-1,FALSE))</x:f>
        <x:v>11.864000000000001</x:v>
      </x:c>
      <x:c r="M198">
        <x:f ca="1">IF(AND($B$1012=1,LEN($M$1203)&gt;0),$M$1203,HLOOKUP(INDIRECT(ADDRESS(2,COLUMN())),OFFSET($T$2,0,0,ROW()-1,14),ROW()-1,FALSE))</x:f>
        <x:v>2.0619999999999998</x:v>
      </x:c>
      <x:c r="N198">
        <x:f ca="1">IF(AND($B$1012=1,LEN($N$1203)&gt;0),$N$1203,HLOOKUP(INDIRECT(ADDRESS(2,COLUMN())),OFFSET($T$2,0,0,ROW()-1,14),ROW()-1,FALSE))</x:f>
        <x:v>3.8664999999999998</x:v>
      </x:c>
      <x:c r="O198">
        <x:f ca="1">IF(AND($B$1012=1,LEN($O$1203)&gt;0),$O$1203,HLOOKUP(INDIRECT(ADDRESS(2,COLUMN())),OFFSET($T$2,0,0,ROW()-1,14),ROW()-1,FALSE))</x:f>
        <x:v>9.23</x:v>
      </x:c>
      <x:c r="P198">
        <x:f ca="1">IF(AND($B$1012=1,LEN($P$1203)&gt;0),$P$1203,HLOOKUP(INDIRECT(ADDRESS(2,COLUMN())),OFFSET($T$2,0,0,ROW()-1,14),ROW()-1,FALSE))</x:f>
        <x:v>15.904828</x:v>
      </x:c>
      <x:c r="Q198">
        <x:f ca="1">IF(AND($B$1012=1,LEN($Q$1203)&gt;0),$Q$1203,HLOOKUP(INDIRECT(ADDRESS(2,COLUMN())),OFFSET($T$2,0,0,ROW()-1,14),ROW()-1,FALSE))</x:f>
        <x:v>1.964764</x:v>
      </x:c>
      <x:c r="R198">
        <x:f ca="1">IF(AND($B$1012=1,LEN($R$1203)&gt;0),$R$1203,HLOOKUP(INDIRECT(ADDRESS(2,COLUMN())),OFFSET($T$2,0,0,ROW()-1,14),ROW()-1,FALSE))</x:f>
        <x:v>85.285608999999994</x:v>
      </x:c>
      <x:c r="S198" t="str">
        <x:f ca="1">IF(AND($B$1012=1,LEN($S$1203)&gt;0),$S$1203,HLOOKUP(INDIRECT(ADDRESS(2,COLUMN())),OFFSET($T$2,0,0,ROW()-1,14),ROW()-1,FALSE))</x:f>
        <x:v/>
      </x:c>
      <x:c r="T198">
        <x:f>8.417798</x:f>
        <x:v>8.4177979999999994</x:v>
      </x:c>
      <x:c r="U198">
        <x:f>60.394528</x:f>
        <x:v>60.394528000000001</x:v>
      </x:c>
      <x:c r="V198">
        <x:f>6.427956</x:f>
        <x:v>6.427956</x:v>
      </x:c>
      <x:c r="W198">
        <x:f>4.19114</x:f>
        <x:v>4.1911399999999999</x:v>
      </x:c>
      <x:c r="X198">
        <x:f>-0.017</x:f>
        <x:v>-1.7000000000000001E-2</x:v>
      </x:c>
      <x:c r="Y198">
        <x:f>4.975</x:f>
        <x:v>4.9749999999999996</x:v>
      </x:c>
      <x:c r="Z198">
        <x:f>11.864</x:f>
        <x:v>11.864000000000001</x:v>
      </x:c>
      <x:c r="AA198">
        <x:f>2.062</x:f>
        <x:v>2.0619999999999998</x:v>
      </x:c>
      <x:c r="AB198">
        <x:f>3.8665</x:f>
        <x:v>3.8664999999999998</x:v>
      </x:c>
      <x:c r="AC198">
        <x:f>9.23</x:f>
        <x:v>9.23</x:v>
      </x:c>
      <x:c r="AD198">
        <x:f>15.904828</x:f>
        <x:v>15.904828</x:v>
      </x:c>
      <x:c r="AE198">
        <x:f>1.964764</x:f>
        <x:v>1.964764</x:v>
      </x:c>
      <x:c r="AF198">
        <x:f>85.285609</x:f>
        <x:v>85.285608999999994</x:v>
      </x:c>
      <x:c r="AG198" t="str">
        <x:f>""</x:f>
        <x:v/>
      </x:c>
    </x:row>
    <x:row r="199" spans="1:33" x14ac:dyDescent="0.25">
      <x:c r="A199" t="str">
        <x:f>"        Horizon Kinetics Energy Remedi"</x:f>
        <x:v xml:space="preserve">        Horizon Kinetics Energy Remedi</x:v>
      </x:c>
      <x:c r="B199" t="str">
        <x:f>"NVIR US Equity"</x:f>
        <x:v>NVIR US Equity</x:v>
      </x:c>
      <x:c r="E199" t="str">
        <x:f t="shared" si="6"/>
        <x:v>Expression</x:v>
      </x:c>
      <x:c r="F199">
        <x:f ca="1">IF(AND($B$1012=1,LEN($F$1204)&gt;0),$F$1204,HLOOKUP(INDIRECT(ADDRESS(2,COLUMN())),OFFSET($T$2,0,0,ROW()-1,14),ROW()-1,FALSE))</x:f>
        <x:v>0</x:v>
      </x:c>
      <x:c r="G199">
        <x:f ca="1">IF(AND($B$1012=1,LEN($G$1204)&gt;0),$G$1204,HLOOKUP(INDIRECT(ADDRESS(2,COLUMN())),OFFSET($T$2,0,0,ROW()-1,14),ROW()-1,FALSE))</x:f>
        <x:v>-1.3019400000000001</x:v>
      </x:c>
      <x:c r="H199">
        <x:f ca="1">IF(AND($B$1012=1,LEN($H$1204)&gt;0),$H$1204,HLOOKUP(INDIRECT(ADDRESS(2,COLUMN())),OFFSET($T$2,0,0,ROW()-1,14),ROW()-1,FALSE))</x:f>
        <x:v>2.0240320000000001</x:v>
      </x:c>
      <x:c r="I199">
        <x:f ca="1">IF(AND($B$1012=1,LEN($I$1204)&gt;0),$I$1204,HLOOKUP(INDIRECT(ADDRESS(2,COLUMN())),OFFSET($T$2,0,0,ROW()-1,14),ROW()-1,FALSE))</x:f>
        <x:v>0</x:v>
      </x:c>
      <x:c r="J199">
        <x:f ca="1">IF(AND($B$1012=1,LEN($J$1204)&gt;0),$J$1204,HLOOKUP(INDIRECT(ADDRESS(2,COLUMN())),OFFSET($T$2,0,0,ROW()-1,14),ROW()-1,FALSE))</x:f>
        <x:v>0</x:v>
      </x:c>
      <x:c r="K199">
        <x:f ca="1">IF(AND($B$1012=1,LEN($K$1204)&gt;0),$K$1204,HLOOKUP(INDIRECT(ADDRESS(2,COLUMN())),OFFSET($T$2,0,0,ROW()-1,14),ROW()-1,FALSE))</x:f>
        <x:v>0</x:v>
      </x:c>
      <x:c r="L199">
        <x:f ca="1">IF(AND($B$1012=1,LEN($L$1204)&gt;0),$L$1204,HLOOKUP(INDIRECT(ADDRESS(2,COLUMN())),OFFSET($T$2,0,0,ROW()-1,14),ROW()-1,FALSE))</x:f>
        <x:v>0</x:v>
      </x:c>
      <x:c r="M199">
        <x:f ca="1">IF(AND($B$1012=1,LEN($M$1204)&gt;0),$M$1204,HLOOKUP(INDIRECT(ADDRESS(2,COLUMN())),OFFSET($T$2,0,0,ROW()-1,14),ROW()-1,FALSE))</x:f>
        <x:v>0</x:v>
      </x:c>
      <x:c r="N199">
        <x:f ca="1">IF(AND($B$1012=1,LEN($N$1204)&gt;0),$N$1204,HLOOKUP(INDIRECT(ADDRESS(2,COLUMN())),OFFSET($T$2,0,0,ROW()-1,14),ROW()-1,FALSE))</x:f>
        <x:v>1.2094100000000001</x:v>
      </x:c>
      <x:c r="O199">
        <x:f ca="1">IF(AND($B$1012=1,LEN($O$1204)&gt;0),$O$1204,HLOOKUP(INDIRECT(ADDRESS(2,COLUMN())),OFFSET($T$2,0,0,ROW()-1,14),ROW()-1,FALSE))</x:f>
        <x:v>0</x:v>
      </x:c>
      <x:c r="P199" t="str">
        <x:f ca="1">IF(AND($B$1012=1,LEN($P$1204)&gt;0),$P$1204,HLOOKUP(INDIRECT(ADDRESS(2,COLUMN())),OFFSET($T$2,0,0,ROW()-1,14),ROW()-1,FALSE))</x:f>
        <x:v/>
      </x:c>
      <x:c r="Q199" t="str">
        <x:f ca="1">IF(AND($B$1012=1,LEN($Q$1204)&gt;0),$Q$1204,HLOOKUP(INDIRECT(ADDRESS(2,COLUMN())),OFFSET($T$2,0,0,ROW()-1,14),ROW()-1,FALSE))</x:f>
        <x:v/>
      </x:c>
      <x:c r="R199" t="str">
        <x:f ca="1">IF(AND($B$1012=1,LEN($R$1204)&gt;0),$R$1204,HLOOKUP(INDIRECT(ADDRESS(2,COLUMN())),OFFSET($T$2,0,0,ROW()-1,14),ROW()-1,FALSE))</x:f>
        <x:v/>
      </x:c>
      <x:c r="S199" t="str">
        <x:f ca="1">IF(AND($B$1012=1,LEN($S$1204)&gt;0),$S$1204,HLOOKUP(INDIRECT(ADDRESS(2,COLUMN())),OFFSET($T$2,0,0,ROW()-1,14),ROW()-1,FALSE))</x:f>
        <x:v/>
      </x:c>
      <x:c r="T199">
        <x:f>0</x:f>
        <x:v>0</x:v>
      </x:c>
      <x:c r="U199">
        <x:f>-1.30194</x:f>
        <x:v>-1.3019400000000001</x:v>
      </x:c>
      <x:c r="V199">
        <x:f>2.024032</x:f>
        <x:v>2.0240320000000001</x:v>
      </x:c>
      <x:c r="W199">
        <x:f>0</x:f>
        <x:v>0</x:v>
      </x:c>
      <x:c r="X199">
        <x:f>0</x:f>
        <x:v>0</x:v>
      </x:c>
      <x:c r="Y199">
        <x:f>0</x:f>
        <x:v>0</x:v>
      </x:c>
      <x:c r="Z199">
        <x:f>0</x:f>
        <x:v>0</x:v>
      </x:c>
      <x:c r="AA199">
        <x:f>0</x:f>
        <x:v>0</x:v>
      </x:c>
      <x:c r="AB199">
        <x:f>1.20941</x:f>
        <x:v>1.2094100000000001</x:v>
      </x:c>
      <x:c r="AC199">
        <x:f>0</x:f>
        <x:v>0</x:v>
      </x:c>
      <x:c r="AD199" t="str">
        <x:f>""</x:f>
        <x:v/>
      </x:c>
      <x:c r="AE199" t="str">
        <x:f>""</x:f>
        <x:v/>
      </x:c>
      <x:c r="AF199" t="str">
        <x:f>""</x:f>
        <x:v/>
      </x:c>
      <x:c r="AG199" t="str">
        <x:f>""</x:f>
        <x:v/>
      </x:c>
    </x:row>
    <x:row r="200" spans="1:33" x14ac:dyDescent="0.25">
      <x:c r="A200" t="str">
        <x:f>"        Trueshares Eagle Global Renewa"</x:f>
        <x:v xml:space="preserve">        Trueshares Eagle Global Renewa</x:v>
      </x:c>
      <x:c r="B200" t="str">
        <x:f>"RNWZ US Equity"</x:f>
        <x:v>RNWZ US Equity</x:v>
      </x:c>
      <x:c r="E200" t="str">
        <x:f t="shared" si="6"/>
        <x:v>Expression</x:v>
      </x:c>
      <x:c r="F200">
        <x:f ca="1">IF(AND($B$1012=1,LEN($F$1205)&gt;0),$F$1205,HLOOKUP(INDIRECT(ADDRESS(2,COLUMN())),OFFSET($T$2,0,0,ROW()-1,14),ROW()-1,FALSE))</x:f>
        <x:v>0</x:v>
      </x:c>
      <x:c r="G200">
        <x:f ca="1">IF(AND($B$1012=1,LEN($G$1205)&gt;0),$G$1205,HLOOKUP(INDIRECT(ADDRESS(2,COLUMN())),OFFSET($T$2,0,0,ROW()-1,14),ROW()-1,FALSE))</x:f>
        <x:v>0</x:v>
      </x:c>
      <x:c r="H200">
        <x:f ca="1">IF(AND($B$1012=1,LEN($H$1205)&gt;0),$H$1205,HLOOKUP(INDIRECT(ADDRESS(2,COLUMN())),OFFSET($T$2,0,0,ROW()-1,14),ROW()-1,FALSE))</x:f>
        <x:v>0</x:v>
      </x:c>
      <x:c r="I200">
        <x:f ca="1">IF(AND($B$1012=1,LEN($I$1205)&gt;0),$I$1205,HLOOKUP(INDIRECT(ADDRESS(2,COLUMN())),OFFSET($T$2,0,0,ROW()-1,14),ROW()-1,FALSE))</x:f>
        <x:v>-0.23359099999999999</x:v>
      </x:c>
      <x:c r="J200">
        <x:f ca="1">IF(AND($B$1012=1,LEN($J$1205)&gt;0),$J$1205,HLOOKUP(INDIRECT(ADDRESS(2,COLUMN())),OFFSET($T$2,0,0,ROW()-1,14),ROW()-1,FALSE))</x:f>
        <x:v>0</x:v>
      </x:c>
      <x:c r="K200">
        <x:f ca="1">IF(AND($B$1012=1,LEN($K$1205)&gt;0),$K$1205,HLOOKUP(INDIRECT(ADDRESS(2,COLUMN())),OFFSET($T$2,0,0,ROW()-1,14),ROW()-1,FALSE))</x:f>
        <x:v>0.48567300000000002</x:v>
      </x:c>
      <x:c r="L200">
        <x:f ca="1">IF(AND($B$1012=1,LEN($L$1205)&gt;0),$L$1205,HLOOKUP(INDIRECT(ADDRESS(2,COLUMN())),OFFSET($T$2,0,0,ROW()-1,14),ROW()-1,FALSE))</x:f>
        <x:v>0</x:v>
      </x:c>
      <x:c r="M200">
        <x:f ca="1">IF(AND($B$1012=1,LEN($M$1205)&gt;0),$M$1205,HLOOKUP(INDIRECT(ADDRESS(2,COLUMN())),OFFSET($T$2,0,0,ROW()-1,14),ROW()-1,FALSE))</x:f>
        <x:v>0</x:v>
      </x:c>
      <x:c r="N200">
        <x:f ca="1">IF(AND($B$1012=1,LEN($N$1205)&gt;0),$N$1205,HLOOKUP(INDIRECT(ADDRESS(2,COLUMN())),OFFSET($T$2,0,0,ROW()-1,14),ROW()-1,FALSE))</x:f>
        <x:v>0</x:v>
      </x:c>
      <x:c r="O200">
        <x:f ca="1">IF(AND($B$1012=1,LEN($O$1205)&gt;0),$O$1205,HLOOKUP(INDIRECT(ADDRESS(2,COLUMN())),OFFSET($T$2,0,0,ROW()-1,14),ROW()-1,FALSE))</x:f>
        <x:v>0</x:v>
      </x:c>
      <x:c r="P200">
        <x:f ca="1">IF(AND($B$1012=1,LEN($P$1205)&gt;0),$P$1205,HLOOKUP(INDIRECT(ADDRESS(2,COLUMN())),OFFSET($T$2,0,0,ROW()-1,14),ROW()-1,FALSE))</x:f>
        <x:v>0</x:v>
      </x:c>
      <x:c r="Q200">
        <x:f ca="1">IF(AND($B$1012=1,LEN($Q$1205)&gt;0),$Q$1205,HLOOKUP(INDIRECT(ADDRESS(2,COLUMN())),OFFSET($T$2,0,0,ROW()-1,14),ROW()-1,FALSE))</x:f>
        <x:v>2.4950800000000002</x:v>
      </x:c>
      <x:c r="R200" t="str">
        <x:f ca="1">IF(AND($B$1012=1,LEN($R$1205)&gt;0),$R$1205,HLOOKUP(INDIRECT(ADDRESS(2,COLUMN())),OFFSET($T$2,0,0,ROW()-1,14),ROW()-1,FALSE))</x:f>
        <x:v/>
      </x:c>
      <x:c r="S200" t="str">
        <x:f ca="1">IF(AND($B$1012=1,LEN($S$1205)&gt;0),$S$1205,HLOOKUP(INDIRECT(ADDRESS(2,COLUMN())),OFFSET($T$2,0,0,ROW()-1,14),ROW()-1,FALSE))</x:f>
        <x:v/>
      </x:c>
      <x:c r="T200">
        <x:f>0</x:f>
        <x:v>0</x:v>
      </x:c>
      <x:c r="U200">
        <x:f>0</x:f>
        <x:v>0</x:v>
      </x:c>
      <x:c r="V200">
        <x:f>0</x:f>
        <x:v>0</x:v>
      </x:c>
      <x:c r="W200">
        <x:f>-0.233591</x:f>
        <x:v>-0.23359099999999999</x:v>
      </x:c>
      <x:c r="X200">
        <x:f>0</x:f>
        <x:v>0</x:v>
      </x:c>
      <x:c r="Y200">
        <x:f>0.485673</x:f>
        <x:v>0.48567300000000002</x:v>
      </x:c>
      <x:c r="Z200">
        <x:f>0</x:f>
        <x:v>0</x:v>
      </x:c>
      <x:c r="AA200">
        <x:f>0</x:f>
        <x:v>0</x:v>
      </x:c>
      <x:c r="AB200">
        <x:f>0</x:f>
        <x:v>0</x:v>
      </x:c>
      <x:c r="AC200">
        <x:f>0</x:f>
        <x:v>0</x:v>
      </x:c>
      <x:c r="AD200">
        <x:f>0</x:f>
        <x:v>0</x:v>
      </x:c>
      <x:c r="AE200">
        <x:f>2.49508</x:f>
        <x:v>2.4950800000000002</x:v>
      </x:c>
      <x:c r="AF200" t="str">
        <x:f>""</x:f>
        <x:v/>
      </x:c>
      <x:c r="AG200" t="str">
        <x:f>""</x:f>
        <x:v/>
      </x:c>
    </x:row>
    <x:row r="201" spans="1:33" x14ac:dyDescent="0.25">
      <x:c r="A201" t="str">
        <x:f>"        Innovator Hedged TSLA ETF"</x:f>
        <x:v xml:space="preserve">        Innovator Hedged TSLA ETF</x:v>
      </x:c>
      <x:c r="B201" t="str">
        <x:f>"TSLH US Equity"</x:f>
        <x:v>TSLH US Equity</x:v>
      </x:c>
      <x:c r="E201" t="str">
        <x:f t="shared" si="6"/>
        <x:v>Expression</x:v>
      </x:c>
      <x:c r="F201">
        <x:f ca="1">IF(AND($B$1012=1,LEN($F$1206)&gt;0),$F$1206,HLOOKUP(INDIRECT(ADDRESS(2,COLUMN())),OFFSET($T$2,0,0,ROW()-1,14),ROW()-1,FALSE))</x:f>
        <x:v>0</x:v>
      </x:c>
      <x:c r="G201">
        <x:f ca="1">IF(AND($B$1012=1,LEN($G$1206)&gt;0),$G$1206,HLOOKUP(INDIRECT(ADDRESS(2,COLUMN())),OFFSET($T$2,0,0,ROW()-1,14),ROW()-1,FALSE))</x:f>
        <x:v>0</x:v>
      </x:c>
      <x:c r="H201">
        <x:f ca="1">IF(AND($B$1012=1,LEN($H$1206)&gt;0),$H$1206,HLOOKUP(INDIRECT(ADDRESS(2,COLUMN())),OFFSET($T$2,0,0,ROW()-1,14),ROW()-1,FALSE))</x:f>
        <x:v>0</x:v>
      </x:c>
      <x:c r="I201">
        <x:f ca="1">IF(AND($B$1012=1,LEN($I$1206)&gt;0),$I$1206,HLOOKUP(INDIRECT(ADDRESS(2,COLUMN())),OFFSET($T$2,0,0,ROW()-1,14),ROW()-1,FALSE))</x:f>
        <x:v>0</x:v>
      </x:c>
      <x:c r="J201">
        <x:f ca="1">IF(AND($B$1012=1,LEN($J$1206)&gt;0),$J$1206,HLOOKUP(INDIRECT(ADDRESS(2,COLUMN())),OFFSET($T$2,0,0,ROW()-1,14),ROW()-1,FALSE))</x:f>
        <x:v>0</x:v>
      </x:c>
      <x:c r="K201">
        <x:f ca="1">IF(AND($B$1012=1,LEN($K$1206)&gt;0),$K$1206,HLOOKUP(INDIRECT(ADDRESS(2,COLUMN())),OFFSET($T$2,0,0,ROW()-1,14),ROW()-1,FALSE))</x:f>
        <x:v>0</x:v>
      </x:c>
      <x:c r="L201">
        <x:f ca="1">IF(AND($B$1012=1,LEN($L$1206)&gt;0),$L$1206,HLOOKUP(INDIRECT(ADDRESS(2,COLUMN())),OFFSET($T$2,0,0,ROW()-1,14),ROW()-1,FALSE))</x:f>
        <x:v>0</x:v>
      </x:c>
      <x:c r="M201">
        <x:f ca="1">IF(AND($B$1012=1,LEN($M$1206)&gt;0),$M$1206,HLOOKUP(INDIRECT(ADDRESS(2,COLUMN())),OFFSET($T$2,0,0,ROW()-1,14),ROW()-1,FALSE))</x:f>
        <x:v>0</x:v>
      </x:c>
      <x:c r="N201">
        <x:f ca="1">IF(AND($B$1012=1,LEN($N$1206)&gt;0),$N$1206,HLOOKUP(INDIRECT(ADDRESS(2,COLUMN())),OFFSET($T$2,0,0,ROW()-1,14),ROW()-1,FALSE))</x:f>
        <x:v>-0.47692000000000001</x:v>
      </x:c>
      <x:c r="O201">
        <x:f ca="1">IF(AND($B$1012=1,LEN($O$1206)&gt;0),$O$1206,HLOOKUP(INDIRECT(ADDRESS(2,COLUMN())),OFFSET($T$2,0,0,ROW()-1,14),ROW()-1,FALSE))</x:f>
        <x:v>0</x:v>
      </x:c>
      <x:c r="P201">
        <x:f ca="1">IF(AND($B$1012=1,LEN($P$1206)&gt;0),$P$1206,HLOOKUP(INDIRECT(ADDRESS(2,COLUMN())),OFFSET($T$2,0,0,ROW()-1,14),ROW()-1,FALSE))</x:f>
        <x:v>0</x:v>
      </x:c>
      <x:c r="Q201">
        <x:f ca="1">IF(AND($B$1012=1,LEN($Q$1206)&gt;0),$Q$1206,HLOOKUP(INDIRECT(ADDRESS(2,COLUMN())),OFFSET($T$2,0,0,ROW()-1,14),ROW()-1,FALSE))</x:f>
        <x:v>0</x:v>
      </x:c>
      <x:c r="R201">
        <x:f ca="1">IF(AND($B$1012=1,LEN($R$1206)&gt;0),$R$1206,HLOOKUP(INDIRECT(ADDRESS(2,COLUMN())),OFFSET($T$2,0,0,ROW()-1,14),ROW()-1,FALSE))</x:f>
        <x:v>0</x:v>
      </x:c>
      <x:c r="S201">
        <x:f ca="1">IF(AND($B$1012=1,LEN($S$1206)&gt;0),$S$1206,HLOOKUP(INDIRECT(ADDRESS(2,COLUMN())),OFFSET($T$2,0,0,ROW()-1,14),ROW()-1,FALSE))</x:f>
        <x:v>0</x:v>
      </x:c>
      <x:c r="T201">
        <x:f>0</x:f>
        <x:v>0</x:v>
      </x:c>
      <x:c r="U201">
        <x:f>0</x:f>
        <x:v>0</x:v>
      </x:c>
      <x:c r="V201">
        <x:f>0</x:f>
        <x:v>0</x:v>
      </x:c>
      <x:c r="W201">
        <x:f>0</x:f>
        <x:v>0</x:v>
      </x:c>
      <x:c r="X201">
        <x:f>0</x:f>
        <x:v>0</x:v>
      </x:c>
      <x:c r="Y201">
        <x:f>0</x:f>
        <x:v>0</x:v>
      </x:c>
      <x:c r="Z201">
        <x:f>0</x:f>
        <x:v>0</x:v>
      </x:c>
      <x:c r="AA201">
        <x:f>0</x:f>
        <x:v>0</x:v>
      </x:c>
      <x:c r="AB201">
        <x:f>-0.47692</x:f>
        <x:v>-0.47692000000000001</x:v>
      </x:c>
      <x:c r="AC201">
        <x:f>0</x:f>
        <x:v>0</x:v>
      </x:c>
      <x:c r="AD201">
        <x:f>0</x:f>
        <x:v>0</x:v>
      </x:c>
      <x:c r="AE201">
        <x:f>0</x:f>
        <x:v>0</x:v>
      </x:c>
      <x:c r="AF201">
        <x:f>0</x:f>
        <x:v>0</x:v>
      </x:c>
      <x:c r="AG201">
        <x:f>0</x:f>
        <x:v>0</x:v>
      </x:c>
    </x:row>
    <x:row r="202" spans="1:33" x14ac:dyDescent="0.25">
      <x:c r="A202" t="str">
        <x:f>"        AXS TSLA Bear Daily ETF"</x:f>
        <x:v xml:space="preserve">        AXS TSLA Bear Daily ETF</x:v>
      </x:c>
      <x:c r="B202" t="str">
        <x:f>"TSLQ US Equity"</x:f>
        <x:v>TSLQ US Equity</x:v>
      </x:c>
      <x:c r="E202" t="str">
        <x:f t="shared" si="6"/>
        <x:v>Expression</x:v>
      </x:c>
      <x:c r="F202">
        <x:f ca="1">IF(AND($B$1012=1,LEN($F$1207)&gt;0),$F$1207,HLOOKUP(INDIRECT(ADDRESS(2,COLUMN())),OFFSET($T$2,0,0,ROW()-1,14),ROW()-1,FALSE))</x:f>
        <x:v>-23.727969999999999</x:v>
      </x:c>
      <x:c r="G202">
        <x:f ca="1">IF(AND($B$1012=1,LEN($G$1207)&gt;0),$G$1207,HLOOKUP(INDIRECT(ADDRESS(2,COLUMN())),OFFSET($T$2,0,0,ROW()-1,14),ROW()-1,FALSE))</x:f>
        <x:v>8.5633569999999999</x:v>
      </x:c>
      <x:c r="H202">
        <x:f ca="1">IF(AND($B$1012=1,LEN($H$1207)&gt;0),$H$1207,HLOOKUP(INDIRECT(ADDRESS(2,COLUMN())),OFFSET($T$2,0,0,ROW()-1,14),ROW()-1,FALSE))</x:f>
        <x:v>2.733403</x:v>
      </x:c>
      <x:c r="I202">
        <x:f ca="1">IF(AND($B$1012=1,LEN($I$1207)&gt;0),$I$1207,HLOOKUP(INDIRECT(ADDRESS(2,COLUMN())),OFFSET($T$2,0,0,ROW()-1,14),ROW()-1,FALSE))</x:f>
        <x:v>-33.229725000000002</x:v>
      </x:c>
      <x:c r="J202">
        <x:f ca="1">IF(AND($B$1012=1,LEN($J$1207)&gt;0),$J$1207,HLOOKUP(INDIRECT(ADDRESS(2,COLUMN())),OFFSET($T$2,0,0,ROW()-1,14),ROW()-1,FALSE))</x:f>
        <x:v>11.413444999999999</x:v>
      </x:c>
      <x:c r="K202">
        <x:f ca="1">IF(AND($B$1012=1,LEN($K$1207)&gt;0),$K$1207,HLOOKUP(INDIRECT(ADDRESS(2,COLUMN())),OFFSET($T$2,0,0,ROW()-1,14),ROW()-1,FALSE))</x:f>
        <x:v>46.335312000000002</x:v>
      </x:c>
      <x:c r="L202">
        <x:f ca="1">IF(AND($B$1012=1,LEN($L$1207)&gt;0),$L$1207,HLOOKUP(INDIRECT(ADDRESS(2,COLUMN())),OFFSET($T$2,0,0,ROW()-1,14),ROW()-1,FALSE))</x:f>
        <x:v>-15.683705</x:v>
      </x:c>
      <x:c r="M202">
        <x:f ca="1">IF(AND($B$1012=1,LEN($M$1207)&gt;0),$M$1207,HLOOKUP(INDIRECT(ADDRESS(2,COLUMN())),OFFSET($T$2,0,0,ROW()-1,14),ROW()-1,FALSE))</x:f>
        <x:v>-4.1989039999999997</x:v>
      </x:c>
      <x:c r="N202">
        <x:f ca="1">IF(AND($B$1012=1,LEN($N$1207)&gt;0),$N$1207,HLOOKUP(INDIRECT(ADDRESS(2,COLUMN())),OFFSET($T$2,0,0,ROW()-1,14),ROW()-1,FALSE))</x:f>
        <x:v>-85.718109999999996</x:v>
      </x:c>
      <x:c r="O202">
        <x:f ca="1">IF(AND($B$1012=1,LEN($O$1207)&gt;0),$O$1207,HLOOKUP(INDIRECT(ADDRESS(2,COLUMN())),OFFSET($T$2,0,0,ROW()-1,14),ROW()-1,FALSE))</x:f>
        <x:v>40.531875999999997</x:v>
      </x:c>
      <x:c r="P202">
        <x:f ca="1">IF(AND($B$1012=1,LEN($P$1207)&gt;0),$P$1207,HLOOKUP(INDIRECT(ADDRESS(2,COLUMN())),OFFSET($T$2,0,0,ROW()-1,14),ROW()-1,FALSE))</x:f>
        <x:v>132.30157800000001</x:v>
      </x:c>
      <x:c r="Q202">
        <x:f ca="1">IF(AND($B$1012=1,LEN($Q$1207)&gt;0),$Q$1207,HLOOKUP(INDIRECT(ADDRESS(2,COLUMN())),OFFSET($T$2,0,0,ROW()-1,14),ROW()-1,FALSE))</x:f>
        <x:v>7.0920740000000002</x:v>
      </x:c>
      <x:c r="R202">
        <x:f ca="1">IF(AND($B$1012=1,LEN($R$1207)&gt;0),$R$1207,HLOOKUP(INDIRECT(ADDRESS(2,COLUMN())),OFFSET($T$2,0,0,ROW()-1,14),ROW()-1,FALSE))</x:f>
        <x:v>0.70092500000000002</x:v>
      </x:c>
      <x:c r="S202">
        <x:f ca="1">IF(AND($B$1012=1,LEN($S$1207)&gt;0),$S$1207,HLOOKUP(INDIRECT(ADDRESS(2,COLUMN())),OFFSET($T$2,0,0,ROW()-1,14),ROW()-1,FALSE))</x:f>
        <x:v>-19.231672</x:v>
      </x:c>
      <x:c r="T202">
        <x:f>-23.72797</x:f>
        <x:v>-23.727969999999999</x:v>
      </x:c>
      <x:c r="U202">
        <x:f>8.563357</x:f>
        <x:v>8.5633569999999999</x:v>
      </x:c>
      <x:c r="V202">
        <x:f>2.733403</x:f>
        <x:v>2.733403</x:v>
      </x:c>
      <x:c r="W202">
        <x:f>-33.229725</x:f>
        <x:v>-33.229725000000002</x:v>
      </x:c>
      <x:c r="X202">
        <x:f>11.413445</x:f>
        <x:v>11.413444999999999</x:v>
      </x:c>
      <x:c r="Y202">
        <x:f>46.335312</x:f>
        <x:v>46.335312000000002</x:v>
      </x:c>
      <x:c r="Z202">
        <x:f>-15.683705</x:f>
        <x:v>-15.683705</x:v>
      </x:c>
      <x:c r="AA202">
        <x:f>-4.198904</x:f>
        <x:v>-4.1989039999999997</x:v>
      </x:c>
      <x:c r="AB202">
        <x:f>-85.71811</x:f>
        <x:v>-85.718109999999996</x:v>
      </x:c>
      <x:c r="AC202">
        <x:f>40.531876</x:f>
        <x:v>40.531875999999997</x:v>
      </x:c>
      <x:c r="AD202">
        <x:f>132.301578</x:f>
        <x:v>132.30157800000001</x:v>
      </x:c>
      <x:c r="AE202">
        <x:f>7.092074</x:f>
        <x:v>7.0920740000000002</x:v>
      </x:c>
      <x:c r="AF202">
        <x:f>0.700925</x:f>
        <x:v>0.70092500000000002</x:v>
      </x:c>
      <x:c r="AG202">
        <x:f>-19.231672</x:f>
        <x:v>-19.231672</x:v>
      </x:c>
    </x:row>
    <x:row r="203" spans="1:33" x14ac:dyDescent="0.25">
      <x:c r="A203" t="str">
        <x:f>"        MicroSectors Energy -3X Invers"</x:f>
        <x:v xml:space="preserve">        MicroSectors Energy -3X Invers</x:v>
      </x:c>
      <x:c r="B203" t="str">
        <x:f>"WTID US Equity"</x:f>
        <x:v>WTID US Equity</x:v>
      </x:c>
      <x:c r="E203" t="str">
        <x:f t="shared" si="6"/>
        <x:v>Expression</x:v>
      </x:c>
      <x:c r="F203">
        <x:f ca="1">IF(AND($B$1012=1,LEN($F$1208)&gt;0),$F$1208,HLOOKUP(INDIRECT(ADDRESS(2,COLUMN())),OFFSET($T$2,0,0,ROW()-1,14),ROW()-1,FALSE))</x:f>
        <x:v>0</x:v>
      </x:c>
      <x:c r="G203">
        <x:f ca="1">IF(AND($B$1012=1,LEN($G$1208)&gt;0),$G$1208,HLOOKUP(INDIRECT(ADDRESS(2,COLUMN())),OFFSET($T$2,0,0,ROW()-1,14),ROW()-1,FALSE))</x:f>
        <x:v>0</x:v>
      </x:c>
      <x:c r="H203">
        <x:f ca="1">IF(AND($B$1012=1,LEN($H$1208)&gt;0),$H$1208,HLOOKUP(INDIRECT(ADDRESS(2,COLUMN())),OFFSET($T$2,0,0,ROW()-1,14),ROW()-1,FALSE))</x:f>
        <x:v>0</x:v>
      </x:c>
      <x:c r="I203">
        <x:f ca="1">IF(AND($B$1012=1,LEN($I$1208)&gt;0),$I$1208,HLOOKUP(INDIRECT(ADDRESS(2,COLUMN())),OFFSET($T$2,0,0,ROW()-1,14),ROW()-1,FALSE))</x:f>
        <x:v>0</x:v>
      </x:c>
      <x:c r="J203">
        <x:f ca="1">IF(AND($B$1012=1,LEN($J$1208)&gt;0),$J$1208,HLOOKUP(INDIRECT(ADDRESS(2,COLUMN())),OFFSET($T$2,0,0,ROW()-1,14),ROW()-1,FALSE))</x:f>
        <x:v>0</x:v>
      </x:c>
      <x:c r="K203">
        <x:f ca="1">IF(AND($B$1012=1,LEN($K$1208)&gt;0),$K$1208,HLOOKUP(INDIRECT(ADDRESS(2,COLUMN())),OFFSET($T$2,0,0,ROW()-1,14),ROW()-1,FALSE))</x:f>
        <x:v>0</x:v>
      </x:c>
      <x:c r="L203">
        <x:f ca="1">IF(AND($B$1012=1,LEN($L$1208)&gt;0),$L$1208,HLOOKUP(INDIRECT(ADDRESS(2,COLUMN())),OFFSET($T$2,0,0,ROW()-1,14),ROW()-1,FALSE))</x:f>
        <x:v>0</x:v>
      </x:c>
      <x:c r="M203">
        <x:f ca="1">IF(AND($B$1012=1,LEN($M$1208)&gt;0),$M$1208,HLOOKUP(INDIRECT(ADDRESS(2,COLUMN())),OFFSET($T$2,0,0,ROW()-1,14),ROW()-1,FALSE))</x:f>
        <x:v>0</x:v>
      </x:c>
      <x:c r="N203">
        <x:f ca="1">IF(AND($B$1012=1,LEN($N$1208)&gt;0),$N$1208,HLOOKUP(INDIRECT(ADDRESS(2,COLUMN())),OFFSET($T$2,0,0,ROW()-1,14),ROW()-1,FALSE))</x:f>
        <x:v>0</x:v>
      </x:c>
      <x:c r="O203">
        <x:f ca="1">IF(AND($B$1012=1,LEN($O$1208)&gt;0),$O$1208,HLOOKUP(INDIRECT(ADDRESS(2,COLUMN())),OFFSET($T$2,0,0,ROW()-1,14),ROW()-1,FALSE))</x:f>
        <x:v>0</x:v>
      </x:c>
      <x:c r="P203" t="str">
        <x:f ca="1">IF(AND($B$1012=1,LEN($P$1208)&gt;0),$P$1208,HLOOKUP(INDIRECT(ADDRESS(2,COLUMN())),OFFSET($T$2,0,0,ROW()-1,14),ROW()-1,FALSE))</x:f>
        <x:v/>
      </x:c>
      <x:c r="Q203" t="str">
        <x:f ca="1">IF(AND($B$1012=1,LEN($Q$1208)&gt;0),$Q$1208,HLOOKUP(INDIRECT(ADDRESS(2,COLUMN())),OFFSET($T$2,0,0,ROW()-1,14),ROW()-1,FALSE))</x:f>
        <x:v/>
      </x:c>
      <x:c r="R203" t="str">
        <x:f ca="1">IF(AND($B$1012=1,LEN($R$1208)&gt;0),$R$1208,HLOOKUP(INDIRECT(ADDRESS(2,COLUMN())),OFFSET($T$2,0,0,ROW()-1,14),ROW()-1,FALSE))</x:f>
        <x:v/>
      </x:c>
      <x:c r="S203" t="str">
        <x:f ca="1">IF(AND($B$1012=1,LEN($S$1208)&gt;0),$S$1208,HLOOKUP(INDIRECT(ADDRESS(2,COLUMN())),OFFSET($T$2,0,0,ROW()-1,14),ROW()-1,FALSE))</x:f>
        <x:v/>
      </x:c>
      <x:c r="T203">
        <x:f>0</x:f>
        <x:v>0</x:v>
      </x:c>
      <x:c r="U203">
        <x:f>0</x:f>
        <x:v>0</x:v>
      </x:c>
      <x:c r="V203">
        <x:f>0</x:f>
        <x:v>0</x:v>
      </x:c>
      <x:c r="W203">
        <x:f>0</x:f>
        <x:v>0</x:v>
      </x:c>
      <x:c r="X203">
        <x:f>0</x:f>
        <x:v>0</x:v>
      </x:c>
      <x:c r="Y203">
        <x:f>0</x:f>
        <x:v>0</x:v>
      </x:c>
      <x:c r="Z203">
        <x:f>0</x:f>
        <x:v>0</x:v>
      </x:c>
      <x:c r="AA203">
        <x:f>0</x:f>
        <x:v>0</x:v>
      </x:c>
      <x:c r="AB203">
        <x:f>0</x:f>
        <x:v>0</x:v>
      </x:c>
      <x:c r="AC203">
        <x:f>0</x:f>
        <x:v>0</x:v>
      </x:c>
      <x:c r="AD203" t="str">
        <x:f>""</x:f>
        <x:v/>
      </x:c>
      <x:c r="AE203" t="str">
        <x:f>""</x:f>
        <x:v/>
      </x:c>
      <x:c r="AF203" t="str">
        <x:f>""</x:f>
        <x:v/>
      </x:c>
      <x:c r="AG203" t="str">
        <x:f>""</x:f>
        <x:v/>
      </x:c>
    </x:row>
    <x:row r="204" spans="1:33" x14ac:dyDescent="0.25">
      <x:c r="A204" t="str">
        <x:f>"        MicroSectors Energy 3X Leverag"</x:f>
        <x:v xml:space="preserve">        MicroSectors Energy 3X Leverag</x:v>
      </x:c>
      <x:c r="B204" t="str">
        <x:f>"WTIU US Equity"</x:f>
        <x:v>WTIU US Equity</x:v>
      </x:c>
      <x:c r="E204" t="str">
        <x:f t="shared" si="6"/>
        <x:v>Expression</x:v>
      </x:c>
      <x:c r="F204">
        <x:f ca="1">IF(AND($B$1012=1,LEN($F$1209)&gt;0),$F$1209,HLOOKUP(INDIRECT(ADDRESS(2,COLUMN())),OFFSET($T$2,0,0,ROW()-1,14),ROW()-1,FALSE))</x:f>
        <x:v>0</x:v>
      </x:c>
      <x:c r="G204">
        <x:f ca="1">IF(AND($B$1012=1,LEN($G$1209)&gt;0),$G$1209,HLOOKUP(INDIRECT(ADDRESS(2,COLUMN())),OFFSET($T$2,0,0,ROW()-1,14),ROW()-1,FALSE))</x:f>
        <x:v>0</x:v>
      </x:c>
      <x:c r="H204">
        <x:f ca="1">IF(AND($B$1012=1,LEN($H$1209)&gt;0),$H$1209,HLOOKUP(INDIRECT(ADDRESS(2,COLUMN())),OFFSET($T$2,0,0,ROW()-1,14),ROW()-1,FALSE))</x:f>
        <x:v>0</x:v>
      </x:c>
      <x:c r="I204">
        <x:f ca="1">IF(AND($B$1012=1,LEN($I$1209)&gt;0),$I$1209,HLOOKUP(INDIRECT(ADDRESS(2,COLUMN())),OFFSET($T$2,0,0,ROW()-1,14),ROW()-1,FALSE))</x:f>
        <x:v>0</x:v>
      </x:c>
      <x:c r="J204">
        <x:f ca="1">IF(AND($B$1012=1,LEN($J$1209)&gt;0),$J$1209,HLOOKUP(INDIRECT(ADDRESS(2,COLUMN())),OFFSET($T$2,0,0,ROW()-1,14),ROW()-1,FALSE))</x:f>
        <x:v>0</x:v>
      </x:c>
      <x:c r="K204">
        <x:f ca="1">IF(AND($B$1012=1,LEN($K$1209)&gt;0),$K$1209,HLOOKUP(INDIRECT(ADDRESS(2,COLUMN())),OFFSET($T$2,0,0,ROW()-1,14),ROW()-1,FALSE))</x:f>
        <x:v>0</x:v>
      </x:c>
      <x:c r="L204">
        <x:f ca="1">IF(AND($B$1012=1,LEN($L$1209)&gt;0),$L$1209,HLOOKUP(INDIRECT(ADDRESS(2,COLUMN())),OFFSET($T$2,0,0,ROW()-1,14),ROW()-1,FALSE))</x:f>
        <x:v>0</x:v>
      </x:c>
      <x:c r="M204">
        <x:f ca="1">IF(AND($B$1012=1,LEN($M$1209)&gt;0),$M$1209,HLOOKUP(INDIRECT(ADDRESS(2,COLUMN())),OFFSET($T$2,0,0,ROW()-1,14),ROW()-1,FALSE))</x:f>
        <x:v>0</x:v>
      </x:c>
      <x:c r="N204">
        <x:f ca="1">IF(AND($B$1012=1,LEN($N$1209)&gt;0),$N$1209,HLOOKUP(INDIRECT(ADDRESS(2,COLUMN())),OFFSET($T$2,0,0,ROW()-1,14),ROW()-1,FALSE))</x:f>
        <x:v>0</x:v>
      </x:c>
      <x:c r="O204">
        <x:f ca="1">IF(AND($B$1012=1,LEN($O$1209)&gt;0),$O$1209,HLOOKUP(INDIRECT(ADDRESS(2,COLUMN())),OFFSET($T$2,0,0,ROW()-1,14),ROW()-1,FALSE))</x:f>
        <x:v>0</x:v>
      </x:c>
      <x:c r="P204" t="str">
        <x:f ca="1">IF(AND($B$1012=1,LEN($P$1209)&gt;0),$P$1209,HLOOKUP(INDIRECT(ADDRESS(2,COLUMN())),OFFSET($T$2,0,0,ROW()-1,14),ROW()-1,FALSE))</x:f>
        <x:v/>
      </x:c>
      <x:c r="Q204" t="str">
        <x:f ca="1">IF(AND($B$1012=1,LEN($Q$1209)&gt;0),$Q$1209,HLOOKUP(INDIRECT(ADDRESS(2,COLUMN())),OFFSET($T$2,0,0,ROW()-1,14),ROW()-1,FALSE))</x:f>
        <x:v/>
      </x:c>
      <x:c r="R204" t="str">
        <x:f ca="1">IF(AND($B$1012=1,LEN($R$1209)&gt;0),$R$1209,HLOOKUP(INDIRECT(ADDRESS(2,COLUMN())),OFFSET($T$2,0,0,ROW()-1,14),ROW()-1,FALSE))</x:f>
        <x:v/>
      </x:c>
      <x:c r="S204" t="str">
        <x:f ca="1">IF(AND($B$1012=1,LEN($S$1209)&gt;0),$S$1209,HLOOKUP(INDIRECT(ADDRESS(2,COLUMN())),OFFSET($T$2,0,0,ROW()-1,14),ROW()-1,FALSE))</x:f>
        <x:v/>
      </x:c>
      <x:c r="T204">
        <x:f>0</x:f>
        <x:v>0</x:v>
      </x:c>
      <x:c r="U204">
        <x:f>0</x:f>
        <x:v>0</x:v>
      </x:c>
      <x:c r="V204">
        <x:f>0</x:f>
        <x:v>0</x:v>
      </x:c>
      <x:c r="W204">
        <x:f>0</x:f>
        <x:v>0</x:v>
      </x:c>
      <x:c r="X204">
        <x:f>0</x:f>
        <x:v>0</x:v>
      </x:c>
      <x:c r="Y204">
        <x:f>0</x:f>
        <x:v>0</x:v>
      </x:c>
      <x:c r="Z204">
        <x:f>0</x:f>
        <x:v>0</x:v>
      </x:c>
      <x:c r="AA204">
        <x:f>0</x:f>
        <x:v>0</x:v>
      </x:c>
      <x:c r="AB204">
        <x:f>0</x:f>
        <x:v>0</x:v>
      </x:c>
      <x:c r="AC204">
        <x:f>0</x:f>
        <x:v>0</x:v>
      </x:c>
      <x:c r="AD204" t="str">
        <x:f>""</x:f>
        <x:v/>
      </x:c>
      <x:c r="AE204" t="str">
        <x:f>""</x:f>
        <x:v/>
      </x:c>
      <x:c r="AF204" t="str">
        <x:f>""</x:f>
        <x:v/>
      </x:c>
      <x:c r="AG204" t="str">
        <x:f>""</x:f>
        <x:v/>
      </x:c>
    </x:row>
    <x:row r="205" spans="1:33" x14ac:dyDescent="0.25">
      <x:c r="A205" t="str">
        <x:f>"    Financial"</x:f>
        <x:v xml:space="preserve">    Financial</x:v>
      </x:c>
      <x:c r="B205" t="str">
        <x:f>""</x:f>
        <x:v/>
      </x:c>
      <x:c r="E205" t="str">
        <x:f>"Sum"</x:f>
        <x:v>Sum</x:v>
      </x:c>
      <x:c r="F205">
        <x:f ca="1">IF(ISERROR(IF(SUM($F$206:$F$264) = 0, "", SUM($F$206:$F$264))), "", (IF(SUM($F$206:$F$264) = 0, "", SUM($F$206:$F$264))))</x:f>
        <x:v>837.89880799999992</x:v>
      </x:c>
      <x:c r="G205">
        <x:f ca="1">IF(ISERROR(IF(SUM($G$206:$G$264) = 0, "", SUM($G$206:$G$264))), "", (IF(SUM($G$206:$G$264) = 0, "", SUM($G$206:$G$264))))</x:f>
        <x:v>-3602.0959679999992</x:v>
      </x:c>
      <x:c r="H205">
        <x:f ca="1">IF(ISERROR(IF(SUM($H$206:$H$264) = 0, "", SUM($H$206:$H$264))), "", (IF(SUM($H$206:$H$264) = 0, "", SUM($H$206:$H$264))))</x:f>
        <x:v>-1879.3502660000004</x:v>
      </x:c>
      <x:c r="I205">
        <x:f ca="1">IF(ISERROR(IF(SUM($I$206:$I$264) = 0, "", SUM($I$206:$I$264))), "", (IF(SUM($I$206:$I$264) = 0, "", SUM($I$206:$I$264))))</x:f>
        <x:v>-2493.7900939999995</x:v>
      </x:c>
      <x:c r="J205">
        <x:f ca="1">IF(ISERROR(IF(SUM($J$206:$J$264) = 0, "", SUM($J$206:$J$264))), "", (IF(SUM($J$206:$J$264) = 0, "", SUM($J$206:$J$264))))</x:f>
        <x:v>2367.8581100000001</x:v>
      </x:c>
      <x:c r="K205">
        <x:f ca="1">IF(ISERROR(IF(SUM($K$206:$K$264) = 0, "", SUM($K$206:$K$264))), "", (IF(SUM($K$206:$K$264) = 0, "", SUM($K$206:$K$264))))</x:f>
        <x:v>1710.4432540000003</x:v>
      </x:c>
      <x:c r="L205">
        <x:f ca="1">IF(ISERROR(IF(SUM($L$206:$L$264) = 0, "", SUM($L$206:$L$264))), "", (IF(SUM($L$206:$L$264) = 0, "", SUM($L$206:$L$264))))</x:f>
        <x:v>-2486.7793949999991</x:v>
      </x:c>
      <x:c r="M205">
        <x:f ca="1">IF(ISERROR(IF(SUM($M$206:$M$264) = 0, "", SUM($M$206:$M$264))), "", (IF(SUM($M$206:$M$264) = 0, "", SUM($M$206:$M$264))))</x:f>
        <x:v>1756.4726970000004</x:v>
      </x:c>
      <x:c r="N205">
        <x:f ca="1">IF(ISERROR(IF(SUM($N$206:$N$264) = 0, "", SUM($N$206:$N$264))), "", (IF(SUM($N$206:$N$264) = 0, "", SUM($N$206:$N$264))))</x:f>
        <x:v>18.868501000000176</x:v>
      </x:c>
      <x:c r="O205">
        <x:f ca="1">IF(ISERROR(IF(SUM($O$206:$O$264) = 0, "", SUM($O$206:$O$264))), "", (IF(SUM($O$206:$O$264) = 0, "", SUM($O$206:$O$264))))</x:f>
        <x:v>1646.5106760000001</x:v>
      </x:c>
      <x:c r="P205">
        <x:f ca="1">IF(ISERROR(IF(SUM($P$206:$P$264) = 0, "", SUM($P$206:$P$264))), "", (IF(SUM($P$206:$P$264) = 0, "", SUM($P$206:$P$264))))</x:f>
        <x:v>-135.07372799999993</x:v>
      </x:c>
      <x:c r="Q205">
        <x:f ca="1">IF(ISERROR(IF(SUM($Q$206:$Q$264) = 0, "", SUM($Q$206:$Q$264))), "", (IF(SUM($Q$206:$Q$264) = 0, "", SUM($Q$206:$Q$264))))</x:f>
        <x:v>-1658.9968210000004</x:v>
      </x:c>
      <x:c r="R205">
        <x:f ca="1">IF(ISERROR(IF(SUM($R$206:$R$264) = 0, "", SUM($R$206:$R$264))), "", (IF(SUM($R$206:$R$264) = 0, "", SUM($R$206:$R$264))))</x:f>
        <x:v>162.07098699999995</x:v>
      </x:c>
      <x:c r="S205">
        <x:f ca="1">IF(ISERROR(IF(SUM($S$206:$S$264) = 0, "", SUM($S$206:$S$264))), "", (IF(SUM($S$206:$S$264) = 0, "", SUM($S$206:$S$264))))</x:f>
        <x:v>1364.5086769999996</x:v>
      </x:c>
      <x:c r="T205">
        <x:f>837.898808</x:f>
        <x:v>837.89880800000003</x:v>
      </x:c>
      <x:c r="U205">
        <x:f>-3602.095968</x:f>
        <x:v>-3602.0959680000001</x:v>
      </x:c>
      <x:c r="V205">
        <x:f>-1879.350266</x:f>
        <x:v>-1879.3502659999999</x:v>
      </x:c>
      <x:c r="W205">
        <x:f>-2493.790094</x:f>
        <x:v>-2493.790094</x:v>
      </x:c>
      <x:c r="X205">
        <x:f>2367.85811</x:f>
        <x:v>2367.8581100000001</x:v>
      </x:c>
      <x:c r="Y205">
        <x:f>1710.443254</x:f>
        <x:v>1710.443254</x:v>
      </x:c>
      <x:c r="Z205">
        <x:f>-2486.779395</x:f>
        <x:v>-2486.779395</x:v>
      </x:c>
      <x:c r="AA205">
        <x:f>1756.472697</x:f>
        <x:v>1756.4726969999999</x:v>
      </x:c>
      <x:c r="AB205">
        <x:f>18.868501</x:f>
        <x:v>18.868500999999998</x:v>
      </x:c>
      <x:c r="AC205">
        <x:f>1646.510676</x:f>
        <x:v>1646.5106760000001</x:v>
      </x:c>
      <x:c r="AD205">
        <x:f>-135.073728</x:f>
        <x:v>-135.07372799999999</x:v>
      </x:c>
      <x:c r="AE205">
        <x:f>-1658.996821</x:f>
        <x:v>-1658.996821</x:v>
      </x:c>
      <x:c r="AF205">
        <x:f>162.070987</x:f>
        <x:v>162.070987</x:v>
      </x:c>
      <x:c r="AG205">
        <x:f>1364.508677</x:f>
        <x:v>1364.508677</x:v>
      </x:c>
    </x:row>
    <x:row r="206" spans="1:33" x14ac:dyDescent="0.25">
      <x:c r="A206" t="str">
        <x:f>"        Financial Select Sector SPDR F"</x:f>
        <x:v xml:space="preserve">        Financial Select Sector SPDR F</x:v>
      </x:c>
      <x:c r="B206" t="str">
        <x:f>"XLF US Equity"</x:f>
        <x:v>XLF US Equity</x:v>
      </x:c>
      <x:c r="E206" t="str">
        <x:f t="shared" ref="E206:E237" si="7">"Expression"</x:f>
        <x:v>Expression</x:v>
      </x:c>
      <x:c r="F206">
        <x:f ca="1">IF(AND($B$1012=1,LEN($F$1210)&gt;0),$F$1210,HLOOKUP(INDIRECT(ADDRESS(2,COLUMN())),OFFSET($T$2,0,0,ROW()-1,14),ROW()-1,FALSE))</x:f>
        <x:v>536.72005300000001</x:v>
      </x:c>
      <x:c r="G206">
        <x:f ca="1">IF(AND($B$1012=1,LEN($G$1210)&gt;0),$G$1210,HLOOKUP(INDIRECT(ADDRESS(2,COLUMN())),OFFSET($T$2,0,0,ROW()-1,14),ROW()-1,FALSE))</x:f>
        <x:v>-2082.9097769999998</x:v>
      </x:c>
      <x:c r="H206">
        <x:f ca="1">IF(AND($B$1012=1,LEN($H$1210)&gt;0),$H$1210,HLOOKUP(INDIRECT(ADDRESS(2,COLUMN())),OFFSET($T$2,0,0,ROW()-1,14),ROW()-1,FALSE))</x:f>
        <x:v>-1495.6664430000001</x:v>
      </x:c>
      <x:c r="I206">
        <x:f ca="1">IF(AND($B$1012=1,LEN($I$1210)&gt;0),$I$1210,HLOOKUP(INDIRECT(ADDRESS(2,COLUMN())),OFFSET($T$2,0,0,ROW()-1,14),ROW()-1,FALSE))</x:f>
        <x:v>-1834.9660100000001</x:v>
      </x:c>
      <x:c r="J206">
        <x:f ca="1">IF(AND($B$1012=1,LEN($J$1210)&gt;0),$J$1210,HLOOKUP(INDIRECT(ADDRESS(2,COLUMN())),OFFSET($T$2,0,0,ROW()-1,14),ROW()-1,FALSE))</x:f>
        <x:v>1855.5535279999999</x:v>
      </x:c>
      <x:c r="K206">
        <x:f ca="1">IF(AND($B$1012=1,LEN($K$1210)&gt;0),$K$1210,HLOOKUP(INDIRECT(ADDRESS(2,COLUMN())),OFFSET($T$2,0,0,ROW()-1,14),ROW()-1,FALSE))</x:f>
        <x:v>2161.6714889999998</x:v>
      </x:c>
      <x:c r="L206">
        <x:f ca="1">IF(AND($B$1012=1,LEN($L$1210)&gt;0),$L$1210,HLOOKUP(INDIRECT(ADDRESS(2,COLUMN())),OFFSET($T$2,0,0,ROW()-1,14),ROW()-1,FALSE))</x:f>
        <x:v>-2437.9843519999999</x:v>
      </x:c>
      <x:c r="M206">
        <x:f ca="1">IF(AND($B$1012=1,LEN($M$1210)&gt;0),$M$1210,HLOOKUP(INDIRECT(ADDRESS(2,COLUMN())),OFFSET($T$2,0,0,ROW()-1,14),ROW()-1,FALSE))</x:f>
        <x:v>1897.458329</x:v>
      </x:c>
      <x:c r="N206">
        <x:f ca="1">IF(AND($B$1012=1,LEN($N$1210)&gt;0),$N$1210,HLOOKUP(INDIRECT(ADDRESS(2,COLUMN())),OFFSET($T$2,0,0,ROW()-1,14),ROW()-1,FALSE))</x:f>
        <x:v>-590.36823300000003</x:v>
      </x:c>
      <x:c r="O206">
        <x:f ca="1">IF(AND($B$1012=1,LEN($O$1210)&gt;0),$O$1210,HLOOKUP(INDIRECT(ADDRESS(2,COLUMN())),OFFSET($T$2,0,0,ROW()-1,14),ROW()-1,FALSE))</x:f>
        <x:v>560.574883</x:v>
      </x:c>
      <x:c r="P206">
        <x:f ca="1">IF(AND($B$1012=1,LEN($P$1210)&gt;0),$P$1210,HLOOKUP(INDIRECT(ADDRESS(2,COLUMN())),OFFSET($T$2,0,0,ROW()-1,14),ROW()-1,FALSE))</x:f>
        <x:v>228.42452</x:v>
      </x:c>
      <x:c r="Q206">
        <x:f ca="1">IF(AND($B$1012=1,LEN($Q$1210)&gt;0),$Q$1210,HLOOKUP(INDIRECT(ADDRESS(2,COLUMN())),OFFSET($T$2,0,0,ROW()-1,14),ROW()-1,FALSE))</x:f>
        <x:v>-454.58709700000003</x:v>
      </x:c>
      <x:c r="R206">
        <x:f ca="1">IF(AND($B$1012=1,LEN($R$1210)&gt;0),$R$1210,HLOOKUP(INDIRECT(ADDRESS(2,COLUMN())),OFFSET($T$2,0,0,ROW()-1,14),ROW()-1,FALSE))</x:f>
        <x:v>318.11667399999999</x:v>
      </x:c>
      <x:c r="S206">
        <x:f ca="1">IF(AND($B$1012=1,LEN($S$1210)&gt;0),$S$1210,HLOOKUP(INDIRECT(ADDRESS(2,COLUMN())),OFFSET($T$2,0,0,ROW()-1,14),ROW()-1,FALSE))</x:f>
        <x:v>1021.459733</x:v>
      </x:c>
      <x:c r="T206">
        <x:f>536.720053</x:f>
        <x:v>536.72005300000001</x:v>
      </x:c>
      <x:c r="U206">
        <x:f>-2082.909777</x:f>
        <x:v>-2082.9097769999998</x:v>
      </x:c>
      <x:c r="V206">
        <x:f>-1495.666443</x:f>
        <x:v>-1495.6664430000001</x:v>
      </x:c>
      <x:c r="W206">
        <x:f>-1834.96601</x:f>
        <x:v>-1834.9660100000001</x:v>
      </x:c>
      <x:c r="X206">
        <x:f>1855.553528</x:f>
        <x:v>1855.5535279999999</x:v>
      </x:c>
      <x:c r="Y206">
        <x:f>2161.671489</x:f>
        <x:v>2161.6714889999998</x:v>
      </x:c>
      <x:c r="Z206">
        <x:f>-2437.984352</x:f>
        <x:v>-2437.9843519999999</x:v>
      </x:c>
      <x:c r="AA206">
        <x:f>1897.458329</x:f>
        <x:v>1897.458329</x:v>
      </x:c>
      <x:c r="AB206">
        <x:f>-590.368233</x:f>
        <x:v>-590.36823300000003</x:v>
      </x:c>
      <x:c r="AC206">
        <x:f>560.574883</x:f>
        <x:v>560.574883</x:v>
      </x:c>
      <x:c r="AD206">
        <x:f>228.42452</x:f>
        <x:v>228.42452</x:v>
      </x:c>
      <x:c r="AE206">
        <x:f>-454.587097</x:f>
        <x:v>-454.58709700000003</x:v>
      </x:c>
      <x:c r="AF206">
        <x:f>318.116674</x:f>
        <x:v>318.11667399999999</x:v>
      </x:c>
      <x:c r="AG206">
        <x:f>1021.459733</x:f>
        <x:v>1021.459733</x:v>
      </x:c>
    </x:row>
    <x:row r="207" spans="1:33" x14ac:dyDescent="0.25">
      <x:c r="A207" t="str">
        <x:f>"        Vanguard Financials ETF"</x:f>
        <x:v xml:space="preserve">        Vanguard Financials ETF</x:v>
      </x:c>
      <x:c r="B207" t="str">
        <x:f>"VFH US Equity"</x:f>
        <x:v>VFH US Equity</x:v>
      </x:c>
      <x:c r="E207" t="str">
        <x:f t="shared" si="7"/>
        <x:v>Expression</x:v>
      </x:c>
      <x:c r="F207">
        <x:f ca="1">IF(AND($B$1012=1,LEN($F$1211)&gt;0),$F$1211,HLOOKUP(INDIRECT(ADDRESS(2,COLUMN())),OFFSET($T$2,0,0,ROW()-1,14),ROW()-1,FALSE))</x:f>
        <x:v>493.70336099999997</x:v>
      </x:c>
      <x:c r="G207">
        <x:f ca="1">IF(AND($B$1012=1,LEN($G$1211)&gt;0),$G$1211,HLOOKUP(INDIRECT(ADDRESS(2,COLUMN())),OFFSET($T$2,0,0,ROW()-1,14),ROW()-1,FALSE))</x:f>
        <x:v>-813.37978999999996</x:v>
      </x:c>
      <x:c r="H207">
        <x:f ca="1">IF(AND($B$1012=1,LEN($H$1211)&gt;0),$H$1211,HLOOKUP(INDIRECT(ADDRESS(2,COLUMN())),OFFSET($T$2,0,0,ROW()-1,14),ROW()-1,FALSE))</x:f>
        <x:v>-78.3</x:v>
      </x:c>
      <x:c r="I207">
        <x:f ca="1">IF(AND($B$1012=1,LEN($I$1211)&gt;0),$I$1211,HLOOKUP(INDIRECT(ADDRESS(2,COLUMN())),OFFSET($T$2,0,0,ROW()-1,14),ROW()-1,FALSE))</x:f>
        <x:v>-26.032795</x:v>
      </x:c>
      <x:c r="J207">
        <x:f ca="1">IF(AND($B$1012=1,LEN($J$1211)&gt;0),$J$1211,HLOOKUP(INDIRECT(ADDRESS(2,COLUMN())),OFFSET($T$2,0,0,ROW()-1,14),ROW()-1,FALSE))</x:f>
        <x:v>615.80840899999998</x:v>
      </x:c>
      <x:c r="K207">
        <x:f ca="1">IF(AND($B$1012=1,LEN($K$1211)&gt;0),$K$1211,HLOOKUP(INDIRECT(ADDRESS(2,COLUMN())),OFFSET($T$2,0,0,ROW()-1,14),ROW()-1,FALSE))</x:f>
        <x:v>-233.57770300000001</x:v>
      </x:c>
      <x:c r="L207">
        <x:f ca="1">IF(AND($B$1012=1,LEN($L$1211)&gt;0),$L$1211,HLOOKUP(INDIRECT(ADDRESS(2,COLUMN())),OFFSET($T$2,0,0,ROW()-1,14),ROW()-1,FALSE))</x:f>
        <x:v>181.015987</x:v>
      </x:c>
      <x:c r="M207">
        <x:f ca="1">IF(AND($B$1012=1,LEN($M$1211)&gt;0),$M$1211,HLOOKUP(INDIRECT(ADDRESS(2,COLUMN())),OFFSET($T$2,0,0,ROW()-1,14),ROW()-1,FALSE))</x:f>
        <x:v>-16.407592999999999</x:v>
      </x:c>
      <x:c r="N207">
        <x:f ca="1">IF(AND($B$1012=1,LEN($N$1211)&gt;0),$N$1211,HLOOKUP(INDIRECT(ADDRESS(2,COLUMN())),OFFSET($T$2,0,0,ROW()-1,14),ROW()-1,FALSE))</x:f>
        <x:v>-321.78125</x:v>
      </x:c>
      <x:c r="O207">
        <x:f ca="1">IF(AND($B$1012=1,LEN($O$1211)&gt;0),$O$1211,HLOOKUP(INDIRECT(ADDRESS(2,COLUMN())),OFFSET($T$2,0,0,ROW()-1,14),ROW()-1,FALSE))</x:f>
        <x:v>-135.38433000000001</x:v>
      </x:c>
      <x:c r="P207">
        <x:f ca="1">IF(AND($B$1012=1,LEN($P$1211)&gt;0),$P$1211,HLOOKUP(INDIRECT(ADDRESS(2,COLUMN())),OFFSET($T$2,0,0,ROW()-1,14),ROW()-1,FALSE))</x:f>
        <x:v>54.988999999999997</x:v>
      </x:c>
      <x:c r="Q207">
        <x:f ca="1">IF(AND($B$1012=1,LEN($Q$1211)&gt;0),$Q$1211,HLOOKUP(INDIRECT(ADDRESS(2,COLUMN())),OFFSET($T$2,0,0,ROW()-1,14),ROW()-1,FALSE))</x:f>
        <x:v>-189.97125</x:v>
      </x:c>
      <x:c r="R207">
        <x:f ca="1">IF(AND($B$1012=1,LEN($R$1211)&gt;0),$R$1211,HLOOKUP(INDIRECT(ADDRESS(2,COLUMN())),OFFSET($T$2,0,0,ROW()-1,14),ROW()-1,FALSE))</x:f>
        <x:v>-4.3817500000000003</x:v>
      </x:c>
      <x:c r="S207">
        <x:f ca="1">IF(AND($B$1012=1,LEN($S$1211)&gt;0),$S$1211,HLOOKUP(INDIRECT(ADDRESS(2,COLUMN())),OFFSET($T$2,0,0,ROW()-1,14),ROW()-1,FALSE))</x:f>
        <x:v>-82.282917999999995</x:v>
      </x:c>
      <x:c r="T207">
        <x:f>493.703361</x:f>
        <x:v>493.70336099999997</x:v>
      </x:c>
      <x:c r="U207">
        <x:f>-813.37979</x:f>
        <x:v>-813.37978999999996</x:v>
      </x:c>
      <x:c r="V207">
        <x:f>-78.3</x:f>
        <x:v>-78.3</x:v>
      </x:c>
      <x:c r="W207">
        <x:f>-26.032795</x:f>
        <x:v>-26.032795</x:v>
      </x:c>
      <x:c r="X207">
        <x:f>615.808409</x:f>
        <x:v>615.80840899999998</x:v>
      </x:c>
      <x:c r="Y207">
        <x:f>-233.577703</x:f>
        <x:v>-233.57770300000001</x:v>
      </x:c>
      <x:c r="Z207">
        <x:f>181.015987</x:f>
        <x:v>181.015987</x:v>
      </x:c>
      <x:c r="AA207">
        <x:f>-16.407593</x:f>
        <x:v>-16.407592999999999</x:v>
      </x:c>
      <x:c r="AB207">
        <x:f>-321.78125</x:f>
        <x:v>-321.78125</x:v>
      </x:c>
      <x:c r="AC207">
        <x:f>-135.38433</x:f>
        <x:v>-135.38433000000001</x:v>
      </x:c>
      <x:c r="AD207">
        <x:f>54.989</x:f>
        <x:v>54.988999999999997</x:v>
      </x:c>
      <x:c r="AE207">
        <x:f>-189.97125</x:f>
        <x:v>-189.97125</x:v>
      </x:c>
      <x:c r="AF207">
        <x:f>-4.38175</x:f>
        <x:v>-4.3817500000000003</x:v>
      </x:c>
      <x:c r="AG207">
        <x:f>-82.282918</x:f>
        <x:v>-82.282917999999995</x:v>
      </x:c>
    </x:row>
    <x:row r="208" spans="1:33" x14ac:dyDescent="0.25">
      <x:c r="A208" t="str">
        <x:f>"        SPDR S&amp;P Regional Banking ETF"</x:f>
        <x:v xml:space="preserve">        SPDR S&amp;P Regional Banking ETF</x:v>
      </x:c>
      <x:c r="B208" t="str">
        <x:f>"KRE US Equity"</x:f>
        <x:v>KRE US Equity</x:v>
      </x:c>
      <x:c r="E208" t="str">
        <x:f t="shared" si="7"/>
        <x:v>Expression</x:v>
      </x:c>
      <x:c r="F208">
        <x:f ca="1">IF(AND($B$1012=1,LEN($F$1212)&gt;0),$F$1212,HLOOKUP(INDIRECT(ADDRESS(2,COLUMN())),OFFSET($T$2,0,0,ROW()-1,14),ROW()-1,FALSE))</x:f>
        <x:v>192.63999000000001</x:v>
      </x:c>
      <x:c r="G208">
        <x:f ca="1">IF(AND($B$1012=1,LEN($G$1212)&gt;0),$G$1212,HLOOKUP(INDIRECT(ADDRESS(2,COLUMN())),OFFSET($T$2,0,0,ROW()-1,14),ROW()-1,FALSE))</x:f>
        <x:v>-117.832993</x:v>
      </x:c>
      <x:c r="H208">
        <x:f ca="1">IF(AND($B$1012=1,LEN($H$1212)&gt;0),$H$1212,HLOOKUP(INDIRECT(ADDRESS(2,COLUMN())),OFFSET($T$2,0,0,ROW()-1,14),ROW()-1,FALSE))</x:f>
        <x:v>-133.058751</x:v>
      </x:c>
      <x:c r="I208">
        <x:f ca="1">IF(AND($B$1012=1,LEN($I$1212)&gt;0),$I$1212,HLOOKUP(INDIRECT(ADDRESS(2,COLUMN())),OFFSET($T$2,0,0,ROW()-1,14),ROW()-1,FALSE))</x:f>
        <x:v>-408.56326999999999</x:v>
      </x:c>
      <x:c r="J208">
        <x:f ca="1">IF(AND($B$1012=1,LEN($J$1212)&gt;0),$J$1212,HLOOKUP(INDIRECT(ADDRESS(2,COLUMN())),OFFSET($T$2,0,0,ROW()-1,14),ROW()-1,FALSE))</x:f>
        <x:v>96.032158999999993</x:v>
      </x:c>
      <x:c r="K208">
        <x:f ca="1">IF(AND($B$1012=1,LEN($K$1212)&gt;0),$K$1212,HLOOKUP(INDIRECT(ADDRESS(2,COLUMN())),OFFSET($T$2,0,0,ROW()-1,14),ROW()-1,FALSE))</x:f>
        <x:v>63.811650999999998</x:v>
      </x:c>
      <x:c r="L208">
        <x:f ca="1">IF(AND($B$1012=1,LEN($L$1212)&gt;0),$L$1212,HLOOKUP(INDIRECT(ADDRESS(2,COLUMN())),OFFSET($T$2,0,0,ROW()-1,14),ROW()-1,FALSE))</x:f>
        <x:v>9.0982999999999994E-2</x:v>
      </x:c>
      <x:c r="M208">
        <x:f ca="1">IF(AND($B$1012=1,LEN($M$1212)&gt;0),$M$1212,HLOOKUP(INDIRECT(ADDRESS(2,COLUMN())),OFFSET($T$2,0,0,ROW()-1,14),ROW()-1,FALSE))</x:f>
        <x:v>208.84224499999999</x:v>
      </x:c>
      <x:c r="N208">
        <x:f ca="1">IF(AND($B$1012=1,LEN($N$1212)&gt;0),$N$1212,HLOOKUP(INDIRECT(ADDRESS(2,COLUMN())),OFFSET($T$2,0,0,ROW()-1,14),ROW()-1,FALSE))</x:f>
        <x:v>1363.877984</x:v>
      </x:c>
      <x:c r="O208">
        <x:f ca="1">IF(AND($B$1012=1,LEN($O$1212)&gt;0),$O$1212,HLOOKUP(INDIRECT(ADDRESS(2,COLUMN())),OFFSET($T$2,0,0,ROW()-1,14),ROW()-1,FALSE))</x:f>
        <x:v>-203.99972399999999</x:v>
      </x:c>
      <x:c r="P208">
        <x:f ca="1">IF(AND($B$1012=1,LEN($P$1212)&gt;0),$P$1212,HLOOKUP(INDIRECT(ADDRESS(2,COLUMN())),OFFSET($T$2,0,0,ROW()-1,14),ROW()-1,FALSE))</x:f>
        <x:v>-241.37616399999999</x:v>
      </x:c>
      <x:c r="Q208">
        <x:f ca="1">IF(AND($B$1012=1,LEN($Q$1212)&gt;0),$Q$1212,HLOOKUP(INDIRECT(ADDRESS(2,COLUMN())),OFFSET($T$2,0,0,ROW()-1,14),ROW()-1,FALSE))</x:f>
        <x:v>-277.785077</x:v>
      </x:c>
      <x:c r="R208">
        <x:f ca="1">IF(AND($B$1012=1,LEN($R$1212)&gt;0),$R$1212,HLOOKUP(INDIRECT(ADDRESS(2,COLUMN())),OFFSET($T$2,0,0,ROW()-1,14),ROW()-1,FALSE))</x:f>
        <x:v>-343.93678799999998</x:v>
      </x:c>
      <x:c r="S208">
        <x:f ca="1">IF(AND($B$1012=1,LEN($S$1212)&gt;0),$S$1212,HLOOKUP(INDIRECT(ADDRESS(2,COLUMN())),OFFSET($T$2,0,0,ROW()-1,14),ROW()-1,FALSE))</x:f>
        <x:v>244.69521900000001</x:v>
      </x:c>
      <x:c r="T208">
        <x:f>192.63999</x:f>
        <x:v>192.63999000000001</x:v>
      </x:c>
      <x:c r="U208">
        <x:f>-117.832993</x:f>
        <x:v>-117.832993</x:v>
      </x:c>
      <x:c r="V208">
        <x:f>-133.058751</x:f>
        <x:v>-133.058751</x:v>
      </x:c>
      <x:c r="W208">
        <x:f>-408.56327</x:f>
        <x:v>-408.56326999999999</x:v>
      </x:c>
      <x:c r="X208">
        <x:f>96.032159</x:f>
        <x:v>96.032158999999993</x:v>
      </x:c>
      <x:c r="Y208">
        <x:f>63.811651</x:f>
        <x:v>63.811650999999998</x:v>
      </x:c>
      <x:c r="Z208">
        <x:f>0.090983</x:f>
        <x:v>9.0982999999999994E-2</x:v>
      </x:c>
      <x:c r="AA208">
        <x:f>208.842245</x:f>
        <x:v>208.84224499999999</x:v>
      </x:c>
      <x:c r="AB208">
        <x:f>1363.877984</x:f>
        <x:v>1363.877984</x:v>
      </x:c>
      <x:c r="AC208">
        <x:f>-203.999724</x:f>
        <x:v>-203.99972399999999</x:v>
      </x:c>
      <x:c r="AD208">
        <x:f>-241.376164</x:f>
        <x:v>-241.37616399999999</x:v>
      </x:c>
      <x:c r="AE208">
        <x:f>-277.785077</x:f>
        <x:v>-277.785077</x:v>
      </x:c>
      <x:c r="AF208">
        <x:f>-343.936788</x:f>
        <x:v>-343.93678799999998</x:v>
      </x:c>
      <x:c r="AG208">
        <x:f>244.695219</x:f>
        <x:v>244.69521900000001</x:v>
      </x:c>
    </x:row>
    <x:row r="209" spans="1:33" x14ac:dyDescent="0.25">
      <x:c r="A209" t="str">
        <x:f>"        SPDR S&amp;P Bank ETF"</x:f>
        <x:v xml:space="preserve">        SPDR S&amp;P Bank ETF</x:v>
      </x:c>
      <x:c r="B209" t="str">
        <x:f>"KBE US Equity"</x:f>
        <x:v>KBE US Equity</x:v>
      </x:c>
      <x:c r="E209" t="str">
        <x:f t="shared" si="7"/>
        <x:v>Expression</x:v>
      </x:c>
      <x:c r="F209">
        <x:f ca="1">IF(AND($B$1012=1,LEN($F$1213)&gt;0),$F$1213,HLOOKUP(INDIRECT(ADDRESS(2,COLUMN())),OFFSET($T$2,0,0,ROW()-1,14),ROW()-1,FALSE))</x:f>
        <x:v>-13.793454000000001</x:v>
      </x:c>
      <x:c r="G209">
        <x:f ca="1">IF(AND($B$1012=1,LEN($G$1213)&gt;0),$G$1213,HLOOKUP(INDIRECT(ADDRESS(2,COLUMN())),OFFSET($T$2,0,0,ROW()-1,14),ROW()-1,FALSE))</x:f>
        <x:v>-39.768866000000003</x:v>
      </x:c>
      <x:c r="H209">
        <x:f ca="1">IF(AND($B$1012=1,LEN($H$1213)&gt;0),$H$1213,HLOOKUP(INDIRECT(ADDRESS(2,COLUMN())),OFFSET($T$2,0,0,ROW()-1,14),ROW()-1,FALSE))</x:f>
        <x:v>-213.699309</x:v>
      </x:c>
      <x:c r="I209">
        <x:f ca="1">IF(AND($B$1012=1,LEN($I$1213)&gt;0),$I$1213,HLOOKUP(INDIRECT(ADDRESS(2,COLUMN())),OFFSET($T$2,0,0,ROW()-1,14),ROW()-1,FALSE))</x:f>
        <x:v>75.328166999999993</x:v>
      </x:c>
      <x:c r="J209">
        <x:f ca="1">IF(AND($B$1012=1,LEN($J$1213)&gt;0),$J$1213,HLOOKUP(INDIRECT(ADDRESS(2,COLUMN())),OFFSET($T$2,0,0,ROW()-1,14),ROW()-1,FALSE))</x:f>
        <x:v>-150.09853699999999</x:v>
      </x:c>
      <x:c r="K209">
        <x:f ca="1">IF(AND($B$1012=1,LEN($K$1213)&gt;0),$K$1213,HLOOKUP(INDIRECT(ADDRESS(2,COLUMN())),OFFSET($T$2,0,0,ROW()-1,14),ROW()-1,FALSE))</x:f>
        <x:v>97.073419999999999</x:v>
      </x:c>
      <x:c r="L209">
        <x:f ca="1">IF(AND($B$1012=1,LEN($L$1213)&gt;0),$L$1213,HLOOKUP(INDIRECT(ADDRESS(2,COLUMN())),OFFSET($T$2,0,0,ROW()-1,14),ROW()-1,FALSE))</x:f>
        <x:v>-103.25866000000001</x:v>
      </x:c>
      <x:c r="M209">
        <x:f ca="1">IF(AND($B$1012=1,LEN($M$1213)&gt;0),$M$1213,HLOOKUP(INDIRECT(ADDRESS(2,COLUMN())),OFFSET($T$2,0,0,ROW()-1,14),ROW()-1,FALSE))</x:f>
        <x:v>5.684717</x:v>
      </x:c>
      <x:c r="N209">
        <x:f ca="1">IF(AND($B$1012=1,LEN($N$1213)&gt;0),$N$1213,HLOOKUP(INDIRECT(ADDRESS(2,COLUMN())),OFFSET($T$2,0,0,ROW()-1,14),ROW()-1,FALSE))</x:f>
        <x:v>118.105272</x:v>
      </x:c>
      <x:c r="O209">
        <x:f ca="1">IF(AND($B$1012=1,LEN($O$1213)&gt;0),$O$1213,HLOOKUP(INDIRECT(ADDRESS(2,COLUMN())),OFFSET($T$2,0,0,ROW()-1,14),ROW()-1,FALSE))</x:f>
        <x:v>-90.900735999999995</x:v>
      </x:c>
      <x:c r="P209">
        <x:f ca="1">IF(AND($B$1012=1,LEN($P$1213)&gt;0),$P$1213,HLOOKUP(INDIRECT(ADDRESS(2,COLUMN())),OFFSET($T$2,0,0,ROW()-1,14),ROW()-1,FALSE))</x:f>
        <x:v>-59.007643999999999</x:v>
      </x:c>
      <x:c r="Q209">
        <x:f ca="1">IF(AND($B$1012=1,LEN($Q$1213)&gt;0),$Q$1213,HLOOKUP(INDIRECT(ADDRESS(2,COLUMN())),OFFSET($T$2,0,0,ROW()-1,14),ROW()-1,FALSE))</x:f>
        <x:v>-289.22641499999997</x:v>
      </x:c>
      <x:c r="R209">
        <x:f ca="1">IF(AND($B$1012=1,LEN($R$1213)&gt;0),$R$1213,HLOOKUP(INDIRECT(ADDRESS(2,COLUMN())),OFFSET($T$2,0,0,ROW()-1,14),ROW()-1,FALSE))</x:f>
        <x:v>-93.245087999999996</x:v>
      </x:c>
      <x:c r="S209">
        <x:f ca="1">IF(AND($B$1012=1,LEN($S$1213)&gt;0),$S$1213,HLOOKUP(INDIRECT(ADDRESS(2,COLUMN())),OFFSET($T$2,0,0,ROW()-1,14),ROW()-1,FALSE))</x:f>
        <x:v>103.98148</x:v>
      </x:c>
      <x:c r="T209">
        <x:f>-13.793454</x:f>
        <x:v>-13.793454000000001</x:v>
      </x:c>
      <x:c r="U209">
        <x:f>-39.768866</x:f>
        <x:v>-39.768866000000003</x:v>
      </x:c>
      <x:c r="V209">
        <x:f>-213.699309</x:f>
        <x:v>-213.699309</x:v>
      </x:c>
      <x:c r="W209">
        <x:f>75.328167</x:f>
        <x:v>75.328166999999993</x:v>
      </x:c>
      <x:c r="X209">
        <x:f>-150.098537</x:f>
        <x:v>-150.09853699999999</x:v>
      </x:c>
      <x:c r="Y209">
        <x:f>97.07342</x:f>
        <x:v>97.073419999999999</x:v>
      </x:c>
      <x:c r="Z209">
        <x:f>-103.25866</x:f>
        <x:v>-103.25866000000001</x:v>
      </x:c>
      <x:c r="AA209">
        <x:f>5.684717</x:f>
        <x:v>5.684717</x:v>
      </x:c>
      <x:c r="AB209">
        <x:f>118.105272</x:f>
        <x:v>118.105272</x:v>
      </x:c>
      <x:c r="AC209">
        <x:f>-90.900736</x:f>
        <x:v>-90.900735999999995</x:v>
      </x:c>
      <x:c r="AD209">
        <x:f>-59.007644</x:f>
        <x:v>-59.007643999999999</x:v>
      </x:c>
      <x:c r="AE209">
        <x:f>-289.226415</x:f>
        <x:v>-289.22641499999997</x:v>
      </x:c>
      <x:c r="AF209">
        <x:f>-93.245088</x:f>
        <x:v>-93.245087999999996</x:v>
      </x:c>
      <x:c r="AG209">
        <x:f>103.98148</x:f>
        <x:v>103.98148</x:v>
      </x:c>
    </x:row>
    <x:row r="210" spans="1:33" x14ac:dyDescent="0.25">
      <x:c r="A210" t="str">
        <x:f>"        iShares US Financials ETF"</x:f>
        <x:v xml:space="preserve">        iShares US Financials ETF</x:v>
      </x:c>
      <x:c r="B210" t="str">
        <x:f>"IYF US Equity"</x:f>
        <x:v>IYF US Equity</x:v>
      </x:c>
      <x:c r="E210" t="str">
        <x:f t="shared" si="7"/>
        <x:v>Expression</x:v>
      </x:c>
      <x:c r="F210">
        <x:f ca="1">IF(AND($B$1012=1,LEN($F$1214)&gt;0),$F$1214,HLOOKUP(INDIRECT(ADDRESS(2,COLUMN())),OFFSET($T$2,0,0,ROW()-1,14),ROW()-1,FALSE))</x:f>
        <x:v>-92.118567999999996</x:v>
      </x:c>
      <x:c r="G210">
        <x:f ca="1">IF(AND($B$1012=1,LEN($G$1214)&gt;0),$G$1214,HLOOKUP(INDIRECT(ADDRESS(2,COLUMN())),OFFSET($T$2,0,0,ROW()-1,14),ROW()-1,FALSE))</x:f>
        <x:v>7.2681849999999999</x:v>
      </x:c>
      <x:c r="H210">
        <x:f ca="1">IF(AND($B$1012=1,LEN($H$1214)&gt;0),$H$1214,HLOOKUP(INDIRECT(ADDRESS(2,COLUMN())),OFFSET($T$2,0,0,ROW()-1,14),ROW()-1,FALSE))</x:f>
        <x:v>33.365008000000003</x:v>
      </x:c>
      <x:c r="I210">
        <x:f ca="1">IF(AND($B$1012=1,LEN($I$1214)&gt;0),$I$1214,HLOOKUP(INDIRECT(ADDRESS(2,COLUMN())),OFFSET($T$2,0,0,ROW()-1,14),ROW()-1,FALSE))</x:f>
        <x:v>0.17649500000000001</x:v>
      </x:c>
      <x:c r="J210">
        <x:f ca="1">IF(AND($B$1012=1,LEN($J$1214)&gt;0),$J$1214,HLOOKUP(INDIRECT(ADDRESS(2,COLUMN())),OFFSET($T$2,0,0,ROW()-1,14),ROW()-1,FALSE))</x:f>
        <x:v>3.2392400000000001</x:v>
      </x:c>
      <x:c r="K210">
        <x:f ca="1">IF(AND($B$1012=1,LEN($K$1214)&gt;0),$K$1214,HLOOKUP(INDIRECT(ADDRESS(2,COLUMN())),OFFSET($T$2,0,0,ROW()-1,14),ROW()-1,FALSE))</x:f>
        <x:v>-10.94065</x:v>
      </x:c>
      <x:c r="L210">
        <x:f ca="1">IF(AND($B$1012=1,LEN($L$1214)&gt;0),$L$1214,HLOOKUP(INDIRECT(ADDRESS(2,COLUMN())),OFFSET($T$2,0,0,ROW()-1,14),ROW()-1,FALSE))</x:f>
        <x:v>-56.595889999999997</x:v>
      </x:c>
      <x:c r="M210">
        <x:f ca="1">IF(AND($B$1012=1,LEN($M$1214)&gt;0),$M$1214,HLOOKUP(INDIRECT(ADDRESS(2,COLUMN())),OFFSET($T$2,0,0,ROW()-1,14),ROW()-1,FALSE))</x:f>
        <x:v>-21.674610000000001</x:v>
      </x:c>
      <x:c r="N210">
        <x:f ca="1">IF(AND($B$1012=1,LEN($N$1214)&gt;0),$N$1214,HLOOKUP(INDIRECT(ADDRESS(2,COLUMN())),OFFSET($T$2,0,0,ROW()-1,14),ROW()-1,FALSE))</x:f>
        <x:v>-62.941425000000002</x:v>
      </x:c>
      <x:c r="O210">
        <x:f ca="1">IF(AND($B$1012=1,LEN($O$1214)&gt;0),$O$1214,HLOOKUP(INDIRECT(ADDRESS(2,COLUMN())),OFFSET($T$2,0,0,ROW()-1,14),ROW()-1,FALSE))</x:f>
        <x:v>1.278E-2</x:v>
      </x:c>
      <x:c r="P210">
        <x:f ca="1">IF(AND($B$1012=1,LEN($P$1214)&gt;0),$P$1214,HLOOKUP(INDIRECT(ADDRESS(2,COLUMN())),OFFSET($T$2,0,0,ROW()-1,14),ROW()-1,FALSE))</x:f>
        <x:v>-27.599305000000001</x:v>
      </x:c>
      <x:c r="Q210">
        <x:f ca="1">IF(AND($B$1012=1,LEN($Q$1214)&gt;0),$Q$1214,HLOOKUP(INDIRECT(ADDRESS(2,COLUMN())),OFFSET($T$2,0,0,ROW()-1,14),ROW()-1,FALSE))</x:f>
        <x:v>-41.503689999999999</x:v>
      </x:c>
      <x:c r="R210">
        <x:f ca="1">IF(AND($B$1012=1,LEN($R$1214)&gt;0),$R$1214,HLOOKUP(INDIRECT(ADDRESS(2,COLUMN())),OFFSET($T$2,0,0,ROW()-1,14),ROW()-1,FALSE))</x:f>
        <x:v>-4.7584400000000002</x:v>
      </x:c>
      <x:c r="S210">
        <x:f ca="1">IF(AND($B$1012=1,LEN($S$1214)&gt;0),$S$1214,HLOOKUP(INDIRECT(ADDRESS(2,COLUMN())),OFFSET($T$2,0,0,ROW()-1,14),ROW()-1,FALSE))</x:f>
        <x:v>24.87444</x:v>
      </x:c>
      <x:c r="T210">
        <x:f>-92.118568</x:f>
        <x:v>-92.118567999999996</x:v>
      </x:c>
      <x:c r="U210">
        <x:f>7.268185</x:f>
        <x:v>7.2681849999999999</x:v>
      </x:c>
      <x:c r="V210">
        <x:f>33.365008</x:f>
        <x:v>33.365008000000003</x:v>
      </x:c>
      <x:c r="W210">
        <x:f>0.176495</x:f>
        <x:v>0.17649500000000001</x:v>
      </x:c>
      <x:c r="X210">
        <x:f>3.23924</x:f>
        <x:v>3.2392400000000001</x:v>
      </x:c>
      <x:c r="Y210">
        <x:f>-10.94065</x:f>
        <x:v>-10.94065</x:v>
      </x:c>
      <x:c r="Z210">
        <x:f>-56.59589</x:f>
        <x:v>-56.595889999999997</x:v>
      </x:c>
      <x:c r="AA210">
        <x:f>-21.67461</x:f>
        <x:v>-21.674610000000001</x:v>
      </x:c>
      <x:c r="AB210">
        <x:f>-62.941425</x:f>
        <x:v>-62.941425000000002</x:v>
      </x:c>
      <x:c r="AC210">
        <x:f>0.01278</x:f>
        <x:v>1.278E-2</x:v>
      </x:c>
      <x:c r="AD210">
        <x:f>-27.599305</x:f>
        <x:v>-27.599305000000001</x:v>
      </x:c>
      <x:c r="AE210">
        <x:f>-41.50369</x:f>
        <x:v>-41.503689999999999</x:v>
      </x:c>
      <x:c r="AF210">
        <x:f>-4.75844</x:f>
        <x:v>-4.7584400000000002</x:v>
      </x:c>
      <x:c r="AG210">
        <x:f>24.87444</x:f>
        <x:v>24.87444</x:v>
      </x:c>
    </x:row>
    <x:row r="211" spans="1:33" x14ac:dyDescent="0.25">
      <x:c r="A211" t="str">
        <x:f>"        Direxion Daily Financial Bull"</x:f>
        <x:v xml:space="preserve">        Direxion Daily Financial Bull</x:v>
      </x:c>
      <x:c r="B211" t="str">
        <x:f>"FAS US Equity"</x:f>
        <x:v>FAS US Equity</x:v>
      </x:c>
      <x:c r="E211" t="str">
        <x:f t="shared" si="7"/>
        <x:v>Expression</x:v>
      </x:c>
      <x:c r="F211">
        <x:f ca="1">IF(AND($B$1012=1,LEN($F$1215)&gt;0),$F$1215,HLOOKUP(INDIRECT(ADDRESS(2,COLUMN())),OFFSET($T$2,0,0,ROW()-1,14),ROW()-1,FALSE))</x:f>
        <x:v>-37.141742999999998</x:v>
      </x:c>
      <x:c r="G211">
        <x:f ca="1">IF(AND($B$1012=1,LEN($G$1215)&gt;0),$G$1215,HLOOKUP(INDIRECT(ADDRESS(2,COLUMN())),OFFSET($T$2,0,0,ROW()-1,14),ROW()-1,FALSE))</x:f>
        <x:v>35.127063</x:v>
      </x:c>
      <x:c r="H211">
        <x:f ca="1">IF(AND($B$1012=1,LEN($H$1215)&gt;0),$H$1215,HLOOKUP(INDIRECT(ADDRESS(2,COLUMN())),OFFSET($T$2,0,0,ROW()-1,14),ROW()-1,FALSE))</x:f>
        <x:v>-23.128928999999999</x:v>
      </x:c>
      <x:c r="I211">
        <x:f ca="1">IF(AND($B$1012=1,LEN($I$1215)&gt;0),$I$1215,HLOOKUP(INDIRECT(ADDRESS(2,COLUMN())),OFFSET($T$2,0,0,ROW()-1,14),ROW()-1,FALSE))</x:f>
        <x:v>-34.781464999999997</x:v>
      </x:c>
      <x:c r="J211">
        <x:f ca="1">IF(AND($B$1012=1,LEN($J$1215)&gt;0),$J$1215,HLOOKUP(INDIRECT(ADDRESS(2,COLUMN())),OFFSET($T$2,0,0,ROW()-1,14),ROW()-1,FALSE))</x:f>
        <x:v>-62.729796999999998</x:v>
      </x:c>
      <x:c r="K211">
        <x:f ca="1">IF(AND($B$1012=1,LEN($K$1215)&gt;0),$K$1215,HLOOKUP(INDIRECT(ADDRESS(2,COLUMN())),OFFSET($T$2,0,0,ROW()-1,14),ROW()-1,FALSE))</x:f>
        <x:v>-58.644002999999998</x:v>
      </x:c>
      <x:c r="L211">
        <x:f ca="1">IF(AND($B$1012=1,LEN($L$1215)&gt;0),$L$1215,HLOOKUP(INDIRECT(ADDRESS(2,COLUMN())),OFFSET($T$2,0,0,ROW()-1,14),ROW()-1,FALSE))</x:f>
        <x:v>46.256328000000003</x:v>
      </x:c>
      <x:c r="M211">
        <x:f ca="1">IF(AND($B$1012=1,LEN($M$1215)&gt;0),$M$1215,HLOOKUP(INDIRECT(ADDRESS(2,COLUMN())),OFFSET($T$2,0,0,ROW()-1,14),ROW()-1,FALSE))</x:f>
        <x:v>-117.60946800000001</x:v>
      </x:c>
      <x:c r="N211">
        <x:f ca="1">IF(AND($B$1012=1,LEN($N$1215)&gt;0),$N$1215,HLOOKUP(INDIRECT(ADDRESS(2,COLUMN())),OFFSET($T$2,0,0,ROW()-1,14),ROW()-1,FALSE))</x:f>
        <x:v>383.87034199999999</x:v>
      </x:c>
      <x:c r="O211">
        <x:f ca="1">IF(AND($B$1012=1,LEN($O$1215)&gt;0),$O$1215,HLOOKUP(INDIRECT(ADDRESS(2,COLUMN())),OFFSET($T$2,0,0,ROW()-1,14),ROW()-1,FALSE))</x:f>
        <x:v>-31.446186999999998</x:v>
      </x:c>
      <x:c r="P211">
        <x:f ca="1">IF(AND($B$1012=1,LEN($P$1215)&gt;0),$P$1215,HLOOKUP(INDIRECT(ADDRESS(2,COLUMN())),OFFSET($T$2,0,0,ROW()-1,14),ROW()-1,FALSE))</x:f>
        <x:v>-99.069873999999999</x:v>
      </x:c>
      <x:c r="Q211">
        <x:f ca="1">IF(AND($B$1012=1,LEN($Q$1215)&gt;0),$Q$1215,HLOOKUP(INDIRECT(ADDRESS(2,COLUMN())),OFFSET($T$2,0,0,ROW()-1,14),ROW()-1,FALSE))</x:f>
        <x:v>-39.592064000000001</x:v>
      </x:c>
      <x:c r="R211">
        <x:f ca="1">IF(AND($B$1012=1,LEN($R$1215)&gt;0),$R$1215,HLOOKUP(INDIRECT(ADDRESS(2,COLUMN())),OFFSET($T$2,0,0,ROW()-1,14),ROW()-1,FALSE))</x:f>
        <x:v>-46.569319</x:v>
      </x:c>
      <x:c r="S211">
        <x:f ca="1">IF(AND($B$1012=1,LEN($S$1215)&gt;0),$S$1215,HLOOKUP(INDIRECT(ADDRESS(2,COLUMN())),OFFSET($T$2,0,0,ROW()-1,14),ROW()-1,FALSE))</x:f>
        <x:v>-75.329476999999997</x:v>
      </x:c>
      <x:c r="T211">
        <x:f>-37.141743</x:f>
        <x:v>-37.141742999999998</x:v>
      </x:c>
      <x:c r="U211">
        <x:f>35.127063</x:f>
        <x:v>35.127063</x:v>
      </x:c>
      <x:c r="V211">
        <x:f>-23.128929</x:f>
        <x:v>-23.128928999999999</x:v>
      </x:c>
      <x:c r="W211">
        <x:f>-34.781465</x:f>
        <x:v>-34.781464999999997</x:v>
      </x:c>
      <x:c r="X211">
        <x:f>-62.729797</x:f>
        <x:v>-62.729796999999998</x:v>
      </x:c>
      <x:c r="Y211">
        <x:f>-58.644003</x:f>
        <x:v>-58.644002999999998</x:v>
      </x:c>
      <x:c r="Z211">
        <x:f>46.256328</x:f>
        <x:v>46.256328000000003</x:v>
      </x:c>
      <x:c r="AA211">
        <x:f>-117.609468</x:f>
        <x:v>-117.60946800000001</x:v>
      </x:c>
      <x:c r="AB211">
        <x:f>383.870342</x:f>
        <x:v>383.87034199999999</x:v>
      </x:c>
      <x:c r="AC211">
        <x:f>-31.446187</x:f>
        <x:v>-31.446186999999998</x:v>
      </x:c>
      <x:c r="AD211">
        <x:f>-99.069874</x:f>
        <x:v>-99.069873999999999</x:v>
      </x:c>
      <x:c r="AE211">
        <x:f>-39.592064</x:f>
        <x:v>-39.592064000000001</x:v>
      </x:c>
      <x:c r="AF211">
        <x:f>-46.569319</x:f>
        <x:v>-46.569319</x:v>
      </x:c>
      <x:c r="AG211">
        <x:f>-75.329477</x:f>
        <x:v>-75.329476999999997</x:v>
      </x:c>
    </x:row>
    <x:row r="212" spans="1:33" x14ac:dyDescent="0.25">
      <x:c r="A212" t="str">
        <x:f>"        iShares U.S. Financial Service"</x:f>
        <x:v xml:space="preserve">        iShares U.S. Financial Service</x:v>
      </x:c>
      <x:c r="B212" t="str">
        <x:f>"IYG US Equity"</x:f>
        <x:v>IYG US Equity</x:v>
      </x:c>
      <x:c r="E212" t="str">
        <x:f t="shared" si="7"/>
        <x:v>Expression</x:v>
      </x:c>
      <x:c r="F212">
        <x:f ca="1">IF(AND($B$1012=1,LEN($F$1216)&gt;0),$F$1216,HLOOKUP(INDIRECT(ADDRESS(2,COLUMN())),OFFSET($T$2,0,0,ROW()-1,14),ROW()-1,FALSE))</x:f>
        <x:v>-23.478192</x:v>
      </x:c>
      <x:c r="G212">
        <x:f ca="1">IF(AND($B$1012=1,LEN($G$1216)&gt;0),$G$1216,HLOOKUP(INDIRECT(ADDRESS(2,COLUMN())),OFFSET($T$2,0,0,ROW()-1,14),ROW()-1,FALSE))</x:f>
        <x:v>-31.052066</x:v>
      </x:c>
      <x:c r="H212">
        <x:f ca="1">IF(AND($B$1012=1,LEN($H$1216)&gt;0),$H$1216,HLOOKUP(INDIRECT(ADDRESS(2,COLUMN())),OFFSET($T$2,0,0,ROW()-1,14),ROW()-1,FALSE))</x:f>
        <x:v>15.603851000000001</x:v>
      </x:c>
      <x:c r="I212">
        <x:f ca="1">IF(AND($B$1012=1,LEN($I$1216)&gt;0),$I$1216,HLOOKUP(INDIRECT(ADDRESS(2,COLUMN())),OFFSET($T$2,0,0,ROW()-1,14),ROW()-1,FALSE))</x:f>
        <x:v>-16.344059999999999</x:v>
      </x:c>
      <x:c r="J212">
        <x:f ca="1">IF(AND($B$1012=1,LEN($J$1216)&gt;0),$J$1216,HLOOKUP(INDIRECT(ADDRESS(2,COLUMN())),OFFSET($T$2,0,0,ROW()-1,14),ROW()-1,FALSE))</x:f>
        <x:v>-7.3423449999999999</x:v>
      </x:c>
      <x:c r="K212">
        <x:f ca="1">IF(AND($B$1012=1,LEN($K$1216)&gt;0),$K$1216,HLOOKUP(INDIRECT(ADDRESS(2,COLUMN())),OFFSET($T$2,0,0,ROW()-1,14),ROW()-1,FALSE))</x:f>
        <x:v>-7.691865</x:v>
      </x:c>
      <x:c r="L212">
        <x:f ca="1">IF(AND($B$1012=1,LEN($L$1216)&gt;0),$L$1216,HLOOKUP(INDIRECT(ADDRESS(2,COLUMN())),OFFSET($T$2,0,0,ROW()-1,14),ROW()-1,FALSE))</x:f>
        <x:v>-37.195050000000002</x:v>
      </x:c>
      <x:c r="M212">
        <x:f ca="1">IF(AND($B$1012=1,LEN($M$1216)&gt;0),$M$1216,HLOOKUP(INDIRECT(ADDRESS(2,COLUMN())),OFFSET($T$2,0,0,ROW()-1,14),ROW()-1,FALSE))</x:f>
        <x:v>-7.5526650000000002</x:v>
      </x:c>
      <x:c r="N212">
        <x:f ca="1">IF(AND($B$1012=1,LEN($N$1216)&gt;0),$N$1216,HLOOKUP(INDIRECT(ADDRESS(2,COLUMN())),OFFSET($T$2,0,0,ROW()-1,14),ROW()-1,FALSE))</x:f>
        <x:v>-113.90915</x:v>
      </x:c>
      <x:c r="O212">
        <x:f ca="1">IF(AND($B$1012=1,LEN($O$1216)&gt;0),$O$1216,HLOOKUP(INDIRECT(ADDRESS(2,COLUMN())),OFFSET($T$2,0,0,ROW()-1,14),ROW()-1,FALSE))</x:f>
        <x:v>-17.143595000000001</x:v>
      </x:c>
      <x:c r="P212">
        <x:f ca="1">IF(AND($B$1012=1,LEN($P$1216)&gt;0),$P$1216,HLOOKUP(INDIRECT(ADDRESS(2,COLUMN())),OFFSET($T$2,0,0,ROW()-1,14),ROW()-1,FALSE))</x:f>
        <x:v>-17.068750000000001</x:v>
      </x:c>
      <x:c r="Q212">
        <x:f ca="1">IF(AND($B$1012=1,LEN($Q$1216)&gt;0),$Q$1216,HLOOKUP(INDIRECT(ADDRESS(2,COLUMN())),OFFSET($T$2,0,0,ROW()-1,14),ROW()-1,FALSE))</x:f>
        <x:v>-23.588545</x:v>
      </x:c>
      <x:c r="R212">
        <x:f ca="1">IF(AND($B$1012=1,LEN($R$1216)&gt;0),$R$1216,HLOOKUP(INDIRECT(ADDRESS(2,COLUMN())),OFFSET($T$2,0,0,ROW()-1,14),ROW()-1,FALSE))</x:f>
        <x:v>-8.1089400000000005</x:v>
      </x:c>
      <x:c r="S212">
        <x:f ca="1">IF(AND($B$1012=1,LEN($S$1216)&gt;0),$S$1216,HLOOKUP(INDIRECT(ADDRESS(2,COLUMN())),OFFSET($T$2,0,0,ROW()-1,14),ROW()-1,FALSE))</x:f>
        <x:v>-7.0402750000000003</x:v>
      </x:c>
      <x:c r="T212">
        <x:f>-23.478192</x:f>
        <x:v>-23.478192</x:v>
      </x:c>
      <x:c r="U212">
        <x:f>-31.052066</x:f>
        <x:v>-31.052066</x:v>
      </x:c>
      <x:c r="V212">
        <x:f>15.603851</x:f>
        <x:v>15.603851000000001</x:v>
      </x:c>
      <x:c r="W212">
        <x:f>-16.34406</x:f>
        <x:v>-16.344059999999999</x:v>
      </x:c>
      <x:c r="X212">
        <x:f>-7.342345</x:f>
        <x:v>-7.3423449999999999</x:v>
      </x:c>
      <x:c r="Y212">
        <x:f>-7.691865</x:f>
        <x:v>-7.691865</x:v>
      </x:c>
      <x:c r="Z212">
        <x:f>-37.19505</x:f>
        <x:v>-37.195050000000002</x:v>
      </x:c>
      <x:c r="AA212">
        <x:f>-7.552665</x:f>
        <x:v>-7.5526650000000002</x:v>
      </x:c>
      <x:c r="AB212">
        <x:f>-113.90915</x:f>
        <x:v>-113.90915</x:v>
      </x:c>
      <x:c r="AC212">
        <x:f>-17.143595</x:f>
        <x:v>-17.143595000000001</x:v>
      </x:c>
      <x:c r="AD212">
        <x:f>-17.06875</x:f>
        <x:v>-17.068750000000001</x:v>
      </x:c>
      <x:c r="AE212">
        <x:f>-23.588545</x:f>
        <x:v>-23.588545</x:v>
      </x:c>
      <x:c r="AF212">
        <x:f>-8.10894</x:f>
        <x:v>-8.1089400000000005</x:v>
      </x:c>
      <x:c r="AG212">
        <x:f>-7.040275</x:f>
        <x:v>-7.0402750000000003</x:v>
      </x:c>
    </x:row>
    <x:row r="213" spans="1:33" x14ac:dyDescent="0.25">
      <x:c r="A213" t="str">
        <x:f>"        iShares MSCI Europe Financials"</x:f>
        <x:v xml:space="preserve">        iShares MSCI Europe Financials</x:v>
      </x:c>
      <x:c r="B213" t="str">
        <x:f>"EUFN US Equity"</x:f>
        <x:v>EUFN US Equity</x:v>
      </x:c>
      <x:c r="E213" t="str">
        <x:f t="shared" si="7"/>
        <x:v>Expression</x:v>
      </x:c>
      <x:c r="F213">
        <x:f ca="1">IF(AND($B$1012=1,LEN($F$1217)&gt;0),$F$1217,HLOOKUP(INDIRECT(ADDRESS(2,COLUMN())),OFFSET($T$2,0,0,ROW()-1,14),ROW()-1,FALSE))</x:f>
        <x:v>-30.28162</x:v>
      </x:c>
      <x:c r="G213">
        <x:f ca="1">IF(AND($B$1012=1,LEN($G$1217)&gt;0),$G$1217,HLOOKUP(INDIRECT(ADDRESS(2,COLUMN())),OFFSET($T$2,0,0,ROW()-1,14),ROW()-1,FALSE))</x:f>
        <x:v>-190.08712700000001</x:v>
      </x:c>
      <x:c r="H213">
        <x:f ca="1">IF(AND($B$1012=1,LEN($H$1217)&gt;0),$H$1217,HLOOKUP(INDIRECT(ADDRESS(2,COLUMN())),OFFSET($T$2,0,0,ROW()-1,14),ROW()-1,FALSE))</x:f>
        <x:v>-100.76291500000001</x:v>
      </x:c>
      <x:c r="I213">
        <x:f ca="1">IF(AND($B$1012=1,LEN($I$1217)&gt;0),$I$1217,HLOOKUP(INDIRECT(ADDRESS(2,COLUMN())),OFFSET($T$2,0,0,ROW()-1,14),ROW()-1,FALSE))</x:f>
        <x:v>-6.8317899999999998</x:v>
      </x:c>
      <x:c r="J213">
        <x:f ca="1">IF(AND($B$1012=1,LEN($J$1217)&gt;0),$J$1217,HLOOKUP(INDIRECT(ADDRESS(2,COLUMN())),OFFSET($T$2,0,0,ROW()-1,14),ROW()-1,FALSE))</x:f>
        <x:v>-2.46217</x:v>
      </x:c>
      <x:c r="K213">
        <x:f ca="1">IF(AND($B$1012=1,LEN($K$1217)&gt;0),$K$1217,HLOOKUP(INDIRECT(ADDRESS(2,COLUMN())),OFFSET($T$2,0,0,ROW()-1,14),ROW()-1,FALSE))</x:f>
        <x:v>-40.909610000000001</x:v>
      </x:c>
      <x:c r="L213">
        <x:f ca="1">IF(AND($B$1012=1,LEN($L$1217)&gt;0),$L$1217,HLOOKUP(INDIRECT(ADDRESS(2,COLUMN())),OFFSET($T$2,0,0,ROW()-1,14),ROW()-1,FALSE))</x:f>
        <x:v>-39.970790000000001</x:v>
      </x:c>
      <x:c r="M213">
        <x:f ca="1">IF(AND($B$1012=1,LEN($M$1217)&gt;0),$M$1217,HLOOKUP(INDIRECT(ADDRESS(2,COLUMN())),OFFSET($T$2,0,0,ROW()-1,14),ROW()-1,FALSE))</x:f>
        <x:v>0</x:v>
      </x:c>
      <x:c r="N213">
        <x:f ca="1">IF(AND($B$1012=1,LEN($N$1217)&gt;0),$N$1217,HLOOKUP(INDIRECT(ADDRESS(2,COLUMN())),OFFSET($T$2,0,0,ROW()-1,14),ROW()-1,FALSE))</x:f>
        <x:v>-6.3176100000000002</x:v>
      </x:c>
      <x:c r="O213">
        <x:f ca="1">IF(AND($B$1012=1,LEN($O$1217)&gt;0),$O$1217,HLOOKUP(INDIRECT(ADDRESS(2,COLUMN())),OFFSET($T$2,0,0,ROW()-1,14),ROW()-1,FALSE))</x:f>
        <x:v>141.871465</x:v>
      </x:c>
      <x:c r="P213">
        <x:f ca="1">IF(AND($B$1012=1,LEN($P$1217)&gt;0),$P$1217,HLOOKUP(INDIRECT(ADDRESS(2,COLUMN())),OFFSET($T$2,0,0,ROW()-1,14),ROW()-1,FALSE))</x:f>
        <x:v>15.222910000000001</x:v>
      </x:c>
      <x:c r="Q213">
        <x:f ca="1">IF(AND($B$1012=1,LEN($Q$1217)&gt;0),$Q$1217,HLOOKUP(INDIRECT(ADDRESS(2,COLUMN())),OFFSET($T$2,0,0,ROW()-1,14),ROW()-1,FALSE))</x:f>
        <x:v>-25.288615</x:v>
      </x:c>
      <x:c r="R213">
        <x:f ca="1">IF(AND($B$1012=1,LEN($R$1217)&gt;0),$R$1217,HLOOKUP(INDIRECT(ADDRESS(2,COLUMN())),OFFSET($T$2,0,0,ROW()-1,14),ROW()-1,FALSE))</x:f>
        <x:v>-4.21915</x:v>
      </x:c>
      <x:c r="S213">
        <x:f ca="1">IF(AND($B$1012=1,LEN($S$1217)&gt;0),$S$1217,HLOOKUP(INDIRECT(ADDRESS(2,COLUMN())),OFFSET($T$2,0,0,ROW()-1,14),ROW()-1,FALSE))</x:f>
        <x:v>-41.617714999999997</x:v>
      </x:c>
      <x:c r="T213">
        <x:f>-30.28162</x:f>
        <x:v>-30.28162</x:v>
      </x:c>
      <x:c r="U213">
        <x:f>-190.087127</x:f>
        <x:v>-190.08712700000001</x:v>
      </x:c>
      <x:c r="V213">
        <x:f>-100.762915</x:f>
        <x:v>-100.76291500000001</x:v>
      </x:c>
      <x:c r="W213">
        <x:f>-6.83179</x:f>
        <x:v>-6.8317899999999998</x:v>
      </x:c>
      <x:c r="X213">
        <x:f>-2.46217</x:f>
        <x:v>-2.46217</x:v>
      </x:c>
      <x:c r="Y213">
        <x:f>-40.90961</x:f>
        <x:v>-40.909610000000001</x:v>
      </x:c>
      <x:c r="Z213">
        <x:f>-39.97079</x:f>
        <x:v>-39.970790000000001</x:v>
      </x:c>
      <x:c r="AA213">
        <x:f>0</x:f>
        <x:v>0</x:v>
      </x:c>
      <x:c r="AB213">
        <x:f>-6.31761</x:f>
        <x:v>-6.3176100000000002</x:v>
      </x:c>
      <x:c r="AC213">
        <x:f>141.871465</x:f>
        <x:v>141.871465</x:v>
      </x:c>
      <x:c r="AD213">
        <x:f>15.22291</x:f>
        <x:v>15.222910000000001</x:v>
      </x:c>
      <x:c r="AE213">
        <x:f>-25.288615</x:f>
        <x:v>-25.288615</x:v>
      </x:c>
      <x:c r="AF213">
        <x:f>-4.21915</x:f>
        <x:v>-4.21915</x:v>
      </x:c>
      <x:c r="AG213">
        <x:f>-41.617715</x:f>
        <x:v>-41.617714999999997</x:v>
      </x:c>
    </x:row>
    <x:row r="214" spans="1:33" x14ac:dyDescent="0.25">
      <x:c r="A214" t="str">
        <x:f>"        First Trust Nasdaq Bank ETF"</x:f>
        <x:v xml:space="preserve">        First Trust Nasdaq Bank ETF</x:v>
      </x:c>
      <x:c r="B214" t="str">
        <x:f>"FTXO US Equity"</x:f>
        <x:v>FTXO US Equity</x:v>
      </x:c>
      <x:c r="E214" t="str">
        <x:f t="shared" si="7"/>
        <x:v>Expression</x:v>
      </x:c>
      <x:c r="F214">
        <x:f ca="1">IF(AND($B$1012=1,LEN($F$1218)&gt;0),$F$1218,HLOOKUP(INDIRECT(ADDRESS(2,COLUMN())),OFFSET($T$2,0,0,ROW()-1,14),ROW()-1,FALSE))</x:f>
        <x:v>-7.1487020000000001</x:v>
      </x:c>
      <x:c r="G214">
        <x:f ca="1">IF(AND($B$1012=1,LEN($G$1218)&gt;0),$G$1218,HLOOKUP(INDIRECT(ADDRESS(2,COLUMN())),OFFSET($T$2,0,0,ROW()-1,14),ROW()-1,FALSE))</x:f>
        <x:v>-1.0238290000000001</x:v>
      </x:c>
      <x:c r="H214">
        <x:f ca="1">IF(AND($B$1012=1,LEN($H$1218)&gt;0),$H$1218,HLOOKUP(INDIRECT(ADDRESS(2,COLUMN())),OFFSET($T$2,0,0,ROW()-1,14),ROW()-1,FALSE))</x:f>
        <x:v>-1.0963179999999999</x:v>
      </x:c>
      <x:c r="I214">
        <x:f ca="1">IF(AND($B$1012=1,LEN($I$1218)&gt;0),$I$1218,HLOOKUP(INDIRECT(ADDRESS(2,COLUMN())),OFFSET($T$2,0,0,ROW()-1,14),ROW()-1,FALSE))</x:f>
        <x:v>2.4555500000000001</x:v>
      </x:c>
      <x:c r="J214">
        <x:f ca="1">IF(AND($B$1012=1,LEN($J$1218)&gt;0),$J$1218,HLOOKUP(INDIRECT(ADDRESS(2,COLUMN())),OFFSET($T$2,0,0,ROW()-1,14),ROW()-1,FALSE))</x:f>
        <x:v>-4.5049999999999999</x:v>
      </x:c>
      <x:c r="K214">
        <x:f ca="1">IF(AND($B$1012=1,LEN($K$1218)&gt;0),$K$1218,HLOOKUP(INDIRECT(ADDRESS(2,COLUMN())),OFFSET($T$2,0,0,ROW()-1,14),ROW()-1,FALSE))</x:f>
        <x:v>-2.0979999999999999</x:v>
      </x:c>
      <x:c r="L214">
        <x:f ca="1">IF(AND($B$1012=1,LEN($L$1218)&gt;0),$L$1218,HLOOKUP(INDIRECT(ADDRESS(2,COLUMN())),OFFSET($T$2,0,0,ROW()-1,14),ROW()-1,FALSE))</x:f>
        <x:v>-12.950968</x:v>
      </x:c>
      <x:c r="M214">
        <x:f ca="1">IF(AND($B$1012=1,LEN($M$1218)&gt;0),$M$1218,HLOOKUP(INDIRECT(ADDRESS(2,COLUMN())),OFFSET($T$2,0,0,ROW()-1,14),ROW()-1,FALSE))</x:f>
        <x:v>-16.110386999999999</x:v>
      </x:c>
      <x:c r="N214">
        <x:f ca="1">IF(AND($B$1012=1,LEN($N$1218)&gt;0),$N$1218,HLOOKUP(INDIRECT(ADDRESS(2,COLUMN())),OFFSET($T$2,0,0,ROW()-1,14),ROW()-1,FALSE))</x:f>
        <x:v>-4.2847429999999997</x:v>
      </x:c>
      <x:c r="O214">
        <x:f ca="1">IF(AND($B$1012=1,LEN($O$1218)&gt;0),$O$1218,HLOOKUP(INDIRECT(ADDRESS(2,COLUMN())),OFFSET($T$2,0,0,ROW()-1,14),ROW()-1,FALSE))</x:f>
        <x:v>-2.7781340000000001</x:v>
      </x:c>
      <x:c r="P214">
        <x:f ca="1">IF(AND($B$1012=1,LEN($P$1218)&gt;0),$P$1218,HLOOKUP(INDIRECT(ADDRESS(2,COLUMN())),OFFSET($T$2,0,0,ROW()-1,14),ROW()-1,FALSE))</x:f>
        <x:v>12.211319</x:v>
      </x:c>
      <x:c r="Q214">
        <x:f ca="1">IF(AND($B$1012=1,LEN($Q$1218)&gt;0),$Q$1218,HLOOKUP(INDIRECT(ADDRESS(2,COLUMN())),OFFSET($T$2,0,0,ROW()-1,14),ROW()-1,FALSE))</x:f>
        <x:v>-2.666169</x:v>
      </x:c>
      <x:c r="R214">
        <x:f ca="1">IF(AND($B$1012=1,LEN($R$1218)&gt;0),$R$1218,HLOOKUP(INDIRECT(ADDRESS(2,COLUMN())),OFFSET($T$2,0,0,ROW()-1,14),ROW()-1,FALSE))</x:f>
        <x:v>-2.8655200000000001</x:v>
      </x:c>
      <x:c r="S214">
        <x:f ca="1">IF(AND($B$1012=1,LEN($S$1218)&gt;0),$S$1218,HLOOKUP(INDIRECT(ADDRESS(2,COLUMN())),OFFSET($T$2,0,0,ROW()-1,14),ROW()-1,FALSE))</x:f>
        <x:v>0</x:v>
      </x:c>
      <x:c r="T214">
        <x:f>-7.148702</x:f>
        <x:v>-7.1487020000000001</x:v>
      </x:c>
      <x:c r="U214">
        <x:f>-1.023829</x:f>
        <x:v>-1.0238290000000001</x:v>
      </x:c>
      <x:c r="V214">
        <x:f>-1.096318</x:f>
        <x:v>-1.0963179999999999</x:v>
      </x:c>
      <x:c r="W214">
        <x:f>2.45555</x:f>
        <x:v>2.4555500000000001</x:v>
      </x:c>
      <x:c r="X214">
        <x:f>-4.505</x:f>
        <x:v>-4.5049999999999999</x:v>
      </x:c>
      <x:c r="Y214">
        <x:f>-2.098</x:f>
        <x:v>-2.0979999999999999</x:v>
      </x:c>
      <x:c r="Z214">
        <x:f>-12.950968</x:f>
        <x:v>-12.950968</x:v>
      </x:c>
      <x:c r="AA214">
        <x:f>-16.110387</x:f>
        <x:v>-16.110386999999999</x:v>
      </x:c>
      <x:c r="AB214">
        <x:f>-4.284743</x:f>
        <x:v>-4.2847429999999997</x:v>
      </x:c>
      <x:c r="AC214">
        <x:f>-2.778134</x:f>
        <x:v>-2.7781340000000001</x:v>
      </x:c>
      <x:c r="AD214">
        <x:f>12.211319</x:f>
        <x:v>12.211319</x:v>
      </x:c>
      <x:c r="AE214">
        <x:f>-2.666169</x:f>
        <x:v>-2.666169</x:v>
      </x:c>
      <x:c r="AF214">
        <x:f>-2.86552</x:f>
        <x:v>-2.8655200000000001</x:v>
      </x:c>
      <x:c r="AG214">
        <x:f>0</x:f>
        <x:v>0</x:v>
      </x:c>
    </x:row>
    <x:row r="215" spans="1:33" x14ac:dyDescent="0.25">
      <x:c r="A215" t="str">
        <x:f>"        First Trust Financial AlphaDEX"</x:f>
        <x:v xml:space="preserve">        First Trust Financial AlphaDEX</x:v>
      </x:c>
      <x:c r="B215" t="str">
        <x:f>"FXO US Equity"</x:f>
        <x:v>FXO US Equity</x:v>
      </x:c>
      <x:c r="E215" t="str">
        <x:f t="shared" si="7"/>
        <x:v>Expression</x:v>
      </x:c>
      <x:c r="F215">
        <x:f ca="1">IF(AND($B$1012=1,LEN($F$1219)&gt;0),$F$1219,HLOOKUP(INDIRECT(ADDRESS(2,COLUMN())),OFFSET($T$2,0,0,ROW()-1,14),ROW()-1,FALSE))</x:f>
        <x:v>-13.381542</x:v>
      </x:c>
      <x:c r="G215">
        <x:f ca="1">IF(AND($B$1012=1,LEN($G$1219)&gt;0),$G$1219,HLOOKUP(INDIRECT(ADDRESS(2,COLUMN())),OFFSET($T$2,0,0,ROW()-1,14),ROW()-1,FALSE))</x:f>
        <x:v>-27.218247000000002</x:v>
      </x:c>
      <x:c r="H215">
        <x:f ca="1">IF(AND($B$1012=1,LEN($H$1219)&gt;0),$H$1219,HLOOKUP(INDIRECT(ADDRESS(2,COLUMN())),OFFSET($T$2,0,0,ROW()-1,14),ROW()-1,FALSE))</x:f>
        <x:v>-19.754076999999999</x:v>
      </x:c>
      <x:c r="I215">
        <x:f ca="1">IF(AND($B$1012=1,LEN($I$1219)&gt;0),$I$1219,HLOOKUP(INDIRECT(ADDRESS(2,COLUMN())),OFFSET($T$2,0,0,ROW()-1,14),ROW()-1,FALSE))</x:f>
        <x:v>-35.395823999999998</x:v>
      </x:c>
      <x:c r="J215">
        <x:f ca="1">IF(AND($B$1012=1,LEN($J$1219)&gt;0),$J$1219,HLOOKUP(INDIRECT(ADDRESS(2,COLUMN())),OFFSET($T$2,0,0,ROW()-1,14),ROW()-1,FALSE))</x:f>
        <x:v>-44.295999999999999</x:v>
      </x:c>
      <x:c r="K215">
        <x:f ca="1">IF(AND($B$1012=1,LEN($K$1219)&gt;0),$K$1219,HLOOKUP(INDIRECT(ADDRESS(2,COLUMN())),OFFSET($T$2,0,0,ROW()-1,14),ROW()-1,FALSE))</x:f>
        <x:v>-53.335500000000003</x:v>
      </x:c>
      <x:c r="L215">
        <x:f ca="1">IF(AND($B$1012=1,LEN($L$1219)&gt;0),$L$1219,HLOOKUP(INDIRECT(ADDRESS(2,COLUMN())),OFFSET($T$2,0,0,ROW()-1,14),ROW()-1,FALSE))</x:f>
        <x:v>-95.141999999999996</x:v>
      </x:c>
      <x:c r="M215">
        <x:f ca="1">IF(AND($B$1012=1,LEN($M$1219)&gt;0),$M$1219,HLOOKUP(INDIRECT(ADDRESS(2,COLUMN())),OFFSET($T$2,0,0,ROW()-1,14),ROW()-1,FALSE))</x:f>
        <x:v>-72.740499999999997</x:v>
      </x:c>
      <x:c r="N215">
        <x:f ca="1">IF(AND($B$1012=1,LEN($N$1219)&gt;0),$N$1219,HLOOKUP(INDIRECT(ADDRESS(2,COLUMN())),OFFSET($T$2,0,0,ROW()-1,14),ROW()-1,FALSE))</x:f>
        <x:v>-769.22349999999994</x:v>
      </x:c>
      <x:c r="O215">
        <x:f ca="1">IF(AND($B$1012=1,LEN($O$1219)&gt;0),$O$1219,HLOOKUP(INDIRECT(ADDRESS(2,COLUMN())),OFFSET($T$2,0,0,ROW()-1,14),ROW()-1,FALSE))</x:f>
        <x:v>1064.8209999999999</x:v>
      </x:c>
      <x:c r="P215">
        <x:f ca="1">IF(AND($B$1012=1,LEN($P$1219)&gt;0),$P$1219,HLOOKUP(INDIRECT(ADDRESS(2,COLUMN())),OFFSET($T$2,0,0,ROW()-1,14),ROW()-1,FALSE))</x:f>
        <x:v>-14.735395</x:v>
      </x:c>
      <x:c r="Q215">
        <x:f ca="1">IF(AND($B$1012=1,LEN($Q$1219)&gt;0),$Q$1219,HLOOKUP(INDIRECT(ADDRESS(2,COLUMN())),OFFSET($T$2,0,0,ROW()-1,14),ROW()-1,FALSE))</x:f>
        <x:v>-11.936543</x:v>
      </x:c>
      <x:c r="R215">
        <x:f ca="1">IF(AND($B$1012=1,LEN($R$1219)&gt;0),$R$1219,HLOOKUP(INDIRECT(ADDRESS(2,COLUMN())),OFFSET($T$2,0,0,ROW()-1,14),ROW()-1,FALSE))</x:f>
        <x:v>-0.36513600000000002</x:v>
      </x:c>
      <x:c r="S215">
        <x:f ca="1">IF(AND($B$1012=1,LEN($S$1219)&gt;0),$S$1219,HLOOKUP(INDIRECT(ADDRESS(2,COLUMN())),OFFSET($T$2,0,0,ROW()-1,14),ROW()-1,FALSE))</x:f>
        <x:v>-31.42567</x:v>
      </x:c>
      <x:c r="T215">
        <x:f>-13.381542</x:f>
        <x:v>-13.381542</x:v>
      </x:c>
      <x:c r="U215">
        <x:f>-27.218247</x:f>
        <x:v>-27.218247000000002</x:v>
      </x:c>
      <x:c r="V215">
        <x:f>-19.754077</x:f>
        <x:v>-19.754076999999999</x:v>
      </x:c>
      <x:c r="W215">
        <x:f>-35.395824</x:f>
        <x:v>-35.395823999999998</x:v>
      </x:c>
      <x:c r="X215">
        <x:f>-44.296</x:f>
        <x:v>-44.295999999999999</x:v>
      </x:c>
      <x:c r="Y215">
        <x:f>-53.3355</x:f>
        <x:v>-53.335500000000003</x:v>
      </x:c>
      <x:c r="Z215">
        <x:f>-95.142</x:f>
        <x:v>-95.141999999999996</x:v>
      </x:c>
      <x:c r="AA215">
        <x:f>-72.7405</x:f>
        <x:v>-72.740499999999997</x:v>
      </x:c>
      <x:c r="AB215">
        <x:f>-769.2235</x:f>
        <x:v>-769.22349999999994</x:v>
      </x:c>
      <x:c r="AC215">
        <x:f>1064.821</x:f>
        <x:v>1064.8209999999999</x:v>
      </x:c>
      <x:c r="AD215">
        <x:f>-14.735395</x:f>
        <x:v>-14.735395</x:v>
      </x:c>
      <x:c r="AE215">
        <x:f>-11.936543</x:f>
        <x:v>-11.936543</x:v>
      </x:c>
      <x:c r="AF215">
        <x:f>-0.365136</x:f>
        <x:v>-0.36513600000000002</x:v>
      </x:c>
      <x:c r="AG215">
        <x:f>-31.42567</x:f>
        <x:v>-31.42567</x:v>
      </x:c>
    </x:row>
    <x:row r="216" spans="1:33" x14ac:dyDescent="0.25">
      <x:c r="A216" t="str">
        <x:f>"        SPDR S&amp;P Insurance ETF"</x:f>
        <x:v xml:space="preserve">        SPDR S&amp;P Insurance ETF</x:v>
      </x:c>
      <x:c r="B216" t="str">
        <x:f>"KIE US Equity"</x:f>
        <x:v>KIE US Equity</x:v>
      </x:c>
      <x:c r="E216" t="str">
        <x:f t="shared" si="7"/>
        <x:v>Expression</x:v>
      </x:c>
      <x:c r="F216">
        <x:f ca="1">IF(AND($B$1012=1,LEN($F$1220)&gt;0),$F$1220,HLOOKUP(INDIRECT(ADDRESS(2,COLUMN())),OFFSET($T$2,0,0,ROW()-1,14),ROW()-1,FALSE))</x:f>
        <x:v>-30.622588</x:v>
      </x:c>
      <x:c r="G216">
        <x:f ca="1">IF(AND($B$1012=1,LEN($G$1220)&gt;0),$G$1220,HLOOKUP(INDIRECT(ADDRESS(2,COLUMN())),OFFSET($T$2,0,0,ROW()-1,14),ROW()-1,FALSE))</x:f>
        <x:v>19.769134000000001</x:v>
      </x:c>
      <x:c r="H216">
        <x:f ca="1">IF(AND($B$1012=1,LEN($H$1220)&gt;0),$H$1220,HLOOKUP(INDIRECT(ADDRESS(2,COLUMN())),OFFSET($T$2,0,0,ROW()-1,14),ROW()-1,FALSE))</x:f>
        <x:v>80.243421999999995</x:v>
      </x:c>
      <x:c r="I216">
        <x:f ca="1">IF(AND($B$1012=1,LEN($I$1220)&gt;0),$I$1220,HLOOKUP(INDIRECT(ADDRESS(2,COLUMN())),OFFSET($T$2,0,0,ROW()-1,14),ROW()-1,FALSE))</x:f>
        <x:v>-15.508929999999999</x:v>
      </x:c>
      <x:c r="J216">
        <x:f ca="1">IF(AND($B$1012=1,LEN($J$1220)&gt;0),$J$1220,HLOOKUP(INDIRECT(ADDRESS(2,COLUMN())),OFFSET($T$2,0,0,ROW()-1,14),ROW()-1,FALSE))</x:f>
        <x:v>30.238285000000001</x:v>
      </x:c>
      <x:c r="K216">
        <x:f ca="1">IF(AND($B$1012=1,LEN($K$1220)&gt;0),$K$1220,HLOOKUP(INDIRECT(ADDRESS(2,COLUMN())),OFFSET($T$2,0,0,ROW()-1,14),ROW()-1,FALSE))</x:f>
        <x:v>-6.2522739999999999</x:v>
      </x:c>
      <x:c r="L216">
        <x:f ca="1">IF(AND($B$1012=1,LEN($L$1220)&gt;0),$L$1220,HLOOKUP(INDIRECT(ADDRESS(2,COLUMN())),OFFSET($T$2,0,0,ROW()-1,14),ROW()-1,FALSE))</x:f>
        <x:v>-35.847847999999999</x:v>
      </x:c>
      <x:c r="M216">
        <x:f ca="1">IF(AND($B$1012=1,LEN($M$1220)&gt;0),$M$1220,HLOOKUP(INDIRECT(ADDRESS(2,COLUMN())),OFFSET($T$2,0,0,ROW()-1,14),ROW()-1,FALSE))</x:f>
        <x:v>59.422612999999998</x:v>
      </x:c>
      <x:c r="N216">
        <x:f ca="1">IF(AND($B$1012=1,LEN($N$1220)&gt;0),$N$1220,HLOOKUP(INDIRECT(ADDRESS(2,COLUMN())),OFFSET($T$2,0,0,ROW()-1,14),ROW()-1,FALSE))</x:f>
        <x:v>-72.892056999999994</x:v>
      </x:c>
      <x:c r="O216">
        <x:f ca="1">IF(AND($B$1012=1,LEN($O$1220)&gt;0),$O$1220,HLOOKUP(INDIRECT(ADDRESS(2,COLUMN())),OFFSET($T$2,0,0,ROW()-1,14),ROW()-1,FALSE))</x:f>
        <x:v>62.829084999999999</x:v>
      </x:c>
      <x:c r="P216">
        <x:f ca="1">IF(AND($B$1012=1,LEN($P$1220)&gt;0),$P$1220,HLOOKUP(INDIRECT(ADDRESS(2,COLUMN())),OFFSET($T$2,0,0,ROW()-1,14),ROW()-1,FALSE))</x:f>
        <x:v>-30.542104999999999</x:v>
      </x:c>
      <x:c r="Q216">
        <x:f ca="1">IF(AND($B$1012=1,LEN($Q$1220)&gt;0),$Q$1220,HLOOKUP(INDIRECT(ADDRESS(2,COLUMN())),OFFSET($T$2,0,0,ROW()-1,14),ROW()-1,FALSE))</x:f>
        <x:v>-86.959895000000003</x:v>
      </x:c>
      <x:c r="R216">
        <x:f ca="1">IF(AND($B$1012=1,LEN($R$1220)&gt;0),$R$1220,HLOOKUP(INDIRECT(ADDRESS(2,COLUMN())),OFFSET($T$2,0,0,ROW()-1,14),ROW()-1,FALSE))</x:f>
        <x:v>79.819872000000004</x:v>
      </x:c>
      <x:c r="S216">
        <x:f ca="1">IF(AND($B$1012=1,LEN($S$1220)&gt;0),$S$1220,HLOOKUP(INDIRECT(ADDRESS(2,COLUMN())),OFFSET($T$2,0,0,ROW()-1,14),ROW()-1,FALSE))</x:f>
        <x:v>52.149234999999997</x:v>
      </x:c>
      <x:c r="T216">
        <x:f>-30.622588</x:f>
        <x:v>-30.622588</x:v>
      </x:c>
      <x:c r="U216">
        <x:f>19.769134</x:f>
        <x:v>19.769134000000001</x:v>
      </x:c>
      <x:c r="V216">
        <x:f>80.243422</x:f>
        <x:v>80.243421999999995</x:v>
      </x:c>
      <x:c r="W216">
        <x:f>-15.50893</x:f>
        <x:v>-15.508929999999999</x:v>
      </x:c>
      <x:c r="X216">
        <x:f>30.238285</x:f>
        <x:v>30.238285000000001</x:v>
      </x:c>
      <x:c r="Y216">
        <x:f>-6.252274</x:f>
        <x:v>-6.2522739999999999</x:v>
      </x:c>
      <x:c r="Z216">
        <x:f>-35.847848</x:f>
        <x:v>-35.847847999999999</x:v>
      </x:c>
      <x:c r="AA216">
        <x:f>59.422613</x:f>
        <x:v>59.422612999999998</x:v>
      </x:c>
      <x:c r="AB216">
        <x:f>-72.892057</x:f>
        <x:v>-72.892056999999994</x:v>
      </x:c>
      <x:c r="AC216">
        <x:f>62.829085</x:f>
        <x:v>62.829084999999999</x:v>
      </x:c>
      <x:c r="AD216">
        <x:f>-30.542105</x:f>
        <x:v>-30.542104999999999</x:v>
      </x:c>
      <x:c r="AE216">
        <x:f>-86.959895</x:f>
        <x:v>-86.959895000000003</x:v>
      </x:c>
      <x:c r="AF216">
        <x:f>79.819872</x:f>
        <x:v>79.819872000000004</x:v>
      </x:c>
      <x:c r="AG216">
        <x:f>52.149235</x:f>
        <x:v>52.149234999999997</x:v>
      </x:c>
    </x:row>
    <x:row r="217" spans="1:33" x14ac:dyDescent="0.25">
      <x:c r="A217" t="str">
        <x:f>"        Fidelity MSCI Financials Index"</x:f>
        <x:v xml:space="preserve">        Fidelity MSCI Financials Index</x:v>
      </x:c>
      <x:c r="B217" t="str">
        <x:f>"FNCL US Equity"</x:f>
        <x:v>FNCL US Equity</x:v>
      </x:c>
      <x:c r="E217" t="str">
        <x:f t="shared" si="7"/>
        <x:v>Expression</x:v>
      </x:c>
      <x:c r="F217">
        <x:f ca="1">IF(AND($B$1012=1,LEN($F$1221)&gt;0),$F$1221,HLOOKUP(INDIRECT(ADDRESS(2,COLUMN())),OFFSET($T$2,0,0,ROW()-1,14),ROW()-1,FALSE))</x:f>
        <x:v>-25.601735000000001</x:v>
      </x:c>
      <x:c r="G217">
        <x:f ca="1">IF(AND($B$1012=1,LEN($G$1221)&gt;0),$G$1221,HLOOKUP(INDIRECT(ADDRESS(2,COLUMN())),OFFSET($T$2,0,0,ROW()-1,14),ROW()-1,FALSE))</x:f>
        <x:v>-11.258430000000001</x:v>
      </x:c>
      <x:c r="H217">
        <x:f ca="1">IF(AND($B$1012=1,LEN($H$1221)&gt;0),$H$1221,HLOOKUP(INDIRECT(ADDRESS(2,COLUMN())),OFFSET($T$2,0,0,ROW()-1,14),ROW()-1,FALSE))</x:f>
        <x:v>-4.6524000000000001</x:v>
      </x:c>
      <x:c r="I217">
        <x:f ca="1">IF(AND($B$1012=1,LEN($I$1221)&gt;0),$I$1221,HLOOKUP(INDIRECT(ADDRESS(2,COLUMN())),OFFSET($T$2,0,0,ROW()-1,14),ROW()-1,FALSE))</x:f>
        <x:v>-4.8401399999999999</x:v>
      </x:c>
      <x:c r="J217">
        <x:f ca="1">IF(AND($B$1012=1,LEN($J$1221)&gt;0),$J$1221,HLOOKUP(INDIRECT(ADDRESS(2,COLUMN())),OFFSET($T$2,0,0,ROW()-1,14),ROW()-1,FALSE))</x:f>
        <x:v>-12.39536</x:v>
      </x:c>
      <x:c r="K217">
        <x:f ca="1">IF(AND($B$1012=1,LEN($K$1221)&gt;0),$K$1221,HLOOKUP(INDIRECT(ADDRESS(2,COLUMN())),OFFSET($T$2,0,0,ROW()-1,14),ROW()-1,FALSE))</x:f>
        <x:v>-9.1211800000000007</x:v>
      </x:c>
      <x:c r="L217">
        <x:f ca="1">IF(AND($B$1012=1,LEN($L$1221)&gt;0),$L$1221,HLOOKUP(INDIRECT(ADDRESS(2,COLUMN())),OFFSET($T$2,0,0,ROW()-1,14),ROW()-1,FALSE))</x:f>
        <x:v>-24.382325000000002</x:v>
      </x:c>
      <x:c r="M217">
        <x:f ca="1">IF(AND($B$1012=1,LEN($M$1221)&gt;0),$M$1221,HLOOKUP(INDIRECT(ADDRESS(2,COLUMN())),OFFSET($T$2,0,0,ROW()-1,14),ROW()-1,FALSE))</x:f>
        <x:v>-24.76136</x:v>
      </x:c>
      <x:c r="N217">
        <x:f ca="1">IF(AND($B$1012=1,LEN($N$1221)&gt;0),$N$1221,HLOOKUP(INDIRECT(ADDRESS(2,COLUMN())),OFFSET($T$2,0,0,ROW()-1,14),ROW()-1,FALSE))</x:f>
        <x:v>-8.9122800000000009</x:v>
      </x:c>
      <x:c r="O217">
        <x:f ca="1">IF(AND($B$1012=1,LEN($O$1221)&gt;0),$O$1221,HLOOKUP(INDIRECT(ADDRESS(2,COLUMN())),OFFSET($T$2,0,0,ROW()-1,14),ROW()-1,FALSE))</x:f>
        <x:v>-7.8265700000000002</x:v>
      </x:c>
      <x:c r="P217">
        <x:f ca="1">IF(AND($B$1012=1,LEN($P$1221)&gt;0),$P$1221,HLOOKUP(INDIRECT(ADDRESS(2,COLUMN())),OFFSET($T$2,0,0,ROW()-1,14),ROW()-1,FALSE))</x:f>
        <x:v>-47.062114999999999</x:v>
      </x:c>
      <x:c r="Q217">
        <x:f ca="1">IF(AND($B$1012=1,LEN($Q$1221)&gt;0),$Q$1221,HLOOKUP(INDIRECT(ADDRESS(2,COLUMN())),OFFSET($T$2,0,0,ROW()-1,14),ROW()-1,FALSE))</x:f>
        <x:v>-19.348635000000002</x:v>
      </x:c>
      <x:c r="R217">
        <x:f ca="1">IF(AND($B$1012=1,LEN($R$1221)&gt;0),$R$1221,HLOOKUP(INDIRECT(ADDRESS(2,COLUMN())),OFFSET($T$2,0,0,ROW()-1,14),ROW()-1,FALSE))</x:f>
        <x:v>-9.7896750000000008</x:v>
      </x:c>
      <x:c r="S217">
        <x:f ca="1">IF(AND($B$1012=1,LEN($S$1221)&gt;0),$S$1221,HLOOKUP(INDIRECT(ADDRESS(2,COLUMN())),OFFSET($T$2,0,0,ROW()-1,14),ROW()-1,FALSE))</x:f>
        <x:v>-9.4582350000000002</x:v>
      </x:c>
      <x:c r="T217">
        <x:f>-25.601735</x:f>
        <x:v>-25.601735000000001</x:v>
      </x:c>
      <x:c r="U217">
        <x:f>-11.25843</x:f>
        <x:v>-11.258430000000001</x:v>
      </x:c>
      <x:c r="V217">
        <x:f>-4.6524</x:f>
        <x:v>-4.6524000000000001</x:v>
      </x:c>
      <x:c r="W217">
        <x:f>-4.84014</x:f>
        <x:v>-4.8401399999999999</x:v>
      </x:c>
      <x:c r="X217">
        <x:f>-12.39536</x:f>
        <x:v>-12.39536</x:v>
      </x:c>
      <x:c r="Y217">
        <x:f>-9.12118</x:f>
        <x:v>-9.1211800000000007</x:v>
      </x:c>
      <x:c r="Z217">
        <x:f>-24.382325</x:f>
        <x:v>-24.382325000000002</x:v>
      </x:c>
      <x:c r="AA217">
        <x:f>-24.76136</x:f>
        <x:v>-24.76136</x:v>
      </x:c>
      <x:c r="AB217">
        <x:f>-8.91228</x:f>
        <x:v>-8.9122800000000009</x:v>
      </x:c>
      <x:c r="AC217">
        <x:f>-7.82657</x:f>
        <x:v>-7.8265700000000002</x:v>
      </x:c>
      <x:c r="AD217">
        <x:f>-47.062115</x:f>
        <x:v>-47.062114999999999</x:v>
      </x:c>
      <x:c r="AE217">
        <x:f>-19.348635</x:f>
        <x:v>-19.348635000000002</x:v>
      </x:c>
      <x:c r="AF217">
        <x:f>-9.789675</x:f>
        <x:v>-9.7896750000000008</x:v>
      </x:c>
      <x:c r="AG217">
        <x:f>-9.458235</x:f>
        <x:v>-9.4582350000000002</x:v>
      </x:c>
    </x:row>
    <x:row r="218" spans="1:33" x14ac:dyDescent="0.25">
      <x:c r="A218" t="str">
        <x:f>"        ProShares Ultra Financials"</x:f>
        <x:v xml:space="preserve">        ProShares Ultra Financials</x:v>
      </x:c>
      <x:c r="B218" t="str">
        <x:f>"UYG US Equity"</x:f>
        <x:v>UYG US Equity</x:v>
      </x:c>
      <x:c r="E218" t="str">
        <x:f t="shared" si="7"/>
        <x:v>Expression</x:v>
      </x:c>
      <x:c r="F218">
        <x:f ca="1">IF(AND($B$1012=1,LEN($F$1222)&gt;0),$F$1222,HLOOKUP(INDIRECT(ADDRESS(2,COLUMN())),OFFSET($T$2,0,0,ROW()-1,14),ROW()-1,FALSE))</x:f>
        <x:v>75.116519999999994</x:v>
      </x:c>
      <x:c r="G218">
        <x:f ca="1">IF(AND($B$1012=1,LEN($G$1222)&gt;0),$G$1222,HLOOKUP(INDIRECT(ADDRESS(2,COLUMN())),OFFSET($T$2,0,0,ROW()-1,14),ROW()-1,FALSE))</x:f>
        <x:v>-8.4086700000000008</x:v>
      </x:c>
      <x:c r="H218">
        <x:f ca="1">IF(AND($B$1012=1,LEN($H$1222)&gt;0),$H$1222,HLOOKUP(INDIRECT(ADDRESS(2,COLUMN())),OFFSET($T$2,0,0,ROW()-1,14),ROW()-1,FALSE))</x:f>
        <x:v>-2.31582</x:v>
      </x:c>
      <x:c r="I218">
        <x:f ca="1">IF(AND($B$1012=1,LEN($I$1222)&gt;0),$I$1222,HLOOKUP(INDIRECT(ADDRESS(2,COLUMN())),OFFSET($T$2,0,0,ROW()-1,14),ROW()-1,FALSE))</x:f>
        <x:v>-4.6780799999999996</x:v>
      </x:c>
      <x:c r="J218">
        <x:f ca="1">IF(AND($B$1012=1,LEN($J$1222)&gt;0),$J$1222,HLOOKUP(INDIRECT(ADDRESS(2,COLUMN())),OFFSET($T$2,0,0,ROW()-1,14),ROW()-1,FALSE))</x:f>
        <x:v>-2.4241450000000002</x:v>
      </x:c>
      <x:c r="K218">
        <x:f ca="1">IF(AND($B$1012=1,LEN($K$1222)&gt;0),$K$1222,HLOOKUP(INDIRECT(ADDRESS(2,COLUMN())),OFFSET($T$2,0,0,ROW()-1,14),ROW()-1,FALSE))</x:f>
        <x:v>-4.4199849999999996</x:v>
      </x:c>
      <x:c r="L218">
        <x:f ca="1">IF(AND($B$1012=1,LEN($L$1222)&gt;0),$L$1222,HLOOKUP(INDIRECT(ADDRESS(2,COLUMN())),OFFSET($T$2,0,0,ROW()-1,14),ROW()-1,FALSE))</x:f>
        <x:v>-6.3606550000000004</x:v>
      </x:c>
      <x:c r="M218">
        <x:f ca="1">IF(AND($B$1012=1,LEN($M$1222)&gt;0),$M$1222,HLOOKUP(INDIRECT(ADDRESS(2,COLUMN())),OFFSET($T$2,0,0,ROW()-1,14),ROW()-1,FALSE))</x:f>
        <x:v>-2.1127799999999999</x:v>
      </x:c>
      <x:c r="N218">
        <x:f ca="1">IF(AND($B$1012=1,LEN($N$1222)&gt;0),$N$1222,HLOOKUP(INDIRECT(ADDRESS(2,COLUMN())),OFFSET($T$2,0,0,ROW()-1,14),ROW()-1,FALSE))</x:f>
        <x:v>2.1315550000000001</x:v>
      </x:c>
      <x:c r="O218">
        <x:f ca="1">IF(AND($B$1012=1,LEN($O$1222)&gt;0),$O$1222,HLOOKUP(INDIRECT(ADDRESS(2,COLUMN())),OFFSET($T$2,0,0,ROW()-1,14),ROW()-1,FALSE))</x:f>
        <x:v>-5.1204400000000003</x:v>
      </x:c>
      <x:c r="P218">
        <x:f ca="1">IF(AND($B$1012=1,LEN($P$1222)&gt;0),$P$1222,HLOOKUP(INDIRECT(ADDRESS(2,COLUMN())),OFFSET($T$2,0,0,ROW()-1,14),ROW()-1,FALSE))</x:f>
        <x:v>-2.6544400000000001</x:v>
      </x:c>
      <x:c r="Q218">
        <x:f ca="1">IF(AND($B$1012=1,LEN($Q$1222)&gt;0),$Q$1222,HLOOKUP(INDIRECT(ADDRESS(2,COLUMN())),OFFSET($T$2,0,0,ROW()-1,14),ROW()-1,FALSE))</x:f>
        <x:v>-4.6961250000000003</x:v>
      </x:c>
      <x:c r="R218">
        <x:f ca="1">IF(AND($B$1012=1,LEN($R$1222)&gt;0),$R$1222,HLOOKUP(INDIRECT(ADDRESS(2,COLUMN())),OFFSET($T$2,0,0,ROW()-1,14),ROW()-1,FALSE))</x:f>
        <x:v>-0.39698</x:v>
      </x:c>
      <x:c r="S218">
        <x:f ca="1">IF(AND($B$1012=1,LEN($S$1222)&gt;0),$S$1222,HLOOKUP(INDIRECT(ADDRESS(2,COLUMN())),OFFSET($T$2,0,0,ROW()-1,14),ROW()-1,FALSE))</x:f>
        <x:v>-2.094805</x:v>
      </x:c>
      <x:c r="T218">
        <x:f>75.11652</x:f>
        <x:v>75.116519999999994</x:v>
      </x:c>
      <x:c r="U218">
        <x:f>-8.40867</x:f>
        <x:v>-8.4086700000000008</x:v>
      </x:c>
      <x:c r="V218">
        <x:f>-2.31582</x:f>
        <x:v>-2.31582</x:v>
      </x:c>
      <x:c r="W218">
        <x:f>-4.67808</x:f>
        <x:v>-4.6780799999999996</x:v>
      </x:c>
      <x:c r="X218">
        <x:f>-2.424145</x:f>
        <x:v>-2.4241450000000002</x:v>
      </x:c>
      <x:c r="Y218">
        <x:f>-4.419985</x:f>
        <x:v>-4.4199849999999996</x:v>
      </x:c>
      <x:c r="Z218">
        <x:f>-6.360655</x:f>
        <x:v>-6.3606550000000004</x:v>
      </x:c>
      <x:c r="AA218">
        <x:f>-2.11278</x:f>
        <x:v>-2.1127799999999999</x:v>
      </x:c>
      <x:c r="AB218">
        <x:f>2.131555</x:f>
        <x:v>2.1315550000000001</x:v>
      </x:c>
      <x:c r="AC218">
        <x:f>-5.12044</x:f>
        <x:v>-5.1204400000000003</x:v>
      </x:c>
      <x:c r="AD218">
        <x:f>-2.65444</x:f>
        <x:v>-2.6544400000000001</x:v>
      </x:c>
      <x:c r="AE218">
        <x:f>-4.696125</x:f>
        <x:v>-4.6961250000000003</x:v>
      </x:c>
      <x:c r="AF218">
        <x:f>-0.39698</x:f>
        <x:v>-0.39698</x:v>
      </x:c>
      <x:c r="AG218">
        <x:f>-2.094805</x:f>
        <x:v>-2.094805</x:v>
      </x:c>
    </x:row>
    <x:row r="219" spans="1:33" x14ac:dyDescent="0.25">
      <x:c r="A219" t="str">
        <x:f>"        Invesco KBW Bank ETF"</x:f>
        <x:v xml:space="preserve">        Invesco KBW Bank ETF</x:v>
      </x:c>
      <x:c r="B219" t="str">
        <x:f>"KBWB US Equity"</x:f>
        <x:v>KBWB US Equity</x:v>
      </x:c>
      <x:c r="E219" t="str">
        <x:f t="shared" si="7"/>
        <x:v>Expression</x:v>
      </x:c>
      <x:c r="F219">
        <x:f ca="1">IF(AND($B$1012=1,LEN($F$1223)&gt;0),$F$1223,HLOOKUP(INDIRECT(ADDRESS(2,COLUMN())),OFFSET($T$2,0,0,ROW()-1,14),ROW()-1,FALSE))</x:f>
        <x:v>-21.701844000000001</x:v>
      </x:c>
      <x:c r="G219">
        <x:f ca="1">IF(AND($B$1012=1,LEN($G$1223)&gt;0),$G$1223,HLOOKUP(INDIRECT(ADDRESS(2,COLUMN())),OFFSET($T$2,0,0,ROW()-1,14),ROW()-1,FALSE))</x:f>
        <x:v>-415.62396699999999</x:v>
      </x:c>
      <x:c r="H219">
        <x:f ca="1">IF(AND($B$1012=1,LEN($H$1223)&gt;0),$H$1223,HLOOKUP(INDIRECT(ADDRESS(2,COLUMN())),OFFSET($T$2,0,0,ROW()-1,14),ROW()-1,FALSE))</x:f>
        <x:v>-53.975264000000003</x:v>
      </x:c>
      <x:c r="I219">
        <x:f ca="1">IF(AND($B$1012=1,LEN($I$1223)&gt;0),$I$1223,HLOOKUP(INDIRECT(ADDRESS(2,COLUMN())),OFFSET($T$2,0,0,ROW()-1,14),ROW()-1,FALSE))</x:f>
        <x:v>-85.345545999999999</x:v>
      </x:c>
      <x:c r="J219">
        <x:f ca="1">IF(AND($B$1012=1,LEN($J$1223)&gt;0),$J$1223,HLOOKUP(INDIRECT(ADDRESS(2,COLUMN())),OFFSET($T$2,0,0,ROW()-1,14),ROW()-1,FALSE))</x:f>
        <x:v>514.52924499999995</x:v>
      </x:c>
      <x:c r="K219">
        <x:f ca="1">IF(AND($B$1012=1,LEN($K$1223)&gt;0),$K$1223,HLOOKUP(INDIRECT(ADDRESS(2,COLUMN())),OFFSET($T$2,0,0,ROW()-1,14),ROW()-1,FALSE))</x:f>
        <x:v>34.178116000000003</x:v>
      </x:c>
      <x:c r="L219">
        <x:f ca="1">IF(AND($B$1012=1,LEN($L$1223)&gt;0),$L$1223,HLOOKUP(INDIRECT(ADDRESS(2,COLUMN())),OFFSET($T$2,0,0,ROW()-1,14),ROW()-1,FALSE))</x:f>
        <x:v>-26.972384999999999</x:v>
      </x:c>
      <x:c r="M219">
        <x:f ca="1">IF(AND($B$1012=1,LEN($M$1223)&gt;0),$M$1223,HLOOKUP(INDIRECT(ADDRESS(2,COLUMN())),OFFSET($T$2,0,0,ROW()-1,14),ROW()-1,FALSE))</x:f>
        <x:v>1.6465019999999999</x:v>
      </x:c>
      <x:c r="N219">
        <x:f ca="1">IF(AND($B$1012=1,LEN($N$1223)&gt;0),$N$1223,HLOOKUP(INDIRECT(ADDRESS(2,COLUMN())),OFFSET($T$2,0,0,ROW()-1,14),ROW()-1,FALSE))</x:f>
        <x:v>-436.454114</x:v>
      </x:c>
      <x:c r="O219">
        <x:f ca="1">IF(AND($B$1012=1,LEN($O$1223)&gt;0),$O$1223,HLOOKUP(INDIRECT(ADDRESS(2,COLUMN())),OFFSET($T$2,0,0,ROW()-1,14),ROW()-1,FALSE))</x:f>
        <x:v>426.89148399999999</x:v>
      </x:c>
      <x:c r="P219">
        <x:f ca="1">IF(AND($B$1012=1,LEN($P$1223)&gt;0),$P$1223,HLOOKUP(INDIRECT(ADDRESS(2,COLUMN())),OFFSET($T$2,0,0,ROW()-1,14),ROW()-1,FALSE))</x:f>
        <x:v>49.673316</x:v>
      </x:c>
      <x:c r="Q219">
        <x:f ca="1">IF(AND($B$1012=1,LEN($Q$1223)&gt;0),$Q$1223,HLOOKUP(INDIRECT(ADDRESS(2,COLUMN())),OFFSET($T$2,0,0,ROW()-1,14),ROW()-1,FALSE))</x:f>
        <x:v>-256.43596600000001</x:v>
      </x:c>
      <x:c r="R219">
        <x:f ca="1">IF(AND($B$1012=1,LEN($R$1223)&gt;0),$R$1223,HLOOKUP(INDIRECT(ADDRESS(2,COLUMN())),OFFSET($T$2,0,0,ROW()-1,14),ROW()-1,FALSE))</x:f>
        <x:v>37.909835000000001</x:v>
      </x:c>
      <x:c r="S219">
        <x:f ca="1">IF(AND($B$1012=1,LEN($S$1223)&gt;0),$S$1223,HLOOKUP(INDIRECT(ADDRESS(2,COLUMN())),OFFSET($T$2,0,0,ROW()-1,14),ROW()-1,FALSE))</x:f>
        <x:v>60.186877000000003</x:v>
      </x:c>
      <x:c r="T219">
        <x:f>-21.701844</x:f>
        <x:v>-21.701844000000001</x:v>
      </x:c>
      <x:c r="U219">
        <x:f>-415.623967</x:f>
        <x:v>-415.62396699999999</x:v>
      </x:c>
      <x:c r="V219">
        <x:f>-53.975264</x:f>
        <x:v>-53.975264000000003</x:v>
      </x:c>
      <x:c r="W219">
        <x:f>-85.345546</x:f>
        <x:v>-85.345545999999999</x:v>
      </x:c>
      <x:c r="X219">
        <x:f>514.529245</x:f>
        <x:v>514.52924499999995</x:v>
      </x:c>
      <x:c r="Y219">
        <x:f>34.178116</x:f>
        <x:v>34.178116000000003</x:v>
      </x:c>
      <x:c r="Z219">
        <x:f>-26.972385</x:f>
        <x:v>-26.972384999999999</x:v>
      </x:c>
      <x:c r="AA219">
        <x:f>1.646502</x:f>
        <x:v>1.6465019999999999</x:v>
      </x:c>
      <x:c r="AB219">
        <x:f>-436.454114</x:f>
        <x:v>-436.454114</x:v>
      </x:c>
      <x:c r="AC219">
        <x:f>426.891484</x:f>
        <x:v>426.89148399999999</x:v>
      </x:c>
      <x:c r="AD219">
        <x:f>49.673316</x:f>
        <x:v>49.673316</x:v>
      </x:c>
      <x:c r="AE219">
        <x:f>-256.435966</x:f>
        <x:v>-256.43596600000001</x:v>
      </x:c>
      <x:c r="AF219">
        <x:f>37.909835</x:f>
        <x:v>37.909835000000001</x:v>
      </x:c>
      <x:c r="AG219">
        <x:f>60.186877</x:f>
        <x:v>60.186877000000003</x:v>
      </x:c>
    </x:row>
    <x:row r="220" spans="1:33" x14ac:dyDescent="0.25">
      <x:c r="A220" t="str">
        <x:f>"        iShares US Regional Banks ETF"</x:f>
        <x:v xml:space="preserve">        iShares US Regional Banks ETF</x:v>
      </x:c>
      <x:c r="B220" t="str">
        <x:f>"IAT US Equity"</x:f>
        <x:v>IAT US Equity</x:v>
      </x:c>
      <x:c r="E220" t="str">
        <x:f t="shared" si="7"/>
        <x:v>Expression</x:v>
      </x:c>
      <x:c r="F220">
        <x:f ca="1">IF(AND($B$1012=1,LEN($F$1224)&gt;0),$F$1224,HLOOKUP(INDIRECT(ADDRESS(2,COLUMN())),OFFSET($T$2,0,0,ROW()-1,14),ROW()-1,FALSE))</x:f>
        <x:v>-23.145091000000001</x:v>
      </x:c>
      <x:c r="G220">
        <x:f ca="1">IF(AND($B$1012=1,LEN($G$1224)&gt;0),$G$1224,HLOOKUP(INDIRECT(ADDRESS(2,COLUMN())),OFFSET($T$2,0,0,ROW()-1,14),ROW()-1,FALSE))</x:f>
        <x:v>-22.510052000000002</x:v>
      </x:c>
      <x:c r="H220">
        <x:f ca="1">IF(AND($B$1012=1,LEN($H$1224)&gt;0),$H$1224,HLOOKUP(INDIRECT(ADDRESS(2,COLUMN())),OFFSET($T$2,0,0,ROW()-1,14),ROW()-1,FALSE))</x:f>
        <x:v>-5.0195489999999996</x:v>
      </x:c>
      <x:c r="I220">
        <x:f ca="1">IF(AND($B$1012=1,LEN($I$1224)&gt;0),$I$1224,HLOOKUP(INDIRECT(ADDRESS(2,COLUMN())),OFFSET($T$2,0,0,ROW()-1,14),ROW()-1,FALSE))</x:f>
        <x:v>-58.8476</x:v>
      </x:c>
      <x:c r="J220">
        <x:f ca="1">IF(AND($B$1012=1,LEN($J$1224)&gt;0),$J$1224,HLOOKUP(INDIRECT(ADDRESS(2,COLUMN())),OFFSET($T$2,0,0,ROW()-1,14),ROW()-1,FALSE))</x:f>
        <x:v>-131.37549999999999</x:v>
      </x:c>
      <x:c r="K220">
        <x:f ca="1">IF(AND($B$1012=1,LEN($K$1224)&gt;0),$K$1224,HLOOKUP(INDIRECT(ADDRESS(2,COLUMN())),OFFSET($T$2,0,0,ROW()-1,14),ROW()-1,FALSE))</x:f>
        <x:v>30.34188</x:v>
      </x:c>
      <x:c r="L220">
        <x:f ca="1">IF(AND($B$1012=1,LEN($L$1224)&gt;0),$L$1224,HLOOKUP(INDIRECT(ADDRESS(2,COLUMN())),OFFSET($T$2,0,0,ROW()-1,14),ROW()-1,FALSE))</x:f>
        <x:v>86.773695000000004</x:v>
      </x:c>
      <x:c r="M220">
        <x:f ca="1">IF(AND($B$1012=1,LEN($M$1224)&gt;0),$M$1224,HLOOKUP(INDIRECT(ADDRESS(2,COLUMN())),OFFSET($T$2,0,0,ROW()-1,14),ROW()-1,FALSE))</x:f>
        <x:v>-79.086754999999997</x:v>
      </x:c>
      <x:c r="N220">
        <x:f ca="1">IF(AND($B$1012=1,LEN($N$1224)&gt;0),$N$1224,HLOOKUP(INDIRECT(ADDRESS(2,COLUMN())),OFFSET($T$2,0,0,ROW()-1,14),ROW()-1,FALSE))</x:f>
        <x:v>292.71557000000001</x:v>
      </x:c>
      <x:c r="O220">
        <x:f ca="1">IF(AND($B$1012=1,LEN($O$1224)&gt;0),$O$1224,HLOOKUP(INDIRECT(ADDRESS(2,COLUMN())),OFFSET($T$2,0,0,ROW()-1,14),ROW()-1,FALSE))</x:f>
        <x:v>-5.2750500000000002</x:v>
      </x:c>
      <x:c r="P220">
        <x:f ca="1">IF(AND($B$1012=1,LEN($P$1224)&gt;0),$P$1224,HLOOKUP(INDIRECT(ADDRESS(2,COLUMN())),OFFSET($T$2,0,0,ROW()-1,14),ROW()-1,FALSE))</x:f>
        <x:v>-20.058920000000001</x:v>
      </x:c>
      <x:c r="Q220">
        <x:f ca="1">IF(AND($B$1012=1,LEN($Q$1224)&gt;0),$Q$1224,HLOOKUP(INDIRECT(ADDRESS(2,COLUMN())),OFFSET($T$2,0,0,ROW()-1,14),ROW()-1,FALSE))</x:f>
        <x:v>-28.514199999999999</x:v>
      </x:c>
      <x:c r="R220">
        <x:f ca="1">IF(AND($B$1012=1,LEN($R$1224)&gt;0),$R$1224,HLOOKUP(INDIRECT(ADDRESS(2,COLUMN())),OFFSET($T$2,0,0,ROW()-1,14),ROW()-1,FALSE))</x:f>
        <x:v>-7.7513750000000003</x:v>
      </x:c>
      <x:c r="S220">
        <x:f ca="1">IF(AND($B$1012=1,LEN($S$1224)&gt;0),$S$1224,HLOOKUP(INDIRECT(ADDRESS(2,COLUMN())),OFFSET($T$2,0,0,ROW()-1,14),ROW()-1,FALSE))</x:f>
        <x:v>-11.98151</x:v>
      </x:c>
      <x:c r="T220">
        <x:f>-23.145091</x:f>
        <x:v>-23.145091000000001</x:v>
      </x:c>
      <x:c r="U220">
        <x:f>-22.510052</x:f>
        <x:v>-22.510052000000002</x:v>
      </x:c>
      <x:c r="V220">
        <x:f>-5.019549</x:f>
        <x:v>-5.0195489999999996</x:v>
      </x:c>
      <x:c r="W220">
        <x:f>-58.8476</x:f>
        <x:v>-58.8476</x:v>
      </x:c>
      <x:c r="X220">
        <x:f>-131.3755</x:f>
        <x:v>-131.37549999999999</x:v>
      </x:c>
      <x:c r="Y220">
        <x:f>30.34188</x:f>
        <x:v>30.34188</x:v>
      </x:c>
      <x:c r="Z220">
        <x:f>86.773695</x:f>
        <x:v>86.773695000000004</x:v>
      </x:c>
      <x:c r="AA220">
        <x:f>-79.086755</x:f>
        <x:v>-79.086754999999997</x:v>
      </x:c>
      <x:c r="AB220">
        <x:f>292.71557</x:f>
        <x:v>292.71557000000001</x:v>
      </x:c>
      <x:c r="AC220">
        <x:f>-5.27505</x:f>
        <x:v>-5.2750500000000002</x:v>
      </x:c>
      <x:c r="AD220">
        <x:f>-20.05892</x:f>
        <x:v>-20.058920000000001</x:v>
      </x:c>
      <x:c r="AE220">
        <x:f>-28.5142</x:f>
        <x:v>-28.514199999999999</x:v>
      </x:c>
      <x:c r="AF220">
        <x:f>-7.751375</x:f>
        <x:v>-7.7513750000000003</x:v>
      </x:c>
      <x:c r="AG220">
        <x:f>-11.98151</x:f>
        <x:v>-11.98151</x:v>
      </x:c>
    </x:row>
    <x:row r="221" spans="1:33" x14ac:dyDescent="0.25">
      <x:c r="A221" t="str">
        <x:f>"        iShares Global Financials ETF"</x:f>
        <x:v xml:space="preserve">        iShares Global Financials ETF</x:v>
      </x:c>
      <x:c r="B221" t="str">
        <x:f>"IXG US Equity"</x:f>
        <x:v>IXG US Equity</x:v>
      </x:c>
      <x:c r="E221" t="str">
        <x:f t="shared" si="7"/>
        <x:v>Expression</x:v>
      </x:c>
      <x:c r="F221">
        <x:f ca="1">IF(AND($B$1012=1,LEN($F$1225)&gt;0),$F$1225,HLOOKUP(INDIRECT(ADDRESS(2,COLUMN())),OFFSET($T$2,0,0,ROW()-1,14),ROW()-1,FALSE))</x:f>
        <x:v>0</x:v>
      </x:c>
      <x:c r="G221">
        <x:f ca="1">IF(AND($B$1012=1,LEN($G$1225)&gt;0),$G$1225,HLOOKUP(INDIRECT(ADDRESS(2,COLUMN())),OFFSET($T$2,0,0,ROW()-1,14),ROW()-1,FALSE))</x:f>
        <x:v>-6.7089179999999997</x:v>
      </x:c>
      <x:c r="H221">
        <x:f ca="1">IF(AND($B$1012=1,LEN($H$1225)&gt;0),$H$1225,HLOOKUP(INDIRECT(ADDRESS(2,COLUMN())),OFFSET($T$2,0,0,ROW()-1,14),ROW()-1,FALSE))</x:f>
        <x:v>-7.2960979999999998</x:v>
      </x:c>
      <x:c r="I221">
        <x:f ca="1">IF(AND($B$1012=1,LEN($I$1225)&gt;0),$I$1225,HLOOKUP(INDIRECT(ADDRESS(2,COLUMN())),OFFSET($T$2,0,0,ROW()-1,14),ROW()-1,FALSE))</x:f>
        <x:v>0</x:v>
      </x:c>
      <x:c r="J221">
        <x:f ca="1">IF(AND($B$1012=1,LEN($J$1225)&gt;0),$J$1225,HLOOKUP(INDIRECT(ADDRESS(2,COLUMN())),OFFSET($T$2,0,0,ROW()-1,14),ROW()-1,FALSE))</x:f>
        <x:v>-10.667865000000001</x:v>
      </x:c>
      <x:c r="K221">
        <x:f ca="1">IF(AND($B$1012=1,LEN($K$1225)&gt;0),$K$1225,HLOOKUP(INDIRECT(ADDRESS(2,COLUMN())),OFFSET($T$2,0,0,ROW()-1,14),ROW()-1,FALSE))</x:f>
        <x:v>0</x:v>
      </x:c>
      <x:c r="L221">
        <x:f ca="1">IF(AND($B$1012=1,LEN($L$1225)&gt;0),$L$1225,HLOOKUP(INDIRECT(ADDRESS(2,COLUMN())),OFFSET($T$2,0,0,ROW()-1,14),ROW()-1,FALSE))</x:f>
        <x:v>6.9072800000000001</x:v>
      </x:c>
      <x:c r="M221">
        <x:f ca="1">IF(AND($B$1012=1,LEN($M$1225)&gt;0),$M$1225,HLOOKUP(INDIRECT(ADDRESS(2,COLUMN())),OFFSET($T$2,0,0,ROW()-1,14),ROW()-1,FALSE))</x:f>
        <x:v>-21.481275</x:v>
      </x:c>
      <x:c r="N221">
        <x:f ca="1">IF(AND($B$1012=1,LEN($N$1225)&gt;0),$N$1225,HLOOKUP(INDIRECT(ADDRESS(2,COLUMN())),OFFSET($T$2,0,0,ROW()-1,14),ROW()-1,FALSE))</x:f>
        <x:v>-81.548159999999996</x:v>
      </x:c>
      <x:c r="O221">
        <x:f ca="1">IF(AND($B$1012=1,LEN($O$1225)&gt;0),$O$1225,HLOOKUP(INDIRECT(ADDRESS(2,COLUMN())),OFFSET($T$2,0,0,ROW()-1,14),ROW()-1,FALSE))</x:f>
        <x:v>-70.100115000000002</x:v>
      </x:c>
      <x:c r="P221">
        <x:f ca="1">IF(AND($B$1012=1,LEN($P$1225)&gt;0),$P$1225,HLOOKUP(INDIRECT(ADDRESS(2,COLUMN())),OFFSET($T$2,0,0,ROW()-1,14),ROW()-1,FALSE))</x:f>
        <x:v>52.038980000000002</x:v>
      </x:c>
      <x:c r="Q221">
        <x:f ca="1">IF(AND($B$1012=1,LEN($Q$1225)&gt;0),$Q$1225,HLOOKUP(INDIRECT(ADDRESS(2,COLUMN())),OFFSET($T$2,0,0,ROW()-1,14),ROW()-1,FALSE))</x:f>
        <x:v>17.8536</x:v>
      </x:c>
      <x:c r="R221">
        <x:f ca="1">IF(AND($B$1012=1,LEN($R$1225)&gt;0),$R$1225,HLOOKUP(INDIRECT(ADDRESS(2,COLUMN())),OFFSET($T$2,0,0,ROW()-1,14),ROW()-1,FALSE))</x:f>
        <x:v>-255.64402000000001</x:v>
      </x:c>
      <x:c r="S221">
        <x:f ca="1">IF(AND($B$1012=1,LEN($S$1225)&gt;0),$S$1225,HLOOKUP(INDIRECT(ADDRESS(2,COLUMN())),OFFSET($T$2,0,0,ROW()-1,14),ROW()-1,FALSE))</x:f>
        <x:v>0.34417999999999999</x:v>
      </x:c>
      <x:c r="T221">
        <x:f>0</x:f>
        <x:v>0</x:v>
      </x:c>
      <x:c r="U221">
        <x:f>-6.708918</x:f>
        <x:v>-6.7089179999999997</x:v>
      </x:c>
      <x:c r="V221">
        <x:f>-7.296098</x:f>
        <x:v>-7.2960979999999998</x:v>
      </x:c>
      <x:c r="W221">
        <x:f>0</x:f>
        <x:v>0</x:v>
      </x:c>
      <x:c r="X221">
        <x:f>-10.667865</x:f>
        <x:v>-10.667865000000001</x:v>
      </x:c>
      <x:c r="Y221">
        <x:f>0</x:f>
        <x:v>0</x:v>
      </x:c>
      <x:c r="Z221">
        <x:f>6.90728</x:f>
        <x:v>6.9072800000000001</x:v>
      </x:c>
      <x:c r="AA221">
        <x:f>-21.481275</x:f>
        <x:v>-21.481275</x:v>
      </x:c>
      <x:c r="AB221">
        <x:f>-81.54816</x:f>
        <x:v>-81.548159999999996</x:v>
      </x:c>
      <x:c r="AC221">
        <x:f>-70.100115</x:f>
        <x:v>-70.100115000000002</x:v>
      </x:c>
      <x:c r="AD221">
        <x:f>52.03898</x:f>
        <x:v>52.038980000000002</x:v>
      </x:c>
      <x:c r="AE221">
        <x:f>17.8536</x:f>
        <x:v>17.8536</x:v>
      </x:c>
      <x:c r="AF221">
        <x:f>-255.64402</x:f>
        <x:v>-255.64402000000001</x:v>
      </x:c>
      <x:c r="AG221">
        <x:f>0.34418</x:f>
        <x:v>0.34417999999999999</x:v>
      </x:c>
    </x:row>
    <x:row r="222" spans="1:33" x14ac:dyDescent="0.25">
      <x:c r="A222" t="str">
        <x:f>"        First Trust NASDAQ ABA Communi"</x:f>
        <x:v xml:space="preserve">        First Trust NASDAQ ABA Communi</x:v>
      </x:c>
      <x:c r="B222" t="str">
        <x:f>"QABA US Equity"</x:f>
        <x:v>QABA US Equity</x:v>
      </x:c>
      <x:c r="E222" t="str">
        <x:f t="shared" si="7"/>
        <x:v>Expression</x:v>
      </x:c>
      <x:c r="F222">
        <x:f ca="1">IF(AND($B$1012=1,LEN($F$1226)&gt;0),$F$1226,HLOOKUP(INDIRECT(ADDRESS(2,COLUMN())),OFFSET($T$2,0,0,ROW()-1,14),ROW()-1,FALSE))</x:f>
        <x:v>-4.0232749999999999</x:v>
      </x:c>
      <x:c r="G222">
        <x:f ca="1">IF(AND($B$1012=1,LEN($G$1226)&gt;0),$G$1226,HLOOKUP(INDIRECT(ADDRESS(2,COLUMN())),OFFSET($T$2,0,0,ROW()-1,14),ROW()-1,FALSE))</x:f>
        <x:v>-1.8910690000000001</x:v>
      </x:c>
      <x:c r="H222">
        <x:f ca="1">IF(AND($B$1012=1,LEN($H$1226)&gt;0),$H$1226,HLOOKUP(INDIRECT(ADDRESS(2,COLUMN())),OFFSET($T$2,0,0,ROW()-1,14),ROW()-1,FALSE))</x:f>
        <x:v>-1.9851529999999999</x:v>
      </x:c>
      <x:c r="I222">
        <x:f ca="1">IF(AND($B$1012=1,LEN($I$1226)&gt;0),$I$1226,HLOOKUP(INDIRECT(ADDRESS(2,COLUMN())),OFFSET($T$2,0,0,ROW()-1,14),ROW()-1,FALSE))</x:f>
        <x:v>-6.5257889999999996</x:v>
      </x:c>
      <x:c r="J222">
        <x:f ca="1">IF(AND($B$1012=1,LEN($J$1226)&gt;0),$J$1226,HLOOKUP(INDIRECT(ADDRESS(2,COLUMN())),OFFSET($T$2,0,0,ROW()-1,14),ROW()-1,FALSE))</x:f>
        <x:v>-2.0579999999999998</x:v>
      </x:c>
      <x:c r="K222">
        <x:f ca="1">IF(AND($B$1012=1,LEN($K$1226)&gt;0),$K$1226,HLOOKUP(INDIRECT(ADDRESS(2,COLUMN())),OFFSET($T$2,0,0,ROW()-1,14),ROW()-1,FALSE))</x:f>
        <x:v>-8.1769999999999996</x:v>
      </x:c>
      <x:c r="L222">
        <x:f ca="1">IF(AND($B$1012=1,LEN($L$1226)&gt;0),$L$1226,HLOOKUP(INDIRECT(ADDRESS(2,COLUMN())),OFFSET($T$2,0,0,ROW()-1,14),ROW()-1,FALSE))</x:f>
        <x:v>-7.38</x:v>
      </x:c>
      <x:c r="M222">
        <x:f ca="1">IF(AND($B$1012=1,LEN($M$1226)&gt;0),$M$1226,HLOOKUP(INDIRECT(ADDRESS(2,COLUMN())),OFFSET($T$2,0,0,ROW()-1,14),ROW()-1,FALSE))</x:f>
        <x:v>-4.1905000000000001</x:v>
      </x:c>
      <x:c r="N222">
        <x:f ca="1">IF(AND($B$1012=1,LEN($N$1226)&gt;0),$N$1226,HLOOKUP(INDIRECT(ADDRESS(2,COLUMN())),OFFSET($T$2,0,0,ROW()-1,14),ROW()-1,FALSE))</x:f>
        <x:v>-26.861999999999998</x:v>
      </x:c>
      <x:c r="O222">
        <x:f ca="1">IF(AND($B$1012=1,LEN($O$1226)&gt;0),$O$1226,HLOOKUP(INDIRECT(ADDRESS(2,COLUMN())),OFFSET($T$2,0,0,ROW()-1,14),ROW()-1,FALSE))</x:f>
        <x:v>-35.708500000000001</x:v>
      </x:c>
      <x:c r="P222">
        <x:f ca="1">IF(AND($B$1012=1,LEN($P$1226)&gt;0),$P$1226,HLOOKUP(INDIRECT(ADDRESS(2,COLUMN())),OFFSET($T$2,0,0,ROW()-1,14),ROW()-1,FALSE))</x:f>
        <x:v>-5.2009999999999996</x:v>
      </x:c>
      <x:c r="Q222">
        <x:f ca="1">IF(AND($B$1012=1,LEN($Q$1226)&gt;0),$Q$1226,HLOOKUP(INDIRECT(ADDRESS(2,COLUMN())),OFFSET($T$2,0,0,ROW()-1,14),ROW()-1,FALSE))</x:f>
        <x:v>26.812338</x:v>
      </x:c>
      <x:c r="R222">
        <x:f ca="1">IF(AND($B$1012=1,LEN($R$1226)&gt;0),$R$1226,HLOOKUP(INDIRECT(ADDRESS(2,COLUMN())),OFFSET($T$2,0,0,ROW()-1,14),ROW()-1,FALSE))</x:f>
        <x:v>44.516565</x:v>
      </x:c>
      <x:c r="S222">
        <x:f ca="1">IF(AND($B$1012=1,LEN($S$1226)&gt;0),$S$1226,HLOOKUP(INDIRECT(ADDRESS(2,COLUMN())),OFFSET($T$2,0,0,ROW()-1,14),ROW()-1,FALSE))</x:f>
        <x:v>29.956209999999999</x:v>
      </x:c>
      <x:c r="T222">
        <x:f>-4.023275</x:f>
        <x:v>-4.0232749999999999</x:v>
      </x:c>
      <x:c r="U222">
        <x:f>-1.891069</x:f>
        <x:v>-1.8910690000000001</x:v>
      </x:c>
      <x:c r="V222">
        <x:f>-1.985153</x:f>
        <x:v>-1.9851529999999999</x:v>
      </x:c>
      <x:c r="W222">
        <x:f>-6.525789</x:f>
        <x:v>-6.5257889999999996</x:v>
      </x:c>
      <x:c r="X222">
        <x:f>-2.058</x:f>
        <x:v>-2.0579999999999998</x:v>
      </x:c>
      <x:c r="Y222">
        <x:f>-8.177</x:f>
        <x:v>-8.1769999999999996</x:v>
      </x:c>
      <x:c r="Z222">
        <x:f>-7.38</x:f>
        <x:v>-7.38</x:v>
      </x:c>
      <x:c r="AA222">
        <x:f>-4.1905</x:f>
        <x:v>-4.1905000000000001</x:v>
      </x:c>
      <x:c r="AB222">
        <x:f>-26.862</x:f>
        <x:v>-26.861999999999998</x:v>
      </x:c>
      <x:c r="AC222">
        <x:f>-35.7085</x:f>
        <x:v>-35.708500000000001</x:v>
      </x:c>
      <x:c r="AD222">
        <x:f>-5.201</x:f>
        <x:v>-5.2009999999999996</x:v>
      </x:c>
      <x:c r="AE222">
        <x:f>26.812338</x:f>
        <x:v>26.812338</x:v>
      </x:c>
      <x:c r="AF222">
        <x:f>44.516565</x:f>
        <x:v>44.516565</x:v>
      </x:c>
      <x:c r="AG222">
        <x:f>29.95621</x:f>
        <x:v>29.956209999999999</x:v>
      </x:c>
    </x:row>
    <x:row r="223" spans="1:33" x14ac:dyDescent="0.25">
      <x:c r="A223" t="str">
        <x:f>"        Invesco KBW High Dividend Yiel"</x:f>
        <x:v xml:space="preserve">        Invesco KBW High Dividend Yiel</x:v>
      </x:c>
      <x:c r="B223" t="str">
        <x:f>"KBWD US Equity"</x:f>
        <x:v>KBWD US Equity</x:v>
      </x:c>
      <x:c r="E223" t="str">
        <x:f t="shared" si="7"/>
        <x:v>Expression</x:v>
      </x:c>
      <x:c r="F223">
        <x:f ca="1">IF(AND($B$1012=1,LEN($F$1227)&gt;0),$F$1227,HLOOKUP(INDIRECT(ADDRESS(2,COLUMN())),OFFSET($T$2,0,0,ROW()-1,14),ROW()-1,FALSE))</x:f>
        <x:v>-0.328623</x:v>
      </x:c>
      <x:c r="G223">
        <x:f ca="1">IF(AND($B$1012=1,LEN($G$1227)&gt;0),$G$1227,HLOOKUP(INDIRECT(ADDRESS(2,COLUMN())),OFFSET($T$2,0,0,ROW()-1,14),ROW()-1,FALSE))</x:f>
        <x:v>-2.4492099999999999</x:v>
      </x:c>
      <x:c r="H223">
        <x:f ca="1">IF(AND($B$1012=1,LEN($H$1227)&gt;0),$H$1227,HLOOKUP(INDIRECT(ADDRESS(2,COLUMN())),OFFSET($T$2,0,0,ROW()-1,14),ROW()-1,FALSE))</x:f>
        <x:v>0</x:v>
      </x:c>
      <x:c r="I223">
        <x:f ca="1">IF(AND($B$1012=1,LEN($I$1227)&gt;0),$I$1227,HLOOKUP(INDIRECT(ADDRESS(2,COLUMN())),OFFSET($T$2,0,0,ROW()-1,14),ROW()-1,FALSE))</x:f>
        <x:v>1.301213</x:v>
      </x:c>
      <x:c r="J223">
        <x:f ca="1">IF(AND($B$1012=1,LEN($J$1227)&gt;0),$J$1227,HLOOKUP(INDIRECT(ADDRESS(2,COLUMN())),OFFSET($T$2,0,0,ROW()-1,14),ROW()-1,FALSE))</x:f>
        <x:v>2.555936</x:v>
      </x:c>
      <x:c r="K223">
        <x:f ca="1">IF(AND($B$1012=1,LEN($K$1227)&gt;0),$K$1227,HLOOKUP(INDIRECT(ADDRESS(2,COLUMN())),OFFSET($T$2,0,0,ROW()-1,14),ROW()-1,FALSE))</x:f>
        <x:v>1.3866210000000001</x:v>
      </x:c>
      <x:c r="L223">
        <x:f ca="1">IF(AND($B$1012=1,LEN($L$1227)&gt;0),$L$1227,HLOOKUP(INDIRECT(ADDRESS(2,COLUMN())),OFFSET($T$2,0,0,ROW()-1,14),ROW()-1,FALSE))</x:f>
        <x:v>-2.1573630000000001</x:v>
      </x:c>
      <x:c r="M223">
        <x:f ca="1">IF(AND($B$1012=1,LEN($M$1227)&gt;0),$M$1227,HLOOKUP(INDIRECT(ADDRESS(2,COLUMN())),OFFSET($T$2,0,0,ROW()-1,14),ROW()-1,FALSE))</x:f>
        <x:v>4.5961489999999996</x:v>
      </x:c>
      <x:c r="N223">
        <x:f ca="1">IF(AND($B$1012=1,LEN($N$1227)&gt;0),$N$1227,HLOOKUP(INDIRECT(ADDRESS(2,COLUMN())),OFFSET($T$2,0,0,ROW()-1,14),ROW()-1,FALSE))</x:f>
        <x:v>2.079393</x:v>
      </x:c>
      <x:c r="O223">
        <x:f ca="1">IF(AND($B$1012=1,LEN($O$1227)&gt;0),$O$1227,HLOOKUP(INDIRECT(ADDRESS(2,COLUMN())),OFFSET($T$2,0,0,ROW()-1,14),ROW()-1,FALSE))</x:f>
        <x:v>2.7059389999999999</x:v>
      </x:c>
      <x:c r="P223">
        <x:f ca="1">IF(AND($B$1012=1,LEN($P$1227)&gt;0),$P$1227,HLOOKUP(INDIRECT(ADDRESS(2,COLUMN())),OFFSET($T$2,0,0,ROW()-1,14),ROW()-1,FALSE))</x:f>
        <x:v>1.473684</x:v>
      </x:c>
      <x:c r="Q223">
        <x:f ca="1">IF(AND($B$1012=1,LEN($Q$1227)&gt;0),$Q$1227,HLOOKUP(INDIRECT(ADDRESS(2,COLUMN())),OFFSET($T$2,0,0,ROW()-1,14),ROW()-1,FALSE))</x:f>
        <x:v>-1.9420949999999999</x:v>
      </x:c>
      <x:c r="R223">
        <x:f ca="1">IF(AND($B$1012=1,LEN($R$1227)&gt;0),$R$1227,HLOOKUP(INDIRECT(ADDRESS(2,COLUMN())),OFFSET($T$2,0,0,ROW()-1,14),ROW()-1,FALSE))</x:f>
        <x:v>7.8652249999999997</x:v>
      </x:c>
      <x:c r="S223">
        <x:f ca="1">IF(AND($B$1012=1,LEN($S$1227)&gt;0),$S$1227,HLOOKUP(INDIRECT(ADDRESS(2,COLUMN())),OFFSET($T$2,0,0,ROW()-1,14),ROW()-1,FALSE))</x:f>
        <x:v>-28.292061</x:v>
      </x:c>
      <x:c r="T223">
        <x:f>-0.328623</x:f>
        <x:v>-0.328623</x:v>
      </x:c>
      <x:c r="U223">
        <x:f>-2.44921</x:f>
        <x:v>-2.4492099999999999</x:v>
      </x:c>
      <x:c r="V223">
        <x:f>0</x:f>
        <x:v>0</x:v>
      </x:c>
      <x:c r="W223">
        <x:f>1.301213</x:f>
        <x:v>1.301213</x:v>
      </x:c>
      <x:c r="X223">
        <x:f>2.555936</x:f>
        <x:v>2.555936</x:v>
      </x:c>
      <x:c r="Y223">
        <x:f>1.386621</x:f>
        <x:v>1.3866210000000001</x:v>
      </x:c>
      <x:c r="Z223">
        <x:f>-2.157363</x:f>
        <x:v>-2.1573630000000001</x:v>
      </x:c>
      <x:c r="AA223">
        <x:f>4.596149</x:f>
        <x:v>4.5961489999999996</x:v>
      </x:c>
      <x:c r="AB223">
        <x:f>2.079393</x:f>
        <x:v>2.079393</x:v>
      </x:c>
      <x:c r="AC223">
        <x:f>2.705939</x:f>
        <x:v>2.7059389999999999</x:v>
      </x:c>
      <x:c r="AD223">
        <x:f>1.473684</x:f>
        <x:v>1.473684</x:v>
      </x:c>
      <x:c r="AE223">
        <x:f>-1.942095</x:f>
        <x:v>-1.9420949999999999</x:v>
      </x:c>
      <x:c r="AF223">
        <x:f>7.865225</x:f>
        <x:v>7.8652249999999997</x:v>
      </x:c>
      <x:c r="AG223">
        <x:f>-28.292061</x:f>
        <x:v>-28.292061</x:v>
      </x:c>
    </x:row>
    <x:row r="224" spans="1:33" x14ac:dyDescent="0.25">
      <x:c r="A224" t="str">
        <x:f>"        Invesco S&amp;P 500 Equal Weight F"</x:f>
        <x:v xml:space="preserve">        Invesco S&amp;P 500 Equal Weight F</x:v>
      </x:c>
      <x:c r="B224" t="str">
        <x:f>"RYF US Equity"</x:f>
        <x:v>RYF US Equity</x:v>
      </x:c>
      <x:c r="E224" t="str">
        <x:f t="shared" si="7"/>
        <x:v>Expression</x:v>
      </x:c>
      <x:c r="F224">
        <x:f ca="1">IF(AND($B$1012=1,LEN($F$1228)&gt;0),$F$1228,HLOOKUP(INDIRECT(ADDRESS(2,COLUMN())),OFFSET($T$2,0,0,ROW()-1,14),ROW()-1,FALSE))</x:f>
        <x:v>-5.1969609999999999</x:v>
      </x:c>
      <x:c r="G224">
        <x:f ca="1">IF(AND($B$1012=1,LEN($G$1228)&gt;0),$G$1228,HLOOKUP(INDIRECT(ADDRESS(2,COLUMN())),OFFSET($T$2,0,0,ROW()-1,14),ROW()-1,FALSE))</x:f>
        <x:v>-13.048291000000001</x:v>
      </x:c>
      <x:c r="H224">
        <x:f ca="1">IF(AND($B$1012=1,LEN($H$1228)&gt;0),$H$1228,HLOOKUP(INDIRECT(ADDRESS(2,COLUMN())),OFFSET($T$2,0,0,ROW()-1,14),ROW()-1,FALSE))</x:f>
        <x:v>-3.1679849999999998</x:v>
      </x:c>
      <x:c r="I224">
        <x:f ca="1">IF(AND($B$1012=1,LEN($I$1228)&gt;0),$I$1228,HLOOKUP(INDIRECT(ADDRESS(2,COLUMN())),OFFSET($T$2,0,0,ROW()-1,14),ROW()-1,FALSE))</x:f>
        <x:v>-9.9262099999999993</x:v>
      </x:c>
      <x:c r="J224">
        <x:f ca="1">IF(AND($B$1012=1,LEN($J$1228)&gt;0),$J$1228,HLOOKUP(INDIRECT(ADDRESS(2,COLUMN())),OFFSET($T$2,0,0,ROW()-1,14),ROW()-1,FALSE))</x:f>
        <x:v>-15.223258</x:v>
      </x:c>
      <x:c r="K224">
        <x:f ca="1">IF(AND($B$1012=1,LEN($K$1228)&gt;0),$K$1228,HLOOKUP(INDIRECT(ADDRESS(2,COLUMN())),OFFSET($T$2,0,0,ROW()-1,14),ROW()-1,FALSE))</x:f>
        <x:v>-15.250162</x:v>
      </x:c>
      <x:c r="L224" t="str">
        <x:f ca="1">IF(AND($B$1012=1,LEN($L$1228)&gt;0),$L$1228,HLOOKUP(INDIRECT(ADDRESS(2,COLUMN())),OFFSET($T$2,0,0,ROW()-1,14),ROW()-1,FALSE))</x:f>
        <x:v/>
      </x:c>
      <x:c r="M224" t="str">
        <x:f ca="1">IF(AND($B$1012=1,LEN($M$1228)&gt;0),$M$1228,HLOOKUP(INDIRECT(ADDRESS(2,COLUMN())),OFFSET($T$2,0,0,ROW()-1,14),ROW()-1,FALSE))</x:f>
        <x:v/>
      </x:c>
      <x:c r="N224" t="str">
        <x:f ca="1">IF(AND($B$1012=1,LEN($N$1228)&gt;0),$N$1228,HLOOKUP(INDIRECT(ADDRESS(2,COLUMN())),OFFSET($T$2,0,0,ROW()-1,14),ROW()-1,FALSE))</x:f>
        <x:v/>
      </x:c>
      <x:c r="O224" t="str">
        <x:f ca="1">IF(AND($B$1012=1,LEN($O$1228)&gt;0),$O$1228,HLOOKUP(INDIRECT(ADDRESS(2,COLUMN())),OFFSET($T$2,0,0,ROW()-1,14),ROW()-1,FALSE))</x:f>
        <x:v/>
      </x:c>
      <x:c r="P224" t="str">
        <x:f ca="1">IF(AND($B$1012=1,LEN($P$1228)&gt;0),$P$1228,HLOOKUP(INDIRECT(ADDRESS(2,COLUMN())),OFFSET($T$2,0,0,ROW()-1,14),ROW()-1,FALSE))</x:f>
        <x:v/>
      </x:c>
      <x:c r="Q224" t="str">
        <x:f ca="1">IF(AND($B$1012=1,LEN($Q$1228)&gt;0),$Q$1228,HLOOKUP(INDIRECT(ADDRESS(2,COLUMN())),OFFSET($T$2,0,0,ROW()-1,14),ROW()-1,FALSE))</x:f>
        <x:v/>
      </x:c>
      <x:c r="R224" t="str">
        <x:f ca="1">IF(AND($B$1012=1,LEN($R$1228)&gt;0),$R$1228,HLOOKUP(INDIRECT(ADDRESS(2,COLUMN())),OFFSET($T$2,0,0,ROW()-1,14),ROW()-1,FALSE))</x:f>
        <x:v/>
      </x:c>
      <x:c r="S224" t="str">
        <x:f ca="1">IF(AND($B$1012=1,LEN($S$1228)&gt;0),$S$1228,HLOOKUP(INDIRECT(ADDRESS(2,COLUMN())),OFFSET($T$2,0,0,ROW()-1,14),ROW()-1,FALSE))</x:f>
        <x:v/>
      </x:c>
      <x:c r="T224">
        <x:f>-5.196961</x:f>
        <x:v>-5.1969609999999999</x:v>
      </x:c>
      <x:c r="U224">
        <x:f>-13.048291</x:f>
        <x:v>-13.048291000000001</x:v>
      </x:c>
      <x:c r="V224">
        <x:f>-3.167985</x:f>
        <x:v>-3.1679849999999998</x:v>
      </x:c>
      <x:c r="W224">
        <x:f>-9.92621</x:f>
        <x:v>-9.9262099999999993</x:v>
      </x:c>
      <x:c r="X224">
        <x:f>-15.223258</x:f>
        <x:v>-15.223258</x:v>
      </x:c>
      <x:c r="Y224">
        <x:f>-15.250162</x:f>
        <x:v>-15.250162</x:v>
      </x:c>
      <x:c r="Z224" t="str">
        <x:f>""</x:f>
        <x:v/>
      </x:c>
      <x:c r="AA224" t="str">
        <x:f>""</x:f>
        <x:v/>
      </x:c>
      <x:c r="AB224" t="str">
        <x:f>""</x:f>
        <x:v/>
      </x:c>
      <x:c r="AC224" t="str">
        <x:f>""</x:f>
        <x:v/>
      </x:c>
      <x:c r="AD224" t="str">
        <x:f>""</x:f>
        <x:v/>
      </x:c>
      <x:c r="AE224" t="str">
        <x:f>""</x:f>
        <x:v/>
      </x:c>
      <x:c r="AF224" t="str">
        <x:f>""</x:f>
        <x:v/>
      </x:c>
      <x:c r="AG224" t="str">
        <x:f>""</x:f>
        <x:v/>
      </x:c>
    </x:row>
    <x:row r="225" spans="1:33" x14ac:dyDescent="0.25">
      <x:c r="A225" t="str">
        <x:f>"        Invesco S&amp;P SmallCap Financial"</x:f>
        <x:v xml:space="preserve">        Invesco S&amp;P SmallCap Financial</x:v>
      </x:c>
      <x:c r="B225" t="str">
        <x:f>"PSCF US Equity"</x:f>
        <x:v>PSCF US Equity</x:v>
      </x:c>
      <x:c r="E225" t="str">
        <x:f t="shared" si="7"/>
        <x:v>Expression</x:v>
      </x:c>
      <x:c r="F225">
        <x:f ca="1">IF(AND($B$1012=1,LEN($F$1229)&gt;0),$F$1229,HLOOKUP(INDIRECT(ADDRESS(2,COLUMN())),OFFSET($T$2,0,0,ROW()-1,14),ROW()-1,FALSE))</x:f>
        <x:v>-0.39688299999999999</x:v>
      </x:c>
      <x:c r="G225">
        <x:f ca="1">IF(AND($B$1012=1,LEN($G$1229)&gt;0),$G$1229,HLOOKUP(INDIRECT(ADDRESS(2,COLUMN())),OFFSET($T$2,0,0,ROW()-1,14),ROW()-1,FALSE))</x:f>
        <x:v>-0.81796000000000002</x:v>
      </x:c>
      <x:c r="H225">
        <x:f ca="1">IF(AND($B$1012=1,LEN($H$1229)&gt;0),$H$1229,HLOOKUP(INDIRECT(ADDRESS(2,COLUMN())),OFFSET($T$2,0,0,ROW()-1,14),ROW()-1,FALSE))</x:f>
        <x:v>-1.2841450000000001</x:v>
      </x:c>
      <x:c r="I225">
        <x:f ca="1">IF(AND($B$1012=1,LEN($I$1229)&gt;0),$I$1229,HLOOKUP(INDIRECT(ADDRESS(2,COLUMN())),OFFSET($T$2,0,0,ROW()-1,14),ROW()-1,FALSE))</x:f>
        <x:v>0</x:v>
      </x:c>
      <x:c r="J225">
        <x:f ca="1">IF(AND($B$1012=1,LEN($J$1229)&gt;0),$J$1229,HLOOKUP(INDIRECT(ADDRESS(2,COLUMN())),OFFSET($T$2,0,0,ROW()-1,14),ROW()-1,FALSE))</x:f>
        <x:v>-0.47236299999999998</x:v>
      </x:c>
      <x:c r="K225">
        <x:f ca="1">IF(AND($B$1012=1,LEN($K$1229)&gt;0),$K$1229,HLOOKUP(INDIRECT(ADDRESS(2,COLUMN())),OFFSET($T$2,0,0,ROW()-1,14),ROW()-1,FALSE))</x:f>
        <x:v>-0.43011500000000003</x:v>
      </x:c>
      <x:c r="L225">
        <x:f ca="1">IF(AND($B$1012=1,LEN($L$1229)&gt;0),$L$1229,HLOOKUP(INDIRECT(ADDRESS(2,COLUMN())),OFFSET($T$2,0,0,ROW()-1,14),ROW()-1,FALSE))</x:f>
        <x:v>-0.80845500000000003</x:v>
      </x:c>
      <x:c r="M225">
        <x:f ca="1">IF(AND($B$1012=1,LEN($M$1229)&gt;0),$M$1229,HLOOKUP(INDIRECT(ADDRESS(2,COLUMN())),OFFSET($T$2,0,0,ROW()-1,14),ROW()-1,FALSE))</x:f>
        <x:v>-0.84914000000000001</x:v>
      </x:c>
      <x:c r="N225">
        <x:f ca="1">IF(AND($B$1012=1,LEN($N$1229)&gt;0),$N$1229,HLOOKUP(INDIRECT(ADDRESS(2,COLUMN())),OFFSET($T$2,0,0,ROW()-1,14),ROW()-1,FALSE))</x:f>
        <x:v>0</x:v>
      </x:c>
      <x:c r="O225">
        <x:f ca="1">IF(AND($B$1012=1,LEN($O$1229)&gt;0),$O$1229,HLOOKUP(INDIRECT(ADDRESS(2,COLUMN())),OFFSET($T$2,0,0,ROW()-1,14),ROW()-1,FALSE))</x:f>
        <x:v>-0.52008699999999997</x:v>
      </x:c>
      <x:c r="P225">
        <x:f ca="1">IF(AND($B$1012=1,LEN($P$1229)&gt;0),$P$1229,HLOOKUP(INDIRECT(ADDRESS(2,COLUMN())),OFFSET($T$2,0,0,ROW()-1,14),ROW()-1,FALSE))</x:f>
        <x:v>-1.4947919999999999</x:v>
      </x:c>
      <x:c r="Q225">
        <x:f ca="1">IF(AND($B$1012=1,LEN($Q$1229)&gt;0),$Q$1229,HLOOKUP(INDIRECT(ADDRESS(2,COLUMN())),OFFSET($T$2,0,0,ROW()-1,14),ROW()-1,FALSE))</x:f>
        <x:v>-3.400312</x:v>
      </x:c>
      <x:c r="R225">
        <x:f ca="1">IF(AND($B$1012=1,LEN($R$1229)&gt;0),$R$1229,HLOOKUP(INDIRECT(ADDRESS(2,COLUMN())),OFFSET($T$2,0,0,ROW()-1,14),ROW()-1,FALSE))</x:f>
        <x:v>-1.531407</x:v>
      </x:c>
      <x:c r="S225">
        <x:f ca="1">IF(AND($B$1012=1,LEN($S$1229)&gt;0),$S$1229,HLOOKUP(INDIRECT(ADDRESS(2,COLUMN())),OFFSET($T$2,0,0,ROW()-1,14),ROW()-1,FALSE))</x:f>
        <x:v>-0.50183599999999995</x:v>
      </x:c>
      <x:c r="T225">
        <x:f>-0.396883</x:f>
        <x:v>-0.39688299999999999</x:v>
      </x:c>
      <x:c r="U225">
        <x:f>-0.81796</x:f>
        <x:v>-0.81796000000000002</x:v>
      </x:c>
      <x:c r="V225">
        <x:f>-1.284145</x:f>
        <x:v>-1.2841450000000001</x:v>
      </x:c>
      <x:c r="W225">
        <x:f>0</x:f>
        <x:v>0</x:v>
      </x:c>
      <x:c r="X225">
        <x:f>-0.472363</x:f>
        <x:v>-0.47236299999999998</x:v>
      </x:c>
      <x:c r="Y225">
        <x:f>-0.430115</x:f>
        <x:v>-0.43011500000000003</x:v>
      </x:c>
      <x:c r="Z225">
        <x:f>-0.808455</x:f>
        <x:v>-0.80845500000000003</x:v>
      </x:c>
      <x:c r="AA225">
        <x:f>-0.84914</x:f>
        <x:v>-0.84914000000000001</x:v>
      </x:c>
      <x:c r="AB225">
        <x:f>0</x:f>
        <x:v>0</x:v>
      </x:c>
      <x:c r="AC225">
        <x:f>-0.520087</x:f>
        <x:v>-0.52008699999999997</x:v>
      </x:c>
      <x:c r="AD225">
        <x:f>-1.494792</x:f>
        <x:v>-1.4947919999999999</x:v>
      </x:c>
      <x:c r="AE225">
        <x:f>-3.400312</x:f>
        <x:v>-3.400312</x:v>
      </x:c>
      <x:c r="AF225">
        <x:f>-1.531407</x:f>
        <x:v>-1.531407</x:v>
      </x:c>
      <x:c r="AG225">
        <x:f>-0.501836</x:f>
        <x:v>-0.50183599999999995</x:v>
      </x:c>
    </x:row>
    <x:row r="226" spans="1:33" x14ac:dyDescent="0.25">
      <x:c r="A226" t="str">
        <x:f>"        Direxion Daily Financial Bear"</x:f>
        <x:v xml:space="preserve">        Direxion Daily Financial Bear</x:v>
      </x:c>
      <x:c r="B226" t="str">
        <x:f>"FAZ US Equity"</x:f>
        <x:v>FAZ US Equity</x:v>
      </x:c>
      <x:c r="E226" t="str">
        <x:f t="shared" si="7"/>
        <x:v>Expression</x:v>
      </x:c>
      <x:c r="F226">
        <x:f ca="1">IF(AND($B$1012=1,LEN($F$1230)&gt;0),$F$1230,HLOOKUP(INDIRECT(ADDRESS(2,COLUMN())),OFFSET($T$2,0,0,ROW()-1,14),ROW()-1,FALSE))</x:f>
        <x:v>20.723890999999998</x:v>
      </x:c>
      <x:c r="G226">
        <x:f ca="1">IF(AND($B$1012=1,LEN($G$1230)&gt;0),$G$1230,HLOOKUP(INDIRECT(ADDRESS(2,COLUMN())),OFFSET($T$2,0,0,ROW()-1,14),ROW()-1,FALSE))</x:f>
        <x:v>-10.377947000000001</x:v>
      </x:c>
      <x:c r="H226">
        <x:f ca="1">IF(AND($B$1012=1,LEN($H$1230)&gt;0),$H$1230,HLOOKUP(INDIRECT(ADDRESS(2,COLUMN())),OFFSET($T$2,0,0,ROW()-1,14),ROW()-1,FALSE))</x:f>
        <x:v>-55.574223000000003</x:v>
      </x:c>
      <x:c r="I226">
        <x:f ca="1">IF(AND($B$1012=1,LEN($I$1230)&gt;0),$I$1230,HLOOKUP(INDIRECT(ADDRESS(2,COLUMN())),OFFSET($T$2,0,0,ROW()-1,14),ROW()-1,FALSE))</x:f>
        <x:v>35.374369999999999</x:v>
      </x:c>
      <x:c r="J226">
        <x:f ca="1">IF(AND($B$1012=1,LEN($J$1230)&gt;0),$J$1230,HLOOKUP(INDIRECT(ADDRESS(2,COLUMN())),OFFSET($T$2,0,0,ROW()-1,14),ROW()-1,FALSE))</x:f>
        <x:v>19.938167</x:v>
      </x:c>
      <x:c r="K226">
        <x:f ca="1">IF(AND($B$1012=1,LEN($K$1230)&gt;0),$K$1230,HLOOKUP(INDIRECT(ADDRESS(2,COLUMN())),OFFSET($T$2,0,0,ROW()-1,14),ROW()-1,FALSE))</x:f>
        <x:v>8.0123049999999996</x:v>
      </x:c>
      <x:c r="L226">
        <x:f ca="1">IF(AND($B$1012=1,LEN($L$1230)&gt;0),$L$1230,HLOOKUP(INDIRECT(ADDRESS(2,COLUMN())),OFFSET($T$2,0,0,ROW()-1,14),ROW()-1,FALSE))</x:f>
        <x:v>-16.727688000000001</x:v>
      </x:c>
      <x:c r="M226">
        <x:f ca="1">IF(AND($B$1012=1,LEN($M$1230)&gt;0),$M$1230,HLOOKUP(INDIRECT(ADDRESS(2,COLUMN())),OFFSET($T$2,0,0,ROW()-1,14),ROW()-1,FALSE))</x:f>
        <x:v>5.2227309999999996</x:v>
      </x:c>
      <x:c r="N226">
        <x:f ca="1">IF(AND($B$1012=1,LEN($N$1230)&gt;0),$N$1230,HLOOKUP(INDIRECT(ADDRESS(2,COLUMN())),OFFSET($T$2,0,0,ROW()-1,14),ROW()-1,FALSE))</x:f>
        <x:v>-50.668731000000001</x:v>
      </x:c>
      <x:c r="O226">
        <x:f ca="1">IF(AND($B$1012=1,LEN($O$1230)&gt;0),$O$1230,HLOOKUP(INDIRECT(ADDRESS(2,COLUMN())),OFFSET($T$2,0,0,ROW()-1,14),ROW()-1,FALSE))</x:f>
        <x:v>-12.991875</x:v>
      </x:c>
      <x:c r="P226">
        <x:f ca="1">IF(AND($B$1012=1,LEN($P$1230)&gt;0),$P$1230,HLOOKUP(INDIRECT(ADDRESS(2,COLUMN())),OFFSET($T$2,0,0,ROW()-1,14),ROW()-1,FALSE))</x:f>
        <x:v>32.834069</x:v>
      </x:c>
      <x:c r="Q226">
        <x:f ca="1">IF(AND($B$1012=1,LEN($Q$1230)&gt;0),$Q$1230,HLOOKUP(INDIRECT(ADDRESS(2,COLUMN())),OFFSET($T$2,0,0,ROW()-1,14),ROW()-1,FALSE))</x:f>
        <x:v>-30.007961000000002</x:v>
      </x:c>
      <x:c r="R226">
        <x:f ca="1">IF(AND($B$1012=1,LEN($R$1230)&gt;0),$R$1230,HLOOKUP(INDIRECT(ADDRESS(2,COLUMN())),OFFSET($T$2,0,0,ROW()-1,14),ROW()-1,FALSE))</x:f>
        <x:v>23.459858000000001</x:v>
      </x:c>
      <x:c r="S226">
        <x:f ca="1">IF(AND($B$1012=1,LEN($S$1230)&gt;0),$S$1230,HLOOKUP(INDIRECT(ADDRESS(2,COLUMN())),OFFSET($T$2,0,0,ROW()-1,14),ROW()-1,FALSE))</x:f>
        <x:v>48.769477000000002</x:v>
      </x:c>
      <x:c r="T226">
        <x:f>20.723891</x:f>
        <x:v>20.723890999999998</x:v>
      </x:c>
      <x:c r="U226">
        <x:f>-10.377947</x:f>
        <x:v>-10.377947000000001</x:v>
      </x:c>
      <x:c r="V226">
        <x:f>-55.574223</x:f>
        <x:v>-55.574223000000003</x:v>
      </x:c>
      <x:c r="W226">
        <x:f>35.37437</x:f>
        <x:v>35.374369999999999</x:v>
      </x:c>
      <x:c r="X226">
        <x:f>19.938167</x:f>
        <x:v>19.938167</x:v>
      </x:c>
      <x:c r="Y226">
        <x:f>8.012305</x:f>
        <x:v>8.0123049999999996</x:v>
      </x:c>
      <x:c r="Z226">
        <x:f>-16.727688</x:f>
        <x:v>-16.727688000000001</x:v>
      </x:c>
      <x:c r="AA226">
        <x:f>5.222731</x:f>
        <x:v>5.2227309999999996</x:v>
      </x:c>
      <x:c r="AB226">
        <x:f>-50.668731</x:f>
        <x:v>-50.668731000000001</x:v>
      </x:c>
      <x:c r="AC226">
        <x:f>-12.991875</x:f>
        <x:v>-12.991875</x:v>
      </x:c>
      <x:c r="AD226">
        <x:f>32.834069</x:f>
        <x:v>32.834069</x:v>
      </x:c>
      <x:c r="AE226">
        <x:f>-30.007961</x:f>
        <x:v>-30.007961000000002</x:v>
      </x:c>
      <x:c r="AF226">
        <x:f>23.459858</x:f>
        <x:v>23.459858000000001</x:v>
      </x:c>
      <x:c r="AG226">
        <x:f>48.769477</x:f>
        <x:v>48.769477000000002</x:v>
      </x:c>
    </x:row>
    <x:row r="227" spans="1:33" x14ac:dyDescent="0.25">
      <x:c r="A227" t="str">
        <x:f>"        VanEck BDC Income ETF"</x:f>
        <x:v xml:space="preserve">        VanEck BDC Income ETF</x:v>
      </x:c>
      <x:c r="B227" t="str">
        <x:f>"BIZD US Equity"</x:f>
        <x:v>BIZD US Equity</x:v>
      </x:c>
      <x:c r="E227" t="str">
        <x:f t="shared" si="7"/>
        <x:v>Expression</x:v>
      </x:c>
      <x:c r="F227">
        <x:f ca="1">IF(AND($B$1012=1,LEN($F$1231)&gt;0),$F$1231,HLOOKUP(INDIRECT(ADDRESS(2,COLUMN())),OFFSET($T$2,0,0,ROW()-1,14),ROW()-1,FALSE))</x:f>
        <x:v>10.952680000000001</x:v>
      </x:c>
      <x:c r="G227">
        <x:f ca="1">IF(AND($B$1012=1,LEN($G$1231)&gt;0),$G$1231,HLOOKUP(INDIRECT(ADDRESS(2,COLUMN())),OFFSET($T$2,0,0,ROW()-1,14),ROW()-1,FALSE))</x:f>
        <x:v>17.617141</x:v>
      </x:c>
      <x:c r="H227">
        <x:f ca="1">IF(AND($B$1012=1,LEN($H$1231)&gt;0),$H$1231,HLOOKUP(INDIRECT(ADDRESS(2,COLUMN())),OFFSET($T$2,0,0,ROW()-1,14),ROW()-1,FALSE))</x:f>
        <x:v>56.018616000000002</x:v>
      </x:c>
      <x:c r="I227">
        <x:f ca="1">IF(AND($B$1012=1,LEN($I$1231)&gt;0),$I$1231,HLOOKUP(INDIRECT(ADDRESS(2,COLUMN())),OFFSET($T$2,0,0,ROW()-1,14),ROW()-1,FALSE))</x:f>
        <x:v>10.380319999999999</x:v>
      </x:c>
      <x:c r="J227">
        <x:f ca="1">IF(AND($B$1012=1,LEN($J$1231)&gt;0),$J$1231,HLOOKUP(INDIRECT(ADDRESS(2,COLUMN())),OFFSET($T$2,0,0,ROW()-1,14),ROW()-1,FALSE))</x:f>
        <x:v>-4.424404</x:v>
      </x:c>
      <x:c r="K227">
        <x:f ca="1">IF(AND($B$1012=1,LEN($K$1231)&gt;0),$K$1231,HLOOKUP(INDIRECT(ADDRESS(2,COLUMN())),OFFSET($T$2,0,0,ROW()-1,14),ROW()-1,FALSE))</x:f>
        <x:v>32.899883000000003</x:v>
      </x:c>
      <x:c r="L227">
        <x:f ca="1">IF(AND($B$1012=1,LEN($L$1231)&gt;0),$L$1231,HLOOKUP(INDIRECT(ADDRESS(2,COLUMN())),OFFSET($T$2,0,0,ROW()-1,14),ROW()-1,FALSE))</x:f>
        <x:v>7.5056710000000004</x:v>
      </x:c>
      <x:c r="M227">
        <x:f ca="1">IF(AND($B$1012=1,LEN($M$1231)&gt;0),$M$1231,HLOOKUP(INDIRECT(ADDRESS(2,COLUMN())),OFFSET($T$2,0,0,ROW()-1,14),ROW()-1,FALSE))</x:f>
        <x:v>3.6939030000000002</x:v>
      </x:c>
      <x:c r="N227">
        <x:f ca="1">IF(AND($B$1012=1,LEN($N$1231)&gt;0),$N$1231,HLOOKUP(INDIRECT(ADDRESS(2,COLUMN())),OFFSET($T$2,0,0,ROW()-1,14),ROW()-1,FALSE))</x:f>
        <x:v>18.030750000000001</x:v>
      </x:c>
      <x:c r="O227">
        <x:f ca="1">IF(AND($B$1012=1,LEN($O$1231)&gt;0),$O$1231,HLOOKUP(INDIRECT(ADDRESS(2,COLUMN())),OFFSET($T$2,0,0,ROW()-1,14),ROW()-1,FALSE))</x:f>
        <x:v>16.698191999999999</x:v>
      </x:c>
      <x:c r="P227">
        <x:f ca="1">IF(AND($B$1012=1,LEN($P$1231)&gt;0),$P$1231,HLOOKUP(INDIRECT(ADDRESS(2,COLUMN())),OFFSET($T$2,0,0,ROW()-1,14),ROW()-1,FALSE))</x:f>
        <x:v>8.9655140000000006</x:v>
      </x:c>
      <x:c r="Q227">
        <x:f ca="1">IF(AND($B$1012=1,LEN($Q$1231)&gt;0),$Q$1231,HLOOKUP(INDIRECT(ADDRESS(2,COLUMN())),OFFSET($T$2,0,0,ROW()-1,14),ROW()-1,FALSE))</x:f>
        <x:v>19.715032999999998</x:v>
      </x:c>
      <x:c r="R227">
        <x:f ca="1">IF(AND($B$1012=1,LEN($R$1231)&gt;0),$R$1231,HLOOKUP(INDIRECT(ADDRESS(2,COLUMN())),OFFSET($T$2,0,0,ROW()-1,14),ROW()-1,FALSE))</x:f>
        <x:v>7.6623080000000003</x:v>
      </x:c>
      <x:c r="S227">
        <x:f ca="1">IF(AND($B$1012=1,LEN($S$1231)&gt;0),$S$1231,HLOOKUP(INDIRECT(ADDRESS(2,COLUMN())),OFFSET($T$2,0,0,ROW()-1,14),ROW()-1,FALSE))</x:f>
        <x:v>12.710775999999999</x:v>
      </x:c>
      <x:c r="T227">
        <x:f>10.95268</x:f>
        <x:v>10.952680000000001</x:v>
      </x:c>
      <x:c r="U227">
        <x:f>17.617141</x:f>
        <x:v>17.617141</x:v>
      </x:c>
      <x:c r="V227">
        <x:f>56.018616</x:f>
        <x:v>56.018616000000002</x:v>
      </x:c>
      <x:c r="W227">
        <x:f>10.38032</x:f>
        <x:v>10.380319999999999</x:v>
      </x:c>
      <x:c r="X227">
        <x:f>-4.424404</x:f>
        <x:v>-4.424404</x:v>
      </x:c>
      <x:c r="Y227">
        <x:f>32.899883</x:f>
        <x:v>32.899883000000003</x:v>
      </x:c>
      <x:c r="Z227">
        <x:f>7.505671</x:f>
        <x:v>7.5056710000000004</x:v>
      </x:c>
      <x:c r="AA227">
        <x:f>3.693903</x:f>
        <x:v>3.6939030000000002</x:v>
      </x:c>
      <x:c r="AB227">
        <x:f>18.03075</x:f>
        <x:v>18.030750000000001</x:v>
      </x:c>
      <x:c r="AC227">
        <x:f>16.698192</x:f>
        <x:v>16.698191999999999</x:v>
      </x:c>
      <x:c r="AD227">
        <x:f>8.965514</x:f>
        <x:v>8.9655140000000006</x:v>
      </x:c>
      <x:c r="AE227">
        <x:f>19.715033</x:f>
        <x:v>19.715032999999998</x:v>
      </x:c>
      <x:c r="AF227">
        <x:f>7.662308</x:f>
        <x:v>7.6623080000000003</x:v>
      </x:c>
      <x:c r="AG227">
        <x:f>12.710776</x:f>
        <x:v>12.710775999999999</x:v>
      </x:c>
    </x:row>
    <x:row r="228" spans="1:33" x14ac:dyDescent="0.25">
      <x:c r="A228" t="str">
        <x:f>"        iShares U.S. Insurance ETF"</x:f>
        <x:v xml:space="preserve">        iShares U.S. Insurance ETF</x:v>
      </x:c>
      <x:c r="B228" t="str">
        <x:f>"IAK US Equity"</x:f>
        <x:v>IAK US Equity</x:v>
      </x:c>
      <x:c r="E228" t="str">
        <x:f t="shared" si="7"/>
        <x:v>Expression</x:v>
      </x:c>
      <x:c r="F228">
        <x:f ca="1">IF(AND($B$1012=1,LEN($F$1232)&gt;0),$F$1232,HLOOKUP(INDIRECT(ADDRESS(2,COLUMN())),OFFSET($T$2,0,0,ROW()-1,14),ROW()-1,FALSE))</x:f>
        <x:v>-4.7960240000000001</x:v>
      </x:c>
      <x:c r="G228">
        <x:f ca="1">IF(AND($B$1012=1,LEN($G$1232)&gt;0),$G$1232,HLOOKUP(INDIRECT(ADDRESS(2,COLUMN())),OFFSET($T$2,0,0,ROW()-1,14),ROW()-1,FALSE))</x:f>
        <x:v>27.861105999999999</x:v>
      </x:c>
      <x:c r="H228">
        <x:f ca="1">IF(AND($B$1012=1,LEN($H$1232)&gt;0),$H$1232,HLOOKUP(INDIRECT(ADDRESS(2,COLUMN())),OFFSET($T$2,0,0,ROW()-1,14),ROW()-1,FALSE))</x:f>
        <x:v>0</x:v>
      </x:c>
      <x:c r="I228">
        <x:f ca="1">IF(AND($B$1012=1,LEN($I$1232)&gt;0),$I$1232,HLOOKUP(INDIRECT(ADDRESS(2,COLUMN())),OFFSET($T$2,0,0,ROW()-1,14),ROW()-1,FALSE))</x:f>
        <x:v>-31.754245000000001</x:v>
      </x:c>
      <x:c r="J228">
        <x:f ca="1">IF(AND($B$1012=1,LEN($J$1232)&gt;0),$J$1232,HLOOKUP(INDIRECT(ADDRESS(2,COLUMN())),OFFSET($T$2,0,0,ROW()-1,14),ROW()-1,FALSE))</x:f>
        <x:v>-13.008355</x:v>
      </x:c>
      <x:c r="K228">
        <x:f ca="1">IF(AND($B$1012=1,LEN($K$1232)&gt;0),$K$1232,HLOOKUP(INDIRECT(ADDRESS(2,COLUMN())),OFFSET($T$2,0,0,ROW()-1,14),ROW()-1,FALSE))</x:f>
        <x:v>-42.951700000000002</x:v>
      </x:c>
      <x:c r="L228">
        <x:f ca="1">IF(AND($B$1012=1,LEN($L$1232)&gt;0),$L$1232,HLOOKUP(INDIRECT(ADDRESS(2,COLUMN())),OFFSET($T$2,0,0,ROW()-1,14),ROW()-1,FALSE))</x:f>
        <x:v>-30.103525000000001</x:v>
      </x:c>
      <x:c r="M228">
        <x:f ca="1">IF(AND($B$1012=1,LEN($M$1232)&gt;0),$M$1232,HLOOKUP(INDIRECT(ADDRESS(2,COLUMN())),OFFSET($T$2,0,0,ROW()-1,14),ROW()-1,FALSE))</x:f>
        <x:v>-17.338405000000002</x:v>
      </x:c>
      <x:c r="N228">
        <x:f ca="1">IF(AND($B$1012=1,LEN($N$1232)&gt;0),$N$1232,HLOOKUP(INDIRECT(ADDRESS(2,COLUMN())),OFFSET($T$2,0,0,ROW()-1,14),ROW()-1,FALSE))</x:f>
        <x:v>-71.188119999999998</x:v>
      </x:c>
      <x:c r="O228">
        <x:f ca="1">IF(AND($B$1012=1,LEN($O$1232)&gt;0),$O$1232,HLOOKUP(INDIRECT(ADDRESS(2,COLUMN())),OFFSET($T$2,0,0,ROW()-1,14),ROW()-1,FALSE))</x:f>
        <x:v>-9.3543249999999993</x:v>
      </x:c>
      <x:c r="P228">
        <x:f ca="1">IF(AND($B$1012=1,LEN($P$1232)&gt;0),$P$1232,HLOOKUP(INDIRECT(ADDRESS(2,COLUMN())),OFFSET($T$2,0,0,ROW()-1,14),ROW()-1,FALSE))</x:f>
        <x:v>0.16549</x:v>
      </x:c>
      <x:c r="Q228">
        <x:f ca="1">IF(AND($B$1012=1,LEN($Q$1232)&gt;0),$Q$1232,HLOOKUP(INDIRECT(ADDRESS(2,COLUMN())),OFFSET($T$2,0,0,ROW()-1,14),ROW()-1,FALSE))</x:f>
        <x:v>18.34592</x:v>
      </x:c>
      <x:c r="R228">
        <x:f ca="1">IF(AND($B$1012=1,LEN($R$1232)&gt;0),$R$1232,HLOOKUP(INDIRECT(ADDRESS(2,COLUMN())),OFFSET($T$2,0,0,ROW()-1,14),ROW()-1,FALSE))</x:f>
        <x:v>127.440675</x:v>
      </x:c>
      <x:c r="S228">
        <x:f ca="1">IF(AND($B$1012=1,LEN($S$1232)&gt;0),$S$1232,HLOOKUP(INDIRECT(ADDRESS(2,COLUMN())),OFFSET($T$2,0,0,ROW()-1,14),ROW()-1,FALSE))</x:f>
        <x:v>59.338155</x:v>
      </x:c>
      <x:c r="T228">
        <x:f>-4.796024</x:f>
        <x:v>-4.7960240000000001</x:v>
      </x:c>
      <x:c r="U228">
        <x:f>27.861106</x:f>
        <x:v>27.861105999999999</x:v>
      </x:c>
      <x:c r="V228">
        <x:f>0</x:f>
        <x:v>0</x:v>
      </x:c>
      <x:c r="W228">
        <x:f>-31.754245</x:f>
        <x:v>-31.754245000000001</x:v>
      </x:c>
      <x:c r="X228">
        <x:f>-13.008355</x:f>
        <x:v>-13.008355</x:v>
      </x:c>
      <x:c r="Y228">
        <x:f>-42.9517</x:f>
        <x:v>-42.951700000000002</x:v>
      </x:c>
      <x:c r="Z228">
        <x:f>-30.103525</x:f>
        <x:v>-30.103525000000001</x:v>
      </x:c>
      <x:c r="AA228">
        <x:f>-17.338405</x:f>
        <x:v>-17.338405000000002</x:v>
      </x:c>
      <x:c r="AB228">
        <x:f>-71.18812</x:f>
        <x:v>-71.188119999999998</x:v>
      </x:c>
      <x:c r="AC228">
        <x:f>-9.354325</x:f>
        <x:v>-9.3543249999999993</x:v>
      </x:c>
      <x:c r="AD228">
        <x:f>0.16549</x:f>
        <x:v>0.16549</x:v>
      </x:c>
      <x:c r="AE228">
        <x:f>18.34592</x:f>
        <x:v>18.34592</x:v>
      </x:c>
      <x:c r="AF228">
        <x:f>127.440675</x:f>
        <x:v>127.440675</x:v>
      </x:c>
      <x:c r="AG228">
        <x:f>59.338155</x:f>
        <x:v>59.338155</x:v>
      </x:c>
    </x:row>
    <x:row r="229" spans="1:33" x14ac:dyDescent="0.25">
      <x:c r="A229" t="str">
        <x:f>"        Invesco KBW Regional Banking E"</x:f>
        <x:v xml:space="preserve">        Invesco KBW Regional Banking E</x:v>
      </x:c>
      <x:c r="B229" t="str">
        <x:f>"KBWR US Equity"</x:f>
        <x:v>KBWR US Equity</x:v>
      </x:c>
      <x:c r="E229" t="str">
        <x:f t="shared" si="7"/>
        <x:v>Expression</x:v>
      </x:c>
      <x:c r="F229">
        <x:f ca="1">IF(AND($B$1012=1,LEN($F$1233)&gt;0),$F$1233,HLOOKUP(INDIRECT(ADDRESS(2,COLUMN())),OFFSET($T$2,0,0,ROW()-1,14),ROW()-1,FALSE))</x:f>
        <x:v>0</x:v>
      </x:c>
      <x:c r="G229">
        <x:f ca="1">IF(AND($B$1012=1,LEN($G$1233)&gt;0),$G$1233,HLOOKUP(INDIRECT(ADDRESS(2,COLUMN())),OFFSET($T$2,0,0,ROW()-1,14),ROW()-1,FALSE))</x:f>
        <x:v>-2.1445750000000001</x:v>
      </x:c>
      <x:c r="H229">
        <x:f ca="1">IF(AND($B$1012=1,LEN($H$1233)&gt;0),$H$1233,HLOOKUP(INDIRECT(ADDRESS(2,COLUMN())),OFFSET($T$2,0,0,ROW()-1,14),ROW()-1,FALSE))</x:f>
        <x:v>-2.6217779999999999</x:v>
      </x:c>
      <x:c r="I229">
        <x:f ca="1">IF(AND($B$1012=1,LEN($I$1233)&gt;0),$I$1233,HLOOKUP(INDIRECT(ADDRESS(2,COLUMN())),OFFSET($T$2,0,0,ROW()-1,14),ROW()-1,FALSE))</x:f>
        <x:v>-0.51330100000000001</x:v>
      </x:c>
      <x:c r="J229">
        <x:f ca="1">IF(AND($B$1012=1,LEN($J$1233)&gt;0),$J$1233,HLOOKUP(INDIRECT(ADDRESS(2,COLUMN())),OFFSET($T$2,0,0,ROW()-1,14),ROW()-1,FALSE))</x:f>
        <x:v>-4.6838810000000004</x:v>
      </x:c>
      <x:c r="K229">
        <x:f ca="1">IF(AND($B$1012=1,LEN($K$1233)&gt;0),$K$1233,HLOOKUP(INDIRECT(ADDRESS(2,COLUMN())),OFFSET($T$2,0,0,ROW()-1,14),ROW()-1,FALSE))</x:f>
        <x:v>0.45363199999999998</x:v>
      </x:c>
      <x:c r="L229">
        <x:f ca="1">IF(AND($B$1012=1,LEN($L$1233)&gt;0),$L$1233,HLOOKUP(INDIRECT(ADDRESS(2,COLUMN())),OFFSET($T$2,0,0,ROW()-1,14),ROW()-1,FALSE))</x:f>
        <x:v>2.9745900000000001</x:v>
      </x:c>
      <x:c r="M229">
        <x:f ca="1">IF(AND($B$1012=1,LEN($M$1233)&gt;0),$M$1233,HLOOKUP(INDIRECT(ADDRESS(2,COLUMN())),OFFSET($T$2,0,0,ROW()-1,14),ROW()-1,FALSE))</x:f>
        <x:v>0.92413900000000004</x:v>
      </x:c>
      <x:c r="N229">
        <x:f ca="1">IF(AND($B$1012=1,LEN($N$1233)&gt;0),$N$1233,HLOOKUP(INDIRECT(ADDRESS(2,COLUMN())),OFFSET($T$2,0,0,ROW()-1,14),ROW()-1,FALSE))</x:f>
        <x:v>9.0641510000000007</x:v>
      </x:c>
      <x:c r="O229">
        <x:f ca="1">IF(AND($B$1012=1,LEN($O$1233)&gt;0),$O$1233,HLOOKUP(INDIRECT(ADDRESS(2,COLUMN())),OFFSET($T$2,0,0,ROW()-1,14),ROW()-1,FALSE))</x:f>
        <x:v>-4.7756819999999998</x:v>
      </x:c>
      <x:c r="P229">
        <x:f ca="1">IF(AND($B$1012=1,LEN($P$1233)&gt;0),$P$1233,HLOOKUP(INDIRECT(ADDRESS(2,COLUMN())),OFFSET($T$2,0,0,ROW()-1,14),ROW()-1,FALSE))</x:f>
        <x:v>-1.7241649999999999</x:v>
      </x:c>
      <x:c r="Q229">
        <x:f ca="1">IF(AND($B$1012=1,LEN($Q$1233)&gt;0),$Q$1233,HLOOKUP(INDIRECT(ADDRESS(2,COLUMN())),OFFSET($T$2,0,0,ROW()-1,14),ROW()-1,FALSE))</x:f>
        <x:v>-11.244070000000001</x:v>
      </x:c>
      <x:c r="R229">
        <x:f ca="1">IF(AND($B$1012=1,LEN($R$1233)&gt;0),$R$1233,HLOOKUP(INDIRECT(ADDRESS(2,COLUMN())),OFFSET($T$2,0,0,ROW()-1,14),ROW()-1,FALSE))</x:f>
        <x:v>4.9462700000000002</x:v>
      </x:c>
      <x:c r="S229">
        <x:f ca="1">IF(AND($B$1012=1,LEN($S$1233)&gt;0),$S$1233,HLOOKUP(INDIRECT(ADDRESS(2,COLUMN())),OFFSET($T$2,0,0,ROW()-1,14),ROW()-1,FALSE))</x:f>
        <x:v>-3.175E-2</x:v>
      </x:c>
      <x:c r="T229">
        <x:f>0</x:f>
        <x:v>0</x:v>
      </x:c>
      <x:c r="U229">
        <x:f>-2.144575</x:f>
        <x:v>-2.1445750000000001</x:v>
      </x:c>
      <x:c r="V229">
        <x:f>-2.621778</x:f>
        <x:v>-2.6217779999999999</x:v>
      </x:c>
      <x:c r="W229">
        <x:f>-0.513301</x:f>
        <x:v>-0.51330100000000001</x:v>
      </x:c>
      <x:c r="X229">
        <x:f>-4.683881</x:f>
        <x:v>-4.6838810000000004</x:v>
      </x:c>
      <x:c r="Y229">
        <x:f>0.453632</x:f>
        <x:v>0.45363199999999998</x:v>
      </x:c>
      <x:c r="Z229">
        <x:f>2.97459</x:f>
        <x:v>2.9745900000000001</x:v>
      </x:c>
      <x:c r="AA229">
        <x:f>0.924139</x:f>
        <x:v>0.92413900000000004</x:v>
      </x:c>
      <x:c r="AB229">
        <x:f>9.064151</x:f>
        <x:v>9.0641510000000007</x:v>
      </x:c>
      <x:c r="AC229">
        <x:f>-4.775682</x:f>
        <x:v>-4.7756819999999998</x:v>
      </x:c>
      <x:c r="AD229">
        <x:f>-1.724165</x:f>
        <x:v>-1.7241649999999999</x:v>
      </x:c>
      <x:c r="AE229">
        <x:f>-11.24407</x:f>
        <x:v>-11.244070000000001</x:v>
      </x:c>
      <x:c r="AF229">
        <x:f>4.94627</x:f>
        <x:v>4.9462700000000002</x:v>
      </x:c>
      <x:c r="AG229">
        <x:f>-0.03175</x:f>
        <x:v>-3.175E-2</x:v>
      </x:c>
    </x:row>
    <x:row r="230" spans="1:33" x14ac:dyDescent="0.25">
      <x:c r="A230" t="str">
        <x:f>"        iShares U.S. Broker-Dealers &amp;"</x:f>
        <x:v xml:space="preserve">        iShares U.S. Broker-Dealers &amp;</x:v>
      </x:c>
      <x:c r="B230" t="str">
        <x:f>"IAI US Equity"</x:f>
        <x:v>IAI US Equity</x:v>
      </x:c>
      <x:c r="E230" t="str">
        <x:f t="shared" si="7"/>
        <x:v>Expression</x:v>
      </x:c>
      <x:c r="F230">
        <x:f ca="1">IF(AND($B$1012=1,LEN($F$1234)&gt;0),$F$1234,HLOOKUP(INDIRECT(ADDRESS(2,COLUMN())),OFFSET($T$2,0,0,ROW()-1,14),ROW()-1,FALSE))</x:f>
        <x:v>-4.5216789999999998</x:v>
      </x:c>
      <x:c r="G230">
        <x:f ca="1">IF(AND($B$1012=1,LEN($G$1234)&gt;0),$G$1234,HLOOKUP(INDIRECT(ADDRESS(2,COLUMN())),OFFSET($T$2,0,0,ROW()-1,14),ROW()-1,FALSE))</x:f>
        <x:v>4.1777499999999996</x:v>
      </x:c>
      <x:c r="H230">
        <x:f ca="1">IF(AND($B$1012=1,LEN($H$1234)&gt;0),$H$1234,HLOOKUP(INDIRECT(ADDRESS(2,COLUMN())),OFFSET($T$2,0,0,ROW()-1,14),ROW()-1,FALSE))</x:f>
        <x:v>-4.6283799999999999</x:v>
      </x:c>
      <x:c r="I230">
        <x:f ca="1">IF(AND($B$1012=1,LEN($I$1234)&gt;0),$I$1234,HLOOKUP(INDIRECT(ADDRESS(2,COLUMN())),OFFSET($T$2,0,0,ROW()-1,14),ROW()-1,FALSE))</x:f>
        <x:v>-14.089130000000001</x:v>
      </x:c>
      <x:c r="J230">
        <x:f ca="1">IF(AND($B$1012=1,LEN($J$1234)&gt;0),$J$1234,HLOOKUP(INDIRECT(ADDRESS(2,COLUMN())),OFFSET($T$2,0,0,ROW()-1,14),ROW()-1,FALSE))</x:f>
        <x:v>-31.59975</x:v>
      </x:c>
      <x:c r="K230">
        <x:f ca="1">IF(AND($B$1012=1,LEN($K$1234)&gt;0),$K$1234,HLOOKUP(INDIRECT(ADDRESS(2,COLUMN())),OFFSET($T$2,0,0,ROW()-1,14),ROW()-1,FALSE))</x:f>
        <x:v>-213.05748</x:v>
      </x:c>
      <x:c r="L230">
        <x:f ca="1">IF(AND($B$1012=1,LEN($L$1234)&gt;0),$L$1234,HLOOKUP(INDIRECT(ADDRESS(2,COLUMN())),OFFSET($T$2,0,0,ROW()-1,14),ROW()-1,FALSE))</x:f>
        <x:v>-17.602720000000001</x:v>
      </x:c>
      <x:c r="M230">
        <x:f ca="1">IF(AND($B$1012=1,LEN($M$1234)&gt;0),$M$1234,HLOOKUP(INDIRECT(ADDRESS(2,COLUMN())),OFFSET($T$2,0,0,ROW()-1,14),ROW()-1,FALSE))</x:f>
        <x:v>-97.356899999999996</x:v>
      </x:c>
      <x:c r="N230">
        <x:f ca="1">IF(AND($B$1012=1,LEN($N$1234)&gt;0),$N$1234,HLOOKUP(INDIRECT(ADDRESS(2,COLUMN())),OFFSET($T$2,0,0,ROW()-1,14),ROW()-1,FALSE))</x:f>
        <x:v>-25.413160000000001</x:v>
      </x:c>
      <x:c r="O230">
        <x:f ca="1">IF(AND($B$1012=1,LEN($O$1234)&gt;0),$O$1234,HLOOKUP(INDIRECT(ADDRESS(2,COLUMN())),OFFSET($T$2,0,0,ROW()-1,14),ROW()-1,FALSE))</x:f>
        <x:v>-9.915025</x:v>
      </x:c>
      <x:c r="P230">
        <x:f ca="1">IF(AND($B$1012=1,LEN($P$1234)&gt;0),$P$1234,HLOOKUP(INDIRECT(ADDRESS(2,COLUMN())),OFFSET($T$2,0,0,ROW()-1,14),ROW()-1,FALSE))</x:f>
        <x:v>15.184125</x:v>
      </x:c>
      <x:c r="Q230">
        <x:f ca="1">IF(AND($B$1012=1,LEN($Q$1234)&gt;0),$Q$1234,HLOOKUP(INDIRECT(ADDRESS(2,COLUMN())),OFFSET($T$2,0,0,ROW()-1,14),ROW()-1,FALSE))</x:f>
        <x:v>9.5728100000000005</x:v>
      </x:c>
      <x:c r="R230">
        <x:f ca="1">IF(AND($B$1012=1,LEN($R$1234)&gt;0),$R$1234,HLOOKUP(INDIRECT(ADDRESS(2,COLUMN())),OFFSET($T$2,0,0,ROW()-1,14),ROW()-1,FALSE))</x:f>
        <x:v>297.13851499999998</x:v>
      </x:c>
      <x:c r="S230">
        <x:f ca="1">IF(AND($B$1012=1,LEN($S$1234)&gt;0),$S$1234,HLOOKUP(INDIRECT(ADDRESS(2,COLUMN())),OFFSET($T$2,0,0,ROW()-1,14),ROW()-1,FALSE))</x:f>
        <x:v>5.0556349999999997</x:v>
      </x:c>
      <x:c r="T230">
        <x:f>-4.521679</x:f>
        <x:v>-4.5216789999999998</x:v>
      </x:c>
      <x:c r="U230">
        <x:f>4.17775</x:f>
        <x:v>4.1777499999999996</x:v>
      </x:c>
      <x:c r="V230">
        <x:f>-4.62838</x:f>
        <x:v>-4.6283799999999999</x:v>
      </x:c>
      <x:c r="W230">
        <x:f>-14.08913</x:f>
        <x:v>-14.089130000000001</x:v>
      </x:c>
      <x:c r="X230">
        <x:f>-31.59975</x:f>
        <x:v>-31.59975</x:v>
      </x:c>
      <x:c r="Y230">
        <x:f>-213.05748</x:f>
        <x:v>-213.05748</x:v>
      </x:c>
      <x:c r="Z230">
        <x:f>-17.60272</x:f>
        <x:v>-17.602720000000001</x:v>
      </x:c>
      <x:c r="AA230">
        <x:f>-97.3569</x:f>
        <x:v>-97.356899999999996</x:v>
      </x:c>
      <x:c r="AB230">
        <x:f>-25.41316</x:f>
        <x:v>-25.413160000000001</x:v>
      </x:c>
      <x:c r="AC230">
        <x:f>-9.915025</x:f>
        <x:v>-9.915025</x:v>
      </x:c>
      <x:c r="AD230">
        <x:f>15.184125</x:f>
        <x:v>15.184125</x:v>
      </x:c>
      <x:c r="AE230">
        <x:f>9.57281</x:f>
        <x:v>9.5728100000000005</x:v>
      </x:c>
      <x:c r="AF230">
        <x:f>297.138515</x:f>
        <x:v>297.13851499999998</x:v>
      </x:c>
      <x:c r="AG230">
        <x:f>5.055635</x:f>
        <x:v>5.0556349999999997</x:v>
      </x:c>
    </x:row>
    <x:row r="231" spans="1:33" x14ac:dyDescent="0.25">
      <x:c r="A231" t="str">
        <x:f>"        Invesco KBW Property &amp; Casualt"</x:f>
        <x:v xml:space="preserve">        Invesco KBW Property &amp; Casualt</x:v>
      </x:c>
      <x:c r="B231" t="str">
        <x:f>"KBWP US Equity"</x:f>
        <x:v>KBWP US Equity</x:v>
      </x:c>
      <x:c r="E231" t="str">
        <x:f t="shared" si="7"/>
        <x:v>Expression</x:v>
      </x:c>
      <x:c r="F231">
        <x:f ca="1">IF(AND($B$1012=1,LEN($F$1235)&gt;0),$F$1235,HLOOKUP(INDIRECT(ADDRESS(2,COLUMN())),OFFSET($T$2,0,0,ROW()-1,14),ROW()-1,FALSE))</x:f>
        <x:v>16.889413000000001</x:v>
      </x:c>
      <x:c r="G231">
        <x:f ca="1">IF(AND($B$1012=1,LEN($G$1235)&gt;0),$G$1235,HLOOKUP(INDIRECT(ADDRESS(2,COLUMN())),OFFSET($T$2,0,0,ROW()-1,14),ROW()-1,FALSE))</x:f>
        <x:v>9.4195609999999999</x:v>
      </x:c>
      <x:c r="H231">
        <x:f ca="1">IF(AND($B$1012=1,LEN($H$1235)&gt;0),$H$1235,HLOOKUP(INDIRECT(ADDRESS(2,COLUMN())),OFFSET($T$2,0,0,ROW()-1,14),ROW()-1,FALSE))</x:f>
        <x:v>-3.3903989999999999</x:v>
      </x:c>
      <x:c r="I231">
        <x:f ca="1">IF(AND($B$1012=1,LEN($I$1235)&gt;0),$I$1235,HLOOKUP(INDIRECT(ADDRESS(2,COLUMN())),OFFSET($T$2,0,0,ROW()-1,14),ROW()-1,FALSE))</x:f>
        <x:v>-57.438426</x:v>
      </x:c>
      <x:c r="J231">
        <x:f ca="1">IF(AND($B$1012=1,LEN($J$1235)&gt;0),$J$1235,HLOOKUP(INDIRECT(ADDRESS(2,COLUMN())),OFFSET($T$2,0,0,ROW()-1,14),ROW()-1,FALSE))</x:f>
        <x:v>-81.302959999999999</x:v>
      </x:c>
      <x:c r="K231">
        <x:f ca="1">IF(AND($B$1012=1,LEN($K$1235)&gt;0),$K$1235,HLOOKUP(INDIRECT(ADDRESS(2,COLUMN())),OFFSET($T$2,0,0,ROW()-1,14),ROW()-1,FALSE))</x:f>
        <x:v>-47.341996000000002</x:v>
      </x:c>
      <x:c r="L231">
        <x:f ca="1">IF(AND($B$1012=1,LEN($L$1235)&gt;0),$L$1235,HLOOKUP(INDIRECT(ADDRESS(2,COLUMN())),OFFSET($T$2,0,0,ROW()-1,14),ROW()-1,FALSE))</x:f>
        <x:v>-25.876083999999999</x:v>
      </x:c>
      <x:c r="M231">
        <x:f ca="1">IF(AND($B$1012=1,LEN($M$1235)&gt;0),$M$1235,HLOOKUP(INDIRECT(ADDRESS(2,COLUMN())),OFFSET($T$2,0,0,ROW()-1,14),ROW()-1,FALSE))</x:f>
        <x:v>-6.7672100000000004</x:v>
      </x:c>
      <x:c r="N231">
        <x:f ca="1">IF(AND($B$1012=1,LEN($N$1235)&gt;0),$N$1235,HLOOKUP(INDIRECT(ADDRESS(2,COLUMN())),OFFSET($T$2,0,0,ROW()-1,14),ROW()-1,FALSE))</x:f>
        <x:v>-7.754264</x:v>
      </x:c>
      <x:c r="O231">
        <x:f ca="1">IF(AND($B$1012=1,LEN($O$1235)&gt;0),$O$1235,HLOOKUP(INDIRECT(ADDRESS(2,COLUMN())),OFFSET($T$2,0,0,ROW()-1,14),ROW()-1,FALSE))</x:f>
        <x:v>29.831900000000001</x:v>
      </x:c>
      <x:c r="P231">
        <x:f ca="1">IF(AND($B$1012=1,LEN($P$1235)&gt;0),$P$1235,HLOOKUP(INDIRECT(ADDRESS(2,COLUMN())),OFFSET($T$2,0,0,ROW()-1,14),ROW()-1,FALSE))</x:f>
        <x:v>3.028486</x:v>
      </x:c>
      <x:c r="Q231">
        <x:f ca="1">IF(AND($B$1012=1,LEN($Q$1235)&gt;0),$Q$1235,HLOOKUP(INDIRECT(ADDRESS(2,COLUMN())),OFFSET($T$2,0,0,ROW()-1,14),ROW()-1,FALSE))</x:f>
        <x:v>29.558973999999999</x:v>
      </x:c>
      <x:c r="R231">
        <x:f ca="1">IF(AND($B$1012=1,LEN($R$1235)&gt;0),$R$1235,HLOOKUP(INDIRECT(ADDRESS(2,COLUMN())),OFFSET($T$2,0,0,ROW()-1,14),ROW()-1,FALSE))</x:f>
        <x:v>11.134637</x:v>
      </x:c>
      <x:c r="S231">
        <x:f ca="1">IF(AND($B$1012=1,LEN($S$1235)&gt;0),$S$1235,HLOOKUP(INDIRECT(ADDRESS(2,COLUMN())),OFFSET($T$2,0,0,ROW()-1,14),ROW()-1,FALSE))</x:f>
        <x:v>-9.0441990000000008</x:v>
      </x:c>
      <x:c r="T231">
        <x:f>16.889413</x:f>
        <x:v>16.889413000000001</x:v>
      </x:c>
      <x:c r="U231">
        <x:f>9.419561</x:f>
        <x:v>9.4195609999999999</x:v>
      </x:c>
      <x:c r="V231">
        <x:f>-3.390399</x:f>
        <x:v>-3.3903989999999999</x:v>
      </x:c>
      <x:c r="W231">
        <x:f>-57.438426</x:f>
        <x:v>-57.438426</x:v>
      </x:c>
      <x:c r="X231">
        <x:f>-81.30296</x:f>
        <x:v>-81.302959999999999</x:v>
      </x:c>
      <x:c r="Y231">
        <x:f>-47.341996</x:f>
        <x:v>-47.341996000000002</x:v>
      </x:c>
      <x:c r="Z231">
        <x:f>-25.876084</x:f>
        <x:v>-25.876083999999999</x:v>
      </x:c>
      <x:c r="AA231">
        <x:f>-6.76721</x:f>
        <x:v>-6.7672100000000004</x:v>
      </x:c>
      <x:c r="AB231">
        <x:f>-7.754264</x:f>
        <x:v>-7.754264</x:v>
      </x:c>
      <x:c r="AC231">
        <x:f>29.8319</x:f>
        <x:v>29.831900000000001</x:v>
      </x:c>
      <x:c r="AD231">
        <x:f>3.028486</x:f>
        <x:v>3.028486</x:v>
      </x:c>
      <x:c r="AE231">
        <x:f>29.558974</x:f>
        <x:v>29.558973999999999</x:v>
      </x:c>
      <x:c r="AF231">
        <x:f>11.134637</x:f>
        <x:v>11.134637</x:v>
      </x:c>
      <x:c r="AG231">
        <x:f>-9.044199</x:f>
        <x:v>-9.0441990000000008</x:v>
      </x:c>
    </x:row>
    <x:row r="232" spans="1:33" x14ac:dyDescent="0.25">
      <x:c r="A232" t="str">
        <x:f>"        SPDR S&amp;P Capital Markets ETF"</x:f>
        <x:v xml:space="preserve">        SPDR S&amp;P Capital Markets ETF</x:v>
      </x:c>
      <x:c r="B232" t="str">
        <x:f>"KCE US Equity"</x:f>
        <x:v>KCE US Equity</x:v>
      </x:c>
      <x:c r="E232" t="str">
        <x:f t="shared" si="7"/>
        <x:v>Expression</x:v>
      </x:c>
      <x:c r="F232">
        <x:f ca="1">IF(AND($B$1012=1,LEN($F$1236)&gt;0),$F$1236,HLOOKUP(INDIRECT(ADDRESS(2,COLUMN())),OFFSET($T$2,0,0,ROW()-1,14),ROW()-1,FALSE))</x:f>
        <x:v>-92.302048999999997</x:v>
      </x:c>
      <x:c r="G232">
        <x:f ca="1">IF(AND($B$1012=1,LEN($G$1236)&gt;0),$G$1236,HLOOKUP(INDIRECT(ADDRESS(2,COLUMN())),OFFSET($T$2,0,0,ROW()-1,14),ROW()-1,FALSE))</x:f>
        <x:v>10.637033000000001</x:v>
      </x:c>
      <x:c r="H232">
        <x:f ca="1">IF(AND($B$1012=1,LEN($H$1236)&gt;0),$H$1236,HLOOKUP(INDIRECT(ADDRESS(2,COLUMN())),OFFSET($T$2,0,0,ROW()-1,14),ROW()-1,FALSE))</x:f>
        <x:v>102.936903</x:v>
      </x:c>
      <x:c r="I232">
        <x:f ca="1">IF(AND($B$1012=1,LEN($I$1236)&gt;0),$I$1236,HLOOKUP(INDIRECT(ADDRESS(2,COLUMN())),OFFSET($T$2,0,0,ROW()-1,14),ROW()-1,FALSE))</x:f>
        <x:v>71.440500999999998</x:v>
      </x:c>
      <x:c r="J232">
        <x:f ca="1">IF(AND($B$1012=1,LEN($J$1236)&gt;0),$J$1236,HLOOKUP(INDIRECT(ADDRESS(2,COLUMN())),OFFSET($T$2,0,0,ROW()-1,14),ROW()-1,FALSE))</x:f>
        <x:v>4.5688279999999999</x:v>
      </x:c>
      <x:c r="K232">
        <x:f ca="1">IF(AND($B$1012=1,LEN($K$1236)&gt;0),$K$1236,HLOOKUP(INDIRECT(ADDRESS(2,COLUMN())),OFFSET($T$2,0,0,ROW()-1,14),ROW()-1,FALSE))</x:f>
        <x:v>29.087081000000001</x:v>
      </x:c>
      <x:c r="L232">
        <x:f ca="1">IF(AND($B$1012=1,LEN($L$1236)&gt;0),$L$1236,HLOOKUP(INDIRECT(ADDRESS(2,COLUMN())),OFFSET($T$2,0,0,ROW()-1,14),ROW()-1,FALSE))</x:f>
        <x:v>-3.9426100000000002</x:v>
      </x:c>
      <x:c r="M232">
        <x:f ca="1">IF(AND($B$1012=1,LEN($M$1236)&gt;0),$M$1236,HLOOKUP(INDIRECT(ADDRESS(2,COLUMN())),OFFSET($T$2,0,0,ROW()-1,14),ROW()-1,FALSE))</x:f>
        <x:v>-2.0171100000000002</x:v>
      </x:c>
      <x:c r="N232">
        <x:f ca="1">IF(AND($B$1012=1,LEN($N$1236)&gt;0),$N$1236,HLOOKUP(INDIRECT(ADDRESS(2,COLUMN())),OFFSET($T$2,0,0,ROW()-1,14),ROW()-1,FALSE))</x:f>
        <x:v>-1.1903E-2</x:v>
      </x:c>
      <x:c r="O232">
        <x:f ca="1">IF(AND($B$1012=1,LEN($O$1236)&gt;0),$O$1236,HLOOKUP(INDIRECT(ADDRESS(2,COLUMN())),OFFSET($T$2,0,0,ROW()-1,14),ROW()-1,FALSE))</x:f>
        <x:v>0</x:v>
      </x:c>
      <x:c r="P232">
        <x:f ca="1">IF(AND($B$1012=1,LEN($P$1236)&gt;0),$P$1236,HLOOKUP(INDIRECT(ADDRESS(2,COLUMN())),OFFSET($T$2,0,0,ROW()-1,14),ROW()-1,FALSE))</x:f>
        <x:v>6.4173039999999997</x:v>
      </x:c>
      <x:c r="Q232">
        <x:f ca="1">IF(AND($B$1012=1,LEN($Q$1236)&gt;0),$Q$1236,HLOOKUP(INDIRECT(ADDRESS(2,COLUMN())),OFFSET($T$2,0,0,ROW()-1,14),ROW()-1,FALSE))</x:f>
        <x:v>1.9970030000000001</x:v>
      </x:c>
      <x:c r="R232">
        <x:f ca="1">IF(AND($B$1012=1,LEN($R$1236)&gt;0),$R$1236,HLOOKUP(INDIRECT(ADDRESS(2,COLUMN())),OFFSET($T$2,0,0,ROW()-1,14),ROW()-1,FALSE))</x:f>
        <x:v>-2.1551659999999999</x:v>
      </x:c>
      <x:c r="S232">
        <x:f ca="1">IF(AND($B$1012=1,LEN($S$1236)&gt;0),$S$1236,HLOOKUP(INDIRECT(ADDRESS(2,COLUMN())),OFFSET($T$2,0,0,ROW()-1,14),ROW()-1,FALSE))</x:f>
        <x:v>-1.8009280000000001</x:v>
      </x:c>
      <x:c r="T232">
        <x:f>-92.302049</x:f>
        <x:v>-92.302048999999997</x:v>
      </x:c>
      <x:c r="U232">
        <x:f>10.637033</x:f>
        <x:v>10.637033000000001</x:v>
      </x:c>
      <x:c r="V232">
        <x:f>102.936903</x:f>
        <x:v>102.936903</x:v>
      </x:c>
      <x:c r="W232">
        <x:f>71.440501</x:f>
        <x:v>71.440500999999998</x:v>
      </x:c>
      <x:c r="X232">
        <x:f>4.568828</x:f>
        <x:v>4.5688279999999999</x:v>
      </x:c>
      <x:c r="Y232">
        <x:f>29.087081</x:f>
        <x:v>29.087081000000001</x:v>
      </x:c>
      <x:c r="Z232">
        <x:f>-3.94261</x:f>
        <x:v>-3.9426100000000002</x:v>
      </x:c>
      <x:c r="AA232">
        <x:f>-2.01711</x:f>
        <x:v>-2.0171100000000002</x:v>
      </x:c>
      <x:c r="AB232">
        <x:f>-0.011903</x:f>
        <x:v>-1.1903E-2</x:v>
      </x:c>
      <x:c r="AC232">
        <x:f>0</x:f>
        <x:v>0</x:v>
      </x:c>
      <x:c r="AD232">
        <x:f>6.417304</x:f>
        <x:v>6.4173039999999997</x:v>
      </x:c>
      <x:c r="AE232">
        <x:f>1.997003</x:f>
        <x:v>1.9970030000000001</x:v>
      </x:c>
      <x:c r="AF232">
        <x:f>-2.155166</x:f>
        <x:v>-2.1551659999999999</x:v>
      </x:c>
      <x:c r="AG232">
        <x:f>-1.800928</x:f>
        <x:v>-1.8009280000000001</x:v>
      </x:c>
    </x:row>
    <x:row r="233" spans="1:33" x14ac:dyDescent="0.25">
      <x:c r="A233" t="str">
        <x:f>"        Invesco DWA Financial Momentum"</x:f>
        <x:v xml:space="preserve">        Invesco DWA Financial Momentum</x:v>
      </x:c>
      <x:c r="B233" t="str">
        <x:f>"PFI US Equity"</x:f>
        <x:v>PFI US Equity</x:v>
      </x:c>
      <x:c r="E233" t="str">
        <x:f t="shared" si="7"/>
        <x:v>Expression</x:v>
      </x:c>
      <x:c r="F233">
        <x:f ca="1">IF(AND($B$1012=1,LEN($F$1237)&gt;0),$F$1237,HLOOKUP(INDIRECT(ADDRESS(2,COLUMN())),OFFSET($T$2,0,0,ROW()-1,14),ROW()-1,FALSE))</x:f>
        <x:v>-0.82346799999999998</x:v>
      </x:c>
      <x:c r="G233">
        <x:f ca="1">IF(AND($B$1012=1,LEN($G$1237)&gt;0),$G$1237,HLOOKUP(INDIRECT(ADDRESS(2,COLUMN())),OFFSET($T$2,0,0,ROW()-1,14),ROW()-1,FALSE))</x:f>
        <x:v>0</x:v>
      </x:c>
      <x:c r="H233">
        <x:f ca="1">IF(AND($B$1012=1,LEN($H$1237)&gt;0),$H$1237,HLOOKUP(INDIRECT(ADDRESS(2,COLUMN())),OFFSET($T$2,0,0,ROW()-1,14),ROW()-1,FALSE))</x:f>
        <x:v>-0.41443799999999997</x:v>
      </x:c>
      <x:c r="I233">
        <x:f ca="1">IF(AND($B$1012=1,LEN($I$1237)&gt;0),$I$1237,HLOOKUP(INDIRECT(ADDRESS(2,COLUMN())),OFFSET($T$2,0,0,ROW()-1,14),ROW()-1,FALSE))</x:f>
        <x:v>-0.84326500000000004</x:v>
      </x:c>
      <x:c r="J233">
        <x:f ca="1">IF(AND($B$1012=1,LEN($J$1237)&gt;0),$J$1237,HLOOKUP(INDIRECT(ADDRESS(2,COLUMN())),OFFSET($T$2,0,0,ROW()-1,14),ROW()-1,FALSE))</x:f>
        <x:v>0</x:v>
      </x:c>
      <x:c r="K233">
        <x:f ca="1">IF(AND($B$1012=1,LEN($K$1237)&gt;0),$K$1237,HLOOKUP(INDIRECT(ADDRESS(2,COLUMN())),OFFSET($T$2,0,0,ROW()-1,14),ROW()-1,FALSE))</x:f>
        <x:v>-1.6475660000000001</x:v>
      </x:c>
      <x:c r="L233">
        <x:f ca="1">IF(AND($B$1012=1,LEN($L$1237)&gt;0),$L$1237,HLOOKUP(INDIRECT(ADDRESS(2,COLUMN())),OFFSET($T$2,0,0,ROW()-1,14),ROW()-1,FALSE))</x:f>
        <x:v>-0.40392699999999998</x:v>
      </x:c>
      <x:c r="M233">
        <x:f ca="1">IF(AND($B$1012=1,LEN($M$1237)&gt;0),$M$1237,HLOOKUP(INDIRECT(ADDRESS(2,COLUMN())),OFFSET($T$2,0,0,ROW()-1,14),ROW()-1,FALSE))</x:f>
        <x:v>-0.81853200000000004</x:v>
      </x:c>
      <x:c r="N233">
        <x:f ca="1">IF(AND($B$1012=1,LEN($N$1237)&gt;0),$N$1237,HLOOKUP(INDIRECT(ADDRESS(2,COLUMN())),OFFSET($T$2,0,0,ROW()-1,14),ROW()-1,FALSE))</x:f>
        <x:v>-3.1027149999999999</x:v>
      </x:c>
      <x:c r="O233">
        <x:f ca="1">IF(AND($B$1012=1,LEN($O$1237)&gt;0),$O$1237,HLOOKUP(INDIRECT(ADDRESS(2,COLUMN())),OFFSET($T$2,0,0,ROW()-1,14),ROW()-1,FALSE))</x:f>
        <x:v>-0.87512900000000005</x:v>
      </x:c>
      <x:c r="P233">
        <x:f ca="1">IF(AND($B$1012=1,LEN($P$1237)&gt;0),$P$1237,HLOOKUP(INDIRECT(ADDRESS(2,COLUMN())),OFFSET($T$2,0,0,ROW()-1,14),ROW()-1,FALSE))</x:f>
        <x:v>-26.479431000000002</x:v>
      </x:c>
      <x:c r="Q233">
        <x:f ca="1">IF(AND($B$1012=1,LEN($Q$1237)&gt;0),$Q$1237,HLOOKUP(INDIRECT(ADDRESS(2,COLUMN())),OFFSET($T$2,0,0,ROW()-1,14),ROW()-1,FALSE))</x:f>
        <x:v>0</x:v>
      </x:c>
      <x:c r="R233">
        <x:f ca="1">IF(AND($B$1012=1,LEN($R$1237)&gt;0),$R$1237,HLOOKUP(INDIRECT(ADDRESS(2,COLUMN())),OFFSET($T$2,0,0,ROW()-1,14),ROW()-1,FALSE))</x:f>
        <x:v>5.2500000000000003E-3</x:v>
      </x:c>
      <x:c r="S233">
        <x:f ca="1">IF(AND($B$1012=1,LEN($S$1237)&gt;0),$S$1237,HLOOKUP(INDIRECT(ADDRESS(2,COLUMN())),OFFSET($T$2,0,0,ROW()-1,14),ROW()-1,FALSE))</x:f>
        <x:v>-1.717973</x:v>
      </x:c>
      <x:c r="T233">
        <x:f>-0.823468</x:f>
        <x:v>-0.82346799999999998</x:v>
      </x:c>
      <x:c r="U233">
        <x:f>0</x:f>
        <x:v>0</x:v>
      </x:c>
      <x:c r="V233">
        <x:f>-0.414438</x:f>
        <x:v>-0.41443799999999997</x:v>
      </x:c>
      <x:c r="W233">
        <x:f>-0.843265</x:f>
        <x:v>-0.84326500000000004</x:v>
      </x:c>
      <x:c r="X233">
        <x:f>0</x:f>
        <x:v>0</x:v>
      </x:c>
      <x:c r="Y233">
        <x:f>-1.647566</x:f>
        <x:v>-1.6475660000000001</x:v>
      </x:c>
      <x:c r="Z233">
        <x:f>-0.403927</x:f>
        <x:v>-0.40392699999999998</x:v>
      </x:c>
      <x:c r="AA233">
        <x:f>-0.818532</x:f>
        <x:v>-0.81853200000000004</x:v>
      </x:c>
      <x:c r="AB233">
        <x:f>-3.102715</x:f>
        <x:v>-3.1027149999999999</x:v>
      </x:c>
      <x:c r="AC233">
        <x:f>-0.875129</x:f>
        <x:v>-0.87512900000000005</x:v>
      </x:c>
      <x:c r="AD233">
        <x:f>-26.479431</x:f>
        <x:v>-26.479431000000002</x:v>
      </x:c>
      <x:c r="AE233">
        <x:f>0</x:f>
        <x:v>0</x:v>
      </x:c>
      <x:c r="AF233">
        <x:f>0.00525</x:f>
        <x:v>5.2500000000000003E-3</x:v>
      </x:c>
      <x:c r="AG233">
        <x:f>-1.717973</x:f>
        <x:v>-1.717973</x:v>
      </x:c>
    </x:row>
    <x:row r="234" spans="1:33" x14ac:dyDescent="0.25">
      <x:c r="A234" t="str">
        <x:f>"        Davis Select Financial ETF"</x:f>
        <x:v xml:space="preserve">        Davis Select Financial ETF</x:v>
      </x:c>
      <x:c r="B234" t="str">
        <x:f>"DFNL US Equity"</x:f>
        <x:v>DFNL US Equity</x:v>
      </x:c>
      <x:c r="E234" t="str">
        <x:f t="shared" si="7"/>
        <x:v>Expression</x:v>
      </x:c>
      <x:c r="F234">
        <x:f ca="1">IF(AND($B$1012=1,LEN($F$1238)&gt;0),$F$1238,HLOOKUP(INDIRECT(ADDRESS(2,COLUMN())),OFFSET($T$2,0,0,ROW()-1,14),ROW()-1,FALSE))</x:f>
        <x:v>-2.7702</x:v>
      </x:c>
      <x:c r="G234">
        <x:f ca="1">IF(AND($B$1012=1,LEN($G$1238)&gt;0),$G$1238,HLOOKUP(INDIRECT(ADDRESS(2,COLUMN())),OFFSET($T$2,0,0,ROW()-1,14),ROW()-1,FALSE))</x:f>
        <x:v>0</x:v>
      </x:c>
      <x:c r="H234">
        <x:f ca="1">IF(AND($B$1012=1,LEN($H$1238)&gt;0),$H$1238,HLOOKUP(INDIRECT(ADDRESS(2,COLUMN())),OFFSET($T$2,0,0,ROW()-1,14),ROW()-1,FALSE))</x:f>
        <x:v>-1.3724780000000001</x:v>
      </x:c>
      <x:c r="I234">
        <x:f ca="1">IF(AND($B$1012=1,LEN($I$1238)&gt;0),$I$1238,HLOOKUP(INDIRECT(ADDRESS(2,COLUMN())),OFFSET($T$2,0,0,ROW()-1,14),ROW()-1,FALSE))</x:f>
        <x:v>-2.7535099999999999</x:v>
      </x:c>
      <x:c r="J234">
        <x:f ca="1">IF(AND($B$1012=1,LEN($J$1238)&gt;0),$J$1238,HLOOKUP(INDIRECT(ADDRESS(2,COLUMN())),OFFSET($T$2,0,0,ROW()-1,14),ROW()-1,FALSE))</x:f>
        <x:v>0</x:v>
      </x:c>
      <x:c r="K234">
        <x:f ca="1">IF(AND($B$1012=1,LEN($K$1238)&gt;0),$K$1238,HLOOKUP(INDIRECT(ADDRESS(2,COLUMN())),OFFSET($T$2,0,0,ROW()-1,14),ROW()-1,FALSE))</x:f>
        <x:v>0</x:v>
      </x:c>
      <x:c r="L234">
        <x:f ca="1">IF(AND($B$1012=1,LEN($L$1238)&gt;0),$L$1238,HLOOKUP(INDIRECT(ADDRESS(2,COLUMN())),OFFSET($T$2,0,0,ROW()-1,14),ROW()-1,FALSE))</x:f>
        <x:v>0</x:v>
      </x:c>
      <x:c r="M234">
        <x:f ca="1">IF(AND($B$1012=1,LEN($M$1238)&gt;0),$M$1238,HLOOKUP(INDIRECT(ADDRESS(2,COLUMN())),OFFSET($T$2,0,0,ROW()-1,14),ROW()-1,FALSE))</x:f>
        <x:v>-2.6206999999999998</x:v>
      </x:c>
      <x:c r="N234">
        <x:f ca="1">IF(AND($B$1012=1,LEN($N$1238)&gt;0),$N$1238,HLOOKUP(INDIRECT(ADDRESS(2,COLUMN())),OFFSET($T$2,0,0,ROW()-1,14),ROW()-1,FALSE))</x:f>
        <x:v>0</x:v>
      </x:c>
      <x:c r="O234">
        <x:f ca="1">IF(AND($B$1012=1,LEN($O$1238)&gt;0),$O$1238,HLOOKUP(INDIRECT(ADDRESS(2,COLUMN())),OFFSET($T$2,0,0,ROW()-1,14),ROW()-1,FALSE))</x:f>
        <x:v>-5.8680380000000003</x:v>
      </x:c>
      <x:c r="P234">
        <x:f ca="1">IF(AND($B$1012=1,LEN($P$1238)&gt;0),$P$1238,HLOOKUP(INDIRECT(ADDRESS(2,COLUMN())),OFFSET($T$2,0,0,ROW()-1,14),ROW()-1,FALSE))</x:f>
        <x:v>0</x:v>
      </x:c>
      <x:c r="Q234">
        <x:f ca="1">IF(AND($B$1012=1,LEN($Q$1238)&gt;0),$Q$1238,HLOOKUP(INDIRECT(ADDRESS(2,COLUMN())),OFFSET($T$2,0,0,ROW()-1,14),ROW()-1,FALSE))</x:f>
        <x:v>0</x:v>
      </x:c>
      <x:c r="R234">
        <x:f ca="1">IF(AND($B$1012=1,LEN($R$1238)&gt;0),$R$1238,HLOOKUP(INDIRECT(ADDRESS(2,COLUMN())),OFFSET($T$2,0,0,ROW()-1,14),ROW()-1,FALSE))</x:f>
        <x:v>0</x:v>
      </x:c>
      <x:c r="S234">
        <x:f ca="1">IF(AND($B$1012=1,LEN($S$1238)&gt;0),$S$1238,HLOOKUP(INDIRECT(ADDRESS(2,COLUMN())),OFFSET($T$2,0,0,ROW()-1,14),ROW()-1,FALSE))</x:f>
        <x:v>0</x:v>
      </x:c>
      <x:c r="T234">
        <x:f>-2.7702</x:f>
        <x:v>-2.7702</x:v>
      </x:c>
      <x:c r="U234">
        <x:f>0</x:f>
        <x:v>0</x:v>
      </x:c>
      <x:c r="V234">
        <x:f>-1.372478</x:f>
        <x:v>-1.3724780000000001</x:v>
      </x:c>
      <x:c r="W234">
        <x:f>-2.75351</x:f>
        <x:v>-2.7535099999999999</x:v>
      </x:c>
      <x:c r="X234">
        <x:f>0</x:f>
        <x:v>0</x:v>
      </x:c>
      <x:c r="Y234">
        <x:f>0</x:f>
        <x:v>0</x:v>
      </x:c>
      <x:c r="Z234">
        <x:f>0</x:f>
        <x:v>0</x:v>
      </x:c>
      <x:c r="AA234">
        <x:f>-2.6207</x:f>
        <x:v>-2.6206999999999998</x:v>
      </x:c>
      <x:c r="AB234">
        <x:f>0</x:f>
        <x:v>0</x:v>
      </x:c>
      <x:c r="AC234">
        <x:f>-5.868038</x:f>
        <x:v>-5.8680380000000003</x:v>
      </x:c>
      <x:c r="AD234">
        <x:f>0</x:f>
        <x:v>0</x:v>
      </x:c>
      <x:c r="AE234">
        <x:f>0</x:f>
        <x:v>0</x:v>
      </x:c>
      <x:c r="AF234">
        <x:f>0</x:f>
        <x:v>0</x:v>
      </x:c>
      <x:c r="AG234">
        <x:f>0</x:f>
        <x:v>0</x:v>
      </x:c>
    </x:row>
    <x:row r="235" spans="1:33" x14ac:dyDescent="0.25">
      <x:c r="A235" t="str">
        <x:f>"        ProShares UltraShort Financial"</x:f>
        <x:v xml:space="preserve">        ProShares UltraShort Financial</x:v>
      </x:c>
      <x:c r="B235" t="str">
        <x:f>"SKF US Equity"</x:f>
        <x:v>SKF US Equity</x:v>
      </x:c>
      <x:c r="E235" t="str">
        <x:f t="shared" si="7"/>
        <x:v>Expression</x:v>
      </x:c>
      <x:c r="F235">
        <x:f ca="1">IF(AND($B$1012=1,LEN($F$1239)&gt;0),$F$1239,HLOOKUP(INDIRECT(ADDRESS(2,COLUMN())),OFFSET($T$2,0,0,ROW()-1,14),ROW()-1,FALSE))</x:f>
        <x:v>-0.93774500000000005</x:v>
      </x:c>
      <x:c r="G235">
        <x:f ca="1">IF(AND($B$1012=1,LEN($G$1239)&gt;0),$G$1239,HLOOKUP(INDIRECT(ADDRESS(2,COLUMN())),OFFSET($T$2,0,0,ROW()-1,14),ROW()-1,FALSE))</x:f>
        <x:v>0.508992</x:v>
      </x:c>
      <x:c r="H235">
        <x:f ca="1">IF(AND($B$1012=1,LEN($H$1239)&gt;0),$H$1239,HLOOKUP(INDIRECT(ADDRESS(2,COLUMN())),OFFSET($T$2,0,0,ROW()-1,14),ROW()-1,FALSE))</x:f>
        <x:v>-0.96329299999999995</x:v>
      </x:c>
      <x:c r="I235">
        <x:f ca="1">IF(AND($B$1012=1,LEN($I$1239)&gt;0),$I$1239,HLOOKUP(INDIRECT(ADDRESS(2,COLUMN())),OFFSET($T$2,0,0,ROW()-1,14),ROW()-1,FALSE))</x:f>
        <x:v>-0.42168</x:v>
      </x:c>
      <x:c r="J235">
        <x:f ca="1">IF(AND($B$1012=1,LEN($J$1239)&gt;0),$J$1239,HLOOKUP(INDIRECT(ADDRESS(2,COLUMN())),OFFSET($T$2,0,0,ROW()-1,14),ROW()-1,FALSE))</x:f>
        <x:v>5.4099999999999999E-3</x:v>
      </x:c>
      <x:c r="K235">
        <x:f ca="1">IF(AND($B$1012=1,LEN($K$1239)&gt;0),$K$1239,HLOOKUP(INDIRECT(ADDRESS(2,COLUMN())),OFFSET($T$2,0,0,ROW()-1,14),ROW()-1,FALSE))</x:f>
        <x:v>-3.7805849999999999</x:v>
      </x:c>
      <x:c r="L235">
        <x:f ca="1">IF(AND($B$1012=1,LEN($L$1239)&gt;0),$L$1239,HLOOKUP(INDIRECT(ADDRESS(2,COLUMN())),OFFSET($T$2,0,0,ROW()-1,14),ROW()-1,FALSE))</x:f>
        <x:v>1.93424</x:v>
      </x:c>
      <x:c r="M235">
        <x:f ca="1">IF(AND($B$1012=1,LEN($M$1239)&gt;0),$M$1239,HLOOKUP(INDIRECT(ADDRESS(2,COLUMN())),OFFSET($T$2,0,0,ROW()-1,14),ROW()-1,FALSE))</x:f>
        <x:v>1.968078</x:v>
      </x:c>
      <x:c r="N235">
        <x:f ca="1">IF(AND($B$1012=1,LEN($N$1239)&gt;0),$N$1239,HLOOKUP(INDIRECT(ADDRESS(2,COLUMN())),OFFSET($T$2,0,0,ROW()-1,14),ROW()-1,FALSE))</x:f>
        <x:v>2.572972</x:v>
      </x:c>
      <x:c r="O235">
        <x:f ca="1">IF(AND($B$1012=1,LEN($O$1239)&gt;0),$O$1239,HLOOKUP(INDIRECT(ADDRESS(2,COLUMN())),OFFSET($T$2,0,0,ROW()-1,14),ROW()-1,FALSE))</x:f>
        <x:v>-0.44500299999999998</x:v>
      </x:c>
      <x:c r="P235">
        <x:f ca="1">IF(AND($B$1012=1,LEN($P$1239)&gt;0),$P$1239,HLOOKUP(INDIRECT(ADDRESS(2,COLUMN())),OFFSET($T$2,0,0,ROW()-1,14),ROW()-1,FALSE))</x:f>
        <x:v>-2.2747030000000001</x:v>
      </x:c>
      <x:c r="Q235">
        <x:f ca="1">IF(AND($B$1012=1,LEN($Q$1239)&gt;0),$Q$1239,HLOOKUP(INDIRECT(ADDRESS(2,COLUMN())),OFFSET($T$2,0,0,ROW()-1,14),ROW()-1,FALSE))</x:f>
        <x:v>4.461773</x:v>
      </x:c>
      <x:c r="R235">
        <x:f ca="1">IF(AND($B$1012=1,LEN($R$1239)&gt;0),$R$1239,HLOOKUP(INDIRECT(ADDRESS(2,COLUMN())),OFFSET($T$2,0,0,ROW()-1,14),ROW()-1,FALSE))</x:f>
        <x:v>-2.5184999999999999E-2</x:v>
      </x:c>
      <x:c r="S235">
        <x:f ca="1">IF(AND($B$1012=1,LEN($S$1239)&gt;0),$S$1239,HLOOKUP(INDIRECT(ADDRESS(2,COLUMN())),OFFSET($T$2,0,0,ROW()-1,14),ROW()-1,FALSE))</x:f>
        <x:v>1.2540819999999999</x:v>
      </x:c>
      <x:c r="T235">
        <x:f>-0.937745</x:f>
        <x:v>-0.93774500000000005</x:v>
      </x:c>
      <x:c r="U235">
        <x:f>0.508992</x:f>
        <x:v>0.508992</x:v>
      </x:c>
      <x:c r="V235">
        <x:f>-0.963293</x:f>
        <x:v>-0.96329299999999995</x:v>
      </x:c>
      <x:c r="W235">
        <x:f>-0.42168</x:f>
        <x:v>-0.42168</x:v>
      </x:c>
      <x:c r="X235">
        <x:f>0.00541</x:f>
        <x:v>5.4099999999999999E-3</x:v>
      </x:c>
      <x:c r="Y235">
        <x:f>-3.780585</x:f>
        <x:v>-3.7805849999999999</x:v>
      </x:c>
      <x:c r="Z235">
        <x:f>1.93424</x:f>
        <x:v>1.93424</x:v>
      </x:c>
      <x:c r="AA235">
        <x:f>1.968078</x:f>
        <x:v>1.968078</x:v>
      </x:c>
      <x:c r="AB235">
        <x:f>2.572972</x:f>
        <x:v>2.572972</x:v>
      </x:c>
      <x:c r="AC235">
        <x:f>-0.445003</x:f>
        <x:v>-0.44500299999999998</x:v>
      </x:c>
      <x:c r="AD235">
        <x:f>-2.274703</x:f>
        <x:v>-2.2747030000000001</x:v>
      </x:c>
      <x:c r="AE235">
        <x:f>4.461773</x:f>
        <x:v>4.461773</x:v>
      </x:c>
      <x:c r="AF235">
        <x:f>-0.025185</x:f>
        <x:v>-2.5184999999999999E-2</x:v>
      </x:c>
      <x:c r="AG235">
        <x:f>1.254082</x:f>
        <x:v>1.2540819999999999</x:v>
      </x:c>
    </x:row>
    <x:row r="236" spans="1:33" x14ac:dyDescent="0.25">
      <x:c r="A236" t="str">
        <x:f>"        John Hancock Multi-Factor Fina"</x:f>
        <x:v xml:space="preserve">        John Hancock Multi-Factor Fina</x:v>
      </x:c>
      <x:c r="B236" t="str">
        <x:f>"JHMF US Equity"</x:f>
        <x:v>JHMF US Equity</x:v>
      </x:c>
      <x:c r="E236" t="str">
        <x:f t="shared" si="7"/>
        <x:v>Expression</x:v>
      </x:c>
      <x:c r="F236" t="str">
        <x:f ca="1">IF(AND($B$1012=1,LEN($F$1240)&gt;0),$F$1240,HLOOKUP(INDIRECT(ADDRESS(2,COLUMN())),OFFSET($T$2,0,0,ROW()-1,14),ROW()-1,FALSE))</x:f>
        <x:v/>
      </x:c>
      <x:c r="G236" t="str">
        <x:f ca="1">IF(AND($B$1012=1,LEN($G$1240)&gt;0),$G$1240,HLOOKUP(INDIRECT(ADDRESS(2,COLUMN())),OFFSET($T$2,0,0,ROW()-1,14),ROW()-1,FALSE))</x:f>
        <x:v/>
      </x:c>
      <x:c r="H236" t="str">
        <x:f ca="1">IF(AND($B$1012=1,LEN($H$1240)&gt;0),$H$1240,HLOOKUP(INDIRECT(ADDRESS(2,COLUMN())),OFFSET($T$2,0,0,ROW()-1,14),ROW()-1,FALSE))</x:f>
        <x:v/>
      </x:c>
      <x:c r="I236" t="str">
        <x:f ca="1">IF(AND($B$1012=1,LEN($I$1240)&gt;0),$I$1240,HLOOKUP(INDIRECT(ADDRESS(2,COLUMN())),OFFSET($T$2,0,0,ROW()-1,14),ROW()-1,FALSE))</x:f>
        <x:v/>
      </x:c>
      <x:c r="J236" t="str">
        <x:f ca="1">IF(AND($B$1012=1,LEN($J$1240)&gt;0),$J$1240,HLOOKUP(INDIRECT(ADDRESS(2,COLUMN())),OFFSET($T$2,0,0,ROW()-1,14),ROW()-1,FALSE))</x:f>
        <x:v/>
      </x:c>
      <x:c r="K236" t="str">
        <x:f ca="1">IF(AND($B$1012=1,LEN($K$1240)&gt;0),$K$1240,HLOOKUP(INDIRECT(ADDRESS(2,COLUMN())),OFFSET($T$2,0,0,ROW()-1,14),ROW()-1,FALSE))</x:f>
        <x:v/>
      </x:c>
      <x:c r="L236" t="str">
        <x:f ca="1">IF(AND($B$1012=1,LEN($L$1240)&gt;0),$L$1240,HLOOKUP(INDIRECT(ADDRESS(2,COLUMN())),OFFSET($T$2,0,0,ROW()-1,14),ROW()-1,FALSE))</x:f>
        <x:v/>
      </x:c>
      <x:c r="M236" t="str">
        <x:f ca="1">IF(AND($B$1012=1,LEN($M$1240)&gt;0),$M$1240,HLOOKUP(INDIRECT(ADDRESS(2,COLUMN())),OFFSET($T$2,0,0,ROW()-1,14),ROW()-1,FALSE))</x:f>
        <x:v/>
      </x:c>
      <x:c r="N236" t="str">
        <x:f ca="1">IF(AND($B$1012=1,LEN($N$1240)&gt;0),$N$1240,HLOOKUP(INDIRECT(ADDRESS(2,COLUMN())),OFFSET($T$2,0,0,ROW()-1,14),ROW()-1,FALSE))</x:f>
        <x:v/>
      </x:c>
      <x:c r="O236" t="str">
        <x:f ca="1">IF(AND($B$1012=1,LEN($O$1240)&gt;0),$O$1240,HLOOKUP(INDIRECT(ADDRESS(2,COLUMN())),OFFSET($T$2,0,0,ROW()-1,14),ROW()-1,FALSE))</x:f>
        <x:v/>
      </x:c>
      <x:c r="P236" t="str">
        <x:f ca="1">IF(AND($B$1012=1,LEN($P$1240)&gt;0),$P$1240,HLOOKUP(INDIRECT(ADDRESS(2,COLUMN())),OFFSET($T$2,0,0,ROW()-1,14),ROW()-1,FALSE))</x:f>
        <x:v/>
      </x:c>
      <x:c r="Q236" t="str">
        <x:f ca="1">IF(AND($B$1012=1,LEN($Q$1240)&gt;0),$Q$1240,HLOOKUP(INDIRECT(ADDRESS(2,COLUMN())),OFFSET($T$2,0,0,ROW()-1,14),ROW()-1,FALSE))</x:f>
        <x:v/>
      </x:c>
      <x:c r="R236" t="str">
        <x:f ca="1">IF(AND($B$1012=1,LEN($R$1240)&gt;0),$R$1240,HLOOKUP(INDIRECT(ADDRESS(2,COLUMN())),OFFSET($T$2,0,0,ROW()-1,14),ROW()-1,FALSE))</x:f>
        <x:v/>
      </x:c>
      <x:c r="S236">
        <x:f ca="1">IF(AND($B$1012=1,LEN($S$1240)&gt;0),$S$1240,HLOOKUP(INDIRECT(ADDRESS(2,COLUMN())),OFFSET($T$2,0,0,ROW()-1,14),ROW()-1,FALSE))</x:f>
        <x:v>-2.992769</x:v>
      </x:c>
      <x:c r="T236" t="str">
        <x:f>""</x:f>
        <x:v/>
      </x:c>
      <x:c r="U236" t="str">
        <x:f>""</x:f>
        <x:v/>
      </x:c>
      <x:c r="V236" t="str">
        <x:f>""</x:f>
        <x:v/>
      </x:c>
      <x:c r="W236" t="str">
        <x:f>""</x:f>
        <x:v/>
      </x:c>
      <x:c r="X236" t="str">
        <x:f>""</x:f>
        <x:v/>
      </x:c>
      <x:c r="Y236" t="str">
        <x:f>""</x:f>
        <x:v/>
      </x:c>
      <x:c r="Z236" t="str">
        <x:f>""</x:f>
        <x:v/>
      </x:c>
      <x:c r="AA236" t="str">
        <x:f>""</x:f>
        <x:v/>
      </x:c>
      <x:c r="AB236" t="str">
        <x:f>""</x:f>
        <x:v/>
      </x:c>
      <x:c r="AC236" t="str">
        <x:f>""</x:f>
        <x:v/>
      </x:c>
      <x:c r="AD236" t="str">
        <x:f>""</x:f>
        <x:v/>
      </x:c>
      <x:c r="AE236" t="str">
        <x:f>""</x:f>
        <x:v/>
      </x:c>
      <x:c r="AF236" t="str">
        <x:f>""</x:f>
        <x:v/>
      </x:c>
      <x:c r="AG236">
        <x:f>-2.992769</x:f>
        <x:v>-2.992769</x:v>
      </x:c>
    </x:row>
    <x:row r="237" spans="1:33" x14ac:dyDescent="0.25">
      <x:c r="A237" t="str">
        <x:f>"        WisdomTree Japan Hedged Financ"</x:f>
        <x:v xml:space="preserve">        WisdomTree Japan Hedged Financ</x:v>
      </x:c>
      <x:c r="B237" t="str">
        <x:f>"DXJF US Equity"</x:f>
        <x:v>DXJF US Equity</x:v>
      </x:c>
      <x:c r="E237" t="str">
        <x:f t="shared" si="7"/>
        <x:v>Expression</x:v>
      </x:c>
      <x:c r="F237" t="str">
        <x:f ca="1">IF(AND($B$1012=1,LEN($F$1241)&gt;0),$F$1241,HLOOKUP(INDIRECT(ADDRESS(2,COLUMN())),OFFSET($T$2,0,0,ROW()-1,14),ROW()-1,FALSE))</x:f>
        <x:v/>
      </x:c>
      <x:c r="G237" t="str">
        <x:f ca="1">IF(AND($B$1012=1,LEN($G$1241)&gt;0),$G$1241,HLOOKUP(INDIRECT(ADDRESS(2,COLUMN())),OFFSET($T$2,0,0,ROW()-1,14),ROW()-1,FALSE))</x:f>
        <x:v/>
      </x:c>
      <x:c r="H237" t="str">
        <x:f ca="1">IF(AND($B$1012=1,LEN($H$1241)&gt;0),$H$1241,HLOOKUP(INDIRECT(ADDRESS(2,COLUMN())),OFFSET($T$2,0,0,ROW()-1,14),ROW()-1,FALSE))</x:f>
        <x:v/>
      </x:c>
      <x:c r="I237" t="str">
        <x:f ca="1">IF(AND($B$1012=1,LEN($I$1241)&gt;0),$I$1241,HLOOKUP(INDIRECT(ADDRESS(2,COLUMN())),OFFSET($T$2,0,0,ROW()-1,14),ROW()-1,FALSE))</x:f>
        <x:v/>
      </x:c>
      <x:c r="J237" t="str">
        <x:f ca="1">IF(AND($B$1012=1,LEN($J$1241)&gt;0),$J$1241,HLOOKUP(INDIRECT(ADDRESS(2,COLUMN())),OFFSET($T$2,0,0,ROW()-1,14),ROW()-1,FALSE))</x:f>
        <x:v/>
      </x:c>
      <x:c r="K237" t="str">
        <x:f ca="1">IF(AND($B$1012=1,LEN($K$1241)&gt;0),$K$1241,HLOOKUP(INDIRECT(ADDRESS(2,COLUMN())),OFFSET($T$2,0,0,ROW()-1,14),ROW()-1,FALSE))</x:f>
        <x:v/>
      </x:c>
      <x:c r="L237" t="str">
        <x:f ca="1">IF(AND($B$1012=1,LEN($L$1241)&gt;0),$L$1241,HLOOKUP(INDIRECT(ADDRESS(2,COLUMN())),OFFSET($T$2,0,0,ROW()-1,14),ROW()-1,FALSE))</x:f>
        <x:v/>
      </x:c>
      <x:c r="M237" t="str">
        <x:f ca="1">IF(AND($B$1012=1,LEN($M$1241)&gt;0),$M$1241,HLOOKUP(INDIRECT(ADDRESS(2,COLUMN())),OFFSET($T$2,0,0,ROW()-1,14),ROW()-1,FALSE))</x:f>
        <x:v/>
      </x:c>
      <x:c r="N237" t="str">
        <x:f ca="1">IF(AND($B$1012=1,LEN($N$1241)&gt;0),$N$1241,HLOOKUP(INDIRECT(ADDRESS(2,COLUMN())),OFFSET($T$2,0,0,ROW()-1,14),ROW()-1,FALSE))</x:f>
        <x:v/>
      </x:c>
      <x:c r="O237" t="str">
        <x:f ca="1">IF(AND($B$1012=1,LEN($O$1241)&gt;0),$O$1241,HLOOKUP(INDIRECT(ADDRESS(2,COLUMN())),OFFSET($T$2,0,0,ROW()-1,14),ROW()-1,FALSE))</x:f>
        <x:v/>
      </x:c>
      <x:c r="P237" t="str">
        <x:f ca="1">IF(AND($B$1012=1,LEN($P$1241)&gt;0),$P$1241,HLOOKUP(INDIRECT(ADDRESS(2,COLUMN())),OFFSET($T$2,0,0,ROW()-1,14),ROW()-1,FALSE))</x:f>
        <x:v/>
      </x:c>
      <x:c r="Q237" t="str">
        <x:f ca="1">IF(AND($B$1012=1,LEN($Q$1241)&gt;0),$Q$1241,HLOOKUP(INDIRECT(ADDRESS(2,COLUMN())),OFFSET($T$2,0,0,ROW()-1,14),ROW()-1,FALSE))</x:f>
        <x:v/>
      </x:c>
      <x:c r="R237" t="str">
        <x:f ca="1">IF(AND($B$1012=1,LEN($R$1241)&gt;0),$R$1241,HLOOKUP(INDIRECT(ADDRESS(2,COLUMN())),OFFSET($T$2,0,0,ROW()-1,14),ROW()-1,FALSE))</x:f>
        <x:v/>
      </x:c>
      <x:c r="S237" t="str">
        <x:f ca="1">IF(AND($B$1012=1,LEN($S$1241)&gt;0),$S$1241,HLOOKUP(INDIRECT(ADDRESS(2,COLUMN())),OFFSET($T$2,0,0,ROW()-1,14),ROW()-1,FALSE))</x:f>
        <x:v/>
      </x:c>
      <x:c r="T237" t="str">
        <x:f>""</x:f>
        <x:v/>
      </x:c>
      <x:c r="U237" t="str">
        <x:f>""</x:f>
        <x:v/>
      </x:c>
      <x:c r="V237" t="str">
        <x:f>""</x:f>
        <x:v/>
      </x:c>
      <x:c r="W237" t="str">
        <x:f>""</x:f>
        <x:v/>
      </x:c>
      <x:c r="X237" t="str">
        <x:f>""</x:f>
        <x:v/>
      </x:c>
      <x:c r="Y237" t="str">
        <x:f>""</x:f>
        <x:v/>
      </x:c>
      <x:c r="Z237" t="str">
        <x:f>""</x:f>
        <x:v/>
      </x:c>
      <x:c r="AA237" t="str">
        <x:f>""</x:f>
        <x:v/>
      </x:c>
      <x:c r="AB237" t="str">
        <x:f>""</x:f>
        <x:v/>
      </x:c>
      <x:c r="AC237" t="str">
        <x:f>""</x:f>
        <x:v/>
      </x:c>
      <x:c r="AD237" t="str">
        <x:f>""</x:f>
        <x:v/>
      </x:c>
      <x:c r="AE237" t="str">
        <x:f>""</x:f>
        <x:v/>
      </x:c>
      <x:c r="AF237" t="str">
        <x:f>""</x:f>
        <x:v/>
      </x:c>
      <x:c r="AG237" t="str">
        <x:f>""</x:f>
        <x:v/>
      </x:c>
    </x:row>
    <x:row r="238" spans="1:33" x14ac:dyDescent="0.25">
      <x:c r="A238" t="str">
        <x:f>"        Global X MSCI China Financials"</x:f>
        <x:v xml:space="preserve">        Global X MSCI China Financials</x:v>
      </x:c>
      <x:c r="B238" t="str">
        <x:f>"CHIX US Equity"</x:f>
        <x:v>CHIX US Equity</x:v>
      </x:c>
      <x:c r="E238" t="str">
        <x:f t="shared" ref="E238:E264" si="8">"Expression"</x:f>
        <x:v>Expression</x:v>
      </x:c>
      <x:c r="F238">
        <x:f ca="1">IF(AND($B$1012=1,LEN($F$1242)&gt;0),$F$1242,HLOOKUP(INDIRECT(ADDRESS(2,COLUMN())),OFFSET($T$2,0,0,ROW()-1,14),ROW()-1,FALSE))</x:f>
        <x:v>0</x:v>
      </x:c>
      <x:c r="G238">
        <x:f ca="1">IF(AND($B$1012=1,LEN($G$1242)&gt;0),$G$1242,HLOOKUP(INDIRECT(ADDRESS(2,COLUMN())),OFFSET($T$2,0,0,ROW()-1,14),ROW()-1,FALSE))</x:f>
        <x:v>0</x:v>
      </x:c>
      <x:c r="H238">
        <x:f ca="1">IF(AND($B$1012=1,LEN($H$1242)&gt;0),$H$1242,HLOOKUP(INDIRECT(ADDRESS(2,COLUMN())),OFFSET($T$2,0,0,ROW()-1,14),ROW()-1,FALSE))</x:f>
        <x:v>0</x:v>
      </x:c>
      <x:c r="I238">
        <x:f ca="1">IF(AND($B$1012=1,LEN($I$1242)&gt;0),$I$1242,HLOOKUP(INDIRECT(ADDRESS(2,COLUMN())),OFFSET($T$2,0,0,ROW()-1,14),ROW()-1,FALSE))</x:f>
        <x:v>0</x:v>
      </x:c>
      <x:c r="J238">
        <x:f ca="1">IF(AND($B$1012=1,LEN($J$1242)&gt;0),$J$1242,HLOOKUP(INDIRECT(ADDRESS(2,COLUMN())),OFFSET($T$2,0,0,ROW()-1,14),ROW()-1,FALSE))</x:f>
        <x:v>0</x:v>
      </x:c>
      <x:c r="K238">
        <x:f ca="1">IF(AND($B$1012=1,LEN($K$1242)&gt;0),$K$1242,HLOOKUP(INDIRECT(ADDRESS(2,COLUMN())),OFFSET($T$2,0,0,ROW()-1,14),ROW()-1,FALSE))</x:f>
        <x:v>-1.0980000000000001</x:v>
      </x:c>
      <x:c r="L238">
        <x:f ca="1">IF(AND($B$1012=1,LEN($L$1242)&gt;0),$L$1242,HLOOKUP(INDIRECT(ADDRESS(2,COLUMN())),OFFSET($T$2,0,0,ROW()-1,14),ROW()-1,FALSE))</x:f>
        <x:v>0</x:v>
      </x:c>
      <x:c r="M238">
        <x:f ca="1">IF(AND($B$1012=1,LEN($M$1242)&gt;0),$M$1242,HLOOKUP(INDIRECT(ADDRESS(2,COLUMN())),OFFSET($T$2,0,0,ROW()-1,14),ROW()-1,FALSE))</x:f>
        <x:v>0</x:v>
      </x:c>
      <x:c r="N238">
        <x:f ca="1">IF(AND($B$1012=1,LEN($N$1242)&gt;0),$N$1242,HLOOKUP(INDIRECT(ADDRESS(2,COLUMN())),OFFSET($T$2,0,0,ROW()-1,14),ROW()-1,FALSE))</x:f>
        <x:v>0</x:v>
      </x:c>
      <x:c r="O238">
        <x:f ca="1">IF(AND($B$1012=1,LEN($O$1242)&gt;0),$O$1242,HLOOKUP(INDIRECT(ADDRESS(2,COLUMN())),OFFSET($T$2,0,0,ROW()-1,14),ROW()-1,FALSE))</x:f>
        <x:v>0</x:v>
      </x:c>
      <x:c r="P238">
        <x:f ca="1">IF(AND($B$1012=1,LEN($P$1242)&gt;0),$P$1242,HLOOKUP(INDIRECT(ADDRESS(2,COLUMN())),OFFSET($T$2,0,0,ROW()-1,14),ROW()-1,FALSE))</x:f>
        <x:v>-5.3013000000000003</x:v>
      </x:c>
      <x:c r="Q238">
        <x:f ca="1">IF(AND($B$1012=1,LEN($Q$1242)&gt;0),$Q$1242,HLOOKUP(INDIRECT(ADDRESS(2,COLUMN())),OFFSET($T$2,0,0,ROW()-1,14),ROW()-1,FALSE))</x:f>
        <x:v>-5.4675000000000002</x:v>
      </x:c>
      <x:c r="R238">
        <x:f ca="1">IF(AND($B$1012=1,LEN($R$1242)&gt;0),$R$1242,HLOOKUP(INDIRECT(ADDRESS(2,COLUMN())),OFFSET($T$2,0,0,ROW()-1,14),ROW()-1,FALSE))</x:f>
        <x:v>0</x:v>
      </x:c>
      <x:c r="S238">
        <x:f ca="1">IF(AND($B$1012=1,LEN($S$1242)&gt;0),$S$1242,HLOOKUP(INDIRECT(ADDRESS(2,COLUMN())),OFFSET($T$2,0,0,ROW()-1,14),ROW()-1,FALSE))</x:f>
        <x:v>0</x:v>
      </x:c>
      <x:c r="T238">
        <x:f>0</x:f>
        <x:v>0</x:v>
      </x:c>
      <x:c r="U238">
        <x:f>0</x:f>
        <x:v>0</x:v>
      </x:c>
      <x:c r="V238">
        <x:f>0</x:f>
        <x:v>0</x:v>
      </x:c>
      <x:c r="W238">
        <x:f>0</x:f>
        <x:v>0</x:v>
      </x:c>
      <x:c r="X238">
        <x:f>0</x:f>
        <x:v>0</x:v>
      </x:c>
      <x:c r="Y238">
        <x:f>-1.098</x:f>
        <x:v>-1.0980000000000001</x:v>
      </x:c>
      <x:c r="Z238">
        <x:f>0</x:f>
        <x:v>0</x:v>
      </x:c>
      <x:c r="AA238">
        <x:f>0</x:f>
        <x:v>0</x:v>
      </x:c>
      <x:c r="AB238">
        <x:f>0</x:f>
        <x:v>0</x:v>
      </x:c>
      <x:c r="AC238">
        <x:f>0</x:f>
        <x:v>0</x:v>
      </x:c>
      <x:c r="AD238">
        <x:f>-5.3013</x:f>
        <x:v>-5.3013000000000003</x:v>
      </x:c>
      <x:c r="AE238">
        <x:f>-5.4675</x:f>
        <x:v>-5.4675000000000002</x:v>
      </x:c>
      <x:c r="AF238">
        <x:f>0</x:f>
        <x:v>0</x:v>
      </x:c>
      <x:c r="AG238">
        <x:f>0</x:f>
        <x:v>0</x:v>
      </x:c>
    </x:row>
    <x:row r="239" spans="1:33" x14ac:dyDescent="0.25">
      <x:c r="A239" t="str">
        <x:f>"        Invesco S&amp;P Financials Revenue"</x:f>
        <x:v xml:space="preserve">        Invesco S&amp;P Financials Revenue</x:v>
      </x:c>
      <x:c r="B239" t="str">
        <x:f>"RWW US Equity"</x:f>
        <x:v>RWW US Equity</x:v>
      </x:c>
      <x:c r="E239" t="str">
        <x:f t="shared" si="8"/>
        <x:v>Expression</x:v>
      </x:c>
      <x:c r="F239" t="str">
        <x:f ca="1">IF(AND($B$1012=1,LEN($F$1243)&gt;0),$F$1243,HLOOKUP(INDIRECT(ADDRESS(2,COLUMN())),OFFSET($T$2,0,0,ROW()-1,14),ROW()-1,FALSE))</x:f>
        <x:v/>
      </x:c>
      <x:c r="G239" t="str">
        <x:f ca="1">IF(AND($B$1012=1,LEN($G$1243)&gt;0),$G$1243,HLOOKUP(INDIRECT(ADDRESS(2,COLUMN())),OFFSET($T$2,0,0,ROW()-1,14),ROW()-1,FALSE))</x:f>
        <x:v/>
      </x:c>
      <x:c r="H239" t="str">
        <x:f ca="1">IF(AND($B$1012=1,LEN($H$1243)&gt;0),$H$1243,HLOOKUP(INDIRECT(ADDRESS(2,COLUMN())),OFFSET($T$2,0,0,ROW()-1,14),ROW()-1,FALSE))</x:f>
        <x:v/>
      </x:c>
      <x:c r="I239" t="str">
        <x:f ca="1">IF(AND($B$1012=1,LEN($I$1243)&gt;0),$I$1243,HLOOKUP(INDIRECT(ADDRESS(2,COLUMN())),OFFSET($T$2,0,0,ROW()-1,14),ROW()-1,FALSE))</x:f>
        <x:v/>
      </x:c>
      <x:c r="J239" t="str">
        <x:f ca="1">IF(AND($B$1012=1,LEN($J$1243)&gt;0),$J$1243,HLOOKUP(INDIRECT(ADDRESS(2,COLUMN())),OFFSET($T$2,0,0,ROW()-1,14),ROW()-1,FALSE))</x:f>
        <x:v/>
      </x:c>
      <x:c r="K239" t="str">
        <x:f ca="1">IF(AND($B$1012=1,LEN($K$1243)&gt;0),$K$1243,HLOOKUP(INDIRECT(ADDRESS(2,COLUMN())),OFFSET($T$2,0,0,ROW()-1,14),ROW()-1,FALSE))</x:f>
        <x:v/>
      </x:c>
      <x:c r="L239" t="str">
        <x:f ca="1">IF(AND($B$1012=1,LEN($L$1243)&gt;0),$L$1243,HLOOKUP(INDIRECT(ADDRESS(2,COLUMN())),OFFSET($T$2,0,0,ROW()-1,14),ROW()-1,FALSE))</x:f>
        <x:v/>
      </x:c>
      <x:c r="M239" t="str">
        <x:f ca="1">IF(AND($B$1012=1,LEN($M$1243)&gt;0),$M$1243,HLOOKUP(INDIRECT(ADDRESS(2,COLUMN())),OFFSET($T$2,0,0,ROW()-1,14),ROW()-1,FALSE))</x:f>
        <x:v/>
      </x:c>
      <x:c r="N239" t="str">
        <x:f ca="1">IF(AND($B$1012=1,LEN($N$1243)&gt;0),$N$1243,HLOOKUP(INDIRECT(ADDRESS(2,COLUMN())),OFFSET($T$2,0,0,ROW()-1,14),ROW()-1,FALSE))</x:f>
        <x:v/>
      </x:c>
      <x:c r="O239" t="str">
        <x:f ca="1">IF(AND($B$1012=1,LEN($O$1243)&gt;0),$O$1243,HLOOKUP(INDIRECT(ADDRESS(2,COLUMN())),OFFSET($T$2,0,0,ROW()-1,14),ROW()-1,FALSE))</x:f>
        <x:v/>
      </x:c>
      <x:c r="P239" t="str">
        <x:f ca="1">IF(AND($B$1012=1,LEN($P$1243)&gt;0),$P$1243,HLOOKUP(INDIRECT(ADDRESS(2,COLUMN())),OFFSET($T$2,0,0,ROW()-1,14),ROW()-1,FALSE))</x:f>
        <x:v/>
      </x:c>
      <x:c r="Q239" t="str">
        <x:f ca="1">IF(AND($B$1012=1,LEN($Q$1243)&gt;0),$Q$1243,HLOOKUP(INDIRECT(ADDRESS(2,COLUMN())),OFFSET($T$2,0,0,ROW()-1,14),ROW()-1,FALSE))</x:f>
        <x:v/>
      </x:c>
      <x:c r="R239" t="str">
        <x:f ca="1">IF(AND($B$1012=1,LEN($R$1243)&gt;0),$R$1243,HLOOKUP(INDIRECT(ADDRESS(2,COLUMN())),OFFSET($T$2,0,0,ROW()-1,14),ROW()-1,FALSE))</x:f>
        <x:v/>
      </x:c>
      <x:c r="S239" t="str">
        <x:f ca="1">IF(AND($B$1012=1,LEN($S$1243)&gt;0),$S$1243,HLOOKUP(INDIRECT(ADDRESS(2,COLUMN())),OFFSET($T$2,0,0,ROW()-1,14),ROW()-1,FALSE))</x:f>
        <x:v/>
      </x:c>
      <x:c r="T239" t="str">
        <x:f>""</x:f>
        <x:v/>
      </x:c>
      <x:c r="U239" t="str">
        <x:f>""</x:f>
        <x:v/>
      </x:c>
      <x:c r="V239" t="str">
        <x:f>""</x:f>
        <x:v/>
      </x:c>
      <x:c r="W239" t="str">
        <x:f>""</x:f>
        <x:v/>
      </x:c>
      <x:c r="X239" t="str">
        <x:f>""</x:f>
        <x:v/>
      </x:c>
      <x:c r="Y239" t="str">
        <x:f>""</x:f>
        <x:v/>
      </x:c>
      <x:c r="Z239" t="str">
        <x:f>""</x:f>
        <x:v/>
      </x:c>
      <x:c r="AA239" t="str">
        <x:f>""</x:f>
        <x:v/>
      </x:c>
      <x:c r="AB239" t="str">
        <x:f>""</x:f>
        <x:v/>
      </x:c>
      <x:c r="AC239" t="str">
        <x:f>""</x:f>
        <x:v/>
      </x:c>
      <x:c r="AD239" t="str">
        <x:f>""</x:f>
        <x:v/>
      </x:c>
      <x:c r="AE239" t="str">
        <x:f>""</x:f>
        <x:v/>
      </x:c>
      <x:c r="AF239" t="str">
        <x:f>""</x:f>
        <x:v/>
      </x:c>
      <x:c r="AG239" t="str">
        <x:f>""</x:f>
        <x:v/>
      </x:c>
    </x:row>
    <x:row r="240" spans="1:33" x14ac:dyDescent="0.25">
      <x:c r="A240" t="str">
        <x:f>"        Direxion Daily Regional Banks"</x:f>
        <x:v xml:space="preserve">        Direxion Daily Regional Banks</x:v>
      </x:c>
      <x:c r="B240" t="str">
        <x:f>"DPST US Equity"</x:f>
        <x:v>DPST US Equity</x:v>
      </x:c>
      <x:c r="E240" t="str">
        <x:f t="shared" si="8"/>
        <x:v>Expression</x:v>
      </x:c>
      <x:c r="F240">
        <x:f ca="1">IF(AND($B$1012=1,LEN($F$1244)&gt;0),$F$1244,HLOOKUP(INDIRECT(ADDRESS(2,COLUMN())),OFFSET($T$2,0,0,ROW()-1,14),ROW()-1,FALSE))</x:f>
        <x:v>-70.473292999999998</x:v>
      </x:c>
      <x:c r="G240">
        <x:f ca="1">IF(AND($B$1012=1,LEN($G$1244)&gt;0),$G$1244,HLOOKUP(INDIRECT(ADDRESS(2,COLUMN())),OFFSET($T$2,0,0,ROW()-1,14),ROW()-1,FALSE))</x:f>
        <x:v>66.311475000000002</x:v>
      </x:c>
      <x:c r="H240">
        <x:f ca="1">IF(AND($B$1012=1,LEN($H$1244)&gt;0),$H$1244,HLOOKUP(INDIRECT(ADDRESS(2,COLUMN())),OFFSET($T$2,0,0,ROW()-1,14),ROW()-1,FALSE))</x:f>
        <x:v>46.396450000000002</x:v>
      </x:c>
      <x:c r="I240">
        <x:f ca="1">IF(AND($B$1012=1,LEN($I$1244)&gt;0),$I$1244,HLOOKUP(INDIRECT(ADDRESS(2,COLUMN())),OFFSET($T$2,0,0,ROW()-1,14),ROW()-1,FALSE))</x:f>
        <x:v>-34.457610000000003</x:v>
      </x:c>
      <x:c r="J240">
        <x:f ca="1">IF(AND($B$1012=1,LEN($J$1244)&gt;0),$J$1244,HLOOKUP(INDIRECT(ADDRESS(2,COLUMN())),OFFSET($T$2,0,0,ROW()-1,14),ROW()-1,FALSE))</x:f>
        <x:v>-189.48420999999999</x:v>
      </x:c>
      <x:c r="K240">
        <x:f ca="1">IF(AND($B$1012=1,LEN($K$1244)&gt;0),$K$1244,HLOOKUP(INDIRECT(ADDRESS(2,COLUMN())),OFFSET($T$2,0,0,ROW()-1,14),ROW()-1,FALSE))</x:f>
        <x:v>12.023224000000001</x:v>
      </x:c>
      <x:c r="L240">
        <x:f ca="1">IF(AND($B$1012=1,LEN($L$1244)&gt;0),$L$1244,HLOOKUP(INDIRECT(ADDRESS(2,COLUMN())),OFFSET($T$2,0,0,ROW()-1,14),ROW()-1,FALSE))</x:f>
        <x:v>161.13067100000001</x:v>
      </x:c>
      <x:c r="M240">
        <x:f ca="1">IF(AND($B$1012=1,LEN($M$1244)&gt;0),$M$1244,HLOOKUP(INDIRECT(ADDRESS(2,COLUMN())),OFFSET($T$2,0,0,ROW()-1,14),ROW()-1,FALSE))</x:f>
        <x:v>76.309172000000004</x:v>
      </x:c>
      <x:c r="N240">
        <x:f ca="1">IF(AND($B$1012=1,LEN($N$1244)&gt;0),$N$1244,HLOOKUP(INDIRECT(ADDRESS(2,COLUMN())),OFFSET($T$2,0,0,ROW()-1,14),ROW()-1,FALSE))</x:f>
        <x:v>349.56163700000002</x:v>
      </x:c>
      <x:c r="O240">
        <x:f ca="1">IF(AND($B$1012=1,LEN($O$1244)&gt;0),$O$1244,HLOOKUP(INDIRECT(ADDRESS(2,COLUMN())),OFFSET($T$2,0,0,ROW()-1,14),ROW()-1,FALSE))</x:f>
        <x:v>-10.192157999999999</x:v>
      </x:c>
      <x:c r="P240">
        <x:f ca="1">IF(AND($B$1012=1,LEN($P$1244)&gt;0),$P$1244,HLOOKUP(INDIRECT(ADDRESS(2,COLUMN())),OFFSET($T$2,0,0,ROW()-1,14),ROW()-1,FALSE))</x:f>
        <x:v>-14.923565</x:v>
      </x:c>
      <x:c r="Q240">
        <x:f ca="1">IF(AND($B$1012=1,LEN($Q$1244)&gt;0),$Q$1244,HLOOKUP(INDIRECT(ADDRESS(2,COLUMN())),OFFSET($T$2,0,0,ROW()-1,14),ROW()-1,FALSE))</x:f>
        <x:v>16.197431000000002</x:v>
      </x:c>
      <x:c r="R240">
        <x:f ca="1">IF(AND($B$1012=1,LEN($R$1244)&gt;0),$R$1244,HLOOKUP(INDIRECT(ADDRESS(2,COLUMN())),OFFSET($T$2,0,0,ROW()-1,14),ROW()-1,FALSE))</x:f>
        <x:v>-9.1278780000000008</x:v>
      </x:c>
      <x:c r="S240">
        <x:f ca="1">IF(AND($B$1012=1,LEN($S$1244)&gt;0),$S$1244,HLOOKUP(INDIRECT(ADDRESS(2,COLUMN())),OFFSET($T$2,0,0,ROW()-1,14),ROW()-1,FALSE))</x:f>
        <x:v>2.215255</x:v>
      </x:c>
      <x:c r="T240">
        <x:f>-70.473293</x:f>
        <x:v>-70.473292999999998</x:v>
      </x:c>
      <x:c r="U240">
        <x:f>66.311475</x:f>
        <x:v>66.311475000000002</x:v>
      </x:c>
      <x:c r="V240">
        <x:f>46.39645</x:f>
        <x:v>46.396450000000002</x:v>
      </x:c>
      <x:c r="W240">
        <x:f>-34.45761</x:f>
        <x:v>-34.457610000000003</x:v>
      </x:c>
      <x:c r="X240">
        <x:f>-189.48421</x:f>
        <x:v>-189.48420999999999</x:v>
      </x:c>
      <x:c r="Y240">
        <x:f>12.023224</x:f>
        <x:v>12.023224000000001</x:v>
      </x:c>
      <x:c r="Z240">
        <x:f>161.130671</x:f>
        <x:v>161.13067100000001</x:v>
      </x:c>
      <x:c r="AA240">
        <x:f>76.309172</x:f>
        <x:v>76.309172000000004</x:v>
      </x:c>
      <x:c r="AB240">
        <x:f>349.561637</x:f>
        <x:v>349.56163700000002</x:v>
      </x:c>
      <x:c r="AC240">
        <x:f>-10.192158</x:f>
        <x:v>-10.192157999999999</x:v>
      </x:c>
      <x:c r="AD240">
        <x:f>-14.923565</x:f>
        <x:v>-14.923565</x:v>
      </x:c>
      <x:c r="AE240">
        <x:f>16.197431</x:f>
        <x:v>16.197431000000002</x:v>
      </x:c>
      <x:c r="AF240">
        <x:f>-9.127878</x:f>
        <x:v>-9.1278780000000008</x:v>
      </x:c>
      <x:c r="AG240">
        <x:f>2.215255</x:f>
        <x:v>2.215255</x:v>
      </x:c>
    </x:row>
    <x:row r="241" spans="1:33" x14ac:dyDescent="0.25">
      <x:c r="A241" t="str">
        <x:f>"        ProShares Short Financials"</x:f>
        <x:v xml:space="preserve">        ProShares Short Financials</x:v>
      </x:c>
      <x:c r="B241" t="str">
        <x:f>"SEF US Equity"</x:f>
        <x:v>SEF US Equity</x:v>
      </x:c>
      <x:c r="E241" t="str">
        <x:f t="shared" si="8"/>
        <x:v>Expression</x:v>
      </x:c>
      <x:c r="F241">
        <x:f ca="1">IF(AND($B$1012=1,LEN($F$1245)&gt;0),$F$1245,HLOOKUP(INDIRECT(ADDRESS(2,COLUMN())),OFFSET($T$2,0,0,ROW()-1,14),ROW()-1,FALSE))</x:f>
        <x:v>-3.1098849999999998</x:v>
      </x:c>
      <x:c r="G241">
        <x:f ca="1">IF(AND($B$1012=1,LEN($G$1245)&gt;0),$G$1245,HLOOKUP(INDIRECT(ADDRESS(2,COLUMN())),OFFSET($T$2,0,0,ROW()-1,14),ROW()-1,FALSE))</x:f>
        <x:v>-1.3866350000000001</x:v>
      </x:c>
      <x:c r="H241">
        <x:f ca="1">IF(AND($B$1012=1,LEN($H$1245)&gt;0),$H$1245,HLOOKUP(INDIRECT(ADDRESS(2,COLUMN())),OFFSET($T$2,0,0,ROW()-1,14),ROW()-1,FALSE))</x:f>
        <x:v>-0.64197000000000004</x:v>
      </x:c>
      <x:c r="I241">
        <x:f ca="1">IF(AND($B$1012=1,LEN($I$1245)&gt;0),$I$1245,HLOOKUP(INDIRECT(ADDRESS(2,COLUMN())),OFFSET($T$2,0,0,ROW()-1,14),ROW()-1,FALSE))</x:f>
        <x:v>-1.959635</x:v>
      </x:c>
      <x:c r="J241">
        <x:f ca="1">IF(AND($B$1012=1,LEN($J$1245)&gt;0),$J$1245,HLOOKUP(INDIRECT(ADDRESS(2,COLUMN())),OFFSET($T$2,0,0,ROW()-1,14),ROW()-1,FALSE))</x:f>
        <x:v>-8.6805199999999996</x:v>
      </x:c>
      <x:c r="K241">
        <x:f ca="1">IF(AND($B$1012=1,LEN($K$1245)&gt;0),$K$1245,HLOOKUP(INDIRECT(ADDRESS(2,COLUMN())),OFFSET($T$2,0,0,ROW()-1,14),ROW()-1,FALSE))</x:f>
        <x:v>-1.2714449999999999</x:v>
      </x:c>
      <x:c r="L241">
        <x:f ca="1">IF(AND($B$1012=1,LEN($L$1245)&gt;0),$L$1245,HLOOKUP(INDIRECT(ADDRESS(2,COLUMN())),OFFSET($T$2,0,0,ROW()-1,14),ROW()-1,FALSE))</x:f>
        <x:v>0.54484999999999995</x:v>
      </x:c>
      <x:c r="M241">
        <x:f ca="1">IF(AND($B$1012=1,LEN($M$1245)&gt;0),$M$1245,HLOOKUP(INDIRECT(ADDRESS(2,COLUMN())),OFFSET($T$2,0,0,ROW()-1,14),ROW()-1,FALSE))</x:f>
        <x:v>1.760815</x:v>
      </x:c>
      <x:c r="N241">
        <x:f ca="1">IF(AND($B$1012=1,LEN($N$1245)&gt;0),$N$1245,HLOOKUP(INDIRECT(ADDRESS(2,COLUMN())),OFFSET($T$2,0,0,ROW()-1,14),ROW()-1,FALSE))</x:f>
        <x:v>10.846885</x:v>
      </x:c>
      <x:c r="O241">
        <x:f ca="1">IF(AND($B$1012=1,LEN($O$1245)&gt;0),$O$1245,HLOOKUP(INDIRECT(ADDRESS(2,COLUMN())),OFFSET($T$2,0,0,ROW()-1,14),ROW()-1,FALSE))</x:f>
        <x:v>-2.4151449999999999</x:v>
      </x:c>
      <x:c r="P241">
        <x:f ca="1">IF(AND($B$1012=1,LEN($P$1245)&gt;0),$P$1245,HLOOKUP(INDIRECT(ADDRESS(2,COLUMN())),OFFSET($T$2,0,0,ROW()-1,14),ROW()-1,FALSE))</x:f>
        <x:v>0.62988</x:v>
      </x:c>
      <x:c r="Q241">
        <x:f ca="1">IF(AND($B$1012=1,LEN($Q$1245)&gt;0),$Q$1245,HLOOKUP(INDIRECT(ADDRESS(2,COLUMN())),OFFSET($T$2,0,0,ROW()-1,14),ROW()-1,FALSE))</x:f>
        <x:v>0.60595500000000002</x:v>
      </x:c>
      <x:c r="R241">
        <x:f ca="1">IF(AND($B$1012=1,LEN($R$1245)&gt;0),$R$1245,HLOOKUP(INDIRECT(ADDRESS(2,COLUMN())),OFFSET($T$2,0,0,ROW()-1,14),ROW()-1,FALSE))</x:f>
        <x:v>-4.323645</x:v>
      </x:c>
      <x:c r="S241">
        <x:f ca="1">IF(AND($B$1012=1,LEN($S$1245)&gt;0),$S$1245,HLOOKUP(INDIRECT(ADDRESS(2,COLUMN())),OFFSET($T$2,0,0,ROW()-1,14),ROW()-1,FALSE))</x:f>
        <x:v>3.5607549999999999</x:v>
      </x:c>
      <x:c r="T241">
        <x:f>-3.109885</x:f>
        <x:v>-3.1098849999999998</x:v>
      </x:c>
      <x:c r="U241">
        <x:f>-1.386635</x:f>
        <x:v>-1.3866350000000001</x:v>
      </x:c>
      <x:c r="V241">
        <x:f>-0.64197</x:f>
        <x:v>-0.64197000000000004</x:v>
      </x:c>
      <x:c r="W241">
        <x:f>-1.959635</x:f>
        <x:v>-1.959635</x:v>
      </x:c>
      <x:c r="X241">
        <x:f>-8.68052</x:f>
        <x:v>-8.6805199999999996</x:v>
      </x:c>
      <x:c r="Y241">
        <x:f>-1.271445</x:f>
        <x:v>-1.2714449999999999</x:v>
      </x:c>
      <x:c r="Z241">
        <x:f>0.54485</x:f>
        <x:v>0.54484999999999995</x:v>
      </x:c>
      <x:c r="AA241">
        <x:f>1.760815</x:f>
        <x:v>1.760815</x:v>
      </x:c>
      <x:c r="AB241">
        <x:f>10.846885</x:f>
        <x:v>10.846885</x:v>
      </x:c>
      <x:c r="AC241">
        <x:f>-2.415145</x:f>
        <x:v>-2.4151449999999999</x:v>
      </x:c>
      <x:c r="AD241">
        <x:f>0.62988</x:f>
        <x:v>0.62988</x:v>
      </x:c>
      <x:c r="AE241">
        <x:f>0.605955</x:f>
        <x:v>0.60595500000000002</x:v>
      </x:c>
      <x:c r="AF241">
        <x:f>-4.323645</x:f>
        <x:v>-4.323645</x:v>
      </x:c>
      <x:c r="AG241">
        <x:f>3.560755</x:f>
        <x:v>3.5607549999999999</x:v>
      </x:c>
    </x:row>
    <x:row r="242" spans="1:33" x14ac:dyDescent="0.25">
      <x:c r="A242" t="str">
        <x:f>"        ProShares UltraPro Financial S"</x:f>
        <x:v xml:space="preserve">        ProShares UltraPro Financial S</x:v>
      </x:c>
      <x:c r="B242" t="str">
        <x:f>"1848835D US Equity"</x:f>
        <x:v>1848835D US Equity</x:v>
      </x:c>
      <x:c r="E242" t="str">
        <x:f t="shared" si="8"/>
        <x:v>Expression</x:v>
      </x:c>
      <x:c r="F242" t="str">
        <x:f ca="1">IF(AND($B$1012=1,LEN($F$1246)&gt;0),$F$1246,HLOOKUP(INDIRECT(ADDRESS(2,COLUMN())),OFFSET($T$2,0,0,ROW()-1,14),ROW()-1,FALSE))</x:f>
        <x:v/>
      </x:c>
      <x:c r="G242" t="str">
        <x:f ca="1">IF(AND($B$1012=1,LEN($G$1246)&gt;0),$G$1246,HLOOKUP(INDIRECT(ADDRESS(2,COLUMN())),OFFSET($T$2,0,0,ROW()-1,14),ROW()-1,FALSE))</x:f>
        <x:v/>
      </x:c>
      <x:c r="H242" t="str">
        <x:f ca="1">IF(AND($B$1012=1,LEN($H$1246)&gt;0),$H$1246,HLOOKUP(INDIRECT(ADDRESS(2,COLUMN())),OFFSET($T$2,0,0,ROW()-1,14),ROW()-1,FALSE))</x:f>
        <x:v/>
      </x:c>
      <x:c r="I242" t="str">
        <x:f ca="1">IF(AND($B$1012=1,LEN($I$1246)&gt;0),$I$1246,HLOOKUP(INDIRECT(ADDRESS(2,COLUMN())),OFFSET($T$2,0,0,ROW()-1,14),ROW()-1,FALSE))</x:f>
        <x:v/>
      </x:c>
      <x:c r="J242" t="str">
        <x:f ca="1">IF(AND($B$1012=1,LEN($J$1246)&gt;0),$J$1246,HLOOKUP(INDIRECT(ADDRESS(2,COLUMN())),OFFSET($T$2,0,0,ROW()-1,14),ROW()-1,FALSE))</x:f>
        <x:v/>
      </x:c>
      <x:c r="K242" t="str">
        <x:f ca="1">IF(AND($B$1012=1,LEN($K$1246)&gt;0),$K$1246,HLOOKUP(INDIRECT(ADDRESS(2,COLUMN())),OFFSET($T$2,0,0,ROW()-1,14),ROW()-1,FALSE))</x:f>
        <x:v/>
      </x:c>
      <x:c r="L242" t="str">
        <x:f ca="1">IF(AND($B$1012=1,LEN($L$1246)&gt;0),$L$1246,HLOOKUP(INDIRECT(ADDRESS(2,COLUMN())),OFFSET($T$2,0,0,ROW()-1,14),ROW()-1,FALSE))</x:f>
        <x:v/>
      </x:c>
      <x:c r="M242" t="str">
        <x:f ca="1">IF(AND($B$1012=1,LEN($M$1246)&gt;0),$M$1246,HLOOKUP(INDIRECT(ADDRESS(2,COLUMN())),OFFSET($T$2,0,0,ROW()-1,14),ROW()-1,FALSE))</x:f>
        <x:v/>
      </x:c>
      <x:c r="N242" t="str">
        <x:f ca="1">IF(AND($B$1012=1,LEN($N$1246)&gt;0),$N$1246,HLOOKUP(INDIRECT(ADDRESS(2,COLUMN())),OFFSET($T$2,0,0,ROW()-1,14),ROW()-1,FALSE))</x:f>
        <x:v/>
      </x:c>
      <x:c r="O242" t="str">
        <x:f ca="1">IF(AND($B$1012=1,LEN($O$1246)&gt;0),$O$1246,HLOOKUP(INDIRECT(ADDRESS(2,COLUMN())),OFFSET($T$2,0,0,ROW()-1,14),ROW()-1,FALSE))</x:f>
        <x:v/>
      </x:c>
      <x:c r="P242" t="str">
        <x:f ca="1">IF(AND($B$1012=1,LEN($P$1246)&gt;0),$P$1246,HLOOKUP(INDIRECT(ADDRESS(2,COLUMN())),OFFSET($T$2,0,0,ROW()-1,14),ROW()-1,FALSE))</x:f>
        <x:v/>
      </x:c>
      <x:c r="Q242" t="str">
        <x:f ca="1">IF(AND($B$1012=1,LEN($Q$1246)&gt;0),$Q$1246,HLOOKUP(INDIRECT(ADDRESS(2,COLUMN())),OFFSET($T$2,0,0,ROW()-1,14),ROW()-1,FALSE))</x:f>
        <x:v/>
      </x:c>
      <x:c r="R242" t="str">
        <x:f ca="1">IF(AND($B$1012=1,LEN($R$1246)&gt;0),$R$1246,HLOOKUP(INDIRECT(ADDRESS(2,COLUMN())),OFFSET($T$2,0,0,ROW()-1,14),ROW()-1,FALSE))</x:f>
        <x:v/>
      </x:c>
      <x:c r="S242" t="str">
        <x:f ca="1">IF(AND($B$1012=1,LEN($S$1246)&gt;0),$S$1246,HLOOKUP(INDIRECT(ADDRESS(2,COLUMN())),OFFSET($T$2,0,0,ROW()-1,14),ROW()-1,FALSE))</x:f>
        <x:v/>
      </x:c>
      <x:c r="T242" t="str">
        <x:f>""</x:f>
        <x:v/>
      </x:c>
      <x:c r="U242" t="str">
        <x:f>""</x:f>
        <x:v/>
      </x:c>
      <x:c r="V242" t="str">
        <x:f>""</x:f>
        <x:v/>
      </x:c>
      <x:c r="W242" t="str">
        <x:f>""</x:f>
        <x:v/>
      </x:c>
      <x:c r="X242" t="str">
        <x:f>""</x:f>
        <x:v/>
      </x:c>
      <x:c r="Y242" t="str">
        <x:f>""</x:f>
        <x:v/>
      </x:c>
      <x:c r="Z242" t="str">
        <x:f>""</x:f>
        <x:v/>
      </x:c>
      <x:c r="AA242" t="str">
        <x:f>""</x:f>
        <x:v/>
      </x:c>
      <x:c r="AB242" t="str">
        <x:f>""</x:f>
        <x:v/>
      </x:c>
      <x:c r="AC242" t="str">
        <x:f>""</x:f>
        <x:v/>
      </x:c>
      <x:c r="AD242" t="str">
        <x:f>""</x:f>
        <x:v/>
      </x:c>
      <x:c r="AE242" t="str">
        <x:f>""</x:f>
        <x:v/>
      </x:c>
      <x:c r="AF242" t="str">
        <x:f>""</x:f>
        <x:v/>
      </x:c>
      <x:c r="AG242" t="str">
        <x:f>""</x:f>
        <x:v/>
      </x:c>
    </x:row>
    <x:row r="243" spans="1:33" x14ac:dyDescent="0.25">
      <x:c r="A243" t="str">
        <x:f>"        ProShares Ultra S&amp;P Regional B"</x:f>
        <x:v xml:space="preserve">        ProShares Ultra S&amp;P Regional B</x:v>
      </x:c>
      <x:c r="B243" t="str">
        <x:f>"KRU US Equity"</x:f>
        <x:v>KRU US Equity</x:v>
      </x:c>
      <x:c r="E243" t="str">
        <x:f t="shared" si="8"/>
        <x:v>Expression</x:v>
      </x:c>
      <x:c r="F243" t="str">
        <x:f ca="1">IF(AND($B$1012=1,LEN($F$1247)&gt;0),$F$1247,HLOOKUP(INDIRECT(ADDRESS(2,COLUMN())),OFFSET($T$2,0,0,ROW()-1,14),ROW()-1,FALSE))</x:f>
        <x:v/>
      </x:c>
      <x:c r="G243" t="str">
        <x:f ca="1">IF(AND($B$1012=1,LEN($G$1247)&gt;0),$G$1247,HLOOKUP(INDIRECT(ADDRESS(2,COLUMN())),OFFSET($T$2,0,0,ROW()-1,14),ROW()-1,FALSE))</x:f>
        <x:v/>
      </x:c>
      <x:c r="H243" t="str">
        <x:f ca="1">IF(AND($B$1012=1,LEN($H$1247)&gt;0),$H$1247,HLOOKUP(INDIRECT(ADDRESS(2,COLUMN())),OFFSET($T$2,0,0,ROW()-1,14),ROW()-1,FALSE))</x:f>
        <x:v/>
      </x:c>
      <x:c r="I243" t="str">
        <x:f ca="1">IF(AND($B$1012=1,LEN($I$1247)&gt;0),$I$1247,HLOOKUP(INDIRECT(ADDRESS(2,COLUMN())),OFFSET($T$2,0,0,ROW()-1,14),ROW()-1,FALSE))</x:f>
        <x:v/>
      </x:c>
      <x:c r="J243" t="str">
        <x:f ca="1">IF(AND($B$1012=1,LEN($J$1247)&gt;0),$J$1247,HLOOKUP(INDIRECT(ADDRESS(2,COLUMN())),OFFSET($T$2,0,0,ROW()-1,14),ROW()-1,FALSE))</x:f>
        <x:v/>
      </x:c>
      <x:c r="K243" t="str">
        <x:f ca="1">IF(AND($B$1012=1,LEN($K$1247)&gt;0),$K$1247,HLOOKUP(INDIRECT(ADDRESS(2,COLUMN())),OFFSET($T$2,0,0,ROW()-1,14),ROW()-1,FALSE))</x:f>
        <x:v/>
      </x:c>
      <x:c r="L243" t="str">
        <x:f ca="1">IF(AND($B$1012=1,LEN($L$1247)&gt;0),$L$1247,HLOOKUP(INDIRECT(ADDRESS(2,COLUMN())),OFFSET($T$2,0,0,ROW()-1,14),ROW()-1,FALSE))</x:f>
        <x:v/>
      </x:c>
      <x:c r="M243" t="str">
        <x:f ca="1">IF(AND($B$1012=1,LEN($M$1247)&gt;0),$M$1247,HLOOKUP(INDIRECT(ADDRESS(2,COLUMN())),OFFSET($T$2,0,0,ROW()-1,14),ROW()-1,FALSE))</x:f>
        <x:v/>
      </x:c>
      <x:c r="N243" t="str">
        <x:f ca="1">IF(AND($B$1012=1,LEN($N$1247)&gt;0),$N$1247,HLOOKUP(INDIRECT(ADDRESS(2,COLUMN())),OFFSET($T$2,0,0,ROW()-1,14),ROW()-1,FALSE))</x:f>
        <x:v/>
      </x:c>
      <x:c r="O243" t="str">
        <x:f ca="1">IF(AND($B$1012=1,LEN($O$1247)&gt;0),$O$1247,HLOOKUP(INDIRECT(ADDRESS(2,COLUMN())),OFFSET($T$2,0,0,ROW()-1,14),ROW()-1,FALSE))</x:f>
        <x:v/>
      </x:c>
      <x:c r="P243" t="str">
        <x:f ca="1">IF(AND($B$1012=1,LEN($P$1247)&gt;0),$P$1247,HLOOKUP(INDIRECT(ADDRESS(2,COLUMN())),OFFSET($T$2,0,0,ROW()-1,14),ROW()-1,FALSE))</x:f>
        <x:v/>
      </x:c>
      <x:c r="Q243" t="str">
        <x:f ca="1">IF(AND($B$1012=1,LEN($Q$1247)&gt;0),$Q$1247,HLOOKUP(INDIRECT(ADDRESS(2,COLUMN())),OFFSET($T$2,0,0,ROW()-1,14),ROW()-1,FALSE))</x:f>
        <x:v/>
      </x:c>
      <x:c r="R243" t="str">
        <x:f ca="1">IF(AND($B$1012=1,LEN($R$1247)&gt;0),$R$1247,HLOOKUP(INDIRECT(ADDRESS(2,COLUMN())),OFFSET($T$2,0,0,ROW()-1,14),ROW()-1,FALSE))</x:f>
        <x:v/>
      </x:c>
      <x:c r="S243" t="str">
        <x:f ca="1">IF(AND($B$1012=1,LEN($S$1247)&gt;0),$S$1247,HLOOKUP(INDIRECT(ADDRESS(2,COLUMN())),OFFSET($T$2,0,0,ROW()-1,14),ROW()-1,FALSE))</x:f>
        <x:v/>
      </x:c>
      <x:c r="T243" t="str">
        <x:f>""</x:f>
        <x:v/>
      </x:c>
      <x:c r="U243" t="str">
        <x:f>""</x:f>
        <x:v/>
      </x:c>
      <x:c r="V243" t="str">
        <x:f>""</x:f>
        <x:v/>
      </x:c>
      <x:c r="W243" t="str">
        <x:f>""</x:f>
        <x:v/>
      </x:c>
      <x:c r="X243" t="str">
        <x:f>""</x:f>
        <x:v/>
      </x:c>
      <x:c r="Y243" t="str">
        <x:f>""</x:f>
        <x:v/>
      </x:c>
      <x:c r="Z243" t="str">
        <x:f>""</x:f>
        <x:v/>
      </x:c>
      <x:c r="AA243" t="str">
        <x:f>""</x:f>
        <x:v/>
      </x:c>
      <x:c r="AB243" t="str">
        <x:f>""</x:f>
        <x:v/>
      </x:c>
      <x:c r="AC243" t="str">
        <x:f>""</x:f>
        <x:v/>
      </x:c>
      <x:c r="AD243" t="str">
        <x:f>""</x:f>
        <x:v/>
      </x:c>
      <x:c r="AE243" t="str">
        <x:f>""</x:f>
        <x:v/>
      </x:c>
      <x:c r="AF243" t="str">
        <x:f>""</x:f>
        <x:v/>
      </x:c>
      <x:c r="AG243" t="str">
        <x:f>""</x:f>
        <x:v/>
      </x:c>
    </x:row>
    <x:row r="244" spans="1:33" x14ac:dyDescent="0.25">
      <x:c r="A244" t="str">
        <x:f>"        SPDR S&amp;P International Financi"</x:f>
        <x:v xml:space="preserve">        SPDR S&amp;P International Financi</x:v>
      </x:c>
      <x:c r="B244" t="str">
        <x:f>"IPF US Equity"</x:f>
        <x:v>IPF US Equity</x:v>
      </x:c>
      <x:c r="E244" t="str">
        <x:f t="shared" si="8"/>
        <x:v>Expression</x:v>
      </x:c>
      <x:c r="F244" t="str">
        <x:f ca="1">IF(AND($B$1012=1,LEN($F$1248)&gt;0),$F$1248,HLOOKUP(INDIRECT(ADDRESS(2,COLUMN())),OFFSET($T$2,0,0,ROW()-1,14),ROW()-1,FALSE))</x:f>
        <x:v/>
      </x:c>
      <x:c r="G244" t="str">
        <x:f ca="1">IF(AND($B$1012=1,LEN($G$1248)&gt;0),$G$1248,HLOOKUP(INDIRECT(ADDRESS(2,COLUMN())),OFFSET($T$2,0,0,ROW()-1,14),ROW()-1,FALSE))</x:f>
        <x:v/>
      </x:c>
      <x:c r="H244" t="str">
        <x:f ca="1">IF(AND($B$1012=1,LEN($H$1248)&gt;0),$H$1248,HLOOKUP(INDIRECT(ADDRESS(2,COLUMN())),OFFSET($T$2,0,0,ROW()-1,14),ROW()-1,FALSE))</x:f>
        <x:v/>
      </x:c>
      <x:c r="I244" t="str">
        <x:f ca="1">IF(AND($B$1012=1,LEN($I$1248)&gt;0),$I$1248,HLOOKUP(INDIRECT(ADDRESS(2,COLUMN())),OFFSET($T$2,0,0,ROW()-1,14),ROW()-1,FALSE))</x:f>
        <x:v/>
      </x:c>
      <x:c r="J244" t="str">
        <x:f ca="1">IF(AND($B$1012=1,LEN($J$1248)&gt;0),$J$1248,HLOOKUP(INDIRECT(ADDRESS(2,COLUMN())),OFFSET($T$2,0,0,ROW()-1,14),ROW()-1,FALSE))</x:f>
        <x:v/>
      </x:c>
      <x:c r="K244" t="str">
        <x:f ca="1">IF(AND($B$1012=1,LEN($K$1248)&gt;0),$K$1248,HLOOKUP(INDIRECT(ADDRESS(2,COLUMN())),OFFSET($T$2,0,0,ROW()-1,14),ROW()-1,FALSE))</x:f>
        <x:v/>
      </x:c>
      <x:c r="L244" t="str">
        <x:f ca="1">IF(AND($B$1012=1,LEN($L$1248)&gt;0),$L$1248,HLOOKUP(INDIRECT(ADDRESS(2,COLUMN())),OFFSET($T$2,0,0,ROW()-1,14),ROW()-1,FALSE))</x:f>
        <x:v/>
      </x:c>
      <x:c r="M244" t="str">
        <x:f ca="1">IF(AND($B$1012=1,LEN($M$1248)&gt;0),$M$1248,HLOOKUP(INDIRECT(ADDRESS(2,COLUMN())),OFFSET($T$2,0,0,ROW()-1,14),ROW()-1,FALSE))</x:f>
        <x:v/>
      </x:c>
      <x:c r="N244" t="str">
        <x:f ca="1">IF(AND($B$1012=1,LEN($N$1248)&gt;0),$N$1248,HLOOKUP(INDIRECT(ADDRESS(2,COLUMN())),OFFSET($T$2,0,0,ROW()-1,14),ROW()-1,FALSE))</x:f>
        <x:v/>
      </x:c>
      <x:c r="O244" t="str">
        <x:f ca="1">IF(AND($B$1012=1,LEN($O$1248)&gt;0),$O$1248,HLOOKUP(INDIRECT(ADDRESS(2,COLUMN())),OFFSET($T$2,0,0,ROW()-1,14),ROW()-1,FALSE))</x:f>
        <x:v/>
      </x:c>
      <x:c r="P244" t="str">
        <x:f ca="1">IF(AND($B$1012=1,LEN($P$1248)&gt;0),$P$1248,HLOOKUP(INDIRECT(ADDRESS(2,COLUMN())),OFFSET($T$2,0,0,ROW()-1,14),ROW()-1,FALSE))</x:f>
        <x:v/>
      </x:c>
      <x:c r="Q244" t="str">
        <x:f ca="1">IF(AND($B$1012=1,LEN($Q$1248)&gt;0),$Q$1248,HLOOKUP(INDIRECT(ADDRESS(2,COLUMN())),OFFSET($T$2,0,0,ROW()-1,14),ROW()-1,FALSE))</x:f>
        <x:v/>
      </x:c>
      <x:c r="R244" t="str">
        <x:f ca="1">IF(AND($B$1012=1,LEN($R$1248)&gt;0),$R$1248,HLOOKUP(INDIRECT(ADDRESS(2,COLUMN())),OFFSET($T$2,0,0,ROW()-1,14),ROW()-1,FALSE))</x:f>
        <x:v/>
      </x:c>
      <x:c r="S244" t="str">
        <x:f ca="1">IF(AND($B$1012=1,LEN($S$1248)&gt;0),$S$1248,HLOOKUP(INDIRECT(ADDRESS(2,COLUMN())),OFFSET($T$2,0,0,ROW()-1,14),ROW()-1,FALSE))</x:f>
        <x:v/>
      </x:c>
      <x:c r="T244" t="str">
        <x:f>""</x:f>
        <x:v/>
      </x:c>
      <x:c r="U244" t="str">
        <x:f>""</x:f>
        <x:v/>
      </x:c>
      <x:c r="V244" t="str">
        <x:f>""</x:f>
        <x:v/>
      </x:c>
      <x:c r="W244" t="str">
        <x:f>""</x:f>
        <x:v/>
      </x:c>
      <x:c r="X244" t="str">
        <x:f>""</x:f>
        <x:v/>
      </x:c>
      <x:c r="Y244" t="str">
        <x:f>""</x:f>
        <x:v/>
      </x:c>
      <x:c r="Z244" t="str">
        <x:f>""</x:f>
        <x:v/>
      </x:c>
      <x:c r="AA244" t="str">
        <x:f>""</x:f>
        <x:v/>
      </x:c>
      <x:c r="AB244" t="str">
        <x:f>""</x:f>
        <x:v/>
      </x:c>
      <x:c r="AC244" t="str">
        <x:f>""</x:f>
        <x:v/>
      </x:c>
      <x:c r="AD244" t="str">
        <x:f>""</x:f>
        <x:v/>
      </x:c>
      <x:c r="AE244" t="str">
        <x:f>""</x:f>
        <x:v/>
      </x:c>
      <x:c r="AF244" t="str">
        <x:f>""</x:f>
        <x:v/>
      </x:c>
      <x:c r="AG244" t="str">
        <x:f>""</x:f>
        <x:v/>
      </x:c>
    </x:row>
    <x:row r="245" spans="1:33" x14ac:dyDescent="0.25">
      <x:c r="A245" t="str">
        <x:f>"        Direxion Shares Etf Trust-Dire"</x:f>
        <x:v xml:space="preserve">        Direxion Shares Etf Trust-Dire</x:v>
      </x:c>
      <x:c r="B245" t="str">
        <x:f>"WDRW US Equity"</x:f>
        <x:v>WDRW US Equity</x:v>
      </x:c>
      <x:c r="E245" t="str">
        <x:f t="shared" si="8"/>
        <x:v>Expression</x:v>
      </x:c>
      <x:c r="F245" t="str">
        <x:f ca="1">IF(AND($B$1012=1,LEN($F$1249)&gt;0),$F$1249,HLOOKUP(INDIRECT(ADDRESS(2,COLUMN())),OFFSET($T$2,0,0,ROW()-1,14),ROW()-1,FALSE))</x:f>
        <x:v/>
      </x:c>
      <x:c r="G245" t="str">
        <x:f ca="1">IF(AND($B$1012=1,LEN($G$1249)&gt;0),$G$1249,HLOOKUP(INDIRECT(ADDRESS(2,COLUMN())),OFFSET($T$2,0,0,ROW()-1,14),ROW()-1,FALSE))</x:f>
        <x:v/>
      </x:c>
      <x:c r="H245" t="str">
        <x:f ca="1">IF(AND($B$1012=1,LEN($H$1249)&gt;0),$H$1249,HLOOKUP(INDIRECT(ADDRESS(2,COLUMN())),OFFSET($T$2,0,0,ROW()-1,14),ROW()-1,FALSE))</x:f>
        <x:v/>
      </x:c>
      <x:c r="I245" t="str">
        <x:f ca="1">IF(AND($B$1012=1,LEN($I$1249)&gt;0),$I$1249,HLOOKUP(INDIRECT(ADDRESS(2,COLUMN())),OFFSET($T$2,0,0,ROW()-1,14),ROW()-1,FALSE))</x:f>
        <x:v/>
      </x:c>
      <x:c r="J245" t="str">
        <x:f ca="1">IF(AND($B$1012=1,LEN($J$1249)&gt;0),$J$1249,HLOOKUP(INDIRECT(ADDRESS(2,COLUMN())),OFFSET($T$2,0,0,ROW()-1,14),ROW()-1,FALSE))</x:f>
        <x:v/>
      </x:c>
      <x:c r="K245" t="str">
        <x:f ca="1">IF(AND($B$1012=1,LEN($K$1249)&gt;0),$K$1249,HLOOKUP(INDIRECT(ADDRESS(2,COLUMN())),OFFSET($T$2,0,0,ROW()-1,14),ROW()-1,FALSE))</x:f>
        <x:v/>
      </x:c>
      <x:c r="L245" t="str">
        <x:f ca="1">IF(AND($B$1012=1,LEN($L$1249)&gt;0),$L$1249,HLOOKUP(INDIRECT(ADDRESS(2,COLUMN())),OFFSET($T$2,0,0,ROW()-1,14),ROW()-1,FALSE))</x:f>
        <x:v/>
      </x:c>
      <x:c r="M245" t="str">
        <x:f ca="1">IF(AND($B$1012=1,LEN($M$1249)&gt;0),$M$1249,HLOOKUP(INDIRECT(ADDRESS(2,COLUMN())),OFFSET($T$2,0,0,ROW()-1,14),ROW()-1,FALSE))</x:f>
        <x:v/>
      </x:c>
      <x:c r="N245" t="str">
        <x:f ca="1">IF(AND($B$1012=1,LEN($N$1249)&gt;0),$N$1249,HLOOKUP(INDIRECT(ADDRESS(2,COLUMN())),OFFSET($T$2,0,0,ROW()-1,14),ROW()-1,FALSE))</x:f>
        <x:v/>
      </x:c>
      <x:c r="O245" t="str">
        <x:f ca="1">IF(AND($B$1012=1,LEN($O$1249)&gt;0),$O$1249,HLOOKUP(INDIRECT(ADDRESS(2,COLUMN())),OFFSET($T$2,0,0,ROW()-1,14),ROW()-1,FALSE))</x:f>
        <x:v/>
      </x:c>
      <x:c r="P245" t="str">
        <x:f ca="1">IF(AND($B$1012=1,LEN($P$1249)&gt;0),$P$1249,HLOOKUP(INDIRECT(ADDRESS(2,COLUMN())),OFFSET($T$2,0,0,ROW()-1,14),ROW()-1,FALSE))</x:f>
        <x:v/>
      </x:c>
      <x:c r="Q245" t="str">
        <x:f ca="1">IF(AND($B$1012=1,LEN($Q$1249)&gt;0),$Q$1249,HLOOKUP(INDIRECT(ADDRESS(2,COLUMN())),OFFSET($T$2,0,0,ROW()-1,14),ROW()-1,FALSE))</x:f>
        <x:v/>
      </x:c>
      <x:c r="R245" t="str">
        <x:f ca="1">IF(AND($B$1012=1,LEN($R$1249)&gt;0),$R$1249,HLOOKUP(INDIRECT(ADDRESS(2,COLUMN())),OFFSET($T$2,0,0,ROW()-1,14),ROW()-1,FALSE))</x:f>
        <x:v/>
      </x:c>
      <x:c r="S245" t="str">
        <x:f ca="1">IF(AND($B$1012=1,LEN($S$1249)&gt;0),$S$1249,HLOOKUP(INDIRECT(ADDRESS(2,COLUMN())),OFFSET($T$2,0,0,ROW()-1,14),ROW()-1,FALSE))</x:f>
        <x:v/>
      </x:c>
      <x:c r="T245" t="str">
        <x:f>""</x:f>
        <x:v/>
      </x:c>
      <x:c r="U245" t="str">
        <x:f>""</x:f>
        <x:v/>
      </x:c>
      <x:c r="V245" t="str">
        <x:f>""</x:f>
        <x:v/>
      </x:c>
      <x:c r="W245" t="str">
        <x:f>""</x:f>
        <x:v/>
      </x:c>
      <x:c r="X245" t="str">
        <x:f>""</x:f>
        <x:v/>
      </x:c>
      <x:c r="Y245" t="str">
        <x:f>""</x:f>
        <x:v/>
      </x:c>
      <x:c r="Z245" t="str">
        <x:f>""</x:f>
        <x:v/>
      </x:c>
      <x:c r="AA245" t="str">
        <x:f>""</x:f>
        <x:v/>
      </x:c>
      <x:c r="AB245" t="str">
        <x:f>""</x:f>
        <x:v/>
      </x:c>
      <x:c r="AC245" t="str">
        <x:f>""</x:f>
        <x:v/>
      </x:c>
      <x:c r="AD245" t="str">
        <x:f>""</x:f>
        <x:v/>
      </x:c>
      <x:c r="AE245" t="str">
        <x:f>""</x:f>
        <x:v/>
      </x:c>
      <x:c r="AF245" t="str">
        <x:f>""</x:f>
        <x:v/>
      </x:c>
      <x:c r="AG245" t="str">
        <x:f>""</x:f>
        <x:v/>
      </x:c>
    </x:row>
    <x:row r="246" spans="1:33" x14ac:dyDescent="0.25">
      <x:c r="A246" t="str">
        <x:f>"        Direxion Daily European Financ"</x:f>
        <x:v xml:space="preserve">        Direxion Daily European Financ</x:v>
      </x:c>
      <x:c r="B246" t="str">
        <x:f>"EUFL US Equity"</x:f>
        <x:v>EUFL US Equity</x:v>
      </x:c>
      <x:c r="E246" t="str">
        <x:f t="shared" si="8"/>
        <x:v>Expression</x:v>
      </x:c>
      <x:c r="F246" t="str">
        <x:f ca="1">IF(AND($B$1012=1,LEN($F$1250)&gt;0),$F$1250,HLOOKUP(INDIRECT(ADDRESS(2,COLUMN())),OFFSET($T$2,0,0,ROW()-1,14),ROW()-1,FALSE))</x:f>
        <x:v/>
      </x:c>
      <x:c r="G246" t="str">
        <x:f ca="1">IF(AND($B$1012=1,LEN($G$1250)&gt;0),$G$1250,HLOOKUP(INDIRECT(ADDRESS(2,COLUMN())),OFFSET($T$2,0,0,ROW()-1,14),ROW()-1,FALSE))</x:f>
        <x:v/>
      </x:c>
      <x:c r="H246" t="str">
        <x:f ca="1">IF(AND($B$1012=1,LEN($H$1250)&gt;0),$H$1250,HLOOKUP(INDIRECT(ADDRESS(2,COLUMN())),OFFSET($T$2,0,0,ROW()-1,14),ROW()-1,FALSE))</x:f>
        <x:v/>
      </x:c>
      <x:c r="I246" t="str">
        <x:f ca="1">IF(AND($B$1012=1,LEN($I$1250)&gt;0),$I$1250,HLOOKUP(INDIRECT(ADDRESS(2,COLUMN())),OFFSET($T$2,0,0,ROW()-1,14),ROW()-1,FALSE))</x:f>
        <x:v/>
      </x:c>
      <x:c r="J246" t="str">
        <x:f ca="1">IF(AND($B$1012=1,LEN($J$1250)&gt;0),$J$1250,HLOOKUP(INDIRECT(ADDRESS(2,COLUMN())),OFFSET($T$2,0,0,ROW()-1,14),ROW()-1,FALSE))</x:f>
        <x:v/>
      </x:c>
      <x:c r="K246" t="str">
        <x:f ca="1">IF(AND($B$1012=1,LEN($K$1250)&gt;0),$K$1250,HLOOKUP(INDIRECT(ADDRESS(2,COLUMN())),OFFSET($T$2,0,0,ROW()-1,14),ROW()-1,FALSE))</x:f>
        <x:v/>
      </x:c>
      <x:c r="L246" t="str">
        <x:f ca="1">IF(AND($B$1012=1,LEN($L$1250)&gt;0),$L$1250,HLOOKUP(INDIRECT(ADDRESS(2,COLUMN())),OFFSET($T$2,0,0,ROW()-1,14),ROW()-1,FALSE))</x:f>
        <x:v/>
      </x:c>
      <x:c r="M246" t="str">
        <x:f ca="1">IF(AND($B$1012=1,LEN($M$1250)&gt;0),$M$1250,HLOOKUP(INDIRECT(ADDRESS(2,COLUMN())),OFFSET($T$2,0,0,ROW()-1,14),ROW()-1,FALSE))</x:f>
        <x:v/>
      </x:c>
      <x:c r="N246" t="str">
        <x:f ca="1">IF(AND($B$1012=1,LEN($N$1250)&gt;0),$N$1250,HLOOKUP(INDIRECT(ADDRESS(2,COLUMN())),OFFSET($T$2,0,0,ROW()-1,14),ROW()-1,FALSE))</x:f>
        <x:v/>
      </x:c>
      <x:c r="O246" t="str">
        <x:f ca="1">IF(AND($B$1012=1,LEN($O$1250)&gt;0),$O$1250,HLOOKUP(INDIRECT(ADDRESS(2,COLUMN())),OFFSET($T$2,0,0,ROW()-1,14),ROW()-1,FALSE))</x:f>
        <x:v/>
      </x:c>
      <x:c r="P246" t="str">
        <x:f ca="1">IF(AND($B$1012=1,LEN($P$1250)&gt;0),$P$1250,HLOOKUP(INDIRECT(ADDRESS(2,COLUMN())),OFFSET($T$2,0,0,ROW()-1,14),ROW()-1,FALSE))</x:f>
        <x:v/>
      </x:c>
      <x:c r="Q246" t="str">
        <x:f ca="1">IF(AND($B$1012=1,LEN($Q$1250)&gt;0),$Q$1250,HLOOKUP(INDIRECT(ADDRESS(2,COLUMN())),OFFSET($T$2,0,0,ROW()-1,14),ROW()-1,FALSE))</x:f>
        <x:v/>
      </x:c>
      <x:c r="R246" t="str">
        <x:f ca="1">IF(AND($B$1012=1,LEN($R$1250)&gt;0),$R$1250,HLOOKUP(INDIRECT(ADDRESS(2,COLUMN())),OFFSET($T$2,0,0,ROW()-1,14),ROW()-1,FALSE))</x:f>
        <x:v/>
      </x:c>
      <x:c r="S246" t="str">
        <x:f ca="1">IF(AND($B$1012=1,LEN($S$1250)&gt;0),$S$1250,HLOOKUP(INDIRECT(ADDRESS(2,COLUMN())),OFFSET($T$2,0,0,ROW()-1,14),ROW()-1,FALSE))</x:f>
        <x:v/>
      </x:c>
      <x:c r="T246" t="str">
        <x:f>""</x:f>
        <x:v/>
      </x:c>
      <x:c r="U246" t="str">
        <x:f>""</x:f>
        <x:v/>
      </x:c>
      <x:c r="V246" t="str">
        <x:f>""</x:f>
        <x:v/>
      </x:c>
      <x:c r="W246" t="str">
        <x:f>""</x:f>
        <x:v/>
      </x:c>
      <x:c r="X246" t="str">
        <x:f>""</x:f>
        <x:v/>
      </x:c>
      <x:c r="Y246" t="str">
        <x:f>""</x:f>
        <x:v/>
      </x:c>
      <x:c r="Z246" t="str">
        <x:f>""</x:f>
        <x:v/>
      </x:c>
      <x:c r="AA246" t="str">
        <x:f>""</x:f>
        <x:v/>
      </x:c>
      <x:c r="AB246" t="str">
        <x:f>""</x:f>
        <x:v/>
      </x:c>
      <x:c r="AC246" t="str">
        <x:f>""</x:f>
        <x:v/>
      </x:c>
      <x:c r="AD246" t="str">
        <x:f>""</x:f>
        <x:v/>
      </x:c>
      <x:c r="AE246" t="str">
        <x:f>""</x:f>
        <x:v/>
      </x:c>
      <x:c r="AF246" t="str">
        <x:f>""</x:f>
        <x:v/>
      </x:c>
      <x:c r="AG246" t="str">
        <x:f>""</x:f>
        <x:v/>
      </x:c>
    </x:row>
    <x:row r="247" spans="1:33" x14ac:dyDescent="0.25">
      <x:c r="A247" t="str">
        <x:f>"        iShares Edge MSCI Multifactor"</x:f>
        <x:v xml:space="preserve">        iShares Edge MSCI Multifactor</x:v>
      </x:c>
      <x:c r="B247" t="str">
        <x:f>"FNCF US Equity"</x:f>
        <x:v>FNCF US Equity</x:v>
      </x:c>
      <x:c r="E247" t="str">
        <x:f t="shared" si="8"/>
        <x:v>Expression</x:v>
      </x:c>
      <x:c r="F247" t="str">
        <x:f ca="1">IF(AND($B$1012=1,LEN($F$1251)&gt;0),$F$1251,HLOOKUP(INDIRECT(ADDRESS(2,COLUMN())),OFFSET($T$2,0,0,ROW()-1,14),ROW()-1,FALSE))</x:f>
        <x:v/>
      </x:c>
      <x:c r="G247" t="str">
        <x:f ca="1">IF(AND($B$1012=1,LEN($G$1251)&gt;0),$G$1251,HLOOKUP(INDIRECT(ADDRESS(2,COLUMN())),OFFSET($T$2,0,0,ROW()-1,14),ROW()-1,FALSE))</x:f>
        <x:v/>
      </x:c>
      <x:c r="H247" t="str">
        <x:f ca="1">IF(AND($B$1012=1,LEN($H$1251)&gt;0),$H$1251,HLOOKUP(INDIRECT(ADDRESS(2,COLUMN())),OFFSET($T$2,0,0,ROW()-1,14),ROW()-1,FALSE))</x:f>
        <x:v/>
      </x:c>
      <x:c r="I247" t="str">
        <x:f ca="1">IF(AND($B$1012=1,LEN($I$1251)&gt;0),$I$1251,HLOOKUP(INDIRECT(ADDRESS(2,COLUMN())),OFFSET($T$2,0,0,ROW()-1,14),ROW()-1,FALSE))</x:f>
        <x:v/>
      </x:c>
      <x:c r="J247" t="str">
        <x:f ca="1">IF(AND($B$1012=1,LEN($J$1251)&gt;0),$J$1251,HLOOKUP(INDIRECT(ADDRESS(2,COLUMN())),OFFSET($T$2,0,0,ROW()-1,14),ROW()-1,FALSE))</x:f>
        <x:v/>
      </x:c>
      <x:c r="K247" t="str">
        <x:f ca="1">IF(AND($B$1012=1,LEN($K$1251)&gt;0),$K$1251,HLOOKUP(INDIRECT(ADDRESS(2,COLUMN())),OFFSET($T$2,0,0,ROW()-1,14),ROW()-1,FALSE))</x:f>
        <x:v/>
      </x:c>
      <x:c r="L247" t="str">
        <x:f ca="1">IF(AND($B$1012=1,LEN($L$1251)&gt;0),$L$1251,HLOOKUP(INDIRECT(ADDRESS(2,COLUMN())),OFFSET($T$2,0,0,ROW()-1,14),ROW()-1,FALSE))</x:f>
        <x:v/>
      </x:c>
      <x:c r="M247" t="str">
        <x:f ca="1">IF(AND($B$1012=1,LEN($M$1251)&gt;0),$M$1251,HLOOKUP(INDIRECT(ADDRESS(2,COLUMN())),OFFSET($T$2,0,0,ROW()-1,14),ROW()-1,FALSE))</x:f>
        <x:v/>
      </x:c>
      <x:c r="N247" t="str">
        <x:f ca="1">IF(AND($B$1012=1,LEN($N$1251)&gt;0),$N$1251,HLOOKUP(INDIRECT(ADDRESS(2,COLUMN())),OFFSET($T$2,0,0,ROW()-1,14),ROW()-1,FALSE))</x:f>
        <x:v/>
      </x:c>
      <x:c r="O247" t="str">
        <x:f ca="1">IF(AND($B$1012=1,LEN($O$1251)&gt;0),$O$1251,HLOOKUP(INDIRECT(ADDRESS(2,COLUMN())),OFFSET($T$2,0,0,ROW()-1,14),ROW()-1,FALSE))</x:f>
        <x:v/>
      </x:c>
      <x:c r="P247" t="str">
        <x:f ca="1">IF(AND($B$1012=1,LEN($P$1251)&gt;0),$P$1251,HLOOKUP(INDIRECT(ADDRESS(2,COLUMN())),OFFSET($T$2,0,0,ROW()-1,14),ROW()-1,FALSE))</x:f>
        <x:v/>
      </x:c>
      <x:c r="Q247" t="str">
        <x:f ca="1">IF(AND($B$1012=1,LEN($Q$1251)&gt;0),$Q$1251,HLOOKUP(INDIRECT(ADDRESS(2,COLUMN())),OFFSET($T$2,0,0,ROW()-1,14),ROW()-1,FALSE))</x:f>
        <x:v/>
      </x:c>
      <x:c r="R247" t="str">
        <x:f ca="1">IF(AND($B$1012=1,LEN($R$1251)&gt;0),$R$1251,HLOOKUP(INDIRECT(ADDRESS(2,COLUMN())),OFFSET($T$2,0,0,ROW()-1,14),ROW()-1,FALSE))</x:f>
        <x:v/>
      </x:c>
      <x:c r="S247" t="str">
        <x:f ca="1">IF(AND($B$1012=1,LEN($S$1251)&gt;0),$S$1251,HLOOKUP(INDIRECT(ADDRESS(2,COLUMN())),OFFSET($T$2,0,0,ROW()-1,14),ROW()-1,FALSE))</x:f>
        <x:v/>
      </x:c>
      <x:c r="T247" t="str">
        <x:f>""</x:f>
        <x:v/>
      </x:c>
      <x:c r="U247" t="str">
        <x:f>""</x:f>
        <x:v/>
      </x:c>
      <x:c r="V247" t="str">
        <x:f>""</x:f>
        <x:v/>
      </x:c>
      <x:c r="W247" t="str">
        <x:f>""</x:f>
        <x:v/>
      </x:c>
      <x:c r="X247" t="str">
        <x:f>""</x:f>
        <x:v/>
      </x:c>
      <x:c r="Y247" t="str">
        <x:f>""</x:f>
        <x:v/>
      </x:c>
      <x:c r="Z247" t="str">
        <x:f>""</x:f>
        <x:v/>
      </x:c>
      <x:c r="AA247" t="str">
        <x:f>""</x:f>
        <x:v/>
      </x:c>
      <x:c r="AB247" t="str">
        <x:f>""</x:f>
        <x:v/>
      </x:c>
      <x:c r="AC247" t="str">
        <x:f>""</x:f>
        <x:v/>
      </x:c>
      <x:c r="AD247" t="str">
        <x:f>""</x:f>
        <x:v/>
      </x:c>
      <x:c r="AE247" t="str">
        <x:f>""</x:f>
        <x:v/>
      </x:c>
      <x:c r="AF247" t="str">
        <x:f>""</x:f>
        <x:v/>
      </x:c>
      <x:c r="AG247" t="str">
        <x:f>""</x:f>
        <x:v/>
      </x:c>
    </x:row>
    <x:row r="248" spans="1:33" x14ac:dyDescent="0.25">
      <x:c r="A248" t="str">
        <x:f>"        ProShares UltraPro Short Finan"</x:f>
        <x:v xml:space="preserve">        ProShares UltraPro Short Finan</x:v>
      </x:c>
      <x:c r="B248" t="str">
        <x:f>"FINZ US Equity"</x:f>
        <x:v>FINZ US Equity</x:v>
      </x:c>
      <x:c r="E248" t="str">
        <x:f t="shared" si="8"/>
        <x:v>Expression</x:v>
      </x:c>
      <x:c r="F248" t="str">
        <x:f ca="1">IF(AND($B$1012=1,LEN($F$1252)&gt;0),$F$1252,HLOOKUP(INDIRECT(ADDRESS(2,COLUMN())),OFFSET($T$2,0,0,ROW()-1,14),ROW()-1,FALSE))</x:f>
        <x:v/>
      </x:c>
      <x:c r="G248" t="str">
        <x:f ca="1">IF(AND($B$1012=1,LEN($G$1252)&gt;0),$G$1252,HLOOKUP(INDIRECT(ADDRESS(2,COLUMN())),OFFSET($T$2,0,0,ROW()-1,14),ROW()-1,FALSE))</x:f>
        <x:v/>
      </x:c>
      <x:c r="H248" t="str">
        <x:f ca="1">IF(AND($B$1012=1,LEN($H$1252)&gt;0),$H$1252,HLOOKUP(INDIRECT(ADDRESS(2,COLUMN())),OFFSET($T$2,0,0,ROW()-1,14),ROW()-1,FALSE))</x:f>
        <x:v/>
      </x:c>
      <x:c r="I248" t="str">
        <x:f ca="1">IF(AND($B$1012=1,LEN($I$1252)&gt;0),$I$1252,HLOOKUP(INDIRECT(ADDRESS(2,COLUMN())),OFFSET($T$2,0,0,ROW()-1,14),ROW()-1,FALSE))</x:f>
        <x:v/>
      </x:c>
      <x:c r="J248" t="str">
        <x:f ca="1">IF(AND($B$1012=1,LEN($J$1252)&gt;0),$J$1252,HLOOKUP(INDIRECT(ADDRESS(2,COLUMN())),OFFSET($T$2,0,0,ROW()-1,14),ROW()-1,FALSE))</x:f>
        <x:v/>
      </x:c>
      <x:c r="K248" t="str">
        <x:f ca="1">IF(AND($B$1012=1,LEN($K$1252)&gt;0),$K$1252,HLOOKUP(INDIRECT(ADDRESS(2,COLUMN())),OFFSET($T$2,0,0,ROW()-1,14),ROW()-1,FALSE))</x:f>
        <x:v/>
      </x:c>
      <x:c r="L248" t="str">
        <x:f ca="1">IF(AND($B$1012=1,LEN($L$1252)&gt;0),$L$1252,HLOOKUP(INDIRECT(ADDRESS(2,COLUMN())),OFFSET($T$2,0,0,ROW()-1,14),ROW()-1,FALSE))</x:f>
        <x:v/>
      </x:c>
      <x:c r="M248" t="str">
        <x:f ca="1">IF(AND($B$1012=1,LEN($M$1252)&gt;0),$M$1252,HLOOKUP(INDIRECT(ADDRESS(2,COLUMN())),OFFSET($T$2,0,0,ROW()-1,14),ROW()-1,FALSE))</x:f>
        <x:v/>
      </x:c>
      <x:c r="N248" t="str">
        <x:f ca="1">IF(AND($B$1012=1,LEN($N$1252)&gt;0),$N$1252,HLOOKUP(INDIRECT(ADDRESS(2,COLUMN())),OFFSET($T$2,0,0,ROW()-1,14),ROW()-1,FALSE))</x:f>
        <x:v/>
      </x:c>
      <x:c r="O248" t="str">
        <x:f ca="1">IF(AND($B$1012=1,LEN($O$1252)&gt;0),$O$1252,HLOOKUP(INDIRECT(ADDRESS(2,COLUMN())),OFFSET($T$2,0,0,ROW()-1,14),ROW()-1,FALSE))</x:f>
        <x:v/>
      </x:c>
      <x:c r="P248" t="str">
        <x:f ca="1">IF(AND($B$1012=1,LEN($P$1252)&gt;0),$P$1252,HLOOKUP(INDIRECT(ADDRESS(2,COLUMN())),OFFSET($T$2,0,0,ROW()-1,14),ROW()-1,FALSE))</x:f>
        <x:v/>
      </x:c>
      <x:c r="Q248" t="str">
        <x:f ca="1">IF(AND($B$1012=1,LEN($Q$1252)&gt;0),$Q$1252,HLOOKUP(INDIRECT(ADDRESS(2,COLUMN())),OFFSET($T$2,0,0,ROW()-1,14),ROW()-1,FALSE))</x:f>
        <x:v/>
      </x:c>
      <x:c r="R248" t="str">
        <x:f ca="1">IF(AND($B$1012=1,LEN($R$1252)&gt;0),$R$1252,HLOOKUP(INDIRECT(ADDRESS(2,COLUMN())),OFFSET($T$2,0,0,ROW()-1,14),ROW()-1,FALSE))</x:f>
        <x:v/>
      </x:c>
      <x:c r="S248" t="str">
        <x:f ca="1">IF(AND($B$1012=1,LEN($S$1252)&gt;0),$S$1252,HLOOKUP(INDIRECT(ADDRESS(2,COLUMN())),OFFSET($T$2,0,0,ROW()-1,14),ROW()-1,FALSE))</x:f>
        <x:v/>
      </x:c>
      <x:c r="T248" t="str">
        <x:f>""</x:f>
        <x:v/>
      </x:c>
      <x:c r="U248" t="str">
        <x:f>""</x:f>
        <x:v/>
      </x:c>
      <x:c r="V248" t="str">
        <x:f>""</x:f>
        <x:v/>
      </x:c>
      <x:c r="W248" t="str">
        <x:f>""</x:f>
        <x:v/>
      </x:c>
      <x:c r="X248" t="str">
        <x:f>""</x:f>
        <x:v/>
      </x:c>
      <x:c r="Y248" t="str">
        <x:f>""</x:f>
        <x:v/>
      </x:c>
      <x:c r="Z248" t="str">
        <x:f>""</x:f>
        <x:v/>
      </x:c>
      <x:c r="AA248" t="str">
        <x:f>""</x:f>
        <x:v/>
      </x:c>
      <x:c r="AB248" t="str">
        <x:f>""</x:f>
        <x:v/>
      </x:c>
      <x:c r="AC248" t="str">
        <x:f>""</x:f>
        <x:v/>
      </x:c>
      <x:c r="AD248" t="str">
        <x:f>""</x:f>
        <x:v/>
      </x:c>
      <x:c r="AE248" t="str">
        <x:f>""</x:f>
        <x:v/>
      </x:c>
      <x:c r="AF248" t="str">
        <x:f>""</x:f>
        <x:v/>
      </x:c>
      <x:c r="AG248" t="str">
        <x:f>""</x:f>
        <x:v/>
      </x:c>
    </x:row>
    <x:row r="249" spans="1:33" x14ac:dyDescent="0.25">
      <x:c r="A249" t="str">
        <x:f>"        Direxion Shares Etf Trust-Dire"</x:f>
        <x:v xml:space="preserve">        Direxion Shares Etf Trust-Dire</x:v>
      </x:c>
      <x:c r="B249" t="str">
        <x:f>"FAZZ US Equity"</x:f>
        <x:v>FAZZ US Equity</x:v>
      </x:c>
      <x:c r="E249" t="str">
        <x:f t="shared" si="8"/>
        <x:v>Expression</x:v>
      </x:c>
      <x:c r="F249" t="str">
        <x:f ca="1">IF(AND($B$1012=1,LEN($F$1253)&gt;0),$F$1253,HLOOKUP(INDIRECT(ADDRESS(2,COLUMN())),OFFSET($T$2,0,0,ROW()-1,14),ROW()-1,FALSE))</x:f>
        <x:v/>
      </x:c>
      <x:c r="G249" t="str">
        <x:f ca="1">IF(AND($B$1012=1,LEN($G$1253)&gt;0),$G$1253,HLOOKUP(INDIRECT(ADDRESS(2,COLUMN())),OFFSET($T$2,0,0,ROW()-1,14),ROW()-1,FALSE))</x:f>
        <x:v/>
      </x:c>
      <x:c r="H249" t="str">
        <x:f ca="1">IF(AND($B$1012=1,LEN($H$1253)&gt;0),$H$1253,HLOOKUP(INDIRECT(ADDRESS(2,COLUMN())),OFFSET($T$2,0,0,ROW()-1,14),ROW()-1,FALSE))</x:f>
        <x:v/>
      </x:c>
      <x:c r="I249" t="str">
        <x:f ca="1">IF(AND($B$1012=1,LEN($I$1253)&gt;0),$I$1253,HLOOKUP(INDIRECT(ADDRESS(2,COLUMN())),OFFSET($T$2,0,0,ROW()-1,14),ROW()-1,FALSE))</x:f>
        <x:v/>
      </x:c>
      <x:c r="J249" t="str">
        <x:f ca="1">IF(AND($B$1012=1,LEN($J$1253)&gt;0),$J$1253,HLOOKUP(INDIRECT(ADDRESS(2,COLUMN())),OFFSET($T$2,0,0,ROW()-1,14),ROW()-1,FALSE))</x:f>
        <x:v/>
      </x:c>
      <x:c r="K249" t="str">
        <x:f ca="1">IF(AND($B$1012=1,LEN($K$1253)&gt;0),$K$1253,HLOOKUP(INDIRECT(ADDRESS(2,COLUMN())),OFFSET($T$2,0,0,ROW()-1,14),ROW()-1,FALSE))</x:f>
        <x:v/>
      </x:c>
      <x:c r="L249" t="str">
        <x:f ca="1">IF(AND($B$1012=1,LEN($L$1253)&gt;0),$L$1253,HLOOKUP(INDIRECT(ADDRESS(2,COLUMN())),OFFSET($T$2,0,0,ROW()-1,14),ROW()-1,FALSE))</x:f>
        <x:v/>
      </x:c>
      <x:c r="M249" t="str">
        <x:f ca="1">IF(AND($B$1012=1,LEN($M$1253)&gt;0),$M$1253,HLOOKUP(INDIRECT(ADDRESS(2,COLUMN())),OFFSET($T$2,0,0,ROW()-1,14),ROW()-1,FALSE))</x:f>
        <x:v/>
      </x:c>
      <x:c r="N249" t="str">
        <x:f ca="1">IF(AND($B$1012=1,LEN($N$1253)&gt;0),$N$1253,HLOOKUP(INDIRECT(ADDRESS(2,COLUMN())),OFFSET($T$2,0,0,ROW()-1,14),ROW()-1,FALSE))</x:f>
        <x:v/>
      </x:c>
      <x:c r="O249" t="str">
        <x:f ca="1">IF(AND($B$1012=1,LEN($O$1253)&gt;0),$O$1253,HLOOKUP(INDIRECT(ADDRESS(2,COLUMN())),OFFSET($T$2,0,0,ROW()-1,14),ROW()-1,FALSE))</x:f>
        <x:v/>
      </x:c>
      <x:c r="P249" t="str">
        <x:f ca="1">IF(AND($B$1012=1,LEN($P$1253)&gt;0),$P$1253,HLOOKUP(INDIRECT(ADDRESS(2,COLUMN())),OFFSET($T$2,0,0,ROW()-1,14),ROW()-1,FALSE))</x:f>
        <x:v/>
      </x:c>
      <x:c r="Q249" t="str">
        <x:f ca="1">IF(AND($B$1012=1,LEN($Q$1253)&gt;0),$Q$1253,HLOOKUP(INDIRECT(ADDRESS(2,COLUMN())),OFFSET($T$2,0,0,ROW()-1,14),ROW()-1,FALSE))</x:f>
        <x:v/>
      </x:c>
      <x:c r="R249" t="str">
        <x:f ca="1">IF(AND($B$1012=1,LEN($R$1253)&gt;0),$R$1253,HLOOKUP(INDIRECT(ADDRESS(2,COLUMN())),OFFSET($T$2,0,0,ROW()-1,14),ROW()-1,FALSE))</x:f>
        <x:v/>
      </x:c>
      <x:c r="S249" t="str">
        <x:f ca="1">IF(AND($B$1012=1,LEN($S$1253)&gt;0),$S$1253,HLOOKUP(INDIRECT(ADDRESS(2,COLUMN())),OFFSET($T$2,0,0,ROW()-1,14),ROW()-1,FALSE))</x:f>
        <x:v/>
      </x:c>
      <x:c r="T249" t="str">
        <x:f>""</x:f>
        <x:v/>
      </x:c>
      <x:c r="U249" t="str">
        <x:f>""</x:f>
        <x:v/>
      </x:c>
      <x:c r="V249" t="str">
        <x:f>""</x:f>
        <x:v/>
      </x:c>
      <x:c r="W249" t="str">
        <x:f>""</x:f>
        <x:v/>
      </x:c>
      <x:c r="X249" t="str">
        <x:f>""</x:f>
        <x:v/>
      </x:c>
      <x:c r="Y249" t="str">
        <x:f>""</x:f>
        <x:v/>
      </x:c>
      <x:c r="Z249" t="str">
        <x:f>""</x:f>
        <x:v/>
      </x:c>
      <x:c r="AA249" t="str">
        <x:f>""</x:f>
        <x:v/>
      </x:c>
      <x:c r="AB249" t="str">
        <x:f>""</x:f>
        <x:v/>
      </x:c>
      <x:c r="AC249" t="str">
        <x:f>""</x:f>
        <x:v/>
      </x:c>
      <x:c r="AD249" t="str">
        <x:f>""</x:f>
        <x:v/>
      </x:c>
      <x:c r="AE249" t="str">
        <x:f>""</x:f>
        <x:v/>
      </x:c>
      <x:c r="AF249" t="str">
        <x:f>""</x:f>
        <x:v/>
      </x:c>
      <x:c r="AG249" t="str">
        <x:f>""</x:f>
        <x:v/>
      </x:c>
    </x:row>
    <x:row r="250" spans="1:33" x14ac:dyDescent="0.25">
      <x:c r="A250" t="str">
        <x:f>"        Direxion Daily European Financ"</x:f>
        <x:v xml:space="preserve">        Direxion Daily European Financ</x:v>
      </x:c>
      <x:c r="B250" t="str">
        <x:f>"EUFS US Equity"</x:f>
        <x:v>EUFS US Equity</x:v>
      </x:c>
      <x:c r="E250" t="str">
        <x:f t="shared" si="8"/>
        <x:v>Expression</x:v>
      </x:c>
      <x:c r="F250" t="str">
        <x:f ca="1">IF(AND($B$1012=1,LEN($F$1254)&gt;0),$F$1254,HLOOKUP(INDIRECT(ADDRESS(2,COLUMN())),OFFSET($T$2,0,0,ROW()-1,14),ROW()-1,FALSE))</x:f>
        <x:v/>
      </x:c>
      <x:c r="G250" t="str">
        <x:f ca="1">IF(AND($B$1012=1,LEN($G$1254)&gt;0),$G$1254,HLOOKUP(INDIRECT(ADDRESS(2,COLUMN())),OFFSET($T$2,0,0,ROW()-1,14),ROW()-1,FALSE))</x:f>
        <x:v/>
      </x:c>
      <x:c r="H250" t="str">
        <x:f ca="1">IF(AND($B$1012=1,LEN($H$1254)&gt;0),$H$1254,HLOOKUP(INDIRECT(ADDRESS(2,COLUMN())),OFFSET($T$2,0,0,ROW()-1,14),ROW()-1,FALSE))</x:f>
        <x:v/>
      </x:c>
      <x:c r="I250" t="str">
        <x:f ca="1">IF(AND($B$1012=1,LEN($I$1254)&gt;0),$I$1254,HLOOKUP(INDIRECT(ADDRESS(2,COLUMN())),OFFSET($T$2,0,0,ROW()-1,14),ROW()-1,FALSE))</x:f>
        <x:v/>
      </x:c>
      <x:c r="J250" t="str">
        <x:f ca="1">IF(AND($B$1012=1,LEN($J$1254)&gt;0),$J$1254,HLOOKUP(INDIRECT(ADDRESS(2,COLUMN())),OFFSET($T$2,0,0,ROW()-1,14),ROW()-1,FALSE))</x:f>
        <x:v/>
      </x:c>
      <x:c r="K250" t="str">
        <x:f ca="1">IF(AND($B$1012=1,LEN($K$1254)&gt;0),$K$1254,HLOOKUP(INDIRECT(ADDRESS(2,COLUMN())),OFFSET($T$2,0,0,ROW()-1,14),ROW()-1,FALSE))</x:f>
        <x:v/>
      </x:c>
      <x:c r="L250" t="str">
        <x:f ca="1">IF(AND($B$1012=1,LEN($L$1254)&gt;0),$L$1254,HLOOKUP(INDIRECT(ADDRESS(2,COLUMN())),OFFSET($T$2,0,0,ROW()-1,14),ROW()-1,FALSE))</x:f>
        <x:v/>
      </x:c>
      <x:c r="M250" t="str">
        <x:f ca="1">IF(AND($B$1012=1,LEN($M$1254)&gt;0),$M$1254,HLOOKUP(INDIRECT(ADDRESS(2,COLUMN())),OFFSET($T$2,0,0,ROW()-1,14),ROW()-1,FALSE))</x:f>
        <x:v/>
      </x:c>
      <x:c r="N250" t="str">
        <x:f ca="1">IF(AND($B$1012=1,LEN($N$1254)&gt;0),$N$1254,HLOOKUP(INDIRECT(ADDRESS(2,COLUMN())),OFFSET($T$2,0,0,ROW()-1,14),ROW()-1,FALSE))</x:f>
        <x:v/>
      </x:c>
      <x:c r="O250" t="str">
        <x:f ca="1">IF(AND($B$1012=1,LEN($O$1254)&gt;0),$O$1254,HLOOKUP(INDIRECT(ADDRESS(2,COLUMN())),OFFSET($T$2,0,0,ROW()-1,14),ROW()-1,FALSE))</x:f>
        <x:v/>
      </x:c>
      <x:c r="P250" t="str">
        <x:f ca="1">IF(AND($B$1012=1,LEN($P$1254)&gt;0),$P$1254,HLOOKUP(INDIRECT(ADDRESS(2,COLUMN())),OFFSET($T$2,0,0,ROW()-1,14),ROW()-1,FALSE))</x:f>
        <x:v/>
      </x:c>
      <x:c r="Q250" t="str">
        <x:f ca="1">IF(AND($B$1012=1,LEN($Q$1254)&gt;0),$Q$1254,HLOOKUP(INDIRECT(ADDRESS(2,COLUMN())),OFFSET($T$2,0,0,ROW()-1,14),ROW()-1,FALSE))</x:f>
        <x:v/>
      </x:c>
      <x:c r="R250" t="str">
        <x:f ca="1">IF(AND($B$1012=1,LEN($R$1254)&gt;0),$R$1254,HLOOKUP(INDIRECT(ADDRESS(2,COLUMN())),OFFSET($T$2,0,0,ROW()-1,14),ROW()-1,FALSE))</x:f>
        <x:v/>
      </x:c>
      <x:c r="S250" t="str">
        <x:f ca="1">IF(AND($B$1012=1,LEN($S$1254)&gt;0),$S$1254,HLOOKUP(INDIRECT(ADDRESS(2,COLUMN())),OFFSET($T$2,0,0,ROW()-1,14),ROW()-1,FALSE))</x:f>
        <x:v/>
      </x:c>
      <x:c r="T250" t="str">
        <x:f>""</x:f>
        <x:v/>
      </x:c>
      <x:c r="U250" t="str">
        <x:f>""</x:f>
        <x:v/>
      </x:c>
      <x:c r="V250" t="str">
        <x:f>""</x:f>
        <x:v/>
      </x:c>
      <x:c r="W250" t="str">
        <x:f>""</x:f>
        <x:v/>
      </x:c>
      <x:c r="X250" t="str">
        <x:f>""</x:f>
        <x:v/>
      </x:c>
      <x:c r="Y250" t="str">
        <x:f>""</x:f>
        <x:v/>
      </x:c>
      <x:c r="Z250" t="str">
        <x:f>""</x:f>
        <x:v/>
      </x:c>
      <x:c r="AA250" t="str">
        <x:f>""</x:f>
        <x:v/>
      </x:c>
      <x:c r="AB250" t="str">
        <x:f>""</x:f>
        <x:v/>
      </x:c>
      <x:c r="AC250" t="str">
        <x:f>""</x:f>
        <x:v/>
      </x:c>
      <x:c r="AD250" t="str">
        <x:f>""</x:f>
        <x:v/>
      </x:c>
      <x:c r="AE250" t="str">
        <x:f>""</x:f>
        <x:v/>
      </x:c>
      <x:c r="AF250" t="str">
        <x:f>""</x:f>
        <x:v/>
      </x:c>
      <x:c r="AG250" t="str">
        <x:f>""</x:f>
        <x:v/>
      </x:c>
    </x:row>
    <x:row r="251" spans="1:33" x14ac:dyDescent="0.25">
      <x:c r="A251" t="str">
        <x:f>"        ProShares Short S&amp;P Regional B"</x:f>
        <x:v xml:space="preserve">        ProShares Short S&amp;P Regional B</x:v>
      </x:c>
      <x:c r="B251" t="str">
        <x:f>"KRS US Equity"</x:f>
        <x:v>KRS US Equity</x:v>
      </x:c>
      <x:c r="E251" t="str">
        <x:f t="shared" si="8"/>
        <x:v>Expression</x:v>
      </x:c>
      <x:c r="F251" t="str">
        <x:f ca="1">IF(AND($B$1012=1,LEN($F$1255)&gt;0),$F$1255,HLOOKUP(INDIRECT(ADDRESS(2,COLUMN())),OFFSET($T$2,0,0,ROW()-1,14),ROW()-1,FALSE))</x:f>
        <x:v/>
      </x:c>
      <x:c r="G251" t="str">
        <x:f ca="1">IF(AND($B$1012=1,LEN($G$1255)&gt;0),$G$1255,HLOOKUP(INDIRECT(ADDRESS(2,COLUMN())),OFFSET($T$2,0,0,ROW()-1,14),ROW()-1,FALSE))</x:f>
        <x:v/>
      </x:c>
      <x:c r="H251" t="str">
        <x:f ca="1">IF(AND($B$1012=1,LEN($H$1255)&gt;0),$H$1255,HLOOKUP(INDIRECT(ADDRESS(2,COLUMN())),OFFSET($T$2,0,0,ROW()-1,14),ROW()-1,FALSE))</x:f>
        <x:v/>
      </x:c>
      <x:c r="I251" t="str">
        <x:f ca="1">IF(AND($B$1012=1,LEN($I$1255)&gt;0),$I$1255,HLOOKUP(INDIRECT(ADDRESS(2,COLUMN())),OFFSET($T$2,0,0,ROW()-1,14),ROW()-1,FALSE))</x:f>
        <x:v/>
      </x:c>
      <x:c r="J251" t="str">
        <x:f ca="1">IF(AND($B$1012=1,LEN($J$1255)&gt;0),$J$1255,HLOOKUP(INDIRECT(ADDRESS(2,COLUMN())),OFFSET($T$2,0,0,ROW()-1,14),ROW()-1,FALSE))</x:f>
        <x:v/>
      </x:c>
      <x:c r="K251" t="str">
        <x:f ca="1">IF(AND($B$1012=1,LEN($K$1255)&gt;0),$K$1255,HLOOKUP(INDIRECT(ADDRESS(2,COLUMN())),OFFSET($T$2,0,0,ROW()-1,14),ROW()-1,FALSE))</x:f>
        <x:v/>
      </x:c>
      <x:c r="L251" t="str">
        <x:f ca="1">IF(AND($B$1012=1,LEN($L$1255)&gt;0),$L$1255,HLOOKUP(INDIRECT(ADDRESS(2,COLUMN())),OFFSET($T$2,0,0,ROW()-1,14),ROW()-1,FALSE))</x:f>
        <x:v/>
      </x:c>
      <x:c r="M251" t="str">
        <x:f ca="1">IF(AND($B$1012=1,LEN($M$1255)&gt;0),$M$1255,HLOOKUP(INDIRECT(ADDRESS(2,COLUMN())),OFFSET($T$2,0,0,ROW()-1,14),ROW()-1,FALSE))</x:f>
        <x:v/>
      </x:c>
      <x:c r="N251" t="str">
        <x:f ca="1">IF(AND($B$1012=1,LEN($N$1255)&gt;0),$N$1255,HLOOKUP(INDIRECT(ADDRESS(2,COLUMN())),OFFSET($T$2,0,0,ROW()-1,14),ROW()-1,FALSE))</x:f>
        <x:v/>
      </x:c>
      <x:c r="O251" t="str">
        <x:f ca="1">IF(AND($B$1012=1,LEN($O$1255)&gt;0),$O$1255,HLOOKUP(INDIRECT(ADDRESS(2,COLUMN())),OFFSET($T$2,0,0,ROW()-1,14),ROW()-1,FALSE))</x:f>
        <x:v/>
      </x:c>
      <x:c r="P251" t="str">
        <x:f ca="1">IF(AND($B$1012=1,LEN($P$1255)&gt;0),$P$1255,HLOOKUP(INDIRECT(ADDRESS(2,COLUMN())),OFFSET($T$2,0,0,ROW()-1,14),ROW()-1,FALSE))</x:f>
        <x:v/>
      </x:c>
      <x:c r="Q251" t="str">
        <x:f ca="1">IF(AND($B$1012=1,LEN($Q$1255)&gt;0),$Q$1255,HLOOKUP(INDIRECT(ADDRESS(2,COLUMN())),OFFSET($T$2,0,0,ROW()-1,14),ROW()-1,FALSE))</x:f>
        <x:v/>
      </x:c>
      <x:c r="R251" t="str">
        <x:f ca="1">IF(AND($B$1012=1,LEN($R$1255)&gt;0),$R$1255,HLOOKUP(INDIRECT(ADDRESS(2,COLUMN())),OFFSET($T$2,0,0,ROW()-1,14),ROW()-1,FALSE))</x:f>
        <x:v/>
      </x:c>
      <x:c r="S251" t="str">
        <x:f ca="1">IF(AND($B$1012=1,LEN($S$1255)&gt;0),$S$1255,HLOOKUP(INDIRECT(ADDRESS(2,COLUMN())),OFFSET($T$2,0,0,ROW()-1,14),ROW()-1,FALSE))</x:f>
        <x:v/>
      </x:c>
      <x:c r="T251" t="str">
        <x:f>""</x:f>
        <x:v/>
      </x:c>
      <x:c r="U251" t="str">
        <x:f>""</x:f>
        <x:v/>
      </x:c>
      <x:c r="V251" t="str">
        <x:f>""</x:f>
        <x:v/>
      </x:c>
      <x:c r="W251" t="str">
        <x:f>""</x:f>
        <x:v/>
      </x:c>
      <x:c r="X251" t="str">
        <x:f>""</x:f>
        <x:v/>
      </x:c>
      <x:c r="Y251" t="str">
        <x:f>""</x:f>
        <x:v/>
      </x:c>
      <x:c r="Z251" t="str">
        <x:f>""</x:f>
        <x:v/>
      </x:c>
      <x:c r="AA251" t="str">
        <x:f>""</x:f>
        <x:v/>
      </x:c>
      <x:c r="AB251" t="str">
        <x:f>""</x:f>
        <x:v/>
      </x:c>
      <x:c r="AC251" t="str">
        <x:f>""</x:f>
        <x:v/>
      </x:c>
      <x:c r="AD251" t="str">
        <x:f>""</x:f>
        <x:v/>
      </x:c>
      <x:c r="AE251" t="str">
        <x:f>""</x:f>
        <x:v/>
      </x:c>
      <x:c r="AF251" t="str">
        <x:f>""</x:f>
        <x:v/>
      </x:c>
      <x:c r="AG251" t="str">
        <x:f>""</x:f>
        <x:v/>
      </x:c>
    </x:row>
    <x:row r="252" spans="1:33" x14ac:dyDescent="0.25">
      <x:c r="A252" t="str">
        <x:f>"        ETF Industry Exposure &amp; Financ"</x:f>
        <x:v xml:space="preserve">        ETF Industry Exposure &amp; Financ</x:v>
      </x:c>
      <x:c r="B252" t="str">
        <x:f>"TETF US Equity"</x:f>
        <x:v>TETF US Equity</x:v>
      </x:c>
      <x:c r="E252" t="str">
        <x:f t="shared" si="8"/>
        <x:v>Expression</x:v>
      </x:c>
      <x:c r="F252" t="str">
        <x:f ca="1">IF(AND($B$1012=1,LEN($F$1256)&gt;0),$F$1256,HLOOKUP(INDIRECT(ADDRESS(2,COLUMN())),OFFSET($T$2,0,0,ROW()-1,14),ROW()-1,FALSE))</x:f>
        <x:v/>
      </x:c>
      <x:c r="G252" t="str">
        <x:f ca="1">IF(AND($B$1012=1,LEN($G$1256)&gt;0),$G$1256,HLOOKUP(INDIRECT(ADDRESS(2,COLUMN())),OFFSET($T$2,0,0,ROW()-1,14),ROW()-1,FALSE))</x:f>
        <x:v/>
      </x:c>
      <x:c r="H252" t="str">
        <x:f ca="1">IF(AND($B$1012=1,LEN($H$1256)&gt;0),$H$1256,HLOOKUP(INDIRECT(ADDRESS(2,COLUMN())),OFFSET($T$2,0,0,ROW()-1,14),ROW()-1,FALSE))</x:f>
        <x:v/>
      </x:c>
      <x:c r="I252" t="str">
        <x:f ca="1">IF(AND($B$1012=1,LEN($I$1256)&gt;0),$I$1256,HLOOKUP(INDIRECT(ADDRESS(2,COLUMN())),OFFSET($T$2,0,0,ROW()-1,14),ROW()-1,FALSE))</x:f>
        <x:v/>
      </x:c>
      <x:c r="J252" t="str">
        <x:f ca="1">IF(AND($B$1012=1,LEN($J$1256)&gt;0),$J$1256,HLOOKUP(INDIRECT(ADDRESS(2,COLUMN())),OFFSET($T$2,0,0,ROW()-1,14),ROW()-1,FALSE))</x:f>
        <x:v/>
      </x:c>
      <x:c r="K252" t="str">
        <x:f ca="1">IF(AND($B$1012=1,LEN($K$1256)&gt;0),$K$1256,HLOOKUP(INDIRECT(ADDRESS(2,COLUMN())),OFFSET($T$2,0,0,ROW()-1,14),ROW()-1,FALSE))</x:f>
        <x:v/>
      </x:c>
      <x:c r="L252" t="str">
        <x:f ca="1">IF(AND($B$1012=1,LEN($L$1256)&gt;0),$L$1256,HLOOKUP(INDIRECT(ADDRESS(2,COLUMN())),OFFSET($T$2,0,0,ROW()-1,14),ROW()-1,FALSE))</x:f>
        <x:v/>
      </x:c>
      <x:c r="M252" t="str">
        <x:f ca="1">IF(AND($B$1012=1,LEN($M$1256)&gt;0),$M$1256,HLOOKUP(INDIRECT(ADDRESS(2,COLUMN())),OFFSET($T$2,0,0,ROW()-1,14),ROW()-1,FALSE))</x:f>
        <x:v/>
      </x:c>
      <x:c r="N252" t="str">
        <x:f ca="1">IF(AND($B$1012=1,LEN($N$1256)&gt;0),$N$1256,HLOOKUP(INDIRECT(ADDRESS(2,COLUMN())),OFFSET($T$2,0,0,ROW()-1,14),ROW()-1,FALSE))</x:f>
        <x:v/>
      </x:c>
      <x:c r="O252" t="str">
        <x:f ca="1">IF(AND($B$1012=1,LEN($O$1256)&gt;0),$O$1256,HLOOKUP(INDIRECT(ADDRESS(2,COLUMN())),OFFSET($T$2,0,0,ROW()-1,14),ROW()-1,FALSE))</x:f>
        <x:v/>
      </x:c>
      <x:c r="P252" t="str">
        <x:f ca="1">IF(AND($B$1012=1,LEN($P$1256)&gt;0),$P$1256,HLOOKUP(INDIRECT(ADDRESS(2,COLUMN())),OFFSET($T$2,0,0,ROW()-1,14),ROW()-1,FALSE))</x:f>
        <x:v/>
      </x:c>
      <x:c r="Q252" t="str">
        <x:f ca="1">IF(AND($B$1012=1,LEN($Q$1256)&gt;0),$Q$1256,HLOOKUP(INDIRECT(ADDRESS(2,COLUMN())),OFFSET($T$2,0,0,ROW()-1,14),ROW()-1,FALSE))</x:f>
        <x:v/>
      </x:c>
      <x:c r="R252" t="str">
        <x:f ca="1">IF(AND($B$1012=1,LEN($R$1256)&gt;0),$R$1256,HLOOKUP(INDIRECT(ADDRESS(2,COLUMN())),OFFSET($T$2,0,0,ROW()-1,14),ROW()-1,FALSE))</x:f>
        <x:v/>
      </x:c>
      <x:c r="S252" t="str">
        <x:f ca="1">IF(AND($B$1012=1,LEN($S$1256)&gt;0),$S$1256,HLOOKUP(INDIRECT(ADDRESS(2,COLUMN())),OFFSET($T$2,0,0,ROW()-1,14),ROW()-1,FALSE))</x:f>
        <x:v/>
      </x:c>
      <x:c r="T252" t="str">
        <x:f>""</x:f>
        <x:v/>
      </x:c>
      <x:c r="U252" t="str">
        <x:f>""</x:f>
        <x:v/>
      </x:c>
      <x:c r="V252" t="str">
        <x:f>""</x:f>
        <x:v/>
      </x:c>
      <x:c r="W252" t="str">
        <x:f>""</x:f>
        <x:v/>
      </x:c>
      <x:c r="X252" t="str">
        <x:f>""</x:f>
        <x:v/>
      </x:c>
      <x:c r="Y252" t="str">
        <x:f>""</x:f>
        <x:v/>
      </x:c>
      <x:c r="Z252" t="str">
        <x:f>""</x:f>
        <x:v/>
      </x:c>
      <x:c r="AA252" t="str">
        <x:f>""</x:f>
        <x:v/>
      </x:c>
      <x:c r="AB252" t="str">
        <x:f>""</x:f>
        <x:v/>
      </x:c>
      <x:c r="AC252" t="str">
        <x:f>""</x:f>
        <x:v/>
      </x:c>
      <x:c r="AD252" t="str">
        <x:f>""</x:f>
        <x:v/>
      </x:c>
      <x:c r="AE252" t="str">
        <x:f>""</x:f>
        <x:v/>
      </x:c>
      <x:c r="AF252" t="str">
        <x:f>""</x:f>
        <x:v/>
      </x:c>
      <x:c r="AG252" t="str">
        <x:f>""</x:f>
        <x:v/>
      </x:c>
    </x:row>
    <x:row r="253" spans="1:33" x14ac:dyDescent="0.25">
      <x:c r="A253" t="str">
        <x:f>"        Elkhorn S&amp;P MidCap Financials"</x:f>
        <x:v xml:space="preserve">        Elkhorn S&amp;P MidCap Financials</x:v>
      </x:c>
      <x:c r="B253" t="str">
        <x:f>"XF US Equity"</x:f>
        <x:v>XF US Equity</x:v>
      </x:c>
      <x:c r="E253" t="str">
        <x:f t="shared" si="8"/>
        <x:v>Expression</x:v>
      </x:c>
      <x:c r="F253" t="str">
        <x:f ca="1">IF(AND($B$1012=1,LEN($F$1257)&gt;0),$F$1257,HLOOKUP(INDIRECT(ADDRESS(2,COLUMN())),OFFSET($T$2,0,0,ROW()-1,14),ROW()-1,FALSE))</x:f>
        <x:v/>
      </x:c>
      <x:c r="G253" t="str">
        <x:f ca="1">IF(AND($B$1012=1,LEN($G$1257)&gt;0),$G$1257,HLOOKUP(INDIRECT(ADDRESS(2,COLUMN())),OFFSET($T$2,0,0,ROW()-1,14),ROW()-1,FALSE))</x:f>
        <x:v/>
      </x:c>
      <x:c r="H253" t="str">
        <x:f ca="1">IF(AND($B$1012=1,LEN($H$1257)&gt;0),$H$1257,HLOOKUP(INDIRECT(ADDRESS(2,COLUMN())),OFFSET($T$2,0,0,ROW()-1,14),ROW()-1,FALSE))</x:f>
        <x:v/>
      </x:c>
      <x:c r="I253" t="str">
        <x:f ca="1">IF(AND($B$1012=1,LEN($I$1257)&gt;0),$I$1257,HLOOKUP(INDIRECT(ADDRESS(2,COLUMN())),OFFSET($T$2,0,0,ROW()-1,14),ROW()-1,FALSE))</x:f>
        <x:v/>
      </x:c>
      <x:c r="J253" t="str">
        <x:f ca="1">IF(AND($B$1012=1,LEN($J$1257)&gt;0),$J$1257,HLOOKUP(INDIRECT(ADDRESS(2,COLUMN())),OFFSET($T$2,0,0,ROW()-1,14),ROW()-1,FALSE))</x:f>
        <x:v/>
      </x:c>
      <x:c r="K253" t="str">
        <x:f ca="1">IF(AND($B$1012=1,LEN($K$1257)&gt;0),$K$1257,HLOOKUP(INDIRECT(ADDRESS(2,COLUMN())),OFFSET($T$2,0,0,ROW()-1,14),ROW()-1,FALSE))</x:f>
        <x:v/>
      </x:c>
      <x:c r="L253" t="str">
        <x:f ca="1">IF(AND($B$1012=1,LEN($L$1257)&gt;0),$L$1257,HLOOKUP(INDIRECT(ADDRESS(2,COLUMN())),OFFSET($T$2,0,0,ROW()-1,14),ROW()-1,FALSE))</x:f>
        <x:v/>
      </x:c>
      <x:c r="M253" t="str">
        <x:f ca="1">IF(AND($B$1012=1,LEN($M$1257)&gt;0),$M$1257,HLOOKUP(INDIRECT(ADDRESS(2,COLUMN())),OFFSET($T$2,0,0,ROW()-1,14),ROW()-1,FALSE))</x:f>
        <x:v/>
      </x:c>
      <x:c r="N253" t="str">
        <x:f ca="1">IF(AND($B$1012=1,LEN($N$1257)&gt;0),$N$1257,HLOOKUP(INDIRECT(ADDRESS(2,COLUMN())),OFFSET($T$2,0,0,ROW()-1,14),ROW()-1,FALSE))</x:f>
        <x:v/>
      </x:c>
      <x:c r="O253" t="str">
        <x:f ca="1">IF(AND($B$1012=1,LEN($O$1257)&gt;0),$O$1257,HLOOKUP(INDIRECT(ADDRESS(2,COLUMN())),OFFSET($T$2,0,0,ROW()-1,14),ROW()-1,FALSE))</x:f>
        <x:v/>
      </x:c>
      <x:c r="P253" t="str">
        <x:f ca="1">IF(AND($B$1012=1,LEN($P$1257)&gt;0),$P$1257,HLOOKUP(INDIRECT(ADDRESS(2,COLUMN())),OFFSET($T$2,0,0,ROW()-1,14),ROW()-1,FALSE))</x:f>
        <x:v/>
      </x:c>
      <x:c r="Q253" t="str">
        <x:f ca="1">IF(AND($B$1012=1,LEN($Q$1257)&gt;0),$Q$1257,HLOOKUP(INDIRECT(ADDRESS(2,COLUMN())),OFFSET($T$2,0,0,ROW()-1,14),ROW()-1,FALSE))</x:f>
        <x:v/>
      </x:c>
      <x:c r="R253" t="str">
        <x:f ca="1">IF(AND($B$1012=1,LEN($R$1257)&gt;0),$R$1257,HLOOKUP(INDIRECT(ADDRESS(2,COLUMN())),OFFSET($T$2,0,0,ROW()-1,14),ROW()-1,FALSE))</x:f>
        <x:v/>
      </x:c>
      <x:c r="S253" t="str">
        <x:f ca="1">IF(AND($B$1012=1,LEN($S$1257)&gt;0),$S$1257,HLOOKUP(INDIRECT(ADDRESS(2,COLUMN())),OFFSET($T$2,0,0,ROW()-1,14),ROW()-1,FALSE))</x:f>
        <x:v/>
      </x:c>
      <x:c r="T253" t="str">
        <x:f>""</x:f>
        <x:v/>
      </x:c>
      <x:c r="U253" t="str">
        <x:f>""</x:f>
        <x:v/>
      </x:c>
      <x:c r="V253" t="str">
        <x:f>""</x:f>
        <x:v/>
      </x:c>
      <x:c r="W253" t="str">
        <x:f>""</x:f>
        <x:v/>
      </x:c>
      <x:c r="X253" t="str">
        <x:f>""</x:f>
        <x:v/>
      </x:c>
      <x:c r="Y253" t="str">
        <x:f>""</x:f>
        <x:v/>
      </x:c>
      <x:c r="Z253" t="str">
        <x:f>""</x:f>
        <x:v/>
      </x:c>
      <x:c r="AA253" t="str">
        <x:f>""</x:f>
        <x:v/>
      </x:c>
      <x:c r="AB253" t="str">
        <x:f>""</x:f>
        <x:v/>
      </x:c>
      <x:c r="AC253" t="str">
        <x:f>""</x:f>
        <x:v/>
      </x:c>
      <x:c r="AD253" t="str">
        <x:f>""</x:f>
        <x:v/>
      </x:c>
      <x:c r="AE253" t="str">
        <x:f>""</x:f>
        <x:v/>
      </x:c>
      <x:c r="AF253" t="str">
        <x:f>""</x:f>
        <x:v/>
      </x:c>
      <x:c r="AG253" t="str">
        <x:f>""</x:f>
        <x:v/>
      </x:c>
    </x:row>
    <x:row r="254" spans="1:33" x14ac:dyDescent="0.25">
      <x:c r="A254" t="str">
        <x:f>"        iShares Evolved US Financials"</x:f>
        <x:v xml:space="preserve">        iShares Evolved US Financials</x:v>
      </x:c>
      <x:c r="B254" t="str">
        <x:f>"IEFN US Equity"</x:f>
        <x:v>IEFN US Equity</x:v>
      </x:c>
      <x:c r="E254" t="str">
        <x:f t="shared" si="8"/>
        <x:v>Expression</x:v>
      </x:c>
      <x:c r="F254" t="str">
        <x:f ca="1">IF(AND($B$1012=1,LEN($F$1258)&gt;0),$F$1258,HLOOKUP(INDIRECT(ADDRESS(2,COLUMN())),OFFSET($T$2,0,0,ROW()-1,14),ROW()-1,FALSE))</x:f>
        <x:v/>
      </x:c>
      <x:c r="G254" t="str">
        <x:f ca="1">IF(AND($B$1012=1,LEN($G$1258)&gt;0),$G$1258,HLOOKUP(INDIRECT(ADDRESS(2,COLUMN())),OFFSET($T$2,0,0,ROW()-1,14),ROW()-1,FALSE))</x:f>
        <x:v/>
      </x:c>
      <x:c r="H254" t="str">
        <x:f ca="1">IF(AND($B$1012=1,LEN($H$1258)&gt;0),$H$1258,HLOOKUP(INDIRECT(ADDRESS(2,COLUMN())),OFFSET($T$2,0,0,ROW()-1,14),ROW()-1,FALSE))</x:f>
        <x:v/>
      </x:c>
      <x:c r="I254" t="str">
        <x:f ca="1">IF(AND($B$1012=1,LEN($I$1258)&gt;0),$I$1258,HLOOKUP(INDIRECT(ADDRESS(2,COLUMN())),OFFSET($T$2,0,0,ROW()-1,14),ROW()-1,FALSE))</x:f>
        <x:v/>
      </x:c>
      <x:c r="J254" t="str">
        <x:f ca="1">IF(AND($B$1012=1,LEN($J$1258)&gt;0),$J$1258,HLOOKUP(INDIRECT(ADDRESS(2,COLUMN())),OFFSET($T$2,0,0,ROW()-1,14),ROW()-1,FALSE))</x:f>
        <x:v/>
      </x:c>
      <x:c r="K254" t="str">
        <x:f ca="1">IF(AND($B$1012=1,LEN($K$1258)&gt;0),$K$1258,HLOOKUP(INDIRECT(ADDRESS(2,COLUMN())),OFFSET($T$2,0,0,ROW()-1,14),ROW()-1,FALSE))</x:f>
        <x:v/>
      </x:c>
      <x:c r="L254" t="str">
        <x:f ca="1">IF(AND($B$1012=1,LEN($L$1258)&gt;0),$L$1258,HLOOKUP(INDIRECT(ADDRESS(2,COLUMN())),OFFSET($T$2,0,0,ROW()-1,14),ROW()-1,FALSE))</x:f>
        <x:v/>
      </x:c>
      <x:c r="M254" t="str">
        <x:f ca="1">IF(AND($B$1012=1,LEN($M$1258)&gt;0),$M$1258,HLOOKUP(INDIRECT(ADDRESS(2,COLUMN())),OFFSET($T$2,0,0,ROW()-1,14),ROW()-1,FALSE))</x:f>
        <x:v/>
      </x:c>
      <x:c r="N254" t="str">
        <x:f ca="1">IF(AND($B$1012=1,LEN($N$1258)&gt;0),$N$1258,HLOOKUP(INDIRECT(ADDRESS(2,COLUMN())),OFFSET($T$2,0,0,ROW()-1,14),ROW()-1,FALSE))</x:f>
        <x:v/>
      </x:c>
      <x:c r="O254" t="str">
        <x:f ca="1">IF(AND($B$1012=1,LEN($O$1258)&gt;0),$O$1258,HLOOKUP(INDIRECT(ADDRESS(2,COLUMN())),OFFSET($T$2,0,0,ROW()-1,14),ROW()-1,FALSE))</x:f>
        <x:v/>
      </x:c>
      <x:c r="P254" t="str">
        <x:f ca="1">IF(AND($B$1012=1,LEN($P$1258)&gt;0),$P$1258,HLOOKUP(INDIRECT(ADDRESS(2,COLUMN())),OFFSET($T$2,0,0,ROW()-1,14),ROW()-1,FALSE))</x:f>
        <x:v/>
      </x:c>
      <x:c r="Q254" t="str">
        <x:f ca="1">IF(AND($B$1012=1,LEN($Q$1258)&gt;0),$Q$1258,HLOOKUP(INDIRECT(ADDRESS(2,COLUMN())),OFFSET($T$2,0,0,ROW()-1,14),ROW()-1,FALSE))</x:f>
        <x:v/>
      </x:c>
      <x:c r="R254" t="str">
        <x:f ca="1">IF(AND($B$1012=1,LEN($R$1258)&gt;0),$R$1258,HLOOKUP(INDIRECT(ADDRESS(2,COLUMN())),OFFSET($T$2,0,0,ROW()-1,14),ROW()-1,FALSE))</x:f>
        <x:v/>
      </x:c>
      <x:c r="S254" t="str">
        <x:f ca="1">IF(AND($B$1012=1,LEN($S$1258)&gt;0),$S$1258,HLOOKUP(INDIRECT(ADDRESS(2,COLUMN())),OFFSET($T$2,0,0,ROW()-1,14),ROW()-1,FALSE))</x:f>
        <x:v/>
      </x:c>
      <x:c r="T254" t="str">
        <x:f>""</x:f>
        <x:v/>
      </x:c>
      <x:c r="U254" t="str">
        <x:f>""</x:f>
        <x:v/>
      </x:c>
      <x:c r="V254" t="str">
        <x:f>""</x:f>
        <x:v/>
      </x:c>
      <x:c r="W254" t="str">
        <x:f>""</x:f>
        <x:v/>
      </x:c>
      <x:c r="X254" t="str">
        <x:f>""</x:f>
        <x:v/>
      </x:c>
      <x:c r="Y254" t="str">
        <x:f>""</x:f>
        <x:v/>
      </x:c>
      <x:c r="Z254" t="str">
        <x:f>""</x:f>
        <x:v/>
      </x:c>
      <x:c r="AA254" t="str">
        <x:f>""</x:f>
        <x:v/>
      </x:c>
      <x:c r="AB254" t="str">
        <x:f>""</x:f>
        <x:v/>
      </x:c>
      <x:c r="AC254" t="str">
        <x:f>""</x:f>
        <x:v/>
      </x:c>
      <x:c r="AD254" t="str">
        <x:f>""</x:f>
        <x:v/>
      </x:c>
      <x:c r="AE254" t="str">
        <x:f>""</x:f>
        <x:v/>
      </x:c>
      <x:c r="AF254" t="str">
        <x:f>""</x:f>
        <x:v/>
      </x:c>
      <x:c r="AG254" t="str">
        <x:f>""</x:f>
        <x:v/>
      </x:c>
    </x:row>
    <x:row r="255" spans="1:33" x14ac:dyDescent="0.25">
      <x:c r="A255" t="str">
        <x:f>"        MicroSectors US Big Banks Inde"</x:f>
        <x:v xml:space="preserve">        MicroSectors US Big Banks Inde</x:v>
      </x:c>
      <x:c r="B255" t="str">
        <x:f>"BNKD US Equity"</x:f>
        <x:v>BNKD US Equity</x:v>
      </x:c>
      <x:c r="E255" t="str">
        <x:f t="shared" si="8"/>
        <x:v>Expression</x:v>
      </x:c>
      <x:c r="F255">
        <x:f ca="1">IF(AND($B$1012=1,LEN($F$1259)&gt;0),$F$1259,HLOOKUP(INDIRECT(ADDRESS(2,COLUMN())),OFFSET($T$2,0,0,ROW()-1,14),ROW()-1,FALSE))</x:f>
        <x:v>0</x:v>
      </x:c>
      <x:c r="G255">
        <x:f ca="1">IF(AND($B$1012=1,LEN($G$1259)&gt;0),$G$1259,HLOOKUP(INDIRECT(ADDRESS(2,COLUMN())),OFFSET($T$2,0,0,ROW()-1,14),ROW()-1,FALSE))</x:f>
        <x:v>0</x:v>
      </x:c>
      <x:c r="H255">
        <x:f ca="1">IF(AND($B$1012=1,LEN($H$1259)&gt;0),$H$1259,HLOOKUP(INDIRECT(ADDRESS(2,COLUMN())),OFFSET($T$2,0,0,ROW()-1,14),ROW()-1,FALSE))</x:f>
        <x:v>0</x:v>
      </x:c>
      <x:c r="I255">
        <x:f ca="1">IF(AND($B$1012=1,LEN($I$1259)&gt;0),$I$1259,HLOOKUP(INDIRECT(ADDRESS(2,COLUMN())),OFFSET($T$2,0,0,ROW()-1,14),ROW()-1,FALSE))</x:f>
        <x:v>0</x:v>
      </x:c>
      <x:c r="J255">
        <x:f ca="1">IF(AND($B$1012=1,LEN($J$1259)&gt;0),$J$1259,HLOOKUP(INDIRECT(ADDRESS(2,COLUMN())),OFFSET($T$2,0,0,ROW()-1,14),ROW()-1,FALSE))</x:f>
        <x:v>4.4781420000000001</x:v>
      </x:c>
      <x:c r="K255">
        <x:f ca="1">IF(AND($B$1012=1,LEN($K$1259)&gt;0),$K$1259,HLOOKUP(INDIRECT(ADDRESS(2,COLUMN())),OFFSET($T$2,0,0,ROW()-1,14),ROW()-1,FALSE))</x:f>
        <x:v>0</x:v>
      </x:c>
      <x:c r="L255">
        <x:f ca="1">IF(AND($B$1012=1,LEN($L$1259)&gt;0),$L$1259,HLOOKUP(INDIRECT(ADDRESS(2,COLUMN())),OFFSET($T$2,0,0,ROW()-1,14),ROW()-1,FALSE))</x:f>
        <x:v>0</x:v>
      </x:c>
      <x:c r="M255">
        <x:f ca="1">IF(AND($B$1012=1,LEN($M$1259)&gt;0),$M$1259,HLOOKUP(INDIRECT(ADDRESS(2,COLUMN())),OFFSET($T$2,0,0,ROW()-1,14),ROW()-1,FALSE))</x:f>
        <x:v>0</x:v>
      </x:c>
      <x:c r="N255">
        <x:f ca="1">IF(AND($B$1012=1,LEN($N$1259)&gt;0),$N$1259,HLOOKUP(INDIRECT(ADDRESS(2,COLUMN())),OFFSET($T$2,0,0,ROW()-1,14),ROW()-1,FALSE))</x:f>
        <x:v>0</x:v>
      </x:c>
      <x:c r="O255">
        <x:f ca="1">IF(AND($B$1012=1,LEN($O$1259)&gt;0),$O$1259,HLOOKUP(INDIRECT(ADDRESS(2,COLUMN())),OFFSET($T$2,0,0,ROW()-1,14),ROW()-1,FALSE))</x:f>
        <x:v>0</x:v>
      </x:c>
      <x:c r="P255">
        <x:f ca="1">IF(AND($B$1012=1,LEN($P$1259)&gt;0),$P$1259,HLOOKUP(INDIRECT(ADDRESS(2,COLUMN())),OFFSET($T$2,0,0,ROW()-1,14),ROW()-1,FALSE))</x:f>
        <x:v>0</x:v>
      </x:c>
      <x:c r="Q255">
        <x:f ca="1">IF(AND($B$1012=1,LEN($Q$1259)&gt;0),$Q$1259,HLOOKUP(INDIRECT(ADDRESS(2,COLUMN())),OFFSET($T$2,0,0,ROW()-1,14),ROW()-1,FALSE))</x:f>
        <x:v>0</x:v>
      </x:c>
      <x:c r="R255">
        <x:f ca="1">IF(AND($B$1012=1,LEN($R$1259)&gt;0),$R$1259,HLOOKUP(INDIRECT(ADDRESS(2,COLUMN())),OFFSET($T$2,0,0,ROW()-1,14),ROW()-1,FALSE))</x:f>
        <x:v>0</x:v>
      </x:c>
      <x:c r="S255">
        <x:f ca="1">IF(AND($B$1012=1,LEN($S$1259)&gt;0),$S$1259,HLOOKUP(INDIRECT(ADDRESS(2,COLUMN())),OFFSET($T$2,0,0,ROW()-1,14),ROW()-1,FALSE))</x:f>
        <x:v>0</x:v>
      </x:c>
      <x:c r="T255">
        <x:f>0</x:f>
        <x:v>0</x:v>
      </x:c>
      <x:c r="U255">
        <x:f>0</x:f>
        <x:v>0</x:v>
      </x:c>
      <x:c r="V255">
        <x:f>0</x:f>
        <x:v>0</x:v>
      </x:c>
      <x:c r="W255">
        <x:f>0</x:f>
        <x:v>0</x:v>
      </x:c>
      <x:c r="X255">
        <x:f>4.478142</x:f>
        <x:v>4.4781420000000001</x:v>
      </x:c>
      <x:c r="Y255">
        <x:f>0</x:f>
        <x:v>0</x:v>
      </x:c>
      <x:c r="Z255">
        <x:f>0</x:f>
        <x:v>0</x:v>
      </x:c>
      <x:c r="AA255">
        <x:f>0</x:f>
        <x:v>0</x:v>
      </x:c>
      <x:c r="AB255">
        <x:f>0</x:f>
        <x:v>0</x:v>
      </x:c>
      <x:c r="AC255">
        <x:f>0</x:f>
        <x:v>0</x:v>
      </x:c>
      <x:c r="AD255">
        <x:f>0</x:f>
        <x:v>0</x:v>
      </x:c>
      <x:c r="AE255">
        <x:f>0</x:f>
        <x:v>0</x:v>
      </x:c>
      <x:c r="AF255">
        <x:f>0</x:f>
        <x:v>0</x:v>
      </x:c>
      <x:c r="AG255">
        <x:f>0</x:f>
        <x:v>0</x:v>
      </x:c>
    </x:row>
    <x:row r="256" spans="1:33" x14ac:dyDescent="0.25">
      <x:c r="A256" t="str">
        <x:f>"        MicroSectors US Big Banks Inde"</x:f>
        <x:v xml:space="preserve">        MicroSectors US Big Banks Inde</x:v>
      </x:c>
      <x:c r="B256" t="str">
        <x:f>"BNKO US Equity"</x:f>
        <x:v>BNKO US Equity</x:v>
      </x:c>
      <x:c r="E256" t="str">
        <x:f t="shared" si="8"/>
        <x:v>Expression</x:v>
      </x:c>
      <x:c r="F256" t="str">
        <x:f ca="1">IF(AND($B$1012=1,LEN($F$1260)&gt;0),$F$1260,HLOOKUP(INDIRECT(ADDRESS(2,COLUMN())),OFFSET($T$2,0,0,ROW()-1,14),ROW()-1,FALSE))</x:f>
        <x:v/>
      </x:c>
      <x:c r="G256" t="str">
        <x:f ca="1">IF(AND($B$1012=1,LEN($G$1260)&gt;0),$G$1260,HLOOKUP(INDIRECT(ADDRESS(2,COLUMN())),OFFSET($T$2,0,0,ROW()-1,14),ROW()-1,FALSE))</x:f>
        <x:v/>
      </x:c>
      <x:c r="H256" t="str">
        <x:f ca="1">IF(AND($B$1012=1,LEN($H$1260)&gt;0),$H$1260,HLOOKUP(INDIRECT(ADDRESS(2,COLUMN())),OFFSET($T$2,0,0,ROW()-1,14),ROW()-1,FALSE))</x:f>
        <x:v/>
      </x:c>
      <x:c r="I256" t="str">
        <x:f ca="1">IF(AND($B$1012=1,LEN($I$1260)&gt;0),$I$1260,HLOOKUP(INDIRECT(ADDRESS(2,COLUMN())),OFFSET($T$2,0,0,ROW()-1,14),ROW()-1,FALSE))</x:f>
        <x:v/>
      </x:c>
      <x:c r="J256" t="str">
        <x:f ca="1">IF(AND($B$1012=1,LEN($J$1260)&gt;0),$J$1260,HLOOKUP(INDIRECT(ADDRESS(2,COLUMN())),OFFSET($T$2,0,0,ROW()-1,14),ROW()-1,FALSE))</x:f>
        <x:v/>
      </x:c>
      <x:c r="K256" t="str">
        <x:f ca="1">IF(AND($B$1012=1,LEN($K$1260)&gt;0),$K$1260,HLOOKUP(INDIRECT(ADDRESS(2,COLUMN())),OFFSET($T$2,0,0,ROW()-1,14),ROW()-1,FALSE))</x:f>
        <x:v/>
      </x:c>
      <x:c r="L256" t="str">
        <x:f ca="1">IF(AND($B$1012=1,LEN($L$1260)&gt;0),$L$1260,HLOOKUP(INDIRECT(ADDRESS(2,COLUMN())),OFFSET($T$2,0,0,ROW()-1,14),ROW()-1,FALSE))</x:f>
        <x:v/>
      </x:c>
      <x:c r="M256" t="str">
        <x:f ca="1">IF(AND($B$1012=1,LEN($M$1260)&gt;0),$M$1260,HLOOKUP(INDIRECT(ADDRESS(2,COLUMN())),OFFSET($T$2,0,0,ROW()-1,14),ROW()-1,FALSE))</x:f>
        <x:v/>
      </x:c>
      <x:c r="N256" t="str">
        <x:f ca="1">IF(AND($B$1012=1,LEN($N$1260)&gt;0),$N$1260,HLOOKUP(INDIRECT(ADDRESS(2,COLUMN())),OFFSET($T$2,0,0,ROW()-1,14),ROW()-1,FALSE))</x:f>
        <x:v/>
      </x:c>
      <x:c r="O256" t="str">
        <x:f ca="1">IF(AND($B$1012=1,LEN($O$1260)&gt;0),$O$1260,HLOOKUP(INDIRECT(ADDRESS(2,COLUMN())),OFFSET($T$2,0,0,ROW()-1,14),ROW()-1,FALSE))</x:f>
        <x:v/>
      </x:c>
      <x:c r="P256" t="str">
        <x:f ca="1">IF(AND($B$1012=1,LEN($P$1260)&gt;0),$P$1260,HLOOKUP(INDIRECT(ADDRESS(2,COLUMN())),OFFSET($T$2,0,0,ROW()-1,14),ROW()-1,FALSE))</x:f>
        <x:v/>
      </x:c>
      <x:c r="Q256" t="str">
        <x:f ca="1">IF(AND($B$1012=1,LEN($Q$1260)&gt;0),$Q$1260,HLOOKUP(INDIRECT(ADDRESS(2,COLUMN())),OFFSET($T$2,0,0,ROW()-1,14),ROW()-1,FALSE))</x:f>
        <x:v/>
      </x:c>
      <x:c r="R256" t="str">
        <x:f ca="1">IF(AND($B$1012=1,LEN($R$1260)&gt;0),$R$1260,HLOOKUP(INDIRECT(ADDRESS(2,COLUMN())),OFFSET($T$2,0,0,ROW()-1,14),ROW()-1,FALSE))</x:f>
        <x:v/>
      </x:c>
      <x:c r="S256" t="str">
        <x:f ca="1">IF(AND($B$1012=1,LEN($S$1260)&gt;0),$S$1260,HLOOKUP(INDIRECT(ADDRESS(2,COLUMN())),OFFSET($T$2,0,0,ROW()-1,14),ROW()-1,FALSE))</x:f>
        <x:v/>
      </x:c>
      <x:c r="T256" t="str">
        <x:f>""</x:f>
        <x:v/>
      </x:c>
      <x:c r="U256" t="str">
        <x:f>""</x:f>
        <x:v/>
      </x:c>
      <x:c r="V256" t="str">
        <x:f>""</x:f>
        <x:v/>
      </x:c>
      <x:c r="W256" t="str">
        <x:f>""</x:f>
        <x:v/>
      </x:c>
      <x:c r="X256" t="str">
        <x:f>""</x:f>
        <x:v/>
      </x:c>
      <x:c r="Y256" t="str">
        <x:f>""</x:f>
        <x:v/>
      </x:c>
      <x:c r="Z256" t="str">
        <x:f>""</x:f>
        <x:v/>
      </x:c>
      <x:c r="AA256" t="str">
        <x:f>""</x:f>
        <x:v/>
      </x:c>
      <x:c r="AB256" t="str">
        <x:f>""</x:f>
        <x:v/>
      </x:c>
      <x:c r="AC256" t="str">
        <x:f>""</x:f>
        <x:v/>
      </x:c>
      <x:c r="AD256" t="str">
        <x:f>""</x:f>
        <x:v/>
      </x:c>
      <x:c r="AE256" t="str">
        <x:f>""</x:f>
        <x:v/>
      </x:c>
      <x:c r="AF256" t="str">
        <x:f>""</x:f>
        <x:v/>
      </x:c>
      <x:c r="AG256" t="str">
        <x:f>""</x:f>
        <x:v/>
      </x:c>
    </x:row>
    <x:row r="257" spans="1:33" x14ac:dyDescent="0.25">
      <x:c r="A257" t="str">
        <x:f>"        MicroSectors US Big Banks Inde"</x:f>
        <x:v xml:space="preserve">        MicroSectors US Big Banks Inde</x:v>
      </x:c>
      <x:c r="B257" t="str">
        <x:f>"BNKU US Equity"</x:f>
        <x:v>BNKU US Equity</x:v>
      </x:c>
      <x:c r="E257" t="str">
        <x:f t="shared" si="8"/>
        <x:v>Expression</x:v>
      </x:c>
      <x:c r="F257">
        <x:f ca="1">IF(AND($B$1012=1,LEN($F$1261)&gt;0),$F$1261,HLOOKUP(INDIRECT(ADDRESS(2,COLUMN())),OFFSET($T$2,0,0,ROW()-1,14),ROW()-1,FALSE))</x:f>
        <x:v>0</x:v>
      </x:c>
      <x:c r="G257">
        <x:f ca="1">IF(AND($B$1012=1,LEN($G$1261)&gt;0),$G$1261,HLOOKUP(INDIRECT(ADDRESS(2,COLUMN())),OFFSET($T$2,0,0,ROW()-1,14),ROW()-1,FALSE))</x:f>
        <x:v>0</x:v>
      </x:c>
      <x:c r="H257">
        <x:f ca="1">IF(AND($B$1012=1,LEN($H$1261)&gt;0),$H$1261,HLOOKUP(INDIRECT(ADDRESS(2,COLUMN())),OFFSET($T$2,0,0,ROW()-1,14),ROW()-1,FALSE))</x:f>
        <x:v>0</x:v>
      </x:c>
      <x:c r="I257">
        <x:f ca="1">IF(AND($B$1012=1,LEN($I$1261)&gt;0),$I$1261,HLOOKUP(INDIRECT(ADDRESS(2,COLUMN())),OFFSET($T$2,0,0,ROW()-1,14),ROW()-1,FALSE))</x:f>
        <x:v>0</x:v>
      </x:c>
      <x:c r="J257">
        <x:f ca="1">IF(AND($B$1012=1,LEN($J$1261)&gt;0),$J$1261,HLOOKUP(INDIRECT(ADDRESS(2,COLUMN())),OFFSET($T$2,0,0,ROW()-1,14),ROW()-1,FALSE))</x:f>
        <x:v>0</x:v>
      </x:c>
      <x:c r="K257">
        <x:f ca="1">IF(AND($B$1012=1,LEN($K$1261)&gt;0),$K$1261,HLOOKUP(INDIRECT(ADDRESS(2,COLUMN())),OFFSET($T$2,0,0,ROW()-1,14),ROW()-1,FALSE))</x:f>
        <x:v>0</x:v>
      </x:c>
      <x:c r="L257">
        <x:f ca="1">IF(AND($B$1012=1,LEN($L$1261)&gt;0),$L$1261,HLOOKUP(INDIRECT(ADDRESS(2,COLUMN())),OFFSET($T$2,0,0,ROW()-1,14),ROW()-1,FALSE))</x:f>
        <x:v>0</x:v>
      </x:c>
      <x:c r="M257">
        <x:f ca="1">IF(AND($B$1012=1,LEN($M$1261)&gt;0),$M$1261,HLOOKUP(INDIRECT(ADDRESS(2,COLUMN())),OFFSET($T$2,0,0,ROW()-1,14),ROW()-1,FALSE))</x:f>
        <x:v>0</x:v>
      </x:c>
      <x:c r="N257">
        <x:f ca="1">IF(AND($B$1012=1,LEN($N$1261)&gt;0),$N$1261,HLOOKUP(INDIRECT(ADDRESS(2,COLUMN())),OFFSET($T$2,0,0,ROW()-1,14),ROW()-1,FALSE))</x:f>
        <x:v>114.68735</x:v>
      </x:c>
      <x:c r="O257">
        <x:f ca="1">IF(AND($B$1012=1,LEN($O$1261)&gt;0),$O$1261,HLOOKUP(INDIRECT(ADDRESS(2,COLUMN())),OFFSET($T$2,0,0,ROW()-1,14),ROW()-1,FALSE))</x:f>
        <x:v>0</x:v>
      </x:c>
      <x:c r="P257">
        <x:f ca="1">IF(AND($B$1012=1,LEN($P$1261)&gt;0),$P$1261,HLOOKUP(INDIRECT(ADDRESS(2,COLUMN())),OFFSET($T$2,0,0,ROW()-1,14),ROW()-1,FALSE))</x:f>
        <x:v>0</x:v>
      </x:c>
      <x:c r="Q257">
        <x:f ca="1">IF(AND($B$1012=1,LEN($Q$1261)&gt;0),$Q$1261,HLOOKUP(INDIRECT(ADDRESS(2,COLUMN())),OFFSET($T$2,0,0,ROW()-1,14),ROW()-1,FALSE))</x:f>
        <x:v>0</x:v>
      </x:c>
      <x:c r="R257">
        <x:f ca="1">IF(AND($B$1012=1,LEN($R$1261)&gt;0),$R$1261,HLOOKUP(INDIRECT(ADDRESS(2,COLUMN())),OFFSET($T$2,0,0,ROW()-1,14),ROW()-1,FALSE))</x:f>
        <x:v>0</x:v>
      </x:c>
      <x:c r="S257">
        <x:f ca="1">IF(AND($B$1012=1,LEN($S$1261)&gt;0),$S$1261,HLOOKUP(INDIRECT(ADDRESS(2,COLUMN())),OFFSET($T$2,0,0,ROW()-1,14),ROW()-1,FALSE))</x:f>
        <x:v>0</x:v>
      </x:c>
      <x:c r="T257">
        <x:f>0</x:f>
        <x:v>0</x:v>
      </x:c>
      <x:c r="U257">
        <x:f>0</x:f>
        <x:v>0</x:v>
      </x:c>
      <x:c r="V257">
        <x:f>0</x:f>
        <x:v>0</x:v>
      </x:c>
      <x:c r="W257">
        <x:f>0</x:f>
        <x:v>0</x:v>
      </x:c>
      <x:c r="X257">
        <x:f>0</x:f>
        <x:v>0</x:v>
      </x:c>
      <x:c r="Y257">
        <x:f>0</x:f>
        <x:v>0</x:v>
      </x:c>
      <x:c r="Z257">
        <x:f>0</x:f>
        <x:v>0</x:v>
      </x:c>
      <x:c r="AA257">
        <x:f>0</x:f>
        <x:v>0</x:v>
      </x:c>
      <x:c r="AB257">
        <x:f>114.68735</x:f>
        <x:v>114.68735</x:v>
      </x:c>
      <x:c r="AC257">
        <x:f>0</x:f>
        <x:v>0</x:v>
      </x:c>
      <x:c r="AD257">
        <x:f>0</x:f>
        <x:v>0</x:v>
      </x:c>
      <x:c r="AE257">
        <x:f>0</x:f>
        <x:v>0</x:v>
      </x:c>
      <x:c r="AF257">
        <x:f>0</x:f>
        <x:v>0</x:v>
      </x:c>
      <x:c r="AG257">
        <x:f>0</x:f>
        <x:v>0</x:v>
      </x:c>
    </x:row>
    <x:row r="258" spans="1:33" x14ac:dyDescent="0.25">
      <x:c r="A258" t="str">
        <x:f>"        MicroSectors US Big Banks Inde"</x:f>
        <x:v xml:space="preserve">        MicroSectors US Big Banks Inde</x:v>
      </x:c>
      <x:c r="B258" t="str">
        <x:f>"BNKZ US Equity"</x:f>
        <x:v>BNKZ US Equity</x:v>
      </x:c>
      <x:c r="E258" t="str">
        <x:f t="shared" si="8"/>
        <x:v>Expression</x:v>
      </x:c>
      <x:c r="F258" t="str">
        <x:f ca="1">IF(AND($B$1012=1,LEN($F$1262)&gt;0),$F$1262,HLOOKUP(INDIRECT(ADDRESS(2,COLUMN())),OFFSET($T$2,0,0,ROW()-1,14),ROW()-1,FALSE))</x:f>
        <x:v/>
      </x:c>
      <x:c r="G258" t="str">
        <x:f ca="1">IF(AND($B$1012=1,LEN($G$1262)&gt;0),$G$1262,HLOOKUP(INDIRECT(ADDRESS(2,COLUMN())),OFFSET($T$2,0,0,ROW()-1,14),ROW()-1,FALSE))</x:f>
        <x:v/>
      </x:c>
      <x:c r="H258" t="str">
        <x:f ca="1">IF(AND($B$1012=1,LEN($H$1262)&gt;0),$H$1262,HLOOKUP(INDIRECT(ADDRESS(2,COLUMN())),OFFSET($T$2,0,0,ROW()-1,14),ROW()-1,FALSE))</x:f>
        <x:v/>
      </x:c>
      <x:c r="I258" t="str">
        <x:f ca="1">IF(AND($B$1012=1,LEN($I$1262)&gt;0),$I$1262,HLOOKUP(INDIRECT(ADDRESS(2,COLUMN())),OFFSET($T$2,0,0,ROW()-1,14),ROW()-1,FALSE))</x:f>
        <x:v/>
      </x:c>
      <x:c r="J258" t="str">
        <x:f ca="1">IF(AND($B$1012=1,LEN($J$1262)&gt;0),$J$1262,HLOOKUP(INDIRECT(ADDRESS(2,COLUMN())),OFFSET($T$2,0,0,ROW()-1,14),ROW()-1,FALSE))</x:f>
        <x:v/>
      </x:c>
      <x:c r="K258" t="str">
        <x:f ca="1">IF(AND($B$1012=1,LEN($K$1262)&gt;0),$K$1262,HLOOKUP(INDIRECT(ADDRESS(2,COLUMN())),OFFSET($T$2,0,0,ROW()-1,14),ROW()-1,FALSE))</x:f>
        <x:v/>
      </x:c>
      <x:c r="L258" t="str">
        <x:f ca="1">IF(AND($B$1012=1,LEN($L$1262)&gt;0),$L$1262,HLOOKUP(INDIRECT(ADDRESS(2,COLUMN())),OFFSET($T$2,0,0,ROW()-1,14),ROW()-1,FALSE))</x:f>
        <x:v/>
      </x:c>
      <x:c r="M258" t="str">
        <x:f ca="1">IF(AND($B$1012=1,LEN($M$1262)&gt;0),$M$1262,HLOOKUP(INDIRECT(ADDRESS(2,COLUMN())),OFFSET($T$2,0,0,ROW()-1,14),ROW()-1,FALSE))</x:f>
        <x:v/>
      </x:c>
      <x:c r="N258" t="str">
        <x:f ca="1">IF(AND($B$1012=1,LEN($N$1262)&gt;0),$N$1262,HLOOKUP(INDIRECT(ADDRESS(2,COLUMN())),OFFSET($T$2,0,0,ROW()-1,14),ROW()-1,FALSE))</x:f>
        <x:v/>
      </x:c>
      <x:c r="O258" t="str">
        <x:f ca="1">IF(AND($B$1012=1,LEN($O$1262)&gt;0),$O$1262,HLOOKUP(INDIRECT(ADDRESS(2,COLUMN())),OFFSET($T$2,0,0,ROW()-1,14),ROW()-1,FALSE))</x:f>
        <x:v/>
      </x:c>
      <x:c r="P258" t="str">
        <x:f ca="1">IF(AND($B$1012=1,LEN($P$1262)&gt;0),$P$1262,HLOOKUP(INDIRECT(ADDRESS(2,COLUMN())),OFFSET($T$2,0,0,ROW()-1,14),ROW()-1,FALSE))</x:f>
        <x:v/>
      </x:c>
      <x:c r="Q258" t="str">
        <x:f ca="1">IF(AND($B$1012=1,LEN($Q$1262)&gt;0),$Q$1262,HLOOKUP(INDIRECT(ADDRESS(2,COLUMN())),OFFSET($T$2,0,0,ROW()-1,14),ROW()-1,FALSE))</x:f>
        <x:v/>
      </x:c>
      <x:c r="R258" t="str">
        <x:f ca="1">IF(AND($B$1012=1,LEN($R$1262)&gt;0),$R$1262,HLOOKUP(INDIRECT(ADDRESS(2,COLUMN())),OFFSET($T$2,0,0,ROW()-1,14),ROW()-1,FALSE))</x:f>
        <x:v/>
      </x:c>
      <x:c r="S258" t="str">
        <x:f ca="1">IF(AND($B$1012=1,LEN($S$1262)&gt;0),$S$1262,HLOOKUP(INDIRECT(ADDRESS(2,COLUMN())),OFFSET($T$2,0,0,ROW()-1,14),ROW()-1,FALSE))</x:f>
        <x:v/>
      </x:c>
      <x:c r="T258" t="str">
        <x:f>""</x:f>
        <x:v/>
      </x:c>
      <x:c r="U258" t="str">
        <x:f>""</x:f>
        <x:v/>
      </x:c>
      <x:c r="V258" t="str">
        <x:f>""</x:f>
        <x:v/>
      </x:c>
      <x:c r="W258" t="str">
        <x:f>""</x:f>
        <x:v/>
      </x:c>
      <x:c r="X258" t="str">
        <x:f>""</x:f>
        <x:v/>
      </x:c>
      <x:c r="Y258" t="str">
        <x:f>""</x:f>
        <x:v/>
      </x:c>
      <x:c r="Z258" t="str">
        <x:f>""</x:f>
        <x:v/>
      </x:c>
      <x:c r="AA258" t="str">
        <x:f>""</x:f>
        <x:v/>
      </x:c>
      <x:c r="AB258" t="str">
        <x:f>""</x:f>
        <x:v/>
      </x:c>
      <x:c r="AC258" t="str">
        <x:f>""</x:f>
        <x:v/>
      </x:c>
      <x:c r="AD258" t="str">
        <x:f>""</x:f>
        <x:v/>
      </x:c>
      <x:c r="AE258" t="str">
        <x:f>""</x:f>
        <x:v/>
      </x:c>
      <x:c r="AF258" t="str">
        <x:f>""</x:f>
        <x:v/>
      </x:c>
      <x:c r="AG258" t="str">
        <x:f>""</x:f>
        <x:v/>
      </x:c>
    </x:row>
    <x:row r="259" spans="1:33" x14ac:dyDescent="0.25">
      <x:c r="A259" t="str">
        <x:f>"        Goldman Sachs Finance Reimagin"</x:f>
        <x:v xml:space="preserve">        Goldman Sachs Finance Reimagin</x:v>
      </x:c>
      <x:c r="B259" t="str">
        <x:f>"GFIN US Equity"</x:f>
        <x:v>GFIN US Equity</x:v>
      </x:c>
      <x:c r="E259" t="str">
        <x:f t="shared" si="8"/>
        <x:v>Expression</x:v>
      </x:c>
      <x:c r="F259" t="str">
        <x:f ca="1">IF(AND($B$1012=1,LEN($F$1263)&gt;0),$F$1263,HLOOKUP(INDIRECT(ADDRESS(2,COLUMN())),OFFSET($T$2,0,0,ROW()-1,14),ROW()-1,FALSE))</x:f>
        <x:v/>
      </x:c>
      <x:c r="G259" t="str">
        <x:f ca="1">IF(AND($B$1012=1,LEN($G$1263)&gt;0),$G$1263,HLOOKUP(INDIRECT(ADDRESS(2,COLUMN())),OFFSET($T$2,0,0,ROW()-1,14),ROW()-1,FALSE))</x:f>
        <x:v/>
      </x:c>
      <x:c r="H259" t="str">
        <x:f ca="1">IF(AND($B$1012=1,LEN($H$1263)&gt;0),$H$1263,HLOOKUP(INDIRECT(ADDRESS(2,COLUMN())),OFFSET($T$2,0,0,ROW()-1,14),ROW()-1,FALSE))</x:f>
        <x:v/>
      </x:c>
      <x:c r="I259" t="str">
        <x:f ca="1">IF(AND($B$1012=1,LEN($I$1263)&gt;0),$I$1263,HLOOKUP(INDIRECT(ADDRESS(2,COLUMN())),OFFSET($T$2,0,0,ROW()-1,14),ROW()-1,FALSE))</x:f>
        <x:v/>
      </x:c>
      <x:c r="J259" t="str">
        <x:f ca="1">IF(AND($B$1012=1,LEN($J$1263)&gt;0),$J$1263,HLOOKUP(INDIRECT(ADDRESS(2,COLUMN())),OFFSET($T$2,0,0,ROW()-1,14),ROW()-1,FALSE))</x:f>
        <x:v/>
      </x:c>
      <x:c r="K259" t="str">
        <x:f ca="1">IF(AND($B$1012=1,LEN($K$1263)&gt;0),$K$1263,HLOOKUP(INDIRECT(ADDRESS(2,COLUMN())),OFFSET($T$2,0,0,ROW()-1,14),ROW()-1,FALSE))</x:f>
        <x:v/>
      </x:c>
      <x:c r="L259" t="str">
        <x:f ca="1">IF(AND($B$1012=1,LEN($L$1263)&gt;0),$L$1263,HLOOKUP(INDIRECT(ADDRESS(2,COLUMN())),OFFSET($T$2,0,0,ROW()-1,14),ROW()-1,FALSE))</x:f>
        <x:v/>
      </x:c>
      <x:c r="M259" t="str">
        <x:f ca="1">IF(AND($B$1012=1,LEN($M$1263)&gt;0),$M$1263,HLOOKUP(INDIRECT(ADDRESS(2,COLUMN())),OFFSET($T$2,0,0,ROW()-1,14),ROW()-1,FALSE))</x:f>
        <x:v/>
      </x:c>
      <x:c r="N259" t="str">
        <x:f ca="1">IF(AND($B$1012=1,LEN($N$1263)&gt;0),$N$1263,HLOOKUP(INDIRECT(ADDRESS(2,COLUMN())),OFFSET($T$2,0,0,ROW()-1,14),ROW()-1,FALSE))</x:f>
        <x:v/>
      </x:c>
      <x:c r="O259" t="str">
        <x:f ca="1">IF(AND($B$1012=1,LEN($O$1263)&gt;0),$O$1263,HLOOKUP(INDIRECT(ADDRESS(2,COLUMN())),OFFSET($T$2,0,0,ROW()-1,14),ROW()-1,FALSE))</x:f>
        <x:v/>
      </x:c>
      <x:c r="P259" t="str">
        <x:f ca="1">IF(AND($B$1012=1,LEN($P$1263)&gt;0),$P$1263,HLOOKUP(INDIRECT(ADDRESS(2,COLUMN())),OFFSET($T$2,0,0,ROW()-1,14),ROW()-1,FALSE))</x:f>
        <x:v/>
      </x:c>
      <x:c r="Q259" t="str">
        <x:f ca="1">IF(AND($B$1012=1,LEN($Q$1263)&gt;0),$Q$1263,HLOOKUP(INDIRECT(ADDRESS(2,COLUMN())),OFFSET($T$2,0,0,ROW()-1,14),ROW()-1,FALSE))</x:f>
        <x:v/>
      </x:c>
      <x:c r="R259" t="str">
        <x:f ca="1">IF(AND($B$1012=1,LEN($R$1263)&gt;0),$R$1263,HLOOKUP(INDIRECT(ADDRESS(2,COLUMN())),OFFSET($T$2,0,0,ROW()-1,14),ROW()-1,FALSE))</x:f>
        <x:v/>
      </x:c>
      <x:c r="S259" t="str">
        <x:f ca="1">IF(AND($B$1012=1,LEN($S$1263)&gt;0),$S$1263,HLOOKUP(INDIRECT(ADDRESS(2,COLUMN())),OFFSET($T$2,0,0,ROW()-1,14),ROW()-1,FALSE))</x:f>
        <x:v/>
      </x:c>
      <x:c r="T259" t="str">
        <x:f>""</x:f>
        <x:v/>
      </x:c>
      <x:c r="U259" t="str">
        <x:f>""</x:f>
        <x:v/>
      </x:c>
      <x:c r="V259" t="str">
        <x:f>""</x:f>
        <x:v/>
      </x:c>
      <x:c r="W259" t="str">
        <x:f>""</x:f>
        <x:v/>
      </x:c>
      <x:c r="X259" t="str">
        <x:f>""</x:f>
        <x:v/>
      </x:c>
      <x:c r="Y259" t="str">
        <x:f>""</x:f>
        <x:v/>
      </x:c>
      <x:c r="Z259" t="str">
        <x:f>""</x:f>
        <x:v/>
      </x:c>
      <x:c r="AA259" t="str">
        <x:f>""</x:f>
        <x:v/>
      </x:c>
      <x:c r="AB259" t="str">
        <x:f>""</x:f>
        <x:v/>
      </x:c>
      <x:c r="AC259" t="str">
        <x:f>""</x:f>
        <x:v/>
      </x:c>
      <x:c r="AD259" t="str">
        <x:f>""</x:f>
        <x:v/>
      </x:c>
      <x:c r="AE259" t="str">
        <x:f>""</x:f>
        <x:v/>
      </x:c>
      <x:c r="AF259" t="str">
        <x:f>""</x:f>
        <x:v/>
      </x:c>
      <x:c r="AG259" t="str">
        <x:f>""</x:f>
        <x:v/>
      </x:c>
    </x:row>
    <x:row r="260" spans="1:33" x14ac:dyDescent="0.25">
      <x:c r="A260" t="str">
        <x:f>"        MicroSectors US Big Banks Inde"</x:f>
        <x:v xml:space="preserve">        MicroSectors US Big Banks Inde</x:v>
      </x:c>
      <x:c r="B260" t="str">
        <x:f>"KNAB US Equity"</x:f>
        <x:v>KNAB US Equity</x:v>
      </x:c>
      <x:c r="E260" t="str">
        <x:f t="shared" si="8"/>
        <x:v>Expression</x:v>
      </x:c>
      <x:c r="F260" t="str">
        <x:f ca="1">IF(AND($B$1012=1,LEN($F$1264)&gt;0),$F$1264,HLOOKUP(INDIRECT(ADDRESS(2,COLUMN())),OFFSET($T$2,0,0,ROW()-1,14),ROW()-1,FALSE))</x:f>
        <x:v/>
      </x:c>
      <x:c r="G260" t="str">
        <x:f ca="1">IF(AND($B$1012=1,LEN($G$1264)&gt;0),$G$1264,HLOOKUP(INDIRECT(ADDRESS(2,COLUMN())),OFFSET($T$2,0,0,ROW()-1,14),ROW()-1,FALSE))</x:f>
        <x:v/>
      </x:c>
      <x:c r="H260" t="str">
        <x:f ca="1">IF(AND($B$1012=1,LEN($H$1264)&gt;0),$H$1264,HLOOKUP(INDIRECT(ADDRESS(2,COLUMN())),OFFSET($T$2,0,0,ROW()-1,14),ROW()-1,FALSE))</x:f>
        <x:v/>
      </x:c>
      <x:c r="I260" t="str">
        <x:f ca="1">IF(AND($B$1012=1,LEN($I$1264)&gt;0),$I$1264,HLOOKUP(INDIRECT(ADDRESS(2,COLUMN())),OFFSET($T$2,0,0,ROW()-1,14),ROW()-1,FALSE))</x:f>
        <x:v/>
      </x:c>
      <x:c r="J260" t="str">
        <x:f ca="1">IF(AND($B$1012=1,LEN($J$1264)&gt;0),$J$1264,HLOOKUP(INDIRECT(ADDRESS(2,COLUMN())),OFFSET($T$2,0,0,ROW()-1,14),ROW()-1,FALSE))</x:f>
        <x:v/>
      </x:c>
      <x:c r="K260" t="str">
        <x:f ca="1">IF(AND($B$1012=1,LEN($K$1264)&gt;0),$K$1264,HLOOKUP(INDIRECT(ADDRESS(2,COLUMN())),OFFSET($T$2,0,0,ROW()-1,14),ROW()-1,FALSE))</x:f>
        <x:v/>
      </x:c>
      <x:c r="L260" t="str">
        <x:f ca="1">IF(AND($B$1012=1,LEN($L$1264)&gt;0),$L$1264,HLOOKUP(INDIRECT(ADDRESS(2,COLUMN())),OFFSET($T$2,0,0,ROW()-1,14),ROW()-1,FALSE))</x:f>
        <x:v/>
      </x:c>
      <x:c r="M260" t="str">
        <x:f ca="1">IF(AND($B$1012=1,LEN($M$1264)&gt;0),$M$1264,HLOOKUP(INDIRECT(ADDRESS(2,COLUMN())),OFFSET($T$2,0,0,ROW()-1,14),ROW()-1,FALSE))</x:f>
        <x:v/>
      </x:c>
      <x:c r="N260" t="str">
        <x:f ca="1">IF(AND($B$1012=1,LEN($N$1264)&gt;0),$N$1264,HLOOKUP(INDIRECT(ADDRESS(2,COLUMN())),OFFSET($T$2,0,0,ROW()-1,14),ROW()-1,FALSE))</x:f>
        <x:v/>
      </x:c>
      <x:c r="O260" t="str">
        <x:f ca="1">IF(AND($B$1012=1,LEN($O$1264)&gt;0),$O$1264,HLOOKUP(INDIRECT(ADDRESS(2,COLUMN())),OFFSET($T$2,0,0,ROW()-1,14),ROW()-1,FALSE))</x:f>
        <x:v/>
      </x:c>
      <x:c r="P260" t="str">
        <x:f ca="1">IF(AND($B$1012=1,LEN($P$1264)&gt;0),$P$1264,HLOOKUP(INDIRECT(ADDRESS(2,COLUMN())),OFFSET($T$2,0,0,ROW()-1,14),ROW()-1,FALSE))</x:f>
        <x:v/>
      </x:c>
      <x:c r="Q260" t="str">
        <x:f ca="1">IF(AND($B$1012=1,LEN($Q$1264)&gt;0),$Q$1264,HLOOKUP(INDIRECT(ADDRESS(2,COLUMN())),OFFSET($T$2,0,0,ROW()-1,14),ROW()-1,FALSE))</x:f>
        <x:v/>
      </x:c>
      <x:c r="R260" t="str">
        <x:f ca="1">IF(AND($B$1012=1,LEN($R$1264)&gt;0),$R$1264,HLOOKUP(INDIRECT(ADDRESS(2,COLUMN())),OFFSET($T$2,0,0,ROW()-1,14),ROW()-1,FALSE))</x:f>
        <x:v/>
      </x:c>
      <x:c r="S260" t="str">
        <x:f ca="1">IF(AND($B$1012=1,LEN($S$1264)&gt;0),$S$1264,HLOOKUP(INDIRECT(ADDRESS(2,COLUMN())),OFFSET($T$2,0,0,ROW()-1,14),ROW()-1,FALSE))</x:f>
        <x:v/>
      </x:c>
      <x:c r="T260" t="str">
        <x:f>""</x:f>
        <x:v/>
      </x:c>
      <x:c r="U260" t="str">
        <x:f>""</x:f>
        <x:v/>
      </x:c>
      <x:c r="V260" t="str">
        <x:f>""</x:f>
        <x:v/>
      </x:c>
      <x:c r="W260" t="str">
        <x:f>""</x:f>
        <x:v/>
      </x:c>
      <x:c r="X260" t="str">
        <x:f>""</x:f>
        <x:v/>
      </x:c>
      <x:c r="Y260" t="str">
        <x:f>""</x:f>
        <x:v/>
      </x:c>
      <x:c r="Z260" t="str">
        <x:f>""</x:f>
        <x:v/>
      </x:c>
      <x:c r="AA260" t="str">
        <x:f>""</x:f>
        <x:v/>
      </x:c>
      <x:c r="AB260" t="str">
        <x:f>""</x:f>
        <x:v/>
      </x:c>
      <x:c r="AC260" t="str">
        <x:f>""</x:f>
        <x:v/>
      </x:c>
      <x:c r="AD260" t="str">
        <x:f>""</x:f>
        <x:v/>
      </x:c>
      <x:c r="AE260" t="str">
        <x:f>""</x:f>
        <x:v/>
      </x:c>
      <x:c r="AF260" t="str">
        <x:f>""</x:f>
        <x:v/>
      </x:c>
      <x:c r="AG260" t="str">
        <x:f>""</x:f>
        <x:v/>
      </x:c>
    </x:row>
    <x:row r="261" spans="1:33" x14ac:dyDescent="0.25">
      <x:c r="A261" t="str">
        <x:f>"        Roundhill BIG Bank ETF"</x:f>
        <x:v xml:space="preserve">        Roundhill BIG Bank ETF</x:v>
      </x:c>
      <x:c r="B261" t="str">
        <x:f>"BIGB US Equity"</x:f>
        <x:v>BIGB US Equity</x:v>
      </x:c>
      <x:c r="E261" t="str">
        <x:f t="shared" si="8"/>
        <x:v>Expression</x:v>
      </x:c>
      <x:c r="F261">
        <x:f ca="1">IF(AND($B$1012=1,LEN($F$1265)&gt;0),$F$1265,HLOOKUP(INDIRECT(ADDRESS(2,COLUMN())),OFFSET($T$2,0,0,ROW()-1,14),ROW()-1,FALSE))</x:f>
        <x:v>0</x:v>
      </x:c>
      <x:c r="G261">
        <x:f ca="1">IF(AND($B$1012=1,LEN($G$1265)&gt;0),$G$1265,HLOOKUP(INDIRECT(ADDRESS(2,COLUMN())),OFFSET($T$2,0,0,ROW()-1,14),ROW()-1,FALSE))</x:f>
        <x:v>-1.7802640000000001</x:v>
      </x:c>
      <x:c r="H261">
        <x:f ca="1">IF(AND($B$1012=1,LEN($H$1265)&gt;0),$H$1265,HLOOKUP(INDIRECT(ADDRESS(2,COLUMN())),OFFSET($T$2,0,0,ROW()-1,14),ROW()-1,FALSE))</x:f>
        <x:v>0.78352500000000003</x:v>
      </x:c>
      <x:c r="I261">
        <x:f ca="1">IF(AND($B$1012=1,LEN($I$1265)&gt;0),$I$1265,HLOOKUP(INDIRECT(ADDRESS(2,COLUMN())),OFFSET($T$2,0,0,ROW()-1,14),ROW()-1,FALSE))</x:f>
        <x:v>0</x:v>
      </x:c>
      <x:c r="J261">
        <x:f ca="1">IF(AND($B$1012=1,LEN($J$1265)&gt;0),$J$1265,HLOOKUP(INDIRECT(ADDRESS(2,COLUMN())),OFFSET($T$2,0,0,ROW()-1,14),ROW()-1,FALSE))</x:f>
        <x:v>0.79766999999999999</x:v>
      </x:c>
      <x:c r="K261">
        <x:f ca="1">IF(AND($B$1012=1,LEN($K$1265)&gt;0),$K$1265,HLOOKUP(INDIRECT(ADDRESS(2,COLUMN())),OFFSET($T$2,0,0,ROW()-1,14),ROW()-1,FALSE))</x:f>
        <x:v>-1.524E-3</x:v>
      </x:c>
      <x:c r="L261">
        <x:f ca="1">IF(AND($B$1012=1,LEN($L$1265)&gt;0),$L$1265,HLOOKUP(INDIRECT(ADDRESS(2,COLUMN())),OFFSET($T$2,0,0,ROW()-1,14),ROW()-1,FALSE))</x:f>
        <x:v>0</x:v>
      </x:c>
      <x:c r="M261">
        <x:f ca="1">IF(AND($B$1012=1,LEN($M$1265)&gt;0),$M$1265,HLOOKUP(INDIRECT(ADDRESS(2,COLUMN())),OFFSET($T$2,0,0,ROW()-1,14),ROW()-1,FALSE))</x:f>
        <x:v>0.26058300000000001</x:v>
      </x:c>
      <x:c r="N261">
        <x:f ca="1">IF(AND($B$1012=1,LEN($N$1265)&gt;0),$N$1265,HLOOKUP(INDIRECT(ADDRESS(2,COLUMN())),OFFSET($T$2,0,0,ROW()-1,14),ROW()-1,FALSE))</x:f>
        <x:v>3.2633909999999999</x:v>
      </x:c>
      <x:c r="O261" t="str">
        <x:f ca="1">IF(AND($B$1012=1,LEN($O$1265)&gt;0),$O$1265,HLOOKUP(INDIRECT(ADDRESS(2,COLUMN())),OFFSET($T$2,0,0,ROW()-1,14),ROW()-1,FALSE))</x:f>
        <x:v/>
      </x:c>
      <x:c r="P261" t="str">
        <x:f ca="1">IF(AND($B$1012=1,LEN($P$1265)&gt;0),$P$1265,HLOOKUP(INDIRECT(ADDRESS(2,COLUMN())),OFFSET($T$2,0,0,ROW()-1,14),ROW()-1,FALSE))</x:f>
        <x:v/>
      </x:c>
      <x:c r="Q261" t="str">
        <x:f ca="1">IF(AND($B$1012=1,LEN($Q$1265)&gt;0),$Q$1265,HLOOKUP(INDIRECT(ADDRESS(2,COLUMN())),OFFSET($T$2,0,0,ROW()-1,14),ROW()-1,FALSE))</x:f>
        <x:v/>
      </x:c>
      <x:c r="R261" t="str">
        <x:f ca="1">IF(AND($B$1012=1,LEN($R$1265)&gt;0),$R$1265,HLOOKUP(INDIRECT(ADDRESS(2,COLUMN())),OFFSET($T$2,0,0,ROW()-1,14),ROW()-1,FALSE))</x:f>
        <x:v/>
      </x:c>
      <x:c r="S261" t="str">
        <x:f ca="1">IF(AND($B$1012=1,LEN($S$1265)&gt;0),$S$1265,HLOOKUP(INDIRECT(ADDRESS(2,COLUMN())),OFFSET($T$2,0,0,ROW()-1,14),ROW()-1,FALSE))</x:f>
        <x:v/>
      </x:c>
      <x:c r="T261">
        <x:f>0</x:f>
        <x:v>0</x:v>
      </x:c>
      <x:c r="U261">
        <x:f>-1.780264</x:f>
        <x:v>-1.7802640000000001</x:v>
      </x:c>
      <x:c r="V261">
        <x:f>0.783525</x:f>
        <x:v>0.78352500000000003</x:v>
      </x:c>
      <x:c r="W261">
        <x:f>0</x:f>
        <x:v>0</x:v>
      </x:c>
      <x:c r="X261">
        <x:f>0.79767</x:f>
        <x:v>0.79766999999999999</x:v>
      </x:c>
      <x:c r="Y261">
        <x:f>-0.001524</x:f>
        <x:v>-1.524E-3</x:v>
      </x:c>
      <x:c r="Z261">
        <x:f>0</x:f>
        <x:v>0</x:v>
      </x:c>
      <x:c r="AA261">
        <x:f>0.260583</x:f>
        <x:v>0.26058300000000001</x:v>
      </x:c>
      <x:c r="AB261">
        <x:f>3.263391</x:f>
        <x:v>3.2633909999999999</x:v>
      </x:c>
      <x:c r="AC261" t="str">
        <x:f>""</x:f>
        <x:v/>
      </x:c>
      <x:c r="AD261" t="str">
        <x:f>""</x:f>
        <x:v/>
      </x:c>
      <x:c r="AE261" t="str">
        <x:f>""</x:f>
        <x:v/>
      </x:c>
      <x:c r="AF261" t="str">
        <x:f>""</x:f>
        <x:v/>
      </x:c>
      <x:c r="AG261" t="str">
        <x:f>""</x:f>
        <x:v/>
      </x:c>
    </x:row>
    <x:row r="262" spans="1:33" x14ac:dyDescent="0.25">
      <x:c r="A262" t="str">
        <x:f>"        GraniteShares 1.5x Long COIN D"</x:f>
        <x:v xml:space="preserve">        GraniteShares 1.5x Long COIN D</x:v>
      </x:c>
      <x:c r="B262" t="str">
        <x:f>"CONL US Equity"</x:f>
        <x:v>CONL US Equity</x:v>
      </x:c>
      <x:c r="E262" t="str">
        <x:f t="shared" si="8"/>
        <x:v>Expression</x:v>
      </x:c>
      <x:c r="F262">
        <x:f ca="1">IF(AND($B$1012=1,LEN($F$1266)&gt;0),$F$1266,HLOOKUP(INDIRECT(ADDRESS(2,COLUMN())),OFFSET($T$2,0,0,ROW()-1,14),ROW()-1,FALSE))</x:f>
        <x:v>-0.75193600000000005</x:v>
      </x:c>
      <x:c r="G262">
        <x:f ca="1">IF(AND($B$1012=1,LEN($G$1266)&gt;0),$G$1266,HLOOKUP(INDIRECT(ADDRESS(2,COLUMN())),OFFSET($T$2,0,0,ROW()-1,14),ROW()-1,FALSE))</x:f>
        <x:v>0.88527500000000003</x:v>
      </x:c>
      <x:c r="H262">
        <x:f ca="1">IF(AND($B$1012=1,LEN($H$1266)&gt;0),$H$1266,HLOOKUP(INDIRECT(ADDRESS(2,COLUMN())),OFFSET($T$2,0,0,ROW()-1,14),ROW()-1,FALSE))</x:f>
        <x:v>-0.22691600000000001</x:v>
      </x:c>
      <x:c r="I262">
        <x:f ca="1">IF(AND($B$1012=1,LEN($I$1266)&gt;0),$I$1266,HLOOKUP(INDIRECT(ADDRESS(2,COLUMN())),OFFSET($T$2,0,0,ROW()-1,14),ROW()-1,FALSE))</x:f>
        <x:v>2.2740309999999999</x:v>
      </x:c>
      <x:c r="J262">
        <x:f ca="1">IF(AND($B$1012=1,LEN($J$1266)&gt;0),$J$1266,HLOOKUP(INDIRECT(ADDRESS(2,COLUMN())),OFFSET($T$2,0,0,ROW()-1,14),ROW()-1,FALSE))</x:f>
        <x:v>-1.2475020000000001</x:v>
      </x:c>
      <x:c r="K262">
        <x:f ca="1">IF(AND($B$1012=1,LEN($K$1266)&gt;0),$K$1266,HLOOKUP(INDIRECT(ADDRESS(2,COLUMN())),OFFSET($T$2,0,0,ROW()-1,14),ROW()-1,FALSE))</x:f>
        <x:v>1.2268840000000001</x:v>
      </x:c>
      <x:c r="L262">
        <x:f ca="1">IF(AND($B$1012=1,LEN($L$1266)&gt;0),$L$1266,HLOOKUP(INDIRECT(ADDRESS(2,COLUMN())),OFFSET($T$2,0,0,ROW()-1,14),ROW()-1,FALSE))</x:f>
        <x:v>-0.25039499999999998</x:v>
      </x:c>
      <x:c r="M262">
        <x:f ca="1">IF(AND($B$1012=1,LEN($M$1266)&gt;0),$M$1266,HLOOKUP(INDIRECT(ADDRESS(2,COLUMN())),OFFSET($T$2,0,0,ROW()-1,14),ROW()-1,FALSE))</x:f>
        <x:v>-9.1904E-2</x:v>
      </x:c>
      <x:c r="N262">
        <x:f ca="1">IF(AND($B$1012=1,LEN($N$1266)&gt;0),$N$1266,HLOOKUP(INDIRECT(ADDRESS(2,COLUMN())),OFFSET($T$2,0,0,ROW()-1,14),ROW()-1,FALSE))</x:f>
        <x:v>1.6946639999999999</x:v>
      </x:c>
      <x:c r="O262">
        <x:f ca="1">IF(AND($B$1012=1,LEN($O$1266)&gt;0),$O$1266,HLOOKUP(INDIRECT(ADDRESS(2,COLUMN())),OFFSET($T$2,0,0,ROW()-1,14),ROW()-1,FALSE))</x:f>
        <x:v>3.16533</x:v>
      </x:c>
      <x:c r="P262">
        <x:f ca="1">IF(AND($B$1012=1,LEN($P$1266)&gt;0),$P$1266,HLOOKUP(INDIRECT(ADDRESS(2,COLUMN())),OFFSET($T$2,0,0,ROW()-1,14),ROW()-1,FALSE))</x:f>
        <x:v>0.241343</x:v>
      </x:c>
      <x:c r="Q262">
        <x:f ca="1">IF(AND($B$1012=1,LEN($Q$1266)&gt;0),$Q$1266,HLOOKUP(INDIRECT(ADDRESS(2,COLUMN())),OFFSET($T$2,0,0,ROW()-1,14),ROW()-1,FALSE))</x:f>
        <x:v>4.4566000000000001E-2</x:v>
      </x:c>
      <x:c r="R262">
        <x:f ca="1">IF(AND($B$1012=1,LEN($R$1266)&gt;0),$R$1266,HLOOKUP(INDIRECT(ADDRESS(2,COLUMN())),OFFSET($T$2,0,0,ROW()-1,14),ROW()-1,FALSE))</x:f>
        <x:v>1.2507649999999999</x:v>
      </x:c>
      <x:c r="S262">
        <x:f ca="1">IF(AND($B$1012=1,LEN($S$1266)&gt;0),$S$1266,HLOOKUP(INDIRECT(ADDRESS(2,COLUMN())),OFFSET($T$2,0,0,ROW()-1,14),ROW()-1,FALSE))</x:f>
        <x:v>-0.43071100000000001</x:v>
      </x:c>
      <x:c r="T262">
        <x:f>-0.751936</x:f>
        <x:v>-0.75193600000000005</x:v>
      </x:c>
      <x:c r="U262">
        <x:f>0.885275</x:f>
        <x:v>0.88527500000000003</x:v>
      </x:c>
      <x:c r="V262">
        <x:f>-0.226916</x:f>
        <x:v>-0.22691600000000001</x:v>
      </x:c>
      <x:c r="W262">
        <x:f>2.274031</x:f>
        <x:v>2.2740309999999999</x:v>
      </x:c>
      <x:c r="X262">
        <x:f>-1.247502</x:f>
        <x:v>-1.2475020000000001</x:v>
      </x:c>
      <x:c r="Y262">
        <x:f>1.226884</x:f>
        <x:v>1.2268840000000001</x:v>
      </x:c>
      <x:c r="Z262">
        <x:f>-0.250395</x:f>
        <x:v>-0.25039499999999998</x:v>
      </x:c>
      <x:c r="AA262">
        <x:f>-0.091904</x:f>
        <x:v>-9.1904E-2</x:v>
      </x:c>
      <x:c r="AB262">
        <x:f>1.694664</x:f>
        <x:v>1.6946639999999999</x:v>
      </x:c>
      <x:c r="AC262">
        <x:f>3.16533</x:f>
        <x:v>3.16533</x:v>
      </x:c>
      <x:c r="AD262">
        <x:f>0.241343</x:f>
        <x:v>0.241343</x:v>
      </x:c>
      <x:c r="AE262">
        <x:f>0.044566</x:f>
        <x:v>4.4566000000000001E-2</x:v>
      </x:c>
      <x:c r="AF262">
        <x:f>1.250765</x:f>
        <x:v>1.2507649999999999</x:v>
      </x:c>
      <x:c r="AG262">
        <x:f>-0.430711</x:f>
        <x:v>-0.43071100000000001</x:v>
      </x:c>
    </x:row>
    <x:row r="263" spans="1:33" x14ac:dyDescent="0.25">
      <x:c r="A263" t="str">
        <x:f>"        Global X Financials Covered Ca"</x:f>
        <x:v xml:space="preserve">        Global X Financials Covered Ca</x:v>
      </x:c>
      <x:c r="B263" t="str">
        <x:f>"FYLG US Equity"</x:f>
        <x:v>FYLG US Equity</x:v>
      </x:c>
      <x:c r="E263" t="str">
        <x:f t="shared" si="8"/>
        <x:v>Expression</x:v>
      </x:c>
      <x:c r="F263">
        <x:f ca="1">IF(AND($B$1012=1,LEN($F$1267)&gt;0),$F$1267,HLOOKUP(INDIRECT(ADDRESS(2,COLUMN())),OFFSET($T$2,0,0,ROW()-1,14),ROW()-1,FALSE))</x:f>
        <x:v>0</x:v>
      </x:c>
      <x:c r="G263">
        <x:f ca="1">IF(AND($B$1012=1,LEN($G$1267)&gt;0),$G$1267,HLOOKUP(INDIRECT(ADDRESS(2,COLUMN())),OFFSET($T$2,0,0,ROW()-1,14),ROW()-1,FALSE))</x:f>
        <x:v>0</x:v>
      </x:c>
      <x:c r="H263">
        <x:f ca="1">IF(AND($B$1012=1,LEN($H$1267)&gt;0),$H$1267,HLOOKUP(INDIRECT(ADDRESS(2,COLUMN())),OFFSET($T$2,0,0,ROW()-1,14),ROW()-1,FALSE))</x:f>
        <x:v>0</x:v>
      </x:c>
      <x:c r="I263">
        <x:f ca="1">IF(AND($B$1012=1,LEN($I$1267)&gt;0),$I$1267,HLOOKUP(INDIRECT(ADDRESS(2,COLUMN())),OFFSET($T$2,0,0,ROW()-1,14),ROW()-1,FALSE))</x:f>
        <x:v>0</x:v>
      </x:c>
      <x:c r="J263">
        <x:f ca="1">IF(AND($B$1012=1,LEN($J$1267)&gt;0),$J$1267,HLOOKUP(INDIRECT(ADDRESS(2,COLUMN())),OFFSET($T$2,0,0,ROW()-1,14),ROW()-1,FALSE))</x:f>
        <x:v>0</x:v>
      </x:c>
      <x:c r="K263">
        <x:f ca="1">IF(AND($B$1012=1,LEN($K$1267)&gt;0),$K$1267,HLOOKUP(INDIRECT(ADDRESS(2,COLUMN())),OFFSET($T$2,0,0,ROW()-1,14),ROW()-1,FALSE))</x:f>
        <x:v>0</x:v>
      </x:c>
      <x:c r="L263">
        <x:f ca="1">IF(AND($B$1012=1,LEN($L$1267)&gt;0),$L$1267,HLOOKUP(INDIRECT(ADDRESS(2,COLUMN())),OFFSET($T$2,0,0,ROW()-1,14),ROW()-1,FALSE))</x:f>
        <x:v>0</x:v>
      </x:c>
      <x:c r="M263">
        <x:f ca="1">IF(AND($B$1012=1,LEN($M$1267)&gt;0),$M$1267,HLOOKUP(INDIRECT(ADDRESS(2,COLUMN())),OFFSET($T$2,0,0,ROW()-1,14),ROW()-1,FALSE))</x:f>
        <x:v>0</x:v>
      </x:c>
      <x:c r="N263">
        <x:f ca="1">IF(AND($B$1012=1,LEN($N$1267)&gt;0),$N$1267,HLOOKUP(INDIRECT(ADDRESS(2,COLUMN())),OFFSET($T$2,0,0,ROW()-1,14),ROW()-1,FALSE))</x:f>
        <x:v>0</x:v>
      </x:c>
      <x:c r="O263">
        <x:f ca="1">IF(AND($B$1012=1,LEN($O$1267)&gt;0),$O$1267,HLOOKUP(INDIRECT(ADDRESS(2,COLUMN())),OFFSET($T$2,0,0,ROW()-1,14),ROW()-1,FALSE))</x:f>
        <x:v>0</x:v>
      </x:c>
      <x:c r="P263">
        <x:f ca="1">IF(AND($B$1012=1,LEN($P$1267)&gt;0),$P$1267,HLOOKUP(INDIRECT(ADDRESS(2,COLUMN())),OFFSET($T$2,0,0,ROW()-1,14),ROW()-1,FALSE))</x:f>
        <x:v>0</x:v>
      </x:c>
      <x:c r="Q263">
        <x:f ca="1">IF(AND($B$1012=1,LEN($Q$1267)&gt;0),$Q$1267,HLOOKUP(INDIRECT(ADDRESS(2,COLUMN())),OFFSET($T$2,0,0,ROW()-1,14),ROW()-1,FALSE))</x:f>
        <x:v>0</x:v>
      </x:c>
      <x:c r="R263">
        <x:f ca="1">IF(AND($B$1012=1,LEN($R$1267)&gt;0),$R$1267,HLOOKUP(INDIRECT(ADDRESS(2,COLUMN())),OFFSET($T$2,0,0,ROW()-1,14),ROW()-1,FALSE))</x:f>
        <x:v>0</x:v>
      </x:c>
      <x:c r="S263" t="str">
        <x:f ca="1">IF(AND($B$1012=1,LEN($S$1267)&gt;0),$S$1267,HLOOKUP(INDIRECT(ADDRESS(2,COLUMN())),OFFSET($T$2,0,0,ROW()-1,14),ROW()-1,FALSE))</x:f>
        <x:v/>
      </x:c>
      <x:c r="T263">
        <x:f>0</x:f>
        <x:v>0</x:v>
      </x:c>
      <x:c r="U263">
        <x:f>0</x:f>
        <x:v>0</x:v>
      </x:c>
      <x:c r="V263">
        <x:f>0</x:f>
        <x:v>0</x:v>
      </x:c>
      <x:c r="W263">
        <x:f>0</x:f>
        <x:v>0</x:v>
      </x:c>
      <x:c r="X263">
        <x:f>0</x:f>
        <x:v>0</x:v>
      </x:c>
      <x:c r="Y263">
        <x:f>0</x:f>
        <x:v>0</x:v>
      </x:c>
      <x:c r="Z263">
        <x:f>0</x:f>
        <x:v>0</x:v>
      </x:c>
      <x:c r="AA263">
        <x:f>0</x:f>
        <x:v>0</x:v>
      </x:c>
      <x:c r="AB263">
        <x:f>0</x:f>
        <x:v>0</x:v>
      </x:c>
      <x:c r="AC263">
        <x:f>0</x:f>
        <x:v>0</x:v>
      </x:c>
      <x:c r="AD263">
        <x:f>0</x:f>
        <x:v>0</x:v>
      </x:c>
      <x:c r="AE263">
        <x:f>0</x:f>
        <x:v>0</x:v>
      </x:c>
      <x:c r="AF263">
        <x:f>0</x:f>
        <x:v>0</x:v>
      </x:c>
      <x:c r="AG263" t="str">
        <x:f>""</x:f>
        <x:v/>
      </x:c>
    </x:row>
    <x:row r="264" spans="1:33" x14ac:dyDescent="0.25">
      <x:c r="A264" t="str">
        <x:f>"        Gabelli Financial Services Opp"</x:f>
        <x:v xml:space="preserve">        Gabelli Financial Services Opp</x:v>
      </x:c>
      <x:c r="B264" t="str">
        <x:f>"GABF US Equity"</x:f>
        <x:v>GABF US Equity</x:v>
      </x:c>
      <x:c r="E264" t="str">
        <x:f t="shared" si="8"/>
        <x:v>Expression</x:v>
      </x:c>
      <x:c r="F264">
        <x:f ca="1">IF(AND($B$1012=1,LEN($F$1268)&gt;0),$F$1268,HLOOKUP(INDIRECT(ADDRESS(2,COLUMN())),OFFSET($T$2,0,0,ROW()-1,14),ROW()-1,FALSE))</x:f>
        <x:v>0</x:v>
      </x:c>
      <x:c r="G264">
        <x:f ca="1">IF(AND($B$1012=1,LEN($G$1268)&gt;0),$G$1268,HLOOKUP(INDIRECT(ADDRESS(2,COLUMN())),OFFSET($T$2,0,0,ROW()-1,14),ROW()-1,FALSE))</x:f>
        <x:v>0</x:v>
      </x:c>
      <x:c r="H264">
        <x:f ca="1">IF(AND($B$1012=1,LEN($H$1268)&gt;0),$H$1268,HLOOKUP(INDIRECT(ADDRESS(2,COLUMN())),OFFSET($T$2,0,0,ROW()-1,14),ROW()-1,FALSE))</x:f>
        <x:v>0.29898999999999998</x:v>
      </x:c>
      <x:c r="I264">
        <x:f ca="1">IF(AND($B$1012=1,LEN($I$1268)&gt;0),$I$1268,HLOOKUP(INDIRECT(ADDRESS(2,COLUMN())),OFFSET($T$2,0,0,ROW()-1,14),ROW()-1,FALSE))</x:f>
        <x:v>0.29757</x:v>
      </x:c>
      <x:c r="J264">
        <x:f ca="1">IF(AND($B$1012=1,LEN($J$1268)&gt;0),$J$1268,HLOOKUP(INDIRECT(ADDRESS(2,COLUMN())),OFFSET($T$2,0,0,ROW()-1,14),ROW()-1,FALSE))</x:f>
        <x:v>0.59501300000000001</x:v>
      </x:c>
      <x:c r="K264">
        <x:f ca="1">IF(AND($B$1012=1,LEN($K$1268)&gt;0),$K$1268,HLOOKUP(INDIRECT(ADDRESS(2,COLUMN())),OFFSET($T$2,0,0,ROW()-1,14),ROW()-1,FALSE))</x:f>
        <x:v>0.27541100000000002</x:v>
      </x:c>
      <x:c r="L264">
        <x:f ca="1">IF(AND($B$1012=1,LEN($L$1268)&gt;0),$L$1268,HLOOKUP(INDIRECT(ADDRESS(2,COLUMN())),OFFSET($T$2,0,0,ROW()-1,14),ROW()-1,FALSE))</x:f>
        <x:v>0</x:v>
      </x:c>
      <x:c r="M264">
        <x:f ca="1">IF(AND($B$1012=1,LEN($M$1268)&gt;0),$M$1268,HLOOKUP(INDIRECT(ADDRESS(2,COLUMN())),OFFSET($T$2,0,0,ROW()-1,14),ROW()-1,FALSE))</x:f>
        <x:v>0.27051500000000001</x:v>
      </x:c>
      <x:c r="N264">
        <x:f ca="1">IF(AND($B$1012=1,LEN($N$1268)&gt;0),$N$1268,HLOOKUP(INDIRECT(ADDRESS(2,COLUMN())),OFFSET($T$2,0,0,ROW()-1,14),ROW()-1,FALSE))</x:f>
        <x:v>0</x:v>
      </x:c>
      <x:c r="O264">
        <x:f ca="1">IF(AND($B$1012=1,LEN($O$1268)&gt;0),$O$1268,HLOOKUP(INDIRECT(ADDRESS(2,COLUMN())),OFFSET($T$2,0,0,ROW()-1,14),ROW()-1,FALSE))</x:f>
        <x:v>0.14446600000000001</x:v>
      </x:c>
      <x:c r="P264">
        <x:f ca="1">IF(AND($B$1012=1,LEN($P$1268)&gt;0),$P$1268,HLOOKUP(INDIRECT(ADDRESS(2,COLUMN())),OFFSET($T$2,0,0,ROW()-1,14),ROW()-1,FALSE))</x:f>
        <x:v>0</x:v>
      </x:c>
      <x:c r="Q264">
        <x:f ca="1">IF(AND($B$1012=1,LEN($Q$1268)&gt;0),$Q$1268,HLOOKUP(INDIRECT(ADDRESS(2,COLUMN())),OFFSET($T$2,0,0,ROW()-1,14),ROW()-1,FALSE))</x:f>
        <x:v>0</x:v>
      </x:c>
      <x:c r="R264">
        <x:f ca="1">IF(AND($B$1012=1,LEN($R$1268)&gt;0),$R$1268,HLOOKUP(INDIRECT(ADDRESS(2,COLUMN())),OFFSET($T$2,0,0,ROW()-1,14),ROW()-1,FALSE))</x:f>
        <x:v>0</x:v>
      </x:c>
      <x:c r="S264">
        <x:f ca="1">IF(AND($B$1012=1,LEN($S$1268)&gt;0),$S$1268,HLOOKUP(INDIRECT(ADDRESS(2,COLUMN())),OFFSET($T$2,0,0,ROW()-1,14),ROW()-1,FALSE))</x:f>
        <x:v>0</x:v>
      </x:c>
      <x:c r="T264">
        <x:f>0</x:f>
        <x:v>0</x:v>
      </x:c>
      <x:c r="U264">
        <x:f>0</x:f>
        <x:v>0</x:v>
      </x:c>
      <x:c r="V264">
        <x:f>0.29899</x:f>
        <x:v>0.29898999999999998</x:v>
      </x:c>
      <x:c r="W264">
        <x:f>0.29757</x:f>
        <x:v>0.29757</x:v>
      </x:c>
      <x:c r="X264">
        <x:f>0.595013</x:f>
        <x:v>0.59501300000000001</x:v>
      </x:c>
      <x:c r="Y264">
        <x:f>0.275411</x:f>
        <x:v>0.27541100000000002</x:v>
      </x:c>
      <x:c r="Z264">
        <x:f>0</x:f>
        <x:v>0</x:v>
      </x:c>
      <x:c r="AA264">
        <x:f>0.270515</x:f>
        <x:v>0.27051500000000001</x:v>
      </x:c>
      <x:c r="AB264">
        <x:f>0</x:f>
        <x:v>0</x:v>
      </x:c>
      <x:c r="AC264">
        <x:f>0.144466</x:f>
        <x:v>0.14446600000000001</x:v>
      </x:c>
      <x:c r="AD264">
        <x:f>0</x:f>
        <x:v>0</x:v>
      </x:c>
      <x:c r="AE264">
        <x:f>0</x:f>
        <x:v>0</x:v>
      </x:c>
      <x:c r="AF264">
        <x:f>0</x:f>
        <x:v>0</x:v>
      </x:c>
      <x:c r="AG264">
        <x:f>0</x:f>
        <x:v>0</x:v>
      </x:c>
    </x:row>
    <x:row r="265" spans="1:33" x14ac:dyDescent="0.25">
      <x:c r="A265" t="str">
        <x:f>"    Health Care"</x:f>
        <x:v xml:space="preserve">    Health Care</x:v>
      </x:c>
      <x:c r="B265" t="str">
        <x:f>""</x:f>
        <x:v/>
      </x:c>
      <x:c r="E265" t="str">
        <x:f>"Sum"</x:f>
        <x:v>Sum</x:v>
      </x:c>
      <x:c r="F265">
        <x:f ca="1">IF(ISERROR(IF(SUM($F$266:$F$326) = 0, "", SUM($F$266:$F$326))), "", (IF(SUM($F$266:$F$326) = 0, "", SUM($F$266:$F$326))))</x:f>
        <x:v>561.31360200000017</x:v>
      </x:c>
      <x:c r="G265">
        <x:f ca="1">IF(ISERROR(IF(SUM($G$266:$G$326) = 0, "", SUM($G$266:$G$326))), "", (IF(SUM($G$266:$G$326) = 0, "", SUM($G$266:$G$326))))</x:f>
        <x:v>-1373.3562089999998</x:v>
      </x:c>
      <x:c r="H265">
        <x:f ca="1">IF(ISERROR(IF(SUM($H$266:$H$326) = 0, "", SUM($H$266:$H$326))), "", (IF(SUM($H$266:$H$326) = 0, "", SUM($H$266:$H$326))))</x:f>
        <x:v>-1554.8848899999998</x:v>
      </x:c>
      <x:c r="I265">
        <x:f ca="1">IF(ISERROR(IF(SUM($I$266:$I$326) = 0, "", SUM($I$266:$I$326))), "", (IF(SUM($I$266:$I$326) = 0, "", SUM($I$266:$I$326))))</x:f>
        <x:v>-102.28530299999998</x:v>
      </x:c>
      <x:c r="J265">
        <x:f ca="1">IF(ISERROR(IF(SUM($J$266:$J$326) = 0, "", SUM($J$266:$J$326))), "", (IF(SUM($J$266:$J$326) = 0, "", SUM($J$266:$J$326))))</x:f>
        <x:v>-1322.6078639999996</x:v>
      </x:c>
      <x:c r="K265">
        <x:f ca="1">IF(ISERROR(IF(SUM($K$266:$K$326) = 0, "", SUM($K$266:$K$326))), "", (IF(SUM($K$266:$K$326) = 0, "", SUM($K$266:$K$326))))</x:f>
        <x:v>-321.16688600000009</x:v>
      </x:c>
      <x:c r="L265">
        <x:f ca="1">IF(ISERROR(IF(SUM($L$266:$L$326) = 0, "", SUM($L$266:$L$326))), "", (IF(SUM($L$266:$L$326) = 0, "", SUM($L$266:$L$326))))</x:f>
        <x:v>473.66157600000003</x:v>
      </x:c>
      <x:c r="M265">
        <x:f ca="1">IF(ISERROR(IF(SUM($M$266:$M$326) = 0, "", SUM($M$266:$M$326))), "", (IF(SUM($M$266:$M$326) = 0, "", SUM($M$266:$M$326))))</x:f>
        <x:v>-339.057592</x:v>
      </x:c>
      <x:c r="N265">
        <x:f ca="1">IF(ISERROR(IF(SUM($N$266:$N$326) = 0, "", SUM($N$266:$N$326))), "", (IF(SUM($N$266:$N$326) = 0, "", SUM($N$266:$N$326))))</x:f>
        <x:v>-1508.9740930000003</x:v>
      </x:c>
      <x:c r="O265">
        <x:f ca="1">IF(ISERROR(IF(SUM($O$266:$O$326) = 0, "", SUM($O$266:$O$326))), "", (IF(SUM($O$266:$O$326) = 0, "", SUM($O$266:$O$326))))</x:f>
        <x:v>-1542.4192159999998</x:v>
      </x:c>
      <x:c r="P265">
        <x:f ca="1">IF(ISERROR(IF(SUM($P$266:$P$326) = 0, "", SUM($P$266:$P$326))), "", (IF(SUM($P$266:$P$326) = 0, "", SUM($P$266:$P$326))))</x:f>
        <x:v>-1159.1785999999997</x:v>
      </x:c>
      <x:c r="Q265">
        <x:f ca="1">IF(ISERROR(IF(SUM($Q$266:$Q$326) = 0, "", SUM($Q$266:$Q$326))), "", (IF(SUM($Q$266:$Q$326) = 0, "", SUM($Q$266:$Q$326))))</x:f>
        <x:v>-510.00680199999999</x:v>
      </x:c>
      <x:c r="R265">
        <x:f ca="1">IF(ISERROR(IF(SUM($R$266:$R$326) = 0, "", SUM($R$266:$R$326))), "", (IF(SUM($R$266:$R$326) = 0, "", SUM($R$266:$R$326))))</x:f>
        <x:v>2713.5257580000007</x:v>
      </x:c>
      <x:c r="S265">
        <x:f ca="1">IF(ISERROR(IF(SUM($S$266:$S$326) = 0, "", SUM($S$266:$S$326))), "", (IF(SUM($S$266:$S$326) = 0, "", SUM($S$266:$S$326))))</x:f>
        <x:v>1436.7284190000005</x:v>
      </x:c>
      <x:c r="T265">
        <x:f>561.313602</x:f>
        <x:v>561.31360199999995</x:v>
      </x:c>
      <x:c r="U265">
        <x:f>-1373.356209</x:f>
        <x:v>-1373.356209</x:v>
      </x:c>
      <x:c r="V265">
        <x:f>-1554.88489</x:f>
        <x:v>-1554.88489</x:v>
      </x:c>
      <x:c r="W265">
        <x:f>-102.285303</x:f>
        <x:v>-102.285303</x:v>
      </x:c>
      <x:c r="X265">
        <x:f>-1322.607864</x:f>
        <x:v>-1322.6078640000001</x:v>
      </x:c>
      <x:c r="Y265">
        <x:f>-321.166886</x:f>
        <x:v>-321.16688599999998</x:v>
      </x:c>
      <x:c r="Z265">
        <x:f>473.661576</x:f>
        <x:v>473.66157600000003</x:v>
      </x:c>
      <x:c r="AA265">
        <x:f>-339.057592</x:f>
        <x:v>-339.057592</x:v>
      </x:c>
      <x:c r="AB265">
        <x:f>-1508.974093</x:f>
        <x:v>-1508.974093</x:v>
      </x:c>
      <x:c r="AC265">
        <x:f>-1542.419216</x:f>
        <x:v>-1542.419216</x:v>
      </x:c>
      <x:c r="AD265">
        <x:f>-1159.1786</x:f>
        <x:v>-1159.1786</x:v>
      </x:c>
      <x:c r="AE265">
        <x:f>-510.006802</x:f>
        <x:v>-510.00680199999999</x:v>
      </x:c>
      <x:c r="AF265">
        <x:f>2713.525758</x:f>
        <x:v>2713.5257580000002</x:v>
      </x:c>
      <x:c r="AG265">
        <x:f>1436.728419</x:f>
        <x:v>1436.728419</x:v>
      </x:c>
    </x:row>
    <x:row r="266" spans="1:33" x14ac:dyDescent="0.25">
      <x:c r="A266" t="str">
        <x:f>"        Health Care Select Sector SPDR"</x:f>
        <x:v xml:space="preserve">        Health Care Select Sector SPDR</x:v>
      </x:c>
      <x:c r="B266" t="str">
        <x:f>"XLV US Equity"</x:f>
        <x:v>XLV US Equity</x:v>
      </x:c>
      <x:c r="E266" t="str">
        <x:f t="shared" ref="E266:E297" si="9">"Expression"</x:f>
        <x:v>Expression</x:v>
      </x:c>
      <x:c r="F266">
        <x:f ca="1">IF(AND($B$1012=1,LEN($F$1269)&gt;0),$F$1269,HLOOKUP(INDIRECT(ADDRESS(2,COLUMN())),OFFSET($T$2,0,0,ROW()-1,14),ROW()-1,FALSE))</x:f>
        <x:v>558.12327000000005</x:v>
      </x:c>
      <x:c r="G266">
        <x:f ca="1">IF(AND($B$1012=1,LEN($G$1269)&gt;0),$G$1269,HLOOKUP(INDIRECT(ADDRESS(2,COLUMN())),OFFSET($T$2,0,0,ROW()-1,14),ROW()-1,FALSE))</x:f>
        <x:v>-894.90911100000005</x:v>
      </x:c>
      <x:c r="H266">
        <x:f ca="1">IF(AND($B$1012=1,LEN($H$1269)&gt;0),$H$1269,HLOOKUP(INDIRECT(ADDRESS(2,COLUMN())),OFFSET($T$2,0,0,ROW()-1,14),ROW()-1,FALSE))</x:f>
        <x:v>-1150.3637659999999</x:v>
      </x:c>
      <x:c r="I266">
        <x:f ca="1">IF(AND($B$1012=1,LEN($I$1269)&gt;0),$I$1269,HLOOKUP(INDIRECT(ADDRESS(2,COLUMN())),OFFSET($T$2,0,0,ROW()-1,14),ROW()-1,FALSE))</x:f>
        <x:v>293.49940500000002</x:v>
      </x:c>
      <x:c r="J266">
        <x:f ca="1">IF(AND($B$1012=1,LEN($J$1269)&gt;0),$J$1269,HLOOKUP(INDIRECT(ADDRESS(2,COLUMN())),OFFSET($T$2,0,0,ROW()-1,14),ROW()-1,FALSE))</x:f>
        <x:v>-1345.7300319999999</x:v>
      </x:c>
      <x:c r="K266">
        <x:f ca="1">IF(AND($B$1012=1,LEN($K$1269)&gt;0),$K$1269,HLOOKUP(INDIRECT(ADDRESS(2,COLUMN())),OFFSET($T$2,0,0,ROW()-1,14),ROW()-1,FALSE))</x:f>
        <x:v>160.958833</x:v>
      </x:c>
      <x:c r="L266">
        <x:f ca="1">IF(AND($B$1012=1,LEN($L$1269)&gt;0),$L$1269,HLOOKUP(INDIRECT(ADDRESS(2,COLUMN())),OFFSET($T$2,0,0,ROW()-1,14),ROW()-1,FALSE))</x:f>
        <x:v>1344.1631809999999</x:v>
      </x:c>
      <x:c r="M266">
        <x:f ca="1">IF(AND($B$1012=1,LEN($M$1269)&gt;0),$M$1269,HLOOKUP(INDIRECT(ADDRESS(2,COLUMN())),OFFSET($T$2,0,0,ROW()-1,14),ROW()-1,FALSE))</x:f>
        <x:v>155.780767</x:v>
      </x:c>
      <x:c r="N266">
        <x:f ca="1">IF(AND($B$1012=1,LEN($N$1269)&gt;0),$N$1269,HLOOKUP(INDIRECT(ADDRESS(2,COLUMN())),OFFSET($T$2,0,0,ROW()-1,14),ROW()-1,FALSE))</x:f>
        <x:v>-1061.9779309999999</x:v>
      </x:c>
      <x:c r="O266">
        <x:f ca="1">IF(AND($B$1012=1,LEN($O$1269)&gt;0),$O$1269,HLOOKUP(INDIRECT(ADDRESS(2,COLUMN())),OFFSET($T$2,0,0,ROW()-1,14),ROW()-1,FALSE))</x:f>
        <x:v>-153.25450900000001</x:v>
      </x:c>
      <x:c r="P266">
        <x:f ca="1">IF(AND($B$1012=1,LEN($P$1269)&gt;0),$P$1269,HLOOKUP(INDIRECT(ADDRESS(2,COLUMN())),OFFSET($T$2,0,0,ROW()-1,14),ROW()-1,FALSE))</x:f>
        <x:v>-366.92881499999999</x:v>
      </x:c>
      <x:c r="Q266">
        <x:f ca="1">IF(AND($B$1012=1,LEN($Q$1269)&gt;0),$Q$1269,HLOOKUP(INDIRECT(ADDRESS(2,COLUMN())),OFFSET($T$2,0,0,ROW()-1,14),ROW()-1,FALSE))</x:f>
        <x:v>-292.74676699999998</x:v>
      </x:c>
      <x:c r="R266">
        <x:f ca="1">IF(AND($B$1012=1,LEN($R$1269)&gt;0),$R$1269,HLOOKUP(INDIRECT(ADDRESS(2,COLUMN())),OFFSET($T$2,0,0,ROW()-1,14),ROW()-1,FALSE))</x:f>
        <x:v>1267.8800180000001</x:v>
      </x:c>
      <x:c r="S266">
        <x:f ca="1">IF(AND($B$1012=1,LEN($S$1269)&gt;0),$S$1269,HLOOKUP(INDIRECT(ADDRESS(2,COLUMN())),OFFSET($T$2,0,0,ROW()-1,14),ROW()-1,FALSE))</x:f>
        <x:v>781.05017199999998</x:v>
      </x:c>
      <x:c r="T266">
        <x:f>558.12327</x:f>
        <x:v>558.12327000000005</x:v>
      </x:c>
      <x:c r="U266">
        <x:f>-894.909111</x:f>
        <x:v>-894.90911100000005</x:v>
      </x:c>
      <x:c r="V266">
        <x:f>-1150.363766</x:f>
        <x:v>-1150.3637659999999</x:v>
      </x:c>
      <x:c r="W266">
        <x:f>293.499405</x:f>
        <x:v>293.49940500000002</x:v>
      </x:c>
      <x:c r="X266">
        <x:f>-1345.730032</x:f>
        <x:v>-1345.7300319999999</x:v>
      </x:c>
      <x:c r="Y266">
        <x:f>160.958833</x:f>
        <x:v>160.958833</x:v>
      </x:c>
      <x:c r="Z266">
        <x:f>1344.163181</x:f>
        <x:v>1344.1631809999999</x:v>
      </x:c>
      <x:c r="AA266">
        <x:f>155.780767</x:f>
        <x:v>155.780767</x:v>
      </x:c>
      <x:c r="AB266">
        <x:f>-1061.977931</x:f>
        <x:v>-1061.9779309999999</x:v>
      </x:c>
      <x:c r="AC266">
        <x:f>-153.254509</x:f>
        <x:v>-153.25450900000001</x:v>
      </x:c>
      <x:c r="AD266">
        <x:f>-366.928815</x:f>
        <x:v>-366.92881499999999</x:v>
      </x:c>
      <x:c r="AE266">
        <x:f>-292.746767</x:f>
        <x:v>-292.74676699999998</x:v>
      </x:c>
      <x:c r="AF266">
        <x:f>1267.880018</x:f>
        <x:v>1267.8800180000001</x:v>
      </x:c>
      <x:c r="AG266">
        <x:f>781.050172</x:f>
        <x:v>781.05017199999998</x:v>
      </x:c>
    </x:row>
    <x:row r="267" spans="1:33" x14ac:dyDescent="0.25">
      <x:c r="A267" t="str">
        <x:f>"        iShares Biotechnology ETF"</x:f>
        <x:v xml:space="preserve">        iShares Biotechnology ETF</x:v>
      </x:c>
      <x:c r="B267" t="str">
        <x:f>"IBB US Equity"</x:f>
        <x:v>IBB US Equity</x:v>
      </x:c>
      <x:c r="E267" t="str">
        <x:f t="shared" si="9"/>
        <x:v>Expression</x:v>
      </x:c>
      <x:c r="F267">
        <x:f ca="1">IF(AND($B$1012=1,LEN($F$1270)&gt;0),$F$1270,HLOOKUP(INDIRECT(ADDRESS(2,COLUMN())),OFFSET($T$2,0,0,ROW()-1,14),ROW()-1,FALSE))</x:f>
        <x:v>-188.761019</x:v>
      </x:c>
      <x:c r="G267">
        <x:f ca="1">IF(AND($B$1012=1,LEN($G$1270)&gt;0),$G$1270,HLOOKUP(INDIRECT(ADDRESS(2,COLUMN())),OFFSET($T$2,0,0,ROW()-1,14),ROW()-1,FALSE))</x:f>
        <x:v>-68.155607000000003</x:v>
      </x:c>
      <x:c r="H267">
        <x:f ca="1">IF(AND($B$1012=1,LEN($H$1270)&gt;0),$H$1270,HLOOKUP(INDIRECT(ADDRESS(2,COLUMN())),OFFSET($T$2,0,0,ROW()-1,14),ROW()-1,FALSE))</x:f>
        <x:v>-146.29762299999999</x:v>
      </x:c>
      <x:c r="I267">
        <x:f ca="1">IF(AND($B$1012=1,LEN($I$1270)&gt;0),$I$1270,HLOOKUP(INDIRECT(ADDRESS(2,COLUMN())),OFFSET($T$2,0,0,ROW()-1,14),ROW()-1,FALSE))</x:f>
        <x:v>-108.00877</x:v>
      </x:c>
      <x:c r="J267">
        <x:f ca="1">IF(AND($B$1012=1,LEN($J$1270)&gt;0),$J$1270,HLOOKUP(INDIRECT(ADDRESS(2,COLUMN())),OFFSET($T$2,0,0,ROW()-1,14),ROW()-1,FALSE))</x:f>
        <x:v>-106.07989000000001</x:v>
      </x:c>
      <x:c r="K267">
        <x:f ca="1">IF(AND($B$1012=1,LEN($K$1270)&gt;0),$K$1270,HLOOKUP(INDIRECT(ADDRESS(2,COLUMN())),OFFSET($T$2,0,0,ROW()-1,14),ROW()-1,FALSE))</x:f>
        <x:v>51.517935000000001</x:v>
      </x:c>
      <x:c r="L267">
        <x:f ca="1">IF(AND($B$1012=1,LEN($L$1270)&gt;0),$L$1270,HLOOKUP(INDIRECT(ADDRESS(2,COLUMN())),OFFSET($T$2,0,0,ROW()-1,14),ROW()-1,FALSE))</x:f>
        <x:v>-114.53737</x:v>
      </x:c>
      <x:c r="M267">
        <x:f ca="1">IF(AND($B$1012=1,LEN($M$1270)&gt;0),$M$1270,HLOOKUP(INDIRECT(ADDRESS(2,COLUMN())),OFFSET($T$2,0,0,ROW()-1,14),ROW()-1,FALSE))</x:f>
        <x:v>-223.44813500000001</x:v>
      </x:c>
      <x:c r="N267">
        <x:f ca="1">IF(AND($B$1012=1,LEN($N$1270)&gt;0),$N$1270,HLOOKUP(INDIRECT(ADDRESS(2,COLUMN())),OFFSET($T$2,0,0,ROW()-1,14),ROW()-1,FALSE))</x:f>
        <x:v>-177.99734000000001</x:v>
      </x:c>
      <x:c r="O267">
        <x:f ca="1">IF(AND($B$1012=1,LEN($O$1270)&gt;0),$O$1270,HLOOKUP(INDIRECT(ADDRESS(2,COLUMN())),OFFSET($T$2,0,0,ROW()-1,14),ROW()-1,FALSE))</x:f>
        <x:v>-328.87918000000002</x:v>
      </x:c>
      <x:c r="P267">
        <x:f ca="1">IF(AND($B$1012=1,LEN($P$1270)&gt;0),$P$1270,HLOOKUP(INDIRECT(ADDRESS(2,COLUMN())),OFFSET($T$2,0,0,ROW()-1,14),ROW()-1,FALSE))</x:f>
        <x:v>-54.490389999999998</x:v>
      </x:c>
      <x:c r="Q267">
        <x:f ca="1">IF(AND($B$1012=1,LEN($Q$1270)&gt;0),$Q$1270,HLOOKUP(INDIRECT(ADDRESS(2,COLUMN())),OFFSET($T$2,0,0,ROW()-1,14),ROW()-1,FALSE))</x:f>
        <x:v>152.707155</x:v>
      </x:c>
      <x:c r="R267">
        <x:f ca="1">IF(AND($B$1012=1,LEN($R$1270)&gt;0),$R$1270,HLOOKUP(INDIRECT(ADDRESS(2,COLUMN())),OFFSET($T$2,0,0,ROW()-1,14),ROW()-1,FALSE))</x:f>
        <x:v>328.52951999999999</x:v>
      </x:c>
      <x:c r="S267">
        <x:f ca="1">IF(AND($B$1012=1,LEN($S$1270)&gt;0),$S$1270,HLOOKUP(INDIRECT(ADDRESS(2,COLUMN())),OFFSET($T$2,0,0,ROW()-1,14),ROW()-1,FALSE))</x:f>
        <x:v>7.642385</x:v>
      </x:c>
      <x:c r="T267">
        <x:f>-188.761019</x:f>
        <x:v>-188.761019</x:v>
      </x:c>
      <x:c r="U267">
        <x:f>-68.155607</x:f>
        <x:v>-68.155607000000003</x:v>
      </x:c>
      <x:c r="V267">
        <x:f>-146.297623</x:f>
        <x:v>-146.29762299999999</x:v>
      </x:c>
      <x:c r="W267">
        <x:f>-108.00877</x:f>
        <x:v>-108.00877</x:v>
      </x:c>
      <x:c r="X267">
        <x:f>-106.07989</x:f>
        <x:v>-106.07989000000001</x:v>
      </x:c>
      <x:c r="Y267">
        <x:f>51.517935</x:f>
        <x:v>51.517935000000001</x:v>
      </x:c>
      <x:c r="Z267">
        <x:f>-114.53737</x:f>
        <x:v>-114.53737</x:v>
      </x:c>
      <x:c r="AA267">
        <x:f>-223.448135</x:f>
        <x:v>-223.44813500000001</x:v>
      </x:c>
      <x:c r="AB267">
        <x:f>-177.99734</x:f>
        <x:v>-177.99734000000001</x:v>
      </x:c>
      <x:c r="AC267">
        <x:f>-328.87918</x:f>
        <x:v>-328.87918000000002</x:v>
      </x:c>
      <x:c r="AD267">
        <x:f>-54.49039</x:f>
        <x:v>-54.490389999999998</x:v>
      </x:c>
      <x:c r="AE267">
        <x:f>152.707155</x:f>
        <x:v>152.707155</x:v>
      </x:c>
      <x:c r="AF267">
        <x:f>328.52952</x:f>
        <x:v>328.52951999999999</x:v>
      </x:c>
      <x:c r="AG267">
        <x:f>7.642385</x:f>
        <x:v>7.642385</x:v>
      </x:c>
    </x:row>
    <x:row r="268" spans="1:33" x14ac:dyDescent="0.25">
      <x:c r="A268" t="str">
        <x:f>"        Vanguard Health Care ETF"</x:f>
        <x:v xml:space="preserve">        Vanguard Health Care ETF</x:v>
      </x:c>
      <x:c r="B268" t="str">
        <x:f>"VHT US Equity"</x:f>
        <x:v>VHT US Equity</x:v>
      </x:c>
      <x:c r="E268" t="str">
        <x:f t="shared" si="9"/>
        <x:v>Expression</x:v>
      </x:c>
      <x:c r="F268">
        <x:f ca="1">IF(AND($B$1012=1,LEN($F$1271)&gt;0),$F$1271,HLOOKUP(INDIRECT(ADDRESS(2,COLUMN())),OFFSET($T$2,0,0,ROW()-1,14),ROW()-1,FALSE))</x:f>
        <x:v>-160.314978</x:v>
      </x:c>
      <x:c r="G268">
        <x:f ca="1">IF(AND($B$1012=1,LEN($G$1271)&gt;0),$G$1271,HLOOKUP(INDIRECT(ADDRESS(2,COLUMN())),OFFSET($T$2,0,0,ROW()-1,14),ROW()-1,FALSE))</x:f>
        <x:v>-394.89057300000002</x:v>
      </x:c>
      <x:c r="H268">
        <x:f ca="1">IF(AND($B$1012=1,LEN($H$1271)&gt;0),$H$1271,HLOOKUP(INDIRECT(ADDRESS(2,COLUMN())),OFFSET($T$2,0,0,ROW()-1,14),ROW()-1,FALSE))</x:f>
        <x:v>-13.771122999999999</x:v>
      </x:c>
      <x:c r="I268">
        <x:f ca="1">IF(AND($B$1012=1,LEN($I$1271)&gt;0),$I$1271,HLOOKUP(INDIRECT(ADDRESS(2,COLUMN())),OFFSET($T$2,0,0,ROW()-1,14),ROW()-1,FALSE))</x:f>
        <x:v>-21.682431999999999</x:v>
      </x:c>
      <x:c r="J268">
        <x:f ca="1">IF(AND($B$1012=1,LEN($J$1271)&gt;0),$J$1271,HLOOKUP(INDIRECT(ADDRESS(2,COLUMN())),OFFSET($T$2,0,0,ROW()-1,14),ROW()-1,FALSE))</x:f>
        <x:v>147.05024900000001</x:v>
      </x:c>
      <x:c r="K268">
        <x:f ca="1">IF(AND($B$1012=1,LEN($K$1271)&gt;0),$K$1271,HLOOKUP(INDIRECT(ADDRESS(2,COLUMN())),OFFSET($T$2,0,0,ROW()-1,14),ROW()-1,FALSE))</x:f>
        <x:v>-123.892456</x:v>
      </x:c>
      <x:c r="L268">
        <x:f ca="1">IF(AND($B$1012=1,LEN($L$1271)&gt;0),$L$1271,HLOOKUP(INDIRECT(ADDRESS(2,COLUMN())),OFFSET($T$2,0,0,ROW()-1,14),ROW()-1,FALSE))</x:f>
        <x:v>-152.94254799999999</x:v>
      </x:c>
      <x:c r="M268">
        <x:f ca="1">IF(AND($B$1012=1,LEN($M$1271)&gt;0),$M$1271,HLOOKUP(INDIRECT(ADDRESS(2,COLUMN())),OFFSET($T$2,0,0,ROW()-1,14),ROW()-1,FALSE))</x:f>
        <x:v>80.041302999999999</x:v>
      </x:c>
      <x:c r="N268">
        <x:f ca="1">IF(AND($B$1012=1,LEN($N$1271)&gt;0),$N$1271,HLOOKUP(INDIRECT(ADDRESS(2,COLUMN())),OFFSET($T$2,0,0,ROW()-1,14),ROW()-1,FALSE))</x:f>
        <x:v>-28.114077000000002</x:v>
      </x:c>
      <x:c r="O268">
        <x:f ca="1">IF(AND($B$1012=1,LEN($O$1271)&gt;0),$O$1271,HLOOKUP(INDIRECT(ADDRESS(2,COLUMN())),OFFSET($T$2,0,0,ROW()-1,14),ROW()-1,FALSE))</x:f>
        <x:v>6.4974629999999998</x:v>
      </x:c>
      <x:c r="P268">
        <x:f ca="1">IF(AND($B$1012=1,LEN($P$1271)&gt;0),$P$1271,HLOOKUP(INDIRECT(ADDRESS(2,COLUMN())),OFFSET($T$2,0,0,ROW()-1,14),ROW()-1,FALSE))</x:f>
        <x:v>79.805243000000004</x:v>
      </x:c>
      <x:c r="Q268">
        <x:f ca="1">IF(AND($B$1012=1,LEN($Q$1271)&gt;0),$Q$1271,HLOOKUP(INDIRECT(ADDRESS(2,COLUMN())),OFFSET($T$2,0,0,ROW()-1,14),ROW()-1,FALSE))</x:f>
        <x:v>0.153498</x:v>
      </x:c>
      <x:c r="R268">
        <x:f ca="1">IF(AND($B$1012=1,LEN($R$1271)&gt;0),$R$1271,HLOOKUP(INDIRECT(ADDRESS(2,COLUMN())),OFFSET($T$2,0,0,ROW()-1,14),ROW()-1,FALSE))</x:f>
        <x:v>-43.119596999999999</x:v>
      </x:c>
      <x:c r="S268">
        <x:f ca="1">IF(AND($B$1012=1,LEN($S$1271)&gt;0),$S$1271,HLOOKUP(INDIRECT(ADDRESS(2,COLUMN())),OFFSET($T$2,0,0,ROW()-1,14),ROW()-1,FALSE))</x:f>
        <x:v>275.40780899999999</x:v>
      </x:c>
      <x:c r="T268">
        <x:f>-160.314978</x:f>
        <x:v>-160.314978</x:v>
      </x:c>
      <x:c r="U268">
        <x:f>-394.890573</x:f>
        <x:v>-394.89057300000002</x:v>
      </x:c>
      <x:c r="V268">
        <x:f>-13.771123</x:f>
        <x:v>-13.771122999999999</x:v>
      </x:c>
      <x:c r="W268">
        <x:f>-21.682432</x:f>
        <x:v>-21.682431999999999</x:v>
      </x:c>
      <x:c r="X268">
        <x:f>147.050249</x:f>
        <x:v>147.05024900000001</x:v>
      </x:c>
      <x:c r="Y268">
        <x:f>-123.892456</x:f>
        <x:v>-123.892456</x:v>
      </x:c>
      <x:c r="Z268">
        <x:f>-152.942548</x:f>
        <x:v>-152.94254799999999</x:v>
      </x:c>
      <x:c r="AA268">
        <x:f>80.041303</x:f>
        <x:v>80.041302999999999</x:v>
      </x:c>
      <x:c r="AB268">
        <x:f>-28.114077</x:f>
        <x:v>-28.114077000000002</x:v>
      </x:c>
      <x:c r="AC268">
        <x:f>6.497463</x:f>
        <x:v>6.4974629999999998</x:v>
      </x:c>
      <x:c r="AD268">
        <x:f>79.805243</x:f>
        <x:v>79.805243000000004</x:v>
      </x:c>
      <x:c r="AE268">
        <x:f>0.153498</x:f>
        <x:v>0.153498</x:v>
      </x:c>
      <x:c r="AF268">
        <x:f>-43.119597</x:f>
        <x:v>-43.119596999999999</x:v>
      </x:c>
      <x:c r="AG268">
        <x:f>275.407809</x:f>
        <x:v>275.40780899999999</x:v>
      </x:c>
    </x:row>
    <x:row r="269" spans="1:33" x14ac:dyDescent="0.25">
      <x:c r="A269" t="str">
        <x:f>"        SPDR S&amp;P Biotech ETF"</x:f>
        <x:v xml:space="preserve">        SPDR S&amp;P Biotech ETF</x:v>
      </x:c>
      <x:c r="B269" t="str">
        <x:f>"XBI US Equity"</x:f>
        <x:v>XBI US Equity</x:v>
      </x:c>
      <x:c r="E269" t="str">
        <x:f t="shared" si="9"/>
        <x:v>Expression</x:v>
      </x:c>
      <x:c r="F269">
        <x:f ca="1">IF(AND($B$1012=1,LEN($F$1272)&gt;0),$F$1272,HLOOKUP(INDIRECT(ADDRESS(2,COLUMN())),OFFSET($T$2,0,0,ROW()-1,14),ROW()-1,FALSE))</x:f>
        <x:v>511.97466500000002</x:v>
      </x:c>
      <x:c r="G269">
        <x:f ca="1">IF(AND($B$1012=1,LEN($G$1272)&gt;0),$G$1272,HLOOKUP(INDIRECT(ADDRESS(2,COLUMN())),OFFSET($T$2,0,0,ROW()-1,14),ROW()-1,FALSE))</x:f>
        <x:v>202.28400199999999</x:v>
      </x:c>
      <x:c r="H269">
        <x:f ca="1">IF(AND($B$1012=1,LEN($H$1272)&gt;0),$H$1272,HLOOKUP(INDIRECT(ADDRESS(2,COLUMN())),OFFSET($T$2,0,0,ROW()-1,14),ROW()-1,FALSE))</x:f>
        <x:v>-1.23509</x:v>
      </x:c>
      <x:c r="I269">
        <x:f ca="1">IF(AND($B$1012=1,LEN($I$1272)&gt;0),$I$1272,HLOOKUP(INDIRECT(ADDRESS(2,COLUMN())),OFFSET($T$2,0,0,ROW()-1,14),ROW()-1,FALSE))</x:f>
        <x:v>-258.59887900000001</x:v>
      </x:c>
      <x:c r="J269">
        <x:f ca="1">IF(AND($B$1012=1,LEN($J$1272)&gt;0),$J$1272,HLOOKUP(INDIRECT(ADDRESS(2,COLUMN())),OFFSET($T$2,0,0,ROW()-1,14),ROW()-1,FALSE))</x:f>
        <x:v>47.484211999999999</x:v>
      </x:c>
      <x:c r="K269">
        <x:f ca="1">IF(AND($B$1012=1,LEN($K$1272)&gt;0),$K$1272,HLOOKUP(INDIRECT(ADDRESS(2,COLUMN())),OFFSET($T$2,0,0,ROW()-1,14),ROW()-1,FALSE))</x:f>
        <x:v>17.982659000000002</x:v>
      </x:c>
      <x:c r="L269">
        <x:f ca="1">IF(AND($B$1012=1,LEN($L$1272)&gt;0),$L$1272,HLOOKUP(INDIRECT(ADDRESS(2,COLUMN())),OFFSET($T$2,0,0,ROW()-1,14),ROW()-1,FALSE))</x:f>
        <x:v>-131.80989</x:v>
      </x:c>
      <x:c r="M269">
        <x:f ca="1">IF(AND($B$1012=1,LEN($M$1272)&gt;0),$M$1272,HLOOKUP(INDIRECT(ADDRESS(2,COLUMN())),OFFSET($T$2,0,0,ROW()-1,14),ROW()-1,FALSE))</x:f>
        <x:v>-425.02245199999999</x:v>
      </x:c>
      <x:c r="N269">
        <x:f ca="1">IF(AND($B$1012=1,LEN($N$1272)&gt;0),$N$1272,HLOOKUP(INDIRECT(ADDRESS(2,COLUMN())),OFFSET($T$2,0,0,ROW()-1,14),ROW()-1,FALSE))</x:f>
        <x:v>-90.145764</x:v>
      </x:c>
      <x:c r="O269">
        <x:f ca="1">IF(AND($B$1012=1,LEN($O$1272)&gt;0),$O$1272,HLOOKUP(INDIRECT(ADDRESS(2,COLUMN())),OFFSET($T$2,0,0,ROW()-1,14),ROW()-1,FALSE))</x:f>
        <x:v>-627.94772399999999</x:v>
      </x:c>
      <x:c r="P269">
        <x:f ca="1">IF(AND($B$1012=1,LEN($P$1272)&gt;0),$P$1272,HLOOKUP(INDIRECT(ADDRESS(2,COLUMN())),OFFSET($T$2,0,0,ROW()-1,14),ROW()-1,FALSE))</x:f>
        <x:v>-289.77960000000002</x:v>
      </x:c>
      <x:c r="Q269">
        <x:f ca="1">IF(AND($B$1012=1,LEN($Q$1272)&gt;0),$Q$1272,HLOOKUP(INDIRECT(ADDRESS(2,COLUMN())),OFFSET($T$2,0,0,ROW()-1,14),ROW()-1,FALSE))</x:f>
        <x:v>-302.29077999999998</x:v>
      </x:c>
      <x:c r="R269">
        <x:f ca="1">IF(AND($B$1012=1,LEN($R$1272)&gt;0),$R$1272,HLOOKUP(INDIRECT(ADDRESS(2,COLUMN())),OFFSET($T$2,0,0,ROW()-1,14),ROW()-1,FALSE))</x:f>
        <x:v>863.80777799999998</x:v>
      </x:c>
      <x:c r="S269">
        <x:f ca="1">IF(AND($B$1012=1,LEN($S$1272)&gt;0),$S$1272,HLOOKUP(INDIRECT(ADDRESS(2,COLUMN())),OFFSET($T$2,0,0,ROW()-1,14),ROW()-1,FALSE))</x:f>
        <x:v>331.67445900000001</x:v>
      </x:c>
      <x:c r="T269">
        <x:f>511.974665</x:f>
        <x:v>511.97466500000002</x:v>
      </x:c>
      <x:c r="U269">
        <x:f>202.284002</x:f>
        <x:v>202.28400199999999</x:v>
      </x:c>
      <x:c r="V269">
        <x:f>-1.23509</x:f>
        <x:v>-1.23509</x:v>
      </x:c>
      <x:c r="W269">
        <x:f>-258.598879</x:f>
        <x:v>-258.59887900000001</x:v>
      </x:c>
      <x:c r="X269">
        <x:f>47.484212</x:f>
        <x:v>47.484211999999999</x:v>
      </x:c>
      <x:c r="Y269">
        <x:f>17.982659</x:f>
        <x:v>17.982659000000002</x:v>
      </x:c>
      <x:c r="Z269">
        <x:f>-131.80989</x:f>
        <x:v>-131.80989</x:v>
      </x:c>
      <x:c r="AA269">
        <x:f>-425.022452</x:f>
        <x:v>-425.02245199999999</x:v>
      </x:c>
      <x:c r="AB269">
        <x:f>-90.145764</x:f>
        <x:v>-90.145764</x:v>
      </x:c>
      <x:c r="AC269">
        <x:f>-627.947724</x:f>
        <x:v>-627.94772399999999</x:v>
      </x:c>
      <x:c r="AD269">
        <x:f>-289.7796</x:f>
        <x:v>-289.77960000000002</x:v>
      </x:c>
      <x:c r="AE269">
        <x:f>-302.29078</x:f>
        <x:v>-302.29077999999998</x:v>
      </x:c>
      <x:c r="AF269">
        <x:f>863.807778</x:f>
        <x:v>863.80777799999998</x:v>
      </x:c>
      <x:c r="AG269">
        <x:f>331.674459</x:f>
        <x:v>331.67445900000001</x:v>
      </x:c>
    </x:row>
    <x:row r="270" spans="1:33" x14ac:dyDescent="0.25">
      <x:c r="A270" t="str">
        <x:f>"        iShares U.S. Healthcare ETF"</x:f>
        <x:v xml:space="preserve">        iShares U.S. Healthcare ETF</x:v>
      </x:c>
      <x:c r="B270" t="str">
        <x:f>"IYH US Equity"</x:f>
        <x:v>IYH US Equity</x:v>
      </x:c>
      <x:c r="E270" t="str">
        <x:f t="shared" si="9"/>
        <x:v>Expression</x:v>
      </x:c>
      <x:c r="F270">
        <x:f ca="1">IF(AND($B$1012=1,LEN($F$1273)&gt;0),$F$1273,HLOOKUP(INDIRECT(ADDRESS(2,COLUMN())),OFFSET($T$2,0,0,ROW()-1,14),ROW()-1,FALSE))</x:f>
        <x:v>-13.377462</x:v>
      </x:c>
      <x:c r="G270">
        <x:f ca="1">IF(AND($B$1012=1,LEN($G$1273)&gt;0),$G$1273,HLOOKUP(INDIRECT(ADDRESS(2,COLUMN())),OFFSET($T$2,0,0,ROW()-1,14),ROW()-1,FALSE))</x:f>
        <x:v>-120.713544</x:v>
      </x:c>
      <x:c r="H270">
        <x:f ca="1">IF(AND($B$1012=1,LEN($H$1273)&gt;0),$H$1273,HLOOKUP(INDIRECT(ADDRESS(2,COLUMN())),OFFSET($T$2,0,0,ROW()-1,14),ROW()-1,FALSE))</x:f>
        <x:v>-13.848922999999999</x:v>
      </x:c>
      <x:c r="I270">
        <x:f ca="1">IF(AND($B$1012=1,LEN($I$1273)&gt;0),$I$1273,HLOOKUP(INDIRECT(ADDRESS(2,COLUMN())),OFFSET($T$2,0,0,ROW()-1,14),ROW()-1,FALSE))</x:f>
        <x:v>42.239984999999997</x:v>
      </x:c>
      <x:c r="J270">
        <x:f ca="1">IF(AND($B$1012=1,LEN($J$1273)&gt;0),$J$1273,HLOOKUP(INDIRECT(ADDRESS(2,COLUMN())),OFFSET($T$2,0,0,ROW()-1,14),ROW()-1,FALSE))</x:f>
        <x:v>-27.331600000000002</x:v>
      </x:c>
      <x:c r="K270">
        <x:f ca="1">IF(AND($B$1012=1,LEN($K$1273)&gt;0),$K$1273,HLOOKUP(INDIRECT(ADDRESS(2,COLUMN())),OFFSET($T$2,0,0,ROW()-1,14),ROW()-1,FALSE))</x:f>
        <x:v>-13.942385</x:v>
      </x:c>
      <x:c r="L270">
        <x:f ca="1">IF(AND($B$1012=1,LEN($L$1273)&gt;0),$L$1273,HLOOKUP(INDIRECT(ADDRESS(2,COLUMN())),OFFSET($T$2,0,0,ROW()-1,14),ROW()-1,FALSE))</x:f>
        <x:v>-27.296845000000001</x:v>
      </x:c>
      <x:c r="M270">
        <x:f ca="1">IF(AND($B$1012=1,LEN($M$1273)&gt;0),$M$1273,HLOOKUP(INDIRECT(ADDRESS(2,COLUMN())),OFFSET($T$2,0,0,ROW()-1,14),ROW()-1,FALSE))</x:f>
        <x:v>-14.384065</x:v>
      </x:c>
      <x:c r="N270">
        <x:f ca="1">IF(AND($B$1012=1,LEN($N$1273)&gt;0),$N$1273,HLOOKUP(INDIRECT(ADDRESS(2,COLUMN())),OFFSET($T$2,0,0,ROW()-1,14),ROW()-1,FALSE))</x:f>
        <x:v>0.45301000000000002</x:v>
      </x:c>
      <x:c r="O270">
        <x:f ca="1">IF(AND($B$1012=1,LEN($O$1273)&gt;0),$O$1273,HLOOKUP(INDIRECT(ADDRESS(2,COLUMN())),OFFSET($T$2,0,0,ROW()-1,14),ROW()-1,FALSE))</x:f>
        <x:v>-27.608689999999999</x:v>
      </x:c>
      <x:c r="P270">
        <x:f ca="1">IF(AND($B$1012=1,LEN($P$1273)&gt;0),$P$1273,HLOOKUP(INDIRECT(ADDRESS(2,COLUMN())),OFFSET($T$2,0,0,ROW()-1,14),ROW()-1,FALSE))</x:f>
        <x:v>-3.3605000000000003E-2</x:v>
      </x:c>
      <x:c r="Q270">
        <x:f ca="1">IF(AND($B$1012=1,LEN($Q$1273)&gt;0),$Q$1273,HLOOKUP(INDIRECT(ADDRESS(2,COLUMN())),OFFSET($T$2,0,0,ROW()-1,14),ROW()-1,FALSE))</x:f>
        <x:v>-13.98785</x:v>
      </x:c>
      <x:c r="R270">
        <x:f ca="1">IF(AND($B$1012=1,LEN($R$1273)&gt;0),$R$1273,HLOOKUP(INDIRECT(ADDRESS(2,COLUMN())),OFFSET($T$2,0,0,ROW()-1,14),ROW()-1,FALSE))</x:f>
        <x:v>27.932865</x:v>
      </x:c>
      <x:c r="S270">
        <x:f ca="1">IF(AND($B$1012=1,LEN($S$1273)&gt;0),$S$1273,HLOOKUP(INDIRECT(ADDRESS(2,COLUMN())),OFFSET($T$2,0,0,ROW()-1,14),ROW()-1,FALSE))</x:f>
        <x:v>41.30039</x:v>
      </x:c>
      <x:c r="T270">
        <x:f>-13.377462</x:f>
        <x:v>-13.377462</x:v>
      </x:c>
      <x:c r="U270">
        <x:f>-120.713544</x:f>
        <x:v>-120.713544</x:v>
      </x:c>
      <x:c r="V270">
        <x:f>-13.848923</x:f>
        <x:v>-13.848922999999999</x:v>
      </x:c>
      <x:c r="W270">
        <x:f>42.239985</x:f>
        <x:v>42.239984999999997</x:v>
      </x:c>
      <x:c r="X270">
        <x:f>-27.3316</x:f>
        <x:v>-27.331600000000002</x:v>
      </x:c>
      <x:c r="Y270">
        <x:f>-13.942385</x:f>
        <x:v>-13.942385</x:v>
      </x:c>
      <x:c r="Z270">
        <x:f>-27.296845</x:f>
        <x:v>-27.296845000000001</x:v>
      </x:c>
      <x:c r="AA270">
        <x:f>-14.384065</x:f>
        <x:v>-14.384065</x:v>
      </x:c>
      <x:c r="AB270">
        <x:f>0.45301</x:f>
        <x:v>0.45301000000000002</x:v>
      </x:c>
      <x:c r="AC270">
        <x:f>-27.60869</x:f>
        <x:v>-27.608689999999999</x:v>
      </x:c>
      <x:c r="AD270">
        <x:f>-0.033605</x:f>
        <x:v>-3.3605000000000003E-2</x:v>
      </x:c>
      <x:c r="AE270">
        <x:f>-13.98785</x:f>
        <x:v>-13.98785</x:v>
      </x:c>
      <x:c r="AF270">
        <x:f>27.932865</x:f>
        <x:v>27.932865</x:v>
      </x:c>
      <x:c r="AG270">
        <x:f>41.30039</x:f>
        <x:v>41.30039</x:v>
      </x:c>
    </x:row>
    <x:row r="271" spans="1:33" x14ac:dyDescent="0.25">
      <x:c r="A271" t="str">
        <x:f>"        iShares Global Healthcare ETF"</x:f>
        <x:v xml:space="preserve">        iShares Global Healthcare ETF</x:v>
      </x:c>
      <x:c r="B271" t="str">
        <x:f>"IXJ US Equity"</x:f>
        <x:v>IXJ US Equity</x:v>
      </x:c>
      <x:c r="E271" t="str">
        <x:f t="shared" si="9"/>
        <x:v>Expression</x:v>
      </x:c>
      <x:c r="F271">
        <x:f ca="1">IF(AND($B$1012=1,LEN($F$1274)&gt;0),$F$1274,HLOOKUP(INDIRECT(ADDRESS(2,COLUMN())),OFFSET($T$2,0,0,ROW()-1,14),ROW()-1,FALSE))</x:f>
        <x:v>-28.411721</x:v>
      </x:c>
      <x:c r="G271">
        <x:f ca="1">IF(AND($B$1012=1,LEN($G$1274)&gt;0),$G$1274,HLOOKUP(INDIRECT(ADDRESS(2,COLUMN())),OFFSET($T$2,0,0,ROW()-1,14),ROW()-1,FALSE))</x:f>
        <x:v>12.714109000000001</x:v>
      </x:c>
      <x:c r="H271">
        <x:f ca="1">IF(AND($B$1012=1,LEN($H$1274)&gt;0),$H$1274,HLOOKUP(INDIRECT(ADDRESS(2,COLUMN())),OFFSET($T$2,0,0,ROW()-1,14),ROW()-1,FALSE))</x:f>
        <x:v>75.371581000000006</x:v>
      </x:c>
      <x:c r="I271">
        <x:f ca="1">IF(AND($B$1012=1,LEN($I$1274)&gt;0),$I$1274,HLOOKUP(INDIRECT(ADDRESS(2,COLUMN())),OFFSET($T$2,0,0,ROW()-1,14),ROW()-1,FALSE))</x:f>
        <x:v>50.734679999999997</x:v>
      </x:c>
      <x:c r="J271">
        <x:f ca="1">IF(AND($B$1012=1,LEN($J$1274)&gt;0),$J$1274,HLOOKUP(INDIRECT(ADDRESS(2,COLUMN())),OFFSET($T$2,0,0,ROW()-1,14),ROW()-1,FALSE))</x:f>
        <x:v>25.604610000000001</x:v>
      </x:c>
      <x:c r="K271">
        <x:f ca="1">IF(AND($B$1012=1,LEN($K$1274)&gt;0),$K$1274,HLOOKUP(INDIRECT(ADDRESS(2,COLUMN())),OFFSET($T$2,0,0,ROW()-1,14),ROW()-1,FALSE))</x:f>
        <x:v>-122.314515</x:v>
      </x:c>
      <x:c r="L271">
        <x:f ca="1">IF(AND($B$1012=1,LEN($L$1274)&gt;0),$L$1274,HLOOKUP(INDIRECT(ADDRESS(2,COLUMN())),OFFSET($T$2,0,0,ROW()-1,14),ROW()-1,FALSE))</x:f>
        <x:v>-253.36022</x:v>
      </x:c>
      <x:c r="M271">
        <x:f ca="1">IF(AND($B$1012=1,LEN($M$1274)&gt;0),$M$1274,HLOOKUP(INDIRECT(ADDRESS(2,COLUMN())),OFFSET($T$2,0,0,ROW()-1,14),ROW()-1,FALSE))</x:f>
        <x:v>129.97979000000001</x:v>
      </x:c>
      <x:c r="N271">
        <x:f ca="1">IF(AND($B$1012=1,LEN($N$1274)&gt;0),$N$1274,HLOOKUP(INDIRECT(ADDRESS(2,COLUMN())),OFFSET($T$2,0,0,ROW()-1,14),ROW()-1,FALSE))</x:f>
        <x:v>70.148049999999998</x:v>
      </x:c>
      <x:c r="O271">
        <x:f ca="1">IF(AND($B$1012=1,LEN($O$1274)&gt;0),$O$1274,HLOOKUP(INDIRECT(ADDRESS(2,COLUMN())),OFFSET($T$2,0,0,ROW()-1,14),ROW()-1,FALSE))</x:f>
        <x:v>-246.14434499999999</x:v>
      </x:c>
      <x:c r="P271">
        <x:f ca="1">IF(AND($B$1012=1,LEN($P$1274)&gt;0),$P$1274,HLOOKUP(INDIRECT(ADDRESS(2,COLUMN())),OFFSET($T$2,0,0,ROW()-1,14),ROW()-1,FALSE))</x:f>
        <x:v>-105.94821</x:v>
      </x:c>
      <x:c r="Q271">
        <x:f ca="1">IF(AND($B$1012=1,LEN($Q$1274)&gt;0),$Q$1274,HLOOKUP(INDIRECT(ADDRESS(2,COLUMN())),OFFSET($T$2,0,0,ROW()-1,14),ROW()-1,FALSE))</x:f>
        <x:v>118.68254</x:v>
      </x:c>
      <x:c r="R271">
        <x:f ca="1">IF(AND($B$1012=1,LEN($R$1274)&gt;0),$R$1274,HLOOKUP(INDIRECT(ADDRESS(2,COLUMN())),OFFSET($T$2,0,0,ROW()-1,14),ROW()-1,FALSE))</x:f>
        <x:v>408.99529999999999</x:v>
      </x:c>
      <x:c r="S271">
        <x:f ca="1">IF(AND($B$1012=1,LEN($S$1274)&gt;0),$S$1274,HLOOKUP(INDIRECT(ADDRESS(2,COLUMN())),OFFSET($T$2,0,0,ROW()-1,14),ROW()-1,FALSE))</x:f>
        <x:v>24.442119999999999</x:v>
      </x:c>
      <x:c r="T271">
        <x:f>-28.411721</x:f>
        <x:v>-28.411721</x:v>
      </x:c>
      <x:c r="U271">
        <x:f>12.714109</x:f>
        <x:v>12.714109000000001</x:v>
      </x:c>
      <x:c r="V271">
        <x:f>75.371581</x:f>
        <x:v>75.371581000000006</x:v>
      </x:c>
      <x:c r="W271">
        <x:f>50.73468</x:f>
        <x:v>50.734679999999997</x:v>
      </x:c>
      <x:c r="X271">
        <x:f>25.60461</x:f>
        <x:v>25.604610000000001</x:v>
      </x:c>
      <x:c r="Y271">
        <x:f>-122.314515</x:f>
        <x:v>-122.314515</x:v>
      </x:c>
      <x:c r="Z271">
        <x:f>-253.36022</x:f>
        <x:v>-253.36022</x:v>
      </x:c>
      <x:c r="AA271">
        <x:f>129.97979</x:f>
        <x:v>129.97979000000001</x:v>
      </x:c>
      <x:c r="AB271">
        <x:f>70.14805</x:f>
        <x:v>70.148049999999998</x:v>
      </x:c>
      <x:c r="AC271">
        <x:f>-246.144345</x:f>
        <x:v>-246.14434499999999</x:v>
      </x:c>
      <x:c r="AD271">
        <x:f>-105.94821</x:f>
        <x:v>-105.94821</x:v>
      </x:c>
      <x:c r="AE271">
        <x:f>118.68254</x:f>
        <x:v>118.68254</x:v>
      </x:c>
      <x:c r="AF271">
        <x:f>408.9953</x:f>
        <x:v>408.99529999999999</x:v>
      </x:c>
      <x:c r="AG271">
        <x:f>24.44212</x:f>
        <x:v>24.442119999999999</x:v>
      </x:c>
    </x:row>
    <x:row r="272" spans="1:33" x14ac:dyDescent="0.25">
      <x:c r="A272" t="str">
        <x:f>"        iShares U.S. Medical Devices E"</x:f>
        <x:v xml:space="preserve">        iShares U.S. Medical Devices E</x:v>
      </x:c>
      <x:c r="B272" t="str">
        <x:f>"IHI US Equity"</x:f>
        <x:v>IHI US Equity</x:v>
      </x:c>
      <x:c r="E272" t="str">
        <x:f t="shared" si="9"/>
        <x:v>Expression</x:v>
      </x:c>
      <x:c r="F272">
        <x:f ca="1">IF(AND($B$1012=1,LEN($F$1275)&gt;0),$F$1275,HLOOKUP(INDIRECT(ADDRESS(2,COLUMN())),OFFSET($T$2,0,0,ROW()-1,14),ROW()-1,FALSE))</x:f>
        <x:v>-32.671714999999999</x:v>
      </x:c>
      <x:c r="G272">
        <x:f ca="1">IF(AND($B$1012=1,LEN($G$1275)&gt;0),$G$1275,HLOOKUP(INDIRECT(ADDRESS(2,COLUMN())),OFFSET($T$2,0,0,ROW()-1,14),ROW()-1,FALSE))</x:f>
        <x:v>-107.21191</x:v>
      </x:c>
      <x:c r="H272">
        <x:f ca="1">IF(AND($B$1012=1,LEN($H$1275)&gt;0),$H$1275,HLOOKUP(INDIRECT(ADDRESS(2,COLUMN())),OFFSET($T$2,0,0,ROW()-1,14),ROW()-1,FALSE))</x:f>
        <x:v>-132.263282</x:v>
      </x:c>
      <x:c r="I272">
        <x:f ca="1">IF(AND($B$1012=1,LEN($I$1275)&gt;0),$I$1275,HLOOKUP(INDIRECT(ADDRESS(2,COLUMN())),OFFSET($T$2,0,0,ROW()-1,14),ROW()-1,FALSE))</x:f>
        <x:v>-84.872450000000001</x:v>
      </x:c>
      <x:c r="J272">
        <x:f ca="1">IF(AND($B$1012=1,LEN($J$1275)&gt;0),$J$1275,HLOOKUP(INDIRECT(ADDRESS(2,COLUMN())),OFFSET($T$2,0,0,ROW()-1,14),ROW()-1,FALSE))</x:f>
        <x:v>21.077855</x:v>
      </x:c>
      <x:c r="K272">
        <x:f ca="1">IF(AND($B$1012=1,LEN($K$1275)&gt;0),$K$1275,HLOOKUP(INDIRECT(ADDRESS(2,COLUMN())),OFFSET($T$2,0,0,ROW()-1,14),ROW()-1,FALSE))</x:f>
        <x:v>-118.893055</x:v>
      </x:c>
      <x:c r="L272">
        <x:f ca="1">IF(AND($B$1012=1,LEN($L$1275)&gt;0),$L$1275,HLOOKUP(INDIRECT(ADDRESS(2,COLUMN())),OFFSET($T$2,0,0,ROW()-1,14),ROW()-1,FALSE))</x:f>
        <x:v>-58.687975000000002</x:v>
      </x:c>
      <x:c r="M272">
        <x:f ca="1">IF(AND($B$1012=1,LEN($M$1275)&gt;0),$M$1275,HLOOKUP(INDIRECT(ADDRESS(2,COLUMN())),OFFSET($T$2,0,0,ROW()-1,14),ROW()-1,FALSE))</x:f>
        <x:v>35.360644999999998</x:v>
      </x:c>
      <x:c r="N272">
        <x:f ca="1">IF(AND($B$1012=1,LEN($N$1275)&gt;0),$N$1275,HLOOKUP(INDIRECT(ADDRESS(2,COLUMN())),OFFSET($T$2,0,0,ROW()-1,14),ROW()-1,FALSE))</x:f>
        <x:v>-73.611085000000003</x:v>
      </x:c>
      <x:c r="O272">
        <x:f ca="1">IF(AND($B$1012=1,LEN($O$1275)&gt;0),$O$1275,HLOOKUP(INDIRECT(ADDRESS(2,COLUMN())),OFFSET($T$2,0,0,ROW()-1,14),ROW()-1,FALSE))</x:f>
        <x:v>-109.20520500000001</x:v>
      </x:c>
      <x:c r="P272">
        <x:f ca="1">IF(AND($B$1012=1,LEN($P$1275)&gt;0),$P$1275,HLOOKUP(INDIRECT(ADDRESS(2,COLUMN())),OFFSET($T$2,0,0,ROW()-1,14),ROW()-1,FALSE))</x:f>
        <x:v>-122.41624</x:v>
      </x:c>
      <x:c r="Q272">
        <x:f ca="1">IF(AND($B$1012=1,LEN($Q$1275)&gt;0),$Q$1275,HLOOKUP(INDIRECT(ADDRESS(2,COLUMN())),OFFSET($T$2,0,0,ROW()-1,14),ROW()-1,FALSE))</x:f>
        <x:v>-200.50872000000001</x:v>
      </x:c>
      <x:c r="R272">
        <x:f ca="1">IF(AND($B$1012=1,LEN($R$1275)&gt;0),$R$1275,HLOOKUP(INDIRECT(ADDRESS(2,COLUMN())),OFFSET($T$2,0,0,ROW()-1,14),ROW()-1,FALSE))</x:f>
        <x:v>-59.742899999999999</x:v>
      </x:c>
      <x:c r="S272">
        <x:f ca="1">IF(AND($B$1012=1,LEN($S$1275)&gt;0),$S$1275,HLOOKUP(INDIRECT(ADDRESS(2,COLUMN())),OFFSET($T$2,0,0,ROW()-1,14),ROW()-1,FALSE))</x:f>
        <x:v>-54.509590000000003</x:v>
      </x:c>
      <x:c r="T272">
        <x:f>-32.671715</x:f>
        <x:v>-32.671714999999999</x:v>
      </x:c>
      <x:c r="U272">
        <x:f>-107.21191</x:f>
        <x:v>-107.21191</x:v>
      </x:c>
      <x:c r="V272">
        <x:f>-132.263282</x:f>
        <x:v>-132.263282</x:v>
      </x:c>
      <x:c r="W272">
        <x:f>-84.87245</x:f>
        <x:v>-84.872450000000001</x:v>
      </x:c>
      <x:c r="X272">
        <x:f>21.077855</x:f>
        <x:v>21.077855</x:v>
      </x:c>
      <x:c r="Y272">
        <x:f>-118.893055</x:f>
        <x:v>-118.893055</x:v>
      </x:c>
      <x:c r="Z272">
        <x:f>-58.687975</x:f>
        <x:v>-58.687975000000002</x:v>
      </x:c>
      <x:c r="AA272">
        <x:f>35.360645</x:f>
        <x:v>35.360644999999998</x:v>
      </x:c>
      <x:c r="AB272">
        <x:f>-73.611085</x:f>
        <x:v>-73.611085000000003</x:v>
      </x:c>
      <x:c r="AC272">
        <x:f>-109.205205</x:f>
        <x:v>-109.20520500000001</x:v>
      </x:c>
      <x:c r="AD272">
        <x:f>-122.41624</x:f>
        <x:v>-122.41624</x:v>
      </x:c>
      <x:c r="AE272">
        <x:f>-200.50872</x:f>
        <x:v>-200.50872000000001</x:v>
      </x:c>
      <x:c r="AF272">
        <x:f>-59.7429</x:f>
        <x:v>-59.742899999999999</x:v>
      </x:c>
      <x:c r="AG272">
        <x:f>-54.50959</x:f>
        <x:v>-54.509590000000003</x:v>
      </x:c>
    </x:row>
    <x:row r="273" spans="1:33" x14ac:dyDescent="0.25">
      <x:c r="A273" t="str">
        <x:f>"        First Trust Health Care AlphaD"</x:f>
        <x:v xml:space="preserve">        First Trust Health Care AlphaD</x:v>
      </x:c>
      <x:c r="B273" t="str">
        <x:f>"FXH US Equity"</x:f>
        <x:v>FXH US Equity</x:v>
      </x:c>
      <x:c r="E273" t="str">
        <x:f t="shared" si="9"/>
        <x:v>Expression</x:v>
      </x:c>
      <x:c r="F273">
        <x:f ca="1">IF(AND($B$1012=1,LEN($F$1276)&gt;0),$F$1276,HLOOKUP(INDIRECT(ADDRESS(2,COLUMN())),OFFSET($T$2,0,0,ROW()-1,14),ROW()-1,FALSE))</x:f>
        <x:v>-18.357728000000002</x:v>
      </x:c>
      <x:c r="G273">
        <x:f ca="1">IF(AND($B$1012=1,LEN($G$1276)&gt;0),$G$1276,HLOOKUP(INDIRECT(ADDRESS(2,COLUMN())),OFFSET($T$2,0,0,ROW()-1,14),ROW()-1,FALSE))</x:f>
        <x:v>-42.421114000000003</x:v>
      </x:c>
      <x:c r="H273">
        <x:f ca="1">IF(AND($B$1012=1,LEN($H$1276)&gt;0),$H$1276,HLOOKUP(INDIRECT(ADDRESS(2,COLUMN())),OFFSET($T$2,0,0,ROW()-1,14),ROW()-1,FALSE))</x:f>
        <x:v>-34.530431</x:v>
      </x:c>
      <x:c r="I273">
        <x:f ca="1">IF(AND($B$1012=1,LEN($I$1276)&gt;0),$I$1276,HLOOKUP(INDIRECT(ADDRESS(2,COLUMN())),OFFSET($T$2,0,0,ROW()-1,14),ROW()-1,FALSE))</x:f>
        <x:v>-57.083258999999998</x:v>
      </x:c>
      <x:c r="J273">
        <x:f ca="1">IF(AND($B$1012=1,LEN($J$1276)&gt;0),$J$1276,HLOOKUP(INDIRECT(ADDRESS(2,COLUMN())),OFFSET($T$2,0,0,ROW()-1,14),ROW()-1,FALSE))</x:f>
        <x:v>-16.065999999999999</x:v>
      </x:c>
      <x:c r="K273">
        <x:f ca="1">IF(AND($B$1012=1,LEN($K$1276)&gt;0),$K$1276,HLOOKUP(INDIRECT(ADDRESS(2,COLUMN())),OFFSET($T$2,0,0,ROW()-1,14),ROW()-1,FALSE))</x:f>
        <x:v>15.9595</x:v>
      </x:c>
      <x:c r="L273">
        <x:f ca="1">IF(AND($B$1012=1,LEN($L$1276)&gt;0),$L$1276,HLOOKUP(INDIRECT(ADDRESS(2,COLUMN())),OFFSET($T$2,0,0,ROW()-1,14),ROW()-1,FALSE))</x:f>
        <x:v>-26.429500000000001</x:v>
      </x:c>
      <x:c r="M273">
        <x:f ca="1">IF(AND($B$1012=1,LEN($M$1276)&gt;0),$M$1276,HLOOKUP(INDIRECT(ADDRESS(2,COLUMN())),OFFSET($T$2,0,0,ROW()-1,14),ROW()-1,FALSE))</x:f>
        <x:v>-5.5049999999999999</x:v>
      </x:c>
      <x:c r="N273">
        <x:f ca="1">IF(AND($B$1012=1,LEN($N$1276)&gt;0),$N$1276,HLOOKUP(INDIRECT(ADDRESS(2,COLUMN())),OFFSET($T$2,0,0,ROW()-1,14),ROW()-1,FALSE))</x:f>
        <x:v>-10.365</x:v>
      </x:c>
      <x:c r="O273">
        <x:f ca="1">IF(AND($B$1012=1,LEN($O$1276)&gt;0),$O$1276,HLOOKUP(INDIRECT(ADDRESS(2,COLUMN())),OFFSET($T$2,0,0,ROW()-1,14),ROW()-1,FALSE))</x:f>
        <x:v>-11.548500000000001</x:v>
      </x:c>
      <x:c r="P273">
        <x:f ca="1">IF(AND($B$1012=1,LEN($P$1276)&gt;0),$P$1276,HLOOKUP(INDIRECT(ADDRESS(2,COLUMN())),OFFSET($T$2,0,0,ROW()-1,14),ROW()-1,FALSE))</x:f>
        <x:v>38.547953</x:v>
      </x:c>
      <x:c r="Q273">
        <x:f ca="1">IF(AND($B$1012=1,LEN($Q$1276)&gt;0),$Q$1276,HLOOKUP(INDIRECT(ADDRESS(2,COLUMN())),OFFSET($T$2,0,0,ROW()-1,14),ROW()-1,FALSE))</x:f>
        <x:v>5.6188180000000001</x:v>
      </x:c>
      <x:c r="R273">
        <x:f ca="1">IF(AND($B$1012=1,LEN($R$1276)&gt;0),$R$1276,HLOOKUP(INDIRECT(ADDRESS(2,COLUMN())),OFFSET($T$2,0,0,ROW()-1,14),ROW()-1,FALSE))</x:f>
        <x:v>26.370557000000002</x:v>
      </x:c>
      <x:c r="S273">
        <x:f ca="1">IF(AND($B$1012=1,LEN($S$1276)&gt;0),$S$1276,HLOOKUP(INDIRECT(ADDRESS(2,COLUMN())),OFFSET($T$2,0,0,ROW()-1,14),ROW()-1,FALSE))</x:f>
        <x:v>-9.9732149999999997</x:v>
      </x:c>
      <x:c r="T273">
        <x:f>-18.357728</x:f>
        <x:v>-18.357728000000002</x:v>
      </x:c>
      <x:c r="U273">
        <x:f>-42.421114</x:f>
        <x:v>-42.421114000000003</x:v>
      </x:c>
      <x:c r="V273">
        <x:f>-34.530431</x:f>
        <x:v>-34.530431</x:v>
      </x:c>
      <x:c r="W273">
        <x:f>-57.083259</x:f>
        <x:v>-57.083258999999998</x:v>
      </x:c>
      <x:c r="X273">
        <x:f>-16.066</x:f>
        <x:v>-16.065999999999999</x:v>
      </x:c>
      <x:c r="Y273">
        <x:f>15.9595</x:f>
        <x:v>15.9595</x:v>
      </x:c>
      <x:c r="Z273">
        <x:f>-26.4295</x:f>
        <x:v>-26.429500000000001</x:v>
      </x:c>
      <x:c r="AA273">
        <x:f>-5.505</x:f>
        <x:v>-5.5049999999999999</x:v>
      </x:c>
      <x:c r="AB273">
        <x:f>-10.365</x:f>
        <x:v>-10.365</x:v>
      </x:c>
      <x:c r="AC273">
        <x:f>-11.5485</x:f>
        <x:v>-11.548500000000001</x:v>
      </x:c>
      <x:c r="AD273">
        <x:f>38.547953</x:f>
        <x:v>38.547953</x:v>
      </x:c>
      <x:c r="AE273">
        <x:f>5.618818</x:f>
        <x:v>5.6188180000000001</x:v>
      </x:c>
      <x:c r="AF273">
        <x:f>26.370557</x:f>
        <x:v>26.370557000000002</x:v>
      </x:c>
      <x:c r="AG273">
        <x:f>-9.973215</x:f>
        <x:v>-9.9732149999999997</x:v>
      </x:c>
    </x:row>
    <x:row r="274" spans="1:33" x14ac:dyDescent="0.25">
      <x:c r="A274" t="str">
        <x:f>"        First Trust NYSE Arca Biotechn"</x:f>
        <x:v xml:space="preserve">        First Trust NYSE Arca Biotechn</x:v>
      </x:c>
      <x:c r="B274" t="str">
        <x:f>"FBT US Equity"</x:f>
        <x:v>FBT US Equity</x:v>
      </x:c>
      <x:c r="E274" t="str">
        <x:f t="shared" si="9"/>
        <x:v>Expression</x:v>
      </x:c>
      <x:c r="F274">
        <x:f ca="1">IF(AND($B$1012=1,LEN($F$1277)&gt;0),$F$1277,HLOOKUP(INDIRECT(ADDRESS(2,COLUMN())),OFFSET($T$2,0,0,ROW()-1,14),ROW()-1,FALSE))</x:f>
        <x:v>-13.926242</x:v>
      </x:c>
      <x:c r="G274">
        <x:f ca="1">IF(AND($B$1012=1,LEN($G$1277)&gt;0),$G$1277,HLOOKUP(INDIRECT(ADDRESS(2,COLUMN())),OFFSET($T$2,0,0,ROW()-1,14),ROW()-1,FALSE))</x:f>
        <x:v>-41.436166999999998</x:v>
      </x:c>
      <x:c r="H274">
        <x:f ca="1">IF(AND($B$1012=1,LEN($H$1277)&gt;0),$H$1277,HLOOKUP(INDIRECT(ADDRESS(2,COLUMN())),OFFSET($T$2,0,0,ROW()-1,14),ROW()-1,FALSE))</x:f>
        <x:v>-29.952752</x:v>
      </x:c>
      <x:c r="I274">
        <x:f ca="1">IF(AND($B$1012=1,LEN($I$1277)&gt;0),$I$1277,HLOOKUP(INDIRECT(ADDRESS(2,COLUMN())),OFFSET($T$2,0,0,ROW()-1,14),ROW()-1,FALSE))</x:f>
        <x:v>-45.864271000000002</x:v>
      </x:c>
      <x:c r="J274">
        <x:f ca="1">IF(AND($B$1012=1,LEN($J$1277)&gt;0),$J$1277,HLOOKUP(INDIRECT(ADDRESS(2,COLUMN())),OFFSET($T$2,0,0,ROW()-1,14),ROW()-1,FALSE))</x:f>
        <x:v>-22.827000000000002</x:v>
      </x:c>
      <x:c r="K274">
        <x:f ca="1">IF(AND($B$1012=1,LEN($K$1277)&gt;0),$K$1277,HLOOKUP(INDIRECT(ADDRESS(2,COLUMN())),OFFSET($T$2,0,0,ROW()-1,14),ROW()-1,FALSE))</x:f>
        <x:v>-31.318999999999999</x:v>
      </x:c>
      <x:c r="L274">
        <x:f ca="1">IF(AND($B$1012=1,LEN($L$1277)&gt;0),$L$1277,HLOOKUP(INDIRECT(ADDRESS(2,COLUMN())),OFFSET($T$2,0,0,ROW()-1,14),ROW()-1,FALSE))</x:f>
        <x:v>0</x:v>
      </x:c>
      <x:c r="M274">
        <x:f ca="1">IF(AND($B$1012=1,LEN($M$1277)&gt;0),$M$1277,HLOOKUP(INDIRECT(ADDRESS(2,COLUMN())),OFFSET($T$2,0,0,ROW()-1,14),ROW()-1,FALSE))</x:f>
        <x:v>-7.6849999999999996</x:v>
      </x:c>
      <x:c r="N274">
        <x:f ca="1">IF(AND($B$1012=1,LEN($N$1277)&gt;0),$N$1277,HLOOKUP(INDIRECT(ADDRESS(2,COLUMN())),OFFSET($T$2,0,0,ROW()-1,14),ROW()-1,FALSE))</x:f>
        <x:v>-7.4165000000000001</x:v>
      </x:c>
      <x:c r="O274">
        <x:f ca="1">IF(AND($B$1012=1,LEN($O$1277)&gt;0),$O$1277,HLOOKUP(INDIRECT(ADDRESS(2,COLUMN())),OFFSET($T$2,0,0,ROW()-1,14),ROW()-1,FALSE))</x:f>
        <x:v>0</x:v>
      </x:c>
      <x:c r="P274">
        <x:f ca="1">IF(AND($B$1012=1,LEN($P$1277)&gt;0),$P$1277,HLOOKUP(INDIRECT(ADDRESS(2,COLUMN())),OFFSET($T$2,0,0,ROW()-1,14),ROW()-1,FALSE))</x:f>
        <x:v>-8.048</x:v>
      </x:c>
      <x:c r="Q274">
        <x:f ca="1">IF(AND($B$1012=1,LEN($Q$1277)&gt;0),$Q$1277,HLOOKUP(INDIRECT(ADDRESS(2,COLUMN())),OFFSET($T$2,0,0,ROW()-1,14),ROW()-1,FALSE))</x:f>
        <x:v>30.786148000000001</x:v>
      </x:c>
      <x:c r="R274">
        <x:f ca="1">IF(AND($B$1012=1,LEN($R$1277)&gt;0),$R$1277,HLOOKUP(INDIRECT(ADDRESS(2,COLUMN())),OFFSET($T$2,0,0,ROW()-1,14),ROW()-1,FALSE))</x:f>
        <x:v>0.49355900000000003</x:v>
      </x:c>
      <x:c r="S274">
        <x:f ca="1">IF(AND($B$1012=1,LEN($S$1277)&gt;0),$S$1277,HLOOKUP(INDIRECT(ADDRESS(2,COLUMN())),OFFSET($T$2,0,0,ROW()-1,14),ROW()-1,FALSE))</x:f>
        <x:v>-6.9366979999999998</x:v>
      </x:c>
      <x:c r="T274">
        <x:f>-13.926242</x:f>
        <x:v>-13.926242</x:v>
      </x:c>
      <x:c r="U274">
        <x:f>-41.436167</x:f>
        <x:v>-41.436166999999998</x:v>
      </x:c>
      <x:c r="V274">
        <x:f>-29.952752</x:f>
        <x:v>-29.952752</x:v>
      </x:c>
      <x:c r="W274">
        <x:f>-45.864271</x:f>
        <x:v>-45.864271000000002</x:v>
      </x:c>
      <x:c r="X274">
        <x:f>-22.827</x:f>
        <x:v>-22.827000000000002</x:v>
      </x:c>
      <x:c r="Y274">
        <x:f>-31.319</x:f>
        <x:v>-31.318999999999999</x:v>
      </x:c>
      <x:c r="Z274">
        <x:f>0</x:f>
        <x:v>0</x:v>
      </x:c>
      <x:c r="AA274">
        <x:f>-7.685</x:f>
        <x:v>-7.6849999999999996</x:v>
      </x:c>
      <x:c r="AB274">
        <x:f>-7.4165</x:f>
        <x:v>-7.4165000000000001</x:v>
      </x:c>
      <x:c r="AC274">
        <x:f>0</x:f>
        <x:v>0</x:v>
      </x:c>
      <x:c r="AD274">
        <x:f>-8.048</x:f>
        <x:v>-8.048</x:v>
      </x:c>
      <x:c r="AE274">
        <x:f>30.786148</x:f>
        <x:v>30.786148000000001</x:v>
      </x:c>
      <x:c r="AF274">
        <x:f>0.493559</x:f>
        <x:v>0.49355900000000003</x:v>
      </x:c>
      <x:c r="AG274">
        <x:f>-6.936698</x:f>
        <x:v>-6.9366979999999998</x:v>
      </x:c>
    </x:row>
    <x:row r="275" spans="1:33" x14ac:dyDescent="0.25">
      <x:c r="A275" t="str">
        <x:f>"        Invesco Dynamic Pharmaceutical"</x:f>
        <x:v xml:space="preserve">        Invesco Dynamic Pharmaceutical</x:v>
      </x:c>
      <x:c r="B275" t="str">
        <x:f>"PJP US Equity"</x:f>
        <x:v>PJP US Equity</x:v>
      </x:c>
      <x:c r="E275" t="str">
        <x:f t="shared" si="9"/>
        <x:v>Expression</x:v>
      </x:c>
      <x:c r="F275">
        <x:f ca="1">IF(AND($B$1012=1,LEN($F$1278)&gt;0),$F$1278,HLOOKUP(INDIRECT(ADDRESS(2,COLUMN())),OFFSET($T$2,0,0,ROW()-1,14),ROW()-1,FALSE))</x:f>
        <x:v>0</x:v>
      </x:c>
      <x:c r="G275">
        <x:f ca="1">IF(AND($B$1012=1,LEN($G$1278)&gt;0),$G$1278,HLOOKUP(INDIRECT(ADDRESS(2,COLUMN())),OFFSET($T$2,0,0,ROW()-1,14),ROW()-1,FALSE))</x:f>
        <x:v>-8.4739839999999997</x:v>
      </x:c>
      <x:c r="H275">
        <x:f ca="1">IF(AND($B$1012=1,LEN($H$1278)&gt;0),$H$1278,HLOOKUP(INDIRECT(ADDRESS(2,COLUMN())),OFFSET($T$2,0,0,ROW()-1,14),ROW()-1,FALSE))</x:f>
        <x:v>-5.2344799999999996</x:v>
      </x:c>
      <x:c r="I275">
        <x:f ca="1">IF(AND($B$1012=1,LEN($I$1278)&gt;0),$I$1278,HLOOKUP(INDIRECT(ADDRESS(2,COLUMN())),OFFSET($T$2,0,0,ROW()-1,14),ROW()-1,FALSE))</x:f>
        <x:v>-4.7104210000000002</x:v>
      </x:c>
      <x:c r="J275">
        <x:f ca="1">IF(AND($B$1012=1,LEN($J$1278)&gt;0),$J$1278,HLOOKUP(INDIRECT(ADDRESS(2,COLUMN())),OFFSET($T$2,0,0,ROW()-1,14),ROW()-1,FALSE))</x:f>
        <x:v>-3.7486380000000001</x:v>
      </x:c>
      <x:c r="K275">
        <x:f ca="1">IF(AND($B$1012=1,LEN($K$1278)&gt;0),$K$1278,HLOOKUP(INDIRECT(ADDRESS(2,COLUMN())),OFFSET($T$2,0,0,ROW()-1,14),ROW()-1,FALSE))</x:f>
        <x:v>-6.8071289999999998</x:v>
      </x:c>
      <x:c r="L275">
        <x:f ca="1">IF(AND($B$1012=1,LEN($L$1278)&gt;0),$L$1278,HLOOKUP(INDIRECT(ADDRESS(2,COLUMN())),OFFSET($T$2,0,0,ROW()-1,14),ROW()-1,FALSE))</x:f>
        <x:v>2.4714E-2</x:v>
      </x:c>
      <x:c r="M275">
        <x:f ca="1">IF(AND($B$1012=1,LEN($M$1278)&gt;0),$M$1278,HLOOKUP(INDIRECT(ADDRESS(2,COLUMN())),OFFSET($T$2,0,0,ROW()-1,14),ROW()-1,FALSE))</x:f>
        <x:v>-5.3923579999999998</x:v>
      </x:c>
      <x:c r="N275">
        <x:f ca="1">IF(AND($B$1012=1,LEN($N$1278)&gt;0),$N$1278,HLOOKUP(INDIRECT(ADDRESS(2,COLUMN())),OFFSET($T$2,0,0,ROW()-1,14),ROW()-1,FALSE))</x:f>
        <x:v>-10.48855</x:v>
      </x:c>
      <x:c r="O275">
        <x:f ca="1">IF(AND($B$1012=1,LEN($O$1278)&gt;0),$O$1278,HLOOKUP(INDIRECT(ADDRESS(2,COLUMN())),OFFSET($T$2,0,0,ROW()-1,14),ROW()-1,FALSE))</x:f>
        <x:v>-1.5508439999999999</x:v>
      </x:c>
      <x:c r="P275">
        <x:f ca="1">IF(AND($B$1012=1,LEN($P$1278)&gt;0),$P$1278,HLOOKUP(INDIRECT(ADDRESS(2,COLUMN())),OFFSET($T$2,0,0,ROW()-1,14),ROW()-1,FALSE))</x:f>
        <x:v>0</x:v>
      </x:c>
      <x:c r="Q275">
        <x:f ca="1">IF(AND($B$1012=1,LEN($Q$1278)&gt;0),$Q$1278,HLOOKUP(INDIRECT(ADDRESS(2,COLUMN())),OFFSET($T$2,0,0,ROW()-1,14),ROW()-1,FALSE))</x:f>
        <x:v>-0.78806799999999999</x:v>
      </x:c>
      <x:c r="R275">
        <x:f ca="1">IF(AND($B$1012=1,LEN($R$1278)&gt;0),$R$1278,HLOOKUP(INDIRECT(ADDRESS(2,COLUMN())),OFFSET($T$2,0,0,ROW()-1,14),ROW()-1,FALSE))</x:f>
        <x:v>7.680097</x:v>
      </x:c>
      <x:c r="S275">
        <x:f ca="1">IF(AND($B$1012=1,LEN($S$1278)&gt;0),$S$1278,HLOOKUP(INDIRECT(ADDRESS(2,COLUMN())),OFFSET($T$2,0,0,ROW()-1,14),ROW()-1,FALSE))</x:f>
        <x:v>-11.888843</x:v>
      </x:c>
      <x:c r="T275">
        <x:f>0</x:f>
        <x:v>0</x:v>
      </x:c>
      <x:c r="U275">
        <x:f>-8.473984</x:f>
        <x:v>-8.4739839999999997</x:v>
      </x:c>
      <x:c r="V275">
        <x:f>-5.23448</x:f>
        <x:v>-5.2344799999999996</x:v>
      </x:c>
      <x:c r="W275">
        <x:f>-4.710421</x:f>
        <x:v>-4.7104210000000002</x:v>
      </x:c>
      <x:c r="X275">
        <x:f>-3.748638</x:f>
        <x:v>-3.7486380000000001</x:v>
      </x:c>
      <x:c r="Y275">
        <x:f>-6.807129</x:f>
        <x:v>-6.8071289999999998</x:v>
      </x:c>
      <x:c r="Z275">
        <x:f>0.024714</x:f>
        <x:v>2.4714E-2</x:v>
      </x:c>
      <x:c r="AA275">
        <x:f>-5.392358</x:f>
        <x:v>-5.3923579999999998</x:v>
      </x:c>
      <x:c r="AB275">
        <x:f>-10.48855</x:f>
        <x:v>-10.48855</x:v>
      </x:c>
      <x:c r="AC275">
        <x:f>-1.550844</x:f>
        <x:v>-1.5508439999999999</x:v>
      </x:c>
      <x:c r="AD275">
        <x:f>0</x:f>
        <x:v>0</x:v>
      </x:c>
      <x:c r="AE275">
        <x:f>-0.788068</x:f>
        <x:v>-0.78806799999999999</x:v>
      </x:c>
      <x:c r="AF275">
        <x:f>7.680097</x:f>
        <x:v>7.680097</x:v>
      </x:c>
      <x:c r="AG275">
        <x:f>-11.888843</x:f>
        <x:v>-11.888843</x:v>
      </x:c>
    </x:row>
    <x:row r="276" spans="1:33" x14ac:dyDescent="0.25">
      <x:c r="A276" t="str">
        <x:f>"        iShares US Pharmaceuticals ETF"</x:f>
        <x:v xml:space="preserve">        iShares US Pharmaceuticals ETF</x:v>
      </x:c>
      <x:c r="B276" t="str">
        <x:f>"IHE US Equity"</x:f>
        <x:v>IHE US Equity</x:v>
      </x:c>
      <x:c r="E276" t="str">
        <x:f t="shared" si="9"/>
        <x:v>Expression</x:v>
      </x:c>
      <x:c r="F276">
        <x:f ca="1">IF(AND($B$1012=1,LEN($F$1279)&gt;0),$F$1279,HLOOKUP(INDIRECT(ADDRESS(2,COLUMN())),OFFSET($T$2,0,0,ROW()-1,14),ROW()-1,FALSE))</x:f>
        <x:v>-25.094356000000001</x:v>
      </x:c>
      <x:c r="G276">
        <x:f ca="1">IF(AND($B$1012=1,LEN($G$1279)&gt;0),$G$1279,HLOOKUP(INDIRECT(ADDRESS(2,COLUMN())),OFFSET($T$2,0,0,ROW()-1,14),ROW()-1,FALSE))</x:f>
        <x:v>229.89286000000001</x:v>
      </x:c>
      <x:c r="H276">
        <x:f ca="1">IF(AND($B$1012=1,LEN($H$1279)&gt;0),$H$1279,HLOOKUP(INDIRECT(ADDRESS(2,COLUMN())),OFFSET($T$2,0,0,ROW()-1,14),ROW()-1,FALSE))</x:f>
        <x:v>-8.9920380000000009</x:v>
      </x:c>
      <x:c r="I276">
        <x:f ca="1">IF(AND($B$1012=1,LEN($I$1279)&gt;0),$I$1279,HLOOKUP(INDIRECT(ADDRESS(2,COLUMN())),OFFSET($T$2,0,0,ROW()-1,14),ROW()-1,FALSE))</x:f>
        <x:v>0</x:v>
      </x:c>
      <x:c r="J276">
        <x:f ca="1">IF(AND($B$1012=1,LEN($J$1279)&gt;0),$J$1279,HLOOKUP(INDIRECT(ADDRESS(2,COLUMN())),OFFSET($T$2,0,0,ROW()-1,14),ROW()-1,FALSE))</x:f>
        <x:v>-9.0382650000000009</x:v>
      </x:c>
      <x:c r="K276">
        <x:f ca="1">IF(AND($B$1012=1,LEN($K$1279)&gt;0),$K$1279,HLOOKUP(INDIRECT(ADDRESS(2,COLUMN())),OFFSET($T$2,0,0,ROW()-1,14),ROW()-1,FALSE))</x:f>
        <x:v>-8.8803000000000001</x:v>
      </x:c>
      <x:c r="L276">
        <x:f ca="1">IF(AND($B$1012=1,LEN($L$1279)&gt;0),$L$1279,HLOOKUP(INDIRECT(ADDRESS(2,COLUMN())),OFFSET($T$2,0,0,ROW()-1,14),ROW()-1,FALSE))</x:f>
        <x:v>0</x:v>
      </x:c>
      <x:c r="M276">
        <x:f ca="1">IF(AND($B$1012=1,LEN($M$1279)&gt;0),$M$1279,HLOOKUP(INDIRECT(ADDRESS(2,COLUMN())),OFFSET($T$2,0,0,ROW()-1,14),ROW()-1,FALSE))</x:f>
        <x:v>0</x:v>
      </x:c>
      <x:c r="N276">
        <x:f ca="1">IF(AND($B$1012=1,LEN($N$1279)&gt;0),$N$1279,HLOOKUP(INDIRECT(ADDRESS(2,COLUMN())),OFFSET($T$2,0,0,ROW()-1,14),ROW()-1,FALSE))</x:f>
        <x:v>-8.7444799999999994</x:v>
      </x:c>
      <x:c r="O276">
        <x:f ca="1">IF(AND($B$1012=1,LEN($O$1279)&gt;0),$O$1279,HLOOKUP(INDIRECT(ADDRESS(2,COLUMN())),OFFSET($T$2,0,0,ROW()-1,14),ROW()-1,FALSE))</x:f>
        <x:v>9.5487950000000001</x:v>
      </x:c>
      <x:c r="P276">
        <x:f ca="1">IF(AND($B$1012=1,LEN($P$1279)&gt;0),$P$1279,HLOOKUP(INDIRECT(ADDRESS(2,COLUMN())),OFFSET($T$2,0,0,ROW()-1,14),ROW()-1,FALSE))</x:f>
        <x:v>-18.627649999999999</x:v>
      </x:c>
      <x:c r="Q276">
        <x:f ca="1">IF(AND($B$1012=1,LEN($Q$1279)&gt;0),$Q$1279,HLOOKUP(INDIRECT(ADDRESS(2,COLUMN())),OFFSET($T$2,0,0,ROW()-1,14),ROW()-1,FALSE))</x:f>
        <x:v>0</x:v>
      </x:c>
      <x:c r="R276">
        <x:f ca="1">IF(AND($B$1012=1,LEN($R$1279)&gt;0),$R$1279,HLOOKUP(INDIRECT(ADDRESS(2,COLUMN())),OFFSET($T$2,0,0,ROW()-1,14),ROW()-1,FALSE))</x:f>
        <x:v>-8.9933750000000003</x:v>
      </x:c>
      <x:c r="S276">
        <x:f ca="1">IF(AND($B$1012=1,LEN($S$1279)&gt;0),$S$1279,HLOOKUP(INDIRECT(ADDRESS(2,COLUMN())),OFFSET($T$2,0,0,ROW()-1,14),ROW()-1,FALSE))</x:f>
        <x:v>8.8855149999999998</x:v>
      </x:c>
      <x:c r="T276">
        <x:f>-25.094356</x:f>
        <x:v>-25.094356000000001</x:v>
      </x:c>
      <x:c r="U276">
        <x:f>229.89286</x:f>
        <x:v>229.89286000000001</x:v>
      </x:c>
      <x:c r="V276">
        <x:f>-8.992038</x:f>
        <x:v>-8.9920380000000009</x:v>
      </x:c>
      <x:c r="W276">
        <x:f>0</x:f>
        <x:v>0</x:v>
      </x:c>
      <x:c r="X276">
        <x:f>-9.038265</x:f>
        <x:v>-9.0382650000000009</x:v>
      </x:c>
      <x:c r="Y276">
        <x:f>-8.8803</x:f>
        <x:v>-8.8803000000000001</x:v>
      </x:c>
      <x:c r="Z276">
        <x:f>0</x:f>
        <x:v>0</x:v>
      </x:c>
      <x:c r="AA276">
        <x:f>0</x:f>
        <x:v>0</x:v>
      </x:c>
      <x:c r="AB276">
        <x:f>-8.74448</x:f>
        <x:v>-8.7444799999999994</x:v>
      </x:c>
      <x:c r="AC276">
        <x:f>9.548795</x:f>
        <x:v>9.5487950000000001</x:v>
      </x:c>
      <x:c r="AD276">
        <x:f>-18.62765</x:f>
        <x:v>-18.627649999999999</x:v>
      </x:c>
      <x:c r="AE276">
        <x:f>0</x:f>
        <x:v>0</x:v>
      </x:c>
      <x:c r="AF276">
        <x:f>-8.993375</x:f>
        <x:v>-8.9933750000000003</x:v>
      </x:c>
      <x:c r="AG276">
        <x:f>8.885515</x:f>
        <x:v>8.8855149999999998</x:v>
      </x:c>
    </x:row>
    <x:row r="277" spans="1:33" x14ac:dyDescent="0.25">
      <x:c r="A277" t="str">
        <x:f>"        Fidelity MSCI Health Care Inde"</x:f>
        <x:v xml:space="preserve">        Fidelity MSCI Health Care Inde</x:v>
      </x:c>
      <x:c r="B277" t="str">
        <x:f>"FHLC US Equity"</x:f>
        <x:v>FHLC US Equity</x:v>
      </x:c>
      <x:c r="E277" t="str">
        <x:f t="shared" si="9"/>
        <x:v>Expression</x:v>
      </x:c>
      <x:c r="F277">
        <x:f ca="1">IF(AND($B$1012=1,LEN($F$1280)&gt;0),$F$1280,HLOOKUP(INDIRECT(ADDRESS(2,COLUMN())),OFFSET($T$2,0,0,ROW()-1,14),ROW()-1,FALSE))</x:f>
        <x:v>-9.0012249999999998</x:v>
      </x:c>
      <x:c r="G277">
        <x:f ca="1">IF(AND($B$1012=1,LEN($G$1280)&gt;0),$G$1280,HLOOKUP(INDIRECT(ADDRESS(2,COLUMN())),OFFSET($T$2,0,0,ROW()-1,14),ROW()-1,FALSE))</x:f>
        <x:v>-38.472194999999999</x:v>
      </x:c>
      <x:c r="H277">
        <x:f ca="1">IF(AND($B$1012=1,LEN($H$1280)&gt;0),$H$1280,HLOOKUP(INDIRECT(ADDRESS(2,COLUMN())),OFFSET($T$2,0,0,ROW()-1,14),ROW()-1,FALSE))</x:f>
        <x:v>2.6689999999999998E-2</x:v>
      </x:c>
      <x:c r="I277">
        <x:f ca="1">IF(AND($B$1012=1,LEN($I$1280)&gt;0),$I$1280,HLOOKUP(INDIRECT(ADDRESS(2,COLUMN())),OFFSET($T$2,0,0,ROW()-1,14),ROW()-1,FALSE))</x:f>
        <x:v>-0.58597500000000002</x:v>
      </x:c>
      <x:c r="J277">
        <x:f ca="1">IF(AND($B$1012=1,LEN($J$1280)&gt;0),$J$1280,HLOOKUP(INDIRECT(ADDRESS(2,COLUMN())),OFFSET($T$2,0,0,ROW()-1,14),ROW()-1,FALSE))</x:f>
        <x:v>-0.42870999999999998</x:v>
      </x:c>
      <x:c r="K277">
        <x:f ca="1">IF(AND($B$1012=1,LEN($K$1280)&gt;0),$K$1280,HLOOKUP(INDIRECT(ADDRESS(2,COLUMN())),OFFSET($T$2,0,0,ROW()-1,14),ROW()-1,FALSE))</x:f>
        <x:v>0.15165500000000001</x:v>
      </x:c>
      <x:c r="L277">
        <x:f ca="1">IF(AND($B$1012=1,LEN($L$1280)&gt;0),$L$1280,HLOOKUP(INDIRECT(ADDRESS(2,COLUMN())),OFFSET($T$2,0,0,ROW()-1,14),ROW()-1,FALSE))</x:f>
        <x:v>-24.604489999999998</x:v>
      </x:c>
      <x:c r="M277">
        <x:f ca="1">IF(AND($B$1012=1,LEN($M$1280)&gt;0),$M$1280,HLOOKUP(INDIRECT(ADDRESS(2,COLUMN())),OFFSET($T$2,0,0,ROW()-1,14),ROW()-1,FALSE))</x:f>
        <x:v>-9.3778349999999993</x:v>
      </x:c>
      <x:c r="N277">
        <x:f ca="1">IF(AND($B$1012=1,LEN($N$1280)&gt;0),$N$1280,HLOOKUP(INDIRECT(ADDRESS(2,COLUMN())),OFFSET($T$2,0,0,ROW()-1,14),ROW()-1,FALSE))</x:f>
        <x:v>-12.118285</x:v>
      </x:c>
      <x:c r="O277">
        <x:f ca="1">IF(AND($B$1012=1,LEN($O$1280)&gt;0),$O$1280,HLOOKUP(INDIRECT(ADDRESS(2,COLUMN())),OFFSET($T$2,0,0,ROW()-1,14),ROW()-1,FALSE))</x:f>
        <x:v>-21.941324999999999</x:v>
      </x:c>
      <x:c r="P277">
        <x:f ca="1">IF(AND($B$1012=1,LEN($P$1280)&gt;0),$P$1280,HLOOKUP(INDIRECT(ADDRESS(2,COLUMN())),OFFSET($T$2,0,0,ROW()-1,14),ROW()-1,FALSE))</x:f>
        <x:v>6.3140999999999998</x:v>
      </x:c>
      <x:c r="Q277">
        <x:f ca="1">IF(AND($B$1012=1,LEN($Q$1280)&gt;0),$Q$1280,HLOOKUP(INDIRECT(ADDRESS(2,COLUMN())),OFFSET($T$2,0,0,ROW()-1,14),ROW()-1,FALSE))</x:f>
        <x:v>12.88782</x:v>
      </x:c>
      <x:c r="R277">
        <x:f ca="1">IF(AND($B$1012=1,LEN($R$1280)&gt;0),$R$1280,HLOOKUP(INDIRECT(ADDRESS(2,COLUMN())),OFFSET($T$2,0,0,ROW()-1,14),ROW()-1,FALSE))</x:f>
        <x:v>37.307715000000002</x:v>
      </x:c>
      <x:c r="S277">
        <x:f ca="1">IF(AND($B$1012=1,LEN($S$1280)&gt;0),$S$1280,HLOOKUP(INDIRECT(ADDRESS(2,COLUMN())),OFFSET($T$2,0,0,ROW()-1,14),ROW()-1,FALSE))</x:f>
        <x:v>29.967790000000001</x:v>
      </x:c>
      <x:c r="T277">
        <x:f>-9.001225</x:f>
        <x:v>-9.0012249999999998</x:v>
      </x:c>
      <x:c r="U277">
        <x:f>-38.472195</x:f>
        <x:v>-38.472194999999999</x:v>
      </x:c>
      <x:c r="V277">
        <x:f>0.02669</x:f>
        <x:v>2.6689999999999998E-2</x:v>
      </x:c>
      <x:c r="W277">
        <x:f>-0.585975</x:f>
        <x:v>-0.58597500000000002</x:v>
      </x:c>
      <x:c r="X277">
        <x:f>-0.42871</x:f>
        <x:v>-0.42870999999999998</x:v>
      </x:c>
      <x:c r="Y277">
        <x:f>0.151655</x:f>
        <x:v>0.15165500000000001</x:v>
      </x:c>
      <x:c r="Z277">
        <x:f>-24.60449</x:f>
        <x:v>-24.604489999999998</x:v>
      </x:c>
      <x:c r="AA277">
        <x:f>-9.377835</x:f>
        <x:v>-9.3778349999999993</x:v>
      </x:c>
      <x:c r="AB277">
        <x:f>-12.118285</x:f>
        <x:v>-12.118285</x:v>
      </x:c>
      <x:c r="AC277">
        <x:f>-21.941325</x:f>
        <x:v>-21.941324999999999</x:v>
      </x:c>
      <x:c r="AD277">
        <x:f>6.3141</x:f>
        <x:v>6.3140999999999998</x:v>
      </x:c>
      <x:c r="AE277">
        <x:f>12.88782</x:f>
        <x:v>12.88782</x:v>
      </x:c>
      <x:c r="AF277">
        <x:f>37.307715</x:f>
        <x:v>37.307715000000002</x:v>
      </x:c>
      <x:c r="AG277">
        <x:f>29.96779</x:f>
        <x:v>29.967790000000001</x:v>
      </x:c>
    </x:row>
    <x:row r="278" spans="1:33" x14ac:dyDescent="0.25">
      <x:c r="A278" t="str">
        <x:f>"        VanEck Biotech ETF"</x:f>
        <x:v xml:space="preserve">        VanEck Biotech ETF</x:v>
      </x:c>
      <x:c r="B278" t="str">
        <x:f>"BBH US Equity"</x:f>
        <x:v>BBH US Equity</x:v>
      </x:c>
      <x:c r="E278" t="str">
        <x:f t="shared" si="9"/>
        <x:v>Expression</x:v>
      </x:c>
      <x:c r="F278">
        <x:f ca="1">IF(AND($B$1012=1,LEN($F$1281)&gt;0),$F$1281,HLOOKUP(INDIRECT(ADDRESS(2,COLUMN())),OFFSET($T$2,0,0,ROW()-1,14),ROW()-1,FALSE))</x:f>
        <x:v>-3.7135319999999998</x:v>
      </x:c>
      <x:c r="G278">
        <x:f ca="1">IF(AND($B$1012=1,LEN($G$1281)&gt;0),$G$1281,HLOOKUP(INDIRECT(ADDRESS(2,COLUMN())),OFFSET($T$2,0,0,ROW()-1,14),ROW()-1,FALSE))</x:f>
        <x:v>0</x:v>
      </x:c>
      <x:c r="H278">
        <x:f ca="1">IF(AND($B$1012=1,LEN($H$1281)&gt;0),$H$1281,HLOOKUP(INDIRECT(ADDRESS(2,COLUMN())),OFFSET($T$2,0,0,ROW()-1,14),ROW()-1,FALSE))</x:f>
        <x:v>-7.7338269999999998</x:v>
      </x:c>
      <x:c r="I278">
        <x:f ca="1">IF(AND($B$1012=1,LEN($I$1281)&gt;0),$I$1281,HLOOKUP(INDIRECT(ADDRESS(2,COLUMN())),OFFSET($T$2,0,0,ROW()-1,14),ROW()-1,FALSE))</x:f>
        <x:v>-16.034503999999998</x:v>
      </x:c>
      <x:c r="J278">
        <x:f ca="1">IF(AND($B$1012=1,LEN($J$1281)&gt;0),$J$1281,HLOOKUP(INDIRECT(ADDRESS(2,COLUMN())),OFFSET($T$2,0,0,ROW()-1,14),ROW()-1,FALSE))</x:f>
        <x:v>-3.9244970000000001</x:v>
      </x:c>
      <x:c r="K278">
        <x:f ca="1">IF(AND($B$1012=1,LEN($K$1281)&gt;0),$K$1281,HLOOKUP(INDIRECT(ADDRESS(2,COLUMN())),OFFSET($T$2,0,0,ROW()-1,14),ROW()-1,FALSE))</x:f>
        <x:v>-4.1163129999999999</x:v>
      </x:c>
      <x:c r="L278">
        <x:f ca="1">IF(AND($B$1012=1,LEN($L$1281)&gt;0),$L$1281,HLOOKUP(INDIRECT(ADDRESS(2,COLUMN())),OFFSET($T$2,0,0,ROW()-1,14),ROW()-1,FALSE))</x:f>
        <x:v>-3.9690560000000001</x:v>
      </x:c>
      <x:c r="M278">
        <x:f ca="1">IF(AND($B$1012=1,LEN($M$1281)&gt;0),$M$1281,HLOOKUP(INDIRECT(ADDRESS(2,COLUMN())),OFFSET($T$2,0,0,ROW()-1,14),ROW()-1,FALSE))</x:f>
        <x:v>8.1006789999999995</x:v>
      </x:c>
      <x:c r="N278">
        <x:f ca="1">IF(AND($B$1012=1,LEN($N$1281)&gt;0),$N$1281,HLOOKUP(INDIRECT(ADDRESS(2,COLUMN())),OFFSET($T$2,0,0,ROW()-1,14),ROW()-1,FALSE))</x:f>
        <x:v>-15.664488</x:v>
      </x:c>
      <x:c r="O278">
        <x:f ca="1">IF(AND($B$1012=1,LEN($O$1281)&gt;0),$O$1281,HLOOKUP(INDIRECT(ADDRESS(2,COLUMN())),OFFSET($T$2,0,0,ROW()-1,14),ROW()-1,FALSE))</x:f>
        <x:v>0</x:v>
      </x:c>
      <x:c r="P278">
        <x:f ca="1">IF(AND($B$1012=1,LEN($P$1281)&gt;0),$P$1281,HLOOKUP(INDIRECT(ADDRESS(2,COLUMN())),OFFSET($T$2,0,0,ROW()-1,14),ROW()-1,FALSE))</x:f>
        <x:v>12.795562</x:v>
      </x:c>
      <x:c r="Q278">
        <x:f ca="1">IF(AND($B$1012=1,LEN($Q$1281)&gt;0),$Q$1281,HLOOKUP(INDIRECT(ADDRESS(2,COLUMN())),OFFSET($T$2,0,0,ROW()-1,14),ROW()-1,FALSE))</x:f>
        <x:v>5.3882620000000001</x:v>
      </x:c>
      <x:c r="R278">
        <x:f ca="1">IF(AND($B$1012=1,LEN($R$1281)&gt;0),$R$1281,HLOOKUP(INDIRECT(ADDRESS(2,COLUMN())),OFFSET($T$2,0,0,ROW()-1,14),ROW()-1,FALSE))</x:f>
        <x:v>3.7689430000000002</x:v>
      </x:c>
      <x:c r="S278">
        <x:f ca="1">IF(AND($B$1012=1,LEN($S$1281)&gt;0),$S$1281,HLOOKUP(INDIRECT(ADDRESS(2,COLUMN())),OFFSET($T$2,0,0,ROW()-1,14),ROW()-1,FALSE))</x:f>
        <x:v>14.492167999999999</x:v>
      </x:c>
      <x:c r="T278">
        <x:f>-3.713532</x:f>
        <x:v>-3.7135319999999998</x:v>
      </x:c>
      <x:c r="U278">
        <x:f>0</x:f>
        <x:v>0</x:v>
      </x:c>
      <x:c r="V278">
        <x:f>-7.733827</x:f>
        <x:v>-7.7338269999999998</x:v>
      </x:c>
      <x:c r="W278">
        <x:f>-16.034504</x:f>
        <x:v>-16.034503999999998</x:v>
      </x:c>
      <x:c r="X278">
        <x:f>-3.924497</x:f>
        <x:v>-3.9244970000000001</x:v>
      </x:c>
      <x:c r="Y278">
        <x:f>-4.116313</x:f>
        <x:v>-4.1163129999999999</x:v>
      </x:c>
      <x:c r="Z278">
        <x:f>-3.969056</x:f>
        <x:v>-3.9690560000000001</x:v>
      </x:c>
      <x:c r="AA278">
        <x:f>8.100679</x:f>
        <x:v>8.1006789999999995</x:v>
      </x:c>
      <x:c r="AB278">
        <x:f>-15.664488</x:f>
        <x:v>-15.664488</x:v>
      </x:c>
      <x:c r="AC278">
        <x:f>0</x:f>
        <x:v>0</x:v>
      </x:c>
      <x:c r="AD278">
        <x:f>12.795562</x:f>
        <x:v>12.795562</x:v>
      </x:c>
      <x:c r="AE278">
        <x:f>5.388262</x:f>
        <x:v>5.3882620000000001</x:v>
      </x:c>
      <x:c r="AF278">
        <x:f>3.768943</x:f>
        <x:v>3.7689430000000002</x:v>
      </x:c>
      <x:c r="AG278">
        <x:f>14.492168</x:f>
        <x:v>14.492167999999999</x:v>
      </x:c>
    </x:row>
    <x:row r="279" spans="1:33" x14ac:dyDescent="0.25">
      <x:c r="A279" t="str">
        <x:f>"        Invesco S&amp;P 500 Equal Weight H"</x:f>
        <x:v xml:space="preserve">        Invesco S&amp;P 500 Equal Weight H</x:v>
      </x:c>
      <x:c r="B279" t="str">
        <x:f>"RYH US Equity"</x:f>
        <x:v>RYH US Equity</x:v>
      </x:c>
      <x:c r="E279" t="str">
        <x:f t="shared" si="9"/>
        <x:v>Expression</x:v>
      </x:c>
      <x:c r="F279">
        <x:f ca="1">IF(AND($B$1012=1,LEN($F$1282)&gt;0),$F$1282,HLOOKUP(INDIRECT(ADDRESS(2,COLUMN())),OFFSET($T$2,0,0,ROW()-1,14),ROW()-1,FALSE))</x:f>
        <x:v>-12.993053</x:v>
      </x:c>
      <x:c r="G279">
        <x:f ca="1">IF(AND($B$1012=1,LEN($G$1282)&gt;0),$G$1282,HLOOKUP(INDIRECT(ADDRESS(2,COLUMN())),OFFSET($T$2,0,0,ROW()-1,14),ROW()-1,FALSE))</x:f>
        <x:v>-28.116993999999998</x:v>
      </x:c>
      <x:c r="H279">
        <x:f ca="1">IF(AND($B$1012=1,LEN($H$1282)&gt;0),$H$1282,HLOOKUP(INDIRECT(ADDRESS(2,COLUMN())),OFFSET($T$2,0,0,ROW()-1,14),ROW()-1,FALSE))</x:f>
        <x:v>-5.5388700000000002</x:v>
      </x:c>
      <x:c r="I279">
        <x:f ca="1">IF(AND($B$1012=1,LEN($I$1282)&gt;0),$I$1282,HLOOKUP(INDIRECT(ADDRESS(2,COLUMN())),OFFSET($T$2,0,0,ROW()-1,14),ROW()-1,FALSE))</x:f>
        <x:v>13.025059000000001</x:v>
      </x:c>
      <x:c r="J279">
        <x:f ca="1">IF(AND($B$1012=1,LEN($J$1282)&gt;0),$J$1282,HLOOKUP(INDIRECT(ADDRESS(2,COLUMN())),OFFSET($T$2,0,0,ROW()-1,14),ROW()-1,FALSE))</x:f>
        <x:v>-8.1828520000000005</x:v>
      </x:c>
      <x:c r="K279">
        <x:f ca="1">IF(AND($B$1012=1,LEN($K$1282)&gt;0),$K$1282,HLOOKUP(INDIRECT(ADDRESS(2,COLUMN())),OFFSET($T$2,0,0,ROW()-1,14),ROW()-1,FALSE))</x:f>
        <x:v>-0.76641000000000004</x:v>
      </x:c>
      <x:c r="L279" t="str">
        <x:f ca="1">IF(AND($B$1012=1,LEN($L$1282)&gt;0),$L$1282,HLOOKUP(INDIRECT(ADDRESS(2,COLUMN())),OFFSET($T$2,0,0,ROW()-1,14),ROW()-1,FALSE))</x:f>
        <x:v/>
      </x:c>
      <x:c r="M279" t="str">
        <x:f ca="1">IF(AND($B$1012=1,LEN($M$1282)&gt;0),$M$1282,HLOOKUP(INDIRECT(ADDRESS(2,COLUMN())),OFFSET($T$2,0,0,ROW()-1,14),ROW()-1,FALSE))</x:f>
        <x:v/>
      </x:c>
      <x:c r="N279" t="str">
        <x:f ca="1">IF(AND($B$1012=1,LEN($N$1282)&gt;0),$N$1282,HLOOKUP(INDIRECT(ADDRESS(2,COLUMN())),OFFSET($T$2,0,0,ROW()-1,14),ROW()-1,FALSE))</x:f>
        <x:v/>
      </x:c>
      <x:c r="O279" t="str">
        <x:f ca="1">IF(AND($B$1012=1,LEN($O$1282)&gt;0),$O$1282,HLOOKUP(INDIRECT(ADDRESS(2,COLUMN())),OFFSET($T$2,0,0,ROW()-1,14),ROW()-1,FALSE))</x:f>
        <x:v/>
      </x:c>
      <x:c r="P279" t="str">
        <x:f ca="1">IF(AND($B$1012=1,LEN($P$1282)&gt;0),$P$1282,HLOOKUP(INDIRECT(ADDRESS(2,COLUMN())),OFFSET($T$2,0,0,ROW()-1,14),ROW()-1,FALSE))</x:f>
        <x:v/>
      </x:c>
      <x:c r="Q279" t="str">
        <x:f ca="1">IF(AND($B$1012=1,LEN($Q$1282)&gt;0),$Q$1282,HLOOKUP(INDIRECT(ADDRESS(2,COLUMN())),OFFSET($T$2,0,0,ROW()-1,14),ROW()-1,FALSE))</x:f>
        <x:v/>
      </x:c>
      <x:c r="R279" t="str">
        <x:f ca="1">IF(AND($B$1012=1,LEN($R$1282)&gt;0),$R$1282,HLOOKUP(INDIRECT(ADDRESS(2,COLUMN())),OFFSET($T$2,0,0,ROW()-1,14),ROW()-1,FALSE))</x:f>
        <x:v/>
      </x:c>
      <x:c r="S279" t="str">
        <x:f ca="1">IF(AND($B$1012=1,LEN($S$1282)&gt;0),$S$1282,HLOOKUP(INDIRECT(ADDRESS(2,COLUMN())),OFFSET($T$2,0,0,ROW()-1,14),ROW()-1,FALSE))</x:f>
        <x:v/>
      </x:c>
      <x:c r="T279">
        <x:f>-12.993053</x:f>
        <x:v>-12.993053</x:v>
      </x:c>
      <x:c r="U279">
        <x:f>-28.116994</x:f>
        <x:v>-28.116993999999998</x:v>
      </x:c>
      <x:c r="V279">
        <x:f>-5.53887</x:f>
        <x:v>-5.5388700000000002</x:v>
      </x:c>
      <x:c r="W279">
        <x:f>13.025059</x:f>
        <x:v>13.025059000000001</x:v>
      </x:c>
      <x:c r="X279">
        <x:f>-8.182852</x:f>
        <x:v>-8.1828520000000005</x:v>
      </x:c>
      <x:c r="Y279">
        <x:f>-0.76641</x:f>
        <x:v>-0.76641000000000004</x:v>
      </x:c>
      <x:c r="Z279" t="str">
        <x:f>""</x:f>
        <x:v/>
      </x:c>
      <x:c r="AA279" t="str">
        <x:f>""</x:f>
        <x:v/>
      </x:c>
      <x:c r="AB279" t="str">
        <x:f>""</x:f>
        <x:v/>
      </x:c>
      <x:c r="AC279" t="str">
        <x:f>""</x:f>
        <x:v/>
      </x:c>
      <x:c r="AD279" t="str">
        <x:f>""</x:f>
        <x:v/>
      </x:c>
      <x:c r="AE279" t="str">
        <x:f>""</x:f>
        <x:v/>
      </x:c>
      <x:c r="AF279" t="str">
        <x:f>""</x:f>
        <x:v/>
      </x:c>
      <x:c r="AG279" t="str">
        <x:f>""</x:f>
        <x:v/>
      </x:c>
    </x:row>
    <x:row r="280" spans="1:33" x14ac:dyDescent="0.25">
      <x:c r="A280" t="str">
        <x:f>"        iShares U.S. Healthcare Provid"</x:f>
        <x:v xml:space="preserve">        iShares U.S. Healthcare Provid</x:v>
      </x:c>
      <x:c r="B280" t="str">
        <x:f>"IHF US Equity"</x:f>
        <x:v>IHF US Equity</x:v>
      </x:c>
      <x:c r="E280" t="str">
        <x:f t="shared" si="9"/>
        <x:v>Expression</x:v>
      </x:c>
      <x:c r="F280">
        <x:f ca="1">IF(AND($B$1012=1,LEN($F$1283)&gt;0),$F$1283,HLOOKUP(INDIRECT(ADDRESS(2,COLUMN())),OFFSET($T$2,0,0,ROW()-1,14),ROW()-1,FALSE))</x:f>
        <x:v>12.319653000000001</x:v>
      </x:c>
      <x:c r="G280">
        <x:f ca="1">IF(AND($B$1012=1,LEN($G$1283)&gt;0),$G$1283,HLOOKUP(INDIRECT(ADDRESS(2,COLUMN())),OFFSET($T$2,0,0,ROW()-1,14),ROW()-1,FALSE))</x:f>
        <x:v>-12.272078</x:v>
      </x:c>
      <x:c r="H280">
        <x:f ca="1">IF(AND($B$1012=1,LEN($H$1283)&gt;0),$H$1283,HLOOKUP(INDIRECT(ADDRESS(2,COLUMN())),OFFSET($T$2,0,0,ROW()-1,14),ROW()-1,FALSE))</x:f>
        <x:v>-37.367159999999998</x:v>
      </x:c>
      <x:c r="I280">
        <x:f ca="1">IF(AND($B$1012=1,LEN($I$1283)&gt;0),$I$1283,HLOOKUP(INDIRECT(ADDRESS(2,COLUMN())),OFFSET($T$2,0,0,ROW()-1,14),ROW()-1,FALSE))</x:f>
        <x:v>-25.657699999999998</x:v>
      </x:c>
      <x:c r="J280">
        <x:f ca="1">IF(AND($B$1012=1,LEN($J$1283)&gt;0),$J$1283,HLOOKUP(INDIRECT(ADDRESS(2,COLUMN())),OFFSET($T$2,0,0,ROW()-1,14),ROW()-1,FALSE))</x:f>
        <x:v>-50.489204999999998</x:v>
      </x:c>
      <x:c r="K280">
        <x:f ca="1">IF(AND($B$1012=1,LEN($K$1283)&gt;0),$K$1283,HLOOKUP(INDIRECT(ADDRESS(2,COLUMN())),OFFSET($T$2,0,0,ROW()-1,14),ROW()-1,FALSE))</x:f>
        <x:v>-63.399039999999999</x:v>
      </x:c>
      <x:c r="L280">
        <x:f ca="1">IF(AND($B$1012=1,LEN($L$1283)&gt;0),$L$1283,HLOOKUP(INDIRECT(ADDRESS(2,COLUMN())),OFFSET($T$2,0,0,ROW()-1,14),ROW()-1,FALSE))</x:f>
        <x:v>-36.727055</x:v>
      </x:c>
      <x:c r="M280">
        <x:f ca="1">IF(AND($B$1012=1,LEN($M$1283)&gt;0),$M$1283,HLOOKUP(INDIRECT(ADDRESS(2,COLUMN())),OFFSET($T$2,0,0,ROW()-1,14),ROW()-1,FALSE))</x:f>
        <x:v>-76.368875000000003</x:v>
      </x:c>
      <x:c r="N280">
        <x:f ca="1">IF(AND($B$1012=1,LEN($N$1283)&gt;0),$N$1283,HLOOKUP(INDIRECT(ADDRESS(2,COLUMN())),OFFSET($T$2,0,0,ROW()-1,14),ROW()-1,FALSE))</x:f>
        <x:v>-135.63333499999999</x:v>
      </x:c>
      <x:c r="O280">
        <x:f ca="1">IF(AND($B$1012=1,LEN($O$1283)&gt;0),$O$1283,HLOOKUP(INDIRECT(ADDRESS(2,COLUMN())),OFFSET($T$2,0,0,ROW()-1,14),ROW()-1,FALSE))</x:f>
        <x:v>-26.551314999999999</x:v>
      </x:c>
      <x:c r="P280">
        <x:f ca="1">IF(AND($B$1012=1,LEN($P$1283)&gt;0),$P$1283,HLOOKUP(INDIRECT(ADDRESS(2,COLUMN())),OFFSET($T$2,0,0,ROW()-1,14),ROW()-1,FALSE))</x:f>
        <x:v>-39.530259999999998</x:v>
      </x:c>
      <x:c r="Q280">
        <x:f ca="1">IF(AND($B$1012=1,LEN($Q$1283)&gt;0),$Q$1283,HLOOKUP(INDIRECT(ADDRESS(2,COLUMN())),OFFSET($T$2,0,0,ROW()-1,14),ROW()-1,FALSE))</x:f>
        <x:v>-120.87180499999999</x:v>
      </x:c>
      <x:c r="R280">
        <x:f ca="1">IF(AND($B$1012=1,LEN($R$1283)&gt;0),$R$1283,HLOOKUP(INDIRECT(ADDRESS(2,COLUMN())),OFFSET($T$2,0,0,ROW()-1,14),ROW()-1,FALSE))</x:f>
        <x:v>27.688034999999999</x:v>
      </x:c>
      <x:c r="S280">
        <x:f ca="1">IF(AND($B$1012=1,LEN($S$1283)&gt;0),$S$1283,HLOOKUP(INDIRECT(ADDRESS(2,COLUMN())),OFFSET($T$2,0,0,ROW()-1,14),ROW()-1,FALSE))</x:f>
        <x:v>-13.624879999999999</x:v>
      </x:c>
      <x:c r="T280">
        <x:f>12.319653</x:f>
        <x:v>12.319653000000001</x:v>
      </x:c>
      <x:c r="U280">
        <x:f>-12.272078</x:f>
        <x:v>-12.272078</x:v>
      </x:c>
      <x:c r="V280">
        <x:f>-37.36716</x:f>
        <x:v>-37.367159999999998</x:v>
      </x:c>
      <x:c r="W280">
        <x:f>-25.6577</x:f>
        <x:v>-25.657699999999998</x:v>
      </x:c>
      <x:c r="X280">
        <x:f>-50.489205</x:f>
        <x:v>-50.489204999999998</x:v>
      </x:c>
      <x:c r="Y280">
        <x:f>-63.39904</x:f>
        <x:v>-63.399039999999999</x:v>
      </x:c>
      <x:c r="Z280">
        <x:f>-36.727055</x:f>
        <x:v>-36.727055</x:v>
      </x:c>
      <x:c r="AA280">
        <x:f>-76.368875</x:f>
        <x:v>-76.368875000000003</x:v>
      </x:c>
      <x:c r="AB280">
        <x:f>-135.633335</x:f>
        <x:v>-135.63333499999999</x:v>
      </x:c>
      <x:c r="AC280">
        <x:f>-26.551315</x:f>
        <x:v>-26.551314999999999</x:v>
      </x:c>
      <x:c r="AD280">
        <x:f>-39.53026</x:f>
        <x:v>-39.530259999999998</x:v>
      </x:c>
      <x:c r="AE280">
        <x:f>-120.871805</x:f>
        <x:v>-120.87180499999999</x:v>
      </x:c>
      <x:c r="AF280">
        <x:f>27.688035</x:f>
        <x:v>27.688034999999999</x:v>
      </x:c>
      <x:c r="AG280">
        <x:f>-13.62488</x:f>
        <x:v>-13.624879999999999</x:v>
      </x:c>
    </x:row>
    <x:row r="281" spans="1:33" x14ac:dyDescent="0.25">
      <x:c r="A281" t="str">
        <x:f>"        SPDR S&amp;P Pharmaceuticals ETF"</x:f>
        <x:v xml:space="preserve">        SPDR S&amp;P Pharmaceuticals ETF</x:v>
      </x:c>
      <x:c r="B281" t="str">
        <x:f>"XPH US Equity"</x:f>
        <x:v>XPH US Equity</x:v>
      </x:c>
      <x:c r="E281" t="str">
        <x:f t="shared" si="9"/>
        <x:v>Expression</x:v>
      </x:c>
      <x:c r="F281">
        <x:f ca="1">IF(AND($B$1012=1,LEN($F$1284)&gt;0),$F$1284,HLOOKUP(INDIRECT(ADDRESS(2,COLUMN())),OFFSET($T$2,0,0,ROW()-1,14),ROW()-1,FALSE))</x:f>
        <x:v>3.6209009999999999</x:v>
      </x:c>
      <x:c r="G281">
        <x:f ca="1">IF(AND($B$1012=1,LEN($G$1284)&gt;0),$G$1284,HLOOKUP(INDIRECT(ADDRESS(2,COLUMN())),OFFSET($T$2,0,0,ROW()-1,14),ROW()-1,FALSE))</x:f>
        <x:v>-7.7283920000000004</x:v>
      </x:c>
      <x:c r="H281">
        <x:f ca="1">IF(AND($B$1012=1,LEN($H$1284)&gt;0),$H$1284,HLOOKUP(INDIRECT(ADDRESS(2,COLUMN())),OFFSET($T$2,0,0,ROW()-1,14),ROW()-1,FALSE))</x:f>
        <x:v>-19.364502999999999</x:v>
      </x:c>
      <x:c r="I281">
        <x:f ca="1">IF(AND($B$1012=1,LEN($I$1284)&gt;0),$I$1284,HLOOKUP(INDIRECT(ADDRESS(2,COLUMN())),OFFSET($T$2,0,0,ROW()-1,14),ROW()-1,FALSE))</x:f>
        <x:v>6.5323479999999998</x:v>
      </x:c>
      <x:c r="J281">
        <x:f ca="1">IF(AND($B$1012=1,LEN($J$1284)&gt;0),$J$1284,HLOOKUP(INDIRECT(ADDRESS(2,COLUMN())),OFFSET($T$2,0,0,ROW()-1,14),ROW()-1,FALSE))</x:f>
        <x:v>-6.2139850000000001</x:v>
      </x:c>
      <x:c r="K281">
        <x:f ca="1">IF(AND($B$1012=1,LEN($K$1284)&gt;0),$K$1284,HLOOKUP(INDIRECT(ADDRESS(2,COLUMN())),OFFSET($T$2,0,0,ROW()-1,14),ROW()-1,FALSE))</x:f>
        <x:v>-10.300108</x:v>
      </x:c>
      <x:c r="L281">
        <x:f ca="1">IF(AND($B$1012=1,LEN($L$1284)&gt;0),$L$1284,HLOOKUP(INDIRECT(ADDRESS(2,COLUMN())),OFFSET($T$2,0,0,ROW()-1,14),ROW()-1,FALSE))</x:f>
        <x:v>-3.9259379999999999</x:v>
      </x:c>
      <x:c r="M281">
        <x:f ca="1">IF(AND($B$1012=1,LEN($M$1284)&gt;0),$M$1284,HLOOKUP(INDIRECT(ADDRESS(2,COLUMN())),OFFSET($T$2,0,0,ROW()-1,14),ROW()-1,FALSE))</x:f>
        <x:v>48.456215999999998</x:v>
      </x:c>
      <x:c r="N281">
        <x:f ca="1">IF(AND($B$1012=1,LEN($N$1284)&gt;0),$N$1284,HLOOKUP(INDIRECT(ADDRESS(2,COLUMN())),OFFSET($T$2,0,0,ROW()-1,14),ROW()-1,FALSE))</x:f>
        <x:v>-27.197022</x:v>
      </x:c>
      <x:c r="O281">
        <x:f ca="1">IF(AND($B$1012=1,LEN($O$1284)&gt;0),$O$1284,HLOOKUP(INDIRECT(ADDRESS(2,COLUMN())),OFFSET($T$2,0,0,ROW()-1,14),ROW()-1,FALSE))</x:f>
        <x:v>19.714020999999999</x:v>
      </x:c>
      <x:c r="P281">
        <x:f ca="1">IF(AND($B$1012=1,LEN($P$1284)&gt;0),$P$1284,HLOOKUP(INDIRECT(ADDRESS(2,COLUMN())),OFFSET($T$2,0,0,ROW()-1,14),ROW()-1,FALSE))</x:f>
        <x:v>-8.4324180000000002</x:v>
      </x:c>
      <x:c r="Q281">
        <x:f ca="1">IF(AND($B$1012=1,LEN($Q$1284)&gt;0),$Q$1284,HLOOKUP(INDIRECT(ADDRESS(2,COLUMN())),OFFSET($T$2,0,0,ROW()-1,14),ROW()-1,FALSE))</x:f>
        <x:v>-0.139796</x:v>
      </x:c>
      <x:c r="R281">
        <x:f ca="1">IF(AND($B$1012=1,LEN($R$1284)&gt;0),$R$1284,HLOOKUP(INDIRECT(ADDRESS(2,COLUMN())),OFFSET($T$2,0,0,ROW()-1,14),ROW()-1,FALSE))</x:f>
        <x:v>-4.6083460000000001</x:v>
      </x:c>
      <x:c r="S281">
        <x:f ca="1">IF(AND($B$1012=1,LEN($S$1284)&gt;0),$S$1284,HLOOKUP(INDIRECT(ADDRESS(2,COLUMN())),OFFSET($T$2,0,0,ROW()-1,14),ROW()-1,FALSE))</x:f>
        <x:v>-2.0437699999999999</x:v>
      </x:c>
      <x:c r="T281">
        <x:f>3.620901</x:f>
        <x:v>3.6209009999999999</x:v>
      </x:c>
      <x:c r="U281">
        <x:f>-7.728392</x:f>
        <x:v>-7.7283920000000004</x:v>
      </x:c>
      <x:c r="V281">
        <x:f>-19.364503</x:f>
        <x:v>-19.364502999999999</x:v>
      </x:c>
      <x:c r="W281">
        <x:f>6.532348</x:f>
        <x:v>6.5323479999999998</x:v>
      </x:c>
      <x:c r="X281">
        <x:f>-6.213985</x:f>
        <x:v>-6.2139850000000001</x:v>
      </x:c>
      <x:c r="Y281">
        <x:f>-10.300108</x:f>
        <x:v>-10.300108</x:v>
      </x:c>
      <x:c r="Z281">
        <x:f>-3.925938</x:f>
        <x:v>-3.9259379999999999</x:v>
      </x:c>
      <x:c r="AA281">
        <x:f>48.456216</x:f>
        <x:v>48.456215999999998</x:v>
      </x:c>
      <x:c r="AB281">
        <x:f>-27.197022</x:f>
        <x:v>-27.197022</x:v>
      </x:c>
      <x:c r="AC281">
        <x:f>19.714021</x:f>
        <x:v>19.714020999999999</x:v>
      </x:c>
      <x:c r="AD281">
        <x:f>-8.432418</x:f>
        <x:v>-8.4324180000000002</x:v>
      </x:c>
      <x:c r="AE281">
        <x:f>-0.139796</x:f>
        <x:v>-0.139796</x:v>
      </x:c>
      <x:c r="AF281">
        <x:f>-4.608346</x:f>
        <x:v>-4.6083460000000001</x:v>
      </x:c>
      <x:c r="AG281">
        <x:f>-2.04377</x:f>
        <x:v>-2.0437699999999999</x:v>
      </x:c>
    </x:row>
    <x:row r="282" spans="1:33" x14ac:dyDescent="0.25">
      <x:c r="A282" t="str">
        <x:f>"        ProShares Ultra Nasdaq Biotech"</x:f>
        <x:v xml:space="preserve">        ProShares Ultra Nasdaq Biotech</x:v>
      </x:c>
      <x:c r="B282" t="str">
        <x:f>"BIB US Equity"</x:f>
        <x:v>BIB US Equity</x:v>
      </x:c>
      <x:c r="E282" t="str">
        <x:f t="shared" si="9"/>
        <x:v>Expression</x:v>
      </x:c>
      <x:c r="F282">
        <x:f ca="1">IF(AND($B$1012=1,LEN($F$1285)&gt;0),$F$1285,HLOOKUP(INDIRECT(ADDRESS(2,COLUMN())),OFFSET($T$2,0,0,ROW()-1,14),ROW()-1,FALSE))</x:f>
        <x:v>2.5675E-2</x:v>
      </x:c>
      <x:c r="G282">
        <x:f ca="1">IF(AND($B$1012=1,LEN($G$1285)&gt;0),$G$1285,HLOOKUP(INDIRECT(ADDRESS(2,COLUMN())),OFFSET($T$2,0,0,ROW()-1,14),ROW()-1,FALSE))</x:f>
        <x:v>-2.24939</x:v>
      </x:c>
      <x:c r="H282">
        <x:f ca="1">IF(AND($B$1012=1,LEN($H$1285)&gt;0),$H$1285,HLOOKUP(INDIRECT(ADDRESS(2,COLUMN())),OFFSET($T$2,0,0,ROW()-1,14),ROW()-1,FALSE))</x:f>
        <x:v>-1.290645</x:v>
      </x:c>
      <x:c r="I282">
        <x:f ca="1">IF(AND($B$1012=1,LEN($I$1285)&gt;0),$I$1285,HLOOKUP(INDIRECT(ADDRESS(2,COLUMN())),OFFSET($T$2,0,0,ROW()-1,14),ROW()-1,FALSE))</x:f>
        <x:v>-2.5808719999999998</x:v>
      </x:c>
      <x:c r="J282">
        <x:f ca="1">IF(AND($B$1012=1,LEN($J$1285)&gt;0),$J$1285,HLOOKUP(INDIRECT(ADDRESS(2,COLUMN())),OFFSET($T$2,0,0,ROW()-1,14),ROW()-1,FALSE))</x:f>
        <x:v>1.336465</x:v>
      </x:c>
      <x:c r="K282">
        <x:f ca="1">IF(AND($B$1012=1,LEN($K$1285)&gt;0),$K$1285,HLOOKUP(INDIRECT(ADDRESS(2,COLUMN())),OFFSET($T$2,0,0,ROW()-1,14),ROW()-1,FALSE))</x:f>
        <x:v>-5.2617599999999998</x:v>
      </x:c>
      <x:c r="L282">
        <x:f ca="1">IF(AND($B$1012=1,LEN($L$1285)&gt;0),$L$1285,HLOOKUP(INDIRECT(ADDRESS(2,COLUMN())),OFFSET($T$2,0,0,ROW()-1,14),ROW()-1,FALSE))</x:f>
        <x:v>0</x:v>
      </x:c>
      <x:c r="M282">
        <x:f ca="1">IF(AND($B$1012=1,LEN($M$1285)&gt;0),$M$1285,HLOOKUP(INDIRECT(ADDRESS(2,COLUMN())),OFFSET($T$2,0,0,ROW()-1,14),ROW()-1,FALSE))</x:f>
        <x:v>-2.7743950000000002</x:v>
      </x:c>
      <x:c r="N282">
        <x:f ca="1">IF(AND($B$1012=1,LEN($N$1285)&gt;0),$N$1285,HLOOKUP(INDIRECT(ADDRESS(2,COLUMN())),OFFSET($T$2,0,0,ROW()-1,14),ROW()-1,FALSE))</x:f>
        <x:v>-2.725E-2</x:v>
      </x:c>
      <x:c r="O282">
        <x:f ca="1">IF(AND($B$1012=1,LEN($O$1285)&gt;0),$O$1285,HLOOKUP(INDIRECT(ADDRESS(2,COLUMN())),OFFSET($T$2,0,0,ROW()-1,14),ROW()-1,FALSE))</x:f>
        <x:v>0</x:v>
      </x:c>
      <x:c r="P282">
        <x:f ca="1">IF(AND($B$1012=1,LEN($P$1285)&gt;0),$P$1285,HLOOKUP(INDIRECT(ADDRESS(2,COLUMN())),OFFSET($T$2,0,0,ROW()-1,14),ROW()-1,FALSE))</x:f>
        <x:v>6.21197</x:v>
      </x:c>
      <x:c r="Q282">
        <x:f ca="1">IF(AND($B$1012=1,LEN($Q$1285)&gt;0),$Q$1285,HLOOKUP(INDIRECT(ADDRESS(2,COLUMN())),OFFSET($T$2,0,0,ROW()-1,14),ROW()-1,FALSE))</x:f>
        <x:v>-5.7702349999999996</x:v>
      </x:c>
      <x:c r="R282">
        <x:f ca="1">IF(AND($B$1012=1,LEN($R$1285)&gt;0),$R$1285,HLOOKUP(INDIRECT(ADDRESS(2,COLUMN())),OFFSET($T$2,0,0,ROW()-1,14),ROW()-1,FALSE))</x:f>
        <x:v>3.0427599999999999</x:v>
      </x:c>
      <x:c r="S282">
        <x:f ca="1">IF(AND($B$1012=1,LEN($S$1285)&gt;0),$S$1285,HLOOKUP(INDIRECT(ADDRESS(2,COLUMN())),OFFSET($T$2,0,0,ROW()-1,14),ROW()-1,FALSE))</x:f>
        <x:v>0</x:v>
      </x:c>
      <x:c r="T282">
        <x:f>0.025675</x:f>
        <x:v>2.5675E-2</x:v>
      </x:c>
      <x:c r="U282">
        <x:f>-2.24939</x:f>
        <x:v>-2.24939</x:v>
      </x:c>
      <x:c r="V282">
        <x:f>-1.290645</x:f>
        <x:v>-1.290645</x:v>
      </x:c>
      <x:c r="W282">
        <x:f>-2.580872</x:f>
        <x:v>-2.5808719999999998</x:v>
      </x:c>
      <x:c r="X282">
        <x:f>1.336465</x:f>
        <x:v>1.336465</x:v>
      </x:c>
      <x:c r="Y282">
        <x:f>-5.26176</x:f>
        <x:v>-5.2617599999999998</x:v>
      </x:c>
      <x:c r="Z282">
        <x:f>0</x:f>
        <x:v>0</x:v>
      </x:c>
      <x:c r="AA282">
        <x:f>-2.774395</x:f>
        <x:v>-2.7743950000000002</x:v>
      </x:c>
      <x:c r="AB282">
        <x:f>-0.02725</x:f>
        <x:v>-2.725E-2</x:v>
      </x:c>
      <x:c r="AC282">
        <x:f>0</x:f>
        <x:v>0</x:v>
      </x:c>
      <x:c r="AD282">
        <x:f>6.21197</x:f>
        <x:v>6.21197</x:v>
      </x:c>
      <x:c r="AE282">
        <x:f>-5.770235</x:f>
        <x:v>-5.7702349999999996</x:v>
      </x:c>
      <x:c r="AF282">
        <x:f>3.04276</x:f>
        <x:v>3.0427599999999999</x:v>
      </x:c>
      <x:c r="AG282">
        <x:f>0</x:f>
        <x:v>0</x:v>
      </x:c>
    </x:row>
    <x:row r="283" spans="1:33" x14ac:dyDescent="0.25">
      <x:c r="A283" t="str">
        <x:f>"        VanEck Pharmaceutical ETF"</x:f>
        <x:v xml:space="preserve">        VanEck Pharmaceutical ETF</x:v>
      </x:c>
      <x:c r="B283" t="str">
        <x:f>"PPH US Equity"</x:f>
        <x:v>PPH US Equity</x:v>
      </x:c>
      <x:c r="E283" t="str">
        <x:f t="shared" si="9"/>
        <x:v>Expression</x:v>
      </x:c>
      <x:c r="F283">
        <x:f ca="1">IF(AND($B$1012=1,LEN($F$1286)&gt;0),$F$1286,HLOOKUP(INDIRECT(ADDRESS(2,COLUMN())),OFFSET($T$2,0,0,ROW()-1,14),ROW()-1,FALSE))</x:f>
        <x:v>-7.6219340000000004</x:v>
      </x:c>
      <x:c r="G283">
        <x:f ca="1">IF(AND($B$1012=1,LEN($G$1286)&gt;0),$G$1286,HLOOKUP(INDIRECT(ADDRESS(2,COLUMN())),OFFSET($T$2,0,0,ROW()-1,14),ROW()-1,FALSE))</x:f>
        <x:v>-26.43357</x:v>
      </x:c>
      <x:c r="H283">
        <x:f ca="1">IF(AND($B$1012=1,LEN($H$1286)&gt;0),$H$1286,HLOOKUP(INDIRECT(ADDRESS(2,COLUMN())),OFFSET($T$2,0,0,ROW()-1,14),ROW()-1,FALSE))</x:f>
        <x:v>12.168352000000001</x:v>
      </x:c>
      <x:c r="I283">
        <x:f ca="1">IF(AND($B$1012=1,LEN($I$1286)&gt;0),$I$1286,HLOOKUP(INDIRECT(ADDRESS(2,COLUMN())),OFFSET($T$2,0,0,ROW()-1,14),ROW()-1,FALSE))</x:f>
        <x:v>56.803618999999998</x:v>
      </x:c>
      <x:c r="J283">
        <x:f ca="1">IF(AND($B$1012=1,LEN($J$1286)&gt;0),$J$1286,HLOOKUP(INDIRECT(ADDRESS(2,COLUMN())),OFFSET($T$2,0,0,ROW()-1,14),ROW()-1,FALSE))</x:f>
        <x:v>-31.049043999999999</x:v>
      </x:c>
      <x:c r="K283">
        <x:f ca="1">IF(AND($B$1012=1,LEN($K$1286)&gt;0),$K$1286,HLOOKUP(INDIRECT(ADDRESS(2,COLUMN())),OFFSET($T$2,0,0,ROW()-1,14),ROW()-1,FALSE))</x:f>
        <x:v>-11.840680000000001</x:v>
      </x:c>
      <x:c r="L283">
        <x:f ca="1">IF(AND($B$1012=1,LEN($L$1286)&gt;0),$L$1286,HLOOKUP(INDIRECT(ADDRESS(2,COLUMN())),OFFSET($T$2,0,0,ROW()-1,14),ROW()-1,FALSE))</x:f>
        <x:v>4.7243810000000002</x:v>
      </x:c>
      <x:c r="M283">
        <x:f ca="1">IF(AND($B$1012=1,LEN($M$1286)&gt;0),$M$1286,HLOOKUP(INDIRECT(ADDRESS(2,COLUMN())),OFFSET($T$2,0,0,ROW()-1,14),ROW()-1,FALSE))</x:f>
        <x:v>19.724747000000001</x:v>
      </x:c>
      <x:c r="N283">
        <x:f ca="1">IF(AND($B$1012=1,LEN($N$1286)&gt;0),$N$1286,HLOOKUP(INDIRECT(ADDRESS(2,COLUMN())),OFFSET($T$2,0,0,ROW()-1,14),ROW()-1,FALSE))</x:f>
        <x:v>-37.740197000000002</x:v>
      </x:c>
      <x:c r="O283">
        <x:f ca="1">IF(AND($B$1012=1,LEN($O$1286)&gt;0),$O$1286,HLOOKUP(INDIRECT(ADDRESS(2,COLUMN())),OFFSET($T$2,0,0,ROW()-1,14),ROW()-1,FALSE))</x:f>
        <x:v>-97.536188999999993</x:v>
      </x:c>
      <x:c r="P283">
        <x:f ca="1">IF(AND($B$1012=1,LEN($P$1286)&gt;0),$P$1286,HLOOKUP(INDIRECT(ADDRESS(2,COLUMN())),OFFSET($T$2,0,0,ROW()-1,14),ROW()-1,FALSE))</x:f>
        <x:v>-78.105279999999993</x:v>
      </x:c>
      <x:c r="Q283">
        <x:f ca="1">IF(AND($B$1012=1,LEN($Q$1286)&gt;0),$Q$1286,HLOOKUP(INDIRECT(ADDRESS(2,COLUMN())),OFFSET($T$2,0,0,ROW()-1,14),ROW()-1,FALSE))</x:f>
        <x:v>-7.187621</x:v>
      </x:c>
      <x:c r="R283">
        <x:f ca="1">IF(AND($B$1012=1,LEN($R$1286)&gt;0),$R$1286,HLOOKUP(INDIRECT(ADDRESS(2,COLUMN())),OFFSET($T$2,0,0,ROW()-1,14),ROW()-1,FALSE))</x:f>
        <x:v>-6.3653700000000004</x:v>
      </x:c>
      <x:c r="S283">
        <x:f ca="1">IF(AND($B$1012=1,LEN($S$1286)&gt;0),$S$1286,HLOOKUP(INDIRECT(ADDRESS(2,COLUMN())),OFFSET($T$2,0,0,ROW()-1,14),ROW()-1,FALSE))</x:f>
        <x:v>-0.42804700000000001</x:v>
      </x:c>
      <x:c r="T283">
        <x:f>-7.621934</x:f>
        <x:v>-7.6219340000000004</x:v>
      </x:c>
      <x:c r="U283">
        <x:f>-26.43357</x:f>
        <x:v>-26.43357</x:v>
      </x:c>
      <x:c r="V283">
        <x:f>12.168352</x:f>
        <x:v>12.168352000000001</x:v>
      </x:c>
      <x:c r="W283">
        <x:f>56.803619</x:f>
        <x:v>56.803618999999998</x:v>
      </x:c>
      <x:c r="X283">
        <x:f>-31.049044</x:f>
        <x:v>-31.049043999999999</x:v>
      </x:c>
      <x:c r="Y283">
        <x:f>-11.84068</x:f>
        <x:v>-11.840680000000001</x:v>
      </x:c>
      <x:c r="Z283">
        <x:f>4.724381</x:f>
        <x:v>4.7243810000000002</x:v>
      </x:c>
      <x:c r="AA283">
        <x:f>19.724747</x:f>
        <x:v>19.724747000000001</x:v>
      </x:c>
      <x:c r="AB283">
        <x:f>-37.740197</x:f>
        <x:v>-37.740197000000002</x:v>
      </x:c>
      <x:c r="AC283">
        <x:f>-97.536189</x:f>
        <x:v>-97.536188999999993</x:v>
      </x:c>
      <x:c r="AD283">
        <x:f>-78.10528</x:f>
        <x:v>-78.105279999999993</x:v>
      </x:c>
      <x:c r="AE283">
        <x:f>-7.187621</x:f>
        <x:v>-7.187621</x:v>
      </x:c>
      <x:c r="AF283">
        <x:f>-6.36537</x:f>
        <x:v>-6.3653700000000004</x:v>
      </x:c>
      <x:c r="AG283">
        <x:f>-0.428047</x:f>
        <x:v>-0.42804700000000001</x:v>
      </x:c>
    </x:row>
    <x:row r="284" spans="1:33" x14ac:dyDescent="0.25">
      <x:c r="A284" t="str">
        <x:f>"        Direxion Daily S&amp;P Biotech Bul"</x:f>
        <x:v xml:space="preserve">        Direxion Daily S&amp;P Biotech Bul</x:v>
      </x:c>
      <x:c r="B284" t="str">
        <x:f>"LABU US Equity"</x:f>
        <x:v>LABU US Equity</x:v>
      </x:c>
      <x:c r="E284" t="str">
        <x:f t="shared" si="9"/>
        <x:v>Expression</x:v>
      </x:c>
      <x:c r="F284">
        <x:f ca="1">IF(AND($B$1012=1,LEN($F$1287)&gt;0),$F$1287,HLOOKUP(INDIRECT(ADDRESS(2,COLUMN())),OFFSET($T$2,0,0,ROW()-1,14),ROW()-1,FALSE))</x:f>
        <x:v>-6.3106580000000001</x:v>
      </x:c>
      <x:c r="G284">
        <x:f ca="1">IF(AND($B$1012=1,LEN($G$1287)&gt;0),$G$1287,HLOOKUP(INDIRECT(ADDRESS(2,COLUMN())),OFFSET($T$2,0,0,ROW()-1,14),ROW()-1,FALSE))</x:f>
        <x:v>56.437922999999998</x:v>
      </x:c>
      <x:c r="H284">
        <x:f ca="1">IF(AND($B$1012=1,LEN($H$1287)&gt;0),$H$1287,HLOOKUP(INDIRECT(ADDRESS(2,COLUMN())),OFFSET($T$2,0,0,ROW()-1,14),ROW()-1,FALSE))</x:f>
        <x:v>69.900606999999994</x:v>
      </x:c>
      <x:c r="I284">
        <x:f ca="1">IF(AND($B$1012=1,LEN($I$1287)&gt;0),$I$1287,HLOOKUP(INDIRECT(ADDRESS(2,COLUMN())),OFFSET($T$2,0,0,ROW()-1,14),ROW()-1,FALSE))</x:f>
        <x:v>204.426029</x:v>
      </x:c>
      <x:c r="J284">
        <x:f ca="1">IF(AND($B$1012=1,LEN($J$1287)&gt;0),$J$1287,HLOOKUP(INDIRECT(ADDRESS(2,COLUMN())),OFFSET($T$2,0,0,ROW()-1,14),ROW()-1,FALSE))</x:f>
        <x:v>57.240915999999999</x:v>
      </x:c>
      <x:c r="K284">
        <x:f ca="1">IF(AND($B$1012=1,LEN($K$1287)&gt;0),$K$1287,HLOOKUP(INDIRECT(ADDRESS(2,COLUMN())),OFFSET($T$2,0,0,ROW()-1,14),ROW()-1,FALSE))</x:f>
        <x:v>-43.099856000000003</x:v>
      </x:c>
      <x:c r="L284">
        <x:f ca="1">IF(AND($B$1012=1,LEN($L$1287)&gt;0),$L$1287,HLOOKUP(INDIRECT(ADDRESS(2,COLUMN())),OFFSET($T$2,0,0,ROW()-1,14),ROW()-1,FALSE))</x:f>
        <x:v>-78.660900999999996</x:v>
      </x:c>
      <x:c r="M284">
        <x:f ca="1">IF(AND($B$1012=1,LEN($M$1287)&gt;0),$M$1287,HLOOKUP(INDIRECT(ADDRESS(2,COLUMN())),OFFSET($T$2,0,0,ROW()-1,14),ROW()-1,FALSE))</x:f>
        <x:v>-73.163382999999996</x:v>
      </x:c>
      <x:c r="N284">
        <x:f ca="1">IF(AND($B$1012=1,LEN($N$1287)&gt;0),$N$1287,HLOOKUP(INDIRECT(ADDRESS(2,COLUMN())),OFFSET($T$2,0,0,ROW()-1,14),ROW()-1,FALSE))</x:f>
        <x:v>263.15364699999998</x:v>
      </x:c>
      <x:c r="O284">
        <x:f ca="1">IF(AND($B$1012=1,LEN($O$1287)&gt;0),$O$1287,HLOOKUP(INDIRECT(ADDRESS(2,COLUMN())),OFFSET($T$2,0,0,ROW()-1,14),ROW()-1,FALSE))</x:f>
        <x:v>71.758741000000001</x:v>
      </x:c>
      <x:c r="P284">
        <x:f ca="1">IF(AND($B$1012=1,LEN($P$1287)&gt;0),$P$1287,HLOOKUP(INDIRECT(ADDRESS(2,COLUMN())),OFFSET($T$2,0,0,ROW()-1,14),ROW()-1,FALSE))</x:f>
        <x:v>-308.54441500000001</x:v>
      </x:c>
      <x:c r="Q284">
        <x:f ca="1">IF(AND($B$1012=1,LEN($Q$1287)&gt;0),$Q$1287,HLOOKUP(INDIRECT(ADDRESS(2,COLUMN())),OFFSET($T$2,0,0,ROW()-1,14),ROW()-1,FALSE))</x:f>
        <x:v>148.43476999999999</x:v>
      </x:c>
      <x:c r="R284">
        <x:f ca="1">IF(AND($B$1012=1,LEN($R$1287)&gt;0),$R$1287,HLOOKUP(INDIRECT(ADDRESS(2,COLUMN())),OFFSET($T$2,0,0,ROW()-1,14),ROW()-1,FALSE))</x:f>
        <x:v>-102.643878</x:v>
      </x:c>
      <x:c r="S284">
        <x:f ca="1">IF(AND($B$1012=1,LEN($S$1287)&gt;0),$S$1287,HLOOKUP(INDIRECT(ADDRESS(2,COLUMN())),OFFSET($T$2,0,0,ROW()-1,14),ROW()-1,FALSE))</x:f>
        <x:v>30.255552999999999</x:v>
      </x:c>
      <x:c r="T284">
        <x:f>-6.310658</x:f>
        <x:v>-6.3106580000000001</x:v>
      </x:c>
      <x:c r="U284">
        <x:f>56.437923</x:f>
        <x:v>56.437922999999998</x:v>
      </x:c>
      <x:c r="V284">
        <x:f>69.900607</x:f>
        <x:v>69.900606999999994</x:v>
      </x:c>
      <x:c r="W284">
        <x:f>204.426029</x:f>
        <x:v>204.426029</x:v>
      </x:c>
      <x:c r="X284">
        <x:f>57.240916</x:f>
        <x:v>57.240915999999999</x:v>
      </x:c>
      <x:c r="Y284">
        <x:f>-43.099856</x:f>
        <x:v>-43.099856000000003</x:v>
      </x:c>
      <x:c r="Z284">
        <x:f>-78.660901</x:f>
        <x:v>-78.660900999999996</x:v>
      </x:c>
      <x:c r="AA284">
        <x:f>-73.163383</x:f>
        <x:v>-73.163382999999996</x:v>
      </x:c>
      <x:c r="AB284">
        <x:f>263.153647</x:f>
        <x:v>263.15364699999998</x:v>
      </x:c>
      <x:c r="AC284">
        <x:f>71.758741</x:f>
        <x:v>71.758741000000001</x:v>
      </x:c>
      <x:c r="AD284">
        <x:f>-308.544415</x:f>
        <x:v>-308.54441500000001</x:v>
      </x:c>
      <x:c r="AE284">
        <x:f>148.43477</x:f>
        <x:v>148.43476999999999</x:v>
      </x:c>
      <x:c r="AF284">
        <x:f>-102.643878</x:f>
        <x:v>-102.643878</x:v>
      </x:c>
      <x:c r="AG284">
        <x:f>30.255553</x:f>
        <x:v>30.255552999999999</x:v>
      </x:c>
    </x:row>
    <x:row r="285" spans="1:33" x14ac:dyDescent="0.25">
      <x:c r="A285" t="str">
        <x:f>"        Invesco Dynamic Biotechnology"</x:f>
        <x:v xml:space="preserve">        Invesco Dynamic Biotechnology</x:v>
      </x:c>
      <x:c r="B285" t="str">
        <x:f>"PBE US Equity"</x:f>
        <x:v>PBE US Equity</x:v>
      </x:c>
      <x:c r="E285" t="str">
        <x:f t="shared" si="9"/>
        <x:v>Expression</x:v>
      </x:c>
      <x:c r="F285">
        <x:f ca="1">IF(AND($B$1012=1,LEN($F$1288)&gt;0),$F$1288,HLOOKUP(INDIRECT(ADDRESS(2,COLUMN())),OFFSET($T$2,0,0,ROW()-1,14),ROW()-1,FALSE))</x:f>
        <x:v>-1.1129599999999999</x:v>
      </x:c>
      <x:c r="G285">
        <x:f ca="1">IF(AND($B$1012=1,LEN($G$1288)&gt;0),$G$1288,HLOOKUP(INDIRECT(ADDRESS(2,COLUMN())),OFFSET($T$2,0,0,ROW()-1,14),ROW()-1,FALSE))</x:f>
        <x:v>-1.150668</x:v>
      </x:c>
      <x:c r="H285">
        <x:f ca="1">IF(AND($B$1012=1,LEN($H$1288)&gt;0),$H$1288,HLOOKUP(INDIRECT(ADDRESS(2,COLUMN())),OFFSET($T$2,0,0,ROW()-1,14),ROW()-1,FALSE))</x:f>
        <x:v>-0.60562800000000006</x:v>
      </x:c>
      <x:c r="I285">
        <x:f ca="1">IF(AND($B$1012=1,LEN($I$1288)&gt;0),$I$1288,HLOOKUP(INDIRECT(ADDRESS(2,COLUMN())),OFFSET($T$2,0,0,ROW()-1,14),ROW()-1,FALSE))</x:f>
        <x:v>-0.60907100000000003</x:v>
      </x:c>
      <x:c r="J285">
        <x:f ca="1">IF(AND($B$1012=1,LEN($J$1288)&gt;0),$J$1288,HLOOKUP(INDIRECT(ADDRESS(2,COLUMN())),OFFSET($T$2,0,0,ROW()-1,14),ROW()-1,FALSE))</x:f>
        <x:v>-0.63556000000000001</x:v>
      </x:c>
      <x:c r="K285">
        <x:f ca="1">IF(AND($B$1012=1,LEN($K$1288)&gt;0),$K$1288,HLOOKUP(INDIRECT(ADDRESS(2,COLUMN())),OFFSET($T$2,0,0,ROW()-1,14),ROW()-1,FALSE))</x:f>
        <x:v>0.62376299999999996</x:v>
      </x:c>
      <x:c r="L285">
        <x:f ca="1">IF(AND($B$1012=1,LEN($L$1288)&gt;0),$L$1288,HLOOKUP(INDIRECT(ADDRESS(2,COLUMN())),OFFSET($T$2,0,0,ROW()-1,14),ROW()-1,FALSE))</x:f>
        <x:v>-3.1012940000000002</x:v>
      </x:c>
      <x:c r="M285">
        <x:f ca="1">IF(AND($B$1012=1,LEN($M$1288)&gt;0),$M$1288,HLOOKUP(INDIRECT(ADDRESS(2,COLUMN())),OFFSET($T$2,0,0,ROW()-1,14),ROW()-1,FALSE))</x:f>
        <x:v>0</x:v>
      </x:c>
      <x:c r="N285">
        <x:f ca="1">IF(AND($B$1012=1,LEN($N$1288)&gt;0),$N$1288,HLOOKUP(INDIRECT(ADDRESS(2,COLUMN())),OFFSET($T$2,0,0,ROW()-1,14),ROW()-1,FALSE))</x:f>
        <x:v>2.1410000000000001E-3</x:v>
      </x:c>
      <x:c r="O285">
        <x:f ca="1">IF(AND($B$1012=1,LEN($O$1288)&gt;0),$O$1288,HLOOKUP(INDIRECT(ADDRESS(2,COLUMN())),OFFSET($T$2,0,0,ROW()-1,14),ROW()-1,FALSE))</x:f>
        <x:v>1.2641929999999999</x:v>
      </x:c>
      <x:c r="P285">
        <x:f ca="1">IF(AND($B$1012=1,LEN($P$1288)&gt;0),$P$1288,HLOOKUP(INDIRECT(ADDRESS(2,COLUMN())),OFFSET($T$2,0,0,ROW()-1,14),ROW()-1,FALSE))</x:f>
        <x:v>3.201279</x:v>
      </x:c>
      <x:c r="Q285">
        <x:f ca="1">IF(AND($B$1012=1,LEN($Q$1288)&gt;0),$Q$1288,HLOOKUP(INDIRECT(ADDRESS(2,COLUMN())),OFFSET($T$2,0,0,ROW()-1,14),ROW()-1,FALSE))</x:f>
        <x:v>-0.62033199999999999</x:v>
      </x:c>
      <x:c r="R285">
        <x:f ca="1">IF(AND($B$1012=1,LEN($R$1288)&gt;0),$R$1288,HLOOKUP(INDIRECT(ADDRESS(2,COLUMN())),OFFSET($T$2,0,0,ROW()-1,14),ROW()-1,FALSE))</x:f>
        <x:v>1.2637579999999999</x:v>
      </x:c>
      <x:c r="S285">
        <x:f ca="1">IF(AND($B$1012=1,LEN($S$1288)&gt;0),$S$1288,HLOOKUP(INDIRECT(ADDRESS(2,COLUMN())),OFFSET($T$2,0,0,ROW()-1,14),ROW()-1,FALSE))</x:f>
        <x:v>3.5989399999999998</x:v>
      </x:c>
      <x:c r="T285">
        <x:f>-1.11296</x:f>
        <x:v>-1.1129599999999999</x:v>
      </x:c>
      <x:c r="U285">
        <x:f>-1.150668</x:f>
        <x:v>-1.150668</x:v>
      </x:c>
      <x:c r="V285">
        <x:f>-0.605628</x:f>
        <x:v>-0.60562800000000006</x:v>
      </x:c>
      <x:c r="W285">
        <x:f>-0.609071</x:f>
        <x:v>-0.60907100000000003</x:v>
      </x:c>
      <x:c r="X285">
        <x:f>-0.63556</x:f>
        <x:v>-0.63556000000000001</x:v>
      </x:c>
      <x:c r="Y285">
        <x:f>0.623763</x:f>
        <x:v>0.62376299999999996</x:v>
      </x:c>
      <x:c r="Z285">
        <x:f>-3.101294</x:f>
        <x:v>-3.1012940000000002</x:v>
      </x:c>
      <x:c r="AA285">
        <x:f>0</x:f>
        <x:v>0</x:v>
      </x:c>
      <x:c r="AB285">
        <x:f>0.002141</x:f>
        <x:v>2.1410000000000001E-3</x:v>
      </x:c>
      <x:c r="AC285">
        <x:f>1.264193</x:f>
        <x:v>1.2641929999999999</x:v>
      </x:c>
      <x:c r="AD285">
        <x:f>3.201279</x:f>
        <x:v>3.201279</x:v>
      </x:c>
      <x:c r="AE285">
        <x:f>-0.620332</x:f>
        <x:v>-0.62033199999999999</x:v>
      </x:c>
      <x:c r="AF285">
        <x:f>1.263758</x:f>
        <x:v>1.2637579999999999</x:v>
      </x:c>
      <x:c r="AG285">
        <x:f>3.59894</x:f>
        <x:v>3.5989399999999998</x:v>
      </x:c>
    </x:row>
    <x:row r="286" spans="1:33" x14ac:dyDescent="0.25">
      <x:c r="A286" t="str">
        <x:f>"        Invesco S&amp;P SmallCap Health Ca"</x:f>
        <x:v xml:space="preserve">        Invesco S&amp;P SmallCap Health Ca</x:v>
      </x:c>
      <x:c r="B286" t="str">
        <x:f>"PSCH US Equity"</x:f>
        <x:v>PSCH US Equity</x:v>
      </x:c>
      <x:c r="E286" t="str">
        <x:f t="shared" si="9"/>
        <x:v>Expression</x:v>
      </x:c>
      <x:c r="F286">
        <x:f ca="1">IF(AND($B$1012=1,LEN($F$1289)&gt;0),$F$1289,HLOOKUP(INDIRECT(ADDRESS(2,COLUMN())),OFFSET($T$2,0,0,ROW()-1,14),ROW()-1,FALSE))</x:f>
        <x:v>-7.2810379999999997</x:v>
      </x:c>
      <x:c r="G286">
        <x:f ca="1">IF(AND($B$1012=1,LEN($G$1289)&gt;0),$G$1289,HLOOKUP(INDIRECT(ADDRESS(2,COLUMN())),OFFSET($T$2,0,0,ROW()-1,14),ROW()-1,FALSE))</x:f>
        <x:v>-5.5419650000000003</x:v>
      </x:c>
      <x:c r="H286">
        <x:f ca="1">IF(AND($B$1012=1,LEN($H$1289)&gt;0),$H$1289,HLOOKUP(INDIRECT(ADDRESS(2,COLUMN())),OFFSET($T$2,0,0,ROW()-1,14),ROW()-1,FALSE))</x:f>
        <x:v>-12.165111</x:v>
      </x:c>
      <x:c r="I286">
        <x:f ca="1">IF(AND($B$1012=1,LEN($I$1289)&gt;0),$I$1289,HLOOKUP(INDIRECT(ADDRESS(2,COLUMN())),OFFSET($T$2,0,0,ROW()-1,14),ROW()-1,FALSE))</x:f>
        <x:v>-4.6513520000000002</x:v>
      </x:c>
      <x:c r="J286">
        <x:f ca="1">IF(AND($B$1012=1,LEN($J$1289)&gt;0),$J$1289,HLOOKUP(INDIRECT(ADDRESS(2,COLUMN())),OFFSET($T$2,0,0,ROW()-1,14),ROW()-1,FALSE))</x:f>
        <x:v>-5.3179020000000001</x:v>
      </x:c>
      <x:c r="K286">
        <x:f ca="1">IF(AND($B$1012=1,LEN($K$1289)&gt;0),$K$1289,HLOOKUP(INDIRECT(ADDRESS(2,COLUMN())),OFFSET($T$2,0,0,ROW()-1,14),ROW()-1,FALSE))</x:f>
        <x:v>-5.3300400000000003</x:v>
      </x:c>
      <x:c r="L286">
        <x:f ca="1">IF(AND($B$1012=1,LEN($L$1289)&gt;0),$L$1289,HLOOKUP(INDIRECT(ADDRESS(2,COLUMN())),OFFSET($T$2,0,0,ROW()-1,14),ROW()-1,FALSE))</x:f>
        <x:v>-1.335928</x:v>
      </x:c>
      <x:c r="M286">
        <x:f ca="1">IF(AND($B$1012=1,LEN($M$1289)&gt;0),$M$1289,HLOOKUP(INDIRECT(ADDRESS(2,COLUMN())),OFFSET($T$2,0,0,ROW()-1,14),ROW()-1,FALSE))</x:f>
        <x:v>-4.0184730000000002</x:v>
      </x:c>
      <x:c r="N286">
        <x:f ca="1">IF(AND($B$1012=1,LEN($N$1289)&gt;0),$N$1289,HLOOKUP(INDIRECT(ADDRESS(2,COLUMN())),OFFSET($T$2,0,0,ROW()-1,14),ROW()-1,FALSE))</x:f>
        <x:v>-16.690973</x:v>
      </x:c>
      <x:c r="O286">
        <x:f ca="1">IF(AND($B$1012=1,LEN($O$1289)&gt;0),$O$1289,HLOOKUP(INDIRECT(ADDRESS(2,COLUMN())),OFFSET($T$2,0,0,ROW()-1,14),ROW()-1,FALSE))</x:f>
        <x:v>4.4200999999999997E-2</x:v>
      </x:c>
      <x:c r="P286">
        <x:f ca="1">IF(AND($B$1012=1,LEN($P$1289)&gt;0),$P$1289,HLOOKUP(INDIRECT(ADDRESS(2,COLUMN())),OFFSET($T$2,0,0,ROW()-1,14),ROW()-1,FALSE))</x:f>
        <x:v>-5.4742819999999996</x:v>
      </x:c>
      <x:c r="Q286">
        <x:f ca="1">IF(AND($B$1012=1,LEN($Q$1289)&gt;0),$Q$1289,HLOOKUP(INDIRECT(ADDRESS(2,COLUMN())),OFFSET($T$2,0,0,ROW()-1,14),ROW()-1,FALSE))</x:f>
        <x:v>4.199605</x:v>
      </x:c>
      <x:c r="R286">
        <x:f ca="1">IF(AND($B$1012=1,LEN($R$1289)&gt;0),$R$1289,HLOOKUP(INDIRECT(ADDRESS(2,COLUMN())),OFFSET($T$2,0,0,ROW()-1,14),ROW()-1,FALSE))</x:f>
        <x:v>-1.3390120000000001</x:v>
      </x:c>
      <x:c r="S286">
        <x:f ca="1">IF(AND($B$1012=1,LEN($S$1289)&gt;0),$S$1289,HLOOKUP(INDIRECT(ADDRESS(2,COLUMN())),OFFSET($T$2,0,0,ROW()-1,14),ROW()-1,FALSE))</x:f>
        <x:v>-0.15840499999999999</x:v>
      </x:c>
      <x:c r="T286">
        <x:f>-7.281038</x:f>
        <x:v>-7.2810379999999997</x:v>
      </x:c>
      <x:c r="U286">
        <x:f>-5.541965</x:f>
        <x:v>-5.5419650000000003</x:v>
      </x:c>
      <x:c r="V286">
        <x:f>-12.165111</x:f>
        <x:v>-12.165111</x:v>
      </x:c>
      <x:c r="W286">
        <x:f>-4.651352</x:f>
        <x:v>-4.6513520000000002</x:v>
      </x:c>
      <x:c r="X286">
        <x:f>-5.317902</x:f>
        <x:v>-5.3179020000000001</x:v>
      </x:c>
      <x:c r="Y286">
        <x:f>-5.33004</x:f>
        <x:v>-5.3300400000000003</x:v>
      </x:c>
      <x:c r="Z286">
        <x:f>-1.335928</x:f>
        <x:v>-1.335928</x:v>
      </x:c>
      <x:c r="AA286">
        <x:f>-4.018473</x:f>
        <x:v>-4.0184730000000002</x:v>
      </x:c>
      <x:c r="AB286">
        <x:f>-16.690973</x:f>
        <x:v>-16.690973</x:v>
      </x:c>
      <x:c r="AC286">
        <x:f>0.044201</x:f>
        <x:v>4.4200999999999997E-2</x:v>
      </x:c>
      <x:c r="AD286">
        <x:f>-5.474282</x:f>
        <x:v>-5.4742819999999996</x:v>
      </x:c>
      <x:c r="AE286">
        <x:f>4.199605</x:f>
        <x:v>4.199605</x:v>
      </x:c>
      <x:c r="AF286">
        <x:f>-1.339012</x:f>
        <x:v>-1.3390120000000001</x:v>
      </x:c>
      <x:c r="AG286">
        <x:f>-0.158405</x:f>
        <x:v>-0.15840499999999999</x:v>
      </x:c>
    </x:row>
    <x:row r="287" spans="1:33" x14ac:dyDescent="0.25">
      <x:c r="A287" t="str">
        <x:f>"        Direxion Daily Healthcare Bull"</x:f>
        <x:v xml:space="preserve">        Direxion Daily Healthcare Bull</x:v>
      </x:c>
      <x:c r="B287" t="str">
        <x:f>"CURE US Equity"</x:f>
        <x:v>CURE US Equity</x:v>
      </x:c>
      <x:c r="E287" t="str">
        <x:f t="shared" si="9"/>
        <x:v>Expression</x:v>
      </x:c>
      <x:c r="F287">
        <x:f ca="1">IF(AND($B$1012=1,LEN($F$1290)&gt;0),$F$1290,HLOOKUP(INDIRECT(ADDRESS(2,COLUMN())),OFFSET($T$2,0,0,ROW()-1,14),ROW()-1,FALSE))</x:f>
        <x:v>-4.1560920000000001</x:v>
      </x:c>
      <x:c r="G287">
        <x:f ca="1">IF(AND($B$1012=1,LEN($G$1290)&gt;0),$G$1290,HLOOKUP(INDIRECT(ADDRESS(2,COLUMN())),OFFSET($T$2,0,0,ROW()-1,14),ROW()-1,FALSE))</x:f>
        <x:v>4.0077059999999998</x:v>
      </x:c>
      <x:c r="H287">
        <x:f ca="1">IF(AND($B$1012=1,LEN($H$1290)&gt;0),$H$1290,HLOOKUP(INDIRECT(ADDRESS(2,COLUMN())),OFFSET($T$2,0,0,ROW()-1,14),ROW()-1,FALSE))</x:f>
        <x:v>-4.638744</x:v>
      </x:c>
      <x:c r="I287">
        <x:f ca="1">IF(AND($B$1012=1,LEN($I$1290)&gt;0),$I$1290,HLOOKUP(INDIRECT(ADDRESS(2,COLUMN())),OFFSET($T$2,0,0,ROW()-1,14),ROW()-1,FALSE))</x:f>
        <x:v>-0.156473</x:v>
      </x:c>
      <x:c r="J287">
        <x:f ca="1">IF(AND($B$1012=1,LEN($J$1290)&gt;0),$J$1290,HLOOKUP(INDIRECT(ADDRESS(2,COLUMN())),OFFSET($T$2,0,0,ROW()-1,14),ROW()-1,FALSE))</x:f>
        <x:v>0</x:v>
      </x:c>
      <x:c r="K287">
        <x:f ca="1">IF(AND($B$1012=1,LEN($K$1290)&gt;0),$K$1290,HLOOKUP(INDIRECT(ADDRESS(2,COLUMN())),OFFSET($T$2,0,0,ROW()-1,14),ROW()-1,FALSE))</x:f>
        <x:v>4.6276109999999999</x:v>
      </x:c>
      <x:c r="L287">
        <x:f ca="1">IF(AND($B$1012=1,LEN($L$1290)&gt;0),$L$1290,HLOOKUP(INDIRECT(ADDRESS(2,COLUMN())),OFFSET($T$2,0,0,ROW()-1,14),ROW()-1,FALSE))</x:f>
        <x:v>4.3061509999999998</x:v>
      </x:c>
      <x:c r="M287">
        <x:f ca="1">IF(AND($B$1012=1,LEN($M$1290)&gt;0),$M$1290,HLOOKUP(INDIRECT(ADDRESS(2,COLUMN())),OFFSET($T$2,0,0,ROW()-1,14),ROW()-1,FALSE))</x:f>
        <x:v>-10.277156</x:v>
      </x:c>
      <x:c r="N287">
        <x:f ca="1">IF(AND($B$1012=1,LEN($N$1290)&gt;0),$N$1290,HLOOKUP(INDIRECT(ADDRESS(2,COLUMN())),OFFSET($T$2,0,0,ROW()-1,14),ROW()-1,FALSE))</x:f>
        <x:v>13.478</x:v>
      </x:c>
      <x:c r="O287">
        <x:f ca="1">IF(AND($B$1012=1,LEN($O$1290)&gt;0),$O$1290,HLOOKUP(INDIRECT(ADDRESS(2,COLUMN())),OFFSET($T$2,0,0,ROW()-1,14),ROW()-1,FALSE))</x:f>
        <x:v>0</x:v>
      </x:c>
      <x:c r="P287">
        <x:f ca="1">IF(AND($B$1012=1,LEN($P$1290)&gt;0),$P$1290,HLOOKUP(INDIRECT(ADDRESS(2,COLUMN())),OFFSET($T$2,0,0,ROW()-1,14),ROW()-1,FALSE))</x:f>
        <x:v>0</x:v>
      </x:c>
      <x:c r="Q287">
        <x:f ca="1">IF(AND($B$1012=1,LEN($Q$1290)&gt;0),$Q$1290,HLOOKUP(INDIRECT(ADDRESS(2,COLUMN())),OFFSET($T$2,0,0,ROW()-1,14),ROW()-1,FALSE))</x:f>
        <x:v>-5.8958870000000001</x:v>
      </x:c>
      <x:c r="R287">
        <x:f ca="1">IF(AND($B$1012=1,LEN($R$1290)&gt;0),$R$1290,HLOOKUP(INDIRECT(ADDRESS(2,COLUMN())),OFFSET($T$2,0,0,ROW()-1,14),ROW()-1,FALSE))</x:f>
        <x:v>5.4273990000000003</x:v>
      </x:c>
      <x:c r="S287">
        <x:f ca="1">IF(AND($B$1012=1,LEN($S$1290)&gt;0),$S$1290,HLOOKUP(INDIRECT(ADDRESS(2,COLUMN())),OFFSET($T$2,0,0,ROW()-1,14),ROW()-1,FALSE))</x:f>
        <x:v>-5.0889499999999996</x:v>
      </x:c>
      <x:c r="T287">
        <x:f>-4.156092</x:f>
        <x:v>-4.1560920000000001</x:v>
      </x:c>
      <x:c r="U287">
        <x:f>4.007706</x:f>
        <x:v>4.0077059999999998</x:v>
      </x:c>
      <x:c r="V287">
        <x:f>-4.638744</x:f>
        <x:v>-4.638744</x:v>
      </x:c>
      <x:c r="W287">
        <x:f>-0.156473</x:f>
        <x:v>-0.156473</x:v>
      </x:c>
      <x:c r="X287">
        <x:f>0</x:f>
        <x:v>0</x:v>
      </x:c>
      <x:c r="Y287">
        <x:f>4.627611</x:f>
        <x:v>4.6276109999999999</x:v>
      </x:c>
      <x:c r="Z287">
        <x:f>4.306151</x:f>
        <x:v>4.3061509999999998</x:v>
      </x:c>
      <x:c r="AA287">
        <x:f>-10.277156</x:f>
        <x:v>-10.277156</x:v>
      </x:c>
      <x:c r="AB287">
        <x:f>13.478</x:f>
        <x:v>13.478</x:v>
      </x:c>
      <x:c r="AC287">
        <x:f>0</x:f>
        <x:v>0</x:v>
      </x:c>
      <x:c r="AD287">
        <x:f>0</x:f>
        <x:v>0</x:v>
      </x:c>
      <x:c r="AE287">
        <x:f>-5.895887</x:f>
        <x:v>-5.8958870000000001</x:v>
      </x:c>
      <x:c r="AF287">
        <x:f>5.427399</x:f>
        <x:v>5.4273990000000003</x:v>
      </x:c>
      <x:c r="AG287">
        <x:f>-5.08895</x:f>
        <x:v>-5.0889499999999996</x:v>
      </x:c>
    </x:row>
    <x:row r="288" spans="1:33" x14ac:dyDescent="0.25">
      <x:c r="A288" t="str">
        <x:f>"        SPDR S&amp;P Health Care Equipment"</x:f>
        <x:v xml:space="preserve">        SPDR S&amp;P Health Care Equipment</x:v>
      </x:c>
      <x:c r="B288" t="str">
        <x:f>"XHE US Equity"</x:f>
        <x:v>XHE US Equity</x:v>
      </x:c>
      <x:c r="E288" t="str">
        <x:f t="shared" si="9"/>
        <x:v>Expression</x:v>
      </x:c>
      <x:c r="F288">
        <x:f ca="1">IF(AND($B$1012=1,LEN($F$1291)&gt;0),$F$1291,HLOOKUP(INDIRECT(ADDRESS(2,COLUMN())),OFFSET($T$2,0,0,ROW()-1,14),ROW()-1,FALSE))</x:f>
        <x:v>-10.499967</x:v>
      </x:c>
      <x:c r="G288">
        <x:f ca="1">IF(AND($B$1012=1,LEN($G$1291)&gt;0),$G$1291,HLOOKUP(INDIRECT(ADDRESS(2,COLUMN())),OFFSET($T$2,0,0,ROW()-1,14),ROW()-1,FALSE))</x:f>
        <x:v>-37.775312</x:v>
      </x:c>
      <x:c r="H288">
        <x:f ca="1">IF(AND($B$1012=1,LEN($H$1291)&gt;0),$H$1291,HLOOKUP(INDIRECT(ADDRESS(2,COLUMN())),OFFSET($T$2,0,0,ROW()-1,14),ROW()-1,FALSE))</x:f>
        <x:v>-35.637174000000002</x:v>
      </x:c>
      <x:c r="I288">
        <x:f ca="1">IF(AND($B$1012=1,LEN($I$1291)&gt;0),$I$1291,HLOOKUP(INDIRECT(ADDRESS(2,COLUMN())),OFFSET($T$2,0,0,ROW()-1,14),ROW()-1,FALSE))</x:f>
        <x:v>-100.387867</x:v>
      </x:c>
      <x:c r="J288">
        <x:f ca="1">IF(AND($B$1012=1,LEN($J$1291)&gt;0),$J$1291,HLOOKUP(INDIRECT(ADDRESS(2,COLUMN())),OFFSET($T$2,0,0,ROW()-1,14),ROW()-1,FALSE))</x:f>
        <x:v>36.047004000000001</x:v>
      </x:c>
      <x:c r="K288">
        <x:f ca="1">IF(AND($B$1012=1,LEN($K$1291)&gt;0),$K$1291,HLOOKUP(INDIRECT(ADDRESS(2,COLUMN())),OFFSET($T$2,0,0,ROW()-1,14),ROW()-1,FALSE))</x:f>
        <x:v>31.330138999999999</x:v>
      </x:c>
      <x:c r="L288">
        <x:f ca="1">IF(AND($B$1012=1,LEN($L$1291)&gt;0),$L$1291,HLOOKUP(INDIRECT(ADDRESS(2,COLUMN())),OFFSET($T$2,0,0,ROW()-1,14),ROW()-1,FALSE))</x:f>
        <x:v>19.039292</x:v>
      </x:c>
      <x:c r="M288">
        <x:f ca="1">IF(AND($B$1012=1,LEN($M$1291)&gt;0),$M$1291,HLOOKUP(INDIRECT(ADDRESS(2,COLUMN())),OFFSET($T$2,0,0,ROW()-1,14),ROW()-1,FALSE))</x:f>
        <x:v>38.886127999999999</x:v>
      </x:c>
      <x:c r="N288">
        <x:f ca="1">IF(AND($B$1012=1,LEN($N$1291)&gt;0),$N$1291,HLOOKUP(INDIRECT(ADDRESS(2,COLUMN())),OFFSET($T$2,0,0,ROW()-1,14),ROW()-1,FALSE))</x:f>
        <x:v>-38.467326999999997</x:v>
      </x:c>
      <x:c r="O288">
        <x:f ca="1">IF(AND($B$1012=1,LEN($O$1291)&gt;0),$O$1291,HLOOKUP(INDIRECT(ADDRESS(2,COLUMN())),OFFSET($T$2,0,0,ROW()-1,14),ROW()-1,FALSE))</x:f>
        <x:v>69.038171000000006</x:v>
      </x:c>
      <x:c r="P288">
        <x:f ca="1">IF(AND($B$1012=1,LEN($P$1291)&gt;0),$P$1291,HLOOKUP(INDIRECT(ADDRESS(2,COLUMN())),OFFSET($T$2,0,0,ROW()-1,14),ROW()-1,FALSE))</x:f>
        <x:v>50.551833999999999</x:v>
      </x:c>
      <x:c r="Q288">
        <x:f ca="1">IF(AND($B$1012=1,LEN($Q$1291)&gt;0),$Q$1291,HLOOKUP(INDIRECT(ADDRESS(2,COLUMN())),OFFSET($T$2,0,0,ROW()-1,14),ROW()-1,FALSE))</x:f>
        <x:v>-11.298361</x:v>
      </x:c>
      <x:c r="R288">
        <x:f ca="1">IF(AND($B$1012=1,LEN($R$1291)&gt;0),$R$1291,HLOOKUP(INDIRECT(ADDRESS(2,COLUMN())),OFFSET($T$2,0,0,ROW()-1,14),ROW()-1,FALSE))</x:f>
        <x:v>-10.928235000000001</x:v>
      </x:c>
      <x:c r="S288">
        <x:f ca="1">IF(AND($B$1012=1,LEN($S$1291)&gt;0),$S$1291,HLOOKUP(INDIRECT(ADDRESS(2,COLUMN())),OFFSET($T$2,0,0,ROW()-1,14),ROW()-1,FALSE))</x:f>
        <x:v>6.7541650000000004</x:v>
      </x:c>
      <x:c r="T288">
        <x:f>-10.499967</x:f>
        <x:v>-10.499967</x:v>
      </x:c>
      <x:c r="U288">
        <x:f>-37.775312</x:f>
        <x:v>-37.775312</x:v>
      </x:c>
      <x:c r="V288">
        <x:f>-35.637174</x:f>
        <x:v>-35.637174000000002</x:v>
      </x:c>
      <x:c r="W288">
        <x:f>-100.387867</x:f>
        <x:v>-100.387867</x:v>
      </x:c>
      <x:c r="X288">
        <x:f>36.047004</x:f>
        <x:v>36.047004000000001</x:v>
      </x:c>
      <x:c r="Y288">
        <x:f>31.330139</x:f>
        <x:v>31.330138999999999</x:v>
      </x:c>
      <x:c r="Z288">
        <x:f>19.039292</x:f>
        <x:v>19.039292</x:v>
      </x:c>
      <x:c r="AA288">
        <x:f>38.886128</x:f>
        <x:v>38.886127999999999</x:v>
      </x:c>
      <x:c r="AB288">
        <x:f>-38.467327</x:f>
        <x:v>-38.467326999999997</x:v>
      </x:c>
      <x:c r="AC288">
        <x:f>69.038171</x:f>
        <x:v>69.038171000000006</x:v>
      </x:c>
      <x:c r="AD288">
        <x:f>50.551834</x:f>
        <x:v>50.551833999999999</x:v>
      </x:c>
      <x:c r="AE288">
        <x:f>-11.298361</x:f>
        <x:v>-11.298361</x:v>
      </x:c>
      <x:c r="AF288">
        <x:f>-10.928235</x:f>
        <x:v>-10.928235000000001</x:v>
      </x:c>
      <x:c r="AG288">
        <x:f>6.754165</x:f>
        <x:v>6.7541650000000004</x:v>
      </x:c>
    </x:row>
    <x:row r="289" spans="1:33" x14ac:dyDescent="0.25">
      <x:c r="A289" t="str">
        <x:f>"        SPDR S&amp;P Health Care Services"</x:f>
        <x:v xml:space="preserve">        SPDR S&amp;P Health Care Services</x:v>
      </x:c>
      <x:c r="B289" t="str">
        <x:f>"XHS US Equity"</x:f>
        <x:v>XHS US Equity</x:v>
      </x:c>
      <x:c r="E289" t="str">
        <x:f t="shared" si="9"/>
        <x:v>Expression</x:v>
      </x:c>
      <x:c r="F289">
        <x:f ca="1">IF(AND($B$1012=1,LEN($F$1292)&gt;0),$F$1292,HLOOKUP(INDIRECT(ADDRESS(2,COLUMN())),OFFSET($T$2,0,0,ROW()-1,14),ROW()-1,FALSE))</x:f>
        <x:v>-1.627275</x:v>
      </x:c>
      <x:c r="G289">
        <x:f ca="1">IF(AND($B$1012=1,LEN($G$1292)&gt;0),$G$1292,HLOOKUP(INDIRECT(ADDRESS(2,COLUMN())),OFFSET($T$2,0,0,ROW()-1,14),ROW()-1,FALSE))</x:f>
        <x:v>-8.3196119999999993</x:v>
      </x:c>
      <x:c r="H289">
        <x:f ca="1">IF(AND($B$1012=1,LEN($H$1292)&gt;0),$H$1292,HLOOKUP(INDIRECT(ADDRESS(2,COLUMN())),OFFSET($T$2,0,0,ROW()-1,14),ROW()-1,FALSE))</x:f>
        <x:v>-5.1598410000000001</x:v>
      </x:c>
      <x:c r="I289">
        <x:f ca="1">IF(AND($B$1012=1,LEN($I$1292)&gt;0),$I$1292,HLOOKUP(INDIRECT(ADDRESS(2,COLUMN())),OFFSET($T$2,0,0,ROW()-1,14),ROW()-1,FALSE))</x:f>
        <x:v>3.6889789999999998</x:v>
      </x:c>
      <x:c r="J289">
        <x:f ca="1">IF(AND($B$1012=1,LEN($J$1292)&gt;0),$J$1292,HLOOKUP(INDIRECT(ADDRESS(2,COLUMN())),OFFSET($T$2,0,0,ROW()-1,14),ROW()-1,FALSE))</x:f>
        <x:v>1.8753439999999999</x:v>
      </x:c>
      <x:c r="K289">
        <x:f ca="1">IF(AND($B$1012=1,LEN($K$1292)&gt;0),$K$1292,HLOOKUP(INDIRECT(ADDRESS(2,COLUMN())),OFFSET($T$2,0,0,ROW()-1,14),ROW()-1,FALSE))</x:f>
        <x:v>-5.4240089999999999</x:v>
      </x:c>
      <x:c r="L289">
        <x:f ca="1">IF(AND($B$1012=1,LEN($L$1292)&gt;0),$L$1292,HLOOKUP(INDIRECT(ADDRESS(2,COLUMN())),OFFSET($T$2,0,0,ROW()-1,14),ROW()-1,FALSE))</x:f>
        <x:v>0.125808</x:v>
      </x:c>
      <x:c r="M289">
        <x:f ca="1">IF(AND($B$1012=1,LEN($M$1292)&gt;0),$M$1292,HLOOKUP(INDIRECT(ADDRESS(2,COLUMN())),OFFSET($T$2,0,0,ROW()-1,14),ROW()-1,FALSE))</x:f>
        <x:v>-0.89066699999999999</x:v>
      </x:c>
      <x:c r="N289">
        <x:f ca="1">IF(AND($B$1012=1,LEN($N$1292)&gt;0),$N$1292,HLOOKUP(INDIRECT(ADDRESS(2,COLUMN())),OFFSET($T$2,0,0,ROW()-1,14),ROW()-1,FALSE))</x:f>
        <x:v>-3.5053320000000001</x:v>
      </x:c>
      <x:c r="O289">
        <x:f ca="1">IF(AND($B$1012=1,LEN($O$1292)&gt;0),$O$1292,HLOOKUP(INDIRECT(ADDRESS(2,COLUMN())),OFFSET($T$2,0,0,ROW()-1,14),ROW()-1,FALSE))</x:f>
        <x:v>-1.3485E-2</x:v>
      </x:c>
      <x:c r="P289">
        <x:f ca="1">IF(AND($B$1012=1,LEN($P$1292)&gt;0),$P$1292,HLOOKUP(INDIRECT(ADDRESS(2,COLUMN())),OFFSET($T$2,0,0,ROW()-1,14),ROW()-1,FALSE))</x:f>
        <x:v>-3.3560949999999998</x:v>
      </x:c>
      <x:c r="Q289">
        <x:f ca="1">IF(AND($B$1012=1,LEN($Q$1292)&gt;0),$Q$1292,HLOOKUP(INDIRECT(ADDRESS(2,COLUMN())),OFFSET($T$2,0,0,ROW()-1,14),ROW()-1,FALSE))</x:f>
        <x:v>-17.573836</x:v>
      </x:c>
      <x:c r="R289">
        <x:f ca="1">IF(AND($B$1012=1,LEN($R$1292)&gt;0),$R$1292,HLOOKUP(INDIRECT(ADDRESS(2,COLUMN())),OFFSET($T$2,0,0,ROW()-1,14),ROW()-1,FALSE))</x:f>
        <x:v>-1.714075</x:v>
      </x:c>
      <x:c r="S289">
        <x:f ca="1">IF(AND($B$1012=1,LEN($S$1292)&gt;0),$S$1292,HLOOKUP(INDIRECT(ADDRESS(2,COLUMN())),OFFSET($T$2,0,0,ROW()-1,14),ROW()-1,FALSE))</x:f>
        <x:v>11.232677000000001</x:v>
      </x:c>
      <x:c r="T289">
        <x:f>-1.627275</x:f>
        <x:v>-1.627275</x:v>
      </x:c>
      <x:c r="U289">
        <x:f>-8.319612</x:f>
        <x:v>-8.3196119999999993</x:v>
      </x:c>
      <x:c r="V289">
        <x:f>-5.159841</x:f>
        <x:v>-5.1598410000000001</x:v>
      </x:c>
      <x:c r="W289">
        <x:f>3.688979</x:f>
        <x:v>3.6889789999999998</x:v>
      </x:c>
      <x:c r="X289">
        <x:f>1.875344</x:f>
        <x:v>1.8753439999999999</x:v>
      </x:c>
      <x:c r="Y289">
        <x:f>-5.424009</x:f>
        <x:v>-5.4240089999999999</x:v>
      </x:c>
      <x:c r="Z289">
        <x:f>0.125808</x:f>
        <x:v>0.125808</x:v>
      </x:c>
      <x:c r="AA289">
        <x:f>-0.890667</x:f>
        <x:v>-0.89066699999999999</x:v>
      </x:c>
      <x:c r="AB289">
        <x:f>-3.505332</x:f>
        <x:v>-3.5053320000000001</x:v>
      </x:c>
      <x:c r="AC289">
        <x:f>-0.013485</x:f>
        <x:v>-1.3485E-2</x:v>
      </x:c>
      <x:c r="AD289">
        <x:f>-3.356095</x:f>
        <x:v>-3.3560949999999998</x:v>
      </x:c>
      <x:c r="AE289">
        <x:f>-17.573836</x:f>
        <x:v>-17.573836</x:v>
      </x:c>
      <x:c r="AF289">
        <x:f>-1.714075</x:f>
        <x:v>-1.714075</x:v>
      </x:c>
      <x:c r="AG289">
        <x:f>11.232677</x:f>
        <x:v>11.232677000000001</x:v>
      </x:c>
    </x:row>
    <x:row r="290" spans="1:33" x14ac:dyDescent="0.25">
      <x:c r="A290" t="str">
        <x:f>"        ALPS Medical Breakthroughs ETF"</x:f>
        <x:v xml:space="preserve">        ALPS Medical Breakthroughs ETF</x:v>
      </x:c>
      <x:c r="B290" t="str">
        <x:f>"SBIO US Equity"</x:f>
        <x:v>SBIO US Equity</x:v>
      </x:c>
      <x:c r="E290" t="str">
        <x:f t="shared" si="9"/>
        <x:v>Expression</x:v>
      </x:c>
      <x:c r="F290">
        <x:f ca="1">IF(AND($B$1012=1,LEN($F$1293)&gt;0),$F$1293,HLOOKUP(INDIRECT(ADDRESS(2,COLUMN())),OFFSET($T$2,0,0,ROW()-1,14),ROW()-1,FALSE))</x:f>
        <x:v>-1.1930430000000001</x:v>
      </x:c>
      <x:c r="G290">
        <x:f ca="1">IF(AND($B$1012=1,LEN($G$1293)&gt;0),$G$1293,HLOOKUP(INDIRECT(ADDRESS(2,COLUMN())),OFFSET($T$2,0,0,ROW()-1,14),ROW()-1,FALSE))</x:f>
        <x:v>-3.0664889999999998</x:v>
      </x:c>
      <x:c r="H290">
        <x:f ca="1">IF(AND($B$1012=1,LEN($H$1293)&gt;0),$H$1293,HLOOKUP(INDIRECT(ADDRESS(2,COLUMN())),OFFSET($T$2,0,0,ROW()-1,14),ROW()-1,FALSE))</x:f>
        <x:v>-0.73950199999999999</x:v>
      </x:c>
      <x:c r="I290">
        <x:f ca="1">IF(AND($B$1012=1,LEN($I$1293)&gt;0),$I$1293,HLOOKUP(INDIRECT(ADDRESS(2,COLUMN())),OFFSET($T$2,0,0,ROW()-1,14),ROW()-1,FALSE))</x:f>
        <x:v>-1.518972</x:v>
      </x:c>
      <x:c r="J290">
        <x:f ca="1">IF(AND($B$1012=1,LEN($J$1293)&gt;0),$J$1293,HLOOKUP(INDIRECT(ADDRESS(2,COLUMN())),OFFSET($T$2,0,0,ROW()-1,14),ROW()-1,FALSE))</x:f>
        <x:v>-1.59904</x:v>
      </x:c>
      <x:c r="K290">
        <x:f ca="1">IF(AND($B$1012=1,LEN($K$1293)&gt;0),$K$1293,HLOOKUP(INDIRECT(ADDRESS(2,COLUMN())),OFFSET($T$2,0,0,ROW()-1,14),ROW()-1,FALSE))</x:f>
        <x:v>-2.435937</x:v>
      </x:c>
      <x:c r="L290">
        <x:f ca="1">IF(AND($B$1012=1,LEN($L$1293)&gt;0),$L$1293,HLOOKUP(INDIRECT(ADDRESS(2,COLUMN())),OFFSET($T$2,0,0,ROW()-1,14),ROW()-1,FALSE))</x:f>
        <x:v>0.81474400000000002</x:v>
      </x:c>
      <x:c r="M290">
        <x:f ca="1">IF(AND($B$1012=1,LEN($M$1293)&gt;0),$M$1293,HLOOKUP(INDIRECT(ADDRESS(2,COLUMN())),OFFSET($T$2,0,0,ROW()-1,14),ROW()-1,FALSE))</x:f>
        <x:v>0</x:v>
      </x:c>
      <x:c r="N290">
        <x:f ca="1">IF(AND($B$1012=1,LEN($N$1293)&gt;0),$N$1293,HLOOKUP(INDIRECT(ADDRESS(2,COLUMN())),OFFSET($T$2,0,0,ROW()-1,14),ROW()-1,FALSE))</x:f>
        <x:v>-7.0982000000000003E-2</x:v>
      </x:c>
      <x:c r="O290">
        <x:f ca="1">IF(AND($B$1012=1,LEN($O$1293)&gt;0),$O$1293,HLOOKUP(INDIRECT(ADDRESS(2,COLUMN())),OFFSET($T$2,0,0,ROW()-1,14),ROW()-1,FALSE))</x:f>
        <x:v>-0.78822099999999995</x:v>
      </x:c>
      <x:c r="P290">
        <x:f ca="1">IF(AND($B$1012=1,LEN($P$1293)&gt;0),$P$1293,HLOOKUP(INDIRECT(ADDRESS(2,COLUMN())),OFFSET($T$2,0,0,ROW()-1,14),ROW()-1,FALSE))</x:f>
        <x:v>-2.2516310000000002</x:v>
      </x:c>
      <x:c r="Q290">
        <x:f ca="1">IF(AND($B$1012=1,LEN($Q$1293)&gt;0),$Q$1293,HLOOKUP(INDIRECT(ADDRESS(2,COLUMN())),OFFSET($T$2,0,0,ROW()-1,14),ROW()-1,FALSE))</x:f>
        <x:v>-0.74299199999999999</x:v>
      </x:c>
      <x:c r="R290">
        <x:f ca="1">IF(AND($B$1012=1,LEN($R$1293)&gt;0),$R$1293,HLOOKUP(INDIRECT(ADDRESS(2,COLUMN())),OFFSET($T$2,0,0,ROW()-1,14),ROW()-1,FALSE))</x:f>
        <x:v>13.389824000000001</x:v>
      </x:c>
      <x:c r="S290">
        <x:f ca="1">IF(AND($B$1012=1,LEN($S$1293)&gt;0),$S$1293,HLOOKUP(INDIRECT(ADDRESS(2,COLUMN())),OFFSET($T$2,0,0,ROW()-1,14),ROW()-1,FALSE))</x:f>
        <x:v>-0.75789700000000004</x:v>
      </x:c>
      <x:c r="T290">
        <x:f>-1.193043</x:f>
        <x:v>-1.1930430000000001</x:v>
      </x:c>
      <x:c r="U290">
        <x:f>-3.066489</x:f>
        <x:v>-3.0664889999999998</x:v>
      </x:c>
      <x:c r="V290">
        <x:f>-0.739502</x:f>
        <x:v>-0.73950199999999999</x:v>
      </x:c>
      <x:c r="W290">
        <x:f>-1.518972</x:f>
        <x:v>-1.518972</x:v>
      </x:c>
      <x:c r="X290">
        <x:f>-1.59904</x:f>
        <x:v>-1.59904</x:v>
      </x:c>
      <x:c r="Y290">
        <x:f>-2.435937</x:f>
        <x:v>-2.435937</x:v>
      </x:c>
      <x:c r="Z290">
        <x:f>0.814744</x:f>
        <x:v>0.81474400000000002</x:v>
      </x:c>
      <x:c r="AA290">
        <x:f>0</x:f>
        <x:v>0</x:v>
      </x:c>
      <x:c r="AB290">
        <x:f>-0.070982</x:f>
        <x:v>-7.0982000000000003E-2</x:v>
      </x:c>
      <x:c r="AC290">
        <x:f>-0.788221</x:f>
        <x:v>-0.78822099999999995</x:v>
      </x:c>
      <x:c r="AD290">
        <x:f>-2.251631</x:f>
        <x:v>-2.2516310000000002</x:v>
      </x:c>
      <x:c r="AE290">
        <x:f>-0.742992</x:f>
        <x:v>-0.74299199999999999</x:v>
      </x:c>
      <x:c r="AF290">
        <x:f>13.389824</x:f>
        <x:v>13.389824000000001</x:v>
      </x:c>
      <x:c r="AG290">
        <x:f>-0.757897</x:f>
        <x:v>-0.75789700000000004</x:v>
      </x:c>
    </x:row>
    <x:row r="291" spans="1:33" x14ac:dyDescent="0.25">
      <x:c r="A291" t="str">
        <x:f>"        Direxion Daily S&amp;P Biotech Bea"</x:f>
        <x:v xml:space="preserve">        Direxion Daily S&amp;P Biotech Bea</x:v>
      </x:c>
      <x:c r="B291" t="str">
        <x:f>"LABD US Equity"</x:f>
        <x:v>LABD US Equity</x:v>
      </x:c>
      <x:c r="E291" t="str">
        <x:f t="shared" si="9"/>
        <x:v>Expression</x:v>
      </x:c>
      <x:c r="F291">
        <x:f ca="1">IF(AND($B$1012=1,LEN($F$1294)&gt;0),$F$1294,HLOOKUP(INDIRECT(ADDRESS(2,COLUMN())),OFFSET($T$2,0,0,ROW()-1,14),ROW()-1,FALSE))</x:f>
        <x:v>31.357873000000001</x:v>
      </x:c>
      <x:c r="G291">
        <x:f ca="1">IF(AND($B$1012=1,LEN($G$1294)&gt;0),$G$1294,HLOOKUP(INDIRECT(ADDRESS(2,COLUMN())),OFFSET($T$2,0,0,ROW()-1,14),ROW()-1,FALSE))</x:f>
        <x:v>-20.179431999999998</x:v>
      </x:c>
      <x:c r="H291">
        <x:f ca="1">IF(AND($B$1012=1,LEN($H$1294)&gt;0),$H$1294,HLOOKUP(INDIRECT(ADDRESS(2,COLUMN())),OFFSET($T$2,0,0,ROW()-1,14),ROW()-1,FALSE))</x:f>
        <x:v>-24.508841</x:v>
      </x:c>
      <x:c r="I291">
        <x:f ca="1">IF(AND($B$1012=1,LEN($I$1294)&gt;0),$I$1294,HLOOKUP(INDIRECT(ADDRESS(2,COLUMN())),OFFSET($T$2,0,0,ROW()-1,14),ROW()-1,FALSE))</x:f>
        <x:v>-23.955303000000001</x:v>
      </x:c>
      <x:c r="J291">
        <x:f ca="1">IF(AND($B$1012=1,LEN($J$1294)&gt;0),$J$1294,HLOOKUP(INDIRECT(ADDRESS(2,COLUMN())),OFFSET($T$2,0,0,ROW()-1,14),ROW()-1,FALSE))</x:f>
        <x:v>-20.250101999999998</x:v>
      </x:c>
      <x:c r="K291">
        <x:f ca="1">IF(AND($B$1012=1,LEN($K$1294)&gt;0),$K$1294,HLOOKUP(INDIRECT(ADDRESS(2,COLUMN())),OFFSET($T$2,0,0,ROW()-1,14),ROW()-1,FALSE))</x:f>
        <x:v>-2.6053860000000002</x:v>
      </x:c>
      <x:c r="L291">
        <x:f ca="1">IF(AND($B$1012=1,LEN($L$1294)&gt;0),$L$1294,HLOOKUP(INDIRECT(ADDRESS(2,COLUMN())),OFFSET($T$2,0,0,ROW()-1,14),ROW()-1,FALSE))</x:f>
        <x:v>27.356662</x:v>
      </x:c>
      <x:c r="M291">
        <x:f ca="1">IF(AND($B$1012=1,LEN($M$1294)&gt;0),$M$1294,HLOOKUP(INDIRECT(ADDRESS(2,COLUMN())),OFFSET($T$2,0,0,ROW()-1,14),ROW()-1,FALSE))</x:f>
        <x:v>27.340288999999999</x:v>
      </x:c>
      <x:c r="N291">
        <x:f ca="1">IF(AND($B$1012=1,LEN($N$1294)&gt;0),$N$1294,HLOOKUP(INDIRECT(ADDRESS(2,COLUMN())),OFFSET($T$2,0,0,ROW()-1,14),ROW()-1,FALSE))</x:f>
        <x:v>-64.783021000000005</x:v>
      </x:c>
      <x:c r="O291">
        <x:f ca="1">IF(AND($B$1012=1,LEN($O$1294)&gt;0),$O$1294,HLOOKUP(INDIRECT(ADDRESS(2,COLUMN())),OFFSET($T$2,0,0,ROW()-1,14),ROW()-1,FALSE))</x:f>
        <x:v>-65.627341000000001</x:v>
      </x:c>
      <x:c r="P291">
        <x:f ca="1">IF(AND($B$1012=1,LEN($P$1294)&gt;0),$P$1294,HLOOKUP(INDIRECT(ADDRESS(2,COLUMN())),OFFSET($T$2,0,0,ROW()-1,14),ROW()-1,FALSE))</x:f>
        <x:v>66.881349</x:v>
      </x:c>
      <x:c r="Q291">
        <x:f ca="1">IF(AND($B$1012=1,LEN($Q$1294)&gt;0),$Q$1294,HLOOKUP(INDIRECT(ADDRESS(2,COLUMN())),OFFSET($T$2,0,0,ROW()-1,14),ROW()-1,FALSE))</x:f>
        <x:v>2.2271079999999999</x:v>
      </x:c>
      <x:c r="R291">
        <x:f ca="1">IF(AND($B$1012=1,LEN($R$1294)&gt;0),$R$1294,HLOOKUP(INDIRECT(ADDRESS(2,COLUMN())),OFFSET($T$2,0,0,ROW()-1,14),ROW()-1,FALSE))</x:f>
        <x:v>-67.665786999999995</x:v>
      </x:c>
      <x:c r="S291">
        <x:f ca="1">IF(AND($B$1012=1,LEN($S$1294)&gt;0),$S$1294,HLOOKUP(INDIRECT(ADDRESS(2,COLUMN())),OFFSET($T$2,0,0,ROW()-1,14),ROW()-1,FALSE))</x:f>
        <x:v>13.717063</x:v>
      </x:c>
      <x:c r="T291">
        <x:f>31.357873</x:f>
        <x:v>31.357873000000001</x:v>
      </x:c>
      <x:c r="U291">
        <x:f>-20.179432</x:f>
        <x:v>-20.179431999999998</x:v>
      </x:c>
      <x:c r="V291">
        <x:f>-24.508841</x:f>
        <x:v>-24.508841</x:v>
      </x:c>
      <x:c r="W291">
        <x:f>-23.955303</x:f>
        <x:v>-23.955303000000001</x:v>
      </x:c>
      <x:c r="X291">
        <x:f>-20.250102</x:f>
        <x:v>-20.250101999999998</x:v>
      </x:c>
      <x:c r="Y291">
        <x:f>-2.605386</x:f>
        <x:v>-2.6053860000000002</x:v>
      </x:c>
      <x:c r="Z291">
        <x:f>27.356662</x:f>
        <x:v>27.356662</x:v>
      </x:c>
      <x:c r="AA291">
        <x:f>27.340289</x:f>
        <x:v>27.340288999999999</x:v>
      </x:c>
      <x:c r="AB291">
        <x:f>-64.783021</x:f>
        <x:v>-64.783021000000005</x:v>
      </x:c>
      <x:c r="AC291">
        <x:f>-65.627341</x:f>
        <x:v>-65.627341000000001</x:v>
      </x:c>
      <x:c r="AD291">
        <x:f>66.881349</x:f>
        <x:v>66.881349</x:v>
      </x:c>
      <x:c r="AE291">
        <x:f>2.227108</x:f>
        <x:v>2.2271079999999999</x:v>
      </x:c>
      <x:c r="AF291">
        <x:f>-67.665787</x:f>
        <x:v>-67.665786999999995</x:v>
      </x:c>
      <x:c r="AG291">
        <x:f>13.717063</x:f>
        <x:v>13.717063</x:v>
      </x:c>
    </x:row>
    <x:row r="292" spans="1:33" x14ac:dyDescent="0.25">
      <x:c r="A292" t="str">
        <x:f>"        ProShares Ultra Health Care"</x:f>
        <x:v xml:space="preserve">        ProShares Ultra Health Care</x:v>
      </x:c>
      <x:c r="B292" t="str">
        <x:f>"RXL US Equity"</x:f>
        <x:v>RXL US Equity</x:v>
      </x:c>
      <x:c r="E292" t="str">
        <x:f t="shared" si="9"/>
        <x:v>Expression</x:v>
      </x:c>
      <x:c r="F292">
        <x:f ca="1">IF(AND($B$1012=1,LEN($F$1295)&gt;0),$F$1295,HLOOKUP(INDIRECT(ADDRESS(2,COLUMN())),OFFSET($T$2,0,0,ROW()-1,14),ROW()-1,FALSE))</x:f>
        <x:v>-0.77117800000000003</x:v>
      </x:c>
      <x:c r="G292">
        <x:f ca="1">IF(AND($B$1012=1,LEN($G$1295)&gt;0),$G$1295,HLOOKUP(INDIRECT(ADDRESS(2,COLUMN())),OFFSET($T$2,0,0,ROW()-1,14),ROW()-1,FALSE))</x:f>
        <x:v>-2.3838469999999998</x:v>
      </x:c>
      <x:c r="H292">
        <x:f ca="1">IF(AND($B$1012=1,LEN($H$1295)&gt;0),$H$1295,HLOOKUP(INDIRECT(ADDRESS(2,COLUMN())),OFFSET($T$2,0,0,ROW()-1,14),ROW()-1,FALSE))</x:f>
        <x:v>-1.7178899999999999</x:v>
      </x:c>
      <x:c r="I292">
        <x:f ca="1">IF(AND($B$1012=1,LEN($I$1295)&gt;0),$I$1295,HLOOKUP(INDIRECT(ADDRESS(2,COLUMN())),OFFSET($T$2,0,0,ROW()-1,14),ROW()-1,FALSE))</x:f>
        <x:v>1.7811779999999999</x:v>
      </x:c>
      <x:c r="J292">
        <x:f ca="1">IF(AND($B$1012=1,LEN($J$1295)&gt;0),$J$1295,HLOOKUP(INDIRECT(ADDRESS(2,COLUMN())),OFFSET($T$2,0,0,ROW()-1,14),ROW()-1,FALSE))</x:f>
        <x:v>1.8539639999999999</x:v>
      </x:c>
      <x:c r="K292">
        <x:f ca="1">IF(AND($B$1012=1,LEN($K$1295)&gt;0),$K$1295,HLOOKUP(INDIRECT(ADDRESS(2,COLUMN())),OFFSET($T$2,0,0,ROW()-1,14),ROW()-1,FALSE))</x:f>
        <x:v>-3.9288159999999999</x:v>
      </x:c>
      <x:c r="L292">
        <x:f ca="1">IF(AND($B$1012=1,LEN($L$1295)&gt;0),$L$1295,HLOOKUP(INDIRECT(ADDRESS(2,COLUMN())),OFFSET($T$2,0,0,ROW()-1,14),ROW()-1,FALSE))</x:f>
        <x:v>0</x:v>
      </x:c>
      <x:c r="M292">
        <x:f ca="1">IF(AND($B$1012=1,LEN($M$1295)&gt;0),$M$1295,HLOOKUP(INDIRECT(ADDRESS(2,COLUMN())),OFFSET($T$2,0,0,ROW()-1,14),ROW()-1,FALSE))</x:f>
        <x:v>0</x:v>
      </x:c>
      <x:c r="N292">
        <x:f ca="1">IF(AND($B$1012=1,LEN($N$1295)&gt;0),$N$1295,HLOOKUP(INDIRECT(ADDRESS(2,COLUMN())),OFFSET($T$2,0,0,ROW()-1,14),ROW()-1,FALSE))</x:f>
        <x:v>-16.339252999999999</x:v>
      </x:c>
      <x:c r="O292">
        <x:f ca="1">IF(AND($B$1012=1,LEN($O$1295)&gt;0),$O$1295,HLOOKUP(INDIRECT(ADDRESS(2,COLUMN())),OFFSET($T$2,0,0,ROW()-1,14),ROW()-1,FALSE))</x:f>
        <x:v>13.324260000000001</x:v>
      </x:c>
      <x:c r="P292">
        <x:f ca="1">IF(AND($B$1012=1,LEN($P$1295)&gt;0),$P$1295,HLOOKUP(INDIRECT(ADDRESS(2,COLUMN())),OFFSET($T$2,0,0,ROW()-1,14),ROW()-1,FALSE))</x:f>
        <x:v>0</x:v>
      </x:c>
      <x:c r="Q292">
        <x:f ca="1">IF(AND($B$1012=1,LEN($Q$1295)&gt;0),$Q$1295,HLOOKUP(INDIRECT(ADDRESS(2,COLUMN())),OFFSET($T$2,0,0,ROW()-1,14),ROW()-1,FALSE))</x:f>
        <x:v>-6.9831529999999997</x:v>
      </x:c>
      <x:c r="R292">
        <x:f ca="1">IF(AND($B$1012=1,LEN($R$1295)&gt;0),$R$1295,HLOOKUP(INDIRECT(ADDRESS(2,COLUMN())),OFFSET($T$2,0,0,ROW()-1,14),ROW()-1,FALSE))</x:f>
        <x:v>9.1080299999999994</x:v>
      </x:c>
      <x:c r="S292">
        <x:f ca="1">IF(AND($B$1012=1,LEN($S$1295)&gt;0),$S$1295,HLOOKUP(INDIRECT(ADDRESS(2,COLUMN())),OFFSET($T$2,0,0,ROW()-1,14),ROW()-1,FALSE))</x:f>
        <x:v>-9.7336449999999992</x:v>
      </x:c>
      <x:c r="T292">
        <x:f>-0.771178</x:f>
        <x:v>-0.77117800000000003</x:v>
      </x:c>
      <x:c r="U292">
        <x:f>-2.383847</x:f>
        <x:v>-2.3838469999999998</x:v>
      </x:c>
      <x:c r="V292">
        <x:f>-1.71789</x:f>
        <x:v>-1.7178899999999999</x:v>
      </x:c>
      <x:c r="W292">
        <x:f>1.781178</x:f>
        <x:v>1.7811779999999999</x:v>
      </x:c>
      <x:c r="X292">
        <x:f>1.853964</x:f>
        <x:v>1.8539639999999999</x:v>
      </x:c>
      <x:c r="Y292">
        <x:f>-3.928816</x:f>
        <x:v>-3.9288159999999999</x:v>
      </x:c>
      <x:c r="Z292">
        <x:f>0</x:f>
        <x:v>0</x:v>
      </x:c>
      <x:c r="AA292">
        <x:f>0</x:f>
        <x:v>0</x:v>
      </x:c>
      <x:c r="AB292">
        <x:f>-16.339253</x:f>
        <x:v>-16.339252999999999</x:v>
      </x:c>
      <x:c r="AC292">
        <x:f>13.32426</x:f>
        <x:v>13.324260000000001</x:v>
      </x:c>
      <x:c r="AD292">
        <x:f>0</x:f>
        <x:v>0</x:v>
      </x:c>
      <x:c r="AE292">
        <x:f>-6.983153</x:f>
        <x:v>-6.9831529999999997</x:v>
      </x:c>
      <x:c r="AF292">
        <x:f>9.10803</x:f>
        <x:v>9.1080299999999994</x:v>
      </x:c>
      <x:c r="AG292">
        <x:f>-9.733645</x:f>
        <x:v>-9.7336449999999992</x:v>
      </x:c>
    </x:row>
    <x:row r="293" spans="1:33" x14ac:dyDescent="0.25">
      <x:c r="A293" t="str">
        <x:f>"        Invesco DWA Healthcare Momentu"</x:f>
        <x:v xml:space="preserve">        Invesco DWA Healthcare Momentu</x:v>
      </x:c>
      <x:c r="B293" t="str">
        <x:f>"PTH US Equity"</x:f>
        <x:v>PTH US Equity</x:v>
      </x:c>
      <x:c r="E293" t="str">
        <x:f t="shared" si="9"/>
        <x:v>Expression</x:v>
      </x:c>
      <x:c r="F293">
        <x:f ca="1">IF(AND($B$1012=1,LEN($F$1296)&gt;0),$F$1296,HLOOKUP(INDIRECT(ADDRESS(2,COLUMN())),OFFSET($T$2,0,0,ROW()-1,14),ROW()-1,FALSE))</x:f>
        <x:v>-4.4758990000000001</x:v>
      </x:c>
      <x:c r="G293">
        <x:f ca="1">IF(AND($B$1012=1,LEN($G$1296)&gt;0),$G$1296,HLOOKUP(INDIRECT(ADDRESS(2,COLUMN())),OFFSET($T$2,0,0,ROW()-1,14),ROW()-1,FALSE))</x:f>
        <x:v>-3.7604799999999998</x:v>
      </x:c>
      <x:c r="H293">
        <x:f ca="1">IF(AND($B$1012=1,LEN($H$1296)&gt;0),$H$1296,HLOOKUP(INDIRECT(ADDRESS(2,COLUMN())),OFFSET($T$2,0,0,ROW()-1,14),ROW()-1,FALSE))</x:f>
        <x:v>-3.138344</x:v>
      </x:c>
      <x:c r="I293">
        <x:f ca="1">IF(AND($B$1012=1,LEN($I$1296)&gt;0),$I$1296,HLOOKUP(INDIRECT(ADDRESS(2,COLUMN())),OFFSET($T$2,0,0,ROW()-1,14),ROW()-1,FALSE))</x:f>
        <x:v>-9.747719</x:v>
      </x:c>
      <x:c r="J293">
        <x:f ca="1">IF(AND($B$1012=1,LEN($J$1296)&gt;0),$J$1296,HLOOKUP(INDIRECT(ADDRESS(2,COLUMN())),OFFSET($T$2,0,0,ROW()-1,14),ROW()-1,FALSE))</x:f>
        <x:v>-2.4025349999999999</x:v>
      </x:c>
      <x:c r="K293">
        <x:f ca="1">IF(AND($B$1012=1,LEN($K$1296)&gt;0),$K$1296,HLOOKUP(INDIRECT(ADDRESS(2,COLUMN())),OFFSET($T$2,0,0,ROW()-1,14),ROW()-1,FALSE))</x:f>
        <x:v>-6.0753969999999997</x:v>
      </x:c>
      <x:c r="L293">
        <x:f ca="1">IF(AND($B$1012=1,LEN($L$1296)&gt;0),$L$1296,HLOOKUP(INDIRECT(ADDRESS(2,COLUMN())),OFFSET($T$2,0,0,ROW()-1,14),ROW()-1,FALSE))</x:f>
        <x:v>-2.2456140000000002</x:v>
      </x:c>
      <x:c r="M293">
        <x:f ca="1">IF(AND($B$1012=1,LEN($M$1296)&gt;0),$M$1296,HLOOKUP(INDIRECT(ADDRESS(2,COLUMN())),OFFSET($T$2,0,0,ROW()-1,14),ROW()-1,FALSE))</x:f>
        <x:v>-12.698383</x:v>
      </x:c>
      <x:c r="N293">
        <x:f ca="1">IF(AND($B$1012=1,LEN($N$1296)&gt;0),$N$1296,HLOOKUP(INDIRECT(ADDRESS(2,COLUMN())),OFFSET($T$2,0,0,ROW()-1,14),ROW()-1,FALSE))</x:f>
        <x:v>-5.6097830000000002</x:v>
      </x:c>
      <x:c r="O293">
        <x:f ca="1">IF(AND($B$1012=1,LEN($O$1296)&gt;0),$O$1296,HLOOKUP(INDIRECT(ADDRESS(2,COLUMN())),OFFSET($T$2,0,0,ROW()-1,14),ROW()-1,FALSE))</x:f>
        <x:v>-12.845209000000001</x:v>
      </x:c>
      <x:c r="P293">
        <x:f ca="1">IF(AND($B$1012=1,LEN($P$1296)&gt;0),$P$1296,HLOOKUP(INDIRECT(ADDRESS(2,COLUMN())),OFFSET($T$2,0,0,ROW()-1,14),ROW()-1,FALSE))</x:f>
        <x:v>-1.2002729999999999</x:v>
      </x:c>
      <x:c r="Q293">
        <x:f ca="1">IF(AND($B$1012=1,LEN($Q$1296)&gt;0),$Q$1296,HLOOKUP(INDIRECT(ADDRESS(2,COLUMN())),OFFSET($T$2,0,0,ROW()-1,14),ROW()-1,FALSE))</x:f>
        <x:v>-9.781962</x:v>
      </x:c>
      <x:c r="R293">
        <x:f ca="1">IF(AND($B$1012=1,LEN($R$1296)&gt;0),$R$1296,HLOOKUP(INDIRECT(ADDRESS(2,COLUMN())),OFFSET($T$2,0,0,ROW()-1,14),ROW()-1,FALSE))</x:f>
        <x:v>-5.9488320000000003</x:v>
      </x:c>
      <x:c r="S293">
        <x:f ca="1">IF(AND($B$1012=1,LEN($S$1296)&gt;0),$S$1296,HLOOKUP(INDIRECT(ADDRESS(2,COLUMN())),OFFSET($T$2,0,0,ROW()-1,14),ROW()-1,FALSE))</x:f>
        <x:v>-3.6503830000000002</x:v>
      </x:c>
      <x:c r="T293">
        <x:f>-4.475899</x:f>
        <x:v>-4.4758990000000001</x:v>
      </x:c>
      <x:c r="U293">
        <x:f>-3.76048</x:f>
        <x:v>-3.7604799999999998</x:v>
      </x:c>
      <x:c r="V293">
        <x:f>-3.138344</x:f>
        <x:v>-3.138344</x:v>
      </x:c>
      <x:c r="W293">
        <x:f>-9.747719</x:f>
        <x:v>-9.747719</x:v>
      </x:c>
      <x:c r="X293">
        <x:f>-2.402535</x:f>
        <x:v>-2.4025349999999999</x:v>
      </x:c>
      <x:c r="Y293">
        <x:f>-6.075397</x:f>
        <x:v>-6.0753969999999997</x:v>
      </x:c>
      <x:c r="Z293">
        <x:f>-2.245614</x:f>
        <x:v>-2.2456140000000002</x:v>
      </x:c>
      <x:c r="AA293">
        <x:f>-12.698383</x:f>
        <x:v>-12.698383</x:v>
      </x:c>
      <x:c r="AB293">
        <x:f>-5.609783</x:f>
        <x:v>-5.6097830000000002</x:v>
      </x:c>
      <x:c r="AC293">
        <x:f>-12.845209</x:f>
        <x:v>-12.845209000000001</x:v>
      </x:c>
      <x:c r="AD293">
        <x:f>-1.200273</x:f>
        <x:v>-1.2002729999999999</x:v>
      </x:c>
      <x:c r="AE293">
        <x:f>-9.781962</x:f>
        <x:v>-9.781962</x:v>
      </x:c>
      <x:c r="AF293">
        <x:f>-5.948832</x:f>
        <x:v>-5.9488320000000003</x:v>
      </x:c>
      <x:c r="AG293">
        <x:f>-3.650383</x:f>
        <x:v>-3.6503830000000002</x:v>
      </x:c>
    </x:row>
    <x:row r="294" spans="1:33" x14ac:dyDescent="0.25">
      <x:c r="A294" t="str">
        <x:f>"        SPDR S&amp;P International Health"</x:f>
        <x:v xml:space="preserve">        SPDR S&amp;P International Health</x:v>
      </x:c>
      <x:c r="B294" t="str">
        <x:f>"IRY US Equity"</x:f>
        <x:v>IRY US Equity</x:v>
      </x:c>
      <x:c r="E294" t="str">
        <x:f t="shared" si="9"/>
        <x:v>Expression</x:v>
      </x:c>
      <x:c r="F294" t="str">
        <x:f ca="1">IF(AND($B$1012=1,LEN($F$1297)&gt;0),$F$1297,HLOOKUP(INDIRECT(ADDRESS(2,COLUMN())),OFFSET($T$2,0,0,ROW()-1,14),ROW()-1,FALSE))</x:f>
        <x:v/>
      </x:c>
      <x:c r="G294" t="str">
        <x:f ca="1">IF(AND($B$1012=1,LEN($G$1297)&gt;0),$G$1297,HLOOKUP(INDIRECT(ADDRESS(2,COLUMN())),OFFSET($T$2,0,0,ROW()-1,14),ROW()-1,FALSE))</x:f>
        <x:v/>
      </x:c>
      <x:c r="H294" t="str">
        <x:f ca="1">IF(AND($B$1012=1,LEN($H$1297)&gt;0),$H$1297,HLOOKUP(INDIRECT(ADDRESS(2,COLUMN())),OFFSET($T$2,0,0,ROW()-1,14),ROW()-1,FALSE))</x:f>
        <x:v/>
      </x:c>
      <x:c r="I294" t="str">
        <x:f ca="1">IF(AND($B$1012=1,LEN($I$1297)&gt;0),$I$1297,HLOOKUP(INDIRECT(ADDRESS(2,COLUMN())),OFFSET($T$2,0,0,ROW()-1,14),ROW()-1,FALSE))</x:f>
        <x:v/>
      </x:c>
      <x:c r="J294" t="str">
        <x:f ca="1">IF(AND($B$1012=1,LEN($J$1297)&gt;0),$J$1297,HLOOKUP(INDIRECT(ADDRESS(2,COLUMN())),OFFSET($T$2,0,0,ROW()-1,14),ROW()-1,FALSE))</x:f>
        <x:v/>
      </x:c>
      <x:c r="K294" t="str">
        <x:f ca="1">IF(AND($B$1012=1,LEN($K$1297)&gt;0),$K$1297,HLOOKUP(INDIRECT(ADDRESS(2,COLUMN())),OFFSET($T$2,0,0,ROW()-1,14),ROW()-1,FALSE))</x:f>
        <x:v/>
      </x:c>
      <x:c r="L294" t="str">
        <x:f ca="1">IF(AND($B$1012=1,LEN($L$1297)&gt;0),$L$1297,HLOOKUP(INDIRECT(ADDRESS(2,COLUMN())),OFFSET($T$2,0,0,ROW()-1,14),ROW()-1,FALSE))</x:f>
        <x:v/>
      </x:c>
      <x:c r="M294" t="str">
        <x:f ca="1">IF(AND($B$1012=1,LEN($M$1297)&gt;0),$M$1297,HLOOKUP(INDIRECT(ADDRESS(2,COLUMN())),OFFSET($T$2,0,0,ROW()-1,14),ROW()-1,FALSE))</x:f>
        <x:v/>
      </x:c>
      <x:c r="N294" t="str">
        <x:f ca="1">IF(AND($B$1012=1,LEN($N$1297)&gt;0),$N$1297,HLOOKUP(INDIRECT(ADDRESS(2,COLUMN())),OFFSET($T$2,0,0,ROW()-1,14),ROW()-1,FALSE))</x:f>
        <x:v/>
      </x:c>
      <x:c r="O294" t="str">
        <x:f ca="1">IF(AND($B$1012=1,LEN($O$1297)&gt;0),$O$1297,HLOOKUP(INDIRECT(ADDRESS(2,COLUMN())),OFFSET($T$2,0,0,ROW()-1,14),ROW()-1,FALSE))</x:f>
        <x:v/>
      </x:c>
      <x:c r="P294" t="str">
        <x:f ca="1">IF(AND($B$1012=1,LEN($P$1297)&gt;0),$P$1297,HLOOKUP(INDIRECT(ADDRESS(2,COLUMN())),OFFSET($T$2,0,0,ROW()-1,14),ROW()-1,FALSE))</x:f>
        <x:v/>
      </x:c>
      <x:c r="Q294" t="str">
        <x:f ca="1">IF(AND($B$1012=1,LEN($Q$1297)&gt;0),$Q$1297,HLOOKUP(INDIRECT(ADDRESS(2,COLUMN())),OFFSET($T$2,0,0,ROW()-1,14),ROW()-1,FALSE))</x:f>
        <x:v/>
      </x:c>
      <x:c r="R294" t="str">
        <x:f ca="1">IF(AND($B$1012=1,LEN($R$1297)&gt;0),$R$1297,HLOOKUP(INDIRECT(ADDRESS(2,COLUMN())),OFFSET($T$2,0,0,ROW()-1,14),ROW()-1,FALSE))</x:f>
        <x:v/>
      </x:c>
      <x:c r="S294" t="str">
        <x:f ca="1">IF(AND($B$1012=1,LEN($S$1297)&gt;0),$S$1297,HLOOKUP(INDIRECT(ADDRESS(2,COLUMN())),OFFSET($T$2,0,0,ROW()-1,14),ROW()-1,FALSE))</x:f>
        <x:v/>
      </x:c>
      <x:c r="T294" t="str">
        <x:f>""</x:f>
        <x:v/>
      </x:c>
      <x:c r="U294" t="str">
        <x:f>""</x:f>
        <x:v/>
      </x:c>
      <x:c r="V294" t="str">
        <x:f>""</x:f>
        <x:v/>
      </x:c>
      <x:c r="W294" t="str">
        <x:f>""</x:f>
        <x:v/>
      </x:c>
      <x:c r="X294" t="str">
        <x:f>""</x:f>
        <x:v/>
      </x:c>
      <x:c r="Y294" t="str">
        <x:f>""</x:f>
        <x:v/>
      </x:c>
      <x:c r="Z294" t="str">
        <x:f>""</x:f>
        <x:v/>
      </x:c>
      <x:c r="AA294" t="str">
        <x:f>""</x:f>
        <x:v/>
      </x:c>
      <x:c r="AB294" t="str">
        <x:f>""</x:f>
        <x:v/>
      </x:c>
      <x:c r="AC294" t="str">
        <x:f>""</x:f>
        <x:v/>
      </x:c>
      <x:c r="AD294" t="str">
        <x:f>""</x:f>
        <x:v/>
      </x:c>
      <x:c r="AE294" t="str">
        <x:f>""</x:f>
        <x:v/>
      </x:c>
      <x:c r="AF294" t="str">
        <x:f>""</x:f>
        <x:v/>
      </x:c>
      <x:c r="AG294" t="str">
        <x:f>""</x:f>
        <x:v/>
      </x:c>
    </x:row>
    <x:row r="295" spans="1:33" x14ac:dyDescent="0.25">
      <x:c r="A295" t="str">
        <x:f>"        ProShares UltraShort Nasdaq Bi"</x:f>
        <x:v xml:space="preserve">        ProShares UltraShort Nasdaq Bi</x:v>
      </x:c>
      <x:c r="B295" t="str">
        <x:f>"BIS US Equity"</x:f>
        <x:v>BIS US Equity</x:v>
      </x:c>
      <x:c r="E295" t="str">
        <x:f t="shared" si="9"/>
        <x:v>Expression</x:v>
      </x:c>
      <x:c r="F295">
        <x:f ca="1">IF(AND($B$1012=1,LEN($F$1298)&gt;0),$F$1298,HLOOKUP(INDIRECT(ADDRESS(2,COLUMN())),OFFSET($T$2,0,0,ROW()-1,14),ROW()-1,FALSE))</x:f>
        <x:v>-0.63234999999999997</x:v>
      </x:c>
      <x:c r="G295">
        <x:f ca="1">IF(AND($B$1012=1,LEN($G$1298)&gt;0),$G$1298,HLOOKUP(INDIRECT(ADDRESS(2,COLUMN())),OFFSET($T$2,0,0,ROW()-1,14),ROW()-1,FALSE))</x:f>
        <x:v>-4.0605000000000002E-2</x:v>
      </x:c>
      <x:c r="H295">
        <x:f ca="1">IF(AND($B$1012=1,LEN($H$1298)&gt;0),$H$1298,HLOOKUP(INDIRECT(ADDRESS(2,COLUMN())),OFFSET($T$2,0,0,ROW()-1,14),ROW()-1,FALSE))</x:f>
        <x:v>0</x:v>
      </x:c>
      <x:c r="I295">
        <x:f ca="1">IF(AND($B$1012=1,LEN($I$1298)&gt;0),$I$1298,HLOOKUP(INDIRECT(ADDRESS(2,COLUMN())),OFFSET($T$2,0,0,ROW()-1,14),ROW()-1,FALSE))</x:f>
        <x:v>-0.522173</x:v>
      </x:c>
      <x:c r="J295">
        <x:f ca="1">IF(AND($B$1012=1,LEN($J$1298)&gt;0),$J$1298,HLOOKUP(INDIRECT(ADDRESS(2,COLUMN())),OFFSET($T$2,0,0,ROW()-1,14),ROW()-1,FALSE))</x:f>
        <x:v>0</x:v>
      </x:c>
      <x:c r="K295">
        <x:f ca="1">IF(AND($B$1012=1,LEN($K$1298)&gt;0),$K$1298,HLOOKUP(INDIRECT(ADDRESS(2,COLUMN())),OFFSET($T$2,0,0,ROW()-1,14),ROW()-1,FALSE))</x:f>
        <x:v>0</x:v>
      </x:c>
      <x:c r="L295">
        <x:f ca="1">IF(AND($B$1012=1,LEN($L$1298)&gt;0),$L$1298,HLOOKUP(INDIRECT(ADDRESS(2,COLUMN())),OFFSET($T$2,0,0,ROW()-1,14),ROW()-1,FALSE))</x:f>
        <x:v>0</x:v>
      </x:c>
      <x:c r="M295">
        <x:f ca="1">IF(AND($B$1012=1,LEN($M$1298)&gt;0),$M$1298,HLOOKUP(INDIRECT(ADDRESS(2,COLUMN())),OFFSET($T$2,0,0,ROW()-1,14),ROW()-1,FALSE))</x:f>
        <x:v>-0.96110300000000004</x:v>
      </x:c>
      <x:c r="N295">
        <x:f ca="1">IF(AND($B$1012=1,LEN($N$1298)&gt;0),$N$1298,HLOOKUP(INDIRECT(ADDRESS(2,COLUMN())),OFFSET($T$2,0,0,ROW()-1,14),ROW()-1,FALSE))</x:f>
        <x:v>1.6032949999999999</x:v>
      </x:c>
      <x:c r="O295">
        <x:f ca="1">IF(AND($B$1012=1,LEN($O$1298)&gt;0),$O$1298,HLOOKUP(INDIRECT(ADDRESS(2,COLUMN())),OFFSET($T$2,0,0,ROW()-1,14),ROW()-1,FALSE))</x:f>
        <x:v>-0.50240499999999999</x:v>
      </x:c>
      <x:c r="P295">
        <x:f ca="1">IF(AND($B$1012=1,LEN($P$1298)&gt;0),$P$1298,HLOOKUP(INDIRECT(ADDRESS(2,COLUMN())),OFFSET($T$2,0,0,ROW()-1,14),ROW()-1,FALSE))</x:f>
        <x:v>-1.883675</x:v>
      </x:c>
      <x:c r="Q295">
        <x:f ca="1">IF(AND($B$1012=1,LEN($Q$1298)&gt;0),$Q$1298,HLOOKUP(INDIRECT(ADDRESS(2,COLUMN())),OFFSET($T$2,0,0,ROW()-1,14),ROW()-1,FALSE))</x:f>
        <x:v>1.032632</x:v>
      </x:c>
      <x:c r="R295">
        <x:f ca="1">IF(AND($B$1012=1,LEN($R$1298)&gt;0),$R$1298,HLOOKUP(INDIRECT(ADDRESS(2,COLUMN())),OFFSET($T$2,0,0,ROW()-1,14),ROW()-1,FALSE))</x:f>
        <x:v>0</x:v>
      </x:c>
      <x:c r="S295">
        <x:f ca="1">IF(AND($B$1012=1,LEN($S$1298)&gt;0),$S$1298,HLOOKUP(INDIRECT(ADDRESS(2,COLUMN())),OFFSET($T$2,0,0,ROW()-1,14),ROW()-1,FALSE))</x:f>
        <x:v>-1.1536500000000001</x:v>
      </x:c>
      <x:c r="T295">
        <x:f>-0.63235</x:f>
        <x:v>-0.63234999999999997</x:v>
      </x:c>
      <x:c r="U295">
        <x:f>-0.040605</x:f>
        <x:v>-4.0605000000000002E-2</x:v>
      </x:c>
      <x:c r="V295">
        <x:f>0</x:f>
        <x:v>0</x:v>
      </x:c>
      <x:c r="W295">
        <x:f>-0.522173</x:f>
        <x:v>-0.522173</x:v>
      </x:c>
      <x:c r="X295">
        <x:f>0</x:f>
        <x:v>0</x:v>
      </x:c>
      <x:c r="Y295">
        <x:f>0</x:f>
        <x:v>0</x:v>
      </x:c>
      <x:c r="Z295">
        <x:f>0</x:f>
        <x:v>0</x:v>
      </x:c>
      <x:c r="AA295">
        <x:f>-0.961103</x:f>
        <x:v>-0.96110300000000004</x:v>
      </x:c>
      <x:c r="AB295">
        <x:f>1.603295</x:f>
        <x:v>1.6032949999999999</x:v>
      </x:c>
      <x:c r="AC295">
        <x:f>-0.502405</x:f>
        <x:v>-0.50240499999999999</x:v>
      </x:c>
      <x:c r="AD295">
        <x:f>-1.883675</x:f>
        <x:v>-1.883675</x:v>
      </x:c>
      <x:c r="AE295">
        <x:f>1.032632</x:f>
        <x:v>1.032632</x:v>
      </x:c>
      <x:c r="AF295">
        <x:f>0</x:f>
        <x:v>0</x:v>
      </x:c>
      <x:c r="AG295">
        <x:f>-1.15365</x:f>
        <x:v>-1.1536500000000001</x:v>
      </x:c>
    </x:row>
    <x:row r="296" spans="1:33" x14ac:dyDescent="0.25">
      <x:c r="A296" t="str">
        <x:f>"        Virtus LifeSci Biotech Product"</x:f>
        <x:v xml:space="preserve">        Virtus LifeSci Biotech Product</x:v>
      </x:c>
      <x:c r="B296" t="str">
        <x:f>"BBP US Equity"</x:f>
        <x:v>BBP US Equity</x:v>
      </x:c>
      <x:c r="E296" t="str">
        <x:f t="shared" si="9"/>
        <x:v>Expression</x:v>
      </x:c>
      <x:c r="F296">
        <x:f ca="1">IF(AND($B$1012=1,LEN($F$1299)&gt;0),$F$1299,HLOOKUP(INDIRECT(ADDRESS(2,COLUMN())),OFFSET($T$2,0,0,ROW()-1,14),ROW()-1,FALSE))</x:f>
        <x:v>0</x:v>
      </x:c>
      <x:c r="G296">
        <x:f ca="1">IF(AND($B$1012=1,LEN($G$1299)&gt;0),$G$1299,HLOOKUP(INDIRECT(ADDRESS(2,COLUMN())),OFFSET($T$2,0,0,ROW()-1,14),ROW()-1,FALSE))</x:f>
        <x:v>0</x:v>
      </x:c>
      <x:c r="H296">
        <x:f ca="1">IF(AND($B$1012=1,LEN($H$1299)&gt;0),$H$1299,HLOOKUP(INDIRECT(ADDRESS(2,COLUMN())),OFFSET($T$2,0,0,ROW()-1,14),ROW()-1,FALSE))</x:f>
        <x:v>0</x:v>
      </x:c>
      <x:c r="I296">
        <x:f ca="1">IF(AND($B$1012=1,LEN($I$1299)&gt;0),$I$1299,HLOOKUP(INDIRECT(ADDRESS(2,COLUMN())),OFFSET($T$2,0,0,ROW()-1,14),ROW()-1,FALSE))</x:f>
        <x:v>-2.6504500000000002</x:v>
      </x:c>
      <x:c r="J296">
        <x:f ca="1">IF(AND($B$1012=1,LEN($J$1299)&gt;0),$J$1299,HLOOKUP(INDIRECT(ADDRESS(2,COLUMN())),OFFSET($T$2,0,0,ROW()-1,14),ROW()-1,FALSE))</x:f>
        <x:v>0</x:v>
      </x:c>
      <x:c r="K296">
        <x:f ca="1">IF(AND($B$1012=1,LEN($K$1299)&gt;0),$K$1299,HLOOKUP(INDIRECT(ADDRESS(2,COLUMN())),OFFSET($T$2,0,0,ROW()-1,14),ROW()-1,FALSE))</x:f>
        <x:v>0</x:v>
      </x:c>
      <x:c r="L296">
        <x:f ca="1">IF(AND($B$1012=1,LEN($L$1299)&gt;0),$L$1299,HLOOKUP(INDIRECT(ADDRESS(2,COLUMN())),OFFSET($T$2,0,0,ROW()-1,14),ROW()-1,FALSE))</x:f>
        <x:v>0</x:v>
      </x:c>
      <x:c r="M296">
        <x:f ca="1">IF(AND($B$1012=1,LEN($M$1299)&gt;0),$M$1299,HLOOKUP(INDIRECT(ADDRESS(2,COLUMN())),OFFSET($T$2,0,0,ROW()-1,14),ROW()-1,FALSE))</x:f>
        <x:v>0</x:v>
      </x:c>
      <x:c r="N296">
        <x:f ca="1">IF(AND($B$1012=1,LEN($N$1299)&gt;0),$N$1299,HLOOKUP(INDIRECT(ADDRESS(2,COLUMN())),OFFSET($T$2,0,0,ROW()-1,14),ROW()-1,FALSE))</x:f>
        <x:v>0</x:v>
      </x:c>
      <x:c r="O296">
        <x:f ca="1">IF(AND($B$1012=1,LEN($O$1299)&gt;0),$O$1299,HLOOKUP(INDIRECT(ADDRESS(2,COLUMN())),OFFSET($T$2,0,0,ROW()-1,14),ROW()-1,FALSE))</x:f>
        <x:v>0</x:v>
      </x:c>
      <x:c r="P296">
        <x:f ca="1">IF(AND($B$1012=1,LEN($P$1299)&gt;0),$P$1299,HLOOKUP(INDIRECT(ADDRESS(2,COLUMN())),OFFSET($T$2,0,0,ROW()-1,14),ROW()-1,FALSE))</x:f>
        <x:v>0</x:v>
      </x:c>
      <x:c r="Q296">
        <x:f ca="1">IF(AND($B$1012=1,LEN($Q$1299)&gt;0),$Q$1299,HLOOKUP(INDIRECT(ADDRESS(2,COLUMN())),OFFSET($T$2,0,0,ROW()-1,14),ROW()-1,FALSE))</x:f>
        <x:v>0</x:v>
      </x:c>
      <x:c r="R296">
        <x:f ca="1">IF(AND($B$1012=1,LEN($R$1299)&gt;0),$R$1299,HLOOKUP(INDIRECT(ADDRESS(2,COLUMN())),OFFSET($T$2,0,0,ROW()-1,14),ROW()-1,FALSE))</x:f>
        <x:v>0</x:v>
      </x:c>
      <x:c r="S296">
        <x:f ca="1">IF(AND($B$1012=1,LEN($S$1299)&gt;0),$S$1299,HLOOKUP(INDIRECT(ADDRESS(2,COLUMN())),OFFSET($T$2,0,0,ROW()-1,14),ROW()-1,FALSE))</x:f>
        <x:v>0</x:v>
      </x:c>
      <x:c r="T296">
        <x:f>0</x:f>
        <x:v>0</x:v>
      </x:c>
      <x:c r="U296">
        <x:f>0</x:f>
        <x:v>0</x:v>
      </x:c>
      <x:c r="V296">
        <x:f>0</x:f>
        <x:v>0</x:v>
      </x:c>
      <x:c r="W296">
        <x:f>-2.65045</x:f>
        <x:v>-2.6504500000000002</x:v>
      </x:c>
      <x:c r="X296">
        <x:f>0</x:f>
        <x:v>0</x:v>
      </x:c>
      <x:c r="Y296">
        <x:f>0</x:f>
        <x:v>0</x:v>
      </x:c>
      <x:c r="Z296">
        <x:f>0</x:f>
        <x:v>0</x:v>
      </x:c>
      <x:c r="AA296">
        <x:f>0</x:f>
        <x:v>0</x:v>
      </x:c>
      <x:c r="AB296">
        <x:f>0</x:f>
        <x:v>0</x:v>
      </x:c>
      <x:c r="AC296">
        <x:f>0</x:f>
        <x:v>0</x:v>
      </x:c>
      <x:c r="AD296">
        <x:f>0</x:f>
        <x:v>0</x:v>
      </x:c>
      <x:c r="AE296">
        <x:f>0</x:f>
        <x:v>0</x:v>
      </x:c>
      <x:c r="AF296">
        <x:f>0</x:f>
        <x:v>0</x:v>
      </x:c>
      <x:c r="AG296">
        <x:f>0</x:f>
        <x:v>0</x:v>
      </x:c>
    </x:row>
    <x:row r="297" spans="1:33" x14ac:dyDescent="0.25">
      <x:c r="A297" t="str">
        <x:f>"        Proshares UltraPro NASDAQ Biot"</x:f>
        <x:v xml:space="preserve">        Proshares UltraPro NASDAQ Biot</x:v>
      </x:c>
      <x:c r="B297" t="str">
        <x:f>"UBIO US Equity"</x:f>
        <x:v>UBIO US Equity</x:v>
      </x:c>
      <x:c r="E297" t="str">
        <x:f t="shared" si="9"/>
        <x:v>Expression</x:v>
      </x:c>
      <x:c r="F297" t="str">
        <x:f ca="1">IF(AND($B$1012=1,LEN($F$1300)&gt;0),$F$1300,HLOOKUP(INDIRECT(ADDRESS(2,COLUMN())),OFFSET($T$2,0,0,ROW()-1,14),ROW()-1,FALSE))</x:f>
        <x:v/>
      </x:c>
      <x:c r="G297" t="str">
        <x:f ca="1">IF(AND($B$1012=1,LEN($G$1300)&gt;0),$G$1300,HLOOKUP(INDIRECT(ADDRESS(2,COLUMN())),OFFSET($T$2,0,0,ROW()-1,14),ROW()-1,FALSE))</x:f>
        <x:v/>
      </x:c>
      <x:c r="H297" t="str">
        <x:f ca="1">IF(AND($B$1012=1,LEN($H$1300)&gt;0),$H$1300,HLOOKUP(INDIRECT(ADDRESS(2,COLUMN())),OFFSET($T$2,0,0,ROW()-1,14),ROW()-1,FALSE))</x:f>
        <x:v/>
      </x:c>
      <x:c r="I297" t="str">
        <x:f ca="1">IF(AND($B$1012=1,LEN($I$1300)&gt;0),$I$1300,HLOOKUP(INDIRECT(ADDRESS(2,COLUMN())),OFFSET($T$2,0,0,ROW()-1,14),ROW()-1,FALSE))</x:f>
        <x:v/>
      </x:c>
      <x:c r="J297" t="str">
        <x:f ca="1">IF(AND($B$1012=1,LEN($J$1300)&gt;0),$J$1300,HLOOKUP(INDIRECT(ADDRESS(2,COLUMN())),OFFSET($T$2,0,0,ROW()-1,14),ROW()-1,FALSE))</x:f>
        <x:v/>
      </x:c>
      <x:c r="K297" t="str">
        <x:f ca="1">IF(AND($B$1012=1,LEN($K$1300)&gt;0),$K$1300,HLOOKUP(INDIRECT(ADDRESS(2,COLUMN())),OFFSET($T$2,0,0,ROW()-1,14),ROW()-1,FALSE))</x:f>
        <x:v/>
      </x:c>
      <x:c r="L297" t="str">
        <x:f ca="1">IF(AND($B$1012=1,LEN($L$1300)&gt;0),$L$1300,HLOOKUP(INDIRECT(ADDRESS(2,COLUMN())),OFFSET($T$2,0,0,ROW()-1,14),ROW()-1,FALSE))</x:f>
        <x:v/>
      </x:c>
      <x:c r="M297" t="str">
        <x:f ca="1">IF(AND($B$1012=1,LEN($M$1300)&gt;0),$M$1300,HLOOKUP(INDIRECT(ADDRESS(2,COLUMN())),OFFSET($T$2,0,0,ROW()-1,14),ROW()-1,FALSE))</x:f>
        <x:v/>
      </x:c>
      <x:c r="N297" t="str">
        <x:f ca="1">IF(AND($B$1012=1,LEN($N$1300)&gt;0),$N$1300,HLOOKUP(INDIRECT(ADDRESS(2,COLUMN())),OFFSET($T$2,0,0,ROW()-1,14),ROW()-1,FALSE))</x:f>
        <x:v/>
      </x:c>
      <x:c r="O297" t="str">
        <x:f ca="1">IF(AND($B$1012=1,LEN($O$1300)&gt;0),$O$1300,HLOOKUP(INDIRECT(ADDRESS(2,COLUMN())),OFFSET($T$2,0,0,ROW()-1,14),ROW()-1,FALSE))</x:f>
        <x:v/>
      </x:c>
      <x:c r="P297" t="str">
        <x:f ca="1">IF(AND($B$1012=1,LEN($P$1300)&gt;0),$P$1300,HLOOKUP(INDIRECT(ADDRESS(2,COLUMN())),OFFSET($T$2,0,0,ROW()-1,14),ROW()-1,FALSE))</x:f>
        <x:v/>
      </x:c>
      <x:c r="Q297" t="str">
        <x:f ca="1">IF(AND($B$1012=1,LEN($Q$1300)&gt;0),$Q$1300,HLOOKUP(INDIRECT(ADDRESS(2,COLUMN())),OFFSET($T$2,0,0,ROW()-1,14),ROW()-1,FALSE))</x:f>
        <x:v/>
      </x:c>
      <x:c r="R297" t="str">
        <x:f ca="1">IF(AND($B$1012=1,LEN($R$1300)&gt;0),$R$1300,HLOOKUP(INDIRECT(ADDRESS(2,COLUMN())),OFFSET($T$2,0,0,ROW()-1,14),ROW()-1,FALSE))</x:f>
        <x:v/>
      </x:c>
      <x:c r="S297" t="str">
        <x:f ca="1">IF(AND($B$1012=1,LEN($S$1300)&gt;0),$S$1300,HLOOKUP(INDIRECT(ADDRESS(2,COLUMN())),OFFSET($T$2,0,0,ROW()-1,14),ROW()-1,FALSE))</x:f>
        <x:v/>
      </x:c>
      <x:c r="T297" t="str">
        <x:f>""</x:f>
        <x:v/>
      </x:c>
      <x:c r="U297" t="str">
        <x:f>""</x:f>
        <x:v/>
      </x:c>
      <x:c r="V297" t="str">
        <x:f>""</x:f>
        <x:v/>
      </x:c>
      <x:c r="W297" t="str">
        <x:f>""</x:f>
        <x:v/>
      </x:c>
      <x:c r="X297" t="str">
        <x:f>""</x:f>
        <x:v/>
      </x:c>
      <x:c r="Y297" t="str">
        <x:f>""</x:f>
        <x:v/>
      </x:c>
      <x:c r="Z297" t="str">
        <x:f>""</x:f>
        <x:v/>
      </x:c>
      <x:c r="AA297" t="str">
        <x:f>""</x:f>
        <x:v/>
      </x:c>
      <x:c r="AB297" t="str">
        <x:f>""</x:f>
        <x:v/>
      </x:c>
      <x:c r="AC297" t="str">
        <x:f>""</x:f>
        <x:v/>
      </x:c>
      <x:c r="AD297" t="str">
        <x:f>""</x:f>
        <x:v/>
      </x:c>
      <x:c r="AE297" t="str">
        <x:f>""</x:f>
        <x:v/>
      </x:c>
      <x:c r="AF297" t="str">
        <x:f>""</x:f>
        <x:v/>
      </x:c>
      <x:c r="AG297" t="str">
        <x:f>""</x:f>
        <x:v/>
      </x:c>
    </x:row>
    <x:row r="298" spans="1:33" x14ac:dyDescent="0.25">
      <x:c r="A298" t="str">
        <x:f>"        John Hancock Multi-Factor Heal"</x:f>
        <x:v xml:space="preserve">        John Hancock Multi-Factor Heal</x:v>
      </x:c>
      <x:c r="B298" t="str">
        <x:f>"JHMH US Equity"</x:f>
        <x:v>JHMH US Equity</x:v>
      </x:c>
      <x:c r="E298" t="str">
        <x:f t="shared" ref="E298:E326" si="10">"Expression"</x:f>
        <x:v>Expression</x:v>
      </x:c>
      <x:c r="F298" t="str">
        <x:f ca="1">IF(AND($B$1012=1,LEN($F$1301)&gt;0),$F$1301,HLOOKUP(INDIRECT(ADDRESS(2,COLUMN())),OFFSET($T$2,0,0,ROW()-1,14),ROW()-1,FALSE))</x:f>
        <x:v/>
      </x:c>
      <x:c r="G298" t="str">
        <x:f ca="1">IF(AND($B$1012=1,LEN($G$1301)&gt;0),$G$1301,HLOOKUP(INDIRECT(ADDRESS(2,COLUMN())),OFFSET($T$2,0,0,ROW()-1,14),ROW()-1,FALSE))</x:f>
        <x:v/>
      </x:c>
      <x:c r="H298" t="str">
        <x:f ca="1">IF(AND($B$1012=1,LEN($H$1301)&gt;0),$H$1301,HLOOKUP(INDIRECT(ADDRESS(2,COLUMN())),OFFSET($T$2,0,0,ROW()-1,14),ROW()-1,FALSE))</x:f>
        <x:v/>
      </x:c>
      <x:c r="I298" t="str">
        <x:f ca="1">IF(AND($B$1012=1,LEN($I$1301)&gt;0),$I$1301,HLOOKUP(INDIRECT(ADDRESS(2,COLUMN())),OFFSET($T$2,0,0,ROW()-1,14),ROW()-1,FALSE))</x:f>
        <x:v/>
      </x:c>
      <x:c r="J298" t="str">
        <x:f ca="1">IF(AND($B$1012=1,LEN($J$1301)&gt;0),$J$1301,HLOOKUP(INDIRECT(ADDRESS(2,COLUMN())),OFFSET($T$2,0,0,ROW()-1,14),ROW()-1,FALSE))</x:f>
        <x:v/>
      </x:c>
      <x:c r="K298" t="str">
        <x:f ca="1">IF(AND($B$1012=1,LEN($K$1301)&gt;0),$K$1301,HLOOKUP(INDIRECT(ADDRESS(2,COLUMN())),OFFSET($T$2,0,0,ROW()-1,14),ROW()-1,FALSE))</x:f>
        <x:v/>
      </x:c>
      <x:c r="L298" t="str">
        <x:f ca="1">IF(AND($B$1012=1,LEN($L$1301)&gt;0),$L$1301,HLOOKUP(INDIRECT(ADDRESS(2,COLUMN())),OFFSET($T$2,0,0,ROW()-1,14),ROW()-1,FALSE))</x:f>
        <x:v/>
      </x:c>
      <x:c r="M298" t="str">
        <x:f ca="1">IF(AND($B$1012=1,LEN($M$1301)&gt;0),$M$1301,HLOOKUP(INDIRECT(ADDRESS(2,COLUMN())),OFFSET($T$2,0,0,ROW()-1,14),ROW()-1,FALSE))</x:f>
        <x:v/>
      </x:c>
      <x:c r="N298" t="str">
        <x:f ca="1">IF(AND($B$1012=1,LEN($N$1301)&gt;0),$N$1301,HLOOKUP(INDIRECT(ADDRESS(2,COLUMN())),OFFSET($T$2,0,0,ROW()-1,14),ROW()-1,FALSE))</x:f>
        <x:v/>
      </x:c>
      <x:c r="O298" t="str">
        <x:f ca="1">IF(AND($B$1012=1,LEN($O$1301)&gt;0),$O$1301,HLOOKUP(INDIRECT(ADDRESS(2,COLUMN())),OFFSET($T$2,0,0,ROW()-1,14),ROW()-1,FALSE))</x:f>
        <x:v/>
      </x:c>
      <x:c r="P298" t="str">
        <x:f ca="1">IF(AND($B$1012=1,LEN($P$1301)&gt;0),$P$1301,HLOOKUP(INDIRECT(ADDRESS(2,COLUMN())),OFFSET($T$2,0,0,ROW()-1,14),ROW()-1,FALSE))</x:f>
        <x:v/>
      </x:c>
      <x:c r="Q298" t="str">
        <x:f ca="1">IF(AND($B$1012=1,LEN($Q$1301)&gt;0),$Q$1301,HLOOKUP(INDIRECT(ADDRESS(2,COLUMN())),OFFSET($T$2,0,0,ROW()-1,14),ROW()-1,FALSE))</x:f>
        <x:v/>
      </x:c>
      <x:c r="R298" t="str">
        <x:f ca="1">IF(AND($B$1012=1,LEN($R$1301)&gt;0),$R$1301,HLOOKUP(INDIRECT(ADDRESS(2,COLUMN())),OFFSET($T$2,0,0,ROW()-1,14),ROW()-1,FALSE))</x:f>
        <x:v/>
      </x:c>
      <x:c r="S298">
        <x:f ca="1">IF(AND($B$1012=1,LEN($S$1301)&gt;0),$S$1301,HLOOKUP(INDIRECT(ADDRESS(2,COLUMN())),OFFSET($T$2,0,0,ROW()-1,14),ROW()-1,FALSE))</x:f>
        <x:v>-13.69833</x:v>
      </x:c>
      <x:c r="T298" t="str">
        <x:f>""</x:f>
        <x:v/>
      </x:c>
      <x:c r="U298" t="str">
        <x:f>""</x:f>
        <x:v/>
      </x:c>
      <x:c r="V298" t="str">
        <x:f>""</x:f>
        <x:v/>
      </x:c>
      <x:c r="W298" t="str">
        <x:f>""</x:f>
        <x:v/>
      </x:c>
      <x:c r="X298" t="str">
        <x:f>""</x:f>
        <x:v/>
      </x:c>
      <x:c r="Y298" t="str">
        <x:f>""</x:f>
        <x:v/>
      </x:c>
      <x:c r="Z298" t="str">
        <x:f>""</x:f>
        <x:v/>
      </x:c>
      <x:c r="AA298" t="str">
        <x:f>""</x:f>
        <x:v/>
      </x:c>
      <x:c r="AB298" t="str">
        <x:f>""</x:f>
        <x:v/>
      </x:c>
      <x:c r="AC298" t="str">
        <x:f>""</x:f>
        <x:v/>
      </x:c>
      <x:c r="AD298" t="str">
        <x:f>""</x:f>
        <x:v/>
      </x:c>
      <x:c r="AE298" t="str">
        <x:f>""</x:f>
        <x:v/>
      </x:c>
      <x:c r="AF298" t="str">
        <x:f>""</x:f>
        <x:v/>
      </x:c>
      <x:c r="AG298">
        <x:f>-13.69833</x:f>
        <x:v>-13.69833</x:v>
      </x:c>
    </x:row>
    <x:row r="299" spans="1:33" x14ac:dyDescent="0.25">
      <x:c r="A299" t="str">
        <x:f>"        Virtus LifeSci Biotech Clinica"</x:f>
        <x:v xml:space="preserve">        Virtus LifeSci Biotech Clinica</x:v>
      </x:c>
      <x:c r="B299" t="str">
        <x:f>"BBC US Equity"</x:f>
        <x:v>BBC US Equity</x:v>
      </x:c>
      <x:c r="E299" t="str">
        <x:f t="shared" si="10"/>
        <x:v>Expression</x:v>
      </x:c>
      <x:c r="F299">
        <x:f ca="1">IF(AND($B$1012=1,LEN($F$1302)&gt;0),$F$1302,HLOOKUP(INDIRECT(ADDRESS(2,COLUMN())),OFFSET($T$2,0,0,ROW()-1,14),ROW()-1,FALSE))</x:f>
        <x:v>0</x:v>
      </x:c>
      <x:c r="G299">
        <x:f ca="1">IF(AND($B$1012=1,LEN($G$1302)&gt;0),$G$1302,HLOOKUP(INDIRECT(ADDRESS(2,COLUMN())),OFFSET($T$2,0,0,ROW()-1,14),ROW()-1,FALSE))</x:f>
        <x:v>0</x:v>
      </x:c>
      <x:c r="H299">
        <x:f ca="1">IF(AND($B$1012=1,LEN($H$1302)&gt;0),$H$1302,HLOOKUP(INDIRECT(ADDRESS(2,COLUMN())),OFFSET($T$2,0,0,ROW()-1,14),ROW()-1,FALSE))</x:f>
        <x:v>0</x:v>
      </x:c>
      <x:c r="I299">
        <x:f ca="1">IF(AND($B$1012=1,LEN($I$1302)&gt;0),$I$1302,HLOOKUP(INDIRECT(ADDRESS(2,COLUMN())),OFFSET($T$2,0,0,ROW()-1,14),ROW()-1,FALSE))</x:f>
        <x:v>-1.1205080000000001</x:v>
      </x:c>
      <x:c r="J299">
        <x:f ca="1">IF(AND($B$1012=1,LEN($J$1302)&gt;0),$J$1302,HLOOKUP(INDIRECT(ADDRESS(2,COLUMN())),OFFSET($T$2,0,0,ROW()-1,14),ROW()-1,FALSE))</x:f>
        <x:v>0</x:v>
      </x:c>
      <x:c r="K299">
        <x:f ca="1">IF(AND($B$1012=1,LEN($K$1302)&gt;0),$K$1302,HLOOKUP(INDIRECT(ADDRESS(2,COLUMN())),OFFSET($T$2,0,0,ROW()-1,14),ROW()-1,FALSE))</x:f>
        <x:v>0</x:v>
      </x:c>
      <x:c r="L299">
        <x:f ca="1">IF(AND($B$1012=1,LEN($L$1302)&gt;0),$L$1302,HLOOKUP(INDIRECT(ADDRESS(2,COLUMN())),OFFSET($T$2,0,0,ROW()-1,14),ROW()-1,FALSE))</x:f>
        <x:v>0</x:v>
      </x:c>
      <x:c r="M299">
        <x:f ca="1">IF(AND($B$1012=1,LEN($M$1302)&gt;0),$M$1302,HLOOKUP(INDIRECT(ADDRESS(2,COLUMN())),OFFSET($T$2,0,0,ROW()-1,14),ROW()-1,FALSE))</x:f>
        <x:v>0</x:v>
      </x:c>
      <x:c r="N299">
        <x:f ca="1">IF(AND($B$1012=1,LEN($N$1302)&gt;0),$N$1302,HLOOKUP(INDIRECT(ADDRESS(2,COLUMN())),OFFSET($T$2,0,0,ROW()-1,14),ROW()-1,FALSE))</x:f>
        <x:v>-1.098873</x:v>
      </x:c>
      <x:c r="O299">
        <x:f ca="1">IF(AND($B$1012=1,LEN($O$1302)&gt;0),$O$1302,HLOOKUP(INDIRECT(ADDRESS(2,COLUMN())),OFFSET($T$2,0,0,ROW()-1,14),ROW()-1,FALSE))</x:f>
        <x:v>-1.3310059999999999</x:v>
      </x:c>
      <x:c r="P299">
        <x:f ca="1">IF(AND($B$1012=1,LEN($P$1302)&gt;0),$P$1302,HLOOKUP(INDIRECT(ADDRESS(2,COLUMN())),OFFSET($T$2,0,0,ROW()-1,14),ROW()-1,FALSE))</x:f>
        <x:v>-2.5819939999999999</x:v>
      </x:c>
      <x:c r="Q299">
        <x:f ca="1">IF(AND($B$1012=1,LEN($Q$1302)&gt;0),$Q$1302,HLOOKUP(INDIRECT(ADDRESS(2,COLUMN())),OFFSET($T$2,0,0,ROW()-1,14),ROW()-1,FALSE))</x:f>
        <x:v>0</x:v>
      </x:c>
      <x:c r="R299">
        <x:f ca="1">IF(AND($B$1012=1,LEN($R$1302)&gt;0),$R$1302,HLOOKUP(INDIRECT(ADDRESS(2,COLUMN())),OFFSET($T$2,0,0,ROW()-1,14),ROW()-1,FALSE))</x:f>
        <x:v>0</x:v>
      </x:c>
      <x:c r="S299">
        <x:f ca="1">IF(AND($B$1012=1,LEN($S$1302)&gt;0),$S$1302,HLOOKUP(INDIRECT(ADDRESS(2,COLUMN())),OFFSET($T$2,0,0,ROW()-1,14),ROW()-1,FALSE))</x:f>
        <x:v>0</x:v>
      </x:c>
      <x:c r="T299">
        <x:f>0</x:f>
        <x:v>0</x:v>
      </x:c>
      <x:c r="U299">
        <x:f>0</x:f>
        <x:v>0</x:v>
      </x:c>
      <x:c r="V299">
        <x:f>0</x:f>
        <x:v>0</x:v>
      </x:c>
      <x:c r="W299">
        <x:f>-1.120508</x:f>
        <x:v>-1.1205080000000001</x:v>
      </x:c>
      <x:c r="X299">
        <x:f>0</x:f>
        <x:v>0</x:v>
      </x:c>
      <x:c r="Y299">
        <x:f>0</x:f>
        <x:v>0</x:v>
      </x:c>
      <x:c r="Z299">
        <x:f>0</x:f>
        <x:v>0</x:v>
      </x:c>
      <x:c r="AA299">
        <x:f>0</x:f>
        <x:v>0</x:v>
      </x:c>
      <x:c r="AB299">
        <x:f>-1.098873</x:f>
        <x:v>-1.098873</x:v>
      </x:c>
      <x:c r="AC299">
        <x:f>-1.331006</x:f>
        <x:v>-1.3310059999999999</x:v>
      </x:c>
      <x:c r="AD299">
        <x:f>-2.581994</x:f>
        <x:v>-2.5819939999999999</x:v>
      </x:c>
      <x:c r="AE299">
        <x:f>0</x:f>
        <x:v>0</x:v>
      </x:c>
      <x:c r="AF299">
        <x:f>0</x:f>
        <x:v>0</x:v>
      </x:c>
      <x:c r="AG299">
        <x:f>0</x:f>
        <x:v>0</x:v>
      </x:c>
    </x:row>
    <x:row r="300" spans="1:33" x14ac:dyDescent="0.25">
      <x:c r="A300" t="str">
        <x:f>"        The Long-Term Care ETF"</x:f>
        <x:v xml:space="preserve">        The Long-Term Care ETF</x:v>
      </x:c>
      <x:c r="B300" t="str">
        <x:f>"OLD US Equity"</x:f>
        <x:v>OLD US Equity</x:v>
      </x:c>
      <x:c r="E300" t="str">
        <x:f t="shared" si="10"/>
        <x:v>Expression</x:v>
      </x:c>
      <x:c r="F300" t="str">
        <x:f ca="1">IF(AND($B$1012=1,LEN($F$1303)&gt;0),$F$1303,HLOOKUP(INDIRECT(ADDRESS(2,COLUMN())),OFFSET($T$2,0,0,ROW()-1,14),ROW()-1,FALSE))</x:f>
        <x:v/>
      </x:c>
      <x:c r="G300" t="str">
        <x:f ca="1">IF(AND($B$1012=1,LEN($G$1303)&gt;0),$G$1303,HLOOKUP(INDIRECT(ADDRESS(2,COLUMN())),OFFSET($T$2,0,0,ROW()-1,14),ROW()-1,FALSE))</x:f>
        <x:v/>
      </x:c>
      <x:c r="H300" t="str">
        <x:f ca="1">IF(AND($B$1012=1,LEN($H$1303)&gt;0),$H$1303,HLOOKUP(INDIRECT(ADDRESS(2,COLUMN())),OFFSET($T$2,0,0,ROW()-1,14),ROW()-1,FALSE))</x:f>
        <x:v/>
      </x:c>
      <x:c r="I300" t="str">
        <x:f ca="1">IF(AND($B$1012=1,LEN($I$1303)&gt;0),$I$1303,HLOOKUP(INDIRECT(ADDRESS(2,COLUMN())),OFFSET($T$2,0,0,ROW()-1,14),ROW()-1,FALSE))</x:f>
        <x:v/>
      </x:c>
      <x:c r="J300" t="str">
        <x:f ca="1">IF(AND($B$1012=1,LEN($J$1303)&gt;0),$J$1303,HLOOKUP(INDIRECT(ADDRESS(2,COLUMN())),OFFSET($T$2,0,0,ROW()-1,14),ROW()-1,FALSE))</x:f>
        <x:v/>
      </x:c>
      <x:c r="K300" t="str">
        <x:f ca="1">IF(AND($B$1012=1,LEN($K$1303)&gt;0),$K$1303,HLOOKUP(INDIRECT(ADDRESS(2,COLUMN())),OFFSET($T$2,0,0,ROW()-1,14),ROW()-1,FALSE))</x:f>
        <x:v/>
      </x:c>
      <x:c r="L300" t="str">
        <x:f ca="1">IF(AND($B$1012=1,LEN($L$1303)&gt;0),$L$1303,HLOOKUP(INDIRECT(ADDRESS(2,COLUMN())),OFFSET($T$2,0,0,ROW()-1,14),ROW()-1,FALSE))</x:f>
        <x:v/>
      </x:c>
      <x:c r="M300" t="str">
        <x:f ca="1">IF(AND($B$1012=1,LEN($M$1303)&gt;0),$M$1303,HLOOKUP(INDIRECT(ADDRESS(2,COLUMN())),OFFSET($T$2,0,0,ROW()-1,14),ROW()-1,FALSE))</x:f>
        <x:v/>
      </x:c>
      <x:c r="N300" t="str">
        <x:f ca="1">IF(AND($B$1012=1,LEN($N$1303)&gt;0),$N$1303,HLOOKUP(INDIRECT(ADDRESS(2,COLUMN())),OFFSET($T$2,0,0,ROW()-1,14),ROW()-1,FALSE))</x:f>
        <x:v/>
      </x:c>
      <x:c r="O300" t="str">
        <x:f ca="1">IF(AND($B$1012=1,LEN($O$1303)&gt;0),$O$1303,HLOOKUP(INDIRECT(ADDRESS(2,COLUMN())),OFFSET($T$2,0,0,ROW()-1,14),ROW()-1,FALSE))</x:f>
        <x:v/>
      </x:c>
      <x:c r="P300" t="str">
        <x:f ca="1">IF(AND($B$1012=1,LEN($P$1303)&gt;0),$P$1303,HLOOKUP(INDIRECT(ADDRESS(2,COLUMN())),OFFSET($T$2,0,0,ROW()-1,14),ROW()-1,FALSE))</x:f>
        <x:v/>
      </x:c>
      <x:c r="Q300" t="str">
        <x:f ca="1">IF(AND($B$1012=1,LEN($Q$1303)&gt;0),$Q$1303,HLOOKUP(INDIRECT(ADDRESS(2,COLUMN())),OFFSET($T$2,0,0,ROW()-1,14),ROW()-1,FALSE))</x:f>
        <x:v/>
      </x:c>
      <x:c r="R300" t="str">
        <x:f ca="1">IF(AND($B$1012=1,LEN($R$1303)&gt;0),$R$1303,HLOOKUP(INDIRECT(ADDRESS(2,COLUMN())),OFFSET($T$2,0,0,ROW()-1,14),ROW()-1,FALSE))</x:f>
        <x:v/>
      </x:c>
      <x:c r="S300" t="str">
        <x:f ca="1">IF(AND($B$1012=1,LEN($S$1303)&gt;0),$S$1303,HLOOKUP(INDIRECT(ADDRESS(2,COLUMN())),OFFSET($T$2,0,0,ROW()-1,14),ROW()-1,FALSE))</x:f>
        <x:v/>
      </x:c>
      <x:c r="T300" t="str">
        <x:f>""</x:f>
        <x:v/>
      </x:c>
      <x:c r="U300" t="str">
        <x:f>""</x:f>
        <x:v/>
      </x:c>
      <x:c r="V300" t="str">
        <x:f>""</x:f>
        <x:v/>
      </x:c>
      <x:c r="W300" t="str">
        <x:f>""</x:f>
        <x:v/>
      </x:c>
      <x:c r="X300" t="str">
        <x:f>""</x:f>
        <x:v/>
      </x:c>
      <x:c r="Y300" t="str">
        <x:f>""</x:f>
        <x:v/>
      </x:c>
      <x:c r="Z300" t="str">
        <x:f>""</x:f>
        <x:v/>
      </x:c>
      <x:c r="AA300" t="str">
        <x:f>""</x:f>
        <x:v/>
      </x:c>
      <x:c r="AB300" t="str">
        <x:f>""</x:f>
        <x:v/>
      </x:c>
      <x:c r="AC300" t="str">
        <x:f>""</x:f>
        <x:v/>
      </x:c>
      <x:c r="AD300" t="str">
        <x:f>""</x:f>
        <x:v/>
      </x:c>
      <x:c r="AE300" t="str">
        <x:f>""</x:f>
        <x:v/>
      </x:c>
      <x:c r="AF300" t="str">
        <x:f>""</x:f>
        <x:v/>
      </x:c>
      <x:c r="AG300" t="str">
        <x:f>""</x:f>
        <x:v/>
      </x:c>
    </x:row>
    <x:row r="301" spans="1:33" x14ac:dyDescent="0.25">
      <x:c r="A301" t="str">
        <x:f>"        ProShares UltraPro Short NASDA"</x:f>
        <x:v xml:space="preserve">        ProShares UltraPro Short NASDA</x:v>
      </x:c>
      <x:c r="B301" t="str">
        <x:f>"ZBIO US Equity"</x:f>
        <x:v>ZBIO US Equity</x:v>
      </x:c>
      <x:c r="E301" t="str">
        <x:f t="shared" si="10"/>
        <x:v>Expression</x:v>
      </x:c>
      <x:c r="F301" t="str">
        <x:f ca="1">IF(AND($B$1012=1,LEN($F$1304)&gt;0),$F$1304,HLOOKUP(INDIRECT(ADDRESS(2,COLUMN())),OFFSET($T$2,0,0,ROW()-1,14),ROW()-1,FALSE))</x:f>
        <x:v/>
      </x:c>
      <x:c r="G301" t="str">
        <x:f ca="1">IF(AND($B$1012=1,LEN($G$1304)&gt;0),$G$1304,HLOOKUP(INDIRECT(ADDRESS(2,COLUMN())),OFFSET($T$2,0,0,ROW()-1,14),ROW()-1,FALSE))</x:f>
        <x:v/>
      </x:c>
      <x:c r="H301" t="str">
        <x:f ca="1">IF(AND($B$1012=1,LEN($H$1304)&gt;0),$H$1304,HLOOKUP(INDIRECT(ADDRESS(2,COLUMN())),OFFSET($T$2,0,0,ROW()-1,14),ROW()-1,FALSE))</x:f>
        <x:v/>
      </x:c>
      <x:c r="I301" t="str">
        <x:f ca="1">IF(AND($B$1012=1,LEN($I$1304)&gt;0),$I$1304,HLOOKUP(INDIRECT(ADDRESS(2,COLUMN())),OFFSET($T$2,0,0,ROW()-1,14),ROW()-1,FALSE))</x:f>
        <x:v/>
      </x:c>
      <x:c r="J301" t="str">
        <x:f ca="1">IF(AND($B$1012=1,LEN($J$1304)&gt;0),$J$1304,HLOOKUP(INDIRECT(ADDRESS(2,COLUMN())),OFFSET($T$2,0,0,ROW()-1,14),ROW()-1,FALSE))</x:f>
        <x:v/>
      </x:c>
      <x:c r="K301" t="str">
        <x:f ca="1">IF(AND($B$1012=1,LEN($K$1304)&gt;0),$K$1304,HLOOKUP(INDIRECT(ADDRESS(2,COLUMN())),OFFSET($T$2,0,0,ROW()-1,14),ROW()-1,FALSE))</x:f>
        <x:v/>
      </x:c>
      <x:c r="L301" t="str">
        <x:f ca="1">IF(AND($B$1012=1,LEN($L$1304)&gt;0),$L$1304,HLOOKUP(INDIRECT(ADDRESS(2,COLUMN())),OFFSET($T$2,0,0,ROW()-1,14),ROW()-1,FALSE))</x:f>
        <x:v/>
      </x:c>
      <x:c r="M301" t="str">
        <x:f ca="1">IF(AND($B$1012=1,LEN($M$1304)&gt;0),$M$1304,HLOOKUP(INDIRECT(ADDRESS(2,COLUMN())),OFFSET($T$2,0,0,ROW()-1,14),ROW()-1,FALSE))</x:f>
        <x:v/>
      </x:c>
      <x:c r="N301" t="str">
        <x:f ca="1">IF(AND($B$1012=1,LEN($N$1304)&gt;0),$N$1304,HLOOKUP(INDIRECT(ADDRESS(2,COLUMN())),OFFSET($T$2,0,0,ROW()-1,14),ROW()-1,FALSE))</x:f>
        <x:v/>
      </x:c>
      <x:c r="O301" t="str">
        <x:f ca="1">IF(AND($B$1012=1,LEN($O$1304)&gt;0),$O$1304,HLOOKUP(INDIRECT(ADDRESS(2,COLUMN())),OFFSET($T$2,0,0,ROW()-1,14),ROW()-1,FALSE))</x:f>
        <x:v/>
      </x:c>
      <x:c r="P301" t="str">
        <x:f ca="1">IF(AND($B$1012=1,LEN($P$1304)&gt;0),$P$1304,HLOOKUP(INDIRECT(ADDRESS(2,COLUMN())),OFFSET($T$2,0,0,ROW()-1,14),ROW()-1,FALSE))</x:f>
        <x:v/>
      </x:c>
      <x:c r="Q301" t="str">
        <x:f ca="1">IF(AND($B$1012=1,LEN($Q$1304)&gt;0),$Q$1304,HLOOKUP(INDIRECT(ADDRESS(2,COLUMN())),OFFSET($T$2,0,0,ROW()-1,14),ROW()-1,FALSE))</x:f>
        <x:v/>
      </x:c>
      <x:c r="R301" t="str">
        <x:f ca="1">IF(AND($B$1012=1,LEN($R$1304)&gt;0),$R$1304,HLOOKUP(INDIRECT(ADDRESS(2,COLUMN())),OFFSET($T$2,0,0,ROW()-1,14),ROW()-1,FALSE))</x:f>
        <x:v/>
      </x:c>
      <x:c r="S301" t="str">
        <x:f ca="1">IF(AND($B$1012=1,LEN($S$1304)&gt;0),$S$1304,HLOOKUP(INDIRECT(ADDRESS(2,COLUMN())),OFFSET($T$2,0,0,ROW()-1,14),ROW()-1,FALSE))</x:f>
        <x:v/>
      </x:c>
      <x:c r="T301" t="str">
        <x:f>""</x:f>
        <x:v/>
      </x:c>
      <x:c r="U301" t="str">
        <x:f>""</x:f>
        <x:v/>
      </x:c>
      <x:c r="V301" t="str">
        <x:f>""</x:f>
        <x:v/>
      </x:c>
      <x:c r="W301" t="str">
        <x:f>""</x:f>
        <x:v/>
      </x:c>
      <x:c r="X301" t="str">
        <x:f>""</x:f>
        <x:v/>
      </x:c>
      <x:c r="Y301" t="str">
        <x:f>""</x:f>
        <x:v/>
      </x:c>
      <x:c r="Z301" t="str">
        <x:f>""</x:f>
        <x:v/>
      </x:c>
      <x:c r="AA301" t="str">
        <x:f>""</x:f>
        <x:v/>
      </x:c>
      <x:c r="AB301" t="str">
        <x:f>""</x:f>
        <x:v/>
      </x:c>
      <x:c r="AC301" t="str">
        <x:f>""</x:f>
        <x:v/>
      </x:c>
      <x:c r="AD301" t="str">
        <x:f>""</x:f>
        <x:v/>
      </x:c>
      <x:c r="AE301" t="str">
        <x:f>""</x:f>
        <x:v/>
      </x:c>
      <x:c r="AF301" t="str">
        <x:f>""</x:f>
        <x:v/>
      </x:c>
      <x:c r="AG301" t="str">
        <x:f>""</x:f>
        <x:v/>
      </x:c>
    </x:row>
    <x:row r="302" spans="1:33" x14ac:dyDescent="0.25">
      <x:c r="A302" t="str">
        <x:f>"        Principal Healthcare Innovator"</x:f>
        <x:v xml:space="preserve">        Principal Healthcare Innovator</x:v>
      </x:c>
      <x:c r="B302" t="str">
        <x:f>"BTEC US Equity"</x:f>
        <x:v>BTEC US Equity</x:v>
      </x:c>
      <x:c r="E302" t="str">
        <x:f t="shared" si="10"/>
        <x:v>Expression</x:v>
      </x:c>
      <x:c r="F302">
        <x:f ca="1">IF(AND($B$1012=1,LEN($F$1305)&gt;0),$F$1305,HLOOKUP(INDIRECT(ADDRESS(2,COLUMN())),OFFSET($T$2,0,0,ROW()-1,14),ROW()-1,FALSE))</x:f>
        <x:v>-1.11093</x:v>
      </x:c>
      <x:c r="G302">
        <x:f ca="1">IF(AND($B$1012=1,LEN($G$1305)&gt;0),$G$1305,HLOOKUP(INDIRECT(ADDRESS(2,COLUMN())),OFFSET($T$2,0,0,ROW()-1,14),ROW()-1,FALSE))</x:f>
        <x:v>-1.4616119999999999</x:v>
      </x:c>
      <x:c r="H302">
        <x:f ca="1">IF(AND($B$1012=1,LEN($H$1305)&gt;0),$H$1305,HLOOKUP(INDIRECT(ADDRESS(2,COLUMN())),OFFSET($T$2,0,0,ROW()-1,14),ROW()-1,FALSE))</x:f>
        <x:v>-1.537166</x:v>
      </x:c>
      <x:c r="I302">
        <x:f ca="1">IF(AND($B$1012=1,LEN($I$1305)&gt;0),$I$1305,HLOOKUP(INDIRECT(ADDRESS(2,COLUMN())),OFFSET($T$2,0,0,ROW()-1,14),ROW()-1,FALSE))</x:f>
        <x:v>0</x:v>
      </x:c>
      <x:c r="J302">
        <x:f ca="1">IF(AND($B$1012=1,LEN($J$1305)&gt;0),$J$1305,HLOOKUP(INDIRECT(ADDRESS(2,COLUMN())),OFFSET($T$2,0,0,ROW()-1,14),ROW()-1,FALSE))</x:f>
        <x:v>1.783852</x:v>
      </x:c>
      <x:c r="K302">
        <x:f ca="1">IF(AND($B$1012=1,LEN($K$1305)&gt;0),$K$1305,HLOOKUP(INDIRECT(ADDRESS(2,COLUMN())),OFFSET($T$2,0,0,ROW()-1,14),ROW()-1,FALSE))</x:f>
        <x:v>0</x:v>
      </x:c>
      <x:c r="L302">
        <x:f ca="1">IF(AND($B$1012=1,LEN($L$1305)&gt;0),$L$1305,HLOOKUP(INDIRECT(ADDRESS(2,COLUMN())),OFFSET($T$2,0,0,ROW()-1,14),ROW()-1,FALSE))</x:f>
        <x:v>0</x:v>
      </x:c>
      <x:c r="M302">
        <x:f ca="1">IF(AND($B$1012=1,LEN($M$1305)&gt;0),$M$1305,HLOOKUP(INDIRECT(ADDRESS(2,COLUMN())),OFFSET($T$2,0,0,ROW()-1,14),ROW()-1,FALSE))</x:f>
        <x:v>-1.7624850000000001</x:v>
      </x:c>
      <x:c r="N302">
        <x:f ca="1">IF(AND($B$1012=1,LEN($N$1305)&gt;0),$N$1305,HLOOKUP(INDIRECT(ADDRESS(2,COLUMN())),OFFSET($T$2,0,0,ROW()-1,14),ROW()-1,FALSE))</x:f>
        <x:v>-1.620312</x:v>
      </x:c>
      <x:c r="O302">
        <x:f ca="1">IF(AND($B$1012=1,LEN($O$1305)&gt;0),$O$1305,HLOOKUP(INDIRECT(ADDRESS(2,COLUMN())),OFFSET($T$2,0,0,ROW()-1,14),ROW()-1,FALSE))</x:f>
        <x:v>0</x:v>
      </x:c>
      <x:c r="P302">
        <x:f ca="1">IF(AND($B$1012=1,LEN($P$1305)&gt;0),$P$1305,HLOOKUP(INDIRECT(ADDRESS(2,COLUMN())),OFFSET($T$2,0,0,ROW()-1,14),ROW()-1,FALSE))</x:f>
        <x:v>-1.6886110000000001</x:v>
      </x:c>
      <x:c r="Q302">
        <x:f ca="1">IF(AND($B$1012=1,LEN($Q$1305)&gt;0),$Q$1305,HLOOKUP(INDIRECT(ADDRESS(2,COLUMN())),OFFSET($T$2,0,0,ROW()-1,14),ROW()-1,FALSE))</x:f>
        <x:v>0</x:v>
      </x:c>
      <x:c r="R302">
        <x:f ca="1">IF(AND($B$1012=1,LEN($R$1305)&gt;0),$R$1305,HLOOKUP(INDIRECT(ADDRESS(2,COLUMN())),OFFSET($T$2,0,0,ROW()-1,14),ROW()-1,FALSE))</x:f>
        <x:v>0</x:v>
      </x:c>
      <x:c r="S302">
        <x:f ca="1">IF(AND($B$1012=1,LEN($S$1305)&gt;0),$S$1305,HLOOKUP(INDIRECT(ADDRESS(2,COLUMN())),OFFSET($T$2,0,0,ROW()-1,14),ROW()-1,FALSE))</x:f>
        <x:v>-1.743366</x:v>
      </x:c>
      <x:c r="T302">
        <x:f>-1.11093</x:f>
        <x:v>-1.11093</x:v>
      </x:c>
      <x:c r="U302">
        <x:f>-1.461612</x:f>
        <x:v>-1.4616119999999999</x:v>
      </x:c>
      <x:c r="V302">
        <x:f>-1.537166</x:f>
        <x:v>-1.537166</x:v>
      </x:c>
      <x:c r="W302">
        <x:f>0</x:f>
        <x:v>0</x:v>
      </x:c>
      <x:c r="X302">
        <x:f>1.783852</x:f>
        <x:v>1.783852</x:v>
      </x:c>
      <x:c r="Y302">
        <x:f>0</x:f>
        <x:v>0</x:v>
      </x:c>
      <x:c r="Z302">
        <x:f>0</x:f>
        <x:v>0</x:v>
      </x:c>
      <x:c r="AA302">
        <x:f>-1.762485</x:f>
        <x:v>-1.7624850000000001</x:v>
      </x:c>
      <x:c r="AB302">
        <x:f>-1.620312</x:f>
        <x:v>-1.620312</x:v>
      </x:c>
      <x:c r="AC302">
        <x:f>0</x:f>
        <x:v>0</x:v>
      </x:c>
      <x:c r="AD302">
        <x:f>-1.688611</x:f>
        <x:v>-1.6886110000000001</x:v>
      </x:c>
      <x:c r="AE302">
        <x:f>0</x:f>
        <x:v>0</x:v>
      </x:c>
      <x:c r="AF302">
        <x:f>0</x:f>
        <x:v>0</x:v>
      </x:c>
      <x:c r="AG302">
        <x:f>-1.743366</x:f>
        <x:v>-1.743366</x:v>
      </x:c>
    </x:row>
    <x:row r="303" spans="1:33" x14ac:dyDescent="0.25">
      <x:c r="A303" t="str">
        <x:f>"        WisdomTree Japan Hedged Health"</x:f>
        <x:v xml:space="preserve">        WisdomTree Japan Hedged Health</x:v>
      </x:c>
      <x:c r="B303" t="str">
        <x:f>"DXJH US Equity"</x:f>
        <x:v>DXJH US Equity</x:v>
      </x:c>
      <x:c r="E303" t="str">
        <x:f t="shared" si="10"/>
        <x:v>Expression</x:v>
      </x:c>
      <x:c r="F303" t="str">
        <x:f ca="1">IF(AND($B$1012=1,LEN($F$1306)&gt;0),$F$1306,HLOOKUP(INDIRECT(ADDRESS(2,COLUMN())),OFFSET($T$2,0,0,ROW()-1,14),ROW()-1,FALSE))</x:f>
        <x:v/>
      </x:c>
      <x:c r="G303" t="str">
        <x:f ca="1">IF(AND($B$1012=1,LEN($G$1306)&gt;0),$G$1306,HLOOKUP(INDIRECT(ADDRESS(2,COLUMN())),OFFSET($T$2,0,0,ROW()-1,14),ROW()-1,FALSE))</x:f>
        <x:v/>
      </x:c>
      <x:c r="H303" t="str">
        <x:f ca="1">IF(AND($B$1012=1,LEN($H$1306)&gt;0),$H$1306,HLOOKUP(INDIRECT(ADDRESS(2,COLUMN())),OFFSET($T$2,0,0,ROW()-1,14),ROW()-1,FALSE))</x:f>
        <x:v/>
      </x:c>
      <x:c r="I303" t="str">
        <x:f ca="1">IF(AND($B$1012=1,LEN($I$1306)&gt;0),$I$1306,HLOOKUP(INDIRECT(ADDRESS(2,COLUMN())),OFFSET($T$2,0,0,ROW()-1,14),ROW()-1,FALSE))</x:f>
        <x:v/>
      </x:c>
      <x:c r="J303" t="str">
        <x:f ca="1">IF(AND($B$1012=1,LEN($J$1306)&gt;0),$J$1306,HLOOKUP(INDIRECT(ADDRESS(2,COLUMN())),OFFSET($T$2,0,0,ROW()-1,14),ROW()-1,FALSE))</x:f>
        <x:v/>
      </x:c>
      <x:c r="K303" t="str">
        <x:f ca="1">IF(AND($B$1012=1,LEN($K$1306)&gt;0),$K$1306,HLOOKUP(INDIRECT(ADDRESS(2,COLUMN())),OFFSET($T$2,0,0,ROW()-1,14),ROW()-1,FALSE))</x:f>
        <x:v/>
      </x:c>
      <x:c r="L303" t="str">
        <x:f ca="1">IF(AND($B$1012=1,LEN($L$1306)&gt;0),$L$1306,HLOOKUP(INDIRECT(ADDRESS(2,COLUMN())),OFFSET($T$2,0,0,ROW()-1,14),ROW()-1,FALSE))</x:f>
        <x:v/>
      </x:c>
      <x:c r="M303" t="str">
        <x:f ca="1">IF(AND($B$1012=1,LEN($M$1306)&gt;0),$M$1306,HLOOKUP(INDIRECT(ADDRESS(2,COLUMN())),OFFSET($T$2,0,0,ROW()-1,14),ROW()-1,FALSE))</x:f>
        <x:v/>
      </x:c>
      <x:c r="N303" t="str">
        <x:f ca="1">IF(AND($B$1012=1,LEN($N$1306)&gt;0),$N$1306,HLOOKUP(INDIRECT(ADDRESS(2,COLUMN())),OFFSET($T$2,0,0,ROW()-1,14),ROW()-1,FALSE))</x:f>
        <x:v/>
      </x:c>
      <x:c r="O303" t="str">
        <x:f ca="1">IF(AND($B$1012=1,LEN($O$1306)&gt;0),$O$1306,HLOOKUP(INDIRECT(ADDRESS(2,COLUMN())),OFFSET($T$2,0,0,ROW()-1,14),ROW()-1,FALSE))</x:f>
        <x:v/>
      </x:c>
      <x:c r="P303" t="str">
        <x:f ca="1">IF(AND($B$1012=1,LEN($P$1306)&gt;0),$P$1306,HLOOKUP(INDIRECT(ADDRESS(2,COLUMN())),OFFSET($T$2,0,0,ROW()-1,14),ROW()-1,FALSE))</x:f>
        <x:v/>
      </x:c>
      <x:c r="Q303" t="str">
        <x:f ca="1">IF(AND($B$1012=1,LEN($Q$1306)&gt;0),$Q$1306,HLOOKUP(INDIRECT(ADDRESS(2,COLUMN())),OFFSET($T$2,0,0,ROW()-1,14),ROW()-1,FALSE))</x:f>
        <x:v/>
      </x:c>
      <x:c r="R303" t="str">
        <x:f ca="1">IF(AND($B$1012=1,LEN($R$1306)&gt;0),$R$1306,HLOOKUP(INDIRECT(ADDRESS(2,COLUMN())),OFFSET($T$2,0,0,ROW()-1,14),ROW()-1,FALSE))</x:f>
        <x:v/>
      </x:c>
      <x:c r="S303" t="str">
        <x:f ca="1">IF(AND($B$1012=1,LEN($S$1306)&gt;0),$S$1306,HLOOKUP(INDIRECT(ADDRESS(2,COLUMN())),OFFSET($T$2,0,0,ROW()-1,14),ROW()-1,FALSE))</x:f>
        <x:v/>
      </x:c>
      <x:c r="T303" t="str">
        <x:f>""</x:f>
        <x:v/>
      </x:c>
      <x:c r="U303" t="str">
        <x:f>""</x:f>
        <x:v/>
      </x:c>
      <x:c r="V303" t="str">
        <x:f>""</x:f>
        <x:v/>
      </x:c>
      <x:c r="W303" t="str">
        <x:f>""</x:f>
        <x:v/>
      </x:c>
      <x:c r="X303" t="str">
        <x:f>""</x:f>
        <x:v/>
      </x:c>
      <x:c r="Y303" t="str">
        <x:f>""</x:f>
        <x:v/>
      </x:c>
      <x:c r="Z303" t="str">
        <x:f>""</x:f>
        <x:v/>
      </x:c>
      <x:c r="AA303" t="str">
        <x:f>""</x:f>
        <x:v/>
      </x:c>
      <x:c r="AB303" t="str">
        <x:f>""</x:f>
        <x:v/>
      </x:c>
      <x:c r="AC303" t="str">
        <x:f>""</x:f>
        <x:v/>
      </x:c>
      <x:c r="AD303" t="str">
        <x:f>""</x:f>
        <x:v/>
      </x:c>
      <x:c r="AE303" t="str">
        <x:f>""</x:f>
        <x:v/>
      </x:c>
      <x:c r="AF303" t="str">
        <x:f>""</x:f>
        <x:v/>
      </x:c>
      <x:c r="AG303" t="str">
        <x:f>""</x:f>
        <x:v/>
      </x:c>
    </x:row>
    <x:row r="304" spans="1:33" x14ac:dyDescent="0.25">
      <x:c r="A304" t="str">
        <x:f>"        VanEck Vectors Generic Drugs E"</x:f>
        <x:v xml:space="preserve">        VanEck Vectors Generic Drugs E</x:v>
      </x:c>
      <x:c r="B304" t="str">
        <x:f>"GNRX US Equity"</x:f>
        <x:v>GNRX US Equity</x:v>
      </x:c>
      <x:c r="E304" t="str">
        <x:f t="shared" si="10"/>
        <x:v>Expression</x:v>
      </x:c>
      <x:c r="F304" t="str">
        <x:f ca="1">IF(AND($B$1012=1,LEN($F$1307)&gt;0),$F$1307,HLOOKUP(INDIRECT(ADDRESS(2,COLUMN())),OFFSET($T$2,0,0,ROW()-1,14),ROW()-1,FALSE))</x:f>
        <x:v/>
      </x:c>
      <x:c r="G304" t="str">
        <x:f ca="1">IF(AND($B$1012=1,LEN($G$1307)&gt;0),$G$1307,HLOOKUP(INDIRECT(ADDRESS(2,COLUMN())),OFFSET($T$2,0,0,ROW()-1,14),ROW()-1,FALSE))</x:f>
        <x:v/>
      </x:c>
      <x:c r="H304" t="str">
        <x:f ca="1">IF(AND($B$1012=1,LEN($H$1307)&gt;0),$H$1307,HLOOKUP(INDIRECT(ADDRESS(2,COLUMN())),OFFSET($T$2,0,0,ROW()-1,14),ROW()-1,FALSE))</x:f>
        <x:v/>
      </x:c>
      <x:c r="I304" t="str">
        <x:f ca="1">IF(AND($B$1012=1,LEN($I$1307)&gt;0),$I$1307,HLOOKUP(INDIRECT(ADDRESS(2,COLUMN())),OFFSET($T$2,0,0,ROW()-1,14),ROW()-1,FALSE))</x:f>
        <x:v/>
      </x:c>
      <x:c r="J304" t="str">
        <x:f ca="1">IF(AND($B$1012=1,LEN($J$1307)&gt;0),$J$1307,HLOOKUP(INDIRECT(ADDRESS(2,COLUMN())),OFFSET($T$2,0,0,ROW()-1,14),ROW()-1,FALSE))</x:f>
        <x:v/>
      </x:c>
      <x:c r="K304" t="str">
        <x:f ca="1">IF(AND($B$1012=1,LEN($K$1307)&gt;0),$K$1307,HLOOKUP(INDIRECT(ADDRESS(2,COLUMN())),OFFSET($T$2,0,0,ROW()-1,14),ROW()-1,FALSE))</x:f>
        <x:v/>
      </x:c>
      <x:c r="L304" t="str">
        <x:f ca="1">IF(AND($B$1012=1,LEN($L$1307)&gt;0),$L$1307,HLOOKUP(INDIRECT(ADDRESS(2,COLUMN())),OFFSET($T$2,0,0,ROW()-1,14),ROW()-1,FALSE))</x:f>
        <x:v/>
      </x:c>
      <x:c r="M304" t="str">
        <x:f ca="1">IF(AND($B$1012=1,LEN($M$1307)&gt;0),$M$1307,HLOOKUP(INDIRECT(ADDRESS(2,COLUMN())),OFFSET($T$2,0,0,ROW()-1,14),ROW()-1,FALSE))</x:f>
        <x:v/>
      </x:c>
      <x:c r="N304" t="str">
        <x:f ca="1">IF(AND($B$1012=1,LEN($N$1307)&gt;0),$N$1307,HLOOKUP(INDIRECT(ADDRESS(2,COLUMN())),OFFSET($T$2,0,0,ROW()-1,14),ROW()-1,FALSE))</x:f>
        <x:v/>
      </x:c>
      <x:c r="O304" t="str">
        <x:f ca="1">IF(AND($B$1012=1,LEN($O$1307)&gt;0),$O$1307,HLOOKUP(INDIRECT(ADDRESS(2,COLUMN())),OFFSET($T$2,0,0,ROW()-1,14),ROW()-1,FALSE))</x:f>
        <x:v/>
      </x:c>
      <x:c r="P304" t="str">
        <x:f ca="1">IF(AND($B$1012=1,LEN($P$1307)&gt;0),$P$1307,HLOOKUP(INDIRECT(ADDRESS(2,COLUMN())),OFFSET($T$2,0,0,ROW()-1,14),ROW()-1,FALSE))</x:f>
        <x:v/>
      </x:c>
      <x:c r="Q304" t="str">
        <x:f ca="1">IF(AND($B$1012=1,LEN($Q$1307)&gt;0),$Q$1307,HLOOKUP(INDIRECT(ADDRESS(2,COLUMN())),OFFSET($T$2,0,0,ROW()-1,14),ROW()-1,FALSE))</x:f>
        <x:v/>
      </x:c>
      <x:c r="R304" t="str">
        <x:f ca="1">IF(AND($B$1012=1,LEN($R$1307)&gt;0),$R$1307,HLOOKUP(INDIRECT(ADDRESS(2,COLUMN())),OFFSET($T$2,0,0,ROW()-1,14),ROW()-1,FALSE))</x:f>
        <x:v/>
      </x:c>
      <x:c r="S304" t="str">
        <x:f ca="1">IF(AND($B$1012=1,LEN($S$1307)&gt;0),$S$1307,HLOOKUP(INDIRECT(ADDRESS(2,COLUMN())),OFFSET($T$2,0,0,ROW()-1,14),ROW()-1,FALSE))</x:f>
        <x:v/>
      </x:c>
      <x:c r="T304" t="str">
        <x:f>""</x:f>
        <x:v/>
      </x:c>
      <x:c r="U304" t="str">
        <x:f>""</x:f>
        <x:v/>
      </x:c>
      <x:c r="V304" t="str">
        <x:f>""</x:f>
        <x:v/>
      </x:c>
      <x:c r="W304" t="str">
        <x:f>""</x:f>
        <x:v/>
      </x:c>
      <x:c r="X304" t="str">
        <x:f>""</x:f>
        <x:v/>
      </x:c>
      <x:c r="Y304" t="str">
        <x:f>""</x:f>
        <x:v/>
      </x:c>
      <x:c r="Z304" t="str">
        <x:f>""</x:f>
        <x:v/>
      </x:c>
      <x:c r="AA304" t="str">
        <x:f>""</x:f>
        <x:v/>
      </x:c>
      <x:c r="AB304" t="str">
        <x:f>""</x:f>
        <x:v/>
      </x:c>
      <x:c r="AC304" t="str">
        <x:f>""</x:f>
        <x:v/>
      </x:c>
      <x:c r="AD304" t="str">
        <x:f>""</x:f>
        <x:v/>
      </x:c>
      <x:c r="AE304" t="str">
        <x:f>""</x:f>
        <x:v/>
      </x:c>
      <x:c r="AF304" t="str">
        <x:f>""</x:f>
        <x:v/>
      </x:c>
      <x:c r="AG304" t="str">
        <x:f>""</x:f>
        <x:v/>
      </x:c>
    </x:row>
    <x:row r="305" spans="1:33" x14ac:dyDescent="0.25">
      <x:c r="A305" t="str">
        <x:f>"        Direxion Shares Etf Trust-Dire"</x:f>
        <x:v xml:space="preserve">        Direxion Shares Etf Trust-Dire</x:v>
      </x:c>
      <x:c r="B305" t="str">
        <x:f>"LABS US Equity"</x:f>
        <x:v>LABS US Equity</x:v>
      </x:c>
      <x:c r="E305" t="str">
        <x:f t="shared" si="10"/>
        <x:v>Expression</x:v>
      </x:c>
      <x:c r="F305" t="str">
        <x:f ca="1">IF(AND($B$1012=1,LEN($F$1308)&gt;0),$F$1308,HLOOKUP(INDIRECT(ADDRESS(2,COLUMN())),OFFSET($T$2,0,0,ROW()-1,14),ROW()-1,FALSE))</x:f>
        <x:v/>
      </x:c>
      <x:c r="G305" t="str">
        <x:f ca="1">IF(AND($B$1012=1,LEN($G$1308)&gt;0),$G$1308,HLOOKUP(INDIRECT(ADDRESS(2,COLUMN())),OFFSET($T$2,0,0,ROW()-1,14),ROW()-1,FALSE))</x:f>
        <x:v/>
      </x:c>
      <x:c r="H305" t="str">
        <x:f ca="1">IF(AND($B$1012=1,LEN($H$1308)&gt;0),$H$1308,HLOOKUP(INDIRECT(ADDRESS(2,COLUMN())),OFFSET($T$2,0,0,ROW()-1,14),ROW()-1,FALSE))</x:f>
        <x:v/>
      </x:c>
      <x:c r="I305" t="str">
        <x:f ca="1">IF(AND($B$1012=1,LEN($I$1308)&gt;0),$I$1308,HLOOKUP(INDIRECT(ADDRESS(2,COLUMN())),OFFSET($T$2,0,0,ROW()-1,14),ROW()-1,FALSE))</x:f>
        <x:v/>
      </x:c>
      <x:c r="J305" t="str">
        <x:f ca="1">IF(AND($B$1012=1,LEN($J$1308)&gt;0),$J$1308,HLOOKUP(INDIRECT(ADDRESS(2,COLUMN())),OFFSET($T$2,0,0,ROW()-1,14),ROW()-1,FALSE))</x:f>
        <x:v/>
      </x:c>
      <x:c r="K305" t="str">
        <x:f ca="1">IF(AND($B$1012=1,LEN($K$1308)&gt;0),$K$1308,HLOOKUP(INDIRECT(ADDRESS(2,COLUMN())),OFFSET($T$2,0,0,ROW()-1,14),ROW()-1,FALSE))</x:f>
        <x:v/>
      </x:c>
      <x:c r="L305" t="str">
        <x:f ca="1">IF(AND($B$1012=1,LEN($L$1308)&gt;0),$L$1308,HLOOKUP(INDIRECT(ADDRESS(2,COLUMN())),OFFSET($T$2,0,0,ROW()-1,14),ROW()-1,FALSE))</x:f>
        <x:v/>
      </x:c>
      <x:c r="M305" t="str">
        <x:f ca="1">IF(AND($B$1012=1,LEN($M$1308)&gt;0),$M$1308,HLOOKUP(INDIRECT(ADDRESS(2,COLUMN())),OFFSET($T$2,0,0,ROW()-1,14),ROW()-1,FALSE))</x:f>
        <x:v/>
      </x:c>
      <x:c r="N305" t="str">
        <x:f ca="1">IF(AND($B$1012=1,LEN($N$1308)&gt;0),$N$1308,HLOOKUP(INDIRECT(ADDRESS(2,COLUMN())),OFFSET($T$2,0,0,ROW()-1,14),ROW()-1,FALSE))</x:f>
        <x:v/>
      </x:c>
      <x:c r="O305" t="str">
        <x:f ca="1">IF(AND($B$1012=1,LEN($O$1308)&gt;0),$O$1308,HLOOKUP(INDIRECT(ADDRESS(2,COLUMN())),OFFSET($T$2,0,0,ROW()-1,14),ROW()-1,FALSE))</x:f>
        <x:v/>
      </x:c>
      <x:c r="P305" t="str">
        <x:f ca="1">IF(AND($B$1012=1,LEN($P$1308)&gt;0),$P$1308,HLOOKUP(INDIRECT(ADDRESS(2,COLUMN())),OFFSET($T$2,0,0,ROW()-1,14),ROW()-1,FALSE))</x:f>
        <x:v/>
      </x:c>
      <x:c r="Q305" t="str">
        <x:f ca="1">IF(AND($B$1012=1,LEN($Q$1308)&gt;0),$Q$1308,HLOOKUP(INDIRECT(ADDRESS(2,COLUMN())),OFFSET($T$2,0,0,ROW()-1,14),ROW()-1,FALSE))</x:f>
        <x:v/>
      </x:c>
      <x:c r="R305" t="str">
        <x:f ca="1">IF(AND($B$1012=1,LEN($R$1308)&gt;0),$R$1308,HLOOKUP(INDIRECT(ADDRESS(2,COLUMN())),OFFSET($T$2,0,0,ROW()-1,14),ROW()-1,FALSE))</x:f>
        <x:v/>
      </x:c>
      <x:c r="S305" t="str">
        <x:f ca="1">IF(AND($B$1012=1,LEN($S$1308)&gt;0),$S$1308,HLOOKUP(INDIRECT(ADDRESS(2,COLUMN())),OFFSET($T$2,0,0,ROW()-1,14),ROW()-1,FALSE))</x:f>
        <x:v/>
      </x:c>
      <x:c r="T305" t="str">
        <x:f>""</x:f>
        <x:v/>
      </x:c>
      <x:c r="U305" t="str">
        <x:f>""</x:f>
        <x:v/>
      </x:c>
      <x:c r="V305" t="str">
        <x:f>""</x:f>
        <x:v/>
      </x:c>
      <x:c r="W305" t="str">
        <x:f>""</x:f>
        <x:v/>
      </x:c>
      <x:c r="X305" t="str">
        <x:f>""</x:f>
        <x:v/>
      </x:c>
      <x:c r="Y305" t="str">
        <x:f>""</x:f>
        <x:v/>
      </x:c>
      <x:c r="Z305" t="str">
        <x:f>""</x:f>
        <x:v/>
      </x:c>
      <x:c r="AA305" t="str">
        <x:f>""</x:f>
        <x:v/>
      </x:c>
      <x:c r="AB305" t="str">
        <x:f>""</x:f>
        <x:v/>
      </x:c>
      <x:c r="AC305" t="str">
        <x:f>""</x:f>
        <x:v/>
      </x:c>
      <x:c r="AD305" t="str">
        <x:f>""</x:f>
        <x:v/>
      </x:c>
      <x:c r="AE305" t="str">
        <x:f>""</x:f>
        <x:v/>
      </x:c>
      <x:c r="AF305" t="str">
        <x:f>""</x:f>
        <x:v/>
      </x:c>
      <x:c r="AG305" t="str">
        <x:f>""</x:f>
        <x:v/>
      </x:c>
    </x:row>
    <x:row r="306" spans="1:33" x14ac:dyDescent="0.25">
      <x:c r="A306" t="str">
        <x:f>"        iShares Edge MSCI Multifactor"</x:f>
        <x:v xml:space="preserve">        iShares Edge MSCI Multifactor</x:v>
      </x:c>
      <x:c r="B306" t="str">
        <x:f>"HCRF US Equity"</x:f>
        <x:v>HCRF US Equity</x:v>
      </x:c>
      <x:c r="E306" t="str">
        <x:f t="shared" si="10"/>
        <x:v>Expression</x:v>
      </x:c>
      <x:c r="F306" t="str">
        <x:f ca="1">IF(AND($B$1012=1,LEN($F$1309)&gt;0),$F$1309,HLOOKUP(INDIRECT(ADDRESS(2,COLUMN())),OFFSET($T$2,0,0,ROW()-1,14),ROW()-1,FALSE))</x:f>
        <x:v/>
      </x:c>
      <x:c r="G306" t="str">
        <x:f ca="1">IF(AND($B$1012=1,LEN($G$1309)&gt;0),$G$1309,HLOOKUP(INDIRECT(ADDRESS(2,COLUMN())),OFFSET($T$2,0,0,ROW()-1,14),ROW()-1,FALSE))</x:f>
        <x:v/>
      </x:c>
      <x:c r="H306" t="str">
        <x:f ca="1">IF(AND($B$1012=1,LEN($H$1309)&gt;0),$H$1309,HLOOKUP(INDIRECT(ADDRESS(2,COLUMN())),OFFSET($T$2,0,0,ROW()-1,14),ROW()-1,FALSE))</x:f>
        <x:v/>
      </x:c>
      <x:c r="I306" t="str">
        <x:f ca="1">IF(AND($B$1012=1,LEN($I$1309)&gt;0),$I$1309,HLOOKUP(INDIRECT(ADDRESS(2,COLUMN())),OFFSET($T$2,0,0,ROW()-1,14),ROW()-1,FALSE))</x:f>
        <x:v/>
      </x:c>
      <x:c r="J306" t="str">
        <x:f ca="1">IF(AND($B$1012=1,LEN($J$1309)&gt;0),$J$1309,HLOOKUP(INDIRECT(ADDRESS(2,COLUMN())),OFFSET($T$2,0,0,ROW()-1,14),ROW()-1,FALSE))</x:f>
        <x:v/>
      </x:c>
      <x:c r="K306" t="str">
        <x:f ca="1">IF(AND($B$1012=1,LEN($K$1309)&gt;0),$K$1309,HLOOKUP(INDIRECT(ADDRESS(2,COLUMN())),OFFSET($T$2,0,0,ROW()-1,14),ROW()-1,FALSE))</x:f>
        <x:v/>
      </x:c>
      <x:c r="L306" t="str">
        <x:f ca="1">IF(AND($B$1012=1,LEN($L$1309)&gt;0),$L$1309,HLOOKUP(INDIRECT(ADDRESS(2,COLUMN())),OFFSET($T$2,0,0,ROW()-1,14),ROW()-1,FALSE))</x:f>
        <x:v/>
      </x:c>
      <x:c r="M306" t="str">
        <x:f ca="1">IF(AND($B$1012=1,LEN($M$1309)&gt;0),$M$1309,HLOOKUP(INDIRECT(ADDRESS(2,COLUMN())),OFFSET($T$2,0,0,ROW()-1,14),ROW()-1,FALSE))</x:f>
        <x:v/>
      </x:c>
      <x:c r="N306" t="str">
        <x:f ca="1">IF(AND($B$1012=1,LEN($N$1309)&gt;0),$N$1309,HLOOKUP(INDIRECT(ADDRESS(2,COLUMN())),OFFSET($T$2,0,0,ROW()-1,14),ROW()-1,FALSE))</x:f>
        <x:v/>
      </x:c>
      <x:c r="O306" t="str">
        <x:f ca="1">IF(AND($B$1012=1,LEN($O$1309)&gt;0),$O$1309,HLOOKUP(INDIRECT(ADDRESS(2,COLUMN())),OFFSET($T$2,0,0,ROW()-1,14),ROW()-1,FALSE))</x:f>
        <x:v/>
      </x:c>
      <x:c r="P306" t="str">
        <x:f ca="1">IF(AND($B$1012=1,LEN($P$1309)&gt;0),$P$1309,HLOOKUP(INDIRECT(ADDRESS(2,COLUMN())),OFFSET($T$2,0,0,ROW()-1,14),ROW()-1,FALSE))</x:f>
        <x:v/>
      </x:c>
      <x:c r="Q306" t="str">
        <x:f ca="1">IF(AND($B$1012=1,LEN($Q$1309)&gt;0),$Q$1309,HLOOKUP(INDIRECT(ADDRESS(2,COLUMN())),OFFSET($T$2,0,0,ROW()-1,14),ROW()-1,FALSE))</x:f>
        <x:v/>
      </x:c>
      <x:c r="R306" t="str">
        <x:f ca="1">IF(AND($B$1012=1,LEN($R$1309)&gt;0),$R$1309,HLOOKUP(INDIRECT(ADDRESS(2,COLUMN())),OFFSET($T$2,0,0,ROW()-1,14),ROW()-1,FALSE))</x:f>
        <x:v/>
      </x:c>
      <x:c r="S306" t="str">
        <x:f ca="1">IF(AND($B$1012=1,LEN($S$1309)&gt;0),$S$1309,HLOOKUP(INDIRECT(ADDRESS(2,COLUMN())),OFFSET($T$2,0,0,ROW()-1,14),ROW()-1,FALSE))</x:f>
        <x:v/>
      </x:c>
      <x:c r="T306" t="str">
        <x:f>""</x:f>
        <x:v/>
      </x:c>
      <x:c r="U306" t="str">
        <x:f>""</x:f>
        <x:v/>
      </x:c>
      <x:c r="V306" t="str">
        <x:f>""</x:f>
        <x:v/>
      </x:c>
      <x:c r="W306" t="str">
        <x:f>""</x:f>
        <x:v/>
      </x:c>
      <x:c r="X306" t="str">
        <x:f>""</x:f>
        <x:v/>
      </x:c>
      <x:c r="Y306" t="str">
        <x:f>""</x:f>
        <x:v/>
      </x:c>
      <x:c r="Z306" t="str">
        <x:f>""</x:f>
        <x:v/>
      </x:c>
      <x:c r="AA306" t="str">
        <x:f>""</x:f>
        <x:v/>
      </x:c>
      <x:c r="AB306" t="str">
        <x:f>""</x:f>
        <x:v/>
      </x:c>
      <x:c r="AC306" t="str">
        <x:f>""</x:f>
        <x:v/>
      </x:c>
      <x:c r="AD306" t="str">
        <x:f>""</x:f>
        <x:v/>
      </x:c>
      <x:c r="AE306" t="str">
        <x:f>""</x:f>
        <x:v/>
      </x:c>
      <x:c r="AF306" t="str">
        <x:f>""</x:f>
        <x:v/>
      </x:c>
      <x:c r="AG306" t="str">
        <x:f>""</x:f>
        <x:v/>
      </x:c>
    </x:row>
    <x:row r="307" spans="1:33" x14ac:dyDescent="0.25">
      <x:c r="A307" t="str">
        <x:f>"        First Trust Nasdaq Pharmaceuti"</x:f>
        <x:v xml:space="preserve">        First Trust Nasdaq Pharmaceuti</x:v>
      </x:c>
      <x:c r="B307" t="str">
        <x:f>"FTXH US Equity"</x:f>
        <x:v>FTXH US Equity</x:v>
      </x:c>
      <x:c r="E307" t="str">
        <x:f t="shared" si="10"/>
        <x:v>Expression</x:v>
      </x:c>
      <x:c r="F307">
        <x:f ca="1">IF(AND($B$1012=1,LEN($F$1310)&gt;0),$F$1310,HLOOKUP(INDIRECT(ADDRESS(2,COLUMN())),OFFSET($T$2,0,0,ROW()-1,14),ROW()-1,FALSE))</x:f>
        <x:v>0</x:v>
      </x:c>
      <x:c r="G307">
        <x:f ca="1">IF(AND($B$1012=1,LEN($G$1310)&gt;0),$G$1310,HLOOKUP(INDIRECT(ADDRESS(2,COLUMN())),OFFSET($T$2,0,0,ROW()-1,14),ROW()-1,FALSE))</x:f>
        <x:v>0</x:v>
      </x:c>
      <x:c r="H307">
        <x:f ca="1">IF(AND($B$1012=1,LEN($H$1310)&gt;0),$H$1310,HLOOKUP(INDIRECT(ADDRESS(2,COLUMN())),OFFSET($T$2,0,0,ROW()-1,14),ROW()-1,FALSE))</x:f>
        <x:v>-1.3183339999999999</x:v>
      </x:c>
      <x:c r="I307">
        <x:f ca="1">IF(AND($B$1012=1,LEN($I$1310)&gt;0),$I$1310,HLOOKUP(INDIRECT(ADDRESS(2,COLUMN())),OFFSET($T$2,0,0,ROW()-1,14),ROW()-1,FALSE))</x:f>
        <x:v>0</x:v>
      </x:c>
      <x:c r="J307">
        <x:f ca="1">IF(AND($B$1012=1,LEN($J$1310)&gt;0),$J$1310,HLOOKUP(INDIRECT(ADDRESS(2,COLUMN())),OFFSET($T$2,0,0,ROW()-1,14),ROW()-1,FALSE))</x:f>
        <x:v>-3.9580000000000002</x:v>
      </x:c>
      <x:c r="K307">
        <x:f ca="1">IF(AND($B$1012=1,LEN($K$1310)&gt;0),$K$1310,HLOOKUP(INDIRECT(ADDRESS(2,COLUMN())),OFFSET($T$2,0,0,ROW()-1,14),ROW()-1,FALSE))</x:f>
        <x:v>-5.2670000000000003</x:v>
      </x:c>
      <x:c r="L307">
        <x:f ca="1">IF(AND($B$1012=1,LEN($L$1310)&gt;0),$L$1310,HLOOKUP(INDIRECT(ADDRESS(2,COLUMN())),OFFSET($T$2,0,0,ROW()-1,14),ROW()-1,FALSE))</x:f>
        <x:v>-1.3360000000000001</x:v>
      </x:c>
      <x:c r="M307">
        <x:f ca="1">IF(AND($B$1012=1,LEN($M$1310)&gt;0),$M$1310,HLOOKUP(INDIRECT(ADDRESS(2,COLUMN())),OFFSET($T$2,0,0,ROW()-1,14),ROW()-1,FALSE))</x:f>
        <x:v>0</x:v>
      </x:c>
      <x:c r="N307">
        <x:f ca="1">IF(AND($B$1012=1,LEN($N$1310)&gt;0),$N$1310,HLOOKUP(INDIRECT(ADDRESS(2,COLUMN())),OFFSET($T$2,0,0,ROW()-1,14),ROW()-1,FALSE))</x:f>
        <x:v>-7.6892310000000004</x:v>
      </x:c>
      <x:c r="O307">
        <x:f ca="1">IF(AND($B$1012=1,LEN($O$1310)&gt;0),$O$1310,HLOOKUP(INDIRECT(ADDRESS(2,COLUMN())),OFFSET($T$2,0,0,ROW()-1,14),ROW()-1,FALSE))</x:f>
        <x:v>0</x:v>
      </x:c>
      <x:c r="P307">
        <x:f ca="1">IF(AND($B$1012=1,LEN($P$1310)&gt;0),$P$1310,HLOOKUP(INDIRECT(ADDRESS(2,COLUMN())),OFFSET($T$2,0,0,ROW()-1,14),ROW()-1,FALSE))</x:f>
        <x:v>0</x:v>
      </x:c>
      <x:c r="Q307">
        <x:f ca="1">IF(AND($B$1012=1,LEN($Q$1310)&gt;0),$Q$1310,HLOOKUP(INDIRECT(ADDRESS(2,COLUMN())),OFFSET($T$2,0,0,ROW()-1,14),ROW()-1,FALSE))</x:f>
        <x:v>2.4101000000000001E-2</x:v>
      </x:c>
      <x:c r="R307">
        <x:f ca="1">IF(AND($B$1012=1,LEN($R$1310)&gt;0),$R$1310,HLOOKUP(INDIRECT(ADDRESS(2,COLUMN())),OFFSET($T$2,0,0,ROW()-1,14),ROW()-1,FALSE))</x:f>
        <x:v>-1.325688</x:v>
      </x:c>
      <x:c r="S307">
        <x:f ca="1">IF(AND($B$1012=1,LEN($S$1310)&gt;0),$S$1310,HLOOKUP(INDIRECT(ADDRESS(2,COLUMN())),OFFSET($T$2,0,0,ROW()-1,14),ROW()-1,FALSE))</x:f>
        <x:v>2.4527999999999999</x:v>
      </x:c>
      <x:c r="T307">
        <x:f>0</x:f>
        <x:v>0</x:v>
      </x:c>
      <x:c r="U307">
        <x:f>0</x:f>
        <x:v>0</x:v>
      </x:c>
      <x:c r="V307">
        <x:f>-1.318334</x:f>
        <x:v>-1.3183339999999999</x:v>
      </x:c>
      <x:c r="W307">
        <x:f>0</x:f>
        <x:v>0</x:v>
      </x:c>
      <x:c r="X307">
        <x:f>-3.958</x:f>
        <x:v>-3.9580000000000002</x:v>
      </x:c>
      <x:c r="Y307">
        <x:f>-5.267</x:f>
        <x:v>-5.2670000000000003</x:v>
      </x:c>
      <x:c r="Z307">
        <x:f>-1.336</x:f>
        <x:v>-1.3360000000000001</x:v>
      </x:c>
      <x:c r="AA307">
        <x:f>0</x:f>
        <x:v>0</x:v>
      </x:c>
      <x:c r="AB307">
        <x:f>-7.689231</x:f>
        <x:v>-7.6892310000000004</x:v>
      </x:c>
      <x:c r="AC307">
        <x:f>0</x:f>
        <x:v>0</x:v>
      </x:c>
      <x:c r="AD307">
        <x:f>0</x:f>
        <x:v>0</x:v>
      </x:c>
      <x:c r="AE307">
        <x:f>0.024101</x:f>
        <x:v>2.4101000000000001E-2</x:v>
      </x:c>
      <x:c r="AF307">
        <x:f>-1.325688</x:f>
        <x:v>-1.325688</x:v>
      </x:c>
      <x:c r="AG307">
        <x:f>2.4528</x:f>
        <x:v>2.4527999999999999</x:v>
      </x:c>
    </x:row>
    <x:row r="308" spans="1:33" x14ac:dyDescent="0.25">
      <x:c r="A308" t="str">
        <x:f>"        Elkhorn S&amp;P MidCap Health Care"</x:f>
        <x:v xml:space="preserve">        Elkhorn S&amp;P MidCap Health Care</x:v>
      </x:c>
      <x:c r="B308" t="str">
        <x:f>"XH US Equity"</x:f>
        <x:v>XH US Equity</x:v>
      </x:c>
      <x:c r="E308" t="str">
        <x:f t="shared" si="10"/>
        <x:v>Expression</x:v>
      </x:c>
      <x:c r="F308" t="str">
        <x:f ca="1">IF(AND($B$1012=1,LEN($F$1311)&gt;0),$F$1311,HLOOKUP(INDIRECT(ADDRESS(2,COLUMN())),OFFSET($T$2,0,0,ROW()-1,14),ROW()-1,FALSE))</x:f>
        <x:v/>
      </x:c>
      <x:c r="G308" t="str">
        <x:f ca="1">IF(AND($B$1012=1,LEN($G$1311)&gt;0),$G$1311,HLOOKUP(INDIRECT(ADDRESS(2,COLUMN())),OFFSET($T$2,0,0,ROW()-1,14),ROW()-1,FALSE))</x:f>
        <x:v/>
      </x:c>
      <x:c r="H308" t="str">
        <x:f ca="1">IF(AND($B$1012=1,LEN($H$1311)&gt;0),$H$1311,HLOOKUP(INDIRECT(ADDRESS(2,COLUMN())),OFFSET($T$2,0,0,ROW()-1,14),ROW()-1,FALSE))</x:f>
        <x:v/>
      </x:c>
      <x:c r="I308" t="str">
        <x:f ca="1">IF(AND($B$1012=1,LEN($I$1311)&gt;0),$I$1311,HLOOKUP(INDIRECT(ADDRESS(2,COLUMN())),OFFSET($T$2,0,0,ROW()-1,14),ROW()-1,FALSE))</x:f>
        <x:v/>
      </x:c>
      <x:c r="J308" t="str">
        <x:f ca="1">IF(AND($B$1012=1,LEN($J$1311)&gt;0),$J$1311,HLOOKUP(INDIRECT(ADDRESS(2,COLUMN())),OFFSET($T$2,0,0,ROW()-1,14),ROW()-1,FALSE))</x:f>
        <x:v/>
      </x:c>
      <x:c r="K308" t="str">
        <x:f ca="1">IF(AND($B$1012=1,LEN($K$1311)&gt;0),$K$1311,HLOOKUP(INDIRECT(ADDRESS(2,COLUMN())),OFFSET($T$2,0,0,ROW()-1,14),ROW()-1,FALSE))</x:f>
        <x:v/>
      </x:c>
      <x:c r="L308" t="str">
        <x:f ca="1">IF(AND($B$1012=1,LEN($L$1311)&gt;0),$L$1311,HLOOKUP(INDIRECT(ADDRESS(2,COLUMN())),OFFSET($T$2,0,0,ROW()-1,14),ROW()-1,FALSE))</x:f>
        <x:v/>
      </x:c>
      <x:c r="M308" t="str">
        <x:f ca="1">IF(AND($B$1012=1,LEN($M$1311)&gt;0),$M$1311,HLOOKUP(INDIRECT(ADDRESS(2,COLUMN())),OFFSET($T$2,0,0,ROW()-1,14),ROW()-1,FALSE))</x:f>
        <x:v/>
      </x:c>
      <x:c r="N308" t="str">
        <x:f ca="1">IF(AND($B$1012=1,LEN($N$1311)&gt;0),$N$1311,HLOOKUP(INDIRECT(ADDRESS(2,COLUMN())),OFFSET($T$2,0,0,ROW()-1,14),ROW()-1,FALSE))</x:f>
        <x:v/>
      </x:c>
      <x:c r="O308" t="str">
        <x:f ca="1">IF(AND($B$1012=1,LEN($O$1311)&gt;0),$O$1311,HLOOKUP(INDIRECT(ADDRESS(2,COLUMN())),OFFSET($T$2,0,0,ROW()-1,14),ROW()-1,FALSE))</x:f>
        <x:v/>
      </x:c>
      <x:c r="P308" t="str">
        <x:f ca="1">IF(AND($B$1012=1,LEN($P$1311)&gt;0),$P$1311,HLOOKUP(INDIRECT(ADDRESS(2,COLUMN())),OFFSET($T$2,0,0,ROW()-1,14),ROW()-1,FALSE))</x:f>
        <x:v/>
      </x:c>
      <x:c r="Q308" t="str">
        <x:f ca="1">IF(AND($B$1012=1,LEN($Q$1311)&gt;0),$Q$1311,HLOOKUP(INDIRECT(ADDRESS(2,COLUMN())),OFFSET($T$2,0,0,ROW()-1,14),ROW()-1,FALSE))</x:f>
        <x:v/>
      </x:c>
      <x:c r="R308" t="str">
        <x:f ca="1">IF(AND($B$1012=1,LEN($R$1311)&gt;0),$R$1311,HLOOKUP(INDIRECT(ADDRESS(2,COLUMN())),OFFSET($T$2,0,0,ROW()-1,14),ROW()-1,FALSE))</x:f>
        <x:v/>
      </x:c>
      <x:c r="S308" t="str">
        <x:f ca="1">IF(AND($B$1012=1,LEN($S$1311)&gt;0),$S$1311,HLOOKUP(INDIRECT(ADDRESS(2,COLUMN())),OFFSET($T$2,0,0,ROW()-1,14),ROW()-1,FALSE))</x:f>
        <x:v/>
      </x:c>
      <x:c r="T308" t="str">
        <x:f>""</x:f>
        <x:v/>
      </x:c>
      <x:c r="U308" t="str">
        <x:f>""</x:f>
        <x:v/>
      </x:c>
      <x:c r="V308" t="str">
        <x:f>""</x:f>
        <x:v/>
      </x:c>
      <x:c r="W308" t="str">
        <x:f>""</x:f>
        <x:v/>
      </x:c>
      <x:c r="X308" t="str">
        <x:f>""</x:f>
        <x:v/>
      </x:c>
      <x:c r="Y308" t="str">
        <x:f>""</x:f>
        <x:v/>
      </x:c>
      <x:c r="Z308" t="str">
        <x:f>""</x:f>
        <x:v/>
      </x:c>
      <x:c r="AA308" t="str">
        <x:f>""</x:f>
        <x:v/>
      </x:c>
      <x:c r="AB308" t="str">
        <x:f>""</x:f>
        <x:v/>
      </x:c>
      <x:c r="AC308" t="str">
        <x:f>""</x:f>
        <x:v/>
      </x:c>
      <x:c r="AD308" t="str">
        <x:f>""</x:f>
        <x:v/>
      </x:c>
      <x:c r="AE308" t="str">
        <x:f>""</x:f>
        <x:v/>
      </x:c>
      <x:c r="AF308" t="str">
        <x:f>""</x:f>
        <x:v/>
      </x:c>
      <x:c r="AG308" t="str">
        <x:f>""</x:f>
        <x:v/>
      </x:c>
    </x:row>
    <x:row r="309" spans="1:33" x14ac:dyDescent="0.25">
      <x:c r="A309" t="str">
        <x:f>"        First Trust S-Network Healthca"</x:f>
        <x:v xml:space="preserve">        First Trust S-Network Healthca</x:v>
      </x:c>
      <x:c r="B309" t="str">
        <x:f>"IMED US Equity"</x:f>
        <x:v>IMED US Equity</x:v>
      </x:c>
      <x:c r="E309" t="str">
        <x:f t="shared" si="10"/>
        <x:v>Expression</x:v>
      </x:c>
      <x:c r="F309" t="str">
        <x:f ca="1">IF(AND($B$1012=1,LEN($F$1312)&gt;0),$F$1312,HLOOKUP(INDIRECT(ADDRESS(2,COLUMN())),OFFSET($T$2,0,0,ROW()-1,14),ROW()-1,FALSE))</x:f>
        <x:v/>
      </x:c>
      <x:c r="G309" t="str">
        <x:f ca="1">IF(AND($B$1012=1,LEN($G$1312)&gt;0),$G$1312,HLOOKUP(INDIRECT(ADDRESS(2,COLUMN())),OFFSET($T$2,0,0,ROW()-1,14),ROW()-1,FALSE))</x:f>
        <x:v/>
      </x:c>
      <x:c r="H309" t="str">
        <x:f ca="1">IF(AND($B$1012=1,LEN($H$1312)&gt;0),$H$1312,HLOOKUP(INDIRECT(ADDRESS(2,COLUMN())),OFFSET($T$2,0,0,ROW()-1,14),ROW()-1,FALSE))</x:f>
        <x:v/>
      </x:c>
      <x:c r="I309" t="str">
        <x:f ca="1">IF(AND($B$1012=1,LEN($I$1312)&gt;0),$I$1312,HLOOKUP(INDIRECT(ADDRESS(2,COLUMN())),OFFSET($T$2,0,0,ROW()-1,14),ROW()-1,FALSE))</x:f>
        <x:v/>
      </x:c>
      <x:c r="J309" t="str">
        <x:f ca="1">IF(AND($B$1012=1,LEN($J$1312)&gt;0),$J$1312,HLOOKUP(INDIRECT(ADDRESS(2,COLUMN())),OFFSET($T$2,0,0,ROW()-1,14),ROW()-1,FALSE))</x:f>
        <x:v/>
      </x:c>
      <x:c r="K309" t="str">
        <x:f ca="1">IF(AND($B$1012=1,LEN($K$1312)&gt;0),$K$1312,HLOOKUP(INDIRECT(ADDRESS(2,COLUMN())),OFFSET($T$2,0,0,ROW()-1,14),ROW()-1,FALSE))</x:f>
        <x:v/>
      </x:c>
      <x:c r="L309" t="str">
        <x:f ca="1">IF(AND($B$1012=1,LEN($L$1312)&gt;0),$L$1312,HLOOKUP(INDIRECT(ADDRESS(2,COLUMN())),OFFSET($T$2,0,0,ROW()-1,14),ROW()-1,FALSE))</x:f>
        <x:v/>
      </x:c>
      <x:c r="M309" t="str">
        <x:f ca="1">IF(AND($B$1012=1,LEN($M$1312)&gt;0),$M$1312,HLOOKUP(INDIRECT(ADDRESS(2,COLUMN())),OFFSET($T$2,0,0,ROW()-1,14),ROW()-1,FALSE))</x:f>
        <x:v/>
      </x:c>
      <x:c r="N309" t="str">
        <x:f ca="1">IF(AND($B$1012=1,LEN($N$1312)&gt;0),$N$1312,HLOOKUP(INDIRECT(ADDRESS(2,COLUMN())),OFFSET($T$2,0,0,ROW()-1,14),ROW()-1,FALSE))</x:f>
        <x:v/>
      </x:c>
      <x:c r="O309" t="str">
        <x:f ca="1">IF(AND($B$1012=1,LEN($O$1312)&gt;0),$O$1312,HLOOKUP(INDIRECT(ADDRESS(2,COLUMN())),OFFSET($T$2,0,0,ROW()-1,14),ROW()-1,FALSE))</x:f>
        <x:v/>
      </x:c>
      <x:c r="P309" t="str">
        <x:f ca="1">IF(AND($B$1012=1,LEN($P$1312)&gt;0),$P$1312,HLOOKUP(INDIRECT(ADDRESS(2,COLUMN())),OFFSET($T$2,0,0,ROW()-1,14),ROW()-1,FALSE))</x:f>
        <x:v/>
      </x:c>
      <x:c r="Q309" t="str">
        <x:f ca="1">IF(AND($B$1012=1,LEN($Q$1312)&gt;0),$Q$1312,HLOOKUP(INDIRECT(ADDRESS(2,COLUMN())),OFFSET($T$2,0,0,ROW()-1,14),ROW()-1,FALSE))</x:f>
        <x:v/>
      </x:c>
      <x:c r="R309" t="str">
        <x:f ca="1">IF(AND($B$1012=1,LEN($R$1312)&gt;0),$R$1312,HLOOKUP(INDIRECT(ADDRESS(2,COLUMN())),OFFSET($T$2,0,0,ROW()-1,14),ROW()-1,FALSE))</x:f>
        <x:v/>
      </x:c>
      <x:c r="S309" t="str">
        <x:f ca="1">IF(AND($B$1012=1,LEN($S$1312)&gt;0),$S$1312,HLOOKUP(INDIRECT(ADDRESS(2,COLUMN())),OFFSET($T$2,0,0,ROW()-1,14),ROW()-1,FALSE))</x:f>
        <x:v/>
      </x:c>
      <x:c r="T309" t="str">
        <x:f>""</x:f>
        <x:v/>
      </x:c>
      <x:c r="U309" t="str">
        <x:f>""</x:f>
        <x:v/>
      </x:c>
      <x:c r="V309" t="str">
        <x:f>""</x:f>
        <x:v/>
      </x:c>
      <x:c r="W309" t="str">
        <x:f>""</x:f>
        <x:v/>
      </x:c>
      <x:c r="X309" t="str">
        <x:f>""</x:f>
        <x:v/>
      </x:c>
      <x:c r="Y309" t="str">
        <x:f>""</x:f>
        <x:v/>
      </x:c>
      <x:c r="Z309" t="str">
        <x:f>""</x:f>
        <x:v/>
      </x:c>
      <x:c r="AA309" t="str">
        <x:f>""</x:f>
        <x:v/>
      </x:c>
      <x:c r="AB309" t="str">
        <x:f>""</x:f>
        <x:v/>
      </x:c>
      <x:c r="AC309" t="str">
        <x:f>""</x:f>
        <x:v/>
      </x:c>
      <x:c r="AD309" t="str">
        <x:f>""</x:f>
        <x:v/>
      </x:c>
      <x:c r="AE309" t="str">
        <x:f>""</x:f>
        <x:v/>
      </x:c>
      <x:c r="AF309" t="str">
        <x:f>""</x:f>
        <x:v/>
      </x:c>
      <x:c r="AG309" t="str">
        <x:f>""</x:f>
        <x:v/>
      </x:c>
    </x:row>
    <x:row r="310" spans="1:33" x14ac:dyDescent="0.25">
      <x:c r="A310" t="str">
        <x:f>"        ProShares UltraShort Health Ca"</x:f>
        <x:v xml:space="preserve">        ProShares UltraShort Health Ca</x:v>
      </x:c>
      <x:c r="B310" t="str">
        <x:f>"RXD US Equity"</x:f>
        <x:v>RXD US Equity</x:v>
      </x:c>
      <x:c r="E310" t="str">
        <x:f t="shared" si="10"/>
        <x:v>Expression</x:v>
      </x:c>
      <x:c r="F310">
        <x:f ca="1">IF(AND($B$1012=1,LEN($F$1313)&gt;0),$F$1313,HLOOKUP(INDIRECT(ADDRESS(2,COLUMN())),OFFSET($T$2,0,0,ROW()-1,14),ROW()-1,FALSE))</x:f>
        <x:v>0.27040500000000001</x:v>
      </x:c>
      <x:c r="G310">
        <x:f ca="1">IF(AND($B$1012=1,LEN($G$1313)&gt;0),$G$1313,HLOOKUP(INDIRECT(ADDRESS(2,COLUMN())),OFFSET($T$2,0,0,ROW()-1,14),ROW()-1,FALSE))</x:f>
        <x:v>0.57258399999999998</x:v>
      </x:c>
      <x:c r="H310">
        <x:f ca="1">IF(AND($B$1012=1,LEN($H$1313)&gt;0),$H$1313,HLOOKUP(INDIRECT(ADDRESS(2,COLUMN())),OFFSET($T$2,0,0,ROW()-1,14),ROW()-1,FALSE))</x:f>
        <x:v>0.130966</x:v>
      </x:c>
      <x:c r="I310">
        <x:f ca="1">IF(AND($B$1012=1,LEN($I$1313)&gt;0),$I$1313,HLOOKUP(INDIRECT(ADDRESS(2,COLUMN())),OFFSET($T$2,0,0,ROW()-1,14),ROW()-1,FALSE))</x:f>
        <x:v>0</x:v>
      </x:c>
      <x:c r="J310">
        <x:f ca="1">IF(AND($B$1012=1,LEN($J$1313)&gt;0),$J$1313,HLOOKUP(INDIRECT(ADDRESS(2,COLUMN())),OFFSET($T$2,0,0,ROW()-1,14),ROW()-1,FALSE))</x:f>
        <x:v>-0.38151400000000002</x:v>
      </x:c>
      <x:c r="K310">
        <x:f ca="1">IF(AND($B$1012=1,LEN($K$1313)&gt;0),$K$1313,HLOOKUP(INDIRECT(ADDRESS(2,COLUMN())),OFFSET($T$2,0,0,ROW()-1,14),ROW()-1,FALSE))</x:f>
        <x:v>-0.44043100000000002</x:v>
      </x:c>
      <x:c r="L310">
        <x:f ca="1">IF(AND($B$1012=1,LEN($L$1313)&gt;0),$L$1313,HLOOKUP(INDIRECT(ADDRESS(2,COLUMN())),OFFSET($T$2,0,0,ROW()-1,14),ROW()-1,FALSE))</x:f>
        <x:v>0</x:v>
      </x:c>
      <x:c r="M310">
        <x:f ca="1">IF(AND($B$1012=1,LEN($M$1313)&gt;0),$M$1313,HLOOKUP(INDIRECT(ADDRESS(2,COLUMN())),OFFSET($T$2,0,0,ROW()-1,14),ROW()-1,FALSE))</x:f>
        <x:v>-0.95399999999999996</x:v>
      </x:c>
      <x:c r="N310">
        <x:f ca="1">IF(AND($B$1012=1,LEN($N$1313)&gt;0),$N$1313,HLOOKUP(INDIRECT(ADDRESS(2,COLUMN())),OFFSET($T$2,0,0,ROW()-1,14),ROW()-1,FALSE))</x:f>
        <x:v>1.3672580000000001</x:v>
      </x:c>
      <x:c r="O310">
        <x:f ca="1">IF(AND($B$1012=1,LEN($O$1313)&gt;0),$O$1313,HLOOKUP(INDIRECT(ADDRESS(2,COLUMN())),OFFSET($T$2,0,0,ROW()-1,14),ROW()-1,FALSE))</x:f>
        <x:v>-0.33356799999999998</x:v>
      </x:c>
      <x:c r="P310">
        <x:f ca="1">IF(AND($B$1012=1,LEN($P$1313)&gt;0),$P$1313,HLOOKUP(INDIRECT(ADDRESS(2,COLUMN())),OFFSET($T$2,0,0,ROW()-1,14),ROW()-1,FALSE))</x:f>
        <x:v>0.29747800000000002</x:v>
      </x:c>
      <x:c r="Q310">
        <x:f ca="1">IF(AND($B$1012=1,LEN($Q$1313)&gt;0),$Q$1313,HLOOKUP(INDIRECT(ADDRESS(2,COLUMN())),OFFSET($T$2,0,0,ROW()-1,14),ROW()-1,FALSE))</x:f>
        <x:v>0</x:v>
      </x:c>
      <x:c r="R310">
        <x:f ca="1">IF(AND($B$1012=1,LEN($R$1313)&gt;0),$R$1313,HLOOKUP(INDIRECT(ADDRESS(2,COLUMN())),OFFSET($T$2,0,0,ROW()-1,14),ROW()-1,FALSE))</x:f>
        <x:v>-1.852565</x:v>
      </x:c>
      <x:c r="S310">
        <x:f ca="1">IF(AND($B$1012=1,LEN($S$1313)&gt;0),$S$1313,HLOOKUP(INDIRECT(ADDRESS(2,COLUMN())),OFFSET($T$2,0,0,ROW()-1,14),ROW()-1,FALSE))</x:f>
        <x:v>-4.6076170000000003</x:v>
      </x:c>
      <x:c r="T310">
        <x:f>0.270405</x:f>
        <x:v>0.27040500000000001</x:v>
      </x:c>
      <x:c r="U310">
        <x:f>0.572584</x:f>
        <x:v>0.57258399999999998</x:v>
      </x:c>
      <x:c r="V310">
        <x:f>0.130966</x:f>
        <x:v>0.130966</x:v>
      </x:c>
      <x:c r="W310">
        <x:f>0</x:f>
        <x:v>0</x:v>
      </x:c>
      <x:c r="X310">
        <x:f>-0.381514</x:f>
        <x:v>-0.38151400000000002</x:v>
      </x:c>
      <x:c r="Y310">
        <x:f>-0.440431</x:f>
        <x:v>-0.44043100000000002</x:v>
      </x:c>
      <x:c r="Z310">
        <x:f>0</x:f>
        <x:v>0</x:v>
      </x:c>
      <x:c r="AA310">
        <x:f>-0.954</x:f>
        <x:v>-0.95399999999999996</x:v>
      </x:c>
      <x:c r="AB310">
        <x:f>1.367258</x:f>
        <x:v>1.3672580000000001</x:v>
      </x:c>
      <x:c r="AC310">
        <x:f>-0.333568</x:f>
        <x:v>-0.33356799999999998</x:v>
      </x:c>
      <x:c r="AD310">
        <x:f>0.297478</x:f>
        <x:v>0.29747800000000002</x:v>
      </x:c>
      <x:c r="AE310">
        <x:f>0</x:f>
        <x:v>0</x:v>
      </x:c>
      <x:c r="AF310">
        <x:f>-1.852565</x:f>
        <x:v>-1.852565</x:v>
      </x:c>
      <x:c r="AG310">
        <x:f>-4.607617</x:f>
        <x:v>-4.6076170000000003</x:v>
      </x:c>
    </x:row>
    <x:row r="311" spans="1:33" x14ac:dyDescent="0.25">
      <x:c r="A311" t="str">
        <x:f>"        Direxion Daily Healthcare Bear"</x:f>
        <x:v xml:space="preserve">        Direxion Daily Healthcare Bear</x:v>
      </x:c>
      <x:c r="B311" t="str">
        <x:f>"SICK US Equity"</x:f>
        <x:v>SICK US Equity</x:v>
      </x:c>
      <x:c r="E311" t="str">
        <x:f t="shared" si="10"/>
        <x:v>Expression</x:v>
      </x:c>
      <x:c r="F311" t="str">
        <x:f ca="1">IF(AND($B$1012=1,LEN($F$1314)&gt;0),$F$1314,HLOOKUP(INDIRECT(ADDRESS(2,COLUMN())),OFFSET($T$2,0,0,ROW()-1,14),ROW()-1,FALSE))</x:f>
        <x:v/>
      </x:c>
      <x:c r="G311" t="str">
        <x:f ca="1">IF(AND($B$1012=1,LEN($G$1314)&gt;0),$G$1314,HLOOKUP(INDIRECT(ADDRESS(2,COLUMN())),OFFSET($T$2,0,0,ROW()-1,14),ROW()-1,FALSE))</x:f>
        <x:v/>
      </x:c>
      <x:c r="H311" t="str">
        <x:f ca="1">IF(AND($B$1012=1,LEN($H$1314)&gt;0),$H$1314,HLOOKUP(INDIRECT(ADDRESS(2,COLUMN())),OFFSET($T$2,0,0,ROW()-1,14),ROW()-1,FALSE))</x:f>
        <x:v/>
      </x:c>
      <x:c r="I311" t="str">
        <x:f ca="1">IF(AND($B$1012=1,LEN($I$1314)&gt;0),$I$1314,HLOOKUP(INDIRECT(ADDRESS(2,COLUMN())),OFFSET($T$2,0,0,ROW()-1,14),ROW()-1,FALSE))</x:f>
        <x:v/>
      </x:c>
      <x:c r="J311" t="str">
        <x:f ca="1">IF(AND($B$1012=1,LEN($J$1314)&gt;0),$J$1314,HLOOKUP(INDIRECT(ADDRESS(2,COLUMN())),OFFSET($T$2,0,0,ROW()-1,14),ROW()-1,FALSE))</x:f>
        <x:v/>
      </x:c>
      <x:c r="K311" t="str">
        <x:f ca="1">IF(AND($B$1012=1,LEN($K$1314)&gt;0),$K$1314,HLOOKUP(INDIRECT(ADDRESS(2,COLUMN())),OFFSET($T$2,0,0,ROW()-1,14),ROW()-1,FALSE))</x:f>
        <x:v/>
      </x:c>
      <x:c r="L311" t="str">
        <x:f ca="1">IF(AND($B$1012=1,LEN($L$1314)&gt;0),$L$1314,HLOOKUP(INDIRECT(ADDRESS(2,COLUMN())),OFFSET($T$2,0,0,ROW()-1,14),ROW()-1,FALSE))</x:f>
        <x:v/>
      </x:c>
      <x:c r="M311" t="str">
        <x:f ca="1">IF(AND($B$1012=1,LEN($M$1314)&gt;0),$M$1314,HLOOKUP(INDIRECT(ADDRESS(2,COLUMN())),OFFSET($T$2,0,0,ROW()-1,14),ROW()-1,FALSE))</x:f>
        <x:v/>
      </x:c>
      <x:c r="N311" t="str">
        <x:f ca="1">IF(AND($B$1012=1,LEN($N$1314)&gt;0),$N$1314,HLOOKUP(INDIRECT(ADDRESS(2,COLUMN())),OFFSET($T$2,0,0,ROW()-1,14),ROW()-1,FALSE))</x:f>
        <x:v/>
      </x:c>
      <x:c r="O311" t="str">
        <x:f ca="1">IF(AND($B$1012=1,LEN($O$1314)&gt;0),$O$1314,HLOOKUP(INDIRECT(ADDRESS(2,COLUMN())),OFFSET($T$2,0,0,ROW()-1,14),ROW()-1,FALSE))</x:f>
        <x:v/>
      </x:c>
      <x:c r="P311" t="str">
        <x:f ca="1">IF(AND($B$1012=1,LEN($P$1314)&gt;0),$P$1314,HLOOKUP(INDIRECT(ADDRESS(2,COLUMN())),OFFSET($T$2,0,0,ROW()-1,14),ROW()-1,FALSE))</x:f>
        <x:v/>
      </x:c>
      <x:c r="Q311" t="str">
        <x:f ca="1">IF(AND($B$1012=1,LEN($Q$1314)&gt;0),$Q$1314,HLOOKUP(INDIRECT(ADDRESS(2,COLUMN())),OFFSET($T$2,0,0,ROW()-1,14),ROW()-1,FALSE))</x:f>
        <x:v/>
      </x:c>
      <x:c r="R311" t="str">
        <x:f ca="1">IF(AND($B$1012=1,LEN($R$1314)&gt;0),$R$1314,HLOOKUP(INDIRECT(ADDRESS(2,COLUMN())),OFFSET($T$2,0,0,ROW()-1,14),ROW()-1,FALSE))</x:f>
        <x:v/>
      </x:c>
      <x:c r="S311" t="str">
        <x:f ca="1">IF(AND($B$1012=1,LEN($S$1314)&gt;0),$S$1314,HLOOKUP(INDIRECT(ADDRESS(2,COLUMN())),OFFSET($T$2,0,0,ROW()-1,14),ROW()-1,FALSE))</x:f>
        <x:v/>
      </x:c>
      <x:c r="T311" t="str">
        <x:f>""</x:f>
        <x:v/>
      </x:c>
      <x:c r="U311" t="str">
        <x:f>""</x:f>
        <x:v/>
      </x:c>
      <x:c r="V311" t="str">
        <x:f>""</x:f>
        <x:v/>
      </x:c>
      <x:c r="W311" t="str">
        <x:f>""</x:f>
        <x:v/>
      </x:c>
      <x:c r="X311" t="str">
        <x:f>""</x:f>
        <x:v/>
      </x:c>
      <x:c r="Y311" t="str">
        <x:f>""</x:f>
        <x:v/>
      </x:c>
      <x:c r="Z311" t="str">
        <x:f>""</x:f>
        <x:v/>
      </x:c>
      <x:c r="AA311" t="str">
        <x:f>""</x:f>
        <x:v/>
      </x:c>
      <x:c r="AB311" t="str">
        <x:f>""</x:f>
        <x:v/>
      </x:c>
      <x:c r="AC311" t="str">
        <x:f>""</x:f>
        <x:v/>
      </x:c>
      <x:c r="AD311" t="str">
        <x:f>""</x:f>
        <x:v/>
      </x:c>
      <x:c r="AE311" t="str">
        <x:f>""</x:f>
        <x:v/>
      </x:c>
      <x:c r="AF311" t="str">
        <x:f>""</x:f>
        <x:v/>
      </x:c>
      <x:c r="AG311" t="str">
        <x:f>""</x:f>
        <x:v/>
      </x:c>
    </x:row>
    <x:row r="312" spans="1:33" x14ac:dyDescent="0.25">
      <x:c r="A312" t="str">
        <x:f>"        iShares Evolved US Healthcare"</x:f>
        <x:v xml:space="preserve">        iShares Evolved US Healthcare</x:v>
      </x:c>
      <x:c r="B312" t="str">
        <x:f>"IEHS US Equity"</x:f>
        <x:v>IEHS US Equity</x:v>
      </x:c>
      <x:c r="E312" t="str">
        <x:f t="shared" si="10"/>
        <x:v>Expression</x:v>
      </x:c>
      <x:c r="F312" t="str">
        <x:f ca="1">IF(AND($B$1012=1,LEN($F$1315)&gt;0),$F$1315,HLOOKUP(INDIRECT(ADDRESS(2,COLUMN())),OFFSET($T$2,0,0,ROW()-1,14),ROW()-1,FALSE))</x:f>
        <x:v/>
      </x:c>
      <x:c r="G312" t="str">
        <x:f ca="1">IF(AND($B$1012=1,LEN($G$1315)&gt;0),$G$1315,HLOOKUP(INDIRECT(ADDRESS(2,COLUMN())),OFFSET($T$2,0,0,ROW()-1,14),ROW()-1,FALSE))</x:f>
        <x:v/>
      </x:c>
      <x:c r="H312" t="str">
        <x:f ca="1">IF(AND($B$1012=1,LEN($H$1315)&gt;0),$H$1315,HLOOKUP(INDIRECT(ADDRESS(2,COLUMN())),OFFSET($T$2,0,0,ROW()-1,14),ROW()-1,FALSE))</x:f>
        <x:v/>
      </x:c>
      <x:c r="I312" t="str">
        <x:f ca="1">IF(AND($B$1012=1,LEN($I$1315)&gt;0),$I$1315,HLOOKUP(INDIRECT(ADDRESS(2,COLUMN())),OFFSET($T$2,0,0,ROW()-1,14),ROW()-1,FALSE))</x:f>
        <x:v/>
      </x:c>
      <x:c r="J312" t="str">
        <x:f ca="1">IF(AND($B$1012=1,LEN($J$1315)&gt;0),$J$1315,HLOOKUP(INDIRECT(ADDRESS(2,COLUMN())),OFFSET($T$2,0,0,ROW()-1,14),ROW()-1,FALSE))</x:f>
        <x:v/>
      </x:c>
      <x:c r="K312" t="str">
        <x:f ca="1">IF(AND($B$1012=1,LEN($K$1315)&gt;0),$K$1315,HLOOKUP(INDIRECT(ADDRESS(2,COLUMN())),OFFSET($T$2,0,0,ROW()-1,14),ROW()-1,FALSE))</x:f>
        <x:v/>
      </x:c>
      <x:c r="L312" t="str">
        <x:f ca="1">IF(AND($B$1012=1,LEN($L$1315)&gt;0),$L$1315,HLOOKUP(INDIRECT(ADDRESS(2,COLUMN())),OFFSET($T$2,0,0,ROW()-1,14),ROW()-1,FALSE))</x:f>
        <x:v/>
      </x:c>
      <x:c r="M312" t="str">
        <x:f ca="1">IF(AND($B$1012=1,LEN($M$1315)&gt;0),$M$1315,HLOOKUP(INDIRECT(ADDRESS(2,COLUMN())),OFFSET($T$2,0,0,ROW()-1,14),ROW()-1,FALSE))</x:f>
        <x:v/>
      </x:c>
      <x:c r="N312" t="str">
        <x:f ca="1">IF(AND($B$1012=1,LEN($N$1315)&gt;0),$N$1315,HLOOKUP(INDIRECT(ADDRESS(2,COLUMN())),OFFSET($T$2,0,0,ROW()-1,14),ROW()-1,FALSE))</x:f>
        <x:v/>
      </x:c>
      <x:c r="O312" t="str">
        <x:f ca="1">IF(AND($B$1012=1,LEN($O$1315)&gt;0),$O$1315,HLOOKUP(INDIRECT(ADDRESS(2,COLUMN())),OFFSET($T$2,0,0,ROW()-1,14),ROW()-1,FALSE))</x:f>
        <x:v/>
      </x:c>
      <x:c r="P312" t="str">
        <x:f ca="1">IF(AND($B$1012=1,LEN($P$1315)&gt;0),$P$1315,HLOOKUP(INDIRECT(ADDRESS(2,COLUMN())),OFFSET($T$2,0,0,ROW()-1,14),ROW()-1,FALSE))</x:f>
        <x:v/>
      </x:c>
      <x:c r="Q312" t="str">
        <x:f ca="1">IF(AND($B$1012=1,LEN($Q$1315)&gt;0),$Q$1315,HLOOKUP(INDIRECT(ADDRESS(2,COLUMN())),OFFSET($T$2,0,0,ROW()-1,14),ROW()-1,FALSE))</x:f>
        <x:v/>
      </x:c>
      <x:c r="R312" t="str">
        <x:f ca="1">IF(AND($B$1012=1,LEN($R$1315)&gt;0),$R$1315,HLOOKUP(INDIRECT(ADDRESS(2,COLUMN())),OFFSET($T$2,0,0,ROW()-1,14),ROW()-1,FALSE))</x:f>
        <x:v/>
      </x:c>
      <x:c r="S312" t="str">
        <x:f ca="1">IF(AND($B$1012=1,LEN($S$1315)&gt;0),$S$1315,HLOOKUP(INDIRECT(ADDRESS(2,COLUMN())),OFFSET($T$2,0,0,ROW()-1,14),ROW()-1,FALSE))</x:f>
        <x:v/>
      </x:c>
      <x:c r="T312" t="str">
        <x:f>""</x:f>
        <x:v/>
      </x:c>
      <x:c r="U312" t="str">
        <x:f>""</x:f>
        <x:v/>
      </x:c>
      <x:c r="V312" t="str">
        <x:f>""</x:f>
        <x:v/>
      </x:c>
      <x:c r="W312" t="str">
        <x:f>""</x:f>
        <x:v/>
      </x:c>
      <x:c r="X312" t="str">
        <x:f>""</x:f>
        <x:v/>
      </x:c>
      <x:c r="Y312" t="str">
        <x:f>""</x:f>
        <x:v/>
      </x:c>
      <x:c r="Z312" t="str">
        <x:f>""</x:f>
        <x:v/>
      </x:c>
      <x:c r="AA312" t="str">
        <x:f>""</x:f>
        <x:v/>
      </x:c>
      <x:c r="AB312" t="str">
        <x:f>""</x:f>
        <x:v/>
      </x:c>
      <x:c r="AC312" t="str">
        <x:f>""</x:f>
        <x:v/>
      </x:c>
      <x:c r="AD312" t="str">
        <x:f>""</x:f>
        <x:v/>
      </x:c>
      <x:c r="AE312" t="str">
        <x:f>""</x:f>
        <x:v/>
      </x:c>
      <x:c r="AF312" t="str">
        <x:f>""</x:f>
        <x:v/>
      </x:c>
      <x:c r="AG312" t="str">
        <x:f>""</x:f>
        <x:v/>
      </x:c>
    </x:row>
    <x:row r="313" spans="1:33" x14ac:dyDescent="0.25">
      <x:c r="A313" t="str">
        <x:f>"        iShares Evolved US Innovative"</x:f>
        <x:v xml:space="preserve">        iShares Evolved US Innovative</x:v>
      </x:c>
      <x:c r="B313" t="str">
        <x:f>"IEIH US Equity"</x:f>
        <x:v>IEIH US Equity</x:v>
      </x:c>
      <x:c r="E313" t="str">
        <x:f t="shared" si="10"/>
        <x:v>Expression</x:v>
      </x:c>
      <x:c r="F313" t="str">
        <x:f ca="1">IF(AND($B$1012=1,LEN($F$1316)&gt;0),$F$1316,HLOOKUP(INDIRECT(ADDRESS(2,COLUMN())),OFFSET($T$2,0,0,ROW()-1,14),ROW()-1,FALSE))</x:f>
        <x:v/>
      </x:c>
      <x:c r="G313" t="str">
        <x:f ca="1">IF(AND($B$1012=1,LEN($G$1316)&gt;0),$G$1316,HLOOKUP(INDIRECT(ADDRESS(2,COLUMN())),OFFSET($T$2,0,0,ROW()-1,14),ROW()-1,FALSE))</x:f>
        <x:v/>
      </x:c>
      <x:c r="H313" t="str">
        <x:f ca="1">IF(AND($B$1012=1,LEN($H$1316)&gt;0),$H$1316,HLOOKUP(INDIRECT(ADDRESS(2,COLUMN())),OFFSET($T$2,0,0,ROW()-1,14),ROW()-1,FALSE))</x:f>
        <x:v/>
      </x:c>
      <x:c r="I313" t="str">
        <x:f ca="1">IF(AND($B$1012=1,LEN($I$1316)&gt;0),$I$1316,HLOOKUP(INDIRECT(ADDRESS(2,COLUMN())),OFFSET($T$2,0,0,ROW()-1,14),ROW()-1,FALSE))</x:f>
        <x:v/>
      </x:c>
      <x:c r="J313" t="str">
        <x:f ca="1">IF(AND($B$1012=1,LEN($J$1316)&gt;0),$J$1316,HLOOKUP(INDIRECT(ADDRESS(2,COLUMN())),OFFSET($T$2,0,0,ROW()-1,14),ROW()-1,FALSE))</x:f>
        <x:v/>
      </x:c>
      <x:c r="K313" t="str">
        <x:f ca="1">IF(AND($B$1012=1,LEN($K$1316)&gt;0),$K$1316,HLOOKUP(INDIRECT(ADDRESS(2,COLUMN())),OFFSET($T$2,0,0,ROW()-1,14),ROW()-1,FALSE))</x:f>
        <x:v/>
      </x:c>
      <x:c r="L313" t="str">
        <x:f ca="1">IF(AND($B$1012=1,LEN($L$1316)&gt;0),$L$1316,HLOOKUP(INDIRECT(ADDRESS(2,COLUMN())),OFFSET($T$2,0,0,ROW()-1,14),ROW()-1,FALSE))</x:f>
        <x:v/>
      </x:c>
      <x:c r="M313" t="str">
        <x:f ca="1">IF(AND($B$1012=1,LEN($M$1316)&gt;0),$M$1316,HLOOKUP(INDIRECT(ADDRESS(2,COLUMN())),OFFSET($T$2,0,0,ROW()-1,14),ROW()-1,FALSE))</x:f>
        <x:v/>
      </x:c>
      <x:c r="N313" t="str">
        <x:f ca="1">IF(AND($B$1012=1,LEN($N$1316)&gt;0),$N$1316,HLOOKUP(INDIRECT(ADDRESS(2,COLUMN())),OFFSET($T$2,0,0,ROW()-1,14),ROW()-1,FALSE))</x:f>
        <x:v/>
      </x:c>
      <x:c r="O313" t="str">
        <x:f ca="1">IF(AND($B$1012=1,LEN($O$1316)&gt;0),$O$1316,HLOOKUP(INDIRECT(ADDRESS(2,COLUMN())),OFFSET($T$2,0,0,ROW()-1,14),ROW()-1,FALSE))</x:f>
        <x:v/>
      </x:c>
      <x:c r="P313" t="str">
        <x:f ca="1">IF(AND($B$1012=1,LEN($P$1316)&gt;0),$P$1316,HLOOKUP(INDIRECT(ADDRESS(2,COLUMN())),OFFSET($T$2,0,0,ROW()-1,14),ROW()-1,FALSE))</x:f>
        <x:v/>
      </x:c>
      <x:c r="Q313" t="str">
        <x:f ca="1">IF(AND($B$1012=1,LEN($Q$1316)&gt;0),$Q$1316,HLOOKUP(INDIRECT(ADDRESS(2,COLUMN())),OFFSET($T$2,0,0,ROW()-1,14),ROW()-1,FALSE))</x:f>
        <x:v/>
      </x:c>
      <x:c r="R313" t="str">
        <x:f ca="1">IF(AND($B$1012=1,LEN($R$1316)&gt;0),$R$1316,HLOOKUP(INDIRECT(ADDRESS(2,COLUMN())),OFFSET($T$2,0,0,ROW()-1,14),ROW()-1,FALSE))</x:f>
        <x:v/>
      </x:c>
      <x:c r="S313" t="str">
        <x:f ca="1">IF(AND($B$1012=1,LEN($S$1316)&gt;0),$S$1316,HLOOKUP(INDIRECT(ADDRESS(2,COLUMN())),OFFSET($T$2,0,0,ROW()-1,14),ROW()-1,FALSE))</x:f>
        <x:v/>
      </x:c>
      <x:c r="T313" t="str">
        <x:f>""</x:f>
        <x:v/>
      </x:c>
      <x:c r="U313" t="str">
        <x:f>""</x:f>
        <x:v/>
      </x:c>
      <x:c r="V313" t="str">
        <x:f>""</x:f>
        <x:v/>
      </x:c>
      <x:c r="W313" t="str">
        <x:f>""</x:f>
        <x:v/>
      </x:c>
      <x:c r="X313" t="str">
        <x:f>""</x:f>
        <x:v/>
      </x:c>
      <x:c r="Y313" t="str">
        <x:f>""</x:f>
        <x:v/>
      </x:c>
      <x:c r="Z313" t="str">
        <x:f>""</x:f>
        <x:v/>
      </x:c>
      <x:c r="AA313" t="str">
        <x:f>""</x:f>
        <x:v/>
      </x:c>
      <x:c r="AB313" t="str">
        <x:f>""</x:f>
        <x:v/>
      </x:c>
      <x:c r="AC313" t="str">
        <x:f>""</x:f>
        <x:v/>
      </x:c>
      <x:c r="AD313" t="str">
        <x:f>""</x:f>
        <x:v/>
      </x:c>
      <x:c r="AE313" t="str">
        <x:f>""</x:f>
        <x:v/>
      </x:c>
      <x:c r="AF313" t="str">
        <x:f>""</x:f>
        <x:v/>
      </x:c>
      <x:c r="AG313" t="str">
        <x:f>""</x:f>
        <x:v/>
      </x:c>
    </x:row>
    <x:row r="314" spans="1:33" x14ac:dyDescent="0.25">
      <x:c r="A314" t="str">
        <x:f>"        Kraneshares MSCI All China Hea"</x:f>
        <x:v xml:space="preserve">        Kraneshares MSCI All China Hea</x:v>
      </x:c>
      <x:c r="B314" t="str">
        <x:f>"KURE US Equity"</x:f>
        <x:v>KURE US Equity</x:v>
      </x:c>
      <x:c r="E314" t="str">
        <x:f t="shared" si="10"/>
        <x:v>Expression</x:v>
      </x:c>
      <x:c r="F314">
        <x:f ca="1">IF(AND($B$1012=1,LEN($F$1317)&gt;0),$F$1317,HLOOKUP(INDIRECT(ADDRESS(2,COLUMN())),OFFSET($T$2,0,0,ROW()-1,14),ROW()-1,FALSE))</x:f>
        <x:v>-3.7490000000000001</x:v>
      </x:c>
      <x:c r="G314">
        <x:f ca="1">IF(AND($B$1012=1,LEN($G$1317)&gt;0),$G$1317,HLOOKUP(INDIRECT(ADDRESS(2,COLUMN())),OFFSET($T$2,0,0,ROW()-1,14),ROW()-1,FALSE))</x:f>
        <x:v>-2.6970000000000001</x:v>
      </x:c>
      <x:c r="H314">
        <x:f ca="1">IF(AND($B$1012=1,LEN($H$1317)&gt;0),$H$1317,HLOOKUP(INDIRECT(ADDRESS(2,COLUMN())),OFFSET($T$2,0,0,ROW()-1,14),ROW()-1,FALSE))</x:f>
        <x:v>-1.8009999999999999</x:v>
      </x:c>
      <x:c r="I314">
        <x:f ca="1">IF(AND($B$1012=1,LEN($I$1317)&gt;0),$I$1317,HLOOKUP(INDIRECT(ADDRESS(2,COLUMN())),OFFSET($T$2,0,0,ROW()-1,14),ROW()-1,FALSE))</x:f>
        <x:v>-4.3365</x:v>
      </x:c>
      <x:c r="J314">
        <x:f ca="1">IF(AND($B$1012=1,LEN($J$1317)&gt;0),$J$1317,HLOOKUP(INDIRECT(ADDRESS(2,COLUMN())),OFFSET($T$2,0,0,ROW()-1,14),ROW()-1,FALSE))</x:f>
        <x:v>0</x:v>
      </x:c>
      <x:c r="K314">
        <x:f ca="1">IF(AND($B$1012=1,LEN($K$1317)&gt;0),$K$1317,HLOOKUP(INDIRECT(ADDRESS(2,COLUMN())),OFFSET($T$2,0,0,ROW()-1,14),ROW()-1,FALSE))</x:f>
        <x:v>0</x:v>
      </x:c>
      <x:c r="L314">
        <x:f ca="1">IF(AND($B$1012=1,LEN($L$1317)&gt;0),$L$1317,HLOOKUP(INDIRECT(ADDRESS(2,COLUMN())),OFFSET($T$2,0,0,ROW()-1,14),ROW()-1,FALSE))</x:f>
        <x:v>-5.9429999999999996</x:v>
      </x:c>
      <x:c r="M314">
        <x:f ca="1">IF(AND($B$1012=1,LEN($M$1317)&gt;0),$M$1317,HLOOKUP(INDIRECT(ADDRESS(2,COLUMN())),OFFSET($T$2,0,0,ROW()-1,14),ROW()-1,FALSE))</x:f>
        <x:v>-3.2505000000000002</x:v>
      </x:c>
      <x:c r="N314">
        <x:f ca="1">IF(AND($B$1012=1,LEN($N$1317)&gt;0),$N$1317,HLOOKUP(INDIRECT(ADDRESS(2,COLUMN())),OFFSET($T$2,0,0,ROW()-1,14),ROW()-1,FALSE))</x:f>
        <x:v>0</x:v>
      </x:c>
      <x:c r="O314">
        <x:f ca="1">IF(AND($B$1012=1,LEN($O$1317)&gt;0),$O$1317,HLOOKUP(INDIRECT(ADDRESS(2,COLUMN())),OFFSET($T$2,0,0,ROW()-1,14),ROW()-1,FALSE))</x:f>
        <x:v>0</x:v>
      </x:c>
      <x:c r="P314">
        <x:f ca="1">IF(AND($B$1012=1,LEN($P$1317)&gt;0),$P$1317,HLOOKUP(INDIRECT(ADDRESS(2,COLUMN())),OFFSET($T$2,0,0,ROW()-1,14),ROW()-1,FALSE))</x:f>
        <x:v>-8.2270000000000003</x:v>
      </x:c>
      <x:c r="Q314">
        <x:f ca="1">IF(AND($B$1012=1,LEN($Q$1317)&gt;0),$Q$1317,HLOOKUP(INDIRECT(ADDRESS(2,COLUMN())),OFFSET($T$2,0,0,ROW()-1,14),ROW()-1,FALSE))</x:f>
        <x:v>4.298</x:v>
      </x:c>
      <x:c r="R314">
        <x:f ca="1">IF(AND($B$1012=1,LEN($R$1317)&gt;0),$R$1317,HLOOKUP(INDIRECT(ADDRESS(2,COLUMN())),OFFSET($T$2,0,0,ROW()-1,14),ROW()-1,FALSE))</x:f>
        <x:v>-2.0190000000000001</x:v>
      </x:c>
      <x:c r="S314">
        <x:f ca="1">IF(AND($B$1012=1,LEN($S$1317)&gt;0),$S$1317,HLOOKUP(INDIRECT(ADDRESS(2,COLUMN())),OFFSET($T$2,0,0,ROW()-1,14),ROW()-1,FALSE))</x:f>
        <x:v>-3.589</x:v>
      </x:c>
      <x:c r="T314">
        <x:f>-3.749</x:f>
        <x:v>-3.7490000000000001</x:v>
      </x:c>
      <x:c r="U314">
        <x:f>-2.697</x:f>
        <x:v>-2.6970000000000001</x:v>
      </x:c>
      <x:c r="V314">
        <x:f>-1.801</x:f>
        <x:v>-1.8009999999999999</x:v>
      </x:c>
      <x:c r="W314">
        <x:f>-4.3365</x:f>
        <x:v>-4.3365</x:v>
      </x:c>
      <x:c r="X314">
        <x:f>0</x:f>
        <x:v>0</x:v>
      </x:c>
      <x:c r="Y314">
        <x:f>0</x:f>
        <x:v>0</x:v>
      </x:c>
      <x:c r="Z314">
        <x:f>-5.943</x:f>
        <x:v>-5.9429999999999996</x:v>
      </x:c>
      <x:c r="AA314">
        <x:f>-3.2505</x:f>
        <x:v>-3.2505000000000002</x:v>
      </x:c>
      <x:c r="AB314">
        <x:f>0</x:f>
        <x:v>0</x:v>
      </x:c>
      <x:c r="AC314">
        <x:f>0</x:f>
        <x:v>0</x:v>
      </x:c>
      <x:c r="AD314">
        <x:f>-8.227</x:f>
        <x:v>-8.2270000000000003</x:v>
      </x:c>
      <x:c r="AE314">
        <x:f>4.298</x:f>
        <x:v>4.298</x:v>
      </x:c>
      <x:c r="AF314">
        <x:f>-2.019</x:f>
        <x:v>-2.0190000000000001</x:v>
      </x:c>
      <x:c r="AG314">
        <x:f>-3.589</x:f>
        <x:v>-3.589</x:v>
      </x:c>
    </x:row>
    <x:row r="315" spans="1:33" x14ac:dyDescent="0.25">
      <x:c r="A315" t="str">
        <x:f>"        Direxion Daily Pharmaceutical"</x:f>
        <x:v xml:space="preserve">        Direxion Daily Pharmaceutical</x:v>
      </x:c>
      <x:c r="B315" t="str">
        <x:f>"PILL US Equity"</x:f>
        <x:v>PILL US Equity</x:v>
      </x:c>
      <x:c r="E315" t="str">
        <x:f t="shared" si="10"/>
        <x:v>Expression</x:v>
      </x:c>
      <x:c r="F315">
        <x:f ca="1">IF(AND($B$1012=1,LEN($F$1318)&gt;0),$F$1318,HLOOKUP(INDIRECT(ADDRESS(2,COLUMN())),OFFSET($T$2,0,0,ROW()-1,14),ROW()-1,FALSE))</x:f>
        <x:v>0.78651499999999996</x:v>
      </x:c>
      <x:c r="G315">
        <x:f ca="1">IF(AND($B$1012=1,LEN($G$1318)&gt;0),$G$1318,HLOOKUP(INDIRECT(ADDRESS(2,COLUMN())),OFFSET($T$2,0,0,ROW()-1,14),ROW()-1,FALSE))</x:f>
        <x:v>1.180769</x:v>
      </x:c>
      <x:c r="H315">
        <x:f ca="1">IF(AND($B$1012=1,LEN($H$1318)&gt;0),$H$1318,HLOOKUP(INDIRECT(ADDRESS(2,COLUMN())),OFFSET($T$2,0,0,ROW()-1,14),ROW()-1,FALSE))</x:f>
        <x:v>0.64273199999999997</x:v>
      </x:c>
      <x:c r="I315">
        <x:f ca="1">IF(AND($B$1012=1,LEN($I$1318)&gt;0),$I$1318,HLOOKUP(INDIRECT(ADDRESS(2,COLUMN())),OFFSET($T$2,0,0,ROW()-1,14),ROW()-1,FALSE))</x:f>
        <x:v>0.45893600000000001</x:v>
      </x:c>
      <x:c r="J315">
        <x:f ca="1">IF(AND($B$1012=1,LEN($J$1318)&gt;0),$J$1318,HLOOKUP(INDIRECT(ADDRESS(2,COLUMN())),OFFSET($T$2,0,0,ROW()-1,14),ROW()-1,FALSE))</x:f>
        <x:v>0.40593600000000002</x:v>
      </x:c>
      <x:c r="K315">
        <x:f ca="1">IF(AND($B$1012=1,LEN($K$1318)&gt;0),$K$1318,HLOOKUP(INDIRECT(ADDRESS(2,COLUMN())),OFFSET($T$2,0,0,ROW()-1,14),ROW()-1,FALSE))</x:f>
        <x:v>0.411574</x:v>
      </x:c>
      <x:c r="L315">
        <x:f ca="1">IF(AND($B$1012=1,LEN($L$1318)&gt;0),$L$1318,HLOOKUP(INDIRECT(ADDRESS(2,COLUMN())),OFFSET($T$2,0,0,ROW()-1,14),ROW()-1,FALSE))</x:f>
        <x:v>0.73570899999999995</x:v>
      </x:c>
      <x:c r="M315">
        <x:f ca="1">IF(AND($B$1012=1,LEN($M$1318)&gt;0),$M$1318,HLOOKUP(INDIRECT(ADDRESS(2,COLUMN())),OFFSET($T$2,0,0,ROW()-1,14),ROW()-1,FALSE))</x:f>
        <x:v>0</x:v>
      </x:c>
      <x:c r="N315">
        <x:f ca="1">IF(AND($B$1012=1,LEN($N$1318)&gt;0),$N$1318,HLOOKUP(INDIRECT(ADDRESS(2,COLUMN())),OFFSET($T$2,0,0,ROW()-1,14),ROW()-1,FALSE))</x:f>
        <x:v>0</x:v>
      </x:c>
      <x:c r="O315">
        <x:f ca="1">IF(AND($B$1012=1,LEN($O$1318)&gt;0),$O$1318,HLOOKUP(INDIRECT(ADDRESS(2,COLUMN())),OFFSET($T$2,0,0,ROW()-1,14),ROW()-1,FALSE))</x:f>
        <x:v>0</x:v>
      </x:c>
      <x:c r="P315">
        <x:f ca="1">IF(AND($B$1012=1,LEN($P$1318)&gt;0),$P$1318,HLOOKUP(INDIRECT(ADDRESS(2,COLUMN())),OFFSET($T$2,0,0,ROW()-1,14),ROW()-1,FALSE))</x:f>
        <x:v>-0.48066700000000001</x:v>
      </x:c>
      <x:c r="Q315">
        <x:f ca="1">IF(AND($B$1012=1,LEN($Q$1318)&gt;0),$Q$1318,HLOOKUP(INDIRECT(ADDRESS(2,COLUMN())),OFFSET($T$2,0,0,ROW()-1,14),ROW()-1,FALSE))</x:f>
        <x:v>0</x:v>
      </x:c>
      <x:c r="R315">
        <x:f ca="1">IF(AND($B$1012=1,LEN($R$1318)&gt;0),$R$1318,HLOOKUP(INDIRECT(ADDRESS(2,COLUMN())),OFFSET($T$2,0,0,ROW()-1,14),ROW()-1,FALSE))</x:f>
        <x:v>0</x:v>
      </x:c>
      <x:c r="S315">
        <x:f ca="1">IF(AND($B$1012=1,LEN($S$1318)&gt;0),$S$1318,HLOOKUP(INDIRECT(ADDRESS(2,COLUMN())),OFFSET($T$2,0,0,ROW()-1,14),ROW()-1,FALSE))</x:f>
        <x:v>-3.1469999999999998E-2</x:v>
      </x:c>
      <x:c r="T315">
        <x:f>0.786515</x:f>
        <x:v>0.78651499999999996</x:v>
      </x:c>
      <x:c r="U315">
        <x:f>1.180769</x:f>
        <x:v>1.180769</x:v>
      </x:c>
      <x:c r="V315">
        <x:f>0.642732</x:f>
        <x:v>0.64273199999999997</x:v>
      </x:c>
      <x:c r="W315">
        <x:f>0.458936</x:f>
        <x:v>0.45893600000000001</x:v>
      </x:c>
      <x:c r="X315">
        <x:f>0.405936</x:f>
        <x:v>0.40593600000000002</x:v>
      </x:c>
      <x:c r="Y315">
        <x:f>0.411574</x:f>
        <x:v>0.411574</x:v>
      </x:c>
      <x:c r="Z315">
        <x:f>0.735709</x:f>
        <x:v>0.73570899999999995</x:v>
      </x:c>
      <x:c r="AA315">
        <x:f>0</x:f>
        <x:v>0</x:v>
      </x:c>
      <x:c r="AB315">
        <x:f>0</x:f>
        <x:v>0</x:v>
      </x:c>
      <x:c r="AC315">
        <x:f>0</x:f>
        <x:v>0</x:v>
      </x:c>
      <x:c r="AD315">
        <x:f>-0.480667</x:f>
        <x:v>-0.48066700000000001</x:v>
      </x:c>
      <x:c r="AE315">
        <x:f>0</x:f>
        <x:v>0</x:v>
      </x:c>
      <x:c r="AF315">
        <x:f>0</x:f>
        <x:v>0</x:v>
      </x:c>
      <x:c r="AG315">
        <x:f>-0.03147</x:f>
        <x:v>-3.1469999999999998E-2</x:v>
      </x:c>
    </x:row>
    <x:row r="316" spans="1:33" x14ac:dyDescent="0.25">
      <x:c r="A316" t="str">
        <x:f>"        Loncar China Biopharma ETF"</x:f>
        <x:v xml:space="preserve">        Loncar China Biopharma ETF</x:v>
      </x:c>
      <x:c r="B316" t="str">
        <x:f>"CHNA US Equity"</x:f>
        <x:v>CHNA US Equity</x:v>
      </x:c>
      <x:c r="E316" t="str">
        <x:f t="shared" si="10"/>
        <x:v>Expression</x:v>
      </x:c>
      <x:c r="F316" t="str">
        <x:f ca="1">IF(AND($B$1012=1,LEN($F$1319)&gt;0),$F$1319,HLOOKUP(INDIRECT(ADDRESS(2,COLUMN())),OFFSET($T$2,0,0,ROW()-1,14),ROW()-1,FALSE))</x:f>
        <x:v/>
      </x:c>
      <x:c r="G316">
        <x:f ca="1">IF(AND($B$1012=1,LEN($G$1319)&gt;0),$G$1319,HLOOKUP(INDIRECT(ADDRESS(2,COLUMN())),OFFSET($T$2,0,0,ROW()-1,14),ROW()-1,FALSE))</x:f>
        <x:v>0</x:v>
      </x:c>
      <x:c r="H316">
        <x:f ca="1">IF(AND($B$1012=1,LEN($H$1319)&gt;0),$H$1319,HLOOKUP(INDIRECT(ADDRESS(2,COLUMN())),OFFSET($T$2,0,0,ROW()-1,14),ROW()-1,FALSE))</x:f>
        <x:v>0</x:v>
      </x:c>
      <x:c r="I316">
        <x:f ca="1">IF(AND($B$1012=1,LEN($I$1319)&gt;0),$I$1319,HLOOKUP(INDIRECT(ADDRESS(2,COLUMN())),OFFSET($T$2,0,0,ROW()-1,14),ROW()-1,FALSE))</x:f>
        <x:v>0</x:v>
      </x:c>
      <x:c r="J316">
        <x:f ca="1">IF(AND($B$1012=1,LEN($J$1319)&gt;0),$J$1319,HLOOKUP(INDIRECT(ADDRESS(2,COLUMN())),OFFSET($T$2,0,0,ROW()-1,14),ROW()-1,FALSE))</x:f>
        <x:v>0</x:v>
      </x:c>
      <x:c r="K316">
        <x:f ca="1">IF(AND($B$1012=1,LEN($K$1319)&gt;0),$K$1319,HLOOKUP(INDIRECT(ADDRESS(2,COLUMN())),OFFSET($T$2,0,0,ROW()-1,14),ROW()-1,FALSE))</x:f>
        <x:v>0</x:v>
      </x:c>
      <x:c r="L316">
        <x:f ca="1">IF(AND($B$1012=1,LEN($L$1319)&gt;0),$L$1319,HLOOKUP(INDIRECT(ADDRESS(2,COLUMN())),OFFSET($T$2,0,0,ROW()-1,14),ROW()-1,FALSE))</x:f>
        <x:v>0</x:v>
      </x:c>
      <x:c r="M316">
        <x:f ca="1">IF(AND($B$1012=1,LEN($M$1319)&gt;0),$M$1319,HLOOKUP(INDIRECT(ADDRESS(2,COLUMN())),OFFSET($T$2,0,0,ROW()-1,14),ROW()-1,FALSE))</x:f>
        <x:v>0</x:v>
      </x:c>
      <x:c r="N316">
        <x:f ca="1">IF(AND($B$1012=1,LEN($N$1319)&gt;0),$N$1319,HLOOKUP(INDIRECT(ADDRESS(2,COLUMN())),OFFSET($T$2,0,0,ROW()-1,14),ROW()-1,FALSE))</x:f>
        <x:v>-0.45667999999999997</x:v>
      </x:c>
      <x:c r="O316">
        <x:f ca="1">IF(AND($B$1012=1,LEN($O$1319)&gt;0),$O$1319,HLOOKUP(INDIRECT(ADDRESS(2,COLUMN())),OFFSET($T$2,0,0,ROW()-1,14),ROW()-1,FALSE))</x:f>
        <x:v>0</x:v>
      </x:c>
      <x:c r="P316">
        <x:f ca="1">IF(AND($B$1012=1,LEN($P$1319)&gt;0),$P$1319,HLOOKUP(INDIRECT(ADDRESS(2,COLUMN())),OFFSET($T$2,0,0,ROW()-1,14),ROW()-1,FALSE))</x:f>
        <x:v>0</x:v>
      </x:c>
      <x:c r="Q316">
        <x:f ca="1">IF(AND($B$1012=1,LEN($Q$1319)&gt;0),$Q$1319,HLOOKUP(INDIRECT(ADDRESS(2,COLUMN())),OFFSET($T$2,0,0,ROW()-1,14),ROW()-1,FALSE))</x:f>
        <x:v>0</x:v>
      </x:c>
      <x:c r="R316">
        <x:f ca="1">IF(AND($B$1012=1,LEN($R$1319)&gt;0),$R$1319,HLOOKUP(INDIRECT(ADDRESS(2,COLUMN())),OFFSET($T$2,0,0,ROW()-1,14),ROW()-1,FALSE))</x:f>
        <x:v>0</x:v>
      </x:c>
      <x:c r="S316">
        <x:f ca="1">IF(AND($B$1012=1,LEN($S$1319)&gt;0),$S$1319,HLOOKUP(INDIRECT(ADDRESS(2,COLUMN())),OFFSET($T$2,0,0,ROW()-1,14),ROW()-1,FALSE))</x:f>
        <x:v>0</x:v>
      </x:c>
      <x:c r="T316" t="str">
        <x:f>""</x:f>
        <x:v/>
      </x:c>
      <x:c r="U316">
        <x:f>0</x:f>
        <x:v>0</x:v>
      </x:c>
      <x:c r="V316">
        <x:f>0</x:f>
        <x:v>0</x:v>
      </x:c>
      <x:c r="W316">
        <x:f>0</x:f>
        <x:v>0</x:v>
      </x:c>
      <x:c r="X316">
        <x:f>0</x:f>
        <x:v>0</x:v>
      </x:c>
      <x:c r="Y316">
        <x:f>0</x:f>
        <x:v>0</x:v>
      </x:c>
      <x:c r="Z316">
        <x:f>0</x:f>
        <x:v>0</x:v>
      </x:c>
      <x:c r="AA316">
        <x:f>0</x:f>
        <x:v>0</x:v>
      </x:c>
      <x:c r="AB316">
        <x:f>-0.45668</x:f>
        <x:v>-0.45667999999999997</x:v>
      </x:c>
      <x:c r="AC316">
        <x:f>0</x:f>
        <x:v>0</x:v>
      </x:c>
      <x:c r="AD316">
        <x:f>0</x:f>
        <x:v>0</x:v>
      </x:c>
      <x:c r="AE316">
        <x:f>0</x:f>
        <x:v>0</x:v>
      </x:c>
      <x:c r="AF316">
        <x:f>0</x:f>
        <x:v>0</x:v>
      </x:c>
      <x:c r="AG316">
        <x:f>0</x:f>
        <x:v>0</x:v>
      </x:c>
    </x:row>
    <x:row r="317" spans="1:33" x14ac:dyDescent="0.25">
      <x:c r="A317" t="str">
        <x:f>"        KraneShares Emerging Markets H"</x:f>
        <x:v xml:space="preserve">        KraneShares Emerging Markets H</x:v>
      </x:c>
      <x:c r="B317" t="str">
        <x:f>"KMED US Equity"</x:f>
        <x:v>KMED US Equity</x:v>
      </x:c>
      <x:c r="E317" t="str">
        <x:f t="shared" si="10"/>
        <x:v>Expression</x:v>
      </x:c>
      <x:c r="F317" t="str">
        <x:f ca="1">IF(AND($B$1012=1,LEN($F$1320)&gt;0),$F$1320,HLOOKUP(INDIRECT(ADDRESS(2,COLUMN())),OFFSET($T$2,0,0,ROW()-1,14),ROW()-1,FALSE))</x:f>
        <x:v/>
      </x:c>
      <x:c r="G317">
        <x:f ca="1">IF(AND($B$1012=1,LEN($G$1320)&gt;0),$G$1320,HLOOKUP(INDIRECT(ADDRESS(2,COLUMN())),OFFSET($T$2,0,0,ROW()-1,14),ROW()-1,FALSE))</x:f>
        <x:v>0</x:v>
      </x:c>
      <x:c r="H317">
        <x:f ca="1">IF(AND($B$1012=1,LEN($H$1320)&gt;0),$H$1320,HLOOKUP(INDIRECT(ADDRESS(2,COLUMN())),OFFSET($T$2,0,0,ROW()-1,14),ROW()-1,FALSE))</x:f>
        <x:v>0</x:v>
      </x:c>
      <x:c r="I317">
        <x:f ca="1">IF(AND($B$1012=1,LEN($I$1320)&gt;0),$I$1320,HLOOKUP(INDIRECT(ADDRESS(2,COLUMN())),OFFSET($T$2,0,0,ROW()-1,14),ROW()-1,FALSE))</x:f>
        <x:v>0</x:v>
      </x:c>
      <x:c r="J317">
        <x:f ca="1">IF(AND($B$1012=1,LEN($J$1320)&gt;0),$J$1320,HLOOKUP(INDIRECT(ADDRESS(2,COLUMN())),OFFSET($T$2,0,0,ROW()-1,14),ROW()-1,FALSE))</x:f>
        <x:v>0</x:v>
      </x:c>
      <x:c r="K317">
        <x:f ca="1">IF(AND($B$1012=1,LEN($K$1320)&gt;0),$K$1320,HLOOKUP(INDIRECT(ADDRESS(2,COLUMN())),OFFSET($T$2,0,0,ROW()-1,14),ROW()-1,FALSE))</x:f>
        <x:v>0</x:v>
      </x:c>
      <x:c r="L317">
        <x:f ca="1">IF(AND($B$1012=1,LEN($L$1320)&gt;0),$L$1320,HLOOKUP(INDIRECT(ADDRESS(2,COLUMN())),OFFSET($T$2,0,0,ROW()-1,14),ROW()-1,FALSE))</x:f>
        <x:v>0</x:v>
      </x:c>
      <x:c r="M317">
        <x:f ca="1">IF(AND($B$1012=1,LEN($M$1320)&gt;0),$M$1320,HLOOKUP(INDIRECT(ADDRESS(2,COLUMN())),OFFSET($T$2,0,0,ROW()-1,14),ROW()-1,FALSE))</x:f>
        <x:v>0</x:v>
      </x:c>
      <x:c r="N317">
        <x:f ca="1">IF(AND($B$1012=1,LEN($N$1320)&gt;0),$N$1320,HLOOKUP(INDIRECT(ADDRESS(2,COLUMN())),OFFSET($T$2,0,0,ROW()-1,14),ROW()-1,FALSE))</x:f>
        <x:v>0</x:v>
      </x:c>
      <x:c r="O317">
        <x:f ca="1">IF(AND($B$1012=1,LEN($O$1320)&gt;0),$O$1320,HLOOKUP(INDIRECT(ADDRESS(2,COLUMN())),OFFSET($T$2,0,0,ROW()-1,14),ROW()-1,FALSE))</x:f>
        <x:v>0</x:v>
      </x:c>
      <x:c r="P317">
        <x:f ca="1">IF(AND($B$1012=1,LEN($P$1320)&gt;0),$P$1320,HLOOKUP(INDIRECT(ADDRESS(2,COLUMN())),OFFSET($T$2,0,0,ROW()-1,14),ROW()-1,FALSE))</x:f>
        <x:v>0</x:v>
      </x:c>
      <x:c r="Q317">
        <x:f ca="1">IF(AND($B$1012=1,LEN($Q$1320)&gt;0),$Q$1320,HLOOKUP(INDIRECT(ADDRESS(2,COLUMN())),OFFSET($T$2,0,0,ROW()-1,14),ROW()-1,FALSE))</x:f>
        <x:v>0</x:v>
      </x:c>
      <x:c r="R317">
        <x:f ca="1">IF(AND($B$1012=1,LEN($R$1320)&gt;0),$R$1320,HLOOKUP(INDIRECT(ADDRESS(2,COLUMN())),OFFSET($T$2,0,0,ROW()-1,14),ROW()-1,FALSE))</x:f>
        <x:v>0</x:v>
      </x:c>
      <x:c r="S317">
        <x:f ca="1">IF(AND($B$1012=1,LEN($S$1320)&gt;0),$S$1320,HLOOKUP(INDIRECT(ADDRESS(2,COLUMN())),OFFSET($T$2,0,0,ROW()-1,14),ROW()-1,FALSE))</x:f>
        <x:v>0</x:v>
      </x:c>
      <x:c r="T317" t="str">
        <x:f>""</x:f>
        <x:v/>
      </x:c>
      <x:c r="U317">
        <x:f>0</x:f>
        <x:v>0</x:v>
      </x:c>
      <x:c r="V317">
        <x:f>0</x:f>
        <x:v>0</x:v>
      </x:c>
      <x:c r="W317">
        <x:f>0</x:f>
        <x:v>0</x:v>
      </x:c>
      <x:c r="X317">
        <x:f>0</x:f>
        <x:v>0</x:v>
      </x:c>
      <x:c r="Y317">
        <x:f>0</x:f>
        <x:v>0</x:v>
      </x:c>
      <x:c r="Z317">
        <x:f>0</x:f>
        <x:v>0</x:v>
      </x:c>
      <x:c r="AA317">
        <x:f>0</x:f>
        <x:v>0</x:v>
      </x:c>
      <x:c r="AB317">
        <x:f>0</x:f>
        <x:v>0</x:v>
      </x:c>
      <x:c r="AC317">
        <x:f>0</x:f>
        <x:v>0</x:v>
      </x:c>
      <x:c r="AD317">
        <x:f>0</x:f>
        <x:v>0</x:v>
      </x:c>
      <x:c r="AE317">
        <x:f>0</x:f>
        <x:v>0</x:v>
      </x:c>
      <x:c r="AF317">
        <x:f>0</x:f>
        <x:v>0</x:v>
      </x:c>
      <x:c r="AG317">
        <x:f>0</x:f>
        <x:v>0</x:v>
      </x:c>
    </x:row>
    <x:row r="318" spans="1:33" x14ac:dyDescent="0.25">
      <x:c r="A318" t="str">
        <x:f>"        Global X MSCI China Health Car"</x:f>
        <x:v xml:space="preserve">        Global X MSCI China Health Car</x:v>
      </x:c>
      <x:c r="B318" t="str">
        <x:f>"CHIH US Equity"</x:f>
        <x:v>CHIH US Equity</x:v>
      </x:c>
      <x:c r="E318" t="str">
        <x:f t="shared" si="10"/>
        <x:v>Expression</x:v>
      </x:c>
      <x:c r="F318">
        <x:f ca="1">IF(AND($B$1012=1,LEN($F$1321)&gt;0),$F$1321,HLOOKUP(INDIRECT(ADDRESS(2,COLUMN())),OFFSET($T$2,0,0,ROW()-1,14),ROW()-1,FALSE))</x:f>
        <x:v>0</x:v>
      </x:c>
      <x:c r="G318">
        <x:f ca="1">IF(AND($B$1012=1,LEN($G$1321)&gt;0),$G$1321,HLOOKUP(INDIRECT(ADDRESS(2,COLUMN())),OFFSET($T$2,0,0,ROW()-1,14),ROW()-1,FALSE))</x:f>
        <x:v>0</x:v>
      </x:c>
      <x:c r="H318">
        <x:f ca="1">IF(AND($B$1012=1,LEN($H$1321)&gt;0),$H$1321,HLOOKUP(INDIRECT(ADDRESS(2,COLUMN())),OFFSET($T$2,0,0,ROW()-1,14),ROW()-1,FALSE))</x:f>
        <x:v>0</x:v>
      </x:c>
      <x:c r="I318">
        <x:f ca="1">IF(AND($B$1012=1,LEN($I$1321)&gt;0),$I$1321,HLOOKUP(INDIRECT(ADDRESS(2,COLUMN())),OFFSET($T$2,0,0,ROW()-1,14),ROW()-1,FALSE))</x:f>
        <x:v>-0.1396</x:v>
      </x:c>
      <x:c r="J318">
        <x:f ca="1">IF(AND($B$1012=1,LEN($J$1321)&gt;0),$J$1321,HLOOKUP(INDIRECT(ADDRESS(2,COLUMN())),OFFSET($T$2,0,0,ROW()-1,14),ROW()-1,FALSE))</x:f>
        <x:v>1.2861</x:v>
      </x:c>
      <x:c r="K318">
        <x:f ca="1">IF(AND($B$1012=1,LEN($K$1321)&gt;0),$K$1321,HLOOKUP(INDIRECT(ADDRESS(2,COLUMN())),OFFSET($T$2,0,0,ROW()-1,14),ROW()-1,FALSE))</x:f>
        <x:v>0</x:v>
      </x:c>
      <x:c r="L318">
        <x:f ca="1">IF(AND($B$1012=1,LEN($L$1321)&gt;0),$L$1321,HLOOKUP(INDIRECT(ADDRESS(2,COLUMN())),OFFSET($T$2,0,0,ROW()-1,14),ROW()-1,FALSE))</x:f>
        <x:v>0</x:v>
      </x:c>
      <x:c r="M318">
        <x:f ca="1">IF(AND($B$1012=1,LEN($M$1321)&gt;0),$M$1321,HLOOKUP(INDIRECT(ADDRESS(2,COLUMN())),OFFSET($T$2,0,0,ROW()-1,14),ROW()-1,FALSE))</x:f>
        <x:v>-1.0077</x:v>
      </x:c>
      <x:c r="N318">
        <x:f ca="1">IF(AND($B$1012=1,LEN($N$1321)&gt;0),$N$1321,HLOOKUP(INDIRECT(ADDRESS(2,COLUMN())),OFFSET($T$2,0,0,ROW()-1,14),ROW()-1,FALSE))</x:f>
        <x:v>0</x:v>
      </x:c>
      <x:c r="O318">
        <x:f ca="1">IF(AND($B$1012=1,LEN($O$1321)&gt;0),$O$1321,HLOOKUP(INDIRECT(ADDRESS(2,COLUMN())),OFFSET($T$2,0,0,ROW()-1,14),ROW()-1,FALSE))</x:f>
        <x:v>0</x:v>
      </x:c>
      <x:c r="P318">
        <x:f ca="1">IF(AND($B$1012=1,LEN($P$1321)&gt;0),$P$1321,HLOOKUP(INDIRECT(ADDRESS(2,COLUMN())),OFFSET($T$2,0,0,ROW()-1,14),ROW()-1,FALSE))</x:f>
        <x:v>0</x:v>
      </x:c>
      <x:c r="Q318">
        <x:f ca="1">IF(AND($B$1012=1,LEN($Q$1321)&gt;0),$Q$1321,HLOOKUP(INDIRECT(ADDRESS(2,COLUMN())),OFFSET($T$2,0,0,ROW()-1,14),ROW()-1,FALSE))</x:f>
        <x:v>0</x:v>
      </x:c>
      <x:c r="R318">
        <x:f ca="1">IF(AND($B$1012=1,LEN($R$1321)&gt;0),$R$1321,HLOOKUP(INDIRECT(ADDRESS(2,COLUMN())),OFFSET($T$2,0,0,ROW()-1,14),ROW()-1,FALSE))</x:f>
        <x:v>0</x:v>
      </x:c>
      <x:c r="S318">
        <x:f ca="1">IF(AND($B$1012=1,LEN($S$1321)&gt;0),$S$1321,HLOOKUP(INDIRECT(ADDRESS(2,COLUMN())),OFFSET($T$2,0,0,ROW()-1,14),ROW()-1,FALSE))</x:f>
        <x:v>0</x:v>
      </x:c>
      <x:c r="T318">
        <x:f>0</x:f>
        <x:v>0</x:v>
      </x:c>
      <x:c r="U318">
        <x:f>0</x:f>
        <x:v>0</x:v>
      </x:c>
      <x:c r="V318">
        <x:f>0</x:f>
        <x:v>0</x:v>
      </x:c>
      <x:c r="W318">
        <x:f>-0.1396</x:f>
        <x:v>-0.1396</x:v>
      </x:c>
      <x:c r="X318">
        <x:f>1.2861</x:f>
        <x:v>1.2861</x:v>
      </x:c>
      <x:c r="Y318">
        <x:f>0</x:f>
        <x:v>0</x:v>
      </x:c>
      <x:c r="Z318">
        <x:f>0</x:f>
        <x:v>0</x:v>
      </x:c>
      <x:c r="AA318">
        <x:f>-1.0077</x:f>
        <x:v>-1.0077</x:v>
      </x:c>
      <x:c r="AB318">
        <x:f>0</x:f>
        <x:v>0</x:v>
      </x:c>
      <x:c r="AC318">
        <x:f>0</x:f>
        <x:v>0</x:v>
      </x:c>
      <x:c r="AD318">
        <x:f>0</x:f>
        <x:v>0</x:v>
      </x:c>
      <x:c r="AE318">
        <x:f>0</x:f>
        <x:v>0</x:v>
      </x:c>
      <x:c r="AF318">
        <x:f>0</x:f>
        <x:v>0</x:v>
      </x:c>
      <x:c r="AG318">
        <x:f>0</x:f>
        <x:v>0</x:v>
      </x:c>
    </x:row>
    <x:row r="319" spans="1:33" x14ac:dyDescent="0.25">
      <x:c r="A319" t="str">
        <x:f>"        ROBO Global R Healthcare Techn"</x:f>
        <x:v xml:space="preserve">        ROBO Global R Healthcare Techn</x:v>
      </x:c>
      <x:c r="B319" t="str">
        <x:f>"HTEC US Equity"</x:f>
        <x:v>HTEC US Equity</x:v>
      </x:c>
      <x:c r="E319" t="str">
        <x:f t="shared" si="10"/>
        <x:v>Expression</x:v>
      </x:c>
      <x:c r="F319">
        <x:f ca="1">IF(AND($B$1012=1,LEN($F$1322)&gt;0),$F$1322,HLOOKUP(INDIRECT(ADDRESS(2,COLUMN())),OFFSET($T$2,0,0,ROW()-1,14),ROW()-1,FALSE))</x:f>
        <x:v>0</x:v>
      </x:c>
      <x:c r="G319">
        <x:f ca="1">IF(AND($B$1012=1,LEN($G$1322)&gt;0),$G$1322,HLOOKUP(INDIRECT(ADDRESS(2,COLUMN())),OFFSET($T$2,0,0,ROW()-1,14),ROW()-1,FALSE))</x:f>
        <x:v>-0.584511</x:v>
      </x:c>
      <x:c r="H319">
        <x:f ca="1">IF(AND($B$1012=1,LEN($H$1322)&gt;0),$H$1322,HLOOKUP(INDIRECT(ADDRESS(2,COLUMN())),OFFSET($T$2,0,0,ROW()-1,14),ROW()-1,FALSE))</x:f>
        <x:v>-12.37373</x:v>
      </x:c>
      <x:c r="I319">
        <x:f ca="1">IF(AND($B$1012=1,LEN($I$1322)&gt;0),$I$1322,HLOOKUP(INDIRECT(ADDRESS(2,COLUMN())),OFFSET($T$2,0,0,ROW()-1,14),ROW()-1,FALSE))</x:f>
        <x:v>0</x:v>
      </x:c>
      <x:c r="J319">
        <x:f ca="1">IF(AND($B$1012=1,LEN($J$1322)&gt;0),$J$1322,HLOOKUP(INDIRECT(ADDRESS(2,COLUMN())),OFFSET($T$2,0,0,ROW()-1,14),ROW()-1,FALSE))</x:f>
        <x:v>0</x:v>
      </x:c>
      <x:c r="K319">
        <x:f ca="1">IF(AND($B$1012=1,LEN($K$1322)&gt;0),$K$1322,HLOOKUP(INDIRECT(ADDRESS(2,COLUMN())),OFFSET($T$2,0,0,ROW()-1,14),ROW()-1,FALSE))</x:f>
        <x:v>-4.5544599999999997</x:v>
      </x:c>
      <x:c r="L319">
        <x:f ca="1">IF(AND($B$1012=1,LEN($L$1322)&gt;0),$L$1322,HLOOKUP(INDIRECT(ADDRESS(2,COLUMN())),OFFSET($T$2,0,0,ROW()-1,14),ROW()-1,FALSE))</x:f>
        <x:v>0</x:v>
      </x:c>
      <x:c r="M319">
        <x:f ca="1">IF(AND($B$1012=1,LEN($M$1322)&gt;0),$M$1322,HLOOKUP(INDIRECT(ADDRESS(2,COLUMN())),OFFSET($T$2,0,0,ROW()-1,14),ROW()-1,FALSE))</x:f>
        <x:v>-5.3235340000000004</x:v>
      </x:c>
      <x:c r="N319">
        <x:f ca="1">IF(AND($B$1012=1,LEN($N$1322)&gt;0),$N$1322,HLOOKUP(INDIRECT(ADDRESS(2,COLUMN())),OFFSET($T$2,0,0,ROW()-1,14),ROW()-1,FALSE))</x:f>
        <x:v>-5.7629210000000004</x:v>
      </x:c>
      <x:c r="O319">
        <x:f ca="1">IF(AND($B$1012=1,LEN($O$1322)&gt;0),$O$1322,HLOOKUP(INDIRECT(ADDRESS(2,COLUMN())),OFFSET($T$2,0,0,ROW()-1,14),ROW()-1,FALSE))</x:f>
        <x:v>0</x:v>
      </x:c>
      <x:c r="P319">
        <x:f ca="1">IF(AND($B$1012=1,LEN($P$1322)&gt;0),$P$1322,HLOOKUP(INDIRECT(ADDRESS(2,COLUMN())),OFFSET($T$2,0,0,ROW()-1,14),ROW()-1,FALSE))</x:f>
        <x:v>2.9523700000000002</x:v>
      </x:c>
      <x:c r="Q319">
        <x:f ca="1">IF(AND($B$1012=1,LEN($Q$1322)&gt;0),$Q$1322,HLOOKUP(INDIRECT(ADDRESS(2,COLUMN())),OFFSET($T$2,0,0,ROW()-1,14),ROW()-1,FALSE))</x:f>
        <x:v>0.74090599999999995</x:v>
      </x:c>
      <x:c r="R319">
        <x:f ca="1">IF(AND($B$1012=1,LEN($R$1322)&gt;0),$R$1322,HLOOKUP(INDIRECT(ADDRESS(2,COLUMN())),OFFSET($T$2,0,0,ROW()-1,14),ROW()-1,FALSE))</x:f>
        <x:v>0</x:v>
      </x:c>
      <x:c r="S319">
        <x:f ca="1">IF(AND($B$1012=1,LEN($S$1322)&gt;0),$S$1322,HLOOKUP(INDIRECT(ADDRESS(2,COLUMN())),OFFSET($T$2,0,0,ROW()-1,14),ROW()-1,FALSE))</x:f>
        <x:v>-2.8477380000000001</x:v>
      </x:c>
      <x:c r="T319">
        <x:f>0</x:f>
        <x:v>0</x:v>
      </x:c>
      <x:c r="U319">
        <x:f>-0.584511</x:f>
        <x:v>-0.584511</x:v>
      </x:c>
      <x:c r="V319">
        <x:f>-12.37373</x:f>
        <x:v>-12.37373</x:v>
      </x:c>
      <x:c r="W319">
        <x:f>0</x:f>
        <x:v>0</x:v>
      </x:c>
      <x:c r="X319">
        <x:f>0</x:f>
        <x:v>0</x:v>
      </x:c>
      <x:c r="Y319">
        <x:f>-4.55446</x:f>
        <x:v>-4.5544599999999997</x:v>
      </x:c>
      <x:c r="Z319">
        <x:f>0</x:f>
        <x:v>0</x:v>
      </x:c>
      <x:c r="AA319">
        <x:f>-5.323534</x:f>
        <x:v>-5.3235340000000004</x:v>
      </x:c>
      <x:c r="AB319">
        <x:f>-5.762921</x:f>
        <x:v>-5.7629210000000004</x:v>
      </x:c>
      <x:c r="AC319">
        <x:f>0</x:f>
        <x:v>0</x:v>
      </x:c>
      <x:c r="AD319">
        <x:f>2.95237</x:f>
        <x:v>2.9523700000000002</x:v>
      </x:c>
      <x:c r="AE319">
        <x:f>0.740906</x:f>
        <x:v>0.74090599999999995</x:v>
      </x:c>
      <x:c r="AF319">
        <x:f>0</x:f>
        <x:v>0</x:v>
      </x:c>
      <x:c r="AG319">
        <x:f>-2.847738</x:f>
        <x:v>-2.8477380000000001</x:v>
      </x:c>
    </x:row>
    <x:row r="320" spans="1:33" x14ac:dyDescent="0.25">
      <x:c r="A320" t="str">
        <x:f>"        Invesco Nasdaq Biotechnology E"</x:f>
        <x:v xml:space="preserve">        Invesco Nasdaq Biotechnology E</x:v>
      </x:c>
      <x:c r="B320" t="str">
        <x:f>"IBBQ US Equity"</x:f>
        <x:v>IBBQ US Equity</x:v>
      </x:c>
      <x:c r="E320" t="str">
        <x:f t="shared" si="10"/>
        <x:v>Expression</x:v>
      </x:c>
      <x:c r="F320">
        <x:f ca="1">IF(AND($B$1012=1,LEN($F$1323)&gt;0),$F$1323,HLOOKUP(INDIRECT(ADDRESS(2,COLUMN())),OFFSET($T$2,0,0,ROW()-1,14),ROW()-1,FALSE))</x:f>
        <x:v>0</x:v>
      </x:c>
      <x:c r="G320">
        <x:f ca="1">IF(AND($B$1012=1,LEN($G$1323)&gt;0),$G$1323,HLOOKUP(INDIRECT(ADDRESS(2,COLUMN())),OFFSET($T$2,0,0,ROW()-1,14),ROW()-1,FALSE))</x:f>
        <x:v>0</x:v>
      </x:c>
      <x:c r="H320">
        <x:f ca="1">IF(AND($B$1012=1,LEN($H$1323)&gt;0),$H$1323,HLOOKUP(INDIRECT(ADDRESS(2,COLUMN())),OFFSET($T$2,0,0,ROW()-1,14),ROW()-1,FALSE))</x:f>
        <x:v>0</x:v>
      </x:c>
      <x:c r="I320">
        <x:f ca="1">IF(AND($B$1012=1,LEN($I$1323)&gt;0),$I$1323,HLOOKUP(INDIRECT(ADDRESS(2,COLUMN())),OFFSET($T$2,0,0,ROW()-1,14),ROW()-1,FALSE))</x:f>
        <x:v>0</x:v>
      </x:c>
      <x:c r="J320">
        <x:f ca="1">IF(AND($B$1012=1,LEN($J$1323)&gt;0),$J$1323,HLOOKUP(INDIRECT(ADDRESS(2,COLUMN())),OFFSET($T$2,0,0,ROW()-1,14),ROW()-1,FALSE))</x:f>
        <x:v>0</x:v>
      </x:c>
      <x:c r="K320">
        <x:f ca="1">IF(AND($B$1012=1,LEN($K$1323)&gt;0),$K$1323,HLOOKUP(INDIRECT(ADDRESS(2,COLUMN())),OFFSET($T$2,0,0,ROW()-1,14),ROW()-1,FALSE))</x:f>
        <x:v>-2.8571780000000002</x:v>
      </x:c>
      <x:c r="L320">
        <x:f ca="1">IF(AND($B$1012=1,LEN($L$1323)&gt;0),$L$1323,HLOOKUP(INDIRECT(ADDRESS(2,COLUMN())),OFFSET($T$2,0,0,ROW()-1,14),ROW()-1,FALSE))</x:f>
        <x:v>0.427288</x:v>
      </x:c>
      <x:c r="M320">
        <x:f ca="1">IF(AND($B$1012=1,LEN($M$1323)&gt;0),$M$1323,HLOOKUP(INDIRECT(ADDRESS(2,COLUMN())),OFFSET($T$2,0,0,ROW()-1,14),ROW()-1,FALSE))</x:f>
        <x:v>0</x:v>
      </x:c>
      <x:c r="N320">
        <x:f ca="1">IF(AND($B$1012=1,LEN($N$1323)&gt;0),$N$1323,HLOOKUP(INDIRECT(ADDRESS(2,COLUMN())),OFFSET($T$2,0,0,ROW()-1,14),ROW()-1,FALSE))</x:f>
        <x:v>0.156498</x:v>
      </x:c>
      <x:c r="O320">
        <x:f ca="1">IF(AND($B$1012=1,LEN($O$1323)&gt;0),$O$1323,HLOOKUP(INDIRECT(ADDRESS(2,COLUMN())),OFFSET($T$2,0,0,ROW()-1,14),ROW()-1,FALSE))</x:f>
        <x:v>0</x:v>
      </x:c>
      <x:c r="P320">
        <x:f ca="1">IF(AND($B$1012=1,LEN($P$1323)&gt;0),$P$1323,HLOOKUP(INDIRECT(ADDRESS(2,COLUMN())),OFFSET($T$2,0,0,ROW()-1,14),ROW()-1,FALSE))</x:f>
        <x:v>0</x:v>
      </x:c>
      <x:c r="Q320">
        <x:f ca="1">IF(AND($B$1012=1,LEN($Q$1323)&gt;0),$Q$1323,HLOOKUP(INDIRECT(ADDRESS(2,COLUMN())),OFFSET($T$2,0,0,ROW()-1,14),ROW()-1,FALSE))</x:f>
        <x:v>0</x:v>
      </x:c>
      <x:c r="R320">
        <x:f ca="1">IF(AND($B$1012=1,LEN($R$1323)&gt;0),$R$1323,HLOOKUP(INDIRECT(ADDRESS(2,COLUMN())),OFFSET($T$2,0,0,ROW()-1,14),ROW()-1,FALSE))</x:f>
        <x:v>-1.0396289999999999</x:v>
      </x:c>
      <x:c r="S320">
        <x:f ca="1">IF(AND($B$1012=1,LEN($S$1323)&gt;0),$S$1323,HLOOKUP(INDIRECT(ADDRESS(2,COLUMN())),OFFSET($T$2,0,0,ROW()-1,14),ROW()-1,FALSE))</x:f>
        <x:v>-0.95814699999999997</x:v>
      </x:c>
      <x:c r="T320">
        <x:f>0</x:f>
        <x:v>0</x:v>
      </x:c>
      <x:c r="U320">
        <x:f>0</x:f>
        <x:v>0</x:v>
      </x:c>
      <x:c r="V320">
        <x:f>0</x:f>
        <x:v>0</x:v>
      </x:c>
      <x:c r="W320">
        <x:f>0</x:f>
        <x:v>0</x:v>
      </x:c>
      <x:c r="X320">
        <x:f>0</x:f>
        <x:v>0</x:v>
      </x:c>
      <x:c r="Y320">
        <x:f>-2.857178</x:f>
        <x:v>-2.8571780000000002</x:v>
      </x:c>
      <x:c r="Z320">
        <x:f>0.427288</x:f>
        <x:v>0.427288</x:v>
      </x:c>
      <x:c r="AA320">
        <x:f>0</x:f>
        <x:v>0</x:v>
      </x:c>
      <x:c r="AB320">
        <x:f>0.156498</x:f>
        <x:v>0.156498</x:v>
      </x:c>
      <x:c r="AC320">
        <x:f>0</x:f>
        <x:v>0</x:v>
      </x:c>
      <x:c r="AD320">
        <x:f>0</x:f>
        <x:v>0</x:v>
      </x:c>
      <x:c r="AE320">
        <x:f>0</x:f>
        <x:v>0</x:v>
      </x:c>
      <x:c r="AF320">
        <x:f>-1.039629</x:f>
        <x:v>-1.0396289999999999</x:v>
      </x:c>
      <x:c r="AG320">
        <x:f>-0.958147</x:f>
        <x:v>-0.95814699999999997</x:v>
      </x:c>
    </x:row>
    <x:row r="321" spans="1:33" x14ac:dyDescent="0.25">
      <x:c r="A321" t="str">
        <x:f>"        Global X Health Care Covered C"</x:f>
        <x:v xml:space="preserve">        Global X Health Care Covered C</x:v>
      </x:c>
      <x:c r="B321" t="str">
        <x:f>"HYLG US Equity"</x:f>
        <x:v>HYLG US Equity</x:v>
      </x:c>
      <x:c r="E321" t="str">
        <x:f t="shared" si="10"/>
        <x:v>Expression</x:v>
      </x:c>
      <x:c r="F321">
        <x:f ca="1">IF(AND($B$1012=1,LEN($F$1324)&gt;0),$F$1324,HLOOKUP(INDIRECT(ADDRESS(2,COLUMN())),OFFSET($T$2,0,0,ROW()-1,14),ROW()-1,FALSE))</x:f>
        <x:v>0</x:v>
      </x:c>
      <x:c r="G321">
        <x:f ca="1">IF(AND($B$1012=1,LEN($G$1324)&gt;0),$G$1324,HLOOKUP(INDIRECT(ADDRESS(2,COLUMN())),OFFSET($T$2,0,0,ROW()-1,14),ROW()-1,FALSE))</x:f>
        <x:v>0</x:v>
      </x:c>
      <x:c r="H321">
        <x:f ca="1">IF(AND($B$1012=1,LEN($H$1324)&gt;0),$H$1324,HLOOKUP(INDIRECT(ADDRESS(2,COLUMN())),OFFSET($T$2,0,0,ROW()-1,14),ROW()-1,FALSE))</x:f>
        <x:v>0</x:v>
      </x:c>
      <x:c r="I321">
        <x:f ca="1">IF(AND($B$1012=1,LEN($I$1324)&gt;0),$I$1324,HLOOKUP(INDIRECT(ADDRESS(2,COLUMN())),OFFSET($T$2,0,0,ROW()-1,14),ROW()-1,FALSE))</x:f>
        <x:v>0</x:v>
      </x:c>
      <x:c r="J321">
        <x:f ca="1">IF(AND($B$1012=1,LEN($J$1324)&gt;0),$J$1324,HLOOKUP(INDIRECT(ADDRESS(2,COLUMN())),OFFSET($T$2,0,0,ROW()-1,14),ROW()-1,FALSE))</x:f>
        <x:v>0</x:v>
      </x:c>
      <x:c r="K321">
        <x:f ca="1">IF(AND($B$1012=1,LEN($K$1324)&gt;0),$K$1324,HLOOKUP(INDIRECT(ADDRESS(2,COLUMN())),OFFSET($T$2,0,0,ROW()-1,14),ROW()-1,FALSE))</x:f>
        <x:v>0</x:v>
      </x:c>
      <x:c r="L321">
        <x:f ca="1">IF(AND($B$1012=1,LEN($L$1324)&gt;0),$L$1324,HLOOKUP(INDIRECT(ADDRESS(2,COLUMN())),OFFSET($T$2,0,0,ROW()-1,14),ROW()-1,FALSE))</x:f>
        <x:v>0</x:v>
      </x:c>
      <x:c r="M321">
        <x:f ca="1">IF(AND($B$1012=1,LEN($M$1324)&gt;0),$M$1324,HLOOKUP(INDIRECT(ADDRESS(2,COLUMN())),OFFSET($T$2,0,0,ROW()-1,14),ROW()-1,FALSE))</x:f>
        <x:v>0.24809999999999999</x:v>
      </x:c>
      <x:c r="N321">
        <x:f ca="1">IF(AND($B$1012=1,LEN($N$1324)&gt;0),$N$1324,HLOOKUP(INDIRECT(ADDRESS(2,COLUMN())),OFFSET($T$2,0,0,ROW()-1,14),ROW()-1,FALSE))</x:f>
        <x:v>0</x:v>
      </x:c>
      <x:c r="O321">
        <x:f ca="1">IF(AND($B$1012=1,LEN($O$1324)&gt;0),$O$1324,HLOOKUP(INDIRECT(ADDRESS(2,COLUMN())),OFFSET($T$2,0,0,ROW()-1,14),ROW()-1,FALSE))</x:f>
        <x:v>0</x:v>
      </x:c>
      <x:c r="P321">
        <x:f ca="1">IF(AND($B$1012=1,LEN($P$1324)&gt;0),$P$1324,HLOOKUP(INDIRECT(ADDRESS(2,COLUMN())),OFFSET($T$2,0,0,ROW()-1,14),ROW()-1,FALSE))</x:f>
        <x:v>0</x:v>
      </x:c>
      <x:c r="Q321">
        <x:f ca="1">IF(AND($B$1012=1,LEN($Q$1324)&gt;0),$Q$1324,HLOOKUP(INDIRECT(ADDRESS(2,COLUMN())),OFFSET($T$2,0,0,ROW()-1,14),ROW()-1,FALSE))</x:f>
        <x:v>0</x:v>
      </x:c>
      <x:c r="R321">
        <x:f ca="1">IF(AND($B$1012=1,LEN($R$1324)&gt;0),$R$1324,HLOOKUP(INDIRECT(ADDRESS(2,COLUMN())),OFFSET($T$2,0,0,ROW()-1,14),ROW()-1,FALSE))</x:f>
        <x:v>0</x:v>
      </x:c>
      <x:c r="S321" t="str">
        <x:f ca="1">IF(AND($B$1012=1,LEN($S$1324)&gt;0),$S$1324,HLOOKUP(INDIRECT(ADDRESS(2,COLUMN())),OFFSET($T$2,0,0,ROW()-1,14),ROW()-1,FALSE))</x:f>
        <x:v/>
      </x:c>
      <x:c r="T321">
        <x:f>0</x:f>
        <x:v>0</x:v>
      </x:c>
      <x:c r="U321">
        <x:f>0</x:f>
        <x:v>0</x:v>
      </x:c>
      <x:c r="V321">
        <x:f>0</x:f>
        <x:v>0</x:v>
      </x:c>
      <x:c r="W321">
        <x:f>0</x:f>
        <x:v>0</x:v>
      </x:c>
      <x:c r="X321">
        <x:f>0</x:f>
        <x:v>0</x:v>
      </x:c>
      <x:c r="Y321">
        <x:f>0</x:f>
        <x:v>0</x:v>
      </x:c>
      <x:c r="Z321">
        <x:f>0</x:f>
        <x:v>0</x:v>
      </x:c>
      <x:c r="AA321">
        <x:f>0.2481</x:f>
        <x:v>0.24809999999999999</x:v>
      </x:c>
      <x:c r="AB321">
        <x:f>0</x:f>
        <x:v>0</x:v>
      </x:c>
      <x:c r="AC321">
        <x:f>0</x:f>
        <x:v>0</x:v>
      </x:c>
      <x:c r="AD321">
        <x:f>0</x:f>
        <x:v>0</x:v>
      </x:c>
      <x:c r="AE321">
        <x:f>0</x:f>
        <x:v>0</x:v>
      </x:c>
      <x:c r="AF321">
        <x:f>0</x:f>
        <x:v>0</x:v>
      </x:c>
      <x:c r="AG321" t="str">
        <x:f>""</x:f>
        <x:v/>
      </x:c>
    </x:row>
    <x:row r="322" spans="1:33" x14ac:dyDescent="0.25">
      <x:c r="A322" t="str">
        <x:f>"        Harbor Health Care ETF"</x:f>
        <x:v xml:space="preserve">        Harbor Health Care ETF</x:v>
      </x:c>
      <x:c r="B322" t="str">
        <x:f>"MEDI US Equity"</x:f>
        <x:v>MEDI US Equity</x:v>
      </x:c>
      <x:c r="E322" t="str">
        <x:f t="shared" si="10"/>
        <x:v>Expression</x:v>
      </x:c>
      <x:c r="F322">
        <x:f ca="1">IF(AND($B$1012=1,LEN($F$1325)&gt;0),$F$1325,HLOOKUP(INDIRECT(ADDRESS(2,COLUMN())),OFFSET($T$2,0,0,ROW()-1,14),ROW()-1,FALSE))</x:f>
        <x:v>0</x:v>
      </x:c>
      <x:c r="G322">
        <x:f ca="1">IF(AND($B$1012=1,LEN($G$1325)&gt;0),$G$1325,HLOOKUP(INDIRECT(ADDRESS(2,COLUMN())),OFFSET($T$2,0,0,ROW()-1,14),ROW()-1,FALSE))</x:f>
        <x:v>0</x:v>
      </x:c>
      <x:c r="H322">
        <x:f ca="1">IF(AND($B$1012=1,LEN($H$1325)&gt;0),$H$1325,HLOOKUP(INDIRECT(ADDRESS(2,COLUMN())),OFFSET($T$2,0,0,ROW()-1,14),ROW()-1,FALSE))</x:f>
        <x:v>0</x:v>
      </x:c>
      <x:c r="I322">
        <x:f ca="1">IF(AND($B$1012=1,LEN($I$1325)&gt;0),$I$1325,HLOOKUP(INDIRECT(ADDRESS(2,COLUMN())),OFFSET($T$2,0,0,ROW()-1,14),ROW()-1,FALSE))</x:f>
        <x:v>0</x:v>
      </x:c>
      <x:c r="J322">
        <x:f ca="1">IF(AND($B$1012=1,LEN($J$1325)&gt;0),$J$1325,HLOOKUP(INDIRECT(ADDRESS(2,COLUMN())),OFFSET($T$2,0,0,ROW()-1,14),ROW()-1,FALSE))</x:f>
        <x:v>0</x:v>
      </x:c>
      <x:c r="K322">
        <x:f ca="1">IF(AND($B$1012=1,LEN($K$1325)&gt;0),$K$1325,HLOOKUP(INDIRECT(ADDRESS(2,COLUMN())),OFFSET($T$2,0,0,ROW()-1,14),ROW()-1,FALSE))</x:f>
        <x:v>0</x:v>
      </x:c>
      <x:c r="L322">
        <x:f ca="1">IF(AND($B$1012=1,LEN($L$1325)&gt;0),$L$1325,HLOOKUP(INDIRECT(ADDRESS(2,COLUMN())),OFFSET($T$2,0,0,ROW()-1,14),ROW()-1,FALSE))</x:f>
        <x:v>0</x:v>
      </x:c>
      <x:c r="M322">
        <x:f ca="1">IF(AND($B$1012=1,LEN($M$1325)&gt;0),$M$1325,HLOOKUP(INDIRECT(ADDRESS(2,COLUMN())),OFFSET($T$2,0,0,ROW()-1,14),ROW()-1,FALSE))</x:f>
        <x:v>0.53110500000000005</x:v>
      </x:c>
      <x:c r="N322">
        <x:f ca="1">IF(AND($B$1012=1,LEN($N$1325)&gt;0),$N$1325,HLOOKUP(INDIRECT(ADDRESS(2,COLUMN())),OFFSET($T$2,0,0,ROW()-1,14),ROW()-1,FALSE))</x:f>
        <x:v>0</x:v>
      </x:c>
      <x:c r="O322">
        <x:f ca="1">IF(AND($B$1012=1,LEN($O$1325)&gt;0),$O$1325,HLOOKUP(INDIRECT(ADDRESS(2,COLUMN())),OFFSET($T$2,0,0,ROW()-1,14),ROW()-1,FALSE))</x:f>
        <x:v>0</x:v>
      </x:c>
      <x:c r="P322">
        <x:f ca="1">IF(AND($B$1012=1,LEN($P$1325)&gt;0),$P$1325,HLOOKUP(INDIRECT(ADDRESS(2,COLUMN())),OFFSET($T$2,0,0,ROW()-1,14),ROW()-1,FALSE))</x:f>
        <x:v>1.0077640000000001</x:v>
      </x:c>
      <x:c r="Q322">
        <x:f ca="1">IF(AND($B$1012=1,LEN($Q$1325)&gt;0),$Q$1325,HLOOKUP(INDIRECT(ADDRESS(2,COLUMN())),OFFSET($T$2,0,0,ROW()-1,14),ROW()-1,FALSE))</x:f>
        <x:v>0</x:v>
      </x:c>
      <x:c r="R322">
        <x:f ca="1">IF(AND($B$1012=1,LEN($R$1325)&gt;0),$R$1325,HLOOKUP(INDIRECT(ADDRESS(2,COLUMN())),OFFSET($T$2,0,0,ROW()-1,14),ROW()-1,FALSE))</x:f>
        <x:v>0</x:v>
      </x:c>
      <x:c r="S322" t="str">
        <x:f ca="1">IF(AND($B$1012=1,LEN($S$1325)&gt;0),$S$1325,HLOOKUP(INDIRECT(ADDRESS(2,COLUMN())),OFFSET($T$2,0,0,ROW()-1,14),ROW()-1,FALSE))</x:f>
        <x:v/>
      </x:c>
      <x:c r="T322">
        <x:f>0</x:f>
        <x:v>0</x:v>
      </x:c>
      <x:c r="U322">
        <x:f>0</x:f>
        <x:v>0</x:v>
      </x:c>
      <x:c r="V322">
        <x:f>0</x:f>
        <x:v>0</x:v>
      </x:c>
      <x:c r="W322">
        <x:f>0</x:f>
        <x:v>0</x:v>
      </x:c>
      <x:c r="X322">
        <x:f>0</x:f>
        <x:v>0</x:v>
      </x:c>
      <x:c r="Y322">
        <x:f>0</x:f>
        <x:v>0</x:v>
      </x:c>
      <x:c r="Z322">
        <x:f>0</x:f>
        <x:v>0</x:v>
      </x:c>
      <x:c r="AA322">
        <x:f>0.531105</x:f>
        <x:v>0.53110500000000005</x:v>
      </x:c>
      <x:c r="AB322">
        <x:f>0</x:f>
        <x:v>0</x:v>
      </x:c>
      <x:c r="AC322">
        <x:f>0</x:f>
        <x:v>0</x:v>
      </x:c>
      <x:c r="AD322">
        <x:f>1.007764</x:f>
        <x:v>1.0077640000000001</x:v>
      </x:c>
      <x:c r="AE322">
        <x:f>0</x:f>
        <x:v>0</x:v>
      </x:c>
      <x:c r="AF322">
        <x:f>0</x:f>
        <x:v>0</x:v>
      </x:c>
      <x:c r="AG322" t="str">
        <x:f>""</x:f>
        <x:v/>
      </x:c>
    </x:row>
    <x:row r="323" spans="1:33" x14ac:dyDescent="0.25">
      <x:c r="A323" t="str">
        <x:f>"        Horizon Kinetics Medical ETF"</x:f>
        <x:v xml:space="preserve">        Horizon Kinetics Medical ETF</x:v>
      </x:c>
      <x:c r="B323" t="str">
        <x:f>"MEDX US Equity"</x:f>
        <x:v>MEDX US Equity</x:v>
      </x:c>
      <x:c r="E323" t="str">
        <x:f t="shared" si="10"/>
        <x:v>Expression</x:v>
      </x:c>
      <x:c r="F323">
        <x:f ca="1">IF(AND($B$1012=1,LEN($F$1326)&gt;0),$F$1326,HLOOKUP(INDIRECT(ADDRESS(2,COLUMN())),OFFSET($T$2,0,0,ROW()-1,14),ROW()-1,FALSE))</x:f>
        <x:v>0</x:v>
      </x:c>
      <x:c r="G323">
        <x:f ca="1">IF(AND($B$1012=1,LEN($G$1326)&gt;0),$G$1326,HLOOKUP(INDIRECT(ADDRESS(2,COLUMN())),OFFSET($T$2,0,0,ROW()-1,14),ROW()-1,FALSE))</x:f>
        <x:v>0</x:v>
      </x:c>
      <x:c r="H323">
        <x:f ca="1">IF(AND($B$1012=1,LEN($H$1326)&gt;0),$H$1326,HLOOKUP(INDIRECT(ADDRESS(2,COLUMN())),OFFSET($T$2,0,0,ROW()-1,14),ROW()-1,FALSE))</x:f>
        <x:v>0</x:v>
      </x:c>
      <x:c r="I323">
        <x:f ca="1">IF(AND($B$1012=1,LEN($I$1326)&gt;0),$I$1326,HLOOKUP(INDIRECT(ADDRESS(2,COLUMN())),OFFSET($T$2,0,0,ROW()-1,14),ROW()-1,FALSE))</x:f>
        <x:v>0</x:v>
      </x:c>
      <x:c r="J323">
        <x:f ca="1">IF(AND($B$1012=1,LEN($J$1326)&gt;0),$J$1326,HLOOKUP(INDIRECT(ADDRESS(2,COLUMN())),OFFSET($T$2,0,0,ROW()-1,14),ROW()-1,FALSE))</x:f>
        <x:v>0</x:v>
      </x:c>
      <x:c r="K323">
        <x:f ca="1">IF(AND($B$1012=1,LEN($K$1326)&gt;0),$K$1326,HLOOKUP(INDIRECT(ADDRESS(2,COLUMN())),OFFSET($T$2,0,0,ROW()-1,14),ROW()-1,FALSE))</x:f>
        <x:v>-0.78243300000000005</x:v>
      </x:c>
      <x:c r="L323">
        <x:f ca="1">IF(AND($B$1012=1,LEN($L$1326)&gt;0),$L$1326,HLOOKUP(INDIRECT(ADDRESS(2,COLUMN())),OFFSET($T$2,0,0,ROW()-1,14),ROW()-1,FALSE))</x:f>
        <x:v>0</x:v>
      </x:c>
      <x:c r="M323">
        <x:f ca="1">IF(AND($B$1012=1,LEN($M$1326)&gt;0),$M$1326,HLOOKUP(INDIRECT(ADDRESS(2,COLUMN())),OFFSET($T$2,0,0,ROW()-1,14),ROW()-1,FALSE))</x:f>
        <x:v>0.75813799999999998</x:v>
      </x:c>
      <x:c r="N323">
        <x:f ca="1">IF(AND($B$1012=1,LEN($N$1326)&gt;0),$N$1326,HLOOKUP(INDIRECT(ADDRESS(2,COLUMN())),OFFSET($T$2,0,0,ROW()-1,14),ROW()-1,FALSE))</x:f>
        <x:v>0</x:v>
      </x:c>
      <x:c r="O323">
        <x:f ca="1">IF(AND($B$1012=1,LEN($O$1326)&gt;0),$O$1326,HLOOKUP(INDIRECT(ADDRESS(2,COLUMN())),OFFSET($T$2,0,0,ROW()-1,14),ROW()-1,FALSE))</x:f>
        <x:v>0</x:v>
      </x:c>
      <x:c r="P323">
        <x:f ca="1">IF(AND($B$1012=1,LEN($P$1326)&gt;0),$P$1326,HLOOKUP(INDIRECT(ADDRESS(2,COLUMN())),OFFSET($T$2,0,0,ROW()-1,14),ROW()-1,FALSE))</x:f>
        <x:v>-4.3672999999999997E-2</x:v>
      </x:c>
      <x:c r="Q323" t="str">
        <x:f ca="1">IF(AND($B$1012=1,LEN($Q$1326)&gt;0),$Q$1326,HLOOKUP(INDIRECT(ADDRESS(2,COLUMN())),OFFSET($T$2,0,0,ROW()-1,14),ROW()-1,FALSE))</x:f>
        <x:v/>
      </x:c>
      <x:c r="R323" t="str">
        <x:f ca="1">IF(AND($B$1012=1,LEN($R$1326)&gt;0),$R$1326,HLOOKUP(INDIRECT(ADDRESS(2,COLUMN())),OFFSET($T$2,0,0,ROW()-1,14),ROW()-1,FALSE))</x:f>
        <x:v/>
      </x:c>
      <x:c r="S323" t="str">
        <x:f ca="1">IF(AND($B$1012=1,LEN($S$1326)&gt;0),$S$1326,HLOOKUP(INDIRECT(ADDRESS(2,COLUMN())),OFFSET($T$2,0,0,ROW()-1,14),ROW()-1,FALSE))</x:f>
        <x:v/>
      </x:c>
      <x:c r="T323">
        <x:f>0</x:f>
        <x:v>0</x:v>
      </x:c>
      <x:c r="U323">
        <x:f>0</x:f>
        <x:v>0</x:v>
      </x:c>
      <x:c r="V323">
        <x:f>0</x:f>
        <x:v>0</x:v>
      </x:c>
      <x:c r="W323">
        <x:f>0</x:f>
        <x:v>0</x:v>
      </x:c>
      <x:c r="X323">
        <x:f>0</x:f>
        <x:v>0</x:v>
      </x:c>
      <x:c r="Y323">
        <x:f>-0.782433</x:f>
        <x:v>-0.78243300000000005</x:v>
      </x:c>
      <x:c r="Z323">
        <x:f>0</x:f>
        <x:v>0</x:v>
      </x:c>
      <x:c r="AA323">
        <x:f>0.758138</x:f>
        <x:v>0.75813799999999998</x:v>
      </x:c>
      <x:c r="AB323">
        <x:f>0</x:f>
        <x:v>0</x:v>
      </x:c>
      <x:c r="AC323">
        <x:f>0</x:f>
        <x:v>0</x:v>
      </x:c>
      <x:c r="AD323">
        <x:f>-0.043673</x:f>
        <x:v>-4.3672999999999997E-2</x:v>
      </x:c>
      <x:c r="AE323" t="str">
        <x:f>""</x:f>
        <x:v/>
      </x:c>
      <x:c r="AF323" t="str">
        <x:f>""</x:f>
        <x:v/>
      </x:c>
      <x:c r="AG323" t="str">
        <x:f>""</x:f>
        <x:v/>
      </x:c>
    </x:row>
    <x:row r="324" spans="1:33" x14ac:dyDescent="0.25">
      <x:c r="A324" t="str">
        <x:f>"        AXS 2X PFE Bull Daily ETF"</x:f>
        <x:v xml:space="preserve">        AXS 2X PFE Bull Daily ETF</x:v>
      </x:c>
      <x:c r="B324" t="str">
        <x:f>"PFEL US Equity"</x:f>
        <x:v>PFEL US Equity</x:v>
      </x:c>
      <x:c r="E324" t="str">
        <x:f t="shared" si="10"/>
        <x:v>Expression</x:v>
      </x:c>
      <x:c r="F324" t="str">
        <x:f ca="1">IF(AND($B$1012=1,LEN($F$1327)&gt;0),$F$1327,HLOOKUP(INDIRECT(ADDRESS(2,COLUMN())),OFFSET($T$2,0,0,ROW()-1,14),ROW()-1,FALSE))</x:f>
        <x:v/>
      </x:c>
      <x:c r="G324" t="str">
        <x:f ca="1">IF(AND($B$1012=1,LEN($G$1327)&gt;0),$G$1327,HLOOKUP(INDIRECT(ADDRESS(2,COLUMN())),OFFSET($T$2,0,0,ROW()-1,14),ROW()-1,FALSE))</x:f>
        <x:v/>
      </x:c>
      <x:c r="H324" t="str">
        <x:f ca="1">IF(AND($B$1012=1,LEN($H$1327)&gt;0),$H$1327,HLOOKUP(INDIRECT(ADDRESS(2,COLUMN())),OFFSET($T$2,0,0,ROW()-1,14),ROW()-1,FALSE))</x:f>
        <x:v/>
      </x:c>
      <x:c r="I324" t="str">
        <x:f ca="1">IF(AND($B$1012=1,LEN($I$1327)&gt;0),$I$1327,HLOOKUP(INDIRECT(ADDRESS(2,COLUMN())),OFFSET($T$2,0,0,ROW()-1,14),ROW()-1,FALSE))</x:f>
        <x:v/>
      </x:c>
      <x:c r="J324" t="str">
        <x:f ca="1">IF(AND($B$1012=1,LEN($J$1327)&gt;0),$J$1327,HLOOKUP(INDIRECT(ADDRESS(2,COLUMN())),OFFSET($T$2,0,0,ROW()-1,14),ROW()-1,FALSE))</x:f>
        <x:v/>
      </x:c>
      <x:c r="K324">
        <x:f ca="1">IF(AND($B$1012=1,LEN($K$1327)&gt;0),$K$1327,HLOOKUP(INDIRECT(ADDRESS(2,COLUMN())),OFFSET($T$2,0,0,ROW()-1,14),ROW()-1,FALSE))</x:f>
        <x:v>8.7345000000000006E-2</x:v>
      </x:c>
      <x:c r="L324">
        <x:f ca="1">IF(AND($B$1012=1,LEN($L$1327)&gt;0),$L$1327,HLOOKUP(INDIRECT(ADDRESS(2,COLUMN())),OFFSET($T$2,0,0,ROW()-1,14),ROW()-1,FALSE))</x:f>
        <x:v>-0.25004999999999999</x:v>
      </x:c>
      <x:c r="M324">
        <x:f ca="1">IF(AND($B$1012=1,LEN($M$1327)&gt;0),$M$1327,HLOOKUP(INDIRECT(ADDRESS(2,COLUMN())),OFFSET($T$2,0,0,ROW()-1,14),ROW()-1,FALSE))</x:f>
        <x:v>0</x:v>
      </x:c>
      <x:c r="N324">
        <x:f ca="1">IF(AND($B$1012=1,LEN($N$1327)&gt;0),$N$1327,HLOOKUP(INDIRECT(ADDRESS(2,COLUMN())),OFFSET($T$2,0,0,ROW()-1,14),ROW()-1,FALSE))</x:f>
        <x:v>0</x:v>
      </x:c>
      <x:c r="O324">
        <x:f ca="1">IF(AND($B$1012=1,LEN($O$1327)&gt;0),$O$1327,HLOOKUP(INDIRECT(ADDRESS(2,COLUMN())),OFFSET($T$2,0,0,ROW()-1,14),ROW()-1,FALSE))</x:f>
        <x:v>0</x:v>
      </x:c>
      <x:c r="P324">
        <x:f ca="1">IF(AND($B$1012=1,LEN($P$1327)&gt;0),$P$1327,HLOOKUP(INDIRECT(ADDRESS(2,COLUMN())),OFFSET($T$2,0,0,ROW()-1,14),ROW()-1,FALSE))</x:f>
        <x:v>0.14724499999999999</x:v>
      </x:c>
      <x:c r="Q324">
        <x:f ca="1">IF(AND($B$1012=1,LEN($Q$1327)&gt;0),$Q$1327,HLOOKUP(INDIRECT(ADDRESS(2,COLUMN())),OFFSET($T$2,0,0,ROW()-1,14),ROW()-1,FALSE))</x:f>
        <x:v>0</x:v>
      </x:c>
      <x:c r="R324">
        <x:f ca="1">IF(AND($B$1012=1,LEN($R$1327)&gt;0),$R$1327,HLOOKUP(INDIRECT(ADDRESS(2,COLUMN())),OFFSET($T$2,0,0,ROW()-1,14),ROW()-1,FALSE))</x:f>
        <x:v>0.14588899999999999</x:v>
      </x:c>
      <x:c r="S324">
        <x:f ca="1">IF(AND($B$1012=1,LEN($S$1327)&gt;0),$S$1327,HLOOKUP(INDIRECT(ADDRESS(2,COLUMN())),OFFSET($T$2,0,0,ROW()-1,14),ROW()-1,FALSE))</x:f>
        <x:v>0</x:v>
      </x:c>
      <x:c r="T324" t="str">
        <x:f>""</x:f>
        <x:v/>
      </x:c>
      <x:c r="U324" t="str">
        <x:f>""</x:f>
        <x:v/>
      </x:c>
      <x:c r="V324" t="str">
        <x:f>""</x:f>
        <x:v/>
      </x:c>
      <x:c r="W324" t="str">
        <x:f>""</x:f>
        <x:v/>
      </x:c>
      <x:c r="X324" t="str">
        <x:f>""</x:f>
        <x:v/>
      </x:c>
      <x:c r="Y324">
        <x:f>0.087345</x:f>
        <x:v>8.7345000000000006E-2</x:v>
      </x:c>
      <x:c r="Z324">
        <x:f>-0.25005</x:f>
        <x:v>-0.25004999999999999</x:v>
      </x:c>
      <x:c r="AA324">
        <x:f>0</x:f>
        <x:v>0</x:v>
      </x:c>
      <x:c r="AB324">
        <x:f>0</x:f>
        <x:v>0</x:v>
      </x:c>
      <x:c r="AC324">
        <x:f>0</x:f>
        <x:v>0</x:v>
      </x:c>
      <x:c r="AD324">
        <x:f>0.147245</x:f>
        <x:v>0.14724499999999999</x:v>
      </x:c>
      <x:c r="AE324">
        <x:f>0</x:f>
        <x:v>0</x:v>
      </x:c>
      <x:c r="AF324">
        <x:f>0.145889</x:f>
        <x:v>0.14588899999999999</x:v>
      </x:c>
      <x:c r="AG324">
        <x:f>0</x:f>
        <x:v>0</x:v>
      </x:c>
    </x:row>
    <x:row r="325" spans="1:33" x14ac:dyDescent="0.25">
      <x:c r="A325" t="str">
        <x:f>"        AXS 2X PFE Bear Daily ETF"</x:f>
        <x:v xml:space="preserve">        AXS 2X PFE Bear Daily ETF</x:v>
      </x:c>
      <x:c r="B325" t="str">
        <x:f>"PFES US Equity"</x:f>
        <x:v>PFES US Equity</x:v>
      </x:c>
      <x:c r="E325" t="str">
        <x:f t="shared" si="10"/>
        <x:v>Expression</x:v>
      </x:c>
      <x:c r="F325" t="str">
        <x:f ca="1">IF(AND($B$1012=1,LEN($F$1328)&gt;0),$F$1328,HLOOKUP(INDIRECT(ADDRESS(2,COLUMN())),OFFSET($T$2,0,0,ROW()-1,14),ROW()-1,FALSE))</x:f>
        <x:v/>
      </x:c>
      <x:c r="G325" t="str">
        <x:f ca="1">IF(AND($B$1012=1,LEN($G$1328)&gt;0),$G$1328,HLOOKUP(INDIRECT(ADDRESS(2,COLUMN())),OFFSET($T$2,0,0,ROW()-1,14),ROW()-1,FALSE))</x:f>
        <x:v/>
      </x:c>
      <x:c r="H325" t="str">
        <x:f ca="1">IF(AND($B$1012=1,LEN($H$1328)&gt;0),$H$1328,HLOOKUP(INDIRECT(ADDRESS(2,COLUMN())),OFFSET($T$2,0,0,ROW()-1,14),ROW()-1,FALSE))</x:f>
        <x:v/>
      </x:c>
      <x:c r="I325" t="str">
        <x:f ca="1">IF(AND($B$1012=1,LEN($I$1328)&gt;0),$I$1328,HLOOKUP(INDIRECT(ADDRESS(2,COLUMN())),OFFSET($T$2,0,0,ROW()-1,14),ROW()-1,FALSE))</x:f>
        <x:v/>
      </x:c>
      <x:c r="J325" t="str">
        <x:f ca="1">IF(AND($B$1012=1,LEN($J$1328)&gt;0),$J$1328,HLOOKUP(INDIRECT(ADDRESS(2,COLUMN())),OFFSET($T$2,0,0,ROW()-1,14),ROW()-1,FALSE))</x:f>
        <x:v/>
      </x:c>
      <x:c r="K325">
        <x:f ca="1">IF(AND($B$1012=1,LEN($K$1328)&gt;0),$K$1328,HLOOKUP(INDIRECT(ADDRESS(2,COLUMN())),OFFSET($T$2,0,0,ROW()-1,14),ROW()-1,FALSE))</x:f>
        <x:v>-0.283806</x:v>
      </x:c>
      <x:c r="L325">
        <x:f ca="1">IF(AND($B$1012=1,LEN($L$1328)&gt;0),$L$1328,HLOOKUP(INDIRECT(ADDRESS(2,COLUMN())),OFFSET($T$2,0,0,ROW()-1,14),ROW()-1,FALSE))</x:f>
        <x:v>-0.89268000000000003</x:v>
      </x:c>
      <x:c r="M325">
        <x:f ca="1">IF(AND($B$1012=1,LEN($M$1328)&gt;0),$M$1328,HLOOKUP(INDIRECT(ADDRESS(2,COLUMN())),OFFSET($T$2,0,0,ROW()-1,14),ROW()-1,FALSE))</x:f>
        <x:v>0</x:v>
      </x:c>
      <x:c r="N325">
        <x:f ca="1">IF(AND($B$1012=1,LEN($N$1328)&gt;0),$N$1328,HLOOKUP(INDIRECT(ADDRESS(2,COLUMN())),OFFSET($T$2,0,0,ROW()-1,14),ROW()-1,FALSE))</x:f>
        <x:v>0</x:v>
      </x:c>
      <x:c r="O325">
        <x:f ca="1">IF(AND($B$1012=1,LEN($O$1328)&gt;0),$O$1328,HLOOKUP(INDIRECT(ADDRESS(2,COLUMN())),OFFSET($T$2,0,0,ROW()-1,14),ROW()-1,FALSE))</x:f>
        <x:v>0</x:v>
      </x:c>
      <x:c r="P325">
        <x:f ca="1">IF(AND($B$1012=1,LEN($P$1328)&gt;0),$P$1328,HLOOKUP(INDIRECT(ADDRESS(2,COLUMN())),OFFSET($T$2,0,0,ROW()-1,14),ROW()-1,FALSE))</x:f>
        <x:v>0.180037</x:v>
      </x:c>
      <x:c r="Q325">
        <x:f ca="1">IF(AND($B$1012=1,LEN($Q$1328)&gt;0),$Q$1328,HLOOKUP(INDIRECT(ADDRESS(2,COLUMN())),OFFSET($T$2,0,0,ROW()-1,14),ROW()-1,FALSE))</x:f>
        <x:v>0</x:v>
      </x:c>
      <x:c r="R325">
        <x:f ca="1">IF(AND($B$1012=1,LEN($R$1328)&gt;0),$R$1328,HLOOKUP(INDIRECT(ADDRESS(2,COLUMN())),OFFSET($T$2,0,0,ROW()-1,14),ROW()-1,FALSE))</x:f>
        <x:v>0</x:v>
      </x:c>
      <x:c r="S325">
        <x:f ca="1">IF(AND($B$1012=1,LEN($S$1328)&gt;0),$S$1328,HLOOKUP(INDIRECT(ADDRESS(2,COLUMN())),OFFSET($T$2,0,0,ROW()-1,14),ROW()-1,FALSE))</x:f>
        <x:v>0</x:v>
      </x:c>
      <x:c r="T325" t="str">
        <x:f>""</x:f>
        <x:v/>
      </x:c>
      <x:c r="U325" t="str">
        <x:f>""</x:f>
        <x:v/>
      </x:c>
      <x:c r="V325" t="str">
        <x:f>""</x:f>
        <x:v/>
      </x:c>
      <x:c r="W325" t="str">
        <x:f>""</x:f>
        <x:v/>
      </x:c>
      <x:c r="X325" t="str">
        <x:f>""</x:f>
        <x:v/>
      </x:c>
      <x:c r="Y325">
        <x:f>-0.283806</x:f>
        <x:v>-0.283806</x:v>
      </x:c>
      <x:c r="Z325">
        <x:f>-0.89268</x:f>
        <x:v>-0.89268000000000003</x:v>
      </x:c>
      <x:c r="AA325">
        <x:f>0</x:f>
        <x:v>0</x:v>
      </x:c>
      <x:c r="AB325">
        <x:f>0</x:f>
        <x:v>0</x:v>
      </x:c>
      <x:c r="AC325">
        <x:f>0</x:f>
        <x:v>0</x:v>
      </x:c>
      <x:c r="AD325">
        <x:f>0.180037</x:f>
        <x:v>0.180037</x:v>
      </x:c>
      <x:c r="AE325">
        <x:f>0</x:f>
        <x:v>0</x:v>
      </x:c>
      <x:c r="AF325">
        <x:f>0</x:f>
        <x:v>0</x:v>
      </x:c>
      <x:c r="AG325">
        <x:f>0</x:f>
        <x:v>0</x:v>
      </x:c>
    </x:row>
    <x:row r="326" spans="1:33" x14ac:dyDescent="0.25">
      <x:c r="A326" t="str">
        <x:f>"        Putnam BioRevolution ETF"</x:f>
        <x:v xml:space="preserve">        Putnam BioRevolution ETF</x:v>
      </x:c>
      <x:c r="B326" t="str">
        <x:f>"SYNB US Equity"</x:f>
        <x:v>SYNB US Equity</x:v>
      </x:c>
      <x:c r="E326" t="str">
        <x:f t="shared" si="10"/>
        <x:v>Expression</x:v>
      </x:c>
      <x:c r="F326">
        <x:f ca="1">IF(AND($B$1012=1,LEN($F$1329)&gt;0),$F$1329,HLOOKUP(INDIRECT(ADDRESS(2,COLUMN())),OFFSET($T$2,0,0,ROW()-1,14),ROW()-1,FALSE))</x:f>
        <x:v>0</x:v>
      </x:c>
      <x:c r="G326">
        <x:f ca="1">IF(AND($B$1012=1,LEN($G$1329)&gt;0),$G$1329,HLOOKUP(INDIRECT(ADDRESS(2,COLUMN())),OFFSET($T$2,0,0,ROW()-1,14),ROW()-1,FALSE))</x:f>
        <x:v>0</x:v>
      </x:c>
      <x:c r="H326">
        <x:f ca="1">IF(AND($B$1012=1,LEN($H$1329)&gt;0),$H$1329,HLOOKUP(INDIRECT(ADDRESS(2,COLUMN())),OFFSET($T$2,0,0,ROW()-1,14),ROW()-1,FALSE))</x:f>
        <x:v>0</x:v>
      </x:c>
      <x:c r="I326">
        <x:f ca="1">IF(AND($B$1012=1,LEN($I$1329)&gt;0),$I$1329,HLOOKUP(INDIRECT(ADDRESS(2,COLUMN())),OFFSET($T$2,0,0,ROW()-1,14),ROW()-1,FALSE))</x:f>
        <x:v>0</x:v>
      </x:c>
      <x:c r="J326">
        <x:f ca="1">IF(AND($B$1012=1,LEN($J$1329)&gt;0),$J$1329,HLOOKUP(INDIRECT(ADDRESS(2,COLUMN())),OFFSET($T$2,0,0,ROW()-1,14),ROW()-1,FALSE))</x:f>
        <x:v>0</x:v>
      </x:c>
      <x:c r="K326">
        <x:f ca="1">IF(AND($B$1012=1,LEN($K$1329)&gt;0),$K$1329,HLOOKUP(INDIRECT(ADDRESS(2,COLUMN())),OFFSET($T$2,0,0,ROW()-1,14),ROW()-1,FALSE))</x:f>
        <x:v>0</x:v>
      </x:c>
      <x:c r="L326">
        <x:f ca="1">IF(AND($B$1012=1,LEN($L$1329)&gt;0),$L$1329,HLOOKUP(INDIRECT(ADDRESS(2,COLUMN())),OFFSET($T$2,0,0,ROW()-1,14),ROW()-1,FALSE))</x:f>
        <x:v>0</x:v>
      </x:c>
      <x:c r="M326">
        <x:f ca="1">IF(AND($B$1012=1,LEN($M$1329)&gt;0),$M$1329,HLOOKUP(INDIRECT(ADDRESS(2,COLUMN())),OFFSET($T$2,0,0,ROW()-1,14),ROW()-1,FALSE))</x:f>
        <x:v>0</x:v>
      </x:c>
      <x:c r="N326">
        <x:f ca="1">IF(AND($B$1012=1,LEN($N$1329)&gt;0),$N$1329,HLOOKUP(INDIRECT(ADDRESS(2,COLUMN())),OFFSET($T$2,0,0,ROW()-1,14),ROW()-1,FALSE))</x:f>
        <x:v>0</x:v>
      </x:c>
      <x:c r="O326">
        <x:f ca="1">IF(AND($B$1012=1,LEN($O$1329)&gt;0),$O$1329,HLOOKUP(INDIRECT(ADDRESS(2,COLUMN())),OFFSET($T$2,0,0,ROW()-1,14),ROW()-1,FALSE))</x:f>
        <x:v>0</x:v>
      </x:c>
      <x:c r="P326">
        <x:f ca="1">IF(AND($B$1012=1,LEN($P$1329)&gt;0),$P$1329,HLOOKUP(INDIRECT(ADDRESS(2,COLUMN())),OFFSET($T$2,0,0,ROW()-1,14),ROW()-1,FALSE))</x:f>
        <x:v>0</x:v>
      </x:c>
      <x:c r="Q326">
        <x:f ca="1">IF(AND($B$1012=1,LEN($Q$1329)&gt;0),$Q$1329,HLOOKUP(INDIRECT(ADDRESS(2,COLUMN())),OFFSET($T$2,0,0,ROW()-1,14),ROW()-1,FALSE))</x:f>
        <x:v>0</x:v>
      </x:c>
      <x:c r="R326">
        <x:f ca="1">IF(AND($B$1012=1,LEN($R$1329)&gt;0),$R$1329,HLOOKUP(INDIRECT(ADDRESS(2,COLUMN())),OFFSET($T$2,0,0,ROW()-1,14),ROW()-1,FALSE))</x:f>
        <x:v>0</x:v>
      </x:c>
      <x:c r="S326">
        <x:f ca="1">IF(AND($B$1012=1,LEN($S$1329)&gt;0),$S$1329,HLOOKUP(INDIRECT(ADDRESS(2,COLUMN())),OFFSET($T$2,0,0,ROW()-1,14),ROW()-1,FALSE))</x:f>
        <x:v>1.278054</x:v>
      </x:c>
      <x:c r="T326">
        <x:f>0</x:f>
        <x:v>0</x:v>
      </x:c>
      <x:c r="U326">
        <x:f>0</x:f>
        <x:v>0</x:v>
      </x:c>
      <x:c r="V326">
        <x:f>0</x:f>
        <x:v>0</x:v>
      </x:c>
      <x:c r="W326">
        <x:f>0</x:f>
        <x:v>0</x:v>
      </x:c>
      <x:c r="X326">
        <x:f>0</x:f>
        <x:v>0</x:v>
      </x:c>
      <x:c r="Y326">
        <x:f>0</x:f>
        <x:v>0</x:v>
      </x:c>
      <x:c r="Z326">
        <x:f>0</x:f>
        <x:v>0</x:v>
      </x:c>
      <x:c r="AA326">
        <x:f>0</x:f>
        <x:v>0</x:v>
      </x:c>
      <x:c r="AB326">
        <x:f>0</x:f>
        <x:v>0</x:v>
      </x:c>
      <x:c r="AC326">
        <x:f>0</x:f>
        <x:v>0</x:v>
      </x:c>
      <x:c r="AD326">
        <x:f>0</x:f>
        <x:v>0</x:v>
      </x:c>
      <x:c r="AE326">
        <x:f>0</x:f>
        <x:v>0</x:v>
      </x:c>
      <x:c r="AF326">
        <x:f>0</x:f>
        <x:v>0</x:v>
      </x:c>
      <x:c r="AG326">
        <x:f>1.278054</x:f>
        <x:v>1.278054</x:v>
      </x:c>
    </x:row>
    <x:row r="327" spans="1:33" x14ac:dyDescent="0.25">
      <x:c r="A327" t="str">
        <x:f>"    Industrial"</x:f>
        <x:v xml:space="preserve">    Industrial</x:v>
      </x:c>
      <x:c r="B327" t="str">
        <x:f>""</x:f>
        <x:v/>
      </x:c>
      <x:c r="E327" t="str">
        <x:f>"Sum"</x:f>
        <x:v>Sum</x:v>
      </x:c>
      <x:c r="F327">
        <x:f ca="1">IF(ISERROR(IF(SUM($F$328:$F$364) = 0, "", SUM($F$328:$F$364))), "", (IF(SUM($F$328:$F$364) = 0, "", SUM($F$328:$F$364))))</x:f>
        <x:v>-445.44995900000004</x:v>
      </x:c>
      <x:c r="G327">
        <x:f ca="1">IF(ISERROR(IF(SUM($G$328:$G$364) = 0, "", SUM($G$328:$G$364))), "", (IF(SUM($G$328:$G$364) = 0, "", SUM($G$328:$G$364))))</x:f>
        <x:v>-142.32296100000005</x:v>
      </x:c>
      <x:c r="H327">
        <x:f ca="1">IF(ISERROR(IF(SUM($H$328:$H$364) = 0, "", SUM($H$328:$H$364))), "", (IF(SUM($H$328:$H$364) = 0, "", SUM($H$328:$H$364))))</x:f>
        <x:v>-282.63633700000008</x:v>
      </x:c>
      <x:c r="I327">
        <x:f ca="1">IF(ISERROR(IF(SUM($I$328:$I$364) = 0, "", SUM($I$328:$I$364))), "", (IF(SUM($I$328:$I$364) = 0, "", SUM($I$328:$I$364))))</x:f>
        <x:v>-408.95493700000009</x:v>
      </x:c>
      <x:c r="J327">
        <x:f ca="1">IF(ISERROR(IF(SUM($J$328:$J$364) = 0, "", SUM($J$328:$J$364))), "", (IF(SUM($J$328:$J$364) = 0, "", SUM($J$328:$J$364))))</x:f>
        <x:v>1524.4742619999993</x:v>
      </x:c>
      <x:c r="K327">
        <x:f ca="1">IF(ISERROR(IF(SUM($K$328:$K$364) = 0, "", SUM($K$328:$K$364))), "", (IF(SUM($K$328:$K$364) = 0, "", SUM($K$328:$K$364))))</x:f>
        <x:v>1099.7964560000003</x:v>
      </x:c>
      <x:c r="L327">
        <x:f ca="1">IF(ISERROR(IF(SUM($L$328:$L$364) = 0, "", SUM($L$328:$L$364))), "", (IF(SUM($L$328:$L$364) = 0, "", SUM($L$328:$L$364))))</x:f>
        <x:v>-718.58406600000001</x:v>
      </x:c>
      <x:c r="M327">
        <x:f ca="1">IF(ISERROR(IF(SUM($M$328:$M$364) = 0, "", SUM($M$328:$M$364))), "", (IF(SUM($M$328:$M$364) = 0, "", SUM($M$328:$M$364))))</x:f>
        <x:v>-233.91888499999999</x:v>
      </x:c>
      <x:c r="N327">
        <x:f ca="1">IF(ISERROR(IF(SUM($N$328:$N$364) = 0, "", SUM($N$328:$N$364))), "", (IF(SUM($N$328:$N$364) = 0, "", SUM($N$328:$N$364))))</x:f>
        <x:v>-97.712961000000007</x:v>
      </x:c>
      <x:c r="O327">
        <x:f ca="1">IF(ISERROR(IF(SUM($O$328:$O$364) = 0, "", SUM($O$328:$O$364))), "", (IF(SUM($O$328:$O$364) = 0, "", SUM($O$328:$O$364))))</x:f>
        <x:v>823.38703200000009</x:v>
      </x:c>
      <x:c r="P327">
        <x:f ca="1">IF(ISERROR(IF(SUM($P$328:$P$364) = 0, "", SUM($P$328:$P$364))), "", (IF(SUM($P$328:$P$364) = 0, "", SUM($P$328:$P$364))))</x:f>
        <x:v>323.08865899999995</x:v>
      </x:c>
      <x:c r="Q327">
        <x:f ca="1">IF(ISERROR(IF(SUM($Q$328:$Q$364) = 0, "", SUM($Q$328:$Q$364))), "", (IF(SUM($Q$328:$Q$364) = 0, "", SUM($Q$328:$Q$364))))</x:f>
        <x:v>447.39451799999995</x:v>
      </x:c>
      <x:c r="R327">
        <x:f ca="1">IF(ISERROR(IF(SUM($R$328:$R$364) = 0, "", SUM($R$328:$R$364))), "", (IF(SUM($R$328:$R$364) = 0, "", SUM($R$328:$R$364))))</x:f>
        <x:v>386.40175300000004</x:v>
      </x:c>
      <x:c r="S327">
        <x:f ca="1">IF(ISERROR(IF(SUM($S$328:$S$364) = 0, "", SUM($S$328:$S$364))), "", (IF(SUM($S$328:$S$364) = 0, "", SUM($S$328:$S$364))))</x:f>
        <x:v>210.54156600000002</x:v>
      </x:c>
      <x:c r="T327">
        <x:f>-445.449959</x:f>
        <x:v>-445.44995899999998</x:v>
      </x:c>
      <x:c r="U327">
        <x:f>-142.322961</x:f>
        <x:v>-142.32296099999999</x:v>
      </x:c>
      <x:c r="V327">
        <x:f>-282.636337</x:f>
        <x:v>-282.63633700000003</x:v>
      </x:c>
      <x:c r="W327">
        <x:f>-408.954937</x:f>
        <x:v>-408.95493699999997</x:v>
      </x:c>
      <x:c r="X327">
        <x:f>1524.474262</x:f>
        <x:v>1524.474262</x:v>
      </x:c>
      <x:c r="Y327">
        <x:f>1099.796456</x:f>
        <x:v>1099.796456</x:v>
      </x:c>
      <x:c r="Z327">
        <x:f>-718.584066</x:f>
        <x:v>-718.58406600000001</x:v>
      </x:c>
      <x:c r="AA327">
        <x:f>-233.918885</x:f>
        <x:v>-233.91888499999999</x:v>
      </x:c>
      <x:c r="AB327">
        <x:f>-97.712961</x:f>
        <x:v>-97.712961000000007</x:v>
      </x:c>
      <x:c r="AC327">
        <x:f>823.387032</x:f>
        <x:v>823.38703199999998</x:v>
      </x:c>
      <x:c r="AD327">
        <x:f>323.088659</x:f>
        <x:v>323.08865900000001</x:v>
      </x:c>
      <x:c r="AE327">
        <x:f>447.394518</x:f>
        <x:v>447.39451800000001</x:v>
      </x:c>
      <x:c r="AF327">
        <x:f>386.401753</x:f>
        <x:v>386.40175299999999</x:v>
      </x:c>
      <x:c r="AG327">
        <x:f>210.541566</x:f>
        <x:v>210.54156599999999</x:v>
      </x:c>
    </x:row>
    <x:row r="328" spans="1:33" x14ac:dyDescent="0.25">
      <x:c r="A328" t="str">
        <x:f>"        Industrial Select Sector SPDR"</x:f>
        <x:v xml:space="preserve">        Industrial Select Sector SPDR</x:v>
      </x:c>
      <x:c r="B328" t="str">
        <x:f>"XLI US Equity"</x:f>
        <x:v>XLI US Equity</x:v>
      </x:c>
      <x:c r="E328" t="str">
        <x:f t="shared" ref="E328:E364" si="11">"Expression"</x:f>
        <x:v>Expression</x:v>
      </x:c>
      <x:c r="F328">
        <x:f ca="1">IF(AND($B$1012=1,LEN($F$1330)&gt;0),$F$1330,HLOOKUP(INDIRECT(ADDRESS(2,COLUMN())),OFFSET($T$2,0,0,ROW()-1,14),ROW()-1,FALSE))</x:f>
        <x:v>-476.92808600000001</x:v>
      </x:c>
      <x:c r="G328">
        <x:f ca="1">IF(AND($B$1012=1,LEN($G$1330)&gt;0),$G$1330,HLOOKUP(INDIRECT(ADDRESS(2,COLUMN())),OFFSET($T$2,0,0,ROW()-1,14),ROW()-1,FALSE))</x:f>
        <x:v>-140.88414700000001</x:v>
      </x:c>
      <x:c r="H328">
        <x:f ca="1">IF(AND($B$1012=1,LEN($H$1330)&gt;0),$H$1330,HLOOKUP(INDIRECT(ADDRESS(2,COLUMN())),OFFSET($T$2,0,0,ROW()-1,14),ROW()-1,FALSE))</x:f>
        <x:v>-34.011868999999997</x:v>
      </x:c>
      <x:c r="I328">
        <x:f ca="1">IF(AND($B$1012=1,LEN($I$1330)&gt;0),$I$1330,HLOOKUP(INDIRECT(ADDRESS(2,COLUMN())),OFFSET($T$2,0,0,ROW()-1,14),ROW()-1,FALSE))</x:f>
        <x:v>-446.94066500000002</x:v>
      </x:c>
      <x:c r="J328">
        <x:f ca="1">IF(AND($B$1012=1,LEN($J$1330)&gt;0),$J$1330,HLOOKUP(INDIRECT(ADDRESS(2,COLUMN())),OFFSET($T$2,0,0,ROW()-1,14),ROW()-1,FALSE))</x:f>
        <x:v>870.67030899999997</x:v>
      </x:c>
      <x:c r="K328">
        <x:f ca="1">IF(AND($B$1012=1,LEN($K$1330)&gt;0),$K$1330,HLOOKUP(INDIRECT(ADDRESS(2,COLUMN())),OFFSET($T$2,0,0,ROW()-1,14),ROW()-1,FALSE))</x:f>
        <x:v>1069.5011810000001</x:v>
      </x:c>
      <x:c r="L328">
        <x:f ca="1">IF(AND($B$1012=1,LEN($L$1330)&gt;0),$L$1330,HLOOKUP(INDIRECT(ADDRESS(2,COLUMN())),OFFSET($T$2,0,0,ROW()-1,14),ROW()-1,FALSE))</x:f>
        <x:v>-449.71653500000002</x:v>
      </x:c>
      <x:c r="M328">
        <x:f ca="1">IF(AND($B$1012=1,LEN($M$1330)&gt;0),$M$1330,HLOOKUP(INDIRECT(ADDRESS(2,COLUMN())),OFFSET($T$2,0,0,ROW()-1,14),ROW()-1,FALSE))</x:f>
        <x:v>-429.62248199999999</x:v>
      </x:c>
      <x:c r="N328">
        <x:f ca="1">IF(AND($B$1012=1,LEN($N$1330)&gt;0),$N$1330,HLOOKUP(INDIRECT(ADDRESS(2,COLUMN())),OFFSET($T$2,0,0,ROW()-1,14),ROW()-1,FALSE))</x:f>
        <x:v>-391.98539699999998</x:v>
      </x:c>
      <x:c r="O328">
        <x:f ca="1">IF(AND($B$1012=1,LEN($O$1330)&gt;0),$O$1330,HLOOKUP(INDIRECT(ADDRESS(2,COLUMN())),OFFSET($T$2,0,0,ROW()-1,14),ROW()-1,FALSE))</x:f>
        <x:v>284.54024099999998</x:v>
      </x:c>
      <x:c r="P328">
        <x:f ca="1">IF(AND($B$1012=1,LEN($P$1330)&gt;0),$P$1330,HLOOKUP(INDIRECT(ADDRESS(2,COLUMN())),OFFSET($T$2,0,0,ROW()-1,14),ROW()-1,FALSE))</x:f>
        <x:v>96.203320000000005</x:v>
      </x:c>
      <x:c r="Q328">
        <x:f ca="1">IF(AND($B$1012=1,LEN($Q$1330)&gt;0),$Q$1330,HLOOKUP(INDIRECT(ADDRESS(2,COLUMN())),OFFSET($T$2,0,0,ROW()-1,14),ROW()-1,FALSE))</x:f>
        <x:v>71.541644000000005</x:v>
      </x:c>
      <x:c r="R328">
        <x:f ca="1">IF(AND($B$1012=1,LEN($R$1330)&gt;0),$R$1330,HLOOKUP(INDIRECT(ADDRESS(2,COLUMN())),OFFSET($T$2,0,0,ROW()-1,14),ROW()-1,FALSE))</x:f>
        <x:v>59.238180999999997</x:v>
      </x:c>
      <x:c r="S328">
        <x:f ca="1">IF(AND($B$1012=1,LEN($S$1330)&gt;0),$S$1330,HLOOKUP(INDIRECT(ADDRESS(2,COLUMN())),OFFSET($T$2,0,0,ROW()-1,14),ROW()-1,FALSE))</x:f>
        <x:v>217.728374</x:v>
      </x:c>
      <x:c r="T328">
        <x:f>-476.928086</x:f>
        <x:v>-476.92808600000001</x:v>
      </x:c>
      <x:c r="U328">
        <x:f>-140.884147</x:f>
        <x:v>-140.88414700000001</x:v>
      </x:c>
      <x:c r="V328">
        <x:f>-34.011869</x:f>
        <x:v>-34.011868999999997</x:v>
      </x:c>
      <x:c r="W328">
        <x:f>-446.940665</x:f>
        <x:v>-446.94066500000002</x:v>
      </x:c>
      <x:c r="X328">
        <x:f>870.670309</x:f>
        <x:v>870.67030899999997</x:v>
      </x:c>
      <x:c r="Y328">
        <x:f>1069.501181</x:f>
        <x:v>1069.5011810000001</x:v>
      </x:c>
      <x:c r="Z328">
        <x:f>-449.716535</x:f>
        <x:v>-449.71653500000002</x:v>
      </x:c>
      <x:c r="AA328">
        <x:f>-429.622482</x:f>
        <x:v>-429.62248199999999</x:v>
      </x:c>
      <x:c r="AB328">
        <x:f>-391.985397</x:f>
        <x:v>-391.98539699999998</x:v>
      </x:c>
      <x:c r="AC328">
        <x:f>284.540241</x:f>
        <x:v>284.54024099999998</x:v>
      </x:c>
      <x:c r="AD328">
        <x:f>96.20332</x:f>
        <x:v>96.203320000000005</x:v>
      </x:c>
      <x:c r="AE328">
        <x:f>71.541644</x:f>
        <x:v>71.541644000000005</x:v>
      </x:c>
      <x:c r="AF328">
        <x:f>59.238181</x:f>
        <x:v>59.238180999999997</x:v>
      </x:c>
      <x:c r="AG328">
        <x:f>217.728374</x:f>
        <x:v>217.728374</x:v>
      </x:c>
    </x:row>
    <x:row r="329" spans="1:33" x14ac:dyDescent="0.25">
      <x:c r="A329" t="str">
        <x:f>"        Vanguard Industrials ETF"</x:f>
        <x:v xml:space="preserve">        Vanguard Industrials ETF</x:v>
      </x:c>
      <x:c r="B329" t="str">
        <x:f>"VIS US Equity"</x:f>
        <x:v>VIS US Equity</x:v>
      </x:c>
      <x:c r="E329" t="str">
        <x:f t="shared" si="11"/>
        <x:v>Expression</x:v>
      </x:c>
      <x:c r="F329">
        <x:f ca="1">IF(AND($B$1012=1,LEN($F$1331)&gt;0),$F$1331,HLOOKUP(INDIRECT(ADDRESS(2,COLUMN())),OFFSET($T$2,0,0,ROW()-1,14),ROW()-1,FALSE))</x:f>
        <x:v>-9.5773410000000005</x:v>
      </x:c>
      <x:c r="G329">
        <x:f ca="1">IF(AND($B$1012=1,LEN($G$1331)&gt;0),$G$1331,HLOOKUP(INDIRECT(ADDRESS(2,COLUMN())),OFFSET($T$2,0,0,ROW()-1,14),ROW()-1,FALSE))</x:f>
        <x:v>-393.18705799999998</x:v>
      </x:c>
      <x:c r="H329">
        <x:f ca="1">IF(AND($B$1012=1,LEN($H$1331)&gt;0),$H$1331,HLOOKUP(INDIRECT(ADDRESS(2,COLUMN())),OFFSET($T$2,0,0,ROW()-1,14),ROW()-1,FALSE))</x:f>
        <x:v>-24.896000000000001</x:v>
      </x:c>
      <x:c r="I329">
        <x:f ca="1">IF(AND($B$1012=1,LEN($I$1331)&gt;0),$I$1331,HLOOKUP(INDIRECT(ADDRESS(2,COLUMN())),OFFSET($T$2,0,0,ROW()-1,14),ROW()-1,FALSE))</x:f>
        <x:v>10.02425</x:v>
      </x:c>
      <x:c r="J329">
        <x:f ca="1">IF(AND($B$1012=1,LEN($J$1331)&gt;0),$J$1331,HLOOKUP(INDIRECT(ADDRESS(2,COLUMN())),OFFSET($T$2,0,0,ROW()-1,14),ROW()-1,FALSE))</x:f>
        <x:v>256.62299999999999</x:v>
      </x:c>
      <x:c r="K329">
        <x:f ca="1">IF(AND($B$1012=1,LEN($K$1331)&gt;0),$K$1331,HLOOKUP(INDIRECT(ADDRESS(2,COLUMN())),OFFSET($T$2,0,0,ROW()-1,14),ROW()-1,FALSE))</x:f>
        <x:v>74.909750000000003</x:v>
      </x:c>
      <x:c r="L329">
        <x:f ca="1">IF(AND($B$1012=1,LEN($L$1331)&gt;0),$L$1331,HLOOKUP(INDIRECT(ADDRESS(2,COLUMN())),OFFSET($T$2,0,0,ROW()-1,14),ROW()-1,FALSE))</x:f>
        <x:v>4.6159939999999997</x:v>
      </x:c>
      <x:c r="M329">
        <x:f ca="1">IF(AND($B$1012=1,LEN($M$1331)&gt;0),$M$1331,HLOOKUP(INDIRECT(ADDRESS(2,COLUMN())),OFFSET($T$2,0,0,ROW()-1,14),ROW()-1,FALSE))</x:f>
        <x:v>-46.47625</x:v>
      </x:c>
      <x:c r="N329">
        <x:f ca="1">IF(AND($B$1012=1,LEN($N$1331)&gt;0),$N$1331,HLOOKUP(INDIRECT(ADDRESS(2,COLUMN())),OFFSET($T$2,0,0,ROW()-1,14),ROW()-1,FALSE))</x:f>
        <x:v>36.221499999999999</x:v>
      </x:c>
      <x:c r="O329">
        <x:f ca="1">IF(AND($B$1012=1,LEN($O$1331)&gt;0),$O$1331,HLOOKUP(INDIRECT(ADDRESS(2,COLUMN())),OFFSET($T$2,0,0,ROW()-1,14),ROW()-1,FALSE))</x:f>
        <x:v>47.949249999999999</x:v>
      </x:c>
      <x:c r="P329">
        <x:f ca="1">IF(AND($B$1012=1,LEN($P$1331)&gt;0),$P$1331,HLOOKUP(INDIRECT(ADDRESS(2,COLUMN())),OFFSET($T$2,0,0,ROW()-1,14),ROW()-1,FALSE))</x:f>
        <x:v>-14.147500000000001</x:v>
      </x:c>
      <x:c r="Q329">
        <x:f ca="1">IF(AND($B$1012=1,LEN($Q$1331)&gt;0),$Q$1331,HLOOKUP(INDIRECT(ADDRESS(2,COLUMN())),OFFSET($T$2,0,0,ROW()-1,14),ROW()-1,FALSE))</x:f>
        <x:v>-9.4477499999999992</x:v>
      </x:c>
      <x:c r="R329">
        <x:f ca="1">IF(AND($B$1012=1,LEN($R$1331)&gt;0),$R$1331,HLOOKUP(INDIRECT(ADDRESS(2,COLUMN())),OFFSET($T$2,0,0,ROW()-1,14),ROW()-1,FALSE))</x:f>
        <x:v>96.753</x:v>
      </x:c>
      <x:c r="S329">
        <x:f ca="1">IF(AND($B$1012=1,LEN($S$1331)&gt;0),$S$1331,HLOOKUP(INDIRECT(ADDRESS(2,COLUMN())),OFFSET($T$2,0,0,ROW()-1,14),ROW()-1,FALSE))</x:f>
        <x:v>-44.181249999999999</x:v>
      </x:c>
      <x:c r="T329">
        <x:f>-9.577341</x:f>
        <x:v>-9.5773410000000005</x:v>
      </x:c>
      <x:c r="U329">
        <x:f>-393.187058</x:f>
        <x:v>-393.18705799999998</x:v>
      </x:c>
      <x:c r="V329">
        <x:f>-24.896</x:f>
        <x:v>-24.896000000000001</x:v>
      </x:c>
      <x:c r="W329">
        <x:f>10.02425</x:f>
        <x:v>10.02425</x:v>
      </x:c>
      <x:c r="X329">
        <x:f>256.623</x:f>
        <x:v>256.62299999999999</x:v>
      </x:c>
      <x:c r="Y329">
        <x:f>74.90975</x:f>
        <x:v>74.909750000000003</x:v>
      </x:c>
      <x:c r="Z329">
        <x:f>4.615994</x:f>
        <x:v>4.6159939999999997</x:v>
      </x:c>
      <x:c r="AA329">
        <x:f>-46.47625</x:f>
        <x:v>-46.47625</x:v>
      </x:c>
      <x:c r="AB329">
        <x:f>36.2215</x:f>
        <x:v>36.221499999999999</x:v>
      </x:c>
      <x:c r="AC329">
        <x:f>47.94925</x:f>
        <x:v>47.949249999999999</x:v>
      </x:c>
      <x:c r="AD329">
        <x:f>-14.1475</x:f>
        <x:v>-14.147500000000001</x:v>
      </x:c>
      <x:c r="AE329">
        <x:f>-9.44775</x:f>
        <x:v>-9.4477499999999992</x:v>
      </x:c>
      <x:c r="AF329">
        <x:f>96.753</x:f>
        <x:v>96.753</x:v>
      </x:c>
      <x:c r="AG329">
        <x:f>-44.18125</x:f>
        <x:v>-44.181249999999999</x:v>
      </x:c>
    </x:row>
    <x:row r="330" spans="1:33" x14ac:dyDescent="0.25">
      <x:c r="A330" t="str">
        <x:f>"        iShares US Aerospace &amp; Defense"</x:f>
        <x:v xml:space="preserve">        iShares US Aerospace &amp; Defense</x:v>
      </x:c>
      <x:c r="B330" t="str">
        <x:f>"ITA US Equity"</x:f>
        <x:v>ITA US Equity</x:v>
      </x:c>
      <x:c r="E330" t="str">
        <x:f t="shared" si="11"/>
        <x:v>Expression</x:v>
      </x:c>
      <x:c r="F330">
        <x:f ca="1">IF(AND($B$1012=1,LEN($F$1332)&gt;0),$F$1332,HLOOKUP(INDIRECT(ADDRESS(2,COLUMN())),OFFSET($T$2,0,0,ROW()-1,14),ROW()-1,FALSE))</x:f>
        <x:v>-23.635704</x:v>
      </x:c>
      <x:c r="G330">
        <x:f ca="1">IF(AND($B$1012=1,LEN($G$1332)&gt;0),$G$1332,HLOOKUP(INDIRECT(ADDRESS(2,COLUMN())),OFFSET($T$2,0,0,ROW()-1,14),ROW()-1,FALSE))</x:f>
        <x:v>160.97065799999999</x:v>
      </x:c>
      <x:c r="H330">
        <x:f ca="1">IF(AND($B$1012=1,LEN($H$1332)&gt;0),$H$1332,HLOOKUP(INDIRECT(ADDRESS(2,COLUMN())),OFFSET($T$2,0,0,ROW()-1,14),ROW()-1,FALSE))</x:f>
        <x:v>-226.273235</x:v>
      </x:c>
      <x:c r="I330">
        <x:f ca="1">IF(AND($B$1012=1,LEN($I$1332)&gt;0),$I$1332,HLOOKUP(INDIRECT(ADDRESS(2,COLUMN())),OFFSET($T$2,0,0,ROW()-1,14),ROW()-1,FALSE))</x:f>
        <x:v>-75.453545000000005</x:v>
      </x:c>
      <x:c r="J330">
        <x:f ca="1">IF(AND($B$1012=1,LEN($J$1332)&gt;0),$J$1332,HLOOKUP(INDIRECT(ADDRESS(2,COLUMN())),OFFSET($T$2,0,0,ROW()-1,14),ROW()-1,FALSE))</x:f>
        <x:v>-103.991625</x:v>
      </x:c>
      <x:c r="K330">
        <x:f ca="1">IF(AND($B$1012=1,LEN($K$1332)&gt;0),$K$1332,HLOOKUP(INDIRECT(ADDRESS(2,COLUMN())),OFFSET($T$2,0,0,ROW()-1,14),ROW()-1,FALSE))</x:f>
        <x:v>-126.51728</x:v>
      </x:c>
      <x:c r="L330">
        <x:f ca="1">IF(AND($B$1012=1,LEN($L$1332)&gt;0),$L$1332,HLOOKUP(INDIRECT(ADDRESS(2,COLUMN())),OFFSET($T$2,0,0,ROW()-1,14),ROW()-1,FALSE))</x:f>
        <x:v>-133.31273999999999</x:v>
      </x:c>
      <x:c r="M330">
        <x:f ca="1">IF(AND($B$1012=1,LEN($M$1332)&gt;0),$M$1332,HLOOKUP(INDIRECT(ADDRESS(2,COLUMN())),OFFSET($T$2,0,0,ROW()-1,14),ROW()-1,FALSE))</x:f>
        <x:v>138.81026499999999</x:v>
      </x:c>
      <x:c r="N330">
        <x:f ca="1">IF(AND($B$1012=1,LEN($N$1332)&gt;0),$N$1332,HLOOKUP(INDIRECT(ADDRESS(2,COLUMN())),OFFSET($T$2,0,0,ROW()-1,14),ROW()-1,FALSE))</x:f>
        <x:v>174.439075</x:v>
      </x:c>
      <x:c r="O330">
        <x:f ca="1">IF(AND($B$1012=1,LEN($O$1332)&gt;0),$O$1332,HLOOKUP(INDIRECT(ADDRESS(2,COLUMN())),OFFSET($T$2,0,0,ROW()-1,14),ROW()-1,FALSE))</x:f>
        <x:v>383.32704999999999</x:v>
      </x:c>
      <x:c r="P330">
        <x:f ca="1">IF(AND($B$1012=1,LEN($P$1332)&gt;0),$P$1332,HLOOKUP(INDIRECT(ADDRESS(2,COLUMN())),OFFSET($T$2,0,0,ROW()-1,14),ROW()-1,FALSE))</x:f>
        <x:v>453.08328499999999</x:v>
      </x:c>
      <x:c r="Q330">
        <x:f ca="1">IF(AND($B$1012=1,LEN($Q$1332)&gt;0),$Q$1332,HLOOKUP(INDIRECT(ADDRESS(2,COLUMN())),OFFSET($T$2,0,0,ROW()-1,14),ROW()-1,FALSE))</x:f>
        <x:v>233.01751999999999</x:v>
      </x:c>
      <x:c r="R330">
        <x:f ca="1">IF(AND($B$1012=1,LEN($R$1332)&gt;0),$R$1332,HLOOKUP(INDIRECT(ADDRESS(2,COLUMN())),OFFSET($T$2,0,0,ROW()-1,14),ROW()-1,FALSE))</x:f>
        <x:v>207.92252500000001</x:v>
      </x:c>
      <x:c r="S330">
        <x:f ca="1">IF(AND($B$1012=1,LEN($S$1332)&gt;0),$S$1332,HLOOKUP(INDIRECT(ADDRESS(2,COLUMN())),OFFSET($T$2,0,0,ROW()-1,14),ROW()-1,FALSE))</x:f>
        <x:v>58.956814999999999</x:v>
      </x:c>
      <x:c r="T330">
        <x:f>-23.635704</x:f>
        <x:v>-23.635704</x:v>
      </x:c>
      <x:c r="U330">
        <x:f>160.970658</x:f>
        <x:v>160.97065799999999</x:v>
      </x:c>
      <x:c r="V330">
        <x:f>-226.273235</x:f>
        <x:v>-226.273235</x:v>
      </x:c>
      <x:c r="W330">
        <x:f>-75.453545</x:f>
        <x:v>-75.453545000000005</x:v>
      </x:c>
      <x:c r="X330">
        <x:f>-103.991625</x:f>
        <x:v>-103.991625</x:v>
      </x:c>
      <x:c r="Y330">
        <x:f>-126.51728</x:f>
        <x:v>-126.51728</x:v>
      </x:c>
      <x:c r="Z330">
        <x:f>-133.31274</x:f>
        <x:v>-133.31273999999999</x:v>
      </x:c>
      <x:c r="AA330">
        <x:f>138.810265</x:f>
        <x:v>138.81026499999999</x:v>
      </x:c>
      <x:c r="AB330">
        <x:f>174.439075</x:f>
        <x:v>174.439075</x:v>
      </x:c>
      <x:c r="AC330">
        <x:f>383.32705</x:f>
        <x:v>383.32704999999999</x:v>
      </x:c>
      <x:c r="AD330">
        <x:f>453.083285</x:f>
        <x:v>453.08328499999999</x:v>
      </x:c>
      <x:c r="AE330">
        <x:f>233.01752</x:f>
        <x:v>233.01751999999999</x:v>
      </x:c>
      <x:c r="AF330">
        <x:f>207.922525</x:f>
        <x:v>207.92252500000001</x:v>
      </x:c>
      <x:c r="AG330">
        <x:f>58.956815</x:f>
        <x:v>58.956814999999999</x:v>
      </x:c>
    </x:row>
    <x:row r="331" spans="1:33" x14ac:dyDescent="0.25">
      <x:c r="A331" t="str">
        <x:f>"        First Trust Industrials/Produc"</x:f>
        <x:v xml:space="preserve">        First Trust Industrials/Produc</x:v>
      </x:c>
      <x:c r="B331" t="str">
        <x:f>"FXR US Equity"</x:f>
        <x:v>FXR US Equity</x:v>
      </x:c>
      <x:c r="E331" t="str">
        <x:f t="shared" si="11"/>
        <x:v>Expression</x:v>
      </x:c>
      <x:c r="F331">
        <x:f ca="1">IF(AND($B$1012=1,LEN($F$1333)&gt;0),$F$1333,HLOOKUP(INDIRECT(ADDRESS(2,COLUMN())),OFFSET($T$2,0,0,ROW()-1,14),ROW()-1,FALSE))</x:f>
        <x:v>-45.710448</x:v>
      </x:c>
      <x:c r="G331">
        <x:f ca="1">IF(AND($B$1012=1,LEN($G$1333)&gt;0),$G$1333,HLOOKUP(INDIRECT(ADDRESS(2,COLUMN())),OFFSET($T$2,0,0,ROW()-1,14),ROW()-1,FALSE))</x:f>
        <x:v>-60.524498000000001</x:v>
      </x:c>
      <x:c r="H331">
        <x:f ca="1">IF(AND($B$1012=1,LEN($H$1333)&gt;0),$H$1333,HLOOKUP(INDIRECT(ADDRESS(2,COLUMN())),OFFSET($T$2,0,0,ROW()-1,14),ROW()-1,FALSE))</x:f>
        <x:v>-14.944805000000001</x:v>
      </x:c>
      <x:c r="I331">
        <x:f ca="1">IF(AND($B$1012=1,LEN($I$1333)&gt;0),$I$1333,HLOOKUP(INDIRECT(ADDRESS(2,COLUMN())),OFFSET($T$2,0,0,ROW()-1,14),ROW()-1,FALSE))</x:f>
        <x:v>24.223458999999998</x:v>
      </x:c>
      <x:c r="J331">
        <x:f ca="1">IF(AND($B$1012=1,LEN($J$1333)&gt;0),$J$1333,HLOOKUP(INDIRECT(ADDRESS(2,COLUMN())),OFFSET($T$2,0,0,ROW()-1,14),ROW()-1,FALSE))</x:f>
        <x:v>25.211500000000001</x:v>
      </x:c>
      <x:c r="K331">
        <x:f ca="1">IF(AND($B$1012=1,LEN($K$1333)&gt;0),$K$1333,HLOOKUP(INDIRECT(ADDRESS(2,COLUMN())),OFFSET($T$2,0,0,ROW()-1,14),ROW()-1,FALSE))</x:f>
        <x:v>-23.794499999999999</x:v>
      </x:c>
      <x:c r="L331">
        <x:f ca="1">IF(AND($B$1012=1,LEN($L$1333)&gt;0),$L$1333,HLOOKUP(INDIRECT(ADDRESS(2,COLUMN())),OFFSET($T$2,0,0,ROW()-1,14),ROW()-1,FALSE))</x:f>
        <x:v>-10.7735</x:v>
      </x:c>
      <x:c r="M331">
        <x:f ca="1">IF(AND($B$1012=1,LEN($M$1333)&gt;0),$M$1333,HLOOKUP(INDIRECT(ADDRESS(2,COLUMN())),OFFSET($T$2,0,0,ROW()-1,14),ROW()-1,FALSE))</x:f>
        <x:v>-35.152999999999999</x:v>
      </x:c>
      <x:c r="N331">
        <x:f ca="1">IF(AND($B$1012=1,LEN($N$1333)&gt;0),$N$1333,HLOOKUP(INDIRECT(ADDRESS(2,COLUMN())),OFFSET($T$2,0,0,ROW()-1,14),ROW()-1,FALSE))</x:f>
        <x:v>-9.0519999999999996</x:v>
      </x:c>
      <x:c r="O331">
        <x:f ca="1">IF(AND($B$1012=1,LEN($O$1333)&gt;0),$O$1333,HLOOKUP(INDIRECT(ADDRESS(2,COLUMN())),OFFSET($T$2,0,0,ROW()-1,14),ROW()-1,FALSE))</x:f>
        <x:v>40.414999999999999</x:v>
      </x:c>
      <x:c r="P331">
        <x:f ca="1">IF(AND($B$1012=1,LEN($P$1333)&gt;0),$P$1333,HLOOKUP(INDIRECT(ADDRESS(2,COLUMN())),OFFSET($T$2,0,0,ROW()-1,14),ROW()-1,FALSE))</x:f>
        <x:v>0.29499999999999998</x:v>
      </x:c>
      <x:c r="Q331">
        <x:f ca="1">IF(AND($B$1012=1,LEN($Q$1333)&gt;0),$Q$1333,HLOOKUP(INDIRECT(ADDRESS(2,COLUMN())),OFFSET($T$2,0,0,ROW()-1,14),ROW()-1,FALSE))</x:f>
        <x:v>-15.218370999999999</x:v>
      </x:c>
      <x:c r="R331">
        <x:f ca="1">IF(AND($B$1012=1,LEN($R$1333)&gt;0),$R$1333,HLOOKUP(INDIRECT(ADDRESS(2,COLUMN())),OFFSET($T$2,0,0,ROW()-1,14),ROW()-1,FALSE))</x:f>
        <x:v>7.0261430000000002</x:v>
      </x:c>
      <x:c r="S331">
        <x:f ca="1">IF(AND($B$1012=1,LEN($S$1333)&gt;0),$S$1333,HLOOKUP(INDIRECT(ADDRESS(2,COLUMN())),OFFSET($T$2,0,0,ROW()-1,14),ROW()-1,FALSE))</x:f>
        <x:v>-33.726230000000001</x:v>
      </x:c>
      <x:c r="T331">
        <x:f>-45.710448</x:f>
        <x:v>-45.710448</x:v>
      </x:c>
      <x:c r="U331">
        <x:f>-60.524498</x:f>
        <x:v>-60.524498000000001</x:v>
      </x:c>
      <x:c r="V331">
        <x:f>-14.944805</x:f>
        <x:v>-14.944805000000001</x:v>
      </x:c>
      <x:c r="W331">
        <x:f>24.223459</x:f>
        <x:v>24.223458999999998</x:v>
      </x:c>
      <x:c r="X331">
        <x:f>25.2115</x:f>
        <x:v>25.211500000000001</x:v>
      </x:c>
      <x:c r="Y331">
        <x:f>-23.7945</x:f>
        <x:v>-23.794499999999999</x:v>
      </x:c>
      <x:c r="Z331">
        <x:f>-10.7735</x:f>
        <x:v>-10.7735</x:v>
      </x:c>
      <x:c r="AA331">
        <x:f>-35.153</x:f>
        <x:v>-35.152999999999999</x:v>
      </x:c>
      <x:c r="AB331">
        <x:f>-9.052</x:f>
        <x:v>-9.0519999999999996</x:v>
      </x:c>
      <x:c r="AC331">
        <x:f>40.415</x:f>
        <x:v>40.414999999999999</x:v>
      </x:c>
      <x:c r="AD331">
        <x:f>0.295</x:f>
        <x:v>0.29499999999999998</x:v>
      </x:c>
      <x:c r="AE331">
        <x:f>-15.218371</x:f>
        <x:v>-15.218370999999999</x:v>
      </x:c>
      <x:c r="AF331">
        <x:f>7.026143</x:f>
        <x:v>7.0261430000000002</x:v>
      </x:c>
      <x:c r="AG331">
        <x:f>-33.72623</x:f>
        <x:v>-33.726230000000001</x:v>
      </x:c>
    </x:row>
    <x:row r="332" spans="1:33" x14ac:dyDescent="0.25">
      <x:c r="A332" t="str">
        <x:f>"        iShares U.S. Industrials ETF"</x:f>
        <x:v xml:space="preserve">        iShares U.S. Industrials ETF</x:v>
      </x:c>
      <x:c r="B332" t="str">
        <x:f>"IYJ US Equity"</x:f>
        <x:v>IYJ US Equity</x:v>
      </x:c>
      <x:c r="E332" t="str">
        <x:f t="shared" si="11"/>
        <x:v>Expression</x:v>
      </x:c>
      <x:c r="F332">
        <x:f ca="1">IF(AND($B$1012=1,LEN($F$1334)&gt;0),$F$1334,HLOOKUP(INDIRECT(ADDRESS(2,COLUMN())),OFFSET($T$2,0,0,ROW()-1,14),ROW()-1,FALSE))</x:f>
        <x:v>-10.09774</x:v>
      </x:c>
      <x:c r="G332">
        <x:f ca="1">IF(AND($B$1012=1,LEN($G$1334)&gt;0),$G$1334,HLOOKUP(INDIRECT(ADDRESS(2,COLUMN())),OFFSET($T$2,0,0,ROW()-1,14),ROW()-1,FALSE))</x:f>
        <x:v>-9.7824690000000007</x:v>
      </x:c>
      <x:c r="H332">
        <x:f ca="1">IF(AND($B$1012=1,LEN($H$1334)&gt;0),$H$1334,HLOOKUP(INDIRECT(ADDRESS(2,COLUMN())),OFFSET($T$2,0,0,ROW()-1,14),ROW()-1,FALSE))</x:f>
        <x:v>-52.221815999999997</x:v>
      </x:c>
      <x:c r="I332">
        <x:f ca="1">IF(AND($B$1012=1,LEN($I$1334)&gt;0),$I$1334,HLOOKUP(INDIRECT(ADDRESS(2,COLUMN())),OFFSET($T$2,0,0,ROW()-1,14),ROW()-1,FALSE))</x:f>
        <x:v>-15.820155</x:v>
      </x:c>
      <x:c r="J332">
        <x:f ca="1">IF(AND($B$1012=1,LEN($J$1334)&gt;0),$J$1334,HLOOKUP(INDIRECT(ADDRESS(2,COLUMN())),OFFSET($T$2,0,0,ROW()-1,14),ROW()-1,FALSE))</x:f>
        <x:v>96.978125000000006</x:v>
      </x:c>
      <x:c r="K332">
        <x:f ca="1">IF(AND($B$1012=1,LEN($K$1334)&gt;0),$K$1334,HLOOKUP(INDIRECT(ADDRESS(2,COLUMN())),OFFSET($T$2,0,0,ROW()-1,14),ROW()-1,FALSE))</x:f>
        <x:v>-107.398995</x:v>
      </x:c>
      <x:c r="L332">
        <x:f ca="1">IF(AND($B$1012=1,LEN($L$1334)&gt;0),$L$1334,HLOOKUP(INDIRECT(ADDRESS(2,COLUMN())),OFFSET($T$2,0,0,ROW()-1,14),ROW()-1,FALSE))</x:f>
        <x:v>-9.8900600000000001</x:v>
      </x:c>
      <x:c r="M332">
        <x:f ca="1">IF(AND($B$1012=1,LEN($M$1334)&gt;0),$M$1334,HLOOKUP(INDIRECT(ADDRESS(2,COLUMN())),OFFSET($T$2,0,0,ROW()-1,14),ROW()-1,FALSE))</x:f>
        <x:v>-10.024975</x:v>
      </x:c>
      <x:c r="N332">
        <x:f ca="1">IF(AND($B$1012=1,LEN($N$1334)&gt;0),$N$1334,HLOOKUP(INDIRECT(ADDRESS(2,COLUMN())),OFFSET($T$2,0,0,ROW()-1,14),ROW()-1,FALSE))</x:f>
        <x:v>-19.771474999999999</x:v>
      </x:c>
      <x:c r="O332">
        <x:f ca="1">IF(AND($B$1012=1,LEN($O$1334)&gt;0),$O$1334,HLOOKUP(INDIRECT(ADDRESS(2,COLUMN())),OFFSET($T$2,0,0,ROW()-1,14),ROW()-1,FALSE))</x:f>
        <x:v>-10.191509999999999</x:v>
      </x:c>
      <x:c r="P332">
        <x:f ca="1">IF(AND($B$1012=1,LEN($P$1334)&gt;0),$P$1334,HLOOKUP(INDIRECT(ADDRESS(2,COLUMN())),OFFSET($T$2,0,0,ROW()-1,14),ROW()-1,FALSE))</x:f>
        <x:v>-79.771664999999999</x:v>
      </x:c>
      <x:c r="Q332">
        <x:f ca="1">IF(AND($B$1012=1,LEN($Q$1334)&gt;0),$Q$1334,HLOOKUP(INDIRECT(ADDRESS(2,COLUMN())),OFFSET($T$2,0,0,ROW()-1,14),ROW()-1,FALSE))</x:f>
        <x:v>202.80197999999999</x:v>
      </x:c>
      <x:c r="R332">
        <x:f ca="1">IF(AND($B$1012=1,LEN($R$1334)&gt;0),$R$1334,HLOOKUP(INDIRECT(ADDRESS(2,COLUMN())),OFFSET($T$2,0,0,ROW()-1,14),ROW()-1,FALSE))</x:f>
        <x:v>-4.91934</x:v>
      </x:c>
      <x:c r="S332">
        <x:f ca="1">IF(AND($B$1012=1,LEN($S$1334)&gt;0),$S$1334,HLOOKUP(INDIRECT(ADDRESS(2,COLUMN())),OFFSET($T$2,0,0,ROW()-1,14),ROW()-1,FALSE))</x:f>
        <x:v>-21.869289999999999</x:v>
      </x:c>
      <x:c r="T332">
        <x:f>-10.09774</x:f>
        <x:v>-10.09774</x:v>
      </x:c>
      <x:c r="U332">
        <x:f>-9.782469</x:f>
        <x:v>-9.7824690000000007</x:v>
      </x:c>
      <x:c r="V332">
        <x:f>-52.221816</x:f>
        <x:v>-52.221815999999997</x:v>
      </x:c>
      <x:c r="W332">
        <x:f>-15.820155</x:f>
        <x:v>-15.820155</x:v>
      </x:c>
      <x:c r="X332">
        <x:f>96.978125</x:f>
        <x:v>96.978125000000006</x:v>
      </x:c>
      <x:c r="Y332">
        <x:f>-107.398995</x:f>
        <x:v>-107.398995</x:v>
      </x:c>
      <x:c r="Z332">
        <x:f>-9.89006</x:f>
        <x:v>-9.8900600000000001</x:v>
      </x:c>
      <x:c r="AA332">
        <x:f>-10.024975</x:f>
        <x:v>-10.024975</x:v>
      </x:c>
      <x:c r="AB332">
        <x:f>-19.771475</x:f>
        <x:v>-19.771474999999999</x:v>
      </x:c>
      <x:c r="AC332">
        <x:f>-10.19151</x:f>
        <x:v>-10.191509999999999</x:v>
      </x:c>
      <x:c r="AD332">
        <x:f>-79.771665</x:f>
        <x:v>-79.771664999999999</x:v>
      </x:c>
      <x:c r="AE332">
        <x:f>202.80198</x:f>
        <x:v>202.80197999999999</x:v>
      </x:c>
      <x:c r="AF332">
        <x:f>-4.91934</x:f>
        <x:v>-4.91934</x:v>
      </x:c>
      <x:c r="AG332">
        <x:f>-21.86929</x:f>
        <x:v>-21.869289999999999</x:v>
      </x:c>
    </x:row>
    <x:row r="333" spans="1:33" x14ac:dyDescent="0.25">
      <x:c r="A333" t="str">
        <x:f>"        iShares US Transportation ETF"</x:f>
        <x:v xml:space="preserve">        iShares US Transportation ETF</x:v>
      </x:c>
      <x:c r="B333" t="str">
        <x:f>"IYT US Equity"</x:f>
        <x:v>IYT US Equity</x:v>
      </x:c>
      <x:c r="E333" t="str">
        <x:f t="shared" si="11"/>
        <x:v>Expression</x:v>
      </x:c>
      <x:c r="F333">
        <x:f ca="1">IF(AND($B$1012=1,LEN($F$1335)&gt;0),$F$1335,HLOOKUP(INDIRECT(ADDRESS(2,COLUMN())),OFFSET($T$2,0,0,ROW()-1,14),ROW()-1,FALSE))</x:f>
        <x:v>-10.889996999999999</x:v>
      </x:c>
      <x:c r="G333">
        <x:f ca="1">IF(AND($B$1012=1,LEN($G$1335)&gt;0),$G$1335,HLOOKUP(INDIRECT(ADDRESS(2,COLUMN())),OFFSET($T$2,0,0,ROW()-1,14),ROW()-1,FALSE))</x:f>
        <x:v>-22.361554999999999</x:v>
      </x:c>
      <x:c r="H333">
        <x:f ca="1">IF(AND($B$1012=1,LEN($H$1335)&gt;0),$H$1335,HLOOKUP(INDIRECT(ADDRESS(2,COLUMN())),OFFSET($T$2,0,0,ROW()-1,14),ROW()-1,FALSE))</x:f>
        <x:v>-165.855141</x:v>
      </x:c>
      <x:c r="I333">
        <x:f ca="1">IF(AND($B$1012=1,LEN($I$1335)&gt;0),$I$1335,HLOOKUP(INDIRECT(ADDRESS(2,COLUMN())),OFFSET($T$2,0,0,ROW()-1,14),ROW()-1,FALSE))</x:f>
        <x:v>-36.941605000000003</x:v>
      </x:c>
      <x:c r="J333">
        <x:f ca="1">IF(AND($B$1012=1,LEN($J$1335)&gt;0),$J$1335,HLOOKUP(INDIRECT(ADDRESS(2,COLUMN())),OFFSET($T$2,0,0,ROW()-1,14),ROW()-1,FALSE))</x:f>
        <x:v>182.24024499999999</x:v>
      </x:c>
      <x:c r="K333">
        <x:f ca="1">IF(AND($B$1012=1,LEN($K$1335)&gt;0),$K$1335,HLOOKUP(INDIRECT(ADDRESS(2,COLUMN())),OFFSET($T$2,0,0,ROW()-1,14),ROW()-1,FALSE))</x:f>
        <x:v>116.60445</x:v>
      </x:c>
      <x:c r="L333">
        <x:f ca="1">IF(AND($B$1012=1,LEN($L$1335)&gt;0),$L$1335,HLOOKUP(INDIRECT(ADDRESS(2,COLUMN())),OFFSET($T$2,0,0,ROW()-1,14),ROW()-1,FALSE))</x:f>
        <x:v>-67.843819999999994</x:v>
      </x:c>
      <x:c r="M333">
        <x:f ca="1">IF(AND($B$1012=1,LEN($M$1335)&gt;0),$M$1335,HLOOKUP(INDIRECT(ADDRESS(2,COLUMN())),OFFSET($T$2,0,0,ROW()-1,14),ROW()-1,FALSE))</x:f>
        <x:v>66.653745000000001</x:v>
      </x:c>
      <x:c r="N333">
        <x:f ca="1">IF(AND($B$1012=1,LEN($N$1335)&gt;0),$N$1335,HLOOKUP(INDIRECT(ADDRESS(2,COLUMN())),OFFSET($T$2,0,0,ROW()-1,14),ROW()-1,FALSE))</x:f>
        <x:v>2.0288550000000001</x:v>
      </x:c>
      <x:c r="O333">
        <x:f ca="1">IF(AND($B$1012=1,LEN($O$1335)&gt;0),$O$1335,HLOOKUP(INDIRECT(ADDRESS(2,COLUMN())),OFFSET($T$2,0,0,ROW()-1,14),ROW()-1,FALSE))</x:f>
        <x:v>-2.3523849999999999</x:v>
      </x:c>
      <x:c r="P333">
        <x:f ca="1">IF(AND($B$1012=1,LEN($P$1335)&gt;0),$P$1335,HLOOKUP(INDIRECT(ADDRESS(2,COLUMN())),OFFSET($T$2,0,0,ROW()-1,14),ROW()-1,FALSE))</x:f>
        <x:v>23.34018</x:v>
      </x:c>
      <x:c r="Q333">
        <x:f ca="1">IF(AND($B$1012=1,LEN($Q$1335)&gt;0),$Q$1335,HLOOKUP(INDIRECT(ADDRESS(2,COLUMN())),OFFSET($T$2,0,0,ROW()-1,14),ROW()-1,FALSE))</x:f>
        <x:v>20.782530000000001</x:v>
      </x:c>
      <x:c r="R333">
        <x:f ca="1">IF(AND($B$1012=1,LEN($R$1335)&gt;0),$R$1335,HLOOKUP(INDIRECT(ADDRESS(2,COLUMN())),OFFSET($T$2,0,0,ROW()-1,14),ROW()-1,FALSE))</x:f>
        <x:v>-98.236864999999995</x:v>
      </x:c>
      <x:c r="S333">
        <x:f ca="1">IF(AND($B$1012=1,LEN($S$1335)&gt;0),$S$1335,HLOOKUP(INDIRECT(ADDRESS(2,COLUMN())),OFFSET($T$2,0,0,ROW()-1,14),ROW()-1,FALSE))</x:f>
        <x:v>-7.3706649999999998</x:v>
      </x:c>
      <x:c r="T333">
        <x:f>-10.889997</x:f>
        <x:v>-10.889996999999999</x:v>
      </x:c>
      <x:c r="U333">
        <x:f>-22.361555</x:f>
        <x:v>-22.361554999999999</x:v>
      </x:c>
      <x:c r="V333">
        <x:f>-165.855141</x:f>
        <x:v>-165.855141</x:v>
      </x:c>
      <x:c r="W333">
        <x:f>-36.941605</x:f>
        <x:v>-36.941605000000003</x:v>
      </x:c>
      <x:c r="X333">
        <x:f>182.240245</x:f>
        <x:v>182.24024499999999</x:v>
      </x:c>
      <x:c r="Y333">
        <x:f>116.60445</x:f>
        <x:v>116.60445</x:v>
      </x:c>
      <x:c r="Z333">
        <x:f>-67.84382</x:f>
        <x:v>-67.843819999999994</x:v>
      </x:c>
      <x:c r="AA333">
        <x:f>66.653745</x:f>
        <x:v>66.653745000000001</x:v>
      </x:c>
      <x:c r="AB333">
        <x:f>2.028855</x:f>
        <x:v>2.0288550000000001</x:v>
      </x:c>
      <x:c r="AC333">
        <x:f>-2.352385</x:f>
        <x:v>-2.3523849999999999</x:v>
      </x:c>
      <x:c r="AD333">
        <x:f>23.34018</x:f>
        <x:v>23.34018</x:v>
      </x:c>
      <x:c r="AE333">
        <x:f>20.78253</x:f>
        <x:v>20.782530000000001</x:v>
      </x:c>
      <x:c r="AF333">
        <x:f>-98.236865</x:f>
        <x:v>-98.236864999999995</x:v>
      </x:c>
      <x:c r="AG333">
        <x:f>-7.370665</x:f>
        <x:v>-7.3706649999999998</x:v>
      </x:c>
    </x:row>
    <x:row r="334" spans="1:33" x14ac:dyDescent="0.25">
      <x:c r="A334" t="str">
        <x:f>"        SPDR S&amp;P Aerospace &amp; Defense E"</x:f>
        <x:v xml:space="preserve">        SPDR S&amp;P Aerospace &amp; Defense E</x:v>
      </x:c>
      <x:c r="B334" t="str">
        <x:f>"XAR US Equity"</x:f>
        <x:v>XAR US Equity</x:v>
      </x:c>
      <x:c r="E334" t="str">
        <x:f t="shared" si="11"/>
        <x:v>Expression</x:v>
      </x:c>
      <x:c r="F334">
        <x:f ca="1">IF(AND($B$1012=1,LEN($F$1336)&gt;0),$F$1336,HLOOKUP(INDIRECT(ADDRESS(2,COLUMN())),OFFSET($T$2,0,0,ROW()-1,14),ROW()-1,FALSE))</x:f>
        <x:v>45.360010000000003</x:v>
      </x:c>
      <x:c r="G334">
        <x:f ca="1">IF(AND($B$1012=1,LEN($G$1336)&gt;0),$G$1336,HLOOKUP(INDIRECT(ADDRESS(2,COLUMN())),OFFSET($T$2,0,0,ROW()-1,14),ROW()-1,FALSE))</x:f>
        <x:v>118.191008</x:v>
      </x:c>
      <x:c r="H334">
        <x:f ca="1">IF(AND($B$1012=1,LEN($H$1336)&gt;0),$H$1336,HLOOKUP(INDIRECT(ADDRESS(2,COLUMN())),OFFSET($T$2,0,0,ROW()-1,14),ROW()-1,FALSE))</x:f>
        <x:v>5.7943429999999996</x:v>
      </x:c>
      <x:c r="I334">
        <x:f ca="1">IF(AND($B$1012=1,LEN($I$1336)&gt;0),$I$1336,HLOOKUP(INDIRECT(ADDRESS(2,COLUMN())),OFFSET($T$2,0,0,ROW()-1,14),ROW()-1,FALSE))</x:f>
        <x:v>12.255850000000001</x:v>
      </x:c>
      <x:c r="J334">
        <x:f ca="1">IF(AND($B$1012=1,LEN($J$1336)&gt;0),$J$1336,HLOOKUP(INDIRECT(ADDRESS(2,COLUMN())),OFFSET($T$2,0,0,ROW()-1,14),ROW()-1,FALSE))</x:f>
        <x:v>12.230084</x:v>
      </x:c>
      <x:c r="K334">
        <x:f ca="1">IF(AND($B$1012=1,LEN($K$1336)&gt;0),$K$1336,HLOOKUP(INDIRECT(ADDRESS(2,COLUMN())),OFFSET($T$2,0,0,ROW()-1,14),ROW()-1,FALSE))</x:f>
        <x:v>-5.6254780000000002</x:v>
      </x:c>
      <x:c r="L334">
        <x:f ca="1">IF(AND($B$1012=1,LEN($L$1336)&gt;0),$L$1336,HLOOKUP(INDIRECT(ADDRESS(2,COLUMN())),OFFSET($T$2,0,0,ROW()-1,14),ROW()-1,FALSE))</x:f>
        <x:v>-11.308882000000001</x:v>
      </x:c>
      <x:c r="M334">
        <x:f ca="1">IF(AND($B$1012=1,LEN($M$1336)&gt;0),$M$1336,HLOOKUP(INDIRECT(ADDRESS(2,COLUMN())),OFFSET($T$2,0,0,ROW()-1,14),ROW()-1,FALSE))</x:f>
        <x:v>5.9803230000000003</x:v>
      </x:c>
      <x:c r="N334">
        <x:f ca="1">IF(AND($B$1012=1,LEN($N$1336)&gt;0),$N$1336,HLOOKUP(INDIRECT(ADDRESS(2,COLUMN())),OFFSET($T$2,0,0,ROW()-1,14),ROW()-1,FALSE))</x:f>
        <x:v>12.335039999999999</x:v>
      </x:c>
      <x:c r="O334">
        <x:f ca="1">IF(AND($B$1012=1,LEN($O$1336)&gt;0),$O$1336,HLOOKUP(INDIRECT(ADDRESS(2,COLUMN())),OFFSET($T$2,0,0,ROW()-1,14),ROW()-1,FALSE))</x:f>
        <x:v>38.925955999999999</x:v>
      </x:c>
      <x:c r="P334">
        <x:f ca="1">IF(AND($B$1012=1,LEN($P$1336)&gt;0),$P$1336,HLOOKUP(INDIRECT(ADDRESS(2,COLUMN())),OFFSET($T$2,0,0,ROW()-1,14),ROW()-1,FALSE))</x:f>
        <x:v>14.349643</x:v>
      </x:c>
      <x:c r="Q334">
        <x:f ca="1">IF(AND($B$1012=1,LEN($Q$1336)&gt;0),$Q$1336,HLOOKUP(INDIRECT(ADDRESS(2,COLUMN())),OFFSET($T$2,0,0,ROW()-1,14),ROW()-1,FALSE))</x:f>
        <x:v>8.1976220000000009</x:v>
      </x:c>
      <x:c r="R334">
        <x:f ca="1">IF(AND($B$1012=1,LEN($R$1336)&gt;0),$R$1336,HLOOKUP(INDIRECT(ADDRESS(2,COLUMN())),OFFSET($T$2,0,0,ROW()-1,14),ROW()-1,FALSE))</x:f>
        <x:v>7.6961680000000001</x:v>
      </x:c>
      <x:c r="S334">
        <x:f ca="1">IF(AND($B$1012=1,LEN($S$1336)&gt;0),$S$1336,HLOOKUP(INDIRECT(ADDRESS(2,COLUMN())),OFFSET($T$2,0,0,ROW()-1,14),ROW()-1,FALSE))</x:f>
        <x:v>5.6389329999999998</x:v>
      </x:c>
      <x:c r="T334">
        <x:f>45.36001</x:f>
        <x:v>45.360010000000003</x:v>
      </x:c>
      <x:c r="U334">
        <x:f>118.191008</x:f>
        <x:v>118.191008</x:v>
      </x:c>
      <x:c r="V334">
        <x:f>5.794343</x:f>
        <x:v>5.7943429999999996</x:v>
      </x:c>
      <x:c r="W334">
        <x:f>12.25585</x:f>
        <x:v>12.255850000000001</x:v>
      </x:c>
      <x:c r="X334">
        <x:f>12.230084</x:f>
        <x:v>12.230084</x:v>
      </x:c>
      <x:c r="Y334">
        <x:f>-5.625478</x:f>
        <x:v>-5.6254780000000002</x:v>
      </x:c>
      <x:c r="Z334">
        <x:f>-11.308882</x:f>
        <x:v>-11.308882000000001</x:v>
      </x:c>
      <x:c r="AA334">
        <x:f>5.980323</x:f>
        <x:v>5.9803230000000003</x:v>
      </x:c>
      <x:c r="AB334">
        <x:f>12.33504</x:f>
        <x:v>12.335039999999999</x:v>
      </x:c>
      <x:c r="AC334">
        <x:f>38.925956</x:f>
        <x:v>38.925955999999999</x:v>
      </x:c>
      <x:c r="AD334">
        <x:f>14.349643</x:f>
        <x:v>14.349643</x:v>
      </x:c>
      <x:c r="AE334">
        <x:f>8.197622</x:f>
        <x:v>8.1976220000000009</x:v>
      </x:c>
      <x:c r="AF334">
        <x:f>7.696168</x:f>
        <x:v>7.6961680000000001</x:v>
      </x:c>
      <x:c r="AG334">
        <x:f>5.638933</x:f>
        <x:v>5.6389329999999998</x:v>
      </x:c>
    </x:row>
    <x:row r="335" spans="1:33" x14ac:dyDescent="0.25">
      <x:c r="A335" t="str">
        <x:f>"        Invesco Aerospace &amp; Defense ET"</x:f>
        <x:v xml:space="preserve">        Invesco Aerospace &amp; Defense ET</x:v>
      </x:c>
      <x:c r="B335" t="str">
        <x:f>"PPA US Equity"</x:f>
        <x:v>PPA US Equity</x:v>
      </x:c>
      <x:c r="E335" t="str">
        <x:f t="shared" si="11"/>
        <x:v>Expression</x:v>
      </x:c>
      <x:c r="F335">
        <x:f ca="1">IF(AND($B$1012=1,LEN($F$1337)&gt;0),$F$1337,HLOOKUP(INDIRECT(ADDRESS(2,COLUMN())),OFFSET($T$2,0,0,ROW()-1,14),ROW()-1,FALSE))</x:f>
        <x:v>103.017037</x:v>
      </x:c>
      <x:c r="G335">
        <x:f ca="1">IF(AND($B$1012=1,LEN($G$1337)&gt;0),$G$1337,HLOOKUP(INDIRECT(ADDRESS(2,COLUMN())),OFFSET($T$2,0,0,ROW()-1,14),ROW()-1,FALSE))</x:f>
        <x:v>179.80318399999999</x:v>
      </x:c>
      <x:c r="H335">
        <x:f ca="1">IF(AND($B$1012=1,LEN($H$1337)&gt;0),$H$1337,HLOOKUP(INDIRECT(ADDRESS(2,COLUMN())),OFFSET($T$2,0,0,ROW()-1,14),ROW()-1,FALSE))</x:f>
        <x:v>27.679190999999999</x:v>
      </x:c>
      <x:c r="I335">
        <x:f ca="1">IF(AND($B$1012=1,LEN($I$1337)&gt;0),$I$1337,HLOOKUP(INDIRECT(ADDRESS(2,COLUMN())),OFFSET($T$2,0,0,ROW()-1,14),ROW()-1,FALSE))</x:f>
        <x:v>19.237396</x:v>
      </x:c>
      <x:c r="J335">
        <x:f ca="1">IF(AND($B$1012=1,LEN($J$1337)&gt;0),$J$1337,HLOOKUP(INDIRECT(ADDRESS(2,COLUMN())),OFFSET($T$2,0,0,ROW()-1,14),ROW()-1,FALSE))</x:f>
        <x:v>38.951022000000002</x:v>
      </x:c>
      <x:c r="K335">
        <x:f ca="1">IF(AND($B$1012=1,LEN($K$1337)&gt;0),$K$1337,HLOOKUP(INDIRECT(ADDRESS(2,COLUMN())),OFFSET($T$2,0,0,ROW()-1,14),ROW()-1,FALSE))</x:f>
        <x:v>6.1737099999999998</x:v>
      </x:c>
      <x:c r="L335">
        <x:f ca="1">IF(AND($B$1012=1,LEN($L$1337)&gt;0),$L$1337,HLOOKUP(INDIRECT(ADDRESS(2,COLUMN())),OFFSET($T$2,0,0,ROW()-1,14),ROW()-1,FALSE))</x:f>
        <x:v>-33.919837999999999</x:v>
      </x:c>
      <x:c r="M335">
        <x:f ca="1">IF(AND($B$1012=1,LEN($M$1337)&gt;0),$M$1337,HLOOKUP(INDIRECT(ADDRESS(2,COLUMN())),OFFSET($T$2,0,0,ROW()-1,14),ROW()-1,FALSE))</x:f>
        <x:v>29.058952999999999</x:v>
      </x:c>
      <x:c r="N335">
        <x:f ca="1">IF(AND($B$1012=1,LEN($N$1337)&gt;0),$N$1337,HLOOKUP(INDIRECT(ADDRESS(2,COLUMN())),OFFSET($T$2,0,0,ROW()-1,14),ROW()-1,FALSE))</x:f>
        <x:v>39.520052</x:v>
      </x:c>
      <x:c r="O335">
        <x:f ca="1">IF(AND($B$1012=1,LEN($O$1337)&gt;0),$O$1337,HLOOKUP(INDIRECT(ADDRESS(2,COLUMN())),OFFSET($T$2,0,0,ROW()-1,14),ROW()-1,FALSE))</x:f>
        <x:v>63.933396000000002</x:v>
      </x:c>
      <x:c r="P335">
        <x:f ca="1">IF(AND($B$1012=1,LEN($P$1337)&gt;0),$P$1337,HLOOKUP(INDIRECT(ADDRESS(2,COLUMN())),OFFSET($T$2,0,0,ROW()-1,14),ROW()-1,FALSE))</x:f>
        <x:v>28.318601999999998</x:v>
      </x:c>
      <x:c r="Q335">
        <x:f ca="1">IF(AND($B$1012=1,LEN($Q$1337)&gt;0),$Q$1337,HLOOKUP(INDIRECT(ADDRESS(2,COLUMN())),OFFSET($T$2,0,0,ROW()-1,14),ROW()-1,FALSE))</x:f>
        <x:v>-45.895287000000003</x:v>
      </x:c>
      <x:c r="R335">
        <x:f ca="1">IF(AND($B$1012=1,LEN($R$1337)&gt;0),$R$1337,HLOOKUP(INDIRECT(ADDRESS(2,COLUMN())),OFFSET($T$2,0,0,ROW()-1,14),ROW()-1,FALSE))</x:f>
        <x:v>80.392860999999996</x:v>
      </x:c>
      <x:c r="S335">
        <x:f ca="1">IF(AND($B$1012=1,LEN($S$1337)&gt;0),$S$1337,HLOOKUP(INDIRECT(ADDRESS(2,COLUMN())),OFFSET($T$2,0,0,ROW()-1,14),ROW()-1,FALSE))</x:f>
        <x:v>76.560813999999993</x:v>
      </x:c>
      <x:c r="T335">
        <x:f>103.017037</x:f>
        <x:v>103.017037</x:v>
      </x:c>
      <x:c r="U335">
        <x:f>179.803184</x:f>
        <x:v>179.80318399999999</x:v>
      </x:c>
      <x:c r="V335">
        <x:f>27.679191</x:f>
        <x:v>27.679190999999999</x:v>
      </x:c>
      <x:c r="W335">
        <x:f>19.237396</x:f>
        <x:v>19.237396</x:v>
      </x:c>
      <x:c r="X335">
        <x:f>38.951022</x:f>
        <x:v>38.951022000000002</x:v>
      </x:c>
      <x:c r="Y335">
        <x:f>6.17371</x:f>
        <x:v>6.1737099999999998</x:v>
      </x:c>
      <x:c r="Z335">
        <x:f>-33.919838</x:f>
        <x:v>-33.919837999999999</x:v>
      </x:c>
      <x:c r="AA335">
        <x:f>29.058953</x:f>
        <x:v>29.058952999999999</x:v>
      </x:c>
      <x:c r="AB335">
        <x:f>39.520052</x:f>
        <x:v>39.520052</x:v>
      </x:c>
      <x:c r="AC335">
        <x:f>63.933396</x:f>
        <x:v>63.933396000000002</x:v>
      </x:c>
      <x:c r="AD335">
        <x:f>28.318602</x:f>
        <x:v>28.318601999999998</x:v>
      </x:c>
      <x:c r="AE335">
        <x:f>-45.895287</x:f>
        <x:v>-45.895287000000003</x:v>
      </x:c>
      <x:c r="AF335">
        <x:f>80.392861</x:f>
        <x:v>80.392860999999996</x:v>
      </x:c>
      <x:c r="AG335">
        <x:f>76.560814</x:f>
        <x:v>76.560813999999993</x:v>
      </x:c>
    </x:row>
    <x:row r="336" spans="1:33" x14ac:dyDescent="0.25">
      <x:c r="A336" t="str">
        <x:f>"        Fidelity MSCI Industrials Inde"</x:f>
        <x:v xml:space="preserve">        Fidelity MSCI Industrials Inde</x:v>
      </x:c>
      <x:c r="B336" t="str">
        <x:f>"FIDU US Equity"</x:f>
        <x:v>FIDU US Equity</x:v>
      </x:c>
      <x:c r="E336" t="str">
        <x:f t="shared" si="11"/>
        <x:v>Expression</x:v>
      </x:c>
      <x:c r="F336">
        <x:f ca="1">IF(AND($B$1012=1,LEN($F$1338)&gt;0),$F$1338,HLOOKUP(INDIRECT(ADDRESS(2,COLUMN())),OFFSET($T$2,0,0,ROW()-1,14),ROW()-1,FALSE))</x:f>
        <x:v>2.8960900000000001</x:v>
      </x:c>
      <x:c r="G336">
        <x:f ca="1">IF(AND($B$1012=1,LEN($G$1338)&gt;0),$G$1338,HLOOKUP(INDIRECT(ADDRESS(2,COLUMN())),OFFSET($T$2,0,0,ROW()-1,14),ROW()-1,FALSE))</x:f>
        <x:v>2.2694200000000002</x:v>
      </x:c>
      <x:c r="H336">
        <x:f ca="1">IF(AND($B$1012=1,LEN($H$1338)&gt;0),$H$1338,HLOOKUP(INDIRECT(ADDRESS(2,COLUMN())),OFFSET($T$2,0,0,ROW()-1,14),ROW()-1,FALSE))</x:f>
        <x:v>8.3683049999999994</x:v>
      </x:c>
      <x:c r="I336">
        <x:f ca="1">IF(AND($B$1012=1,LEN($I$1338)&gt;0),$I$1338,HLOOKUP(INDIRECT(ADDRESS(2,COLUMN())),OFFSET($T$2,0,0,ROW()-1,14),ROW()-1,FALSE))</x:f>
        <x:v>31.889875</x:v>
      </x:c>
      <x:c r="J336">
        <x:f ca="1">IF(AND($B$1012=1,LEN($J$1338)&gt;0),$J$1338,HLOOKUP(INDIRECT(ADDRESS(2,COLUMN())),OFFSET($T$2,0,0,ROW()-1,14),ROW()-1,FALSE))</x:f>
        <x:v>23.067550000000001</x:v>
      </x:c>
      <x:c r="K336">
        <x:f ca="1">IF(AND($B$1012=1,LEN($K$1338)&gt;0),$K$1338,HLOOKUP(INDIRECT(ADDRESS(2,COLUMN())),OFFSET($T$2,0,0,ROW()-1,14),ROW()-1,FALSE))</x:f>
        <x:v>2.8835950000000001</x:v>
      </x:c>
      <x:c r="L336">
        <x:f ca="1">IF(AND($B$1012=1,LEN($L$1338)&gt;0),$L$1338,HLOOKUP(INDIRECT(ADDRESS(2,COLUMN())),OFFSET($T$2,0,0,ROW()-1,14),ROW()-1,FALSE))</x:f>
        <x:v>-5.2545149999999996</x:v>
      </x:c>
      <x:c r="M336">
        <x:f ca="1">IF(AND($B$1012=1,LEN($M$1338)&gt;0),$M$1338,HLOOKUP(INDIRECT(ADDRESS(2,COLUMN())),OFFSET($T$2,0,0,ROW()-1,14),ROW()-1,FALSE))</x:f>
        <x:v>-7.8420350000000001</x:v>
      </x:c>
      <x:c r="N336">
        <x:f ca="1">IF(AND($B$1012=1,LEN($N$1338)&gt;0),$N$1338,HLOOKUP(INDIRECT(ADDRESS(2,COLUMN())),OFFSET($T$2,0,0,ROW()-1,14),ROW()-1,FALSE))</x:f>
        <x:v>-10.89659</x:v>
      </x:c>
      <x:c r="O336">
        <x:f ca="1">IF(AND($B$1012=1,LEN($O$1338)&gt;0),$O$1338,HLOOKUP(INDIRECT(ADDRESS(2,COLUMN())),OFFSET($T$2,0,0,ROW()-1,14),ROW()-1,FALSE))</x:f>
        <x:v>-13.653969999999999</x:v>
      </x:c>
      <x:c r="P336">
        <x:f ca="1">IF(AND($B$1012=1,LEN($P$1338)&gt;0),$P$1338,HLOOKUP(INDIRECT(ADDRESS(2,COLUMN())),OFFSET($T$2,0,0,ROW()-1,14),ROW()-1,FALSE))</x:f>
        <x:v>7.7240900000000003</x:v>
      </x:c>
      <x:c r="Q336">
        <x:f ca="1">IF(AND($B$1012=1,LEN($Q$1338)&gt;0),$Q$1338,HLOOKUP(INDIRECT(ADDRESS(2,COLUMN())),OFFSET($T$2,0,0,ROW()-1,14),ROW()-1,FALSE))</x:f>
        <x:v>7.7039999999999997E-2</x:v>
      </x:c>
      <x:c r="R336">
        <x:f ca="1">IF(AND($B$1012=1,LEN($R$1338)&gt;0),$R$1338,HLOOKUP(INDIRECT(ADDRESS(2,COLUMN())),OFFSET($T$2,0,0,ROW()-1,14),ROW()-1,FALSE))</x:f>
        <x:v>15.32713</x:v>
      </x:c>
      <x:c r="S336">
        <x:f ca="1">IF(AND($B$1012=1,LEN($S$1338)&gt;0),$S$1338,HLOOKUP(INDIRECT(ADDRESS(2,COLUMN())),OFFSET($T$2,0,0,ROW()-1,14),ROW()-1,FALSE))</x:f>
        <x:v>-1.92855</x:v>
      </x:c>
      <x:c r="T336">
        <x:f>2.89609</x:f>
        <x:v>2.8960900000000001</x:v>
      </x:c>
      <x:c r="U336">
        <x:f>2.26942</x:f>
        <x:v>2.2694200000000002</x:v>
      </x:c>
      <x:c r="V336">
        <x:f>8.368305</x:f>
        <x:v>8.3683049999999994</x:v>
      </x:c>
      <x:c r="W336">
        <x:f>31.889875</x:f>
        <x:v>31.889875</x:v>
      </x:c>
      <x:c r="X336">
        <x:f>23.06755</x:f>
        <x:v>23.067550000000001</x:v>
      </x:c>
      <x:c r="Y336">
        <x:f>2.883595</x:f>
        <x:v>2.8835950000000001</x:v>
      </x:c>
      <x:c r="Z336">
        <x:f>-5.254515</x:f>
        <x:v>-5.2545149999999996</x:v>
      </x:c>
      <x:c r="AA336">
        <x:f>-7.842035</x:f>
        <x:v>-7.8420350000000001</x:v>
      </x:c>
      <x:c r="AB336">
        <x:f>-10.89659</x:f>
        <x:v>-10.89659</x:v>
      </x:c>
      <x:c r="AC336">
        <x:f>-13.65397</x:f>
        <x:v>-13.653969999999999</x:v>
      </x:c>
      <x:c r="AD336">
        <x:f>7.72409</x:f>
        <x:v>7.7240900000000003</x:v>
      </x:c>
      <x:c r="AE336">
        <x:f>0.07704</x:f>
        <x:v>7.7039999999999997E-2</x:v>
      </x:c>
      <x:c r="AF336">
        <x:f>15.32713</x:f>
        <x:v>15.32713</x:v>
      </x:c>
      <x:c r="AG336">
        <x:f>-1.92855</x:f>
        <x:v>-1.92855</x:v>
      </x:c>
    </x:row>
    <x:row r="337" spans="1:33" x14ac:dyDescent="0.25">
      <x:c r="A337" t="str">
        <x:f>"        iShares Global Industrials ETF"</x:f>
        <x:v xml:space="preserve">        iShares Global Industrials ETF</x:v>
      </x:c>
      <x:c r="B337" t="str">
        <x:f>"EXI US Equity"</x:f>
        <x:v>EXI US Equity</x:v>
      </x:c>
      <x:c r="E337" t="str">
        <x:f t="shared" si="11"/>
        <x:v>Expression</x:v>
      </x:c>
      <x:c r="F337">
        <x:f ca="1">IF(AND($B$1012=1,LEN($F$1339)&gt;0),$F$1339,HLOOKUP(INDIRECT(ADDRESS(2,COLUMN())),OFFSET($T$2,0,0,ROW()-1,14),ROW()-1,FALSE))</x:f>
        <x:v>11.668778</x:v>
      </x:c>
      <x:c r="G337">
        <x:f ca="1">IF(AND($B$1012=1,LEN($G$1339)&gt;0),$G$1339,HLOOKUP(INDIRECT(ADDRESS(2,COLUMN())),OFFSET($T$2,0,0,ROW()-1,14),ROW()-1,FALSE))</x:f>
        <x:v>-27.361408000000001</x:v>
      </x:c>
      <x:c r="H337">
        <x:f ca="1">IF(AND($B$1012=1,LEN($H$1339)&gt;0),$H$1339,HLOOKUP(INDIRECT(ADDRESS(2,COLUMN())),OFFSET($T$2,0,0,ROW()-1,14),ROW()-1,FALSE))</x:f>
        <x:v>130.95160899999999</x:v>
      </x:c>
      <x:c r="I337">
        <x:f ca="1">IF(AND($B$1012=1,LEN($I$1339)&gt;0),$I$1339,HLOOKUP(INDIRECT(ADDRESS(2,COLUMN())),OFFSET($T$2,0,0,ROW()-1,14),ROW()-1,FALSE))</x:f>
        <x:v>35.723565000000001</x:v>
      </x:c>
      <x:c r="J337">
        <x:f ca="1">IF(AND($B$1012=1,LEN($J$1339)&gt;0),$J$1339,HLOOKUP(INDIRECT(ADDRESS(2,COLUMN())),OFFSET($T$2,0,0,ROW()-1,14),ROW()-1,FALSE))</x:f>
        <x:v>12.204335</x:v>
      </x:c>
      <x:c r="K337">
        <x:f ca="1">IF(AND($B$1012=1,LEN($K$1339)&gt;0),$K$1339,HLOOKUP(INDIRECT(ADDRESS(2,COLUMN())),OFFSET($T$2,0,0,ROW()-1,14),ROW()-1,FALSE))</x:f>
        <x:v>-57.178959999999996</x:v>
      </x:c>
      <x:c r="L337">
        <x:f ca="1">IF(AND($B$1012=1,LEN($L$1339)&gt;0),$L$1339,HLOOKUP(INDIRECT(ADDRESS(2,COLUMN())),OFFSET($T$2,0,0,ROW()-1,14),ROW()-1,FALSE))</x:f>
        <x:v>-39.777940000000001</x:v>
      </x:c>
      <x:c r="M337">
        <x:f ca="1">IF(AND($B$1012=1,LEN($M$1339)&gt;0),$M$1339,HLOOKUP(INDIRECT(ADDRESS(2,COLUMN())),OFFSET($T$2,0,0,ROW()-1,14),ROW()-1,FALSE))</x:f>
        <x:v>109.198435</x:v>
      </x:c>
      <x:c r="N337">
        <x:f ca="1">IF(AND($B$1012=1,LEN($N$1339)&gt;0),$N$1339,HLOOKUP(INDIRECT(ADDRESS(2,COLUMN())),OFFSET($T$2,0,0,ROW()-1,14),ROW()-1,FALSE))</x:f>
        <x:v>-5.4329400000000003</x:v>
      </x:c>
      <x:c r="O337">
        <x:f ca="1">IF(AND($B$1012=1,LEN($O$1339)&gt;0),$O$1339,HLOOKUP(INDIRECT(ADDRESS(2,COLUMN())),OFFSET($T$2,0,0,ROW()-1,14),ROW()-1,FALSE))</x:f>
        <x:v>-11.128259999999999</x:v>
      </x:c>
      <x:c r="P337">
        <x:f ca="1">IF(AND($B$1012=1,LEN($P$1339)&gt;0),$P$1339,HLOOKUP(INDIRECT(ADDRESS(2,COLUMN())),OFFSET($T$2,0,0,ROW()-1,14),ROW()-1,FALSE))</x:f>
        <x:v>11.217510000000001</x:v>
      </x:c>
      <x:c r="Q337">
        <x:f ca="1">IF(AND($B$1012=1,LEN($Q$1339)&gt;0),$Q$1339,HLOOKUP(INDIRECT(ADDRESS(2,COLUMN())),OFFSET($T$2,0,0,ROW()-1,14),ROW()-1,FALSE))</x:f>
        <x:v>10.886725</x:v>
      </x:c>
      <x:c r="R337">
        <x:f ca="1">IF(AND($B$1012=1,LEN($R$1339)&gt;0),$R$1339,HLOOKUP(INDIRECT(ADDRESS(2,COLUMN())),OFFSET($T$2,0,0,ROW()-1,14),ROW()-1,FALSE))</x:f>
        <x:v>32.869979999999998</x:v>
      </x:c>
      <x:c r="S337">
        <x:f ca="1">IF(AND($B$1012=1,LEN($S$1339)&gt;0),$S$1339,HLOOKUP(INDIRECT(ADDRESS(2,COLUMN())),OFFSET($T$2,0,0,ROW()-1,14),ROW()-1,FALSE))</x:f>
        <x:v>-23.477715</x:v>
      </x:c>
      <x:c r="T337">
        <x:f>11.668778</x:f>
        <x:v>11.668778</x:v>
      </x:c>
      <x:c r="U337">
        <x:f>-27.361408</x:f>
        <x:v>-27.361408000000001</x:v>
      </x:c>
      <x:c r="V337">
        <x:f>130.951609</x:f>
        <x:v>130.95160899999999</x:v>
      </x:c>
      <x:c r="W337">
        <x:f>35.723565</x:f>
        <x:v>35.723565000000001</x:v>
      </x:c>
      <x:c r="X337">
        <x:f>12.204335</x:f>
        <x:v>12.204335</x:v>
      </x:c>
      <x:c r="Y337">
        <x:f>-57.17896</x:f>
        <x:v>-57.178959999999996</x:v>
      </x:c>
      <x:c r="Z337">
        <x:f>-39.77794</x:f>
        <x:v>-39.777940000000001</x:v>
      </x:c>
      <x:c r="AA337">
        <x:f>109.198435</x:f>
        <x:v>109.198435</x:v>
      </x:c>
      <x:c r="AB337">
        <x:f>-5.43294</x:f>
        <x:v>-5.4329400000000003</x:v>
      </x:c>
      <x:c r="AC337">
        <x:f>-11.12826</x:f>
        <x:v>-11.128259999999999</x:v>
      </x:c>
      <x:c r="AD337">
        <x:f>11.21751</x:f>
        <x:v>11.217510000000001</x:v>
      </x:c>
      <x:c r="AE337">
        <x:f>10.886725</x:f>
        <x:v>10.886725</x:v>
      </x:c>
      <x:c r="AF337">
        <x:f>32.86998</x:f>
        <x:v>32.869979999999998</x:v>
      </x:c>
      <x:c r="AG337">
        <x:f>-23.477715</x:f>
        <x:v>-23.477715</x:v>
      </x:c>
    </x:row>
    <x:row r="338" spans="1:33" x14ac:dyDescent="0.25">
      <x:c r="A338" t="str">
        <x:f>"        First Trust RBA American Indus"</x:f>
        <x:v xml:space="preserve">        First Trust RBA American Indus</x:v>
      </x:c>
      <x:c r="B338" t="str">
        <x:f>"AIRR US Equity"</x:f>
        <x:v>AIRR US Equity</x:v>
      </x:c>
      <x:c r="E338" t="str">
        <x:f t="shared" si="11"/>
        <x:v>Expression</x:v>
      </x:c>
      <x:c r="F338">
        <x:f ca="1">IF(AND($B$1012=1,LEN($F$1340)&gt;0),$F$1340,HLOOKUP(INDIRECT(ADDRESS(2,COLUMN())),OFFSET($T$2,0,0,ROW()-1,14),ROW()-1,FALSE))</x:f>
        <x:v>4.9215840000000002</x:v>
      </x:c>
      <x:c r="G338">
        <x:f ca="1">IF(AND($B$1012=1,LEN($G$1340)&gt;0),$G$1340,HLOOKUP(INDIRECT(ADDRESS(2,COLUMN())),OFFSET($T$2,0,0,ROW()-1,14),ROW()-1,FALSE))</x:f>
        <x:v>21.60821</x:v>
      </x:c>
      <x:c r="H338">
        <x:f ca="1">IF(AND($B$1012=1,LEN($H$1340)&gt;0),$H$1340,HLOOKUP(INDIRECT(ADDRESS(2,COLUMN())),OFFSET($T$2,0,0,ROW()-1,14),ROW()-1,FALSE))</x:f>
        <x:v>34.316358999999999</x:v>
      </x:c>
      <x:c r="I338">
        <x:f ca="1">IF(AND($B$1012=1,LEN($I$1340)&gt;0),$I$1340,HLOOKUP(INDIRECT(ADDRESS(2,COLUMN())),OFFSET($T$2,0,0,ROW()-1,14),ROW()-1,FALSE))</x:f>
        <x:v>27.195142000000001</x:v>
      </x:c>
      <x:c r="J338">
        <x:f ca="1">IF(AND($B$1012=1,LEN($J$1340)&gt;0),$J$1340,HLOOKUP(INDIRECT(ADDRESS(2,COLUMN())),OFFSET($T$2,0,0,ROW()-1,14),ROW()-1,FALSE))</x:f>
        <x:v>48.973168999999999</x:v>
      </x:c>
      <x:c r="K338">
        <x:f ca="1">IF(AND($B$1012=1,LEN($K$1340)&gt;0),$K$1340,HLOOKUP(INDIRECT(ADDRESS(2,COLUMN())),OFFSET($T$2,0,0,ROW()-1,14),ROW()-1,FALSE))</x:f>
        <x:v>62.883865</x:v>
      </x:c>
      <x:c r="L338">
        <x:f ca="1">IF(AND($B$1012=1,LEN($L$1340)&gt;0),$L$1340,HLOOKUP(INDIRECT(ADDRESS(2,COLUMN())),OFFSET($T$2,0,0,ROW()-1,14),ROW()-1,FALSE))</x:f>
        <x:v>0.18217</x:v>
      </x:c>
      <x:c r="M338">
        <x:f ca="1">IF(AND($B$1012=1,LEN($M$1340)&gt;0),$M$1340,HLOOKUP(INDIRECT(ADDRESS(2,COLUMN())),OFFSET($T$2,0,0,ROW()-1,14),ROW()-1,FALSE))</x:f>
        <x:v>-9.2013809999999996</x:v>
      </x:c>
      <x:c r="N338">
        <x:f ca="1">IF(AND($B$1012=1,LEN($N$1340)&gt;0),$N$1340,HLOOKUP(INDIRECT(ADDRESS(2,COLUMN())),OFFSET($T$2,0,0,ROW()-1,14),ROW()-1,FALSE))</x:f>
        <x:v>50.64188</x:v>
      </x:c>
      <x:c r="O338">
        <x:f ca="1">IF(AND($B$1012=1,LEN($O$1340)&gt;0),$O$1340,HLOOKUP(INDIRECT(ADDRESS(2,COLUMN())),OFFSET($T$2,0,0,ROW()-1,14),ROW()-1,FALSE))</x:f>
        <x:v>19.695765999999999</x:v>
      </x:c>
      <x:c r="P338">
        <x:f ca="1">IF(AND($B$1012=1,LEN($P$1340)&gt;0),$P$1340,HLOOKUP(INDIRECT(ADDRESS(2,COLUMN())),OFFSET($T$2,0,0,ROW()-1,14),ROW()-1,FALSE))</x:f>
        <x:v>4.2082680000000003</x:v>
      </x:c>
      <x:c r="Q338">
        <x:f ca="1">IF(AND($B$1012=1,LEN($Q$1340)&gt;0),$Q$1340,HLOOKUP(INDIRECT(ADDRESS(2,COLUMN())),OFFSET($T$2,0,0,ROW()-1,14),ROW()-1,FALSE))</x:f>
        <x:v>2.3161269999999998</x:v>
      </x:c>
      <x:c r="R338">
        <x:f ca="1">IF(AND($B$1012=1,LEN($R$1340)&gt;0),$R$1340,HLOOKUP(INDIRECT(ADDRESS(2,COLUMN())),OFFSET($T$2,0,0,ROW()-1,14),ROW()-1,FALSE))</x:f>
        <x:v>16.024830999999999</x:v>
      </x:c>
      <x:c r="S338">
        <x:f ca="1">IF(AND($B$1012=1,LEN($S$1340)&gt;0),$S$1340,HLOOKUP(INDIRECT(ADDRESS(2,COLUMN())),OFFSET($T$2,0,0,ROW()-1,14),ROW()-1,FALSE))</x:f>
        <x:v>9.1566229999999997</x:v>
      </x:c>
      <x:c r="T338">
        <x:f>4.921584</x:f>
        <x:v>4.9215840000000002</x:v>
      </x:c>
      <x:c r="U338">
        <x:f>21.60821</x:f>
        <x:v>21.60821</x:v>
      </x:c>
      <x:c r="V338">
        <x:f>34.316359</x:f>
        <x:v>34.316358999999999</x:v>
      </x:c>
      <x:c r="W338">
        <x:f>27.195142</x:f>
        <x:v>27.195142000000001</x:v>
      </x:c>
      <x:c r="X338">
        <x:f>48.973169</x:f>
        <x:v>48.973168999999999</x:v>
      </x:c>
      <x:c r="Y338">
        <x:f>62.883865</x:f>
        <x:v>62.883865</x:v>
      </x:c>
      <x:c r="Z338">
        <x:f>0.18217</x:f>
        <x:v>0.18217</x:v>
      </x:c>
      <x:c r="AA338">
        <x:f>-9.201381</x:f>
        <x:v>-9.2013809999999996</x:v>
      </x:c>
      <x:c r="AB338">
        <x:f>50.64188</x:f>
        <x:v>50.64188</x:v>
      </x:c>
      <x:c r="AC338">
        <x:f>19.695766</x:f>
        <x:v>19.695765999999999</x:v>
      </x:c>
      <x:c r="AD338">
        <x:f>4.208268</x:f>
        <x:v>4.2082680000000003</x:v>
      </x:c>
      <x:c r="AE338">
        <x:f>2.316127</x:f>
        <x:v>2.3161269999999998</x:v>
      </x:c>
      <x:c r="AF338">
        <x:f>16.024831</x:f>
        <x:v>16.024830999999999</x:v>
      </x:c>
      <x:c r="AG338">
        <x:f>9.156623</x:f>
        <x:v>9.1566229999999997</x:v>
      </x:c>
    </x:row>
    <x:row r="339" spans="1:33" x14ac:dyDescent="0.25">
      <x:c r="A339" t="str">
        <x:f>"        Invesco S&amp;P 500 Equal Weight I"</x:f>
        <x:v xml:space="preserve">        Invesco S&amp;P 500 Equal Weight I</x:v>
      </x:c>
      <x:c r="B339" t="str">
        <x:f>"RGI US Equity"</x:f>
        <x:v>RGI US Equity</x:v>
      </x:c>
      <x:c r="E339" t="str">
        <x:f t="shared" si="11"/>
        <x:v>Expression</x:v>
      </x:c>
      <x:c r="F339">
        <x:f ca="1">IF(AND($B$1012=1,LEN($F$1341)&gt;0),$F$1341,HLOOKUP(INDIRECT(ADDRESS(2,COLUMN())),OFFSET($T$2,0,0,ROW()-1,14),ROW()-1,FALSE))</x:f>
        <x:v>-1.1760250000000001</x:v>
      </x:c>
      <x:c r="G339">
        <x:f ca="1">IF(AND($B$1012=1,LEN($G$1341)&gt;0),$G$1341,HLOOKUP(INDIRECT(ADDRESS(2,COLUMN())),OFFSET($T$2,0,0,ROW()-1,14),ROW()-1,FALSE))</x:f>
        <x:v>0.13218299999999999</x:v>
      </x:c>
      <x:c r="H339">
        <x:f ca="1">IF(AND($B$1012=1,LEN($H$1341)&gt;0),$H$1341,HLOOKUP(INDIRECT(ADDRESS(2,COLUMN())),OFFSET($T$2,0,0,ROW()-1,14),ROW()-1,FALSE))</x:f>
        <x:v>20.916730000000001</x:v>
      </x:c>
      <x:c r="I339">
        <x:f ca="1">IF(AND($B$1012=1,LEN($I$1341)&gt;0),$I$1341,HLOOKUP(INDIRECT(ADDRESS(2,COLUMN())),OFFSET($T$2,0,0,ROW()-1,14),ROW()-1,FALSE))</x:f>
        <x:v>14.543868</x:v>
      </x:c>
      <x:c r="J339">
        <x:f ca="1">IF(AND($B$1012=1,LEN($J$1341)&gt;0),$J$1341,HLOOKUP(INDIRECT(ADDRESS(2,COLUMN())),OFFSET($T$2,0,0,ROW()-1,14),ROW()-1,FALSE))</x:f>
        <x:v>38.569316000000001</x:v>
      </x:c>
      <x:c r="K339">
        <x:f ca="1">IF(AND($B$1012=1,LEN($K$1341)&gt;0),$K$1341,HLOOKUP(INDIRECT(ADDRESS(2,COLUMN())),OFFSET($T$2,0,0,ROW()-1,14),ROW()-1,FALSE))</x:f>
        <x:v>104.118937</x:v>
      </x:c>
      <x:c r="L339" t="str">
        <x:f ca="1">IF(AND($B$1012=1,LEN($L$1341)&gt;0),$L$1341,HLOOKUP(INDIRECT(ADDRESS(2,COLUMN())),OFFSET($T$2,0,0,ROW()-1,14),ROW()-1,FALSE))</x:f>
        <x:v/>
      </x:c>
      <x:c r="M339" t="str">
        <x:f ca="1">IF(AND($B$1012=1,LEN($M$1341)&gt;0),$M$1341,HLOOKUP(INDIRECT(ADDRESS(2,COLUMN())),OFFSET($T$2,0,0,ROW()-1,14),ROW()-1,FALSE))</x:f>
        <x:v/>
      </x:c>
      <x:c r="N339" t="str">
        <x:f ca="1">IF(AND($B$1012=1,LEN($N$1341)&gt;0),$N$1341,HLOOKUP(INDIRECT(ADDRESS(2,COLUMN())),OFFSET($T$2,0,0,ROW()-1,14),ROW()-1,FALSE))</x:f>
        <x:v/>
      </x:c>
      <x:c r="O339" t="str">
        <x:f ca="1">IF(AND($B$1012=1,LEN($O$1341)&gt;0),$O$1341,HLOOKUP(INDIRECT(ADDRESS(2,COLUMN())),OFFSET($T$2,0,0,ROW()-1,14),ROW()-1,FALSE))</x:f>
        <x:v/>
      </x:c>
      <x:c r="P339" t="str">
        <x:f ca="1">IF(AND($B$1012=1,LEN($P$1341)&gt;0),$P$1341,HLOOKUP(INDIRECT(ADDRESS(2,COLUMN())),OFFSET($T$2,0,0,ROW()-1,14),ROW()-1,FALSE))</x:f>
        <x:v/>
      </x:c>
      <x:c r="Q339" t="str">
        <x:f ca="1">IF(AND($B$1012=1,LEN($Q$1341)&gt;0),$Q$1341,HLOOKUP(INDIRECT(ADDRESS(2,COLUMN())),OFFSET($T$2,0,0,ROW()-1,14),ROW()-1,FALSE))</x:f>
        <x:v/>
      </x:c>
      <x:c r="R339" t="str">
        <x:f ca="1">IF(AND($B$1012=1,LEN($R$1341)&gt;0),$R$1341,HLOOKUP(INDIRECT(ADDRESS(2,COLUMN())),OFFSET($T$2,0,0,ROW()-1,14),ROW()-1,FALSE))</x:f>
        <x:v/>
      </x:c>
      <x:c r="S339" t="str">
        <x:f ca="1">IF(AND($B$1012=1,LEN($S$1341)&gt;0),$S$1341,HLOOKUP(INDIRECT(ADDRESS(2,COLUMN())),OFFSET($T$2,0,0,ROW()-1,14),ROW()-1,FALSE))</x:f>
        <x:v/>
      </x:c>
      <x:c r="T339">
        <x:f>-1.176025</x:f>
        <x:v>-1.1760250000000001</x:v>
      </x:c>
      <x:c r="U339">
        <x:f>0.132183</x:f>
        <x:v>0.13218299999999999</x:v>
      </x:c>
      <x:c r="V339">
        <x:f>20.91673</x:f>
        <x:v>20.916730000000001</x:v>
      </x:c>
      <x:c r="W339">
        <x:f>14.543868</x:f>
        <x:v>14.543868</x:v>
      </x:c>
      <x:c r="X339">
        <x:f>38.569316</x:f>
        <x:v>38.569316000000001</x:v>
      </x:c>
      <x:c r="Y339">
        <x:f>104.118937</x:f>
        <x:v>104.118937</x:v>
      </x:c>
      <x:c r="Z339" t="str">
        <x:f>""</x:f>
        <x:v/>
      </x:c>
      <x:c r="AA339" t="str">
        <x:f>""</x:f>
        <x:v/>
      </x:c>
      <x:c r="AB339" t="str">
        <x:f>""</x:f>
        <x:v/>
      </x:c>
      <x:c r="AC339" t="str">
        <x:f>""</x:f>
        <x:v/>
      </x:c>
      <x:c r="AD339" t="str">
        <x:f>""</x:f>
        <x:v/>
      </x:c>
      <x:c r="AE339" t="str">
        <x:f>""</x:f>
        <x:v/>
      </x:c>
      <x:c r="AF339" t="str">
        <x:f>""</x:f>
        <x:v/>
      </x:c>
      <x:c r="AG339" t="str">
        <x:f>""</x:f>
        <x:v/>
      </x:c>
    </x:row>
    <x:row r="340" spans="1:33" x14ac:dyDescent="0.25">
      <x:c r="A340" t="str">
        <x:f>"        SPDR S&amp;P Transportation ETF"</x:f>
        <x:v xml:space="preserve">        SPDR S&amp;P Transportation ETF</x:v>
      </x:c>
      <x:c r="B340" t="str">
        <x:f>"XTN US Equity"</x:f>
        <x:v>XTN US Equity</x:v>
      </x:c>
      <x:c r="E340" t="str">
        <x:f t="shared" si="11"/>
        <x:v>Expression</x:v>
      </x:c>
      <x:c r="F340">
        <x:f ca="1">IF(AND($B$1012=1,LEN($F$1342)&gt;0),$F$1342,HLOOKUP(INDIRECT(ADDRESS(2,COLUMN())),OFFSET($T$2,0,0,ROW()-1,14),ROW()-1,FALSE))</x:f>
        <x:v>-4.2622980000000004</x:v>
      </x:c>
      <x:c r="G340">
        <x:f ca="1">IF(AND($B$1012=1,LEN($G$1342)&gt;0),$G$1342,HLOOKUP(INDIRECT(ADDRESS(2,COLUMN())),OFFSET($T$2,0,0,ROW()-1,14),ROW()-1,FALSE))</x:f>
        <x:v>-8.6743959999999998</x:v>
      </x:c>
      <x:c r="H340">
        <x:f ca="1">IF(AND($B$1012=1,LEN($H$1342)&gt;0),$H$1342,HLOOKUP(INDIRECT(ADDRESS(2,COLUMN())),OFFSET($T$2,0,0,ROW()-1,14),ROW()-1,FALSE))</x:f>
        <x:v>-14.063572000000001</x:v>
      </x:c>
      <x:c r="I340">
        <x:f ca="1">IF(AND($B$1012=1,LEN($I$1342)&gt;0),$I$1342,HLOOKUP(INDIRECT(ADDRESS(2,COLUMN())),OFFSET($T$2,0,0,ROW()-1,14),ROW()-1,FALSE))</x:f>
        <x:v>-8.0508629999999997</x:v>
      </x:c>
      <x:c r="J340">
        <x:f ca="1">IF(AND($B$1012=1,LEN($J$1342)&gt;0),$J$1342,HLOOKUP(INDIRECT(ADDRESS(2,COLUMN())),OFFSET($T$2,0,0,ROW()-1,14),ROW()-1,FALSE))</x:f>
        <x:v>6.377338</x:v>
      </x:c>
      <x:c r="K340">
        <x:f ca="1">IF(AND($B$1012=1,LEN($K$1342)&gt;0),$K$1342,HLOOKUP(INDIRECT(ADDRESS(2,COLUMN())),OFFSET($T$2,0,0,ROW()-1,14),ROW()-1,FALSE))</x:f>
        <x:v>2.8297140000000001</x:v>
      </x:c>
      <x:c r="L340">
        <x:f ca="1">IF(AND($B$1012=1,LEN($L$1342)&gt;0),$L$1342,HLOOKUP(INDIRECT(ADDRESS(2,COLUMN())),OFFSET($T$2,0,0,ROW()-1,14),ROW()-1,FALSE))</x:f>
        <x:v>-8.6157170000000001</x:v>
      </x:c>
      <x:c r="M340">
        <x:f ca="1">IF(AND($B$1012=1,LEN($M$1342)&gt;0),$M$1342,HLOOKUP(INDIRECT(ADDRESS(2,COLUMN())),OFFSET($T$2,0,0,ROW()-1,14),ROW()-1,FALSE))</x:f>
        <x:v>-21.34815</x:v>
      </x:c>
      <x:c r="N340">
        <x:f ca="1">IF(AND($B$1012=1,LEN($N$1342)&gt;0),$N$1342,HLOOKUP(INDIRECT(ADDRESS(2,COLUMN())),OFFSET($T$2,0,0,ROW()-1,14),ROW()-1,FALSE))</x:f>
        <x:v>15.232912000000001</x:v>
      </x:c>
      <x:c r="O340">
        <x:f ca="1">IF(AND($B$1012=1,LEN($O$1342)&gt;0),$O$1342,HLOOKUP(INDIRECT(ADDRESS(2,COLUMN())),OFFSET($T$2,0,0,ROW()-1,14),ROW()-1,FALSE))</x:f>
        <x:v>-2.915756</x:v>
      </x:c>
      <x:c r="P340">
        <x:f ca="1">IF(AND($B$1012=1,LEN($P$1342)&gt;0),$P$1342,HLOOKUP(INDIRECT(ADDRESS(2,COLUMN())),OFFSET($T$2,0,0,ROW()-1,14),ROW()-1,FALSE))</x:f>
        <x:v>-201.24943999999999</x:v>
      </x:c>
      <x:c r="Q340">
        <x:f ca="1">IF(AND($B$1012=1,LEN($Q$1342)&gt;0),$Q$1342,HLOOKUP(INDIRECT(ADDRESS(2,COLUMN())),OFFSET($T$2,0,0,ROW()-1,14),ROW()-1,FALSE))</x:f>
        <x:v>-5.9836580000000001</x:v>
      </x:c>
      <x:c r="R340">
        <x:f ca="1">IF(AND($B$1012=1,LEN($R$1342)&gt;0),$R$1342,HLOOKUP(INDIRECT(ADDRESS(2,COLUMN())),OFFSET($T$2,0,0,ROW()-1,14),ROW()-1,FALSE))</x:f>
        <x:v>-9.4275880000000001</x:v>
      </x:c>
      <x:c r="S340">
        <x:f ca="1">IF(AND($B$1012=1,LEN($S$1342)&gt;0),$S$1342,HLOOKUP(INDIRECT(ADDRESS(2,COLUMN())),OFFSET($T$2,0,0,ROW()-1,14),ROW()-1,FALSE))</x:f>
        <x:v>-13.409202000000001</x:v>
      </x:c>
      <x:c r="T340">
        <x:f>-4.262298</x:f>
        <x:v>-4.2622980000000004</x:v>
      </x:c>
      <x:c r="U340">
        <x:f>-8.674396</x:f>
        <x:v>-8.6743959999999998</x:v>
      </x:c>
      <x:c r="V340">
        <x:f>-14.063572</x:f>
        <x:v>-14.063572000000001</x:v>
      </x:c>
      <x:c r="W340">
        <x:f>-8.050863</x:f>
        <x:v>-8.0508629999999997</x:v>
      </x:c>
      <x:c r="X340">
        <x:f>6.377338</x:f>
        <x:v>6.377338</x:v>
      </x:c>
      <x:c r="Y340">
        <x:f>2.829714</x:f>
        <x:v>2.8297140000000001</x:v>
      </x:c>
      <x:c r="Z340">
        <x:f>-8.615717</x:f>
        <x:v>-8.6157170000000001</x:v>
      </x:c>
      <x:c r="AA340">
        <x:f>-21.34815</x:f>
        <x:v>-21.34815</x:v>
      </x:c>
      <x:c r="AB340">
        <x:f>15.232912</x:f>
        <x:v>15.232912000000001</x:v>
      </x:c>
      <x:c r="AC340">
        <x:f>-2.915756</x:f>
        <x:v>-2.915756</x:v>
      </x:c>
      <x:c r="AD340">
        <x:f>-201.24944</x:f>
        <x:v>-201.24943999999999</x:v>
      </x:c>
      <x:c r="AE340">
        <x:f>-5.983658</x:f>
        <x:v>-5.9836580000000001</x:v>
      </x:c>
      <x:c r="AF340">
        <x:f>-9.427588</x:f>
        <x:v>-9.4275880000000001</x:v>
      </x:c>
      <x:c r="AG340">
        <x:f>-13.409202</x:f>
        <x:v>-13.409202000000001</x:v>
      </x:c>
    </x:row>
    <x:row r="341" spans="1:33" x14ac:dyDescent="0.25">
      <x:c r="A341" t="str">
        <x:f>"        Invesco DWA Industrials Moment"</x:f>
        <x:v xml:space="preserve">        Invesco DWA Industrials Moment</x:v>
      </x:c>
      <x:c r="B341" t="str">
        <x:f>"PRN US Equity"</x:f>
        <x:v>PRN US Equity</x:v>
      </x:c>
      <x:c r="E341" t="str">
        <x:f t="shared" si="11"/>
        <x:v>Expression</x:v>
      </x:c>
      <x:c r="F341">
        <x:f ca="1">IF(AND($B$1012=1,LEN($F$1343)&gt;0),$F$1343,HLOOKUP(INDIRECT(ADDRESS(2,COLUMN())),OFFSET($T$2,0,0,ROW()-1,14),ROW()-1,FALSE))</x:f>
        <x:v>-1.012813</x:v>
      </x:c>
      <x:c r="G341">
        <x:f ca="1">IF(AND($B$1012=1,LEN($G$1343)&gt;0),$G$1343,HLOOKUP(INDIRECT(ADDRESS(2,COLUMN())),OFFSET($T$2,0,0,ROW()-1,14),ROW()-1,FALSE))</x:f>
        <x:v>-2.9555150000000001</x:v>
      </x:c>
      <x:c r="H341">
        <x:f ca="1">IF(AND($B$1012=1,LEN($H$1343)&gt;0),$H$1343,HLOOKUP(INDIRECT(ADDRESS(2,COLUMN())),OFFSET($T$2,0,0,ROW()-1,14),ROW()-1,FALSE))</x:f>
        <x:v>5.2824999999999997E-2</x:v>
      </x:c>
      <x:c r="I341">
        <x:f ca="1">IF(AND($B$1012=1,LEN($I$1343)&gt;0),$I$1343,HLOOKUP(INDIRECT(ADDRESS(2,COLUMN())),OFFSET($T$2,0,0,ROW()-1,14),ROW()-1,FALSE))</x:f>
        <x:v>4.3147539999999998</x:v>
      </x:c>
      <x:c r="J341">
        <x:f ca="1">IF(AND($B$1012=1,LEN($J$1343)&gt;0),$J$1343,HLOOKUP(INDIRECT(ADDRESS(2,COLUMN())),OFFSET($T$2,0,0,ROW()-1,14),ROW()-1,FALSE))</x:f>
        <x:v>1.060074</x:v>
      </x:c>
      <x:c r="K341">
        <x:f ca="1">IF(AND($B$1012=1,LEN($K$1343)&gt;0),$K$1343,HLOOKUP(INDIRECT(ADDRESS(2,COLUMN())),OFFSET($T$2,0,0,ROW()-1,14),ROW()-1,FALSE))</x:f>
        <x:v>0.68911500000000003</x:v>
      </x:c>
      <x:c r="L341">
        <x:f ca="1">IF(AND($B$1012=1,LEN($L$1343)&gt;0),$L$1343,HLOOKUP(INDIRECT(ADDRESS(2,COLUMN())),OFFSET($T$2,0,0,ROW()-1,14),ROW()-1,FALSE))</x:f>
        <x:v>0.97096700000000002</x:v>
      </x:c>
      <x:c r="M341">
        <x:f ca="1">IF(AND($B$1012=1,LEN($M$1343)&gt;0),$M$1343,HLOOKUP(INDIRECT(ADDRESS(2,COLUMN())),OFFSET($T$2,0,0,ROW()-1,14),ROW()-1,FALSE))</x:f>
        <x:v>-1.8153680000000001</x:v>
      </x:c>
      <x:c r="N341">
        <x:f ca="1">IF(AND($B$1012=1,LEN($N$1343)&gt;0),$N$1343,HLOOKUP(INDIRECT(ADDRESS(2,COLUMN())),OFFSET($T$2,0,0,ROW()-1,14),ROW()-1,FALSE))</x:f>
        <x:v>0</x:v>
      </x:c>
      <x:c r="O341">
        <x:f ca="1">IF(AND($B$1012=1,LEN($O$1343)&gt;0),$O$1343,HLOOKUP(INDIRECT(ADDRESS(2,COLUMN())),OFFSET($T$2,0,0,ROW()-1,14),ROW()-1,FALSE))</x:f>
        <x:v>0</x:v>
      </x:c>
      <x:c r="P341">
        <x:f ca="1">IF(AND($B$1012=1,LEN($P$1343)&gt;0),$P$1343,HLOOKUP(INDIRECT(ADDRESS(2,COLUMN())),OFFSET($T$2,0,0,ROW()-1,14),ROW()-1,FALSE))</x:f>
        <x:v>19.684615999999998</x:v>
      </x:c>
      <x:c r="Q341">
        <x:f ca="1">IF(AND($B$1012=1,LEN($Q$1343)&gt;0),$Q$1343,HLOOKUP(INDIRECT(ADDRESS(2,COLUMN())),OFFSET($T$2,0,0,ROW()-1,14),ROW()-1,FALSE))</x:f>
        <x:v>-6.137982</x:v>
      </x:c>
      <x:c r="R341">
        <x:f ca="1">IF(AND($B$1012=1,LEN($R$1343)&gt;0),$R$1343,HLOOKUP(INDIRECT(ADDRESS(2,COLUMN())),OFFSET($T$2,0,0,ROW()-1,14),ROW()-1,FALSE))</x:f>
        <x:v>-1.786821</x:v>
      </x:c>
      <x:c r="S341">
        <x:f ca="1">IF(AND($B$1012=1,LEN($S$1343)&gt;0),$S$1343,HLOOKUP(INDIRECT(ADDRESS(2,COLUMN())),OFFSET($T$2,0,0,ROW()-1,14),ROW()-1,FALSE))</x:f>
        <x:v>-4.243188</x:v>
      </x:c>
      <x:c r="T341">
        <x:f>-1.012813</x:f>
        <x:v>-1.012813</x:v>
      </x:c>
      <x:c r="U341">
        <x:f>-2.955515</x:f>
        <x:v>-2.9555150000000001</x:v>
      </x:c>
      <x:c r="V341">
        <x:f>0.052825</x:f>
        <x:v>5.2824999999999997E-2</x:v>
      </x:c>
      <x:c r="W341">
        <x:f>4.314754</x:f>
        <x:v>4.3147539999999998</x:v>
      </x:c>
      <x:c r="X341">
        <x:f>1.060074</x:f>
        <x:v>1.060074</x:v>
      </x:c>
      <x:c r="Y341">
        <x:f>0.689115</x:f>
        <x:v>0.68911500000000003</x:v>
      </x:c>
      <x:c r="Z341">
        <x:f>0.970967</x:f>
        <x:v>0.97096700000000002</x:v>
      </x:c>
      <x:c r="AA341">
        <x:f>-1.815368</x:f>
        <x:v>-1.8153680000000001</x:v>
      </x:c>
      <x:c r="AB341">
        <x:f>0</x:f>
        <x:v>0</x:v>
      </x:c>
      <x:c r="AC341">
        <x:f>0</x:f>
        <x:v>0</x:v>
      </x:c>
      <x:c r="AD341">
        <x:f>19.684616</x:f>
        <x:v>19.684615999999998</x:v>
      </x:c>
      <x:c r="AE341">
        <x:f>-6.137982</x:f>
        <x:v>-6.137982</x:v>
      </x:c>
      <x:c r="AF341">
        <x:f>-1.786821</x:f>
        <x:v>-1.786821</x:v>
      </x:c>
      <x:c r="AG341">
        <x:f>-4.243188</x:f>
        <x:v>-4.243188</x:v>
      </x:c>
    </x:row>
    <x:row r="342" spans="1:33" x14ac:dyDescent="0.25">
      <x:c r="A342" t="str">
        <x:f>"        US Global Sea to Sky Cargo ETF"</x:f>
        <x:v xml:space="preserve">        US Global Sea to Sky Cargo ETF</x:v>
      </x:c>
      <x:c r="B342" t="str">
        <x:f>"SEA US Equity"</x:f>
        <x:v>SEA US Equity</x:v>
      </x:c>
      <x:c r="E342" t="str">
        <x:f t="shared" si="11"/>
        <x:v>Expression</x:v>
      </x:c>
      <x:c r="F342">
        <x:f ca="1">IF(AND($B$1012=1,LEN($F$1747)&gt;0),$F$1747,HLOOKUP(INDIRECT(ADDRESS(2,COLUMN())),OFFSET($T$2,0,0,ROW()-1,14),ROW()-1,FALSE))</x:f>
        <x:v>0</x:v>
      </x:c>
      <x:c r="G342">
        <x:f ca="1">IF(AND($B$1012=1,LEN($G$1747)&gt;0),$G$1747,HLOOKUP(INDIRECT(ADDRESS(2,COLUMN())),OFFSET($T$2,0,0,ROW()-1,14),ROW()-1,FALSE))</x:f>
        <x:v>0.72338000000000002</x:v>
      </x:c>
      <x:c r="H342">
        <x:f ca="1">IF(AND($B$1012=1,LEN($H$1747)&gt;0),$H$1747,HLOOKUP(INDIRECT(ADDRESS(2,COLUMN())),OFFSET($T$2,0,0,ROW()-1,14),ROW()-1,FALSE))</x:f>
        <x:v>0</x:v>
      </x:c>
      <x:c r="I342">
        <x:f ca="1">IF(AND($B$1012=1,LEN($I$1747)&gt;0),$I$1747,HLOOKUP(INDIRECT(ADDRESS(2,COLUMN())),OFFSET($T$2,0,0,ROW()-1,14),ROW()-1,FALSE))</x:f>
        <x:v>0</x:v>
      </x:c>
      <x:c r="J342">
        <x:f ca="1">IF(AND($B$1012=1,LEN($J$1747)&gt;0),$J$1747,HLOOKUP(INDIRECT(ADDRESS(2,COLUMN())),OFFSET($T$2,0,0,ROW()-1,14),ROW()-1,FALSE))</x:f>
        <x:v>0</x:v>
      </x:c>
      <x:c r="K342">
        <x:f ca="1">IF(AND($B$1012=1,LEN($K$1747)&gt;0),$K$1747,HLOOKUP(INDIRECT(ADDRESS(2,COLUMN())),OFFSET($T$2,0,0,ROW()-1,14),ROW()-1,FALSE))</x:f>
        <x:v>0</x:v>
      </x:c>
      <x:c r="L342">
        <x:f ca="1">IF(AND($B$1012=1,LEN($L$1747)&gt;0),$L$1747,HLOOKUP(INDIRECT(ADDRESS(2,COLUMN())),OFFSET($T$2,0,0,ROW()-1,14),ROW()-1,FALSE))</x:f>
        <x:v>0</x:v>
      </x:c>
      <x:c r="M342">
        <x:f ca="1">IF(AND($B$1012=1,LEN($M$1747)&gt;0),$M$1747,HLOOKUP(INDIRECT(ADDRESS(2,COLUMN())),OFFSET($T$2,0,0,ROW()-1,14),ROW()-1,FALSE))</x:f>
        <x:v>0</x:v>
      </x:c>
      <x:c r="N342">
        <x:f ca="1">IF(AND($B$1012=1,LEN($N$1747)&gt;0),$N$1747,HLOOKUP(INDIRECT(ADDRESS(2,COLUMN())),OFFSET($T$2,0,0,ROW()-1,14),ROW()-1,FALSE))</x:f>
        <x:v>0</x:v>
      </x:c>
      <x:c r="O342">
        <x:f ca="1">IF(AND($B$1012=1,LEN($O$1747)&gt;0),$O$1747,HLOOKUP(INDIRECT(ADDRESS(2,COLUMN())),OFFSET($T$2,0,0,ROW()-1,14),ROW()-1,FALSE))</x:f>
        <x:v>-0.73387500000000006</x:v>
      </x:c>
      <x:c r="P342">
        <x:f ca="1">IF(AND($B$1012=1,LEN($P$1747)&gt;0),$P$1747,HLOOKUP(INDIRECT(ADDRESS(2,COLUMN())),OFFSET($T$2,0,0,ROW()-1,14),ROW()-1,FALSE))</x:f>
        <x:v>-0.71185500000000002</x:v>
      </x:c>
      <x:c r="Q342">
        <x:f ca="1">IF(AND($B$1012=1,LEN($Q$1747)&gt;0),$Q$1747,HLOOKUP(INDIRECT(ADDRESS(2,COLUMN())),OFFSET($T$2,0,0,ROW()-1,14),ROW()-1,FALSE))</x:f>
        <x:v>0.41961999999999999</x:v>
      </x:c>
      <x:c r="R342">
        <x:f ca="1">IF(AND($B$1012=1,LEN($R$1747)&gt;0),$R$1747,HLOOKUP(INDIRECT(ADDRESS(2,COLUMN())),OFFSET($T$2,0,0,ROW()-1,14),ROW()-1,FALSE))</x:f>
        <x:v>0</x:v>
      </x:c>
      <x:c r="S342">
        <x:f ca="1">IF(AND($B$1012=1,LEN($S$1747)&gt;0),$S$1747,HLOOKUP(INDIRECT(ADDRESS(2,COLUMN())),OFFSET($T$2,0,0,ROW()-1,14),ROW()-1,FALSE))</x:f>
        <x:v>0</x:v>
      </x:c>
      <x:c r="T342">
        <x:f>0</x:f>
        <x:v>0</x:v>
      </x:c>
      <x:c r="U342">
        <x:f>0.72338</x:f>
        <x:v>0.72338000000000002</x:v>
      </x:c>
      <x:c r="V342">
        <x:f>0</x:f>
        <x:v>0</x:v>
      </x:c>
      <x:c r="W342">
        <x:f>0</x:f>
        <x:v>0</x:v>
      </x:c>
      <x:c r="X342">
        <x:f>0</x:f>
        <x:v>0</x:v>
      </x:c>
      <x:c r="Y342">
        <x:f>0</x:f>
        <x:v>0</x:v>
      </x:c>
      <x:c r="Z342">
        <x:f>0</x:f>
        <x:v>0</x:v>
      </x:c>
      <x:c r="AA342">
        <x:f>0</x:f>
        <x:v>0</x:v>
      </x:c>
      <x:c r="AB342">
        <x:f>0</x:f>
        <x:v>0</x:v>
      </x:c>
      <x:c r="AC342">
        <x:f>-0.733875</x:f>
        <x:v>-0.73387500000000006</x:v>
      </x:c>
      <x:c r="AD342">
        <x:f>-0.711855</x:f>
        <x:v>-0.71185500000000002</x:v>
      </x:c>
      <x:c r="AE342">
        <x:f>0.41962</x:f>
        <x:v>0.41961999999999999</x:v>
      </x:c>
      <x:c r="AF342">
        <x:f>0</x:f>
        <x:v>0</x:v>
      </x:c>
      <x:c r="AG342">
        <x:f>0</x:f>
        <x:v>0</x:v>
      </x:c>
    </x:row>
    <x:row r="343" spans="1:33" x14ac:dyDescent="0.25">
      <x:c r="A343" t="str">
        <x:f>"        Invesco S&amp;P SmallCap Industria"</x:f>
        <x:v xml:space="preserve">        Invesco S&amp;P SmallCap Industria</x:v>
      </x:c>
      <x:c r="B343" t="str">
        <x:f>"PSCI US Equity"</x:f>
        <x:v>PSCI US Equity</x:v>
      </x:c>
      <x:c r="E343" t="str">
        <x:f t="shared" si="11"/>
        <x:v>Expression</x:v>
      </x:c>
      <x:c r="F343">
        <x:f ca="1">IF(AND($B$1012=1,LEN($F$1345)&gt;0),$F$1345,HLOOKUP(INDIRECT(ADDRESS(2,COLUMN())),OFFSET($T$2,0,0,ROW()-1,14),ROW()-1,FALSE))</x:f>
        <x:v>0</x:v>
      </x:c>
      <x:c r="G343">
        <x:f ca="1">IF(AND($B$1012=1,LEN($G$1345)&gt;0),$G$1345,HLOOKUP(INDIRECT(ADDRESS(2,COLUMN())),OFFSET($T$2,0,0,ROW()-1,14),ROW()-1,FALSE))</x:f>
        <x:v>-1.9099109999999999</x:v>
      </x:c>
      <x:c r="H343">
        <x:f ca="1">IF(AND($B$1012=1,LEN($H$1345)&gt;0),$H$1345,HLOOKUP(INDIRECT(ADDRESS(2,COLUMN())),OFFSET($T$2,0,0,ROW()-1,14),ROW()-1,FALSE))</x:f>
        <x:v>7.127478</x:v>
      </x:c>
      <x:c r="I343">
        <x:f ca="1">IF(AND($B$1012=1,LEN($I$1345)&gt;0),$I$1345,HLOOKUP(INDIRECT(ADDRESS(2,COLUMN())),OFFSET($T$2,0,0,ROW()-1,14),ROW()-1,FALSE))</x:f>
        <x:v>2.091755</x:v>
      </x:c>
      <x:c r="J343">
        <x:f ca="1">IF(AND($B$1012=1,LEN($J$1345)&gt;0),$J$1345,HLOOKUP(INDIRECT(ADDRESS(2,COLUMN())),OFFSET($T$2,0,0,ROW()-1,14),ROW()-1,FALSE))</x:f>
        <x:v>3.0988180000000001</x:v>
      </x:c>
      <x:c r="K343">
        <x:f ca="1">IF(AND($B$1012=1,LEN($K$1345)&gt;0),$K$1345,HLOOKUP(INDIRECT(ADDRESS(2,COLUMN())),OFFSET($T$2,0,0,ROW()-1,14),ROW()-1,FALSE))</x:f>
        <x:v>4.057277</x:v>
      </x:c>
      <x:c r="L343">
        <x:f ca="1">IF(AND($B$1012=1,LEN($L$1345)&gt;0),$L$1345,HLOOKUP(INDIRECT(ADDRESS(2,COLUMN())),OFFSET($T$2,0,0,ROW()-1,14),ROW()-1,FALSE))</x:f>
        <x:v>39.249178000000001</x:v>
      </x:c>
      <x:c r="M343">
        <x:f ca="1">IF(AND($B$1012=1,LEN($M$1345)&gt;0),$M$1345,HLOOKUP(INDIRECT(ADDRESS(2,COLUMN())),OFFSET($T$2,0,0,ROW()-1,14),ROW()-1,FALSE))</x:f>
        <x:v>-3.6975769999999999</x:v>
      </x:c>
      <x:c r="N343">
        <x:f ca="1">IF(AND($B$1012=1,LEN($N$1345)&gt;0),$N$1345,HLOOKUP(INDIRECT(ADDRESS(2,COLUMN())),OFFSET($T$2,0,0,ROW()-1,14),ROW()-1,FALSE))</x:f>
        <x:v>4.9427539999999999</x:v>
      </x:c>
      <x:c r="O343">
        <x:f ca="1">IF(AND($B$1012=1,LEN($O$1345)&gt;0),$O$1345,HLOOKUP(INDIRECT(ADDRESS(2,COLUMN())),OFFSET($T$2,0,0,ROW()-1,14),ROW()-1,FALSE))</x:f>
        <x:v>-0.952515</x:v>
      </x:c>
      <x:c r="P343">
        <x:f ca="1">IF(AND($B$1012=1,LEN($P$1345)&gt;0),$P$1345,HLOOKUP(INDIRECT(ADDRESS(2,COLUMN())),OFFSET($T$2,0,0,ROW()-1,14),ROW()-1,FALSE))</x:f>
        <x:v>0</x:v>
      </x:c>
      <x:c r="Q343">
        <x:f ca="1">IF(AND($B$1012=1,LEN($Q$1345)&gt;0),$Q$1345,HLOOKUP(INDIRECT(ADDRESS(2,COLUMN())),OFFSET($T$2,0,0,ROW()-1,14),ROW()-1,FALSE))</x:f>
        <x:v>-0.89876999999999996</x:v>
      </x:c>
      <x:c r="R343">
        <x:f ca="1">IF(AND($B$1012=1,LEN($R$1345)&gt;0),$R$1345,HLOOKUP(INDIRECT(ADDRESS(2,COLUMN())),OFFSET($T$2,0,0,ROW()-1,14),ROW()-1,FALSE))</x:f>
        <x:v>-0.97441</x:v>
      </x:c>
      <x:c r="S343">
        <x:f ca="1">IF(AND($B$1012=1,LEN($S$1345)&gt;0),$S$1345,HLOOKUP(INDIRECT(ADDRESS(2,COLUMN())),OFFSET($T$2,0,0,ROW()-1,14),ROW()-1,FALSE))</x:f>
        <x:v>1.752567</x:v>
      </x:c>
      <x:c r="T343">
        <x:f>0</x:f>
        <x:v>0</x:v>
      </x:c>
      <x:c r="U343">
        <x:f>-1.909911</x:f>
        <x:v>-1.9099109999999999</x:v>
      </x:c>
      <x:c r="V343">
        <x:f>7.127478</x:f>
        <x:v>7.127478</x:v>
      </x:c>
      <x:c r="W343">
        <x:f>2.091755</x:f>
        <x:v>2.091755</x:v>
      </x:c>
      <x:c r="X343">
        <x:f>3.098818</x:f>
        <x:v>3.0988180000000001</x:v>
      </x:c>
      <x:c r="Y343">
        <x:f>4.057277</x:f>
        <x:v>4.057277</x:v>
      </x:c>
      <x:c r="Z343">
        <x:f>39.249178</x:f>
        <x:v>39.249178000000001</x:v>
      </x:c>
      <x:c r="AA343">
        <x:f>-3.697577</x:f>
        <x:v>-3.6975769999999999</x:v>
      </x:c>
      <x:c r="AB343">
        <x:f>4.942754</x:f>
        <x:v>4.9427539999999999</x:v>
      </x:c>
      <x:c r="AC343">
        <x:f>-0.952515</x:f>
        <x:v>-0.952515</x:v>
      </x:c>
      <x:c r="AD343">
        <x:f>0</x:f>
        <x:v>0</x:v>
      </x:c>
      <x:c r="AE343">
        <x:f>-0.89877</x:f>
        <x:v>-0.89876999999999996</x:v>
      </x:c>
      <x:c r="AF343">
        <x:f>-0.97441</x:f>
        <x:v>-0.97441</x:v>
      </x:c>
      <x:c r="AG343">
        <x:f>1.752567</x:f>
        <x:v>1.752567</x:v>
      </x:c>
    </x:row>
    <x:row r="344" spans="1:33" x14ac:dyDescent="0.25">
      <x:c r="A344" t="str">
        <x:f>"        SPDR S&amp;P International Industr"</x:f>
        <x:v xml:space="preserve">        SPDR S&amp;P International Industr</x:v>
      </x:c>
      <x:c r="B344" t="str">
        <x:f>"IPN US Equity"</x:f>
        <x:v>IPN US Equity</x:v>
      </x:c>
      <x:c r="E344" t="str">
        <x:f t="shared" si="11"/>
        <x:v>Expression</x:v>
      </x:c>
      <x:c r="F344" t="str">
        <x:f ca="1">IF(AND($B$1012=1,LEN($F$1346)&gt;0),$F$1346,HLOOKUP(INDIRECT(ADDRESS(2,COLUMN())),OFFSET($T$2,0,0,ROW()-1,14),ROW()-1,FALSE))</x:f>
        <x:v/>
      </x:c>
      <x:c r="G344" t="str">
        <x:f ca="1">IF(AND($B$1012=1,LEN($G$1346)&gt;0),$G$1346,HLOOKUP(INDIRECT(ADDRESS(2,COLUMN())),OFFSET($T$2,0,0,ROW()-1,14),ROW()-1,FALSE))</x:f>
        <x:v/>
      </x:c>
      <x:c r="H344" t="str">
        <x:f ca="1">IF(AND($B$1012=1,LEN($H$1346)&gt;0),$H$1346,HLOOKUP(INDIRECT(ADDRESS(2,COLUMN())),OFFSET($T$2,0,0,ROW()-1,14),ROW()-1,FALSE))</x:f>
        <x:v/>
      </x:c>
      <x:c r="I344" t="str">
        <x:f ca="1">IF(AND($B$1012=1,LEN($I$1346)&gt;0),$I$1346,HLOOKUP(INDIRECT(ADDRESS(2,COLUMN())),OFFSET($T$2,0,0,ROW()-1,14),ROW()-1,FALSE))</x:f>
        <x:v/>
      </x:c>
      <x:c r="J344" t="str">
        <x:f ca="1">IF(AND($B$1012=1,LEN($J$1346)&gt;0),$J$1346,HLOOKUP(INDIRECT(ADDRESS(2,COLUMN())),OFFSET($T$2,0,0,ROW()-1,14),ROW()-1,FALSE))</x:f>
        <x:v/>
      </x:c>
      <x:c r="K344" t="str">
        <x:f ca="1">IF(AND($B$1012=1,LEN($K$1346)&gt;0),$K$1346,HLOOKUP(INDIRECT(ADDRESS(2,COLUMN())),OFFSET($T$2,0,0,ROW()-1,14),ROW()-1,FALSE))</x:f>
        <x:v/>
      </x:c>
      <x:c r="L344" t="str">
        <x:f ca="1">IF(AND($B$1012=1,LEN($L$1346)&gt;0),$L$1346,HLOOKUP(INDIRECT(ADDRESS(2,COLUMN())),OFFSET($T$2,0,0,ROW()-1,14),ROW()-1,FALSE))</x:f>
        <x:v/>
      </x:c>
      <x:c r="M344" t="str">
        <x:f ca="1">IF(AND($B$1012=1,LEN($M$1346)&gt;0),$M$1346,HLOOKUP(INDIRECT(ADDRESS(2,COLUMN())),OFFSET($T$2,0,0,ROW()-1,14),ROW()-1,FALSE))</x:f>
        <x:v/>
      </x:c>
      <x:c r="N344" t="str">
        <x:f ca="1">IF(AND($B$1012=1,LEN($N$1346)&gt;0),$N$1346,HLOOKUP(INDIRECT(ADDRESS(2,COLUMN())),OFFSET($T$2,0,0,ROW()-1,14),ROW()-1,FALSE))</x:f>
        <x:v/>
      </x:c>
      <x:c r="O344" t="str">
        <x:f ca="1">IF(AND($B$1012=1,LEN($O$1346)&gt;0),$O$1346,HLOOKUP(INDIRECT(ADDRESS(2,COLUMN())),OFFSET($T$2,0,0,ROW()-1,14),ROW()-1,FALSE))</x:f>
        <x:v/>
      </x:c>
      <x:c r="P344" t="str">
        <x:f ca="1">IF(AND($B$1012=1,LEN($P$1346)&gt;0),$P$1346,HLOOKUP(INDIRECT(ADDRESS(2,COLUMN())),OFFSET($T$2,0,0,ROW()-1,14),ROW()-1,FALSE))</x:f>
        <x:v/>
      </x:c>
      <x:c r="Q344" t="str">
        <x:f ca="1">IF(AND($B$1012=1,LEN($Q$1346)&gt;0),$Q$1346,HLOOKUP(INDIRECT(ADDRESS(2,COLUMN())),OFFSET($T$2,0,0,ROW()-1,14),ROW()-1,FALSE))</x:f>
        <x:v/>
      </x:c>
      <x:c r="R344" t="str">
        <x:f ca="1">IF(AND($B$1012=1,LEN($R$1346)&gt;0),$R$1346,HLOOKUP(INDIRECT(ADDRESS(2,COLUMN())),OFFSET($T$2,0,0,ROW()-1,14),ROW()-1,FALSE))</x:f>
        <x:v/>
      </x:c>
      <x:c r="S344" t="str">
        <x:f ca="1">IF(AND($B$1012=1,LEN($S$1346)&gt;0),$S$1346,HLOOKUP(INDIRECT(ADDRESS(2,COLUMN())),OFFSET($T$2,0,0,ROW()-1,14),ROW()-1,FALSE))</x:f>
        <x:v/>
      </x:c>
      <x:c r="T344" t="str">
        <x:f>""</x:f>
        <x:v/>
      </x:c>
      <x:c r="U344" t="str">
        <x:f>""</x:f>
        <x:v/>
      </x:c>
      <x:c r="V344" t="str">
        <x:f>""</x:f>
        <x:v/>
      </x:c>
      <x:c r="W344" t="str">
        <x:f>""</x:f>
        <x:v/>
      </x:c>
      <x:c r="X344" t="str">
        <x:f>""</x:f>
        <x:v/>
      </x:c>
      <x:c r="Y344" t="str">
        <x:f>""</x:f>
        <x:v/>
      </x:c>
      <x:c r="Z344" t="str">
        <x:f>""</x:f>
        <x:v/>
      </x:c>
      <x:c r="AA344" t="str">
        <x:f>""</x:f>
        <x:v/>
      </x:c>
      <x:c r="AB344" t="str">
        <x:f>""</x:f>
        <x:v/>
      </x:c>
      <x:c r="AC344" t="str">
        <x:f>""</x:f>
        <x:v/>
      </x:c>
      <x:c r="AD344" t="str">
        <x:f>""</x:f>
        <x:v/>
      </x:c>
      <x:c r="AE344" t="str">
        <x:f>""</x:f>
        <x:v/>
      </x:c>
      <x:c r="AF344" t="str">
        <x:f>""</x:f>
        <x:v/>
      </x:c>
      <x:c r="AG344" t="str">
        <x:f>""</x:f>
        <x:v/>
      </x:c>
    </x:row>
    <x:row r="345" spans="1:33" x14ac:dyDescent="0.25">
      <x:c r="A345" t="str">
        <x:f>"        John Hancock Multifactor Indus"</x:f>
        <x:v xml:space="preserve">        John Hancock Multifactor Indus</x:v>
      </x:c>
      <x:c r="B345" t="str">
        <x:f>"JHMI US Equity"</x:f>
        <x:v>JHMI US Equity</x:v>
      </x:c>
      <x:c r="E345" t="str">
        <x:f t="shared" si="11"/>
        <x:v>Expression</x:v>
      </x:c>
      <x:c r="F345" t="str">
        <x:f ca="1">IF(AND($B$1012=1,LEN($F$1347)&gt;0),$F$1347,HLOOKUP(INDIRECT(ADDRESS(2,COLUMN())),OFFSET($T$2,0,0,ROW()-1,14),ROW()-1,FALSE))</x:f>
        <x:v/>
      </x:c>
      <x:c r="G345" t="str">
        <x:f ca="1">IF(AND($B$1012=1,LEN($G$1347)&gt;0),$G$1347,HLOOKUP(INDIRECT(ADDRESS(2,COLUMN())),OFFSET($T$2,0,0,ROW()-1,14),ROW()-1,FALSE))</x:f>
        <x:v/>
      </x:c>
      <x:c r="H345" t="str">
        <x:f ca="1">IF(AND($B$1012=1,LEN($H$1347)&gt;0),$H$1347,HLOOKUP(INDIRECT(ADDRESS(2,COLUMN())),OFFSET($T$2,0,0,ROW()-1,14),ROW()-1,FALSE))</x:f>
        <x:v/>
      </x:c>
      <x:c r="I345" t="str">
        <x:f ca="1">IF(AND($B$1012=1,LEN($I$1347)&gt;0),$I$1347,HLOOKUP(INDIRECT(ADDRESS(2,COLUMN())),OFFSET($T$2,0,0,ROW()-1,14),ROW()-1,FALSE))</x:f>
        <x:v/>
      </x:c>
      <x:c r="J345" t="str">
        <x:f ca="1">IF(AND($B$1012=1,LEN($J$1347)&gt;0),$J$1347,HLOOKUP(INDIRECT(ADDRESS(2,COLUMN())),OFFSET($T$2,0,0,ROW()-1,14),ROW()-1,FALSE))</x:f>
        <x:v/>
      </x:c>
      <x:c r="K345" t="str">
        <x:f ca="1">IF(AND($B$1012=1,LEN($K$1347)&gt;0),$K$1347,HLOOKUP(INDIRECT(ADDRESS(2,COLUMN())),OFFSET($T$2,0,0,ROW()-1,14),ROW()-1,FALSE))</x:f>
        <x:v/>
      </x:c>
      <x:c r="L345" t="str">
        <x:f ca="1">IF(AND($B$1012=1,LEN($L$1347)&gt;0),$L$1347,HLOOKUP(INDIRECT(ADDRESS(2,COLUMN())),OFFSET($T$2,0,0,ROW()-1,14),ROW()-1,FALSE))</x:f>
        <x:v/>
      </x:c>
      <x:c r="M345" t="str">
        <x:f ca="1">IF(AND($B$1012=1,LEN($M$1347)&gt;0),$M$1347,HLOOKUP(INDIRECT(ADDRESS(2,COLUMN())),OFFSET($T$2,0,0,ROW()-1,14),ROW()-1,FALSE))</x:f>
        <x:v/>
      </x:c>
      <x:c r="N345" t="str">
        <x:f ca="1">IF(AND($B$1012=1,LEN($N$1347)&gt;0),$N$1347,HLOOKUP(INDIRECT(ADDRESS(2,COLUMN())),OFFSET($T$2,0,0,ROW()-1,14),ROW()-1,FALSE))</x:f>
        <x:v/>
      </x:c>
      <x:c r="O345" t="str">
        <x:f ca="1">IF(AND($B$1012=1,LEN($O$1347)&gt;0),$O$1347,HLOOKUP(INDIRECT(ADDRESS(2,COLUMN())),OFFSET($T$2,0,0,ROW()-1,14),ROW()-1,FALSE))</x:f>
        <x:v/>
      </x:c>
      <x:c r="P345" t="str">
        <x:f ca="1">IF(AND($B$1012=1,LEN($P$1347)&gt;0),$P$1347,HLOOKUP(INDIRECT(ADDRESS(2,COLUMN())),OFFSET($T$2,0,0,ROW()-1,14),ROW()-1,FALSE))</x:f>
        <x:v/>
      </x:c>
      <x:c r="Q345" t="str">
        <x:f ca="1">IF(AND($B$1012=1,LEN($Q$1347)&gt;0),$Q$1347,HLOOKUP(INDIRECT(ADDRESS(2,COLUMN())),OFFSET($T$2,0,0,ROW()-1,14),ROW()-1,FALSE))</x:f>
        <x:v/>
      </x:c>
      <x:c r="R345" t="str">
        <x:f ca="1">IF(AND($B$1012=1,LEN($R$1347)&gt;0),$R$1347,HLOOKUP(INDIRECT(ADDRESS(2,COLUMN())),OFFSET($T$2,0,0,ROW()-1,14),ROW()-1,FALSE))</x:f>
        <x:v/>
      </x:c>
      <x:c r="S345">
        <x:f ca="1">IF(AND($B$1012=1,LEN($S$1347)&gt;0),$S$1347,HLOOKUP(INDIRECT(ADDRESS(2,COLUMN())),OFFSET($T$2,0,0,ROW()-1,14),ROW()-1,FALSE))</x:f>
        <x:v>-1.767803</x:v>
      </x:c>
      <x:c r="T345" t="str">
        <x:f>""</x:f>
        <x:v/>
      </x:c>
      <x:c r="U345" t="str">
        <x:f>""</x:f>
        <x:v/>
      </x:c>
      <x:c r="V345" t="str">
        <x:f>""</x:f>
        <x:v/>
      </x:c>
      <x:c r="W345" t="str">
        <x:f>""</x:f>
        <x:v/>
      </x:c>
      <x:c r="X345" t="str">
        <x:f>""</x:f>
        <x:v/>
      </x:c>
      <x:c r="Y345" t="str">
        <x:f>""</x:f>
        <x:v/>
      </x:c>
      <x:c r="Z345" t="str">
        <x:f>""</x:f>
        <x:v/>
      </x:c>
      <x:c r="AA345" t="str">
        <x:f>""</x:f>
        <x:v/>
      </x:c>
      <x:c r="AB345" t="str">
        <x:f>""</x:f>
        <x:v/>
      </x:c>
      <x:c r="AC345" t="str">
        <x:f>""</x:f>
        <x:v/>
      </x:c>
      <x:c r="AD345" t="str">
        <x:f>""</x:f>
        <x:v/>
      </x:c>
      <x:c r="AE345" t="str">
        <x:f>""</x:f>
        <x:v/>
      </x:c>
      <x:c r="AF345" t="str">
        <x:f>""</x:f>
        <x:v/>
      </x:c>
      <x:c r="AG345">
        <x:f>-1.767803</x:f>
        <x:v>-1.767803</x:v>
      </x:c>
    </x:row>
    <x:row r="346" spans="1:33" x14ac:dyDescent="0.25">
      <x:c r="A346" t="str">
        <x:f>"        ProShares Ultra Industrials"</x:f>
        <x:v xml:space="preserve">        ProShares Ultra Industrials</x:v>
      </x:c>
      <x:c r="B346" t="str">
        <x:f>"UXI US Equity"</x:f>
        <x:v>UXI US Equity</x:v>
      </x:c>
      <x:c r="E346" t="str">
        <x:f t="shared" si="11"/>
        <x:v>Expression</x:v>
      </x:c>
      <x:c r="F346">
        <x:f ca="1">IF(AND($B$1012=1,LEN($F$1348)&gt;0),$F$1348,HLOOKUP(INDIRECT(ADDRESS(2,COLUMN())),OFFSET($T$2,0,0,ROW()-1,14),ROW()-1,FALSE))</x:f>
        <x:v>0</x:v>
      </x:c>
      <x:c r="G346">
        <x:f ca="1">IF(AND($B$1012=1,LEN($G$1348)&gt;0),$G$1348,HLOOKUP(INDIRECT(ADDRESS(2,COLUMN())),OFFSET($T$2,0,0,ROW()-1,14),ROW()-1,FALSE))</x:f>
        <x:v>-2.1805029999999999</x:v>
      </x:c>
      <x:c r="H346">
        <x:f ca="1">IF(AND($B$1012=1,LEN($H$1348)&gt;0),$H$1348,HLOOKUP(INDIRECT(ADDRESS(2,COLUMN())),OFFSET($T$2,0,0,ROW()-1,14),ROW()-1,FALSE))</x:f>
        <x:v>-3.2092879999999999</x:v>
      </x:c>
      <x:c r="I346">
        <x:f ca="1">IF(AND($B$1012=1,LEN($I$1348)&gt;0),$I$1348,HLOOKUP(INDIRECT(ADDRESS(2,COLUMN())),OFFSET($T$2,0,0,ROW()-1,14),ROW()-1,FALSE))</x:f>
        <x:v>2.1415009999999999</x:v>
      </x:c>
      <x:c r="J346">
        <x:f ca="1">IF(AND($B$1012=1,LEN($J$1348)&gt;0),$J$1348,HLOOKUP(INDIRECT(ADDRESS(2,COLUMN())),OFFSET($T$2,0,0,ROW()-1,14),ROW()-1,FALSE))</x:f>
        <x:v>0.51838899999999999</x:v>
      </x:c>
      <x:c r="K346">
        <x:f ca="1">IF(AND($B$1012=1,LEN($K$1348)&gt;0),$K$1348,HLOOKUP(INDIRECT(ADDRESS(2,COLUMN())),OFFSET($T$2,0,0,ROW()-1,14),ROW()-1,FALSE))</x:f>
        <x:v>-0.73160800000000004</x:v>
      </x:c>
      <x:c r="L346">
        <x:f ca="1">IF(AND($B$1012=1,LEN($L$1348)&gt;0),$L$1348,HLOOKUP(INDIRECT(ADDRESS(2,COLUMN())),OFFSET($T$2,0,0,ROW()-1,14),ROW()-1,FALSE))</x:f>
        <x:v>-0.21746599999999999</x:v>
      </x:c>
      <x:c r="M346">
        <x:f ca="1">IF(AND($B$1012=1,LEN($M$1348)&gt;0),$M$1348,HLOOKUP(INDIRECT(ADDRESS(2,COLUMN())),OFFSET($T$2,0,0,ROW()-1,14),ROW()-1,FALSE))</x:f>
        <x:v>0</x:v>
      </x:c>
      <x:c r="N346">
        <x:f ca="1">IF(AND($B$1012=1,LEN($N$1348)&gt;0),$N$1348,HLOOKUP(INDIRECT(ADDRESS(2,COLUMN())),OFFSET($T$2,0,0,ROW()-1,14),ROW()-1,FALSE))</x:f>
        <x:v>0</x:v>
      </x:c>
      <x:c r="O346">
        <x:f ca="1">IF(AND($B$1012=1,LEN($O$1348)&gt;0),$O$1348,HLOOKUP(INDIRECT(ADDRESS(2,COLUMN())),OFFSET($T$2,0,0,ROW()-1,14),ROW()-1,FALSE))</x:f>
        <x:v>0.76881900000000003</x:v>
      </x:c>
      <x:c r="P346">
        <x:f ca="1">IF(AND($B$1012=1,LEN($P$1348)&gt;0),$P$1348,HLOOKUP(INDIRECT(ADDRESS(2,COLUMN())),OFFSET($T$2,0,0,ROW()-1,14),ROW()-1,FALSE))</x:f>
        <x:v>-0.23796400000000001</x:v>
      </x:c>
      <x:c r="Q346">
        <x:f ca="1">IF(AND($B$1012=1,LEN($Q$1348)&gt;0),$Q$1348,HLOOKUP(INDIRECT(ADDRESS(2,COLUMN())),OFFSET($T$2,0,0,ROW()-1,14),ROW()-1,FALSE))</x:f>
        <x:v>0</x:v>
      </x:c>
      <x:c r="R346">
        <x:f ca="1">IF(AND($B$1012=1,LEN($R$1348)&gt;0),$R$1348,HLOOKUP(INDIRECT(ADDRESS(2,COLUMN())),OFFSET($T$2,0,0,ROW()-1,14),ROW()-1,FALSE))</x:f>
        <x:v>1.31847</x:v>
      </x:c>
      <x:c r="S346">
        <x:f ca="1">IF(AND($B$1012=1,LEN($S$1348)&gt;0),$S$1348,HLOOKUP(INDIRECT(ADDRESS(2,COLUMN())),OFFSET($T$2,0,0,ROW()-1,14),ROW()-1,FALSE))</x:f>
        <x:v>1.107275</x:v>
      </x:c>
      <x:c r="T346">
        <x:f>0</x:f>
        <x:v>0</x:v>
      </x:c>
      <x:c r="U346">
        <x:f>-2.180503</x:f>
        <x:v>-2.1805029999999999</x:v>
      </x:c>
      <x:c r="V346">
        <x:f>-3.209288</x:f>
        <x:v>-3.2092879999999999</x:v>
      </x:c>
      <x:c r="W346">
        <x:f>2.141501</x:f>
        <x:v>2.1415009999999999</x:v>
      </x:c>
      <x:c r="X346">
        <x:f>0.518389</x:f>
        <x:v>0.51838899999999999</x:v>
      </x:c>
      <x:c r="Y346">
        <x:f>-0.731608</x:f>
        <x:v>-0.73160800000000004</x:v>
      </x:c>
      <x:c r="Z346">
        <x:f>-0.217466</x:f>
        <x:v>-0.21746599999999999</x:v>
      </x:c>
      <x:c r="AA346">
        <x:f>0</x:f>
        <x:v>0</x:v>
      </x:c>
      <x:c r="AB346">
        <x:f>0</x:f>
        <x:v>0</x:v>
      </x:c>
      <x:c r="AC346">
        <x:f>0.768819</x:f>
        <x:v>0.76881900000000003</x:v>
      </x:c>
      <x:c r="AD346">
        <x:f>-0.237964</x:f>
        <x:v>-0.23796400000000001</x:v>
      </x:c>
      <x:c r="AE346">
        <x:f>0</x:f>
        <x:v>0</x:v>
      </x:c>
      <x:c r="AF346">
        <x:f>1.31847</x:f>
        <x:v>1.31847</x:v>
      </x:c>
      <x:c r="AG346">
        <x:f>1.107275</x:f>
        <x:v>1.107275</x:v>
      </x:c>
    </x:row>
    <x:row r="347" spans="1:33" x14ac:dyDescent="0.25">
      <x:c r="A347" t="str">
        <x:f>"        VanEck Environmental Services"</x:f>
        <x:v xml:space="preserve">        VanEck Environmental Services</x:v>
      </x:c>
      <x:c r="B347" t="str">
        <x:f>"EVX US Equity"</x:f>
        <x:v>EVX US Equity</x:v>
      </x:c>
      <x:c r="E347" t="str">
        <x:f t="shared" si="11"/>
        <x:v>Expression</x:v>
      </x:c>
      <x:c r="F347">
        <x:f ca="1">IF(AND($B$1012=1,LEN($F$1349)&gt;0),$F$1349,HLOOKUP(INDIRECT(ADDRESS(2,COLUMN())),OFFSET($T$2,0,0,ROW()-1,14),ROW()-1,FALSE))</x:f>
        <x:v>0</x:v>
      </x:c>
      <x:c r="G347">
        <x:f ca="1">IF(AND($B$1012=1,LEN($G$1349)&gt;0),$G$1349,HLOOKUP(INDIRECT(ADDRESS(2,COLUMN())),OFFSET($T$2,0,0,ROW()-1,14),ROW()-1,FALSE))</x:f>
        <x:v>0</x:v>
      </x:c>
      <x:c r="H347">
        <x:f ca="1">IF(AND($B$1012=1,LEN($H$1349)&gt;0),$H$1349,HLOOKUP(INDIRECT(ADDRESS(2,COLUMN())),OFFSET($T$2,0,0,ROW()-1,14),ROW()-1,FALSE))</x:f>
        <x:v>-1.500272</x:v>
      </x:c>
      <x:c r="I347">
        <x:f ca="1">IF(AND($B$1012=1,LEN($I$1349)&gt;0),$I$1349,HLOOKUP(INDIRECT(ADDRESS(2,COLUMN())),OFFSET($T$2,0,0,ROW()-1,14),ROW()-1,FALSE))</x:f>
        <x:v>3.0696099999999999</x:v>
      </x:c>
      <x:c r="J347">
        <x:f ca="1">IF(AND($B$1012=1,LEN($J$1349)&gt;0),$J$1349,HLOOKUP(INDIRECT(ADDRESS(2,COLUMN())),OFFSET($T$2,0,0,ROW()-1,14),ROW()-1,FALSE))</x:f>
        <x:v>9.6789170000000002</x:v>
      </x:c>
      <x:c r="K347">
        <x:f ca="1">IF(AND($B$1012=1,LEN($K$1349)&gt;0),$K$1349,HLOOKUP(INDIRECT(ADDRESS(2,COLUMN())),OFFSET($T$2,0,0,ROW()-1,14),ROW()-1,FALSE))</x:f>
        <x:v>-6.3202999999999995E-2</x:v>
      </x:c>
      <x:c r="L347">
        <x:f ca="1">IF(AND($B$1012=1,LEN($L$1349)&gt;0),$L$1349,HLOOKUP(INDIRECT(ADDRESS(2,COLUMN())),OFFSET($T$2,0,0,ROW()-1,14),ROW()-1,FALSE))</x:f>
        <x:v>0</x:v>
      </x:c>
      <x:c r="M347">
        <x:f ca="1">IF(AND($B$1012=1,LEN($M$1349)&gt;0),$M$1349,HLOOKUP(INDIRECT(ADDRESS(2,COLUMN())),OFFSET($T$2,0,0,ROW()-1,14),ROW()-1,FALSE))</x:f>
        <x:v>-2.8381620000000001</x:v>
      </x:c>
      <x:c r="N347">
        <x:f ca="1">IF(AND($B$1012=1,LEN($N$1349)&gt;0),$N$1349,HLOOKUP(INDIRECT(ADDRESS(2,COLUMN())),OFFSET($T$2,0,0,ROW()-1,14),ROW()-1,FALSE))</x:f>
        <x:v>-8.5119E-2</x:v>
      </x:c>
      <x:c r="O347">
        <x:f ca="1">IF(AND($B$1012=1,LEN($O$1349)&gt;0),$O$1349,HLOOKUP(INDIRECT(ADDRESS(2,COLUMN())),OFFSET($T$2,0,0,ROW()-1,14),ROW()-1,FALSE))</x:f>
        <x:v>0</x:v>
      </x:c>
      <x:c r="P347">
        <x:f ca="1">IF(AND($B$1012=1,LEN($P$1349)&gt;0),$P$1349,HLOOKUP(INDIRECT(ADDRESS(2,COLUMN())),OFFSET($T$2,0,0,ROW()-1,14),ROW()-1,FALSE))</x:f>
        <x:v>-2.8488560000000001</x:v>
      </x:c>
      <x:c r="Q347">
        <x:f ca="1">IF(AND($B$1012=1,LEN($Q$1349)&gt;0),$Q$1349,HLOOKUP(INDIRECT(ADDRESS(2,COLUMN())),OFFSET($T$2,0,0,ROW()-1,14),ROW()-1,FALSE))</x:f>
        <x:v>-3.9069999999999999E-3</x:v>
      </x:c>
      <x:c r="R347">
        <x:f ca="1">IF(AND($B$1012=1,LEN($R$1349)&gt;0),$R$1349,HLOOKUP(INDIRECT(ADDRESS(2,COLUMN())),OFFSET($T$2,0,0,ROW()-1,14),ROW()-1,FALSE))</x:f>
        <x:v>-1.3928579999999999</x:v>
      </x:c>
      <x:c r="S347">
        <x:f ca="1">IF(AND($B$1012=1,LEN($S$1349)&gt;0),$S$1349,HLOOKUP(INDIRECT(ADDRESS(2,COLUMN())),OFFSET($T$2,0,0,ROW()-1,14),ROW()-1,FALSE))</x:f>
        <x:v>0</x:v>
      </x:c>
      <x:c r="T347">
        <x:f>0</x:f>
        <x:v>0</x:v>
      </x:c>
      <x:c r="U347">
        <x:f>0</x:f>
        <x:v>0</x:v>
      </x:c>
      <x:c r="V347">
        <x:f>-1.500272</x:f>
        <x:v>-1.500272</x:v>
      </x:c>
      <x:c r="W347">
        <x:f>3.06961</x:f>
        <x:v>3.0696099999999999</x:v>
      </x:c>
      <x:c r="X347">
        <x:f>9.678917</x:f>
        <x:v>9.6789170000000002</x:v>
      </x:c>
      <x:c r="Y347">
        <x:f>-0.063203</x:f>
        <x:v>-6.3202999999999995E-2</x:v>
      </x:c>
      <x:c r="Z347">
        <x:f>0</x:f>
        <x:v>0</x:v>
      </x:c>
      <x:c r="AA347">
        <x:f>-2.838162</x:f>
        <x:v>-2.8381620000000001</x:v>
      </x:c>
      <x:c r="AB347">
        <x:f>-0.085119</x:f>
        <x:v>-8.5119E-2</x:v>
      </x:c>
      <x:c r="AC347">
        <x:f>0</x:f>
        <x:v>0</x:v>
      </x:c>
      <x:c r="AD347">
        <x:f>-2.848856</x:f>
        <x:v>-2.8488560000000001</x:v>
      </x:c>
      <x:c r="AE347">
        <x:f>-0.003907</x:f>
        <x:v>-3.9069999999999999E-3</x:v>
      </x:c>
      <x:c r="AF347">
        <x:f>-1.392858</x:f>
        <x:v>-1.3928579999999999</x:v>
      </x:c>
      <x:c r="AG347">
        <x:f>0</x:f>
        <x:v>0</x:v>
      </x:c>
    </x:row>
    <x:row r="348" spans="1:33" x14ac:dyDescent="0.25">
      <x:c r="A348" t="str">
        <x:f>"        First Trust Alerian US NextGen"</x:f>
        <x:v xml:space="preserve">        First Trust Alerian US NextGen</x:v>
      </x:c>
      <x:c r="B348" t="str">
        <x:f>"FLM US Equity"</x:f>
        <x:v>FLM US Equity</x:v>
      </x:c>
      <x:c r="E348" t="str">
        <x:f t="shared" si="11"/>
        <x:v>Expression</x:v>
      </x:c>
      <x:c r="F348">
        <x:f ca="1">IF(AND($B$1012=1,LEN($F$1350)&gt;0),$F$1350,HLOOKUP(INDIRECT(ADDRESS(2,COLUMN())),OFFSET($T$2,0,0,ROW()-1,14),ROW()-1,FALSE))</x:f>
        <x:v>0</x:v>
      </x:c>
      <x:c r="G348">
        <x:f ca="1">IF(AND($B$1012=1,LEN($G$1350)&gt;0),$G$1350,HLOOKUP(INDIRECT(ADDRESS(2,COLUMN())),OFFSET($T$2,0,0,ROW()-1,14),ROW()-1,FALSE))</x:f>
        <x:v>0</x:v>
      </x:c>
      <x:c r="H348">
        <x:f ca="1">IF(AND($B$1012=1,LEN($H$1350)&gt;0),$H$1350,HLOOKUP(INDIRECT(ADDRESS(2,COLUMN())),OFFSET($T$2,0,0,ROW()-1,14),ROW()-1,FALSE))</x:f>
        <x:v>0</x:v>
      </x:c>
      <x:c r="I348">
        <x:f ca="1">IF(AND($B$1012=1,LEN($I$1350)&gt;0),$I$1350,HLOOKUP(INDIRECT(ADDRESS(2,COLUMN())),OFFSET($T$2,0,0,ROW()-1,14),ROW()-1,FALSE))</x:f>
        <x:v>0</x:v>
      </x:c>
      <x:c r="J348">
        <x:f ca="1">IF(AND($B$1012=1,LEN($J$1350)&gt;0),$J$1350,HLOOKUP(INDIRECT(ADDRESS(2,COLUMN())),OFFSET($T$2,0,0,ROW()-1,14),ROW()-1,FALSE))</x:f>
        <x:v>0</x:v>
      </x:c>
      <x:c r="K348">
        <x:f ca="1">IF(AND($B$1012=1,LEN($K$1350)&gt;0),$K$1350,HLOOKUP(INDIRECT(ADDRESS(2,COLUMN())),OFFSET($T$2,0,0,ROW()-1,14),ROW()-1,FALSE))</x:f>
        <x:v>0</x:v>
      </x:c>
      <x:c r="L348">
        <x:f ca="1">IF(AND($B$1012=1,LEN($L$1350)&gt;0),$L$1350,HLOOKUP(INDIRECT(ADDRESS(2,COLUMN())),OFFSET($T$2,0,0,ROW()-1,14),ROW()-1,FALSE))</x:f>
        <x:v>0</x:v>
      </x:c>
      <x:c r="M348">
        <x:f ca="1">IF(AND($B$1012=1,LEN($M$1350)&gt;0),$M$1350,HLOOKUP(INDIRECT(ADDRESS(2,COLUMN())),OFFSET($T$2,0,0,ROW()-1,14),ROW()-1,FALSE))</x:f>
        <x:v>0</x:v>
      </x:c>
      <x:c r="N348">
        <x:f ca="1">IF(AND($B$1012=1,LEN($N$1350)&gt;0),$N$1350,HLOOKUP(INDIRECT(ADDRESS(2,COLUMN())),OFFSET($T$2,0,0,ROW()-1,14),ROW()-1,FALSE))</x:f>
        <x:v>0</x:v>
      </x:c>
      <x:c r="O348">
        <x:f ca="1">IF(AND($B$1012=1,LEN($O$1350)&gt;0),$O$1350,HLOOKUP(INDIRECT(ADDRESS(2,COLUMN())),OFFSET($T$2,0,0,ROW()-1,14),ROW()-1,FALSE))</x:f>
        <x:v>0</x:v>
      </x:c>
      <x:c r="P348">
        <x:f ca="1">IF(AND($B$1012=1,LEN($P$1350)&gt;0),$P$1350,HLOOKUP(INDIRECT(ADDRESS(2,COLUMN())),OFFSET($T$2,0,0,ROW()-1,14),ROW()-1,FALSE))</x:f>
        <x:v>0</x:v>
      </x:c>
      <x:c r="Q348">
        <x:f ca="1">IF(AND($B$1012=1,LEN($Q$1350)&gt;0),$Q$1350,HLOOKUP(INDIRECT(ADDRESS(2,COLUMN())),OFFSET($T$2,0,0,ROW()-1,14),ROW()-1,FALSE))</x:f>
        <x:v>0</x:v>
      </x:c>
      <x:c r="R348">
        <x:f ca="1">IF(AND($B$1012=1,LEN($R$1350)&gt;0),$R$1350,HLOOKUP(INDIRECT(ADDRESS(2,COLUMN())),OFFSET($T$2,0,0,ROW()-1,14),ROW()-1,FALSE))</x:f>
        <x:v>0</x:v>
      </x:c>
      <x:c r="S348">
        <x:f ca="1">IF(AND($B$1012=1,LEN($S$1350)&gt;0),$S$1350,HLOOKUP(INDIRECT(ADDRESS(2,COLUMN())),OFFSET($T$2,0,0,ROW()-1,14),ROW()-1,FALSE))</x:f>
        <x:v>-2.1500189999999999</x:v>
      </x:c>
      <x:c r="T348">
        <x:f>0</x:f>
        <x:v>0</x:v>
      </x:c>
      <x:c r="U348">
        <x:f>0</x:f>
        <x:v>0</x:v>
      </x:c>
      <x:c r="V348">
        <x:f>0</x:f>
        <x:v>0</x:v>
      </x:c>
      <x:c r="W348">
        <x:f>0</x:f>
        <x:v>0</x:v>
      </x:c>
      <x:c r="X348">
        <x:f>0</x:f>
        <x:v>0</x:v>
      </x:c>
      <x:c r="Y348">
        <x:f>0</x:f>
        <x:v>0</x:v>
      </x:c>
      <x:c r="Z348">
        <x:f>0</x:f>
        <x:v>0</x:v>
      </x:c>
      <x:c r="AA348">
        <x:f>0</x:f>
        <x:v>0</x:v>
      </x:c>
      <x:c r="AB348">
        <x:f>0</x:f>
        <x:v>0</x:v>
      </x:c>
      <x:c r="AC348">
        <x:f>0</x:f>
        <x:v>0</x:v>
      </x:c>
      <x:c r="AD348">
        <x:f>0</x:f>
        <x:v>0</x:v>
      </x:c>
      <x:c r="AE348">
        <x:f>0</x:f>
        <x:v>0</x:v>
      </x:c>
      <x:c r="AF348">
        <x:f>0</x:f>
        <x:v>0</x:v>
      </x:c>
      <x:c r="AG348">
        <x:f>-2.150019</x:f>
        <x:v>-2.1500189999999999</x:v>
      </x:c>
    </x:row>
    <x:row r="349" spans="1:33" x14ac:dyDescent="0.25">
      <x:c r="A349" t="str">
        <x:f>"        Wedbush ETFMG Global Cloud Tec"</x:f>
        <x:v xml:space="preserve">        Wedbush ETFMG Global Cloud Tec</x:v>
      </x:c>
      <x:c r="B349" t="str">
        <x:f>"IVES US Equity"</x:f>
        <x:v>IVES US Equity</x:v>
      </x:c>
      <x:c r="E349" t="str">
        <x:f t="shared" si="11"/>
        <x:v>Expression</x:v>
      </x:c>
      <x:c r="F349">
        <x:f ca="1">IF(AND($B$1012=1,LEN($F$1351)&gt;0),$F$1351,HLOOKUP(INDIRECT(ADDRESS(2,COLUMN())),OFFSET($T$2,0,0,ROW()-1,14),ROW()-1,FALSE))</x:f>
        <x:v>0</x:v>
      </x:c>
      <x:c r="G349">
        <x:f ca="1">IF(AND($B$1012=1,LEN($G$1351)&gt;0),$G$1351,HLOOKUP(INDIRECT(ADDRESS(2,COLUMN())),OFFSET($T$2,0,0,ROW()-1,14),ROW()-1,FALSE))</x:f>
        <x:v>-3.5318499999999999</x:v>
      </x:c>
      <x:c r="H349">
        <x:f ca="1">IF(AND($B$1012=1,LEN($H$1351)&gt;0),$H$1351,HLOOKUP(INDIRECT(ADDRESS(2,COLUMN())),OFFSET($T$2,0,0,ROW()-1,14),ROW()-1,FALSE))</x:f>
        <x:v>-1.8433550000000001</x:v>
      </x:c>
      <x:c r="I349">
        <x:f ca="1">IF(AND($B$1012=1,LEN($I$1351)&gt;0),$I$1351,HLOOKUP(INDIRECT(ADDRESS(2,COLUMN())),OFFSET($T$2,0,0,ROW()-1,14),ROW()-1,FALSE))</x:f>
        <x:v>3.5370400000000002</x:v>
      </x:c>
      <x:c r="J349">
        <x:f ca="1">IF(AND($B$1012=1,LEN($J$1351)&gt;0),$J$1351,HLOOKUP(INDIRECT(ADDRESS(2,COLUMN())),OFFSET($T$2,0,0,ROW()-1,14),ROW()-1,FALSE))</x:f>
        <x:v>0</x:v>
      </x:c>
      <x:c r="K349">
        <x:f ca="1">IF(AND($B$1012=1,LEN($K$1351)&gt;0),$K$1351,HLOOKUP(INDIRECT(ADDRESS(2,COLUMN())),OFFSET($T$2,0,0,ROW()-1,14),ROW()-1,FALSE))</x:f>
        <x:v>0</x:v>
      </x:c>
      <x:c r="L349">
        <x:f ca="1">IF(AND($B$1012=1,LEN($L$1351)&gt;0),$L$1351,HLOOKUP(INDIRECT(ADDRESS(2,COLUMN())),OFFSET($T$2,0,0,ROW()-1,14),ROW()-1,FALSE))</x:f>
        <x:v>-1.583885</x:v>
      </x:c>
      <x:c r="M349">
        <x:f ca="1">IF(AND($B$1012=1,LEN($M$1351)&gt;0),$M$1351,HLOOKUP(INDIRECT(ADDRESS(2,COLUMN())),OFFSET($T$2,0,0,ROW()-1,14),ROW()-1,FALSE))</x:f>
        <x:v>0</x:v>
      </x:c>
      <x:c r="N349">
        <x:f ca="1">IF(AND($B$1012=1,LEN($N$1351)&gt;0),$N$1351,HLOOKUP(INDIRECT(ADDRESS(2,COLUMN())),OFFSET($T$2,0,0,ROW()-1,14),ROW()-1,FALSE))</x:f>
        <x:v>0</x:v>
      </x:c>
      <x:c r="O349">
        <x:f ca="1">IF(AND($B$1012=1,LEN($O$1351)&gt;0),$O$1351,HLOOKUP(INDIRECT(ADDRESS(2,COLUMN())),OFFSET($T$2,0,0,ROW()-1,14),ROW()-1,FALSE))</x:f>
        <x:v>0</x:v>
      </x:c>
      <x:c r="P349">
        <x:f ca="1">IF(AND($B$1012=1,LEN($P$1351)&gt;0),$P$1351,HLOOKUP(INDIRECT(ADDRESS(2,COLUMN())),OFFSET($T$2,0,0,ROW()-1,14),ROW()-1,FALSE))</x:f>
        <x:v>-2.9208500000000002</x:v>
      </x:c>
      <x:c r="Q349">
        <x:f ca="1">IF(AND($B$1012=1,LEN($Q$1351)&gt;0),$Q$1351,HLOOKUP(INDIRECT(ADDRESS(2,COLUMN())),OFFSET($T$2,0,0,ROW()-1,14),ROW()-1,FALSE))</x:f>
        <x:v>0</x:v>
      </x:c>
      <x:c r="R349">
        <x:f ca="1">IF(AND($B$1012=1,LEN($R$1351)&gt;0),$R$1351,HLOOKUP(INDIRECT(ADDRESS(2,COLUMN())),OFFSET($T$2,0,0,ROW()-1,14),ROW()-1,FALSE))</x:f>
        <x:v>0</x:v>
      </x:c>
      <x:c r="S349">
        <x:f ca="1">IF(AND($B$1012=1,LEN($S$1351)&gt;0),$S$1351,HLOOKUP(INDIRECT(ADDRESS(2,COLUMN())),OFFSET($T$2,0,0,ROW()-1,14),ROW()-1,FALSE))</x:f>
        <x:v>0</x:v>
      </x:c>
      <x:c r="T349">
        <x:f>0</x:f>
        <x:v>0</x:v>
      </x:c>
      <x:c r="U349">
        <x:f>-3.53185</x:f>
        <x:v>-3.5318499999999999</x:v>
      </x:c>
      <x:c r="V349">
        <x:f>-1.843355</x:f>
        <x:v>-1.8433550000000001</x:v>
      </x:c>
      <x:c r="W349">
        <x:f>3.53704</x:f>
        <x:v>3.5370400000000002</x:v>
      </x:c>
      <x:c r="X349">
        <x:f>0</x:f>
        <x:v>0</x:v>
      </x:c>
      <x:c r="Y349">
        <x:f>0</x:f>
        <x:v>0</x:v>
      </x:c>
      <x:c r="Z349">
        <x:f>-1.583885</x:f>
        <x:v>-1.583885</x:v>
      </x:c>
      <x:c r="AA349">
        <x:f>0</x:f>
        <x:v>0</x:v>
      </x:c>
      <x:c r="AB349">
        <x:f>0</x:f>
        <x:v>0</x:v>
      </x:c>
      <x:c r="AC349">
        <x:f>0</x:f>
        <x:v>0</x:v>
      </x:c>
      <x:c r="AD349">
        <x:f>-2.92085</x:f>
        <x:v>-2.9208500000000002</x:v>
      </x:c>
      <x:c r="AE349">
        <x:f>0</x:f>
        <x:v>0</x:v>
      </x:c>
      <x:c r="AF349">
        <x:f>0</x:f>
        <x:v>0</x:v>
      </x:c>
      <x:c r="AG349">
        <x:f>0</x:f>
        <x:v>0</x:v>
      </x:c>
    </x:row>
    <x:row r="350" spans="1:33" x14ac:dyDescent="0.25">
      <x:c r="A350" t="str">
        <x:f>"        Global X MSCI China Industrial"</x:f>
        <x:v xml:space="preserve">        Global X MSCI China Industrial</x:v>
      </x:c>
      <x:c r="B350" t="str">
        <x:f>"CHII US Equity"</x:f>
        <x:v>CHII US Equity</x:v>
      </x:c>
      <x:c r="E350" t="str">
        <x:f t="shared" si="11"/>
        <x:v>Expression</x:v>
      </x:c>
      <x:c r="F350">
        <x:f ca="1">IF(AND($B$1012=1,LEN($F$1352)&gt;0),$F$1352,HLOOKUP(INDIRECT(ADDRESS(2,COLUMN())),OFFSET($T$2,0,0,ROW()-1,14),ROW()-1,FALSE))</x:f>
        <x:v>0</x:v>
      </x:c>
      <x:c r="G350">
        <x:f ca="1">IF(AND($B$1012=1,LEN($G$1352)&gt;0),$G$1352,HLOOKUP(INDIRECT(ADDRESS(2,COLUMN())),OFFSET($T$2,0,0,ROW()-1,14),ROW()-1,FALSE))</x:f>
        <x:v>0</x:v>
      </x:c>
      <x:c r="H350">
        <x:f ca="1">IF(AND($B$1012=1,LEN($H$1352)&gt;0),$H$1352,HLOOKUP(INDIRECT(ADDRESS(2,COLUMN())),OFFSET($T$2,0,0,ROW()-1,14),ROW()-1,FALSE))</x:f>
        <x:v>0</x:v>
      </x:c>
      <x:c r="I350">
        <x:f ca="1">IF(AND($B$1012=1,LEN($I$1352)&gt;0),$I$1352,HLOOKUP(INDIRECT(ADDRESS(2,COLUMN())),OFFSET($T$2,0,0,ROW()-1,14),ROW()-1,FALSE))</x:f>
        <x:v>-0.34139999999999998</x:v>
      </x:c>
      <x:c r="J350">
        <x:f ca="1">IF(AND($B$1012=1,LEN($J$1352)&gt;0),$J$1352,HLOOKUP(INDIRECT(ADDRESS(2,COLUMN())),OFFSET($T$2,0,0,ROW()-1,14),ROW()-1,FALSE))</x:f>
        <x:v>0</x:v>
      </x:c>
      <x:c r="K350">
        <x:f ca="1">IF(AND($B$1012=1,LEN($K$1352)&gt;0),$K$1352,HLOOKUP(INDIRECT(ADDRESS(2,COLUMN())),OFFSET($T$2,0,0,ROW()-1,14),ROW()-1,FALSE))</x:f>
        <x:v>0</x:v>
      </x:c>
      <x:c r="L350">
        <x:f ca="1">IF(AND($B$1012=1,LEN($L$1352)&gt;0),$L$1352,HLOOKUP(INDIRECT(ADDRESS(2,COLUMN())),OFFSET($T$2,0,0,ROW()-1,14),ROW()-1,FALSE))</x:f>
        <x:v>0</x:v>
      </x:c>
      <x:c r="M350">
        <x:f ca="1">IF(AND($B$1012=1,LEN($M$1352)&gt;0),$M$1352,HLOOKUP(INDIRECT(ADDRESS(2,COLUMN())),OFFSET($T$2,0,0,ROW()-1,14),ROW()-1,FALSE))</x:f>
        <x:v>0</x:v>
      </x:c>
      <x:c r="N350">
        <x:f ca="1">IF(AND($B$1012=1,LEN($N$1352)&gt;0),$N$1352,HLOOKUP(INDIRECT(ADDRESS(2,COLUMN())),OFFSET($T$2,0,0,ROW()-1,14),ROW()-1,FALSE))</x:f>
        <x:v>0</x:v>
      </x:c>
      <x:c r="O350">
        <x:f ca="1">IF(AND($B$1012=1,LEN($O$1352)&gt;0),$O$1352,HLOOKUP(INDIRECT(ADDRESS(2,COLUMN())),OFFSET($T$2,0,0,ROW()-1,14),ROW()-1,FALSE))</x:f>
        <x:v>0</x:v>
      </x:c>
      <x:c r="P350">
        <x:f ca="1">IF(AND($B$1012=1,LEN($P$1352)&gt;0),$P$1352,HLOOKUP(INDIRECT(ADDRESS(2,COLUMN())),OFFSET($T$2,0,0,ROW()-1,14),ROW()-1,FALSE))</x:f>
        <x:v>0</x:v>
      </x:c>
      <x:c r="Q350">
        <x:f ca="1">IF(AND($B$1012=1,LEN($Q$1352)&gt;0),$Q$1352,HLOOKUP(INDIRECT(ADDRESS(2,COLUMN())),OFFSET($T$2,0,0,ROW()-1,14),ROW()-1,FALSE))</x:f>
        <x:v>0.13400000000000001</x:v>
      </x:c>
      <x:c r="R350">
        <x:f ca="1">IF(AND($B$1012=1,LEN($R$1352)&gt;0),$R$1352,HLOOKUP(INDIRECT(ADDRESS(2,COLUMN())),OFFSET($T$2,0,0,ROW()-1,14),ROW()-1,FALSE))</x:f>
        <x:v>0</x:v>
      </x:c>
      <x:c r="S350">
        <x:f ca="1">IF(AND($B$1012=1,LEN($S$1352)&gt;0),$S$1352,HLOOKUP(INDIRECT(ADDRESS(2,COLUMN())),OFFSET($T$2,0,0,ROW()-1,14),ROW()-1,FALSE))</x:f>
        <x:v>0</x:v>
      </x:c>
      <x:c r="T350">
        <x:f>0</x:f>
        <x:v>0</x:v>
      </x:c>
      <x:c r="U350">
        <x:f>0</x:f>
        <x:v>0</x:v>
      </x:c>
      <x:c r="V350">
        <x:f>0</x:f>
        <x:v>0</x:v>
      </x:c>
      <x:c r="W350">
        <x:f>-0.3414</x:f>
        <x:v>-0.34139999999999998</x:v>
      </x:c>
      <x:c r="X350">
        <x:f>0</x:f>
        <x:v>0</x:v>
      </x:c>
      <x:c r="Y350">
        <x:f>0</x:f>
        <x:v>0</x:v>
      </x:c>
      <x:c r="Z350">
        <x:f>0</x:f>
        <x:v>0</x:v>
      </x:c>
      <x:c r="AA350">
        <x:f>0</x:f>
        <x:v>0</x:v>
      </x:c>
      <x:c r="AB350">
        <x:f>0</x:f>
        <x:v>0</x:v>
      </x:c>
      <x:c r="AC350">
        <x:f>0</x:f>
        <x:v>0</x:v>
      </x:c>
      <x:c r="AD350">
        <x:f>0</x:f>
        <x:v>0</x:v>
      </x:c>
      <x:c r="AE350">
        <x:f>0.134</x:f>
        <x:v>0.13400000000000001</x:v>
      </x:c>
      <x:c r="AF350">
        <x:f>0</x:f>
        <x:v>0</x:v>
      </x:c>
      <x:c r="AG350">
        <x:f>0</x:f>
        <x:v>0</x:v>
      </x:c>
    </x:row>
    <x:row r="351" spans="1:33" x14ac:dyDescent="0.25">
      <x:c r="A351" t="str">
        <x:f>"        ProShares UltraShort Industria"</x:f>
        <x:v xml:space="preserve">        ProShares UltraShort Industria</x:v>
      </x:c>
      <x:c r="B351" t="str">
        <x:f>"SIJ US Equity"</x:f>
        <x:v>SIJ US Equity</x:v>
      </x:c>
      <x:c r="E351" t="str">
        <x:f t="shared" si="11"/>
        <x:v>Expression</x:v>
      </x:c>
      <x:c r="F351">
        <x:f ca="1">IF(AND($B$1012=1,LEN($F$1353)&gt;0),$F$1353,HLOOKUP(INDIRECT(ADDRESS(2,COLUMN())),OFFSET($T$2,0,0,ROW()-1,14),ROW()-1,FALSE))</x:f>
        <x:v>0.56323199999999995</x:v>
      </x:c>
      <x:c r="G351">
        <x:f ca="1">IF(AND($B$1012=1,LEN($G$1353)&gt;0),$G$1353,HLOOKUP(INDIRECT(ADDRESS(2,COLUMN())),OFFSET($T$2,0,0,ROW()-1,14),ROW()-1,FALSE))</x:f>
        <x:v>2.1573999999999999E-2</x:v>
      </x:c>
      <x:c r="H351">
        <x:f ca="1">IF(AND($B$1012=1,LEN($H$1353)&gt;0),$H$1353,HLOOKUP(INDIRECT(ADDRESS(2,COLUMN())),OFFSET($T$2,0,0,ROW()-1,14),ROW()-1,FALSE))</x:f>
        <x:v>-0.13559499999999999</x:v>
      </x:c>
      <x:c r="I351">
        <x:f ca="1">IF(AND($B$1012=1,LEN($I$1353)&gt;0),$I$1353,HLOOKUP(INDIRECT(ADDRESS(2,COLUMN())),OFFSET($T$2,0,0,ROW()-1,14),ROW()-1,FALSE))</x:f>
        <x:v>-0.79972200000000004</x:v>
      </x:c>
      <x:c r="J351">
        <x:f ca="1">IF(AND($B$1012=1,LEN($J$1353)&gt;0),$J$1353,HLOOKUP(INDIRECT(ADDRESS(2,COLUMN())),OFFSET($T$2,0,0,ROW()-1,14),ROW()-1,FALSE))</x:f>
        <x:v>0.26730999999999999</x:v>
      </x:c>
      <x:c r="K351">
        <x:f ca="1">IF(AND($B$1012=1,LEN($K$1353)&gt;0),$K$1353,HLOOKUP(INDIRECT(ADDRESS(2,COLUMN())),OFFSET($T$2,0,0,ROW()-1,14),ROW()-1,FALSE))</x:f>
        <x:v>5.0596000000000002E-2</x:v>
      </x:c>
      <x:c r="L351">
        <x:f ca="1">IF(AND($B$1012=1,LEN($L$1353)&gt;0),$L$1353,HLOOKUP(INDIRECT(ADDRESS(2,COLUMN())),OFFSET($T$2,0,0,ROW()-1,14),ROW()-1,FALSE))</x:f>
        <x:v>0.76686200000000004</x:v>
      </x:c>
      <x:c r="M351">
        <x:f ca="1">IF(AND($B$1012=1,LEN($M$1353)&gt;0),$M$1353,HLOOKUP(INDIRECT(ADDRESS(2,COLUMN())),OFFSET($T$2,0,0,ROW()-1,14),ROW()-1,FALSE))</x:f>
        <x:v>0.36670999999999998</x:v>
      </x:c>
      <x:c r="N351">
        <x:f ca="1">IF(AND($B$1012=1,LEN($N$1353)&gt;0),$N$1353,HLOOKUP(INDIRECT(ADDRESS(2,COLUMN())),OFFSET($T$2,0,0,ROW()-1,14),ROW()-1,FALSE))</x:f>
        <x:v>-0.37378699999999998</x:v>
      </x:c>
      <x:c r="O351">
        <x:f ca="1">IF(AND($B$1012=1,LEN($O$1353)&gt;0),$O$1353,HLOOKUP(INDIRECT(ADDRESS(2,COLUMN())),OFFSET($T$2,0,0,ROW()-1,14),ROW()-1,FALSE))</x:f>
        <x:v>0</x:v>
      </x:c>
      <x:c r="P351">
        <x:f ca="1">IF(AND($B$1012=1,LEN($P$1353)&gt;0),$P$1353,HLOOKUP(INDIRECT(ADDRESS(2,COLUMN())),OFFSET($T$2,0,0,ROW()-1,14),ROW()-1,FALSE))</x:f>
        <x:v>-0.73208200000000001</x:v>
      </x:c>
      <x:c r="Q351">
        <x:f ca="1">IF(AND($B$1012=1,LEN($Q$1353)&gt;0),$Q$1353,HLOOKUP(INDIRECT(ADDRESS(2,COLUMN())),OFFSET($T$2,0,0,ROW()-1,14),ROW()-1,FALSE))</x:f>
        <x:v>1.1728670000000001</x:v>
      </x:c>
      <x:c r="R351">
        <x:f ca="1">IF(AND($B$1012=1,LEN($R$1353)&gt;0),$R$1353,HLOOKUP(INDIRECT(ADDRESS(2,COLUMN())),OFFSET($T$2,0,0,ROW()-1,14),ROW()-1,FALSE))</x:f>
        <x:v>-1.243757</x:v>
      </x:c>
      <x:c r="S351">
        <x:f ca="1">IF(AND($B$1012=1,LEN($S$1353)&gt;0),$S$1353,HLOOKUP(INDIRECT(ADDRESS(2,COLUMN())),OFFSET($T$2,0,0,ROW()-1,14),ROW()-1,FALSE))</x:f>
        <x:v>0</x:v>
      </x:c>
      <x:c r="T351">
        <x:f>0.563232</x:f>
        <x:v>0.56323199999999995</x:v>
      </x:c>
      <x:c r="U351">
        <x:f>0.021574</x:f>
        <x:v>2.1573999999999999E-2</x:v>
      </x:c>
      <x:c r="V351">
        <x:f>-0.135595</x:f>
        <x:v>-0.13559499999999999</x:v>
      </x:c>
      <x:c r="W351">
        <x:f>-0.799722</x:f>
        <x:v>-0.79972200000000004</x:v>
      </x:c>
      <x:c r="X351">
        <x:f>0.26731</x:f>
        <x:v>0.26730999999999999</x:v>
      </x:c>
      <x:c r="Y351">
        <x:f>0.050596</x:f>
        <x:v>5.0596000000000002E-2</x:v>
      </x:c>
      <x:c r="Z351">
        <x:f>0.766862</x:f>
        <x:v>0.76686200000000004</x:v>
      </x:c>
      <x:c r="AA351">
        <x:f>0.36671</x:f>
        <x:v>0.36670999999999998</x:v>
      </x:c>
      <x:c r="AB351">
        <x:f>-0.373787</x:f>
        <x:v>-0.37378699999999998</x:v>
      </x:c>
      <x:c r="AC351">
        <x:f>0</x:f>
        <x:v>0</x:v>
      </x:c>
      <x:c r="AD351">
        <x:f>-0.732082</x:f>
        <x:v>-0.73208200000000001</x:v>
      </x:c>
      <x:c r="AE351">
        <x:f>1.172867</x:f>
        <x:v>1.1728670000000001</x:v>
      </x:c>
      <x:c r="AF351">
        <x:f>-1.243757</x:f>
        <x:v>-1.243757</x:v>
      </x:c>
      <x:c r="AG351">
        <x:f>0</x:f>
        <x:v>0</x:v>
      </x:c>
    </x:row>
    <x:row r="352" spans="1:33" x14ac:dyDescent="0.25">
      <x:c r="A352" t="str">
        <x:f>"        Nifty India Financials ETF"</x:f>
        <x:v xml:space="preserve">        Nifty India Financials ETF</x:v>
      </x:c>
      <x:c r="B352" t="str">
        <x:f>"INDF US Equity"</x:f>
        <x:v>INDF US Equity</x:v>
      </x:c>
      <x:c r="E352" t="str">
        <x:f t="shared" si="11"/>
        <x:v>Expression</x:v>
      </x:c>
      <x:c r="F352">
        <x:f ca="1">IF(AND($B$1012=1,LEN($F$1354)&gt;0),$F$1354,HLOOKUP(INDIRECT(ADDRESS(2,COLUMN())),OFFSET($T$2,0,0,ROW()-1,14),ROW()-1,FALSE))</x:f>
        <x:v>0</x:v>
      </x:c>
      <x:c r="G352">
        <x:f ca="1">IF(AND($B$1012=1,LEN($G$1354)&gt;0),$G$1354,HLOOKUP(INDIRECT(ADDRESS(2,COLUMN())),OFFSET($T$2,0,0,ROW()-1,14),ROW()-1,FALSE))</x:f>
        <x:v>0</x:v>
      </x:c>
      <x:c r="H352">
        <x:f ca="1">IF(AND($B$1012=1,LEN($H$1354)&gt;0),$H$1354,HLOOKUP(INDIRECT(ADDRESS(2,COLUMN())),OFFSET($T$2,0,0,ROW()-1,14),ROW()-1,FALSE))</x:f>
        <x:v>0</x:v>
      </x:c>
      <x:c r="I352">
        <x:f ca="1">IF(AND($B$1012=1,LEN($I$1354)&gt;0),$I$1354,HLOOKUP(INDIRECT(ADDRESS(2,COLUMN())),OFFSET($T$2,0,0,ROW()-1,14),ROW()-1,FALSE))</x:f>
        <x:v>0</x:v>
      </x:c>
      <x:c r="J352">
        <x:f ca="1">IF(AND($B$1012=1,LEN($J$1354)&gt;0),$J$1354,HLOOKUP(INDIRECT(ADDRESS(2,COLUMN())),OFFSET($T$2,0,0,ROW()-1,14),ROW()-1,FALSE))</x:f>
        <x:v>0</x:v>
      </x:c>
      <x:c r="K352">
        <x:f ca="1">IF(AND($B$1012=1,LEN($K$1354)&gt;0),$K$1354,HLOOKUP(INDIRECT(ADDRESS(2,COLUMN())),OFFSET($T$2,0,0,ROW()-1,14),ROW()-1,FALSE))</x:f>
        <x:v>-1.698</x:v>
      </x:c>
      <x:c r="L352">
        <x:f ca="1">IF(AND($B$1012=1,LEN($L$1354)&gt;0),$L$1354,HLOOKUP(INDIRECT(ADDRESS(2,COLUMN())),OFFSET($T$2,0,0,ROW()-1,14),ROW()-1,FALSE))</x:f>
        <x:v>0</x:v>
      </x:c>
      <x:c r="M352">
        <x:f ca="1">IF(AND($B$1012=1,LEN($M$1354)&gt;0),$M$1354,HLOOKUP(INDIRECT(ADDRESS(2,COLUMN())),OFFSET($T$2,0,0,ROW()-1,14),ROW()-1,FALSE))</x:f>
        <x:v>0</x:v>
      </x:c>
      <x:c r="N352">
        <x:f ca="1">IF(AND($B$1012=1,LEN($N$1354)&gt;0),$N$1354,HLOOKUP(INDIRECT(ADDRESS(2,COLUMN())),OFFSET($T$2,0,0,ROW()-1,14),ROW()-1,FALSE))</x:f>
        <x:v>0</x:v>
      </x:c>
      <x:c r="O352">
        <x:f ca="1">IF(AND($B$1012=1,LEN($O$1354)&gt;0),$O$1354,HLOOKUP(INDIRECT(ADDRESS(2,COLUMN())),OFFSET($T$2,0,0,ROW()-1,14),ROW()-1,FALSE))</x:f>
        <x:v>0</x:v>
      </x:c>
      <x:c r="P352">
        <x:f ca="1">IF(AND($B$1012=1,LEN($P$1354)&gt;0),$P$1354,HLOOKUP(INDIRECT(ADDRESS(2,COLUMN())),OFFSET($T$2,0,0,ROW()-1,14),ROW()-1,FALSE))</x:f>
        <x:v>0</x:v>
      </x:c>
      <x:c r="Q352">
        <x:f ca="1">IF(AND($B$1012=1,LEN($Q$1354)&gt;0),$Q$1354,HLOOKUP(INDIRECT(ADDRESS(2,COLUMN())),OFFSET($T$2,0,0,ROW()-1,14),ROW()-1,FALSE))</x:f>
        <x:v>0</x:v>
      </x:c>
      <x:c r="R352">
        <x:f ca="1">IF(AND($B$1012=1,LEN($R$1354)&gt;0),$R$1354,HLOOKUP(INDIRECT(ADDRESS(2,COLUMN())),OFFSET($T$2,0,0,ROW()-1,14),ROW()-1,FALSE))</x:f>
        <x:v>0</x:v>
      </x:c>
      <x:c r="S352">
        <x:f ca="1">IF(AND($B$1012=1,LEN($S$1354)&gt;0),$S$1354,HLOOKUP(INDIRECT(ADDRESS(2,COLUMN())),OFFSET($T$2,0,0,ROW()-1,14),ROW()-1,FALSE))</x:f>
        <x:v>0</x:v>
      </x:c>
      <x:c r="T352">
        <x:f>0</x:f>
        <x:v>0</x:v>
      </x:c>
      <x:c r="U352">
        <x:f>0</x:f>
        <x:v>0</x:v>
      </x:c>
      <x:c r="V352">
        <x:f>0</x:f>
        <x:v>0</x:v>
      </x:c>
      <x:c r="W352">
        <x:f>0</x:f>
        <x:v>0</x:v>
      </x:c>
      <x:c r="X352">
        <x:f>0</x:f>
        <x:v>0</x:v>
      </x:c>
      <x:c r="Y352">
        <x:f>-1.698</x:f>
        <x:v>-1.698</x:v>
      </x:c>
      <x:c r="Z352">
        <x:f>0</x:f>
        <x:v>0</x:v>
      </x:c>
      <x:c r="AA352">
        <x:f>0</x:f>
        <x:v>0</x:v>
      </x:c>
      <x:c r="AB352">
        <x:f>0</x:f>
        <x:v>0</x:v>
      </x:c>
      <x:c r="AC352">
        <x:f>0</x:f>
        <x:v>0</x:v>
      </x:c>
      <x:c r="AD352">
        <x:f>0</x:f>
        <x:v>0</x:v>
      </x:c>
      <x:c r="AE352">
        <x:f>0</x:f>
        <x:v>0</x:v>
      </x:c>
      <x:c r="AF352">
        <x:f>0</x:f>
        <x:v>0</x:v>
      </x:c>
      <x:c r="AG352">
        <x:f>0</x:f>
        <x:v>0</x:v>
      </x:c>
    </x:row>
    <x:row r="353" spans="1:33" x14ac:dyDescent="0.25">
      <x:c r="A353" t="str">
        <x:f>"        Direxion Daily Aerospace &amp; Def"</x:f>
        <x:v xml:space="preserve">        Direxion Daily Aerospace &amp; Def</x:v>
      </x:c>
      <x:c r="B353" t="str">
        <x:f>"DFEN US Equity"</x:f>
        <x:v>DFEN US Equity</x:v>
      </x:c>
      <x:c r="E353" t="str">
        <x:f t="shared" si="11"/>
        <x:v>Expression</x:v>
      </x:c>
      <x:c r="F353">
        <x:f ca="1">IF(AND($B$1012=1,LEN($F$1362)&gt;0),$F$1362,HLOOKUP(INDIRECT(ADDRESS(2,COLUMN())),OFFSET($T$2,0,0,ROW()-1,14),ROW()-1,FALSE))</x:f>
        <x:v>-19.175443000000001</x:v>
      </x:c>
      <x:c r="G353">
        <x:f ca="1">IF(AND($B$1012=1,LEN($G$1362)&gt;0),$G$1362,HLOOKUP(INDIRECT(ADDRESS(2,COLUMN())),OFFSET($T$2,0,0,ROW()-1,14),ROW()-1,FALSE))</x:f>
        <x:v>18.026655000000002</x:v>
      </x:c>
      <x:c r="H353">
        <x:f ca="1">IF(AND($B$1012=1,LEN($H$1362)&gt;0),$H$1362,HLOOKUP(INDIRECT(ADDRESS(2,COLUMN())),OFFSET($T$2,0,0,ROW()-1,14),ROW()-1,FALSE))</x:f>
        <x:v>16.888964000000001</x:v>
      </x:c>
      <x:c r="I353">
        <x:f ca="1">IF(AND($B$1012=1,LEN($I$1362)&gt;0),$I$1362,HLOOKUP(INDIRECT(ADDRESS(2,COLUMN())),OFFSET($T$2,0,0,ROW()-1,14),ROW()-1,FALSE))</x:f>
        <x:v>-6.2669980000000001</x:v>
      </x:c>
      <x:c r="J353">
        <x:f ca="1">IF(AND($B$1012=1,LEN($J$1362)&gt;0),$J$1362,HLOOKUP(INDIRECT(ADDRESS(2,COLUMN())),OFFSET($T$2,0,0,ROW()-1,14),ROW()-1,FALSE))</x:f>
        <x:v>-5.3878950000000003</x:v>
      </x:c>
      <x:c r="K353">
        <x:f ca="1">IF(AND($B$1012=1,LEN($K$1362)&gt;0),$K$1362,HLOOKUP(INDIRECT(ADDRESS(2,COLUMN())),OFFSET($T$2,0,0,ROW()-1,14),ROW()-1,FALSE))</x:f>
        <x:v>-13.229519</x:v>
      </x:c>
      <x:c r="L353">
        <x:f ca="1">IF(AND($B$1012=1,LEN($L$1362)&gt;0),$L$1362,HLOOKUP(INDIRECT(ADDRESS(2,COLUMN())),OFFSET($T$2,0,0,ROW()-1,14),ROW()-1,FALSE))</x:f>
        <x:v>3.4400710000000001</x:v>
      </x:c>
      <x:c r="M353">
        <x:f ca="1">IF(AND($B$1012=1,LEN($M$1362)&gt;0),$M$1362,HLOOKUP(INDIRECT(ADDRESS(2,COLUMN())),OFFSET($T$2,0,0,ROW()-1,14),ROW()-1,FALSE))</x:f>
        <x:v>-9.5782950000000007</x:v>
      </x:c>
      <x:c r="N353">
        <x:f ca="1">IF(AND($B$1012=1,LEN($N$1362)&gt;0),$N$1362,HLOOKUP(INDIRECT(ADDRESS(2,COLUMN())),OFFSET($T$2,0,0,ROW()-1,14),ROW()-1,FALSE))</x:f>
        <x:v>-0.94355800000000001</x:v>
      </x:c>
      <x:c r="O353">
        <x:f ca="1">IF(AND($B$1012=1,LEN($O$1362)&gt;0),$O$1362,HLOOKUP(INDIRECT(ADDRESS(2,COLUMN())),OFFSET($T$2,0,0,ROW()-1,14),ROW()-1,FALSE))</x:f>
        <x:v>-6.4430699999999996</x:v>
      </x:c>
      <x:c r="P353">
        <x:f ca="1">IF(AND($B$1012=1,LEN($P$1362)&gt;0),$P$1362,HLOOKUP(INDIRECT(ADDRESS(2,COLUMN())),OFFSET($T$2,0,0,ROW()-1,14),ROW()-1,FALSE))</x:f>
        <x:v>-12.050926</x:v>
      </x:c>
      <x:c r="Q353">
        <x:f ca="1">IF(AND($B$1012=1,LEN($Q$1362)&gt;0),$Q$1362,HLOOKUP(INDIRECT(ADDRESS(2,COLUMN())),OFFSET($T$2,0,0,ROW()-1,14),ROW()-1,FALSE))</x:f>
        <x:v>-3.975787</x:v>
      </x:c>
      <x:c r="R353">
        <x:f ca="1">IF(AND($B$1012=1,LEN($R$1362)&gt;0),$R$1362,HLOOKUP(INDIRECT(ADDRESS(2,COLUMN())),OFFSET($T$2,0,0,ROW()-1,14),ROW()-1,FALSE))</x:f>
        <x:v>-13.345176</x:v>
      </x:c>
      <x:c r="S353">
        <x:f ca="1">IF(AND($B$1012=1,LEN($S$1362)&gt;0),$S$1362,HLOOKUP(INDIRECT(ADDRESS(2,COLUMN())),OFFSET($T$2,0,0,ROW()-1,14),ROW()-1,FALSE))</x:f>
        <x:v>-1.2210920000000001</x:v>
      </x:c>
      <x:c r="T353">
        <x:f>-19.175443</x:f>
        <x:v>-19.175443000000001</x:v>
      </x:c>
      <x:c r="U353">
        <x:f>18.026655</x:f>
        <x:v>18.026655000000002</x:v>
      </x:c>
      <x:c r="V353">
        <x:f>16.888964</x:f>
        <x:v>16.888964000000001</x:v>
      </x:c>
      <x:c r="W353">
        <x:f>-6.266998</x:f>
        <x:v>-6.2669980000000001</x:v>
      </x:c>
      <x:c r="X353">
        <x:f>-5.387895</x:f>
        <x:v>-5.3878950000000003</x:v>
      </x:c>
      <x:c r="Y353">
        <x:f>-13.229519</x:f>
        <x:v>-13.229519</x:v>
      </x:c>
      <x:c r="Z353">
        <x:f>3.440071</x:f>
        <x:v>3.4400710000000001</x:v>
      </x:c>
      <x:c r="AA353">
        <x:f>-9.578295</x:f>
        <x:v>-9.5782950000000007</x:v>
      </x:c>
      <x:c r="AB353">
        <x:f>-0.943558</x:f>
        <x:v>-0.94355800000000001</x:v>
      </x:c>
      <x:c r="AC353">
        <x:f>-6.44307</x:f>
        <x:v>-6.4430699999999996</x:v>
      </x:c>
      <x:c r="AD353">
        <x:f>-12.050926</x:f>
        <x:v>-12.050926</x:v>
      </x:c>
      <x:c r="AE353">
        <x:f>-3.975787</x:f>
        <x:v>-3.975787</x:v>
      </x:c>
      <x:c r="AF353">
        <x:f>-13.345176</x:f>
        <x:v>-13.345176</x:v>
      </x:c>
      <x:c r="AG353">
        <x:f>-1.221092</x:f>
        <x:v>-1.2210920000000001</x:v>
      </x:c>
    </x:row>
    <x:row r="354" spans="1:33" x14ac:dyDescent="0.25">
      <x:c r="A354" t="str">
        <x:f>"        Direxion Daily Industrials Bul"</x:f>
        <x:v xml:space="preserve">        Direxion Daily Industrials Bul</x:v>
      </x:c>
      <x:c r="B354" t="str">
        <x:f>"DUSL US Equity"</x:f>
        <x:v>DUSL US Equity</x:v>
      </x:c>
      <x:c r="E354" t="str">
        <x:f t="shared" si="11"/>
        <x:v>Expression</x:v>
      </x:c>
      <x:c r="F354">
        <x:f ca="1">IF(AND($B$1012=1,LEN($F$1361)&gt;0),$F$1361,HLOOKUP(INDIRECT(ADDRESS(2,COLUMN())),OFFSET($T$2,0,0,ROW()-1,14),ROW()-1,FALSE))</x:f>
        <x:v>1.6740660000000001</x:v>
      </x:c>
      <x:c r="G354">
        <x:f ca="1">IF(AND($B$1012=1,LEN($G$1361)&gt;0),$G$1361,HLOOKUP(INDIRECT(ADDRESS(2,COLUMN())),OFFSET($T$2,0,0,ROW()-1,14),ROW()-1,FALSE))</x:f>
        <x:v>1.6367449999999999</x:v>
      </x:c>
      <x:c r="H354">
        <x:f ca="1">IF(AND($B$1012=1,LEN($H$1361)&gt;0),$H$1361,HLOOKUP(INDIRECT(ADDRESS(2,COLUMN())),OFFSET($T$2,0,0,ROW()-1,14),ROW()-1,FALSE))</x:f>
        <x:v>0.21105299999999999</x:v>
      </x:c>
      <x:c r="I354">
        <x:f ca="1">IF(AND($B$1012=1,LEN($I$1361)&gt;0),$I$1361,HLOOKUP(INDIRECT(ADDRESS(2,COLUMN())),OFFSET($T$2,0,0,ROW()-1,14),ROW()-1,FALSE))</x:f>
        <x:v>-3.8254990000000002</x:v>
      </x:c>
      <x:c r="J354">
        <x:f ca="1">IF(AND($B$1012=1,LEN($J$1361)&gt;0),$J$1361,HLOOKUP(INDIRECT(ADDRESS(2,COLUMN())),OFFSET($T$2,0,0,ROW()-1,14),ROW()-1,FALSE))</x:f>
        <x:v>1.9374910000000001</x:v>
      </x:c>
      <x:c r="K354">
        <x:f ca="1">IF(AND($B$1012=1,LEN($K$1361)&gt;0),$K$1361,HLOOKUP(INDIRECT(ADDRESS(2,COLUMN())),OFFSET($T$2,0,0,ROW()-1,14),ROW()-1,FALSE))</x:f>
        <x:v>1.5761350000000001</x:v>
      </x:c>
      <x:c r="L354">
        <x:f ca="1">IF(AND($B$1012=1,LEN($L$1361)&gt;0),$L$1361,HLOOKUP(INDIRECT(ADDRESS(2,COLUMN())),OFFSET($T$2,0,0,ROW()-1,14),ROW()-1,FALSE))</x:f>
        <x:v>0</x:v>
      </x:c>
      <x:c r="M354">
        <x:f ca="1">IF(AND($B$1012=1,LEN($M$1361)&gt;0),$M$1361,HLOOKUP(INDIRECT(ADDRESS(2,COLUMN())),OFFSET($T$2,0,0,ROW()-1,14),ROW()-1,FALSE))</x:f>
        <x:v>0</x:v>
      </x:c>
      <x:c r="N354">
        <x:f ca="1">IF(AND($B$1012=1,LEN($N$1361)&gt;0),$N$1361,HLOOKUP(INDIRECT(ADDRESS(2,COLUMN())),OFFSET($T$2,0,0,ROW()-1,14),ROW()-1,FALSE))</x:f>
        <x:v>-1.583483</x:v>
      </x:c>
      <x:c r="O354">
        <x:f ca="1">IF(AND($B$1012=1,LEN($O$1361)&gt;0),$O$1361,HLOOKUP(INDIRECT(ADDRESS(2,COLUMN())),OFFSET($T$2,0,0,ROW()-1,14),ROW()-1,FALSE))</x:f>
        <x:v>0</x:v>
      </x:c>
      <x:c r="P354">
        <x:f ca="1">IF(AND($B$1012=1,LEN($P$1361)&gt;0),$P$1361,HLOOKUP(INDIRECT(ADDRESS(2,COLUMN())),OFFSET($T$2,0,0,ROW()-1,14),ROW()-1,FALSE))</x:f>
        <x:v>7.7183000000000002E-2</x:v>
      </x:c>
      <x:c r="Q354">
        <x:f ca="1">IF(AND($B$1012=1,LEN($Q$1361)&gt;0),$Q$1361,HLOOKUP(INDIRECT(ADDRESS(2,COLUMN())),OFFSET($T$2,0,0,ROW()-1,14),ROW()-1,FALSE))</x:f>
        <x:v>-1.6212569999999999</x:v>
      </x:c>
      <x:c r="R354">
        <x:f ca="1">IF(AND($B$1012=1,LEN($R$1361)&gt;0),$R$1361,HLOOKUP(INDIRECT(ADDRESS(2,COLUMN())),OFFSET($T$2,0,0,ROW()-1,14),ROW()-1,FALSE))</x:f>
        <x:v>2.9393509999999998</x:v>
      </x:c>
      <x:c r="S354">
        <x:f ca="1">IF(AND($B$1012=1,LEN($S$1361)&gt;0),$S$1361,HLOOKUP(INDIRECT(ADDRESS(2,COLUMN())),OFFSET($T$2,0,0,ROW()-1,14),ROW()-1,FALSE))</x:f>
        <x:v>0</x:v>
      </x:c>
      <x:c r="T354">
        <x:f>1.674066</x:f>
        <x:v>1.6740660000000001</x:v>
      </x:c>
      <x:c r="U354">
        <x:f>1.636745</x:f>
        <x:v>1.6367449999999999</x:v>
      </x:c>
      <x:c r="V354">
        <x:f>0.211053</x:f>
        <x:v>0.21105299999999999</x:v>
      </x:c>
      <x:c r="W354">
        <x:f>-3.825499</x:f>
        <x:v>-3.8254990000000002</x:v>
      </x:c>
      <x:c r="X354">
        <x:f>1.937491</x:f>
        <x:v>1.9374910000000001</x:v>
      </x:c>
      <x:c r="Y354">
        <x:f>1.576135</x:f>
        <x:v>1.5761350000000001</x:v>
      </x:c>
      <x:c r="Z354">
        <x:f>0</x:f>
        <x:v>0</x:v>
      </x:c>
      <x:c r="AA354">
        <x:f>0</x:f>
        <x:v>0</x:v>
      </x:c>
      <x:c r="AB354">
        <x:f>-1.583483</x:f>
        <x:v>-1.583483</x:v>
      </x:c>
      <x:c r="AC354">
        <x:f>0</x:f>
        <x:v>0</x:v>
      </x:c>
      <x:c r="AD354">
        <x:f>0.077183</x:f>
        <x:v>7.7183000000000002E-2</x:v>
      </x:c>
      <x:c r="AE354">
        <x:f>-1.621257</x:f>
        <x:v>-1.6212569999999999</x:v>
      </x:c>
      <x:c r="AF354">
        <x:f>2.939351</x:f>
        <x:v>2.9393509999999998</x:v>
      </x:c>
      <x:c r="AG354">
        <x:f>0</x:f>
        <x:v>0</x:v>
      </x:c>
    </x:row>
    <x:row r="355" spans="1:33" x14ac:dyDescent="0.25">
      <x:c r="A355" t="str">
        <x:f>"        Direxion Daily Transportation"</x:f>
        <x:v xml:space="preserve">        Direxion Daily Transportation</x:v>
      </x:c>
      <x:c r="B355" t="str">
        <x:f>"TPOR US Equity"</x:f>
        <x:v>TPOR US Equity</x:v>
      </x:c>
      <x:c r="E355" t="str">
        <x:f t="shared" si="11"/>
        <x:v>Expression</x:v>
      </x:c>
      <x:c r="F355">
        <x:f ca="1">IF(AND($B$1012=1,LEN($F$1360)&gt;0),$F$1360,HLOOKUP(INDIRECT(ADDRESS(2,COLUMN())),OFFSET($T$2,0,0,ROW()-1,14),ROW()-1,FALSE))</x:f>
        <x:v>2.2082579999999998</x:v>
      </x:c>
      <x:c r="G355">
        <x:f ca="1">IF(AND($B$1012=1,LEN($G$1360)&gt;0),$G$1360,HLOOKUP(INDIRECT(ADDRESS(2,COLUMN())),OFFSET($T$2,0,0,ROW()-1,14),ROW()-1,FALSE))</x:f>
        <x:v>1.2166790000000001</x:v>
      </x:c>
      <x:c r="H355">
        <x:f ca="1">IF(AND($B$1012=1,LEN($H$1360)&gt;0),$H$1360,HLOOKUP(INDIRECT(ADDRESS(2,COLUMN())),OFFSET($T$2,0,0,ROW()-1,14),ROW()-1,FALSE))</x:f>
        <x:v>-1.3612059999999999</x:v>
      </x:c>
      <x:c r="I355">
        <x:f ca="1">IF(AND($B$1012=1,LEN($I$1360)&gt;0),$I$1360,HLOOKUP(INDIRECT(ADDRESS(2,COLUMN())),OFFSET($T$2,0,0,ROW()-1,14),ROW()-1,FALSE))</x:f>
        <x:v>-1.6536759999999999</x:v>
      </x:c>
      <x:c r="J355">
        <x:f ca="1">IF(AND($B$1012=1,LEN($J$1360)&gt;0),$J$1360,HLOOKUP(INDIRECT(ADDRESS(2,COLUMN())),OFFSET($T$2,0,0,ROW()-1,14),ROW()-1,FALSE))</x:f>
        <x:v>-3.5879029999999998</x:v>
      </x:c>
      <x:c r="K355">
        <x:f ca="1">IF(AND($B$1012=1,LEN($K$1360)&gt;0),$K$1360,HLOOKUP(INDIRECT(ADDRESS(2,COLUMN())),OFFSET($T$2,0,0,ROW()-1,14),ROW()-1,FALSE))</x:f>
        <x:v>1.4285289999999999</x:v>
      </x:c>
      <x:c r="L355">
        <x:f ca="1">IF(AND($B$1012=1,LEN($L$1360)&gt;0),$L$1360,HLOOKUP(INDIRECT(ADDRESS(2,COLUMN())),OFFSET($T$2,0,0,ROW()-1,14),ROW()-1,FALSE))</x:f>
        <x:v>0</x:v>
      </x:c>
      <x:c r="M355">
        <x:f ca="1">IF(AND($B$1012=1,LEN($M$1360)&gt;0),$M$1360,HLOOKUP(INDIRECT(ADDRESS(2,COLUMN())),OFFSET($T$2,0,0,ROW()-1,14),ROW()-1,FALSE))</x:f>
        <x:v>-5.4923E-2</x:v>
      </x:c>
      <x:c r="N355">
        <x:f ca="1">IF(AND($B$1012=1,LEN($N$1360)&gt;0),$N$1360,HLOOKUP(INDIRECT(ADDRESS(2,COLUMN())),OFFSET($T$2,0,0,ROW()-1,14),ROW()-1,FALSE))</x:f>
        <x:v>0</x:v>
      </x:c>
      <x:c r="O355">
        <x:f ca="1">IF(AND($B$1012=1,LEN($O$1360)&gt;0),$O$1360,HLOOKUP(INDIRECT(ADDRESS(2,COLUMN())),OFFSET($T$2,0,0,ROW()-1,14),ROW()-1,FALSE))</x:f>
        <x:v>0</x:v>
      </x:c>
      <x:c r="P355">
        <x:f ca="1">IF(AND($B$1012=1,LEN($P$1360)&gt;0),$P$1360,HLOOKUP(INDIRECT(ADDRESS(2,COLUMN())),OFFSET($T$2,0,0,ROW()-1,14),ROW()-1,FALSE))</x:f>
        <x:v>-1.2639119999999999</x:v>
      </x:c>
      <x:c r="Q355">
        <x:f ca="1">IF(AND($B$1012=1,LEN($Q$1360)&gt;0),$Q$1360,HLOOKUP(INDIRECT(ADDRESS(2,COLUMN())),OFFSET($T$2,0,0,ROW()-1,14),ROW()-1,FALSE))</x:f>
        <x:v>0</x:v>
      </x:c>
      <x:c r="R355">
        <x:f ca="1">IF(AND($B$1012=1,LEN($R$1360)&gt;0),$R$1360,HLOOKUP(INDIRECT(ADDRESS(2,COLUMN())),OFFSET($T$2,0,0,ROW()-1,14),ROW()-1,FALSE))</x:f>
        <x:v>0.39230799999999999</x:v>
      </x:c>
      <x:c r="S355">
        <x:f ca="1">IF(AND($B$1012=1,LEN($S$1360)&gt;0),$S$1360,HLOOKUP(INDIRECT(ADDRESS(2,COLUMN())),OFFSET($T$2,0,0,ROW()-1,14),ROW()-1,FALSE))</x:f>
        <x:v>1.091062</x:v>
      </x:c>
      <x:c r="T355">
        <x:f>2.208258</x:f>
        <x:v>2.2082579999999998</x:v>
      </x:c>
      <x:c r="U355">
        <x:f>1.216679</x:f>
        <x:v>1.2166790000000001</x:v>
      </x:c>
      <x:c r="V355">
        <x:f>-1.361206</x:f>
        <x:v>-1.3612059999999999</x:v>
      </x:c>
      <x:c r="W355">
        <x:f>-1.653676</x:f>
        <x:v>-1.6536759999999999</x:v>
      </x:c>
      <x:c r="X355">
        <x:f>-3.587903</x:f>
        <x:v>-3.5879029999999998</x:v>
      </x:c>
      <x:c r="Y355">
        <x:f>1.428529</x:f>
        <x:v>1.4285289999999999</x:v>
      </x:c>
      <x:c r="Z355">
        <x:f>0</x:f>
        <x:v>0</x:v>
      </x:c>
      <x:c r="AA355">
        <x:f>-0.054923</x:f>
        <x:v>-5.4923E-2</x:v>
      </x:c>
      <x:c r="AB355">
        <x:f>0</x:f>
        <x:v>0</x:v>
      </x:c>
      <x:c r="AC355">
        <x:f>0</x:f>
        <x:v>0</x:v>
      </x:c>
      <x:c r="AD355">
        <x:f>-1.263912</x:f>
        <x:v>-1.2639119999999999</x:v>
      </x:c>
      <x:c r="AE355">
        <x:f>0</x:f>
        <x:v>0</x:v>
      </x:c>
      <x:c r="AF355">
        <x:f>0.392308</x:f>
        <x:v>0.39230799999999999</x:v>
      </x:c>
      <x:c r="AG355">
        <x:f>1.091062</x:f>
        <x:v>1.091062</x:v>
      </x:c>
    </x:row>
    <x:row r="356" spans="1:33" x14ac:dyDescent="0.25">
      <x:c r="A356" t="str">
        <x:f>"        First Trust Nasdaq Transportat"</x:f>
        <x:v xml:space="preserve">        First Trust Nasdaq Transportat</x:v>
      </x:c>
      <x:c r="B356" t="str">
        <x:f>"FTXR US Equity"</x:f>
        <x:v>FTXR US Equity</x:v>
      </x:c>
      <x:c r="E356" t="str">
        <x:f t="shared" si="11"/>
        <x:v>Expression</x:v>
      </x:c>
      <x:c r="F356">
        <x:f ca="1">IF(AND($B$1012=1,LEN($F$1358)&gt;0),$F$1358,HLOOKUP(INDIRECT(ADDRESS(2,COLUMN())),OFFSET($T$2,0,0,ROW()-1,14),ROW()-1,FALSE))</x:f>
        <x:v>0</x:v>
      </x:c>
      <x:c r="G356">
        <x:f ca="1">IF(AND($B$1012=1,LEN($G$1358)&gt;0),$G$1358,HLOOKUP(INDIRECT(ADDRESS(2,COLUMN())),OFFSET($T$2,0,0,ROW()-1,14),ROW()-1,FALSE))</x:f>
        <x:v>-4.211138</x:v>
      </x:c>
      <x:c r="H356">
        <x:f ca="1">IF(AND($B$1012=1,LEN($H$1358)&gt;0),$H$1358,HLOOKUP(INDIRECT(ADDRESS(2,COLUMN())),OFFSET($T$2,0,0,ROW()-1,14),ROW()-1,FALSE))</x:f>
        <x:v>-11.480997</x:v>
      </x:c>
      <x:c r="I356">
        <x:f ca="1">IF(AND($B$1012=1,LEN($I$1358)&gt;0),$I$1358,HLOOKUP(INDIRECT(ADDRESS(2,COLUMN())),OFFSET($T$2,0,0,ROW()-1,14),ROW()-1,FALSE))</x:f>
        <x:v>-2.9816630000000002</x:v>
      </x:c>
      <x:c r="J356">
        <x:f ca="1">IF(AND($B$1012=1,LEN($J$1358)&gt;0),$J$1358,HLOOKUP(INDIRECT(ADDRESS(2,COLUMN())),OFFSET($T$2,0,0,ROW()-1,14),ROW()-1,FALSE))</x:f>
        <x:v>12.3</x:v>
      </x:c>
      <x:c r="K356">
        <x:f ca="1">IF(AND($B$1012=1,LEN($K$1358)&gt;0),$K$1358,HLOOKUP(INDIRECT(ADDRESS(2,COLUMN())),OFFSET($T$2,0,0,ROW()-1,14),ROW()-1,FALSE))</x:f>
        <x:v>-1.448</x:v>
      </x:c>
      <x:c r="L356">
        <x:f ca="1">IF(AND($B$1012=1,LEN($L$1358)&gt;0),$L$1358,HLOOKUP(INDIRECT(ADDRESS(2,COLUMN())),OFFSET($T$2,0,0,ROW()-1,14),ROW()-1,FALSE))</x:f>
        <x:v>-2.6280000000000001</x:v>
      </x:c>
      <x:c r="M356">
        <x:f ca="1">IF(AND($B$1012=1,LEN($M$1358)&gt;0),$M$1358,HLOOKUP(INDIRECT(ADDRESS(2,COLUMN())),OFFSET($T$2,0,0,ROW()-1,14),ROW()-1,FALSE))</x:f>
        <x:v>0</x:v>
      </x:c>
      <x:c r="N356">
        <x:f ca="1">IF(AND($B$1012=1,LEN($N$1358)&gt;0),$N$1358,HLOOKUP(INDIRECT(ADDRESS(2,COLUMN())),OFFSET($T$2,0,0,ROW()-1,14),ROW()-1,FALSE))</x:f>
        <x:v>-5.2755859999999997</x:v>
      </x:c>
      <x:c r="O356">
        <x:f ca="1">IF(AND($B$1012=1,LEN($O$1358)&gt;0),$O$1358,HLOOKUP(INDIRECT(ADDRESS(2,COLUMN())),OFFSET($T$2,0,0,ROW()-1,14),ROW()-1,FALSE))</x:f>
        <x:v>-2.7556319999999999</x:v>
      </x:c>
      <x:c r="P356">
        <x:f ca="1">IF(AND($B$1012=1,LEN($P$1358)&gt;0),$P$1358,HLOOKUP(INDIRECT(ADDRESS(2,COLUMN())),OFFSET($T$2,0,0,ROW()-1,14),ROW()-1,FALSE))</x:f>
        <x:v>-6.8581469999999998</x:v>
      </x:c>
      <x:c r="Q356">
        <x:f ca="1">IF(AND($B$1012=1,LEN($Q$1358)&gt;0),$Q$1358,HLOOKUP(INDIRECT(ADDRESS(2,COLUMN())),OFFSET($T$2,0,0,ROW()-1,14),ROW()-1,FALSE))</x:f>
        <x:v>-9.1733440000000002</x:v>
      </x:c>
      <x:c r="R356">
        <x:f ca="1">IF(AND($B$1012=1,LEN($R$1358)&gt;0),$R$1358,HLOOKUP(INDIRECT(ADDRESS(2,COLUMN())),OFFSET($T$2,0,0,ROW()-1,14),ROW()-1,FALSE))</x:f>
        <x:v>-1.2588889999999999</x:v>
      </x:c>
      <x:c r="S356">
        <x:f ca="1">IF(AND($B$1012=1,LEN($S$1358)&gt;0),$S$1358,HLOOKUP(INDIRECT(ADDRESS(2,COLUMN())),OFFSET($T$2,0,0,ROW()-1,14),ROW()-1,FALSE))</x:f>
        <x:v>-5.9758630000000004</x:v>
      </x:c>
      <x:c r="T356">
        <x:f>0</x:f>
        <x:v>0</x:v>
      </x:c>
      <x:c r="U356">
        <x:f>-4.211138</x:f>
        <x:v>-4.211138</x:v>
      </x:c>
      <x:c r="V356">
        <x:f>-11.480997</x:f>
        <x:v>-11.480997</x:v>
      </x:c>
      <x:c r="W356">
        <x:f>-2.981663</x:f>
        <x:v>-2.9816630000000002</x:v>
      </x:c>
      <x:c r="X356">
        <x:f>12.3</x:f>
        <x:v>12.3</x:v>
      </x:c>
      <x:c r="Y356">
        <x:f>-1.448</x:f>
        <x:v>-1.448</x:v>
      </x:c>
      <x:c r="Z356">
        <x:f>-2.628</x:f>
        <x:v>-2.6280000000000001</x:v>
      </x:c>
      <x:c r="AA356">
        <x:f>0</x:f>
        <x:v>0</x:v>
      </x:c>
      <x:c r="AB356">
        <x:f>-5.275586</x:f>
        <x:v>-5.2755859999999997</x:v>
      </x:c>
      <x:c r="AC356">
        <x:f>-2.755632</x:f>
        <x:v>-2.7556319999999999</x:v>
      </x:c>
      <x:c r="AD356">
        <x:f>-6.858147</x:f>
        <x:v>-6.8581469999999998</x:v>
      </x:c>
      <x:c r="AE356">
        <x:f>-9.173344</x:f>
        <x:v>-9.1733440000000002</x:v>
      </x:c>
      <x:c r="AF356">
        <x:f>-1.258889</x:f>
        <x:v>-1.2588889999999999</x:v>
      </x:c>
      <x:c r="AG356">
        <x:f>-5.975863</x:f>
        <x:v>-5.9758630000000004</x:v>
      </x:c>
    </x:row>
    <x:row r="357" spans="1:33" x14ac:dyDescent="0.25">
      <x:c r="A357" t="str">
        <x:f>"        Elkhorn S&amp;P MidCap Industrials"</x:f>
        <x:v xml:space="preserve">        Elkhorn S&amp;P MidCap Industrials</x:v>
      </x:c>
      <x:c r="B357" t="str">
        <x:f>"XI US Equity"</x:f>
        <x:v>XI US Equity</x:v>
      </x:c>
      <x:c r="E357" t="str">
        <x:f t="shared" si="11"/>
        <x:v>Expression</x:v>
      </x:c>
      <x:c r="F357" t="str">
        <x:f ca="1">IF(AND($B$1012=1,LEN($F$1359)&gt;0),$F$1359,HLOOKUP(INDIRECT(ADDRESS(2,COLUMN())),OFFSET($T$2,0,0,ROW()-1,14),ROW()-1,FALSE))</x:f>
        <x:v/>
      </x:c>
      <x:c r="G357" t="str">
        <x:f ca="1">IF(AND($B$1012=1,LEN($G$1359)&gt;0),$G$1359,HLOOKUP(INDIRECT(ADDRESS(2,COLUMN())),OFFSET($T$2,0,0,ROW()-1,14),ROW()-1,FALSE))</x:f>
        <x:v/>
      </x:c>
      <x:c r="H357" t="str">
        <x:f ca="1">IF(AND($B$1012=1,LEN($H$1359)&gt;0),$H$1359,HLOOKUP(INDIRECT(ADDRESS(2,COLUMN())),OFFSET($T$2,0,0,ROW()-1,14),ROW()-1,FALSE))</x:f>
        <x:v/>
      </x:c>
      <x:c r="I357" t="str">
        <x:f ca="1">IF(AND($B$1012=1,LEN($I$1359)&gt;0),$I$1359,HLOOKUP(INDIRECT(ADDRESS(2,COLUMN())),OFFSET($T$2,0,0,ROW()-1,14),ROW()-1,FALSE))</x:f>
        <x:v/>
      </x:c>
      <x:c r="J357" t="str">
        <x:f ca="1">IF(AND($B$1012=1,LEN($J$1359)&gt;0),$J$1359,HLOOKUP(INDIRECT(ADDRESS(2,COLUMN())),OFFSET($T$2,0,0,ROW()-1,14),ROW()-1,FALSE))</x:f>
        <x:v/>
      </x:c>
      <x:c r="K357" t="str">
        <x:f ca="1">IF(AND($B$1012=1,LEN($K$1359)&gt;0),$K$1359,HLOOKUP(INDIRECT(ADDRESS(2,COLUMN())),OFFSET($T$2,0,0,ROW()-1,14),ROW()-1,FALSE))</x:f>
        <x:v/>
      </x:c>
      <x:c r="L357" t="str">
        <x:f ca="1">IF(AND($B$1012=1,LEN($L$1359)&gt;0),$L$1359,HLOOKUP(INDIRECT(ADDRESS(2,COLUMN())),OFFSET($T$2,0,0,ROW()-1,14),ROW()-1,FALSE))</x:f>
        <x:v/>
      </x:c>
      <x:c r="M357" t="str">
        <x:f ca="1">IF(AND($B$1012=1,LEN($M$1359)&gt;0),$M$1359,HLOOKUP(INDIRECT(ADDRESS(2,COLUMN())),OFFSET($T$2,0,0,ROW()-1,14),ROW()-1,FALSE))</x:f>
        <x:v/>
      </x:c>
      <x:c r="N357" t="str">
        <x:f ca="1">IF(AND($B$1012=1,LEN($N$1359)&gt;0),$N$1359,HLOOKUP(INDIRECT(ADDRESS(2,COLUMN())),OFFSET($T$2,0,0,ROW()-1,14),ROW()-1,FALSE))</x:f>
        <x:v/>
      </x:c>
      <x:c r="O357" t="str">
        <x:f ca="1">IF(AND($B$1012=1,LEN($O$1359)&gt;0),$O$1359,HLOOKUP(INDIRECT(ADDRESS(2,COLUMN())),OFFSET($T$2,0,0,ROW()-1,14),ROW()-1,FALSE))</x:f>
        <x:v/>
      </x:c>
      <x:c r="P357" t="str">
        <x:f ca="1">IF(AND($B$1012=1,LEN($P$1359)&gt;0),$P$1359,HLOOKUP(INDIRECT(ADDRESS(2,COLUMN())),OFFSET($T$2,0,0,ROW()-1,14),ROW()-1,FALSE))</x:f>
        <x:v/>
      </x:c>
      <x:c r="Q357" t="str">
        <x:f ca="1">IF(AND($B$1012=1,LEN($Q$1359)&gt;0),$Q$1359,HLOOKUP(INDIRECT(ADDRESS(2,COLUMN())),OFFSET($T$2,0,0,ROW()-1,14),ROW()-1,FALSE))</x:f>
        <x:v/>
      </x:c>
      <x:c r="R357" t="str">
        <x:f ca="1">IF(AND($B$1012=1,LEN($R$1359)&gt;0),$R$1359,HLOOKUP(INDIRECT(ADDRESS(2,COLUMN())),OFFSET($T$2,0,0,ROW()-1,14),ROW()-1,FALSE))</x:f>
        <x:v/>
      </x:c>
      <x:c r="S357" t="str">
        <x:f ca="1">IF(AND($B$1012=1,LEN($S$1359)&gt;0),$S$1359,HLOOKUP(INDIRECT(ADDRESS(2,COLUMN())),OFFSET($T$2,0,0,ROW()-1,14),ROW()-1,FALSE))</x:f>
        <x:v/>
      </x:c>
      <x:c r="T357" t="str">
        <x:f>""</x:f>
        <x:v/>
      </x:c>
      <x:c r="U357" t="str">
        <x:f>""</x:f>
        <x:v/>
      </x:c>
      <x:c r="V357" t="str">
        <x:f>""</x:f>
        <x:v/>
      </x:c>
      <x:c r="W357" t="str">
        <x:f>""</x:f>
        <x:v/>
      </x:c>
      <x:c r="X357" t="str">
        <x:f>""</x:f>
        <x:v/>
      </x:c>
      <x:c r="Y357" t="str">
        <x:f>""</x:f>
        <x:v/>
      </x:c>
      <x:c r="Z357" t="str">
        <x:f>""</x:f>
        <x:v/>
      </x:c>
      <x:c r="AA357" t="str">
        <x:f>""</x:f>
        <x:v/>
      </x:c>
      <x:c r="AB357" t="str">
        <x:f>""</x:f>
        <x:v/>
      </x:c>
      <x:c r="AC357" t="str">
        <x:f>""</x:f>
        <x:v/>
      </x:c>
      <x:c r="AD357" t="str">
        <x:f>""</x:f>
        <x:v/>
      </x:c>
      <x:c r="AE357" t="str">
        <x:f>""</x:f>
        <x:v/>
      </x:c>
      <x:c r="AF357" t="str">
        <x:f>""</x:f>
        <x:v/>
      </x:c>
      <x:c r="AG357" t="str">
        <x:f>""</x:f>
        <x:v/>
      </x:c>
    </x:row>
    <x:row r="358" spans="1:33" x14ac:dyDescent="0.25">
      <x:c r="A358" t="str">
        <x:f>"        Direxion Daily Transportation"</x:f>
        <x:v xml:space="preserve">        Direxion Daily Transportation</x:v>
      </x:c>
      <x:c r="B358" t="str">
        <x:f>"TPOR US Equity"</x:f>
        <x:v>TPOR US Equity</x:v>
      </x:c>
      <x:c r="E358" t="str">
        <x:f t="shared" si="11"/>
        <x:v>Expression</x:v>
      </x:c>
      <x:c r="F358">
        <x:f ca="1">IF(AND($B$1012=1,LEN($F$1360)&gt;0),$F$1360,HLOOKUP(INDIRECT(ADDRESS(2,COLUMN())),OFFSET($T$2,0,0,ROW()-1,14),ROW()-1,FALSE))</x:f>
        <x:v>2.2082579999999998</x:v>
      </x:c>
      <x:c r="G358">
        <x:f ca="1">IF(AND($B$1012=1,LEN($G$1360)&gt;0),$G$1360,HLOOKUP(INDIRECT(ADDRESS(2,COLUMN())),OFFSET($T$2,0,0,ROW()-1,14),ROW()-1,FALSE))</x:f>
        <x:v>1.2166790000000001</x:v>
      </x:c>
      <x:c r="H358">
        <x:f ca="1">IF(AND($B$1012=1,LEN($H$1360)&gt;0),$H$1360,HLOOKUP(INDIRECT(ADDRESS(2,COLUMN())),OFFSET($T$2,0,0,ROW()-1,14),ROW()-1,FALSE))</x:f>
        <x:v>-1.3612059999999999</x:v>
      </x:c>
      <x:c r="I358">
        <x:f ca="1">IF(AND($B$1012=1,LEN($I$1360)&gt;0),$I$1360,HLOOKUP(INDIRECT(ADDRESS(2,COLUMN())),OFFSET($T$2,0,0,ROW()-1,14),ROW()-1,FALSE))</x:f>
        <x:v>-1.6536759999999999</x:v>
      </x:c>
      <x:c r="J358">
        <x:f ca="1">IF(AND($B$1012=1,LEN($J$1360)&gt;0),$J$1360,HLOOKUP(INDIRECT(ADDRESS(2,COLUMN())),OFFSET($T$2,0,0,ROW()-1,14),ROW()-1,FALSE))</x:f>
        <x:v>-3.5879029999999998</x:v>
      </x:c>
      <x:c r="K358">
        <x:f ca="1">IF(AND($B$1012=1,LEN($K$1360)&gt;0),$K$1360,HLOOKUP(INDIRECT(ADDRESS(2,COLUMN())),OFFSET($T$2,0,0,ROW()-1,14),ROW()-1,FALSE))</x:f>
        <x:v>1.4285289999999999</x:v>
      </x:c>
      <x:c r="L358">
        <x:f ca="1">IF(AND($B$1012=1,LEN($L$1360)&gt;0),$L$1360,HLOOKUP(INDIRECT(ADDRESS(2,COLUMN())),OFFSET($T$2,0,0,ROW()-1,14),ROW()-1,FALSE))</x:f>
        <x:v>0</x:v>
      </x:c>
      <x:c r="M358">
        <x:f ca="1">IF(AND($B$1012=1,LEN($M$1360)&gt;0),$M$1360,HLOOKUP(INDIRECT(ADDRESS(2,COLUMN())),OFFSET($T$2,0,0,ROW()-1,14),ROW()-1,FALSE))</x:f>
        <x:v>-5.4923E-2</x:v>
      </x:c>
      <x:c r="N358">
        <x:f ca="1">IF(AND($B$1012=1,LEN($N$1360)&gt;0),$N$1360,HLOOKUP(INDIRECT(ADDRESS(2,COLUMN())),OFFSET($T$2,0,0,ROW()-1,14),ROW()-1,FALSE))</x:f>
        <x:v>0</x:v>
      </x:c>
      <x:c r="O358">
        <x:f ca="1">IF(AND($B$1012=1,LEN($O$1360)&gt;0),$O$1360,HLOOKUP(INDIRECT(ADDRESS(2,COLUMN())),OFFSET($T$2,0,0,ROW()-1,14),ROW()-1,FALSE))</x:f>
        <x:v>0</x:v>
      </x:c>
      <x:c r="P358">
        <x:f ca="1">IF(AND($B$1012=1,LEN($P$1360)&gt;0),$P$1360,HLOOKUP(INDIRECT(ADDRESS(2,COLUMN())),OFFSET($T$2,0,0,ROW()-1,14),ROW()-1,FALSE))</x:f>
        <x:v>-1.2639119999999999</x:v>
      </x:c>
      <x:c r="Q358">
        <x:f ca="1">IF(AND($B$1012=1,LEN($Q$1360)&gt;0),$Q$1360,HLOOKUP(INDIRECT(ADDRESS(2,COLUMN())),OFFSET($T$2,0,0,ROW()-1,14),ROW()-1,FALSE))</x:f>
        <x:v>0</x:v>
      </x:c>
      <x:c r="R358">
        <x:f ca="1">IF(AND($B$1012=1,LEN($R$1360)&gt;0),$R$1360,HLOOKUP(INDIRECT(ADDRESS(2,COLUMN())),OFFSET($T$2,0,0,ROW()-1,14),ROW()-1,FALSE))</x:f>
        <x:v>0.39230799999999999</x:v>
      </x:c>
      <x:c r="S358">
        <x:f ca="1">IF(AND($B$1012=1,LEN($S$1360)&gt;0),$S$1360,HLOOKUP(INDIRECT(ADDRESS(2,COLUMN())),OFFSET($T$2,0,0,ROW()-1,14),ROW()-1,FALSE))</x:f>
        <x:v>1.091062</x:v>
      </x:c>
      <x:c r="T358">
        <x:f>2.208258</x:f>
        <x:v>2.2082579999999998</x:v>
      </x:c>
      <x:c r="U358">
        <x:f>1.216679</x:f>
        <x:v>1.2166790000000001</x:v>
      </x:c>
      <x:c r="V358">
        <x:f>-1.361206</x:f>
        <x:v>-1.3612059999999999</x:v>
      </x:c>
      <x:c r="W358">
        <x:f>-1.653676</x:f>
        <x:v>-1.6536759999999999</x:v>
      </x:c>
      <x:c r="X358">
        <x:f>-3.587903</x:f>
        <x:v>-3.5879029999999998</x:v>
      </x:c>
      <x:c r="Y358">
        <x:f>1.428529</x:f>
        <x:v>1.4285289999999999</x:v>
      </x:c>
      <x:c r="Z358">
        <x:f>0</x:f>
        <x:v>0</x:v>
      </x:c>
      <x:c r="AA358">
        <x:f>-0.054923</x:f>
        <x:v>-5.4923E-2</x:v>
      </x:c>
      <x:c r="AB358">
        <x:f>0</x:f>
        <x:v>0</x:v>
      </x:c>
      <x:c r="AC358">
        <x:f>0</x:f>
        <x:v>0</x:v>
      </x:c>
      <x:c r="AD358">
        <x:f>-1.263912</x:f>
        <x:v>-1.2639119999999999</x:v>
      </x:c>
      <x:c r="AE358">
        <x:f>0</x:f>
        <x:v>0</x:v>
      </x:c>
      <x:c r="AF358">
        <x:f>0.392308</x:f>
        <x:v>0.39230799999999999</x:v>
      </x:c>
      <x:c r="AG358">
        <x:f>1.091062</x:f>
        <x:v>1.091062</x:v>
      </x:c>
    </x:row>
    <x:row r="359" spans="1:33" x14ac:dyDescent="0.25">
      <x:c r="A359" t="str">
        <x:f>"        Direxion Daily Industrials Bul"</x:f>
        <x:v xml:space="preserve">        Direxion Daily Industrials Bul</x:v>
      </x:c>
      <x:c r="B359" t="str">
        <x:f>"DUSL US Equity"</x:f>
        <x:v>DUSL US Equity</x:v>
      </x:c>
      <x:c r="E359" t="str">
        <x:f t="shared" si="11"/>
        <x:v>Expression</x:v>
      </x:c>
      <x:c r="F359">
        <x:f ca="1">IF(AND($B$1012=1,LEN($F$1361)&gt;0),$F$1361,HLOOKUP(INDIRECT(ADDRESS(2,COLUMN())),OFFSET($T$2,0,0,ROW()-1,14),ROW()-1,FALSE))</x:f>
        <x:v>1.6740660000000001</x:v>
      </x:c>
      <x:c r="G359">
        <x:f ca="1">IF(AND($B$1012=1,LEN($G$1361)&gt;0),$G$1361,HLOOKUP(INDIRECT(ADDRESS(2,COLUMN())),OFFSET($T$2,0,0,ROW()-1,14),ROW()-1,FALSE))</x:f>
        <x:v>1.6367449999999999</x:v>
      </x:c>
      <x:c r="H359">
        <x:f ca="1">IF(AND($B$1012=1,LEN($H$1361)&gt;0),$H$1361,HLOOKUP(INDIRECT(ADDRESS(2,COLUMN())),OFFSET($T$2,0,0,ROW()-1,14),ROW()-1,FALSE))</x:f>
        <x:v>0.21105299999999999</x:v>
      </x:c>
      <x:c r="I359">
        <x:f ca="1">IF(AND($B$1012=1,LEN($I$1361)&gt;0),$I$1361,HLOOKUP(INDIRECT(ADDRESS(2,COLUMN())),OFFSET($T$2,0,0,ROW()-1,14),ROW()-1,FALSE))</x:f>
        <x:v>-3.8254990000000002</x:v>
      </x:c>
      <x:c r="J359">
        <x:f ca="1">IF(AND($B$1012=1,LEN($J$1361)&gt;0),$J$1361,HLOOKUP(INDIRECT(ADDRESS(2,COLUMN())),OFFSET($T$2,0,0,ROW()-1,14),ROW()-1,FALSE))</x:f>
        <x:v>1.9374910000000001</x:v>
      </x:c>
      <x:c r="K359">
        <x:f ca="1">IF(AND($B$1012=1,LEN($K$1361)&gt;0),$K$1361,HLOOKUP(INDIRECT(ADDRESS(2,COLUMN())),OFFSET($T$2,0,0,ROW()-1,14),ROW()-1,FALSE))</x:f>
        <x:v>1.5761350000000001</x:v>
      </x:c>
      <x:c r="L359">
        <x:f ca="1">IF(AND($B$1012=1,LEN($L$1361)&gt;0),$L$1361,HLOOKUP(INDIRECT(ADDRESS(2,COLUMN())),OFFSET($T$2,0,0,ROW()-1,14),ROW()-1,FALSE))</x:f>
        <x:v>0</x:v>
      </x:c>
      <x:c r="M359">
        <x:f ca="1">IF(AND($B$1012=1,LEN($M$1361)&gt;0),$M$1361,HLOOKUP(INDIRECT(ADDRESS(2,COLUMN())),OFFSET($T$2,0,0,ROW()-1,14),ROW()-1,FALSE))</x:f>
        <x:v>0</x:v>
      </x:c>
      <x:c r="N359">
        <x:f ca="1">IF(AND($B$1012=1,LEN($N$1361)&gt;0),$N$1361,HLOOKUP(INDIRECT(ADDRESS(2,COLUMN())),OFFSET($T$2,0,0,ROW()-1,14),ROW()-1,FALSE))</x:f>
        <x:v>-1.583483</x:v>
      </x:c>
      <x:c r="O359">
        <x:f ca="1">IF(AND($B$1012=1,LEN($O$1361)&gt;0),$O$1361,HLOOKUP(INDIRECT(ADDRESS(2,COLUMN())),OFFSET($T$2,0,0,ROW()-1,14),ROW()-1,FALSE))</x:f>
        <x:v>0</x:v>
      </x:c>
      <x:c r="P359">
        <x:f ca="1">IF(AND($B$1012=1,LEN($P$1361)&gt;0),$P$1361,HLOOKUP(INDIRECT(ADDRESS(2,COLUMN())),OFFSET($T$2,0,0,ROW()-1,14),ROW()-1,FALSE))</x:f>
        <x:v>7.7183000000000002E-2</x:v>
      </x:c>
      <x:c r="Q359">
        <x:f ca="1">IF(AND($B$1012=1,LEN($Q$1361)&gt;0),$Q$1361,HLOOKUP(INDIRECT(ADDRESS(2,COLUMN())),OFFSET($T$2,0,0,ROW()-1,14),ROW()-1,FALSE))</x:f>
        <x:v>-1.6212569999999999</x:v>
      </x:c>
      <x:c r="R359">
        <x:f ca="1">IF(AND($B$1012=1,LEN($R$1361)&gt;0),$R$1361,HLOOKUP(INDIRECT(ADDRESS(2,COLUMN())),OFFSET($T$2,0,0,ROW()-1,14),ROW()-1,FALSE))</x:f>
        <x:v>2.9393509999999998</x:v>
      </x:c>
      <x:c r="S359">
        <x:f ca="1">IF(AND($B$1012=1,LEN($S$1361)&gt;0),$S$1361,HLOOKUP(INDIRECT(ADDRESS(2,COLUMN())),OFFSET($T$2,0,0,ROW()-1,14),ROW()-1,FALSE))</x:f>
        <x:v>0</x:v>
      </x:c>
      <x:c r="T359">
        <x:f>1.674066</x:f>
        <x:v>1.6740660000000001</x:v>
      </x:c>
      <x:c r="U359">
        <x:f>1.636745</x:f>
        <x:v>1.6367449999999999</x:v>
      </x:c>
      <x:c r="V359">
        <x:f>0.211053</x:f>
        <x:v>0.21105299999999999</x:v>
      </x:c>
      <x:c r="W359">
        <x:f>-3.825499</x:f>
        <x:v>-3.8254990000000002</x:v>
      </x:c>
      <x:c r="X359">
        <x:f>1.937491</x:f>
        <x:v>1.9374910000000001</x:v>
      </x:c>
      <x:c r="Y359">
        <x:f>1.576135</x:f>
        <x:v>1.5761350000000001</x:v>
      </x:c>
      <x:c r="Z359">
        <x:f>0</x:f>
        <x:v>0</x:v>
      </x:c>
      <x:c r="AA359">
        <x:f>0</x:f>
        <x:v>0</x:v>
      </x:c>
      <x:c r="AB359">
        <x:f>-1.583483</x:f>
        <x:v>-1.583483</x:v>
      </x:c>
      <x:c r="AC359">
        <x:f>0</x:f>
        <x:v>0</x:v>
      </x:c>
      <x:c r="AD359">
        <x:f>0.077183</x:f>
        <x:v>7.7183000000000002E-2</x:v>
      </x:c>
      <x:c r="AE359">
        <x:f>-1.621257</x:f>
        <x:v>-1.6212569999999999</x:v>
      </x:c>
      <x:c r="AF359">
        <x:f>2.939351</x:f>
        <x:v>2.9393509999999998</x:v>
      </x:c>
      <x:c r="AG359">
        <x:f>0</x:f>
        <x:v>0</x:v>
      </x:c>
    </x:row>
    <x:row r="360" spans="1:33" x14ac:dyDescent="0.25">
      <x:c r="A360" t="str">
        <x:f>"        Direxion Daily Aerospace &amp; Def"</x:f>
        <x:v xml:space="preserve">        Direxion Daily Aerospace &amp; Def</x:v>
      </x:c>
      <x:c r="B360" t="str">
        <x:f>"DFEN US Equity"</x:f>
        <x:v>DFEN US Equity</x:v>
      </x:c>
      <x:c r="E360" t="str">
        <x:f t="shared" si="11"/>
        <x:v>Expression</x:v>
      </x:c>
      <x:c r="F360">
        <x:f ca="1">IF(AND($B$1012=1,LEN($F$1362)&gt;0),$F$1362,HLOOKUP(INDIRECT(ADDRESS(2,COLUMN())),OFFSET($T$2,0,0,ROW()-1,14),ROW()-1,FALSE))</x:f>
        <x:v>-19.175443000000001</x:v>
      </x:c>
      <x:c r="G360">
        <x:f ca="1">IF(AND($B$1012=1,LEN($G$1362)&gt;0),$G$1362,HLOOKUP(INDIRECT(ADDRESS(2,COLUMN())),OFFSET($T$2,0,0,ROW()-1,14),ROW()-1,FALSE))</x:f>
        <x:v>18.026655000000002</x:v>
      </x:c>
      <x:c r="H360">
        <x:f ca="1">IF(AND($B$1012=1,LEN($H$1362)&gt;0),$H$1362,HLOOKUP(INDIRECT(ADDRESS(2,COLUMN())),OFFSET($T$2,0,0,ROW()-1,14),ROW()-1,FALSE))</x:f>
        <x:v>16.888964000000001</x:v>
      </x:c>
      <x:c r="I360">
        <x:f ca="1">IF(AND($B$1012=1,LEN($I$1362)&gt;0),$I$1362,HLOOKUP(INDIRECT(ADDRESS(2,COLUMN())),OFFSET($T$2,0,0,ROW()-1,14),ROW()-1,FALSE))</x:f>
        <x:v>-6.2669980000000001</x:v>
      </x:c>
      <x:c r="J360">
        <x:f ca="1">IF(AND($B$1012=1,LEN($J$1362)&gt;0),$J$1362,HLOOKUP(INDIRECT(ADDRESS(2,COLUMN())),OFFSET($T$2,0,0,ROW()-1,14),ROW()-1,FALSE))</x:f>
        <x:v>-5.3878950000000003</x:v>
      </x:c>
      <x:c r="K360">
        <x:f ca="1">IF(AND($B$1012=1,LEN($K$1362)&gt;0),$K$1362,HLOOKUP(INDIRECT(ADDRESS(2,COLUMN())),OFFSET($T$2,0,0,ROW()-1,14),ROW()-1,FALSE))</x:f>
        <x:v>-13.229519</x:v>
      </x:c>
      <x:c r="L360">
        <x:f ca="1">IF(AND($B$1012=1,LEN($L$1362)&gt;0),$L$1362,HLOOKUP(INDIRECT(ADDRESS(2,COLUMN())),OFFSET($T$2,0,0,ROW()-1,14),ROW()-1,FALSE))</x:f>
        <x:v>3.4400710000000001</x:v>
      </x:c>
      <x:c r="M360">
        <x:f ca="1">IF(AND($B$1012=1,LEN($M$1362)&gt;0),$M$1362,HLOOKUP(INDIRECT(ADDRESS(2,COLUMN())),OFFSET($T$2,0,0,ROW()-1,14),ROW()-1,FALSE))</x:f>
        <x:v>-9.5782950000000007</x:v>
      </x:c>
      <x:c r="N360">
        <x:f ca="1">IF(AND($B$1012=1,LEN($N$1362)&gt;0),$N$1362,HLOOKUP(INDIRECT(ADDRESS(2,COLUMN())),OFFSET($T$2,0,0,ROW()-1,14),ROW()-1,FALSE))</x:f>
        <x:v>-0.94355800000000001</x:v>
      </x:c>
      <x:c r="O360">
        <x:f ca="1">IF(AND($B$1012=1,LEN($O$1362)&gt;0),$O$1362,HLOOKUP(INDIRECT(ADDRESS(2,COLUMN())),OFFSET($T$2,0,0,ROW()-1,14),ROW()-1,FALSE))</x:f>
        <x:v>-6.4430699999999996</x:v>
      </x:c>
      <x:c r="P360">
        <x:f ca="1">IF(AND($B$1012=1,LEN($P$1362)&gt;0),$P$1362,HLOOKUP(INDIRECT(ADDRESS(2,COLUMN())),OFFSET($T$2,0,0,ROW()-1,14),ROW()-1,FALSE))</x:f>
        <x:v>-12.050926</x:v>
      </x:c>
      <x:c r="Q360">
        <x:f ca="1">IF(AND($B$1012=1,LEN($Q$1362)&gt;0),$Q$1362,HLOOKUP(INDIRECT(ADDRESS(2,COLUMN())),OFFSET($T$2,0,0,ROW()-1,14),ROW()-1,FALSE))</x:f>
        <x:v>-3.975787</x:v>
      </x:c>
      <x:c r="R360">
        <x:f ca="1">IF(AND($B$1012=1,LEN($R$1362)&gt;0),$R$1362,HLOOKUP(INDIRECT(ADDRESS(2,COLUMN())),OFFSET($T$2,0,0,ROW()-1,14),ROW()-1,FALSE))</x:f>
        <x:v>-13.345176</x:v>
      </x:c>
      <x:c r="S360">
        <x:f ca="1">IF(AND($B$1012=1,LEN($S$1362)&gt;0),$S$1362,HLOOKUP(INDIRECT(ADDRESS(2,COLUMN())),OFFSET($T$2,0,0,ROW()-1,14),ROW()-1,FALSE))</x:f>
        <x:v>-1.2210920000000001</x:v>
      </x:c>
      <x:c r="T360">
        <x:f>-19.175443</x:f>
        <x:v>-19.175443000000001</x:v>
      </x:c>
      <x:c r="U360">
        <x:f>18.026655</x:f>
        <x:v>18.026655000000002</x:v>
      </x:c>
      <x:c r="V360">
        <x:f>16.888964</x:f>
        <x:v>16.888964000000001</x:v>
      </x:c>
      <x:c r="W360">
        <x:f>-6.266998</x:f>
        <x:v>-6.2669980000000001</x:v>
      </x:c>
      <x:c r="X360">
        <x:f>-5.387895</x:f>
        <x:v>-5.3878950000000003</x:v>
      </x:c>
      <x:c r="Y360">
        <x:f>-13.229519</x:f>
        <x:v>-13.229519</x:v>
      </x:c>
      <x:c r="Z360">
        <x:f>3.440071</x:f>
        <x:v>3.4400710000000001</x:v>
      </x:c>
      <x:c r="AA360">
        <x:f>-9.578295</x:f>
        <x:v>-9.5782950000000007</x:v>
      </x:c>
      <x:c r="AB360">
        <x:f>-0.943558</x:f>
        <x:v>-0.94355800000000001</x:v>
      </x:c>
      <x:c r="AC360">
        <x:f>-6.44307</x:f>
        <x:v>-6.4430699999999996</x:v>
      </x:c>
      <x:c r="AD360">
        <x:f>-12.050926</x:f>
        <x:v>-12.050926</x:v>
      </x:c>
      <x:c r="AE360">
        <x:f>-3.975787</x:f>
        <x:v>-3.975787</x:v>
      </x:c>
      <x:c r="AF360">
        <x:f>-13.345176</x:f>
        <x:v>-13.345176</x:v>
      </x:c>
      <x:c r="AG360">
        <x:f>-1.221092</x:f>
        <x:v>-1.2210920000000001</x:v>
      </x:c>
    </x:row>
    <x:row r="361" spans="1:33" x14ac:dyDescent="0.25">
      <x:c r="A361" t="str">
        <x:f>"        VictoryShares Protect America"</x:f>
        <x:v xml:space="preserve">        VictoryShares Protect America</x:v>
      </x:c>
      <x:c r="B361" t="str">
        <x:f>"SHLD US Equity"</x:f>
        <x:v>SHLD US Equity</x:v>
      </x:c>
      <x:c r="E361" t="str">
        <x:f t="shared" si="11"/>
        <x:v>Expression</x:v>
      </x:c>
      <x:c r="F361">
        <x:f ca="1">IF(AND($B$1012=1,LEN($F$1363)&gt;0),$F$1363,HLOOKUP(INDIRECT(ADDRESS(2,COLUMN())),OFFSET($T$2,0,0,ROW()-1,14),ROW()-1,FALSE))</x:f>
        <x:v>0</x:v>
      </x:c>
      <x:c r="G361">
        <x:f ca="1">IF(AND($B$1012=1,LEN($G$1363)&gt;0),$G$1363,HLOOKUP(INDIRECT(ADDRESS(2,COLUMN())),OFFSET($T$2,0,0,ROW()-1,14),ROW()-1,FALSE))</x:f>
        <x:v>1.7815000000000001</x:v>
      </x:c>
      <x:c r="H361">
        <x:f ca="1">IF(AND($B$1012=1,LEN($H$1363)&gt;0),$H$1363,HLOOKUP(INDIRECT(ADDRESS(2,COLUMN())),OFFSET($T$2,0,0,ROW()-1,14),ROW()-1,FALSE))</x:f>
        <x:v>0</x:v>
      </x:c>
      <x:c r="I361" t="str">
        <x:f ca="1">IF(AND($B$1012=1,LEN($I$1363)&gt;0),$I$1363,HLOOKUP(INDIRECT(ADDRESS(2,COLUMN())),OFFSET($T$2,0,0,ROW()-1,14),ROW()-1,FALSE))</x:f>
        <x:v/>
      </x:c>
      <x:c r="J361" t="str">
        <x:f ca="1">IF(AND($B$1012=1,LEN($J$1363)&gt;0),$J$1363,HLOOKUP(INDIRECT(ADDRESS(2,COLUMN())),OFFSET($T$2,0,0,ROW()-1,14),ROW()-1,FALSE))</x:f>
        <x:v/>
      </x:c>
      <x:c r="K361" t="str">
        <x:f ca="1">IF(AND($B$1012=1,LEN($K$1363)&gt;0),$K$1363,HLOOKUP(INDIRECT(ADDRESS(2,COLUMN())),OFFSET($T$2,0,0,ROW()-1,14),ROW()-1,FALSE))</x:f>
        <x:v/>
      </x:c>
      <x:c r="L361" t="str">
        <x:f ca="1">IF(AND($B$1012=1,LEN($L$1363)&gt;0),$L$1363,HLOOKUP(INDIRECT(ADDRESS(2,COLUMN())),OFFSET($T$2,0,0,ROW()-1,14),ROW()-1,FALSE))</x:f>
        <x:v/>
      </x:c>
      <x:c r="M361" t="str">
        <x:f ca="1">IF(AND($B$1012=1,LEN($M$1363)&gt;0),$M$1363,HLOOKUP(INDIRECT(ADDRESS(2,COLUMN())),OFFSET($T$2,0,0,ROW()-1,14),ROW()-1,FALSE))</x:f>
        <x:v/>
      </x:c>
      <x:c r="N361" t="str">
        <x:f ca="1">IF(AND($B$1012=1,LEN($N$1363)&gt;0),$N$1363,HLOOKUP(INDIRECT(ADDRESS(2,COLUMN())),OFFSET($T$2,0,0,ROW()-1,14),ROW()-1,FALSE))</x:f>
        <x:v/>
      </x:c>
      <x:c r="O361" t="str">
        <x:f ca="1">IF(AND($B$1012=1,LEN($O$1363)&gt;0),$O$1363,HLOOKUP(INDIRECT(ADDRESS(2,COLUMN())),OFFSET($T$2,0,0,ROW()-1,14),ROW()-1,FALSE))</x:f>
        <x:v/>
      </x:c>
      <x:c r="P361" t="str">
        <x:f ca="1">IF(AND($B$1012=1,LEN($P$1363)&gt;0),$P$1363,HLOOKUP(INDIRECT(ADDRESS(2,COLUMN())),OFFSET($T$2,0,0,ROW()-1,14),ROW()-1,FALSE))</x:f>
        <x:v/>
      </x:c>
      <x:c r="Q361" t="str">
        <x:f ca="1">IF(AND($B$1012=1,LEN($Q$1363)&gt;0),$Q$1363,HLOOKUP(INDIRECT(ADDRESS(2,COLUMN())),OFFSET($T$2,0,0,ROW()-1,14),ROW()-1,FALSE))</x:f>
        <x:v/>
      </x:c>
      <x:c r="R361" t="str">
        <x:f ca="1">IF(AND($B$1012=1,LEN($R$1363)&gt;0),$R$1363,HLOOKUP(INDIRECT(ADDRESS(2,COLUMN())),OFFSET($T$2,0,0,ROW()-1,14),ROW()-1,FALSE))</x:f>
        <x:v/>
      </x:c>
      <x:c r="S361" t="str">
        <x:f ca="1">IF(AND($B$1012=1,LEN($S$1363)&gt;0),$S$1363,HLOOKUP(INDIRECT(ADDRESS(2,COLUMN())),OFFSET($T$2,0,0,ROW()-1,14),ROW()-1,FALSE))</x:f>
        <x:v/>
      </x:c>
      <x:c r="T361">
        <x:f>0</x:f>
        <x:v>0</x:v>
      </x:c>
      <x:c r="U361">
        <x:f>1.7815</x:f>
        <x:v>1.7815000000000001</x:v>
      </x:c>
      <x:c r="V361">
        <x:f>0</x:f>
        <x:v>0</x:v>
      </x:c>
      <x:c r="W361" t="str">
        <x:f>""</x:f>
        <x:v/>
      </x:c>
      <x:c r="X361" t="str">
        <x:f>""</x:f>
        <x:v/>
      </x:c>
      <x:c r="Y361" t="str">
        <x:f>""</x:f>
        <x:v/>
      </x:c>
      <x:c r="Z361" t="str">
        <x:f>""</x:f>
        <x:v/>
      </x:c>
      <x:c r="AA361" t="str">
        <x:f>""</x:f>
        <x:v/>
      </x:c>
      <x:c r="AB361" t="str">
        <x:f>""</x:f>
        <x:v/>
      </x:c>
      <x:c r="AC361" t="str">
        <x:f>""</x:f>
        <x:v/>
      </x:c>
      <x:c r="AD361" t="str">
        <x:f>""</x:f>
        <x:v/>
      </x:c>
      <x:c r="AE361" t="str">
        <x:f>""</x:f>
        <x:v/>
      </x:c>
      <x:c r="AF361" t="str">
        <x:f>""</x:f>
        <x:v/>
      </x:c>
      <x:c r="AG361" t="str">
        <x:f>""</x:f>
        <x:v/>
      </x:c>
    </x:row>
    <x:row r="362" spans="1:33" x14ac:dyDescent="0.25">
      <x:c r="A362" t="str">
        <x:f>"        Gabelli Commercial Aerospace a"</x:f>
        <x:v xml:space="preserve">        Gabelli Commercial Aerospace a</x:v>
      </x:c>
      <x:c r="B362" t="str">
        <x:f>"GCAD US Equity"</x:f>
        <x:v>GCAD US Equity</x:v>
      </x:c>
      <x:c r="E362" t="str">
        <x:f t="shared" si="11"/>
        <x:v>Expression</x:v>
      </x:c>
      <x:c r="F362">
        <x:f ca="1">IF(AND($B$1012=1,LEN($F$1364)&gt;0),$F$1364,HLOOKUP(INDIRECT(ADDRESS(2,COLUMN())),OFFSET($T$2,0,0,ROW()-1,14),ROW()-1,FALSE))</x:f>
        <x:v>0</x:v>
      </x:c>
      <x:c r="G362">
        <x:f ca="1">IF(AND($B$1012=1,LEN($G$1364)&gt;0),$G$1364,HLOOKUP(INDIRECT(ADDRESS(2,COLUMN())),OFFSET($T$2,0,0,ROW()-1,14),ROW()-1,FALSE))</x:f>
        <x:v>0</x:v>
      </x:c>
      <x:c r="H362">
        <x:f ca="1">IF(AND($B$1012=1,LEN($H$1364)&gt;0),$H$1364,HLOOKUP(INDIRECT(ADDRESS(2,COLUMN())),OFFSET($T$2,0,0,ROW()-1,14),ROW()-1,FALSE))</x:f>
        <x:v>0</x:v>
      </x:c>
      <x:c r="I362">
        <x:f ca="1">IF(AND($B$1012=1,LEN($I$1364)&gt;0),$I$1364,HLOOKUP(INDIRECT(ADDRESS(2,COLUMN())),OFFSET($T$2,0,0,ROW()-1,14),ROW()-1,FALSE))</x:f>
        <x:v>0</x:v>
      </x:c>
      <x:c r="J362">
        <x:f ca="1">IF(AND($B$1012=1,LEN($J$1364)&gt;0),$J$1364,HLOOKUP(INDIRECT(ADDRESS(2,COLUMN())),OFFSET($T$2,0,0,ROW()-1,14),ROW()-1,FALSE))</x:f>
        <x:v>0</x:v>
      </x:c>
      <x:c r="K362">
        <x:f ca="1">IF(AND($B$1012=1,LEN($K$1364)&gt;0),$K$1364,HLOOKUP(INDIRECT(ADDRESS(2,COLUMN())),OFFSET($T$2,0,0,ROW()-1,14),ROW()-1,FALSE))</x:f>
        <x:v>0</x:v>
      </x:c>
      <x:c r="L362">
        <x:f ca="1">IF(AND($B$1012=1,LEN($L$1364)&gt;0),$L$1364,HLOOKUP(INDIRECT(ADDRESS(2,COLUMN())),OFFSET($T$2,0,0,ROW()-1,14),ROW()-1,FALSE))</x:f>
        <x:v>0.24851899999999999</x:v>
      </x:c>
      <x:c r="M362">
        <x:f ca="1">IF(AND($B$1012=1,LEN($M$1364)&gt;0),$M$1364,HLOOKUP(INDIRECT(ADDRESS(2,COLUMN())),OFFSET($T$2,0,0,ROW()-1,14),ROW()-1,FALSE))</x:f>
        <x:v>0</x:v>
      </x:c>
      <x:c r="N362">
        <x:f ca="1">IF(AND($B$1012=1,LEN($N$1364)&gt;0),$N$1364,HLOOKUP(INDIRECT(ADDRESS(2,COLUMN())),OFFSET($T$2,0,0,ROW()-1,14),ROW()-1,FALSE))</x:f>
        <x:v>0.25844699999999998</x:v>
      </x:c>
      <x:c r="O362">
        <x:f ca="1">IF(AND($B$1012=1,LEN($O$1364)&gt;0),$O$1364,HLOOKUP(INDIRECT(ADDRESS(2,COLUMN())),OFFSET($T$2,0,0,ROW()-1,14),ROW()-1,FALSE))</x:f>
        <x:v>0.25659700000000002</x:v>
      </x:c>
      <x:c r="P362">
        <x:f ca="1">IF(AND($B$1012=1,LEN($P$1364)&gt;0),$P$1364,HLOOKUP(INDIRECT(ADDRESS(2,COLUMN())),OFFSET($T$2,0,0,ROW()-1,14),ROW()-1,FALSE))</x:f>
        <x:v>0.62781399999999998</x:v>
      </x:c>
      <x:c r="Q362" t="str">
        <x:f ca="1">IF(AND($B$1012=1,LEN($Q$1364)&gt;0),$Q$1364,HLOOKUP(INDIRECT(ADDRESS(2,COLUMN())),OFFSET($T$2,0,0,ROW()-1,14),ROW()-1,FALSE))</x:f>
        <x:v/>
      </x:c>
      <x:c r="R362" t="str">
        <x:f ca="1">IF(AND($B$1012=1,LEN($R$1364)&gt;0),$R$1364,HLOOKUP(INDIRECT(ADDRESS(2,COLUMN())),OFFSET($T$2,0,0,ROW()-1,14),ROW()-1,FALSE))</x:f>
        <x:v/>
      </x:c>
      <x:c r="S362" t="str">
        <x:f ca="1">IF(AND($B$1012=1,LEN($S$1364)&gt;0),$S$1364,HLOOKUP(INDIRECT(ADDRESS(2,COLUMN())),OFFSET($T$2,0,0,ROW()-1,14),ROW()-1,FALSE))</x:f>
        <x:v/>
      </x:c>
      <x:c r="T362">
        <x:f>0</x:f>
        <x:v>0</x:v>
      </x:c>
      <x:c r="U362">
        <x:f>0</x:f>
        <x:v>0</x:v>
      </x:c>
      <x:c r="V362">
        <x:f>0</x:f>
        <x:v>0</x:v>
      </x:c>
      <x:c r="W362">
        <x:f>0</x:f>
        <x:v>0</x:v>
      </x:c>
      <x:c r="X362">
        <x:f>0</x:f>
        <x:v>0</x:v>
      </x:c>
      <x:c r="Y362">
        <x:f>0</x:f>
        <x:v>0</x:v>
      </x:c>
      <x:c r="Z362">
        <x:f>0.248519</x:f>
        <x:v>0.24851899999999999</x:v>
      </x:c>
      <x:c r="AA362">
        <x:f>0</x:f>
        <x:v>0</x:v>
      </x:c>
      <x:c r="AB362">
        <x:f>0.258447</x:f>
        <x:v>0.25844699999999998</x:v>
      </x:c>
      <x:c r="AC362">
        <x:f>0.256597</x:f>
        <x:v>0.25659700000000002</x:v>
      </x:c>
      <x:c r="AD362">
        <x:f>0.627814</x:f>
        <x:v>0.62781399999999998</x:v>
      </x:c>
      <x:c r="AE362" t="str">
        <x:f>""</x:f>
        <x:v/>
      </x:c>
      <x:c r="AF362" t="str">
        <x:f>""</x:f>
        <x:v/>
      </x:c>
      <x:c r="AG362" t="str">
        <x:f>""</x:f>
        <x:v/>
      </x:c>
    </x:row>
    <x:row r="363" spans="1:33" x14ac:dyDescent="0.25">
      <x:c r="A363" t="str">
        <x:f>"        First Trust Indxx Aerospace &amp;"</x:f>
        <x:v xml:space="preserve">        First Trust Indxx Aerospace &amp;</x:v>
      </x:c>
      <x:c r="B363" t="str">
        <x:f>"MISL US Equity"</x:f>
        <x:v>MISL US Equity</x:v>
      </x:c>
      <x:c r="E363" t="str">
        <x:f t="shared" si="11"/>
        <x:v>Expression</x:v>
      </x:c>
      <x:c r="F363">
        <x:f ca="1">IF(AND($B$1012=1,LEN($F$1365)&gt;0),$F$1365,HLOOKUP(INDIRECT(ADDRESS(2,COLUMN())),OFFSET($T$2,0,0,ROW()-1,14),ROW()-1,FALSE))</x:f>
        <x:v>0</x:v>
      </x:c>
      <x:c r="G363">
        <x:f ca="1">IF(AND($B$1012=1,LEN($G$1365)&gt;0),$G$1365,HLOOKUP(INDIRECT(ADDRESS(2,COLUMN())),OFFSET($T$2,0,0,ROW()-1,14),ROW()-1,FALSE))</x:f>
        <x:v>7.9802119999999999</x:v>
      </x:c>
      <x:c r="H363">
        <x:f ca="1">IF(AND($B$1012=1,LEN($H$1365)&gt;0),$H$1365,HLOOKUP(INDIRECT(ADDRESS(2,COLUMN())),OFFSET($T$2,0,0,ROW()-1,14),ROW()-1,FALSE))</x:f>
        <x:v>1.115146</x:v>
      </x:c>
      <x:c r="I363">
        <x:f ca="1">IF(AND($B$1012=1,LEN($I$1365)&gt;0),$I$1365,HLOOKUP(INDIRECT(ADDRESS(2,COLUMN())),OFFSET($T$2,0,0,ROW()-1,14),ROW()-1,FALSE))</x:f>
        <x:v>11.618962</x:v>
      </x:c>
      <x:c r="J363">
        <x:f ca="1">IF(AND($B$1012=1,LEN($J$1365)&gt;0),$J$1365,HLOOKUP(INDIRECT(ADDRESS(2,COLUMN())),OFFSET($T$2,0,0,ROW()-1,14),ROW()-1,FALSE))</x:f>
        <x:v>3.5230000000000001</x:v>
      </x:c>
      <x:c r="K363">
        <x:f ca="1">IF(AND($B$1012=1,LEN($K$1365)&gt;0),$K$1365,HLOOKUP(INDIRECT(ADDRESS(2,COLUMN())),OFFSET($T$2,0,0,ROW()-1,14),ROW()-1,FALSE))</x:f>
        <x:v>0</x:v>
      </x:c>
      <x:c r="L363">
        <x:f ca="1">IF(AND($B$1012=1,LEN($L$1365)&gt;0),$L$1365,HLOOKUP(INDIRECT(ADDRESS(2,COLUMN())),OFFSET($T$2,0,0,ROW()-1,14),ROW()-1,FALSE))</x:f>
        <x:v>3.3450000000000002</x:v>
      </x:c>
      <x:c r="M363">
        <x:f ca="1">IF(AND($B$1012=1,LEN($M$1365)&gt;0),$M$1365,HLOOKUP(INDIRECT(ADDRESS(2,COLUMN())),OFFSET($T$2,0,0,ROW()-1,14),ROW()-1,FALSE))</x:f>
        <x:v>3.2985000000000002</x:v>
      </x:c>
      <x:c r="N363">
        <x:f ca="1">IF(AND($B$1012=1,LEN($N$1365)&gt;0),$N$1365,HLOOKUP(INDIRECT(ADDRESS(2,COLUMN())),OFFSET($T$2,0,0,ROW()-1,14),ROW()-1,FALSE))</x:f>
        <x:v>14.593500000000001</x:v>
      </x:c>
      <x:c r="O363">
        <x:f ca="1">IF(AND($B$1012=1,LEN($O$1365)&gt;0),$O$1365,HLOOKUP(INDIRECT(ADDRESS(2,COLUMN())),OFFSET($T$2,0,0,ROW()-1,14),ROW()-1,FALSE))</x:f>
        <x:v>1.145</x:v>
      </x:c>
      <x:c r="P363">
        <x:f ca="1">IF(AND($B$1012=1,LEN($P$1365)&gt;0),$P$1365,HLOOKUP(INDIRECT(ADDRESS(2,COLUMN())),OFFSET($T$2,0,0,ROW()-1,14),ROW()-1,FALSE))</x:f>
        <x:v>-0.01</x:v>
      </x:c>
      <x:c r="Q363">
        <x:f ca="1">IF(AND($B$1012=1,LEN($Q$1365)&gt;0),$Q$1365,HLOOKUP(INDIRECT(ADDRESS(2,COLUMN())),OFFSET($T$2,0,0,ROW()-1,14),ROW()-1,FALSE))</x:f>
        <x:v>0</x:v>
      </x:c>
      <x:c r="R363">
        <x:f ca="1">IF(AND($B$1012=1,LEN($R$1365)&gt;0),$R$1365,HLOOKUP(INDIRECT(ADDRESS(2,COLUMN())),OFFSET($T$2,0,0,ROW()-1,14),ROW()-1,FALSE))</x:f>
        <x:v>1.1000259999999999</x:v>
      </x:c>
      <x:c r="S363">
        <x:f ca="1">IF(AND($B$1012=1,LEN($S$1365)&gt;0),$S$1365,HLOOKUP(INDIRECT(ADDRESS(2,COLUMN())),OFFSET($T$2,0,0,ROW()-1,14),ROW()-1,FALSE))</x:f>
        <x:v>0</x:v>
      </x:c>
      <x:c r="T363">
        <x:f>0</x:f>
        <x:v>0</x:v>
      </x:c>
      <x:c r="U363">
        <x:f>7.980212</x:f>
        <x:v>7.9802119999999999</x:v>
      </x:c>
      <x:c r="V363">
        <x:f>1.115146</x:f>
        <x:v>1.115146</x:v>
      </x:c>
      <x:c r="W363">
        <x:f>11.618962</x:f>
        <x:v>11.618962</x:v>
      </x:c>
      <x:c r="X363">
        <x:f>3.523</x:f>
        <x:v>3.5230000000000001</x:v>
      </x:c>
      <x:c r="Y363">
        <x:f>0</x:f>
        <x:v>0</x:v>
      </x:c>
      <x:c r="Z363">
        <x:f>3.345</x:f>
        <x:v>3.3450000000000002</x:v>
      </x:c>
      <x:c r="AA363">
        <x:f>3.2985</x:f>
        <x:v>3.2985000000000002</x:v>
      </x:c>
      <x:c r="AB363">
        <x:f>14.5935</x:f>
        <x:v>14.593500000000001</x:v>
      </x:c>
      <x:c r="AC363">
        <x:f>1.145</x:f>
        <x:v>1.145</x:v>
      </x:c>
      <x:c r="AD363">
        <x:f>-0.01</x:f>
        <x:v>-0.01</x:v>
      </x:c>
      <x:c r="AE363">
        <x:f>0</x:f>
        <x:v>0</x:v>
      </x:c>
      <x:c r="AF363">
        <x:f>1.100026</x:f>
        <x:v>1.1000259999999999</x:v>
      </x:c>
      <x:c r="AG363">
        <x:f>0</x:f>
        <x:v>0</x:v>
      </x:c>
    </x:row>
    <x:row r="364" spans="1:33" x14ac:dyDescent="0.25">
      <x:c r="A364" t="str">
        <x:f>"        Pacer Industrials and Logistic"</x:f>
        <x:v xml:space="preserve">        Pacer Industrials and Logistic</x:v>
      </x:c>
      <x:c r="B364" t="str">
        <x:f>"SHPP US Equity"</x:f>
        <x:v>SHPP US Equity</x:v>
      </x:c>
      <x:c r="E364" t="str">
        <x:f t="shared" si="11"/>
        <x:v>Expression</x:v>
      </x:c>
      <x:c r="F364">
        <x:f ca="1">IF(AND($B$1012=1,LEN($F$1366)&gt;0),$F$1366,HLOOKUP(INDIRECT(ADDRESS(2,COLUMN())),OFFSET($T$2,0,0,ROW()-1,14),ROW()-1,FALSE))</x:f>
        <x:v>0</x:v>
      </x:c>
      <x:c r="G364">
        <x:f ca="1">IF(AND($B$1012=1,LEN($G$1366)&gt;0),$G$1366,HLOOKUP(INDIRECT(ADDRESS(2,COLUMN())),OFFSET($T$2,0,0,ROW()-1,14),ROW()-1,FALSE))</x:f>
        <x:v>0</x:v>
      </x:c>
      <x:c r="H364">
        <x:f ca="1">IF(AND($B$1012=1,LEN($H$1366)&gt;0),$H$1366,HLOOKUP(INDIRECT(ADDRESS(2,COLUMN())),OFFSET($T$2,0,0,ROW()-1,14),ROW()-1,FALSE))</x:f>
        <x:v>0</x:v>
      </x:c>
      <x:c r="I364">
        <x:f ca="1">IF(AND($B$1012=1,LEN($I$1366)&gt;0),$I$1366,HLOOKUP(INDIRECT(ADDRESS(2,COLUMN())),OFFSET($T$2,0,0,ROW()-1,14),ROW()-1,FALSE))</x:f>
        <x:v>0</x:v>
      </x:c>
      <x:c r="J364">
        <x:f ca="1">IF(AND($B$1012=1,LEN($J$1366)&gt;0),$J$1366,HLOOKUP(INDIRECT(ADDRESS(2,COLUMN())),OFFSET($T$2,0,0,ROW()-1,14),ROW()-1,FALSE))</x:f>
        <x:v>0</x:v>
      </x:c>
      <x:c r="K364">
        <x:f ca="1">IF(AND($B$1012=1,LEN($K$1366)&gt;0),$K$1366,HLOOKUP(INDIRECT(ADDRESS(2,COLUMN())),OFFSET($T$2,0,0,ROW()-1,14),ROW()-1,FALSE))</x:f>
        <x:v>0</x:v>
      </x:c>
      <x:c r="L364">
        <x:f ca="1">IF(AND($B$1012=1,LEN($L$1366)&gt;0),$L$1366,HLOOKUP(INDIRECT(ADDRESS(2,COLUMN())),OFFSET($T$2,0,0,ROW()-1,14),ROW()-1,FALSE))</x:f>
        <x:v>0</x:v>
      </x:c>
      <x:c r="M364">
        <x:f ca="1">IF(AND($B$1012=1,LEN($M$1366)&gt;0),$M$1366,HLOOKUP(INDIRECT(ADDRESS(2,COLUMN())),OFFSET($T$2,0,0,ROW()-1,14),ROW()-1,FALSE))</x:f>
        <x:v>0</x:v>
      </x:c>
      <x:c r="N364">
        <x:f ca="1">IF(AND($B$1012=1,LEN($N$1366)&gt;0),$N$1366,HLOOKUP(INDIRECT(ADDRESS(2,COLUMN())),OFFSET($T$2,0,0,ROW()-1,14),ROW()-1,FALSE))</x:f>
        <x:v>0</x:v>
      </x:c>
      <x:c r="O364">
        <x:f ca="1">IF(AND($B$1012=1,LEN($O$1366)&gt;0),$O$1366,HLOOKUP(INDIRECT(ADDRESS(2,COLUMN())),OFFSET($T$2,0,0,ROW()-1,14),ROW()-1,FALSE))</x:f>
        <x:v>0</x:v>
      </x:c>
      <x:c r="P364">
        <x:f ca="1">IF(AND($B$1012=1,LEN($P$1366)&gt;0),$P$1366,HLOOKUP(INDIRECT(ADDRESS(2,COLUMN())),OFFSET($T$2,0,0,ROW()-1,14),ROW()-1,FALSE))</x:f>
        <x:v>0</x:v>
      </x:c>
      <x:c r="Q364">
        <x:f ca="1">IF(AND($B$1012=1,LEN($Q$1366)&gt;0),$Q$1366,HLOOKUP(INDIRECT(ADDRESS(2,COLUMN())),OFFSET($T$2,0,0,ROW()-1,14),ROW()-1,FALSE))</x:f>
        <x:v>0</x:v>
      </x:c>
      <x:c r="R364">
        <x:f ca="1">IF(AND($B$1012=1,LEN($R$1366)&gt;0),$R$1366,HLOOKUP(INDIRECT(ADDRESS(2,COLUMN())),OFFSET($T$2,0,0,ROW()-1,14),ROW()-1,FALSE))</x:f>
        <x:v>0</x:v>
      </x:c>
      <x:c r="S364">
        <x:f ca="1">IF(AND($B$1012=1,LEN($S$1366)&gt;0),$S$1366,HLOOKUP(INDIRECT(ADDRESS(2,COLUMN())),OFFSET($T$2,0,0,ROW()-1,14),ROW()-1,FALSE))</x:f>
        <x:v>0</x:v>
      </x:c>
      <x:c r="T364">
        <x:f>0</x:f>
        <x:v>0</x:v>
      </x:c>
      <x:c r="U364">
        <x:f>0</x:f>
        <x:v>0</x:v>
      </x:c>
      <x:c r="V364">
        <x:f>0</x:f>
        <x:v>0</x:v>
      </x:c>
      <x:c r="W364">
        <x:f>0</x:f>
        <x:v>0</x:v>
      </x:c>
      <x:c r="X364">
        <x:f>0</x:f>
        <x:v>0</x:v>
      </x:c>
      <x:c r="Y364">
        <x:f>0</x:f>
        <x:v>0</x:v>
      </x:c>
      <x:c r="Z364">
        <x:f>0</x:f>
        <x:v>0</x:v>
      </x:c>
      <x:c r="AA364">
        <x:f>0</x:f>
        <x:v>0</x:v>
      </x:c>
      <x:c r="AB364">
        <x:f>0</x:f>
        <x:v>0</x:v>
      </x:c>
      <x:c r="AC364">
        <x:f>0</x:f>
        <x:v>0</x:v>
      </x:c>
      <x:c r="AD364">
        <x:f>0</x:f>
        <x:v>0</x:v>
      </x:c>
      <x:c r="AE364">
        <x:f>0</x:f>
        <x:v>0</x:v>
      </x:c>
      <x:c r="AF364">
        <x:f>0</x:f>
        <x:v>0</x:v>
      </x:c>
      <x:c r="AG364">
        <x:f>0</x:f>
        <x:v>0</x:v>
      </x:c>
    </x:row>
    <x:row r="365" spans="1:33" x14ac:dyDescent="0.25">
      <x:c r="A365" t="str">
        <x:f>"    Materials"</x:f>
        <x:v xml:space="preserve">    Materials</x:v>
      </x:c>
      <x:c r="B365" t="str">
        <x:f>""</x:f>
        <x:v/>
      </x:c>
      <x:c r="E365" t="str">
        <x:f>"Sum"</x:f>
        <x:v>Sum</x:v>
      </x:c>
      <x:c r="F365">
        <x:f ca="1">IF(ISERROR(IF(SUM($F$366:$F$427) = 0, "", SUM($F$366:$F$427))), "", (IF(SUM($F$366:$F$427) = 0, "", SUM($F$366:$F$427))))</x:f>
        <x:v>502.81183399999992</x:v>
      </x:c>
      <x:c r="G365">
        <x:f ca="1">IF(ISERROR(IF(SUM($G$366:$G$427) = 0, "", SUM($G$366:$G$427))), "", (IF(SUM($G$366:$G$427) = 0, "", SUM($G$366:$G$427))))</x:f>
        <x:v>184.09647299999997</x:v>
      </x:c>
      <x:c r="H365">
        <x:f ca="1">IF(ISERROR(IF(SUM($H$366:$H$427) = 0, "", SUM($H$366:$H$427))), "", (IF(SUM($H$366:$H$427) = 0, "", SUM($H$366:$H$427))))</x:f>
        <x:v>-803.07311899999991</x:v>
      </x:c>
      <x:c r="I365">
        <x:f ca="1">IF(ISERROR(IF(SUM($I$366:$I$427) = 0, "", SUM($I$366:$I$427))), "", (IF(SUM($I$366:$I$427) = 0, "", SUM($I$366:$I$427))))</x:f>
        <x:v>-632.69096600000012</x:v>
      </x:c>
      <x:c r="J365">
        <x:f ca="1">IF(ISERROR(IF(SUM($J$366:$J$427) = 0, "", SUM($J$366:$J$427))), "", (IF(SUM($J$366:$J$427) = 0, "", SUM($J$366:$J$427))))</x:f>
        <x:v>842.46821699999975</x:v>
      </x:c>
      <x:c r="K365">
        <x:f ca="1">IF(ISERROR(IF(SUM($K$366:$K$427) = 0, "", SUM($K$366:$K$427))), "", (IF(SUM($K$366:$K$427) = 0, "", SUM($K$366:$K$427))))</x:f>
        <x:v>-1191.2550099999999</x:v>
      </x:c>
      <x:c r="L365">
        <x:f ca="1">IF(ISERROR(IF(SUM($L$366:$L$427) = 0, "", SUM($L$366:$L$427))), "", (IF(SUM($L$366:$L$427) = 0, "", SUM($L$366:$L$427))))</x:f>
        <x:v>-980.95570399999997</x:v>
      </x:c>
      <x:c r="M365">
        <x:f ca="1">IF(ISERROR(IF(SUM($M$366:$M$427) = 0, "", SUM($M$366:$M$427))), "", (IF(SUM($M$366:$M$427) = 0, "", SUM($M$366:$M$427))))</x:f>
        <x:v>-308.15391500000004</x:v>
      </x:c>
      <x:c r="N365">
        <x:f ca="1">IF(ISERROR(IF(SUM($N$366:$N$427) = 0, "", SUM($N$366:$N$427))), "", (IF(SUM($N$366:$N$427) = 0, "", SUM($N$366:$N$427))))</x:f>
        <x:v>-29.359471999999968</x:v>
      </x:c>
      <x:c r="O365">
        <x:f ca="1">IF(ISERROR(IF(SUM($O$366:$O$427) = 0, "", SUM($O$366:$O$427))), "", (IF(SUM($O$366:$O$427) = 0, "", SUM($O$366:$O$427))))</x:f>
        <x:v>-240.97790899999987</x:v>
      </x:c>
      <x:c r="P365">
        <x:f ca="1">IF(ISERROR(IF(SUM($P$366:$P$427) = 0, "", SUM($P$366:$P$427))), "", (IF(SUM($P$366:$P$427) = 0, "", SUM($P$366:$P$427))))</x:f>
        <x:v>1450.1953229999999</x:v>
      </x:c>
      <x:c r="Q365">
        <x:f ca="1">IF(ISERROR(IF(SUM($Q$366:$Q$427) = 0, "", SUM($Q$366:$Q$427))), "", (IF(SUM($Q$366:$Q$427) = 0, "", SUM($Q$366:$Q$427))))</x:f>
        <x:v>-5.5347800000000005</x:v>
      </x:c>
      <x:c r="R365">
        <x:f ca="1">IF(ISERROR(IF(SUM($R$366:$R$427) = 0, "", SUM($R$366:$R$427))), "", (IF(SUM($R$366:$R$427) = 0, "", SUM($R$366:$R$427))))</x:f>
        <x:v>141.44304599999998</x:v>
      </x:c>
      <x:c r="S365">
        <x:f ca="1">IF(ISERROR(IF(SUM($S$366:$S$427) = 0, "", SUM($S$366:$S$427))), "", (IF(SUM($S$366:$S$427) = 0, "", SUM($S$366:$S$427))))</x:f>
        <x:v>435.91022699999968</x:v>
      </x:c>
      <x:c r="T365">
        <x:f>502.811834</x:f>
        <x:v>502.81183399999998</x:v>
      </x:c>
      <x:c r="U365">
        <x:f>184.096473</x:f>
        <x:v>184.096473</x:v>
      </x:c>
      <x:c r="V365">
        <x:f>-803.073119</x:f>
        <x:v>-803.07311900000002</x:v>
      </x:c>
      <x:c r="W365">
        <x:f>-632.690966</x:f>
        <x:v>-632.690966</x:v>
      </x:c>
      <x:c r="X365">
        <x:f>842.468217</x:f>
        <x:v>842.46821699999998</x:v>
      </x:c>
      <x:c r="Y365">
        <x:f>-1191.25501</x:f>
        <x:v>-1191.2550100000001</x:v>
      </x:c>
      <x:c r="Z365">
        <x:f>-980.955704</x:f>
        <x:v>-980.95570399999997</x:v>
      </x:c>
      <x:c r="AA365">
        <x:f>-308.153915</x:f>
        <x:v>-308.15391499999998</x:v>
      </x:c>
      <x:c r="AB365">
        <x:f>-29.359472</x:f>
        <x:v>-29.359472</x:v>
      </x:c>
      <x:c r="AC365">
        <x:f>-240.977909</x:f>
        <x:v>-240.97790900000001</x:v>
      </x:c>
      <x:c r="AD365">
        <x:f>1450.195323</x:f>
        <x:v>1450.1953229999999</x:v>
      </x:c>
      <x:c r="AE365">
        <x:f>-5.53478</x:f>
        <x:v>-5.5347799999999996</x:v>
      </x:c>
      <x:c r="AF365">
        <x:f>141.443046</x:f>
        <x:v>141.44304600000001</x:v>
      </x:c>
      <x:c r="AG365">
        <x:f>435.910227</x:f>
        <x:v>435.91022700000002</x:v>
      </x:c>
    </x:row>
    <x:row r="366" spans="1:33" x14ac:dyDescent="0.25">
      <x:c r="A366" t="str">
        <x:f>"        VanEck Gold Miners ETF/USA"</x:f>
        <x:v xml:space="preserve">        VanEck Gold Miners ETF/USA</x:v>
      </x:c>
      <x:c r="B366" t="str">
        <x:f>"GDX US Equity"</x:f>
        <x:v>GDX US Equity</x:v>
      </x:c>
      <x:c r="E366" t="str">
        <x:f t="shared" ref="E366:E397" si="12">"Expression"</x:f>
        <x:v>Expression</x:v>
      </x:c>
      <x:c r="F366">
        <x:f ca="1">IF(AND($B$1012=1,LEN($F$1367)&gt;0),$F$1367,HLOOKUP(INDIRECT(ADDRESS(2,COLUMN())),OFFSET($T$2,0,0,ROW()-1,14),ROW()-1,FALSE))</x:f>
        <x:v>826.77285199999994</x:v>
      </x:c>
      <x:c r="G366">
        <x:f ca="1">IF(AND($B$1012=1,LEN($G$1367)&gt;0),$G$1367,HLOOKUP(INDIRECT(ADDRESS(2,COLUMN())),OFFSET($T$2,0,0,ROW()-1,14),ROW()-1,FALSE))</x:f>
        <x:v>-86.883026999999998</x:v>
      </x:c>
      <x:c r="H366">
        <x:f ca="1">IF(AND($B$1012=1,LEN($H$1367)&gt;0),$H$1367,HLOOKUP(INDIRECT(ADDRESS(2,COLUMN())),OFFSET($T$2,0,0,ROW()-1,14),ROW()-1,FALSE))</x:f>
        <x:v>-239.33350999999999</x:v>
      </x:c>
      <x:c r="I366">
        <x:f ca="1">IF(AND($B$1012=1,LEN($I$1367)&gt;0),$I$1367,HLOOKUP(INDIRECT(ADDRESS(2,COLUMN())),OFFSET($T$2,0,0,ROW()-1,14),ROW()-1,FALSE))</x:f>
        <x:v>192.031271</x:v>
      </x:c>
      <x:c r="J366">
        <x:f ca="1">IF(AND($B$1012=1,LEN($J$1367)&gt;0),$J$1367,HLOOKUP(INDIRECT(ADDRESS(2,COLUMN())),OFFSET($T$2,0,0,ROW()-1,14),ROW()-1,FALSE))</x:f>
        <x:v>71.338014999999999</x:v>
      </x:c>
      <x:c r="K366">
        <x:f ca="1">IF(AND($B$1012=1,LEN($K$1367)&gt;0),$K$1367,HLOOKUP(INDIRECT(ADDRESS(2,COLUMN())),OFFSET($T$2,0,0,ROW()-1,14),ROW()-1,FALSE))</x:f>
        <x:v>-370.20334400000002</x:v>
      </x:c>
      <x:c r="L366">
        <x:f ca="1">IF(AND($B$1012=1,LEN($L$1367)&gt;0),$L$1367,HLOOKUP(INDIRECT(ADDRESS(2,COLUMN())),OFFSET($T$2,0,0,ROW()-1,14),ROW()-1,FALSE))</x:f>
        <x:v>-71.975564000000006</x:v>
      </x:c>
      <x:c r="M366">
        <x:f ca="1">IF(AND($B$1012=1,LEN($M$1367)&gt;0),$M$1367,HLOOKUP(INDIRECT(ADDRESS(2,COLUMN())),OFFSET($T$2,0,0,ROW()-1,14),ROW()-1,FALSE))</x:f>
        <x:v>-544.12555499999996</x:v>
      </x:c>
      <x:c r="N366">
        <x:f ca="1">IF(AND($B$1012=1,LEN($N$1367)&gt;0),$N$1367,HLOOKUP(INDIRECT(ADDRESS(2,COLUMN())),OFFSET($T$2,0,0,ROW()-1,14),ROW()-1,FALSE))</x:f>
        <x:v>314.78822000000002</x:v>
      </x:c>
      <x:c r="O366">
        <x:f ca="1">IF(AND($B$1012=1,LEN($O$1367)&gt;0),$O$1367,HLOOKUP(INDIRECT(ADDRESS(2,COLUMN())),OFFSET($T$2,0,0,ROW()-1,14),ROW()-1,FALSE))</x:f>
        <x:v>-256.63113199999998</x:v>
      </x:c>
      <x:c r="P366">
        <x:f ca="1">IF(AND($B$1012=1,LEN($P$1367)&gt;0),$P$1367,HLOOKUP(INDIRECT(ADDRESS(2,COLUMN())),OFFSET($T$2,0,0,ROW()-1,14),ROW()-1,FALSE))</x:f>
        <x:v>323.54277500000001</x:v>
      </x:c>
      <x:c r="Q366">
        <x:f ca="1">IF(AND($B$1012=1,LEN($Q$1367)&gt;0),$Q$1367,HLOOKUP(INDIRECT(ADDRESS(2,COLUMN())),OFFSET($T$2,0,0,ROW()-1,14),ROW()-1,FALSE))</x:f>
        <x:v>-15.411706000000001</x:v>
      </x:c>
      <x:c r="R366">
        <x:f ca="1">IF(AND($B$1012=1,LEN($R$1367)&gt;0),$R$1367,HLOOKUP(INDIRECT(ADDRESS(2,COLUMN())),OFFSET($T$2,0,0,ROW()-1,14),ROW()-1,FALSE))</x:f>
        <x:v>192.97896</x:v>
      </x:c>
      <x:c r="S366">
        <x:f ca="1">IF(AND($B$1012=1,LEN($S$1367)&gt;0),$S$1367,HLOOKUP(INDIRECT(ADDRESS(2,COLUMN())),OFFSET($T$2,0,0,ROW()-1,14),ROW()-1,FALSE))</x:f>
        <x:v>503.69313199999999</x:v>
      </x:c>
      <x:c r="T366">
        <x:f>826.772852</x:f>
        <x:v>826.77285199999994</x:v>
      </x:c>
      <x:c r="U366">
        <x:f>-86.883027</x:f>
        <x:v>-86.883026999999998</x:v>
      </x:c>
      <x:c r="V366">
        <x:f>-239.33351</x:f>
        <x:v>-239.33350999999999</x:v>
      </x:c>
      <x:c r="W366">
        <x:f>192.031271</x:f>
        <x:v>192.031271</x:v>
      </x:c>
      <x:c r="X366">
        <x:f>71.338015</x:f>
        <x:v>71.338014999999999</x:v>
      </x:c>
      <x:c r="Y366">
        <x:f>-370.203344</x:f>
        <x:v>-370.20334400000002</x:v>
      </x:c>
      <x:c r="Z366">
        <x:f>-71.975564</x:f>
        <x:v>-71.975564000000006</x:v>
      </x:c>
      <x:c r="AA366">
        <x:f>-544.125555</x:f>
        <x:v>-544.12555499999996</x:v>
      </x:c>
      <x:c r="AB366">
        <x:f>314.78822</x:f>
        <x:v>314.78822000000002</x:v>
      </x:c>
      <x:c r="AC366">
        <x:f>-256.631132</x:f>
        <x:v>-256.63113199999998</x:v>
      </x:c>
      <x:c r="AD366">
        <x:f>323.542775</x:f>
        <x:v>323.54277500000001</x:v>
      </x:c>
      <x:c r="AE366">
        <x:f>-15.411706</x:f>
        <x:v>-15.411706000000001</x:v>
      </x:c>
      <x:c r="AF366">
        <x:f>192.97896</x:f>
        <x:v>192.97896</x:v>
      </x:c>
      <x:c r="AG366">
        <x:f>503.693132</x:f>
        <x:v>503.69313199999999</x:v>
      </x:c>
    </x:row>
    <x:row r="367" spans="1:33" x14ac:dyDescent="0.25">
      <x:c r="A367" t="str">
        <x:f>"        VanEck Junior Gold Miners ETF"</x:f>
        <x:v xml:space="preserve">        VanEck Junior Gold Miners ETF</x:v>
      </x:c>
      <x:c r="B367" t="str">
        <x:f>"GDXJ US Equity"</x:f>
        <x:v>GDXJ US Equity</x:v>
      </x:c>
      <x:c r="E367" t="str">
        <x:f t="shared" si="12"/>
        <x:v>Expression</x:v>
      </x:c>
      <x:c r="F367">
        <x:f ca="1">IF(AND($B$1012=1,LEN($F$1368)&gt;0),$F$1368,HLOOKUP(INDIRECT(ADDRESS(2,COLUMN())),OFFSET($T$2,0,0,ROW()-1,14),ROW()-1,FALSE))</x:f>
        <x:v>71.976669000000001</x:v>
      </x:c>
      <x:c r="G367">
        <x:f ca="1">IF(AND($B$1012=1,LEN($G$1368)&gt;0),$G$1368,HLOOKUP(INDIRECT(ADDRESS(2,COLUMN())),OFFSET($T$2,0,0,ROW()-1,14),ROW()-1,FALSE))</x:f>
        <x:v>44.795758999999997</x:v>
      </x:c>
      <x:c r="H367">
        <x:f ca="1">IF(AND($B$1012=1,LEN($H$1368)&gt;0),$H$1368,HLOOKUP(INDIRECT(ADDRESS(2,COLUMN())),OFFSET($T$2,0,0,ROW()-1,14),ROW()-1,FALSE))</x:f>
        <x:v>6.1215909999999996</x:v>
      </x:c>
      <x:c r="I367">
        <x:f ca="1">IF(AND($B$1012=1,LEN($I$1368)&gt;0),$I$1368,HLOOKUP(INDIRECT(ADDRESS(2,COLUMN())),OFFSET($T$2,0,0,ROW()-1,14),ROW()-1,FALSE))</x:f>
        <x:v>105.34687599999999</x:v>
      </x:c>
      <x:c r="J367">
        <x:f ca="1">IF(AND($B$1012=1,LEN($J$1368)&gt;0),$J$1368,HLOOKUP(INDIRECT(ADDRESS(2,COLUMN())),OFFSET($T$2,0,0,ROW()-1,14),ROW()-1,FALSE))</x:f>
        <x:v>30.933508</x:v>
      </x:c>
      <x:c r="K367">
        <x:f ca="1">IF(AND($B$1012=1,LEN($K$1368)&gt;0),$K$1368,HLOOKUP(INDIRECT(ADDRESS(2,COLUMN())),OFFSET($T$2,0,0,ROW()-1,14),ROW()-1,FALSE))</x:f>
        <x:v>-2.2942990000000001</x:v>
      </x:c>
      <x:c r="L367">
        <x:f ca="1">IF(AND($B$1012=1,LEN($L$1368)&gt;0),$L$1368,HLOOKUP(INDIRECT(ADDRESS(2,COLUMN())),OFFSET($T$2,0,0,ROW()-1,14),ROW()-1,FALSE))</x:f>
        <x:v>-51.190724000000003</x:v>
      </x:c>
      <x:c r="M367">
        <x:f ca="1">IF(AND($B$1012=1,LEN($M$1368)&gt;0),$M$1368,HLOOKUP(INDIRECT(ADDRESS(2,COLUMN())),OFFSET($T$2,0,0,ROW()-1,14),ROW()-1,FALSE))</x:f>
        <x:v>23.191123999999999</x:v>
      </x:c>
      <x:c r="N367">
        <x:f ca="1">IF(AND($B$1012=1,LEN($N$1368)&gt;0),$N$1368,HLOOKUP(INDIRECT(ADDRESS(2,COLUMN())),OFFSET($T$2,0,0,ROW()-1,14),ROW()-1,FALSE))</x:f>
        <x:v>137.11084500000001</x:v>
      </x:c>
      <x:c r="O367">
        <x:f ca="1">IF(AND($B$1012=1,LEN($O$1368)&gt;0),$O$1368,HLOOKUP(INDIRECT(ADDRESS(2,COLUMN())),OFFSET($T$2,0,0,ROW()-1,14),ROW()-1,FALSE))</x:f>
        <x:v>-55.199216</x:v>
      </x:c>
      <x:c r="P367">
        <x:f ca="1">IF(AND($B$1012=1,LEN($P$1368)&gt;0),$P$1368,HLOOKUP(INDIRECT(ADDRESS(2,COLUMN())),OFFSET($T$2,0,0,ROW()-1,14),ROW()-1,FALSE))</x:f>
        <x:v>17.606607</x:v>
      </x:c>
      <x:c r="Q367">
        <x:f ca="1">IF(AND($B$1012=1,LEN($Q$1368)&gt;0),$Q$1368,HLOOKUP(INDIRECT(ADDRESS(2,COLUMN())),OFFSET($T$2,0,0,ROW()-1,14),ROW()-1,FALSE))</x:f>
        <x:v>9.938701</x:v>
      </x:c>
      <x:c r="R367">
        <x:f ca="1">IF(AND($B$1012=1,LEN($R$1368)&gt;0),$R$1368,HLOOKUP(INDIRECT(ADDRESS(2,COLUMN())),OFFSET($T$2,0,0,ROW()-1,14),ROW()-1,FALSE))</x:f>
        <x:v>68.812047000000007</x:v>
      </x:c>
      <x:c r="S367">
        <x:f ca="1">IF(AND($B$1012=1,LEN($S$1368)&gt;0),$S$1368,HLOOKUP(INDIRECT(ADDRESS(2,COLUMN())),OFFSET($T$2,0,0,ROW()-1,14),ROW()-1,FALSE))</x:f>
        <x:v>1.9105939999999999</x:v>
      </x:c>
      <x:c r="T367">
        <x:f>71.976669</x:f>
        <x:v>71.976669000000001</x:v>
      </x:c>
      <x:c r="U367">
        <x:f>44.795759</x:f>
        <x:v>44.795758999999997</x:v>
      </x:c>
      <x:c r="V367">
        <x:f>6.121591</x:f>
        <x:v>6.1215909999999996</x:v>
      </x:c>
      <x:c r="W367">
        <x:f>105.346876</x:f>
        <x:v>105.34687599999999</x:v>
      </x:c>
      <x:c r="X367">
        <x:f>30.933508</x:f>
        <x:v>30.933508</x:v>
      </x:c>
      <x:c r="Y367">
        <x:f>-2.294299</x:f>
        <x:v>-2.2942990000000001</x:v>
      </x:c>
      <x:c r="Z367">
        <x:f>-51.190724</x:f>
        <x:v>-51.190724000000003</x:v>
      </x:c>
      <x:c r="AA367">
        <x:f>23.191124</x:f>
        <x:v>23.191123999999999</x:v>
      </x:c>
      <x:c r="AB367">
        <x:f>137.110845</x:f>
        <x:v>137.11084500000001</x:v>
      </x:c>
      <x:c r="AC367">
        <x:f>-55.199216</x:f>
        <x:v>-55.199216</x:v>
      </x:c>
      <x:c r="AD367">
        <x:f>17.606607</x:f>
        <x:v>17.606607</x:v>
      </x:c>
      <x:c r="AE367">
        <x:f>9.938701</x:f>
        <x:v>9.938701</x:v>
      </x:c>
      <x:c r="AF367">
        <x:f>68.812047</x:f>
        <x:v>68.812047000000007</x:v>
      </x:c>
      <x:c r="AG367">
        <x:f>1.910594</x:f>
        <x:v>1.9105939999999999</x:v>
      </x:c>
    </x:row>
    <x:row r="368" spans="1:33" x14ac:dyDescent="0.25">
      <x:c r="A368" t="str">
        <x:f>"        Materials Select Sector SPDR F"</x:f>
        <x:v xml:space="preserve">        Materials Select Sector SPDR F</x:v>
      </x:c>
      <x:c r="B368" t="str">
        <x:f>"XLB US Equity"</x:f>
        <x:v>XLB US Equity</x:v>
      </x:c>
      <x:c r="E368" t="str">
        <x:f t="shared" si="12"/>
        <x:v>Expression</x:v>
      </x:c>
      <x:c r="F368">
        <x:f ca="1">IF(AND($B$1012=1,LEN($F$1369)&gt;0),$F$1369,HLOOKUP(INDIRECT(ADDRESS(2,COLUMN())),OFFSET($T$2,0,0,ROW()-1,14),ROW()-1,FALSE))</x:f>
        <x:v>-181.93026499999999</x:v>
      </x:c>
      <x:c r="G368">
        <x:f ca="1">IF(AND($B$1012=1,LEN($G$1369)&gt;0),$G$1369,HLOOKUP(INDIRECT(ADDRESS(2,COLUMN())),OFFSET($T$2,0,0,ROW()-1,14),ROW()-1,FALSE))</x:f>
        <x:v>455.17264399999999</x:v>
      </x:c>
      <x:c r="H368">
        <x:f ca="1">IF(AND($B$1012=1,LEN($H$1369)&gt;0),$H$1369,HLOOKUP(INDIRECT(ADDRESS(2,COLUMN())),OFFSET($T$2,0,0,ROW()-1,14),ROW()-1,FALSE))</x:f>
        <x:v>-506.822563</x:v>
      </x:c>
      <x:c r="I368">
        <x:f ca="1">IF(AND($B$1012=1,LEN($I$1369)&gt;0),$I$1369,HLOOKUP(INDIRECT(ADDRESS(2,COLUMN())),OFFSET($T$2,0,0,ROW()-1,14),ROW()-1,FALSE))</x:f>
        <x:v>-830.96642099999997</x:v>
      </x:c>
      <x:c r="J368">
        <x:f ca="1">IF(AND($B$1012=1,LEN($J$1369)&gt;0),$J$1369,HLOOKUP(INDIRECT(ADDRESS(2,COLUMN())),OFFSET($T$2,0,0,ROW()-1,14),ROW()-1,FALSE))</x:f>
        <x:v>622.95755299999996</x:v>
      </x:c>
      <x:c r="K368">
        <x:f ca="1">IF(AND($B$1012=1,LEN($K$1369)&gt;0),$K$1369,HLOOKUP(INDIRECT(ADDRESS(2,COLUMN())),OFFSET($T$2,0,0,ROW()-1,14),ROW()-1,FALSE))</x:f>
        <x:v>167.56300899999999</x:v>
      </x:c>
      <x:c r="L368">
        <x:f ca="1">IF(AND($B$1012=1,LEN($L$1369)&gt;0),$L$1369,HLOOKUP(INDIRECT(ADDRESS(2,COLUMN())),OFFSET($T$2,0,0,ROW()-1,14),ROW()-1,FALSE))</x:f>
        <x:v>-221.19088500000001</x:v>
      </x:c>
      <x:c r="M368">
        <x:f ca="1">IF(AND($B$1012=1,LEN($M$1369)&gt;0),$M$1369,HLOOKUP(INDIRECT(ADDRESS(2,COLUMN())),OFFSET($T$2,0,0,ROW()-1,14),ROW()-1,FALSE))</x:f>
        <x:v>484.59240199999999</x:v>
      </x:c>
      <x:c r="N368">
        <x:f ca="1">IF(AND($B$1012=1,LEN($N$1369)&gt;0),$N$1369,HLOOKUP(INDIRECT(ADDRESS(2,COLUMN())),OFFSET($T$2,0,0,ROW()-1,14),ROW()-1,FALSE))</x:f>
        <x:v>-416.08860099999998</x:v>
      </x:c>
      <x:c r="O368">
        <x:f ca="1">IF(AND($B$1012=1,LEN($O$1369)&gt;0),$O$1369,HLOOKUP(INDIRECT(ADDRESS(2,COLUMN())),OFFSET($T$2,0,0,ROW()-1,14),ROW()-1,FALSE))</x:f>
        <x:v>-187.54572400000001</x:v>
      </x:c>
      <x:c r="P368">
        <x:f ca="1">IF(AND($B$1012=1,LEN($P$1369)&gt;0),$P$1369,HLOOKUP(INDIRECT(ADDRESS(2,COLUMN())),OFFSET($T$2,0,0,ROW()-1,14),ROW()-1,FALSE))</x:f>
        <x:v>560.50241800000003</x:v>
      </x:c>
      <x:c r="Q368">
        <x:f ca="1">IF(AND($B$1012=1,LEN($Q$1369)&gt;0),$Q$1369,HLOOKUP(INDIRECT(ADDRESS(2,COLUMN())),OFFSET($T$2,0,0,ROW()-1,14),ROW()-1,FALSE))</x:f>
        <x:v>-3.1411820000000001</x:v>
      </x:c>
      <x:c r="R368">
        <x:f ca="1">IF(AND($B$1012=1,LEN($R$1369)&gt;0),$R$1369,HLOOKUP(INDIRECT(ADDRESS(2,COLUMN())),OFFSET($T$2,0,0,ROW()-1,14),ROW()-1,FALSE))</x:f>
        <x:v>-208.47816900000001</x:v>
      </x:c>
      <x:c r="S368">
        <x:f ca="1">IF(AND($B$1012=1,LEN($S$1369)&gt;0),$S$1369,HLOOKUP(INDIRECT(ADDRESS(2,COLUMN())),OFFSET($T$2,0,0,ROW()-1,14),ROW()-1,FALSE))</x:f>
        <x:v>80.103648000000007</x:v>
      </x:c>
      <x:c r="T368">
        <x:f>-181.930265</x:f>
        <x:v>-181.93026499999999</x:v>
      </x:c>
      <x:c r="U368">
        <x:f>455.172644</x:f>
        <x:v>455.17264399999999</x:v>
      </x:c>
      <x:c r="V368">
        <x:f>-506.822563</x:f>
        <x:v>-506.822563</x:v>
      </x:c>
      <x:c r="W368">
        <x:f>-830.966421</x:f>
        <x:v>-830.96642099999997</x:v>
      </x:c>
      <x:c r="X368">
        <x:f>622.957553</x:f>
        <x:v>622.95755299999996</x:v>
      </x:c>
      <x:c r="Y368">
        <x:f>167.563009</x:f>
        <x:v>167.56300899999999</x:v>
      </x:c>
      <x:c r="Z368">
        <x:f>-221.190885</x:f>
        <x:v>-221.19088500000001</x:v>
      </x:c>
      <x:c r="AA368">
        <x:f>484.592402</x:f>
        <x:v>484.59240199999999</x:v>
      </x:c>
      <x:c r="AB368">
        <x:f>-416.088601</x:f>
        <x:v>-416.08860099999998</x:v>
      </x:c>
      <x:c r="AC368">
        <x:f>-187.545724</x:f>
        <x:v>-187.54572400000001</x:v>
      </x:c>
      <x:c r="AD368">
        <x:f>560.502418</x:f>
        <x:v>560.50241800000003</x:v>
      </x:c>
      <x:c r="AE368">
        <x:f>-3.141182</x:f>
        <x:v>-3.1411820000000001</x:v>
      </x:c>
      <x:c r="AF368">
        <x:f>-208.478169</x:f>
        <x:v>-208.47816900000001</x:v>
      </x:c>
      <x:c r="AG368">
        <x:f>80.103648</x:f>
        <x:v>80.103648000000007</x:v>
      </x:c>
    </x:row>
    <x:row r="369" spans="1:33" x14ac:dyDescent="0.25">
      <x:c r="A369" t="str">
        <x:f>"        Vanguard Materials ETF"</x:f>
        <x:v xml:space="preserve">        Vanguard Materials ETF</x:v>
      </x:c>
      <x:c r="B369" t="str">
        <x:f>"VAW US Equity"</x:f>
        <x:v>VAW US Equity</x:v>
      </x:c>
      <x:c r="E369" t="str">
        <x:f t="shared" si="12"/>
        <x:v>Expression</x:v>
      </x:c>
      <x:c r="F369">
        <x:f ca="1">IF(AND($B$1012=1,LEN($F$1370)&gt;0),$F$1370,HLOOKUP(INDIRECT(ADDRESS(2,COLUMN())),OFFSET($T$2,0,0,ROW()-1,14),ROW()-1,FALSE))</x:f>
        <x:v>-17.138000000000002</x:v>
      </x:c>
      <x:c r="G369">
        <x:f ca="1">IF(AND($B$1012=1,LEN($G$1370)&gt;0),$G$1370,HLOOKUP(INDIRECT(ADDRESS(2,COLUMN())),OFFSET($T$2,0,0,ROW()-1,14),ROW()-1,FALSE))</x:f>
        <x:v>-322.55824999999999</x:v>
      </x:c>
      <x:c r="H369">
        <x:f ca="1">IF(AND($B$1012=1,LEN($H$1370)&gt;0),$H$1370,HLOOKUP(INDIRECT(ADDRESS(2,COLUMN())),OFFSET($T$2,0,0,ROW()-1,14),ROW()-1,FALSE))</x:f>
        <x:v>-44.545999999999999</x:v>
      </x:c>
      <x:c r="I369">
        <x:f ca="1">IF(AND($B$1012=1,LEN($I$1370)&gt;0),$I$1370,HLOOKUP(INDIRECT(ADDRESS(2,COLUMN())),OFFSET($T$2,0,0,ROW()-1,14),ROW()-1,FALSE))</x:f>
        <x:v>-8.2677239999999994</x:v>
      </x:c>
      <x:c r="J369">
        <x:f ca="1">IF(AND($B$1012=1,LEN($J$1370)&gt;0),$J$1370,HLOOKUP(INDIRECT(ADDRESS(2,COLUMN())),OFFSET($T$2,0,0,ROW()-1,14),ROW()-1,FALSE))</x:f>
        <x:v>230.267</x:v>
      </x:c>
      <x:c r="K369">
        <x:f ca="1">IF(AND($B$1012=1,LEN($K$1370)&gt;0),$K$1370,HLOOKUP(INDIRECT(ADDRESS(2,COLUMN())),OFFSET($T$2,0,0,ROW()-1,14),ROW()-1,FALSE))</x:f>
        <x:v>-25.870080999999999</x:v>
      </x:c>
      <x:c r="L369">
        <x:f ca="1">IF(AND($B$1012=1,LEN($L$1370)&gt;0),$L$1370,HLOOKUP(INDIRECT(ADDRESS(2,COLUMN())),OFFSET($T$2,0,0,ROW()-1,14),ROW()-1,FALSE))</x:f>
        <x:v>-77.556066999999999</x:v>
      </x:c>
      <x:c r="M369">
        <x:f ca="1">IF(AND($B$1012=1,LEN($M$1370)&gt;0),$M$1370,HLOOKUP(INDIRECT(ADDRESS(2,COLUMN())),OFFSET($T$2,0,0,ROW()-1,14),ROW()-1,FALSE))</x:f>
        <x:v>-53.488</x:v>
      </x:c>
      <x:c r="N369">
        <x:f ca="1">IF(AND($B$1012=1,LEN($N$1370)&gt;0),$N$1370,HLOOKUP(INDIRECT(ADDRESS(2,COLUMN())),OFFSET($T$2,0,0,ROW()-1,14),ROW()-1,FALSE))</x:f>
        <x:v>-7.423654</x:v>
      </x:c>
      <x:c r="O369">
        <x:f ca="1">IF(AND($B$1012=1,LEN($O$1370)&gt;0),$O$1370,HLOOKUP(INDIRECT(ADDRESS(2,COLUMN())),OFFSET($T$2,0,0,ROW()-1,14),ROW()-1,FALSE))</x:f>
        <x:v>15.285423</x:v>
      </x:c>
      <x:c r="P369">
        <x:f ca="1">IF(AND($B$1012=1,LEN($P$1370)&gt;0),$P$1370,HLOOKUP(INDIRECT(ADDRESS(2,COLUMN())),OFFSET($T$2,0,0,ROW()-1,14),ROW()-1,FALSE))</x:f>
        <x:v>-25.739111999999999</x:v>
      </x:c>
      <x:c r="Q369">
        <x:f ca="1">IF(AND($B$1012=1,LEN($Q$1370)&gt;0),$Q$1370,HLOOKUP(INDIRECT(ADDRESS(2,COLUMN())),OFFSET($T$2,0,0,ROW()-1,14),ROW()-1,FALSE))</x:f>
        <x:v>-30.757750000000001</x:v>
      </x:c>
      <x:c r="R369">
        <x:f ca="1">IF(AND($B$1012=1,LEN($R$1370)&gt;0),$R$1370,HLOOKUP(INDIRECT(ADDRESS(2,COLUMN())),OFFSET($T$2,0,0,ROW()-1,14),ROW()-1,FALSE))</x:f>
        <x:v>53.672462000000003</x:v>
      </x:c>
      <x:c r="S369">
        <x:f ca="1">IF(AND($B$1012=1,LEN($S$1370)&gt;0),$S$1370,HLOOKUP(INDIRECT(ADDRESS(2,COLUMN())),OFFSET($T$2,0,0,ROW()-1,14),ROW()-1,FALSE))</x:f>
        <x:v>-46.644750000000002</x:v>
      </x:c>
      <x:c r="T369">
        <x:f>-17.138</x:f>
        <x:v>-17.138000000000002</x:v>
      </x:c>
      <x:c r="U369">
        <x:f>-322.55825</x:f>
        <x:v>-322.55824999999999</x:v>
      </x:c>
      <x:c r="V369">
        <x:f>-44.546</x:f>
        <x:v>-44.545999999999999</x:v>
      </x:c>
      <x:c r="W369">
        <x:f>-8.267724</x:f>
        <x:v>-8.2677239999999994</x:v>
      </x:c>
      <x:c r="X369">
        <x:f>230.267</x:f>
        <x:v>230.267</x:v>
      </x:c>
      <x:c r="Y369">
        <x:f>-25.870081</x:f>
        <x:v>-25.870080999999999</x:v>
      </x:c>
      <x:c r="Z369">
        <x:f>-77.556067</x:f>
        <x:v>-77.556066999999999</x:v>
      </x:c>
      <x:c r="AA369">
        <x:f>-53.488</x:f>
        <x:v>-53.488</x:v>
      </x:c>
      <x:c r="AB369">
        <x:f>-7.423654</x:f>
        <x:v>-7.423654</x:v>
      </x:c>
      <x:c r="AC369">
        <x:f>15.285423</x:f>
        <x:v>15.285423</x:v>
      </x:c>
      <x:c r="AD369">
        <x:f>-25.739112</x:f>
        <x:v>-25.739111999999999</x:v>
      </x:c>
      <x:c r="AE369">
        <x:f>-30.75775</x:f>
        <x:v>-30.757750000000001</x:v>
      </x:c>
      <x:c r="AF369">
        <x:f>53.672462</x:f>
        <x:v>53.672462000000003</x:v>
      </x:c>
      <x:c r="AG369">
        <x:f>-46.64475</x:f>
        <x:v>-46.644750000000002</x:v>
      </x:c>
    </x:row>
    <x:row r="370" spans="1:33" x14ac:dyDescent="0.25">
      <x:c r="A370" t="str">
        <x:f>"        Direxion Daily Gold Miners Ind"</x:f>
        <x:v xml:space="preserve">        Direxion Daily Gold Miners Ind</x:v>
      </x:c>
      <x:c r="B370" t="str">
        <x:f>"NUGT US Equity"</x:f>
        <x:v>NUGT US Equity</x:v>
      </x:c>
      <x:c r="E370" t="str">
        <x:f t="shared" si="12"/>
        <x:v>Expression</x:v>
      </x:c>
      <x:c r="F370">
        <x:f ca="1">IF(AND($B$1012=1,LEN($F$1371)&gt;0),$F$1371,HLOOKUP(INDIRECT(ADDRESS(2,COLUMN())),OFFSET($T$2,0,0,ROW()-1,14),ROW()-1,FALSE))</x:f>
        <x:v>-0.85528400000000004</x:v>
      </x:c>
      <x:c r="G370">
        <x:f ca="1">IF(AND($B$1012=1,LEN($G$1371)&gt;0),$G$1371,HLOOKUP(INDIRECT(ADDRESS(2,COLUMN())),OFFSET($T$2,0,0,ROW()-1,14),ROW()-1,FALSE))</x:f>
        <x:v>10.096603</x:v>
      </x:c>
      <x:c r="H370">
        <x:f ca="1">IF(AND($B$1012=1,LEN($H$1371)&gt;0),$H$1371,HLOOKUP(INDIRECT(ADDRESS(2,COLUMN())),OFFSET($T$2,0,0,ROW()-1,14),ROW()-1,FALSE))</x:f>
        <x:v>36.657556999999997</x:v>
      </x:c>
      <x:c r="I370">
        <x:f ca="1">IF(AND($B$1012=1,LEN($I$1371)&gt;0),$I$1371,HLOOKUP(INDIRECT(ADDRESS(2,COLUMN())),OFFSET($T$2,0,0,ROW()-1,14),ROW()-1,FALSE))</x:f>
        <x:v>41.429003999999999</x:v>
      </x:c>
      <x:c r="J370">
        <x:f ca="1">IF(AND($B$1012=1,LEN($J$1371)&gt;0),$J$1371,HLOOKUP(INDIRECT(ADDRESS(2,COLUMN())),OFFSET($T$2,0,0,ROW()-1,14),ROW()-1,FALSE))</x:f>
        <x:v>0.15273900000000001</x:v>
      </x:c>
      <x:c r="K370">
        <x:f ca="1">IF(AND($B$1012=1,LEN($K$1371)&gt;0),$K$1371,HLOOKUP(INDIRECT(ADDRESS(2,COLUMN())),OFFSET($T$2,0,0,ROW()-1,14),ROW()-1,FALSE))</x:f>
        <x:v>4.2404310000000001</x:v>
      </x:c>
      <x:c r="L370">
        <x:f ca="1">IF(AND($B$1012=1,LEN($L$1371)&gt;0),$L$1371,HLOOKUP(INDIRECT(ADDRESS(2,COLUMN())),OFFSET($T$2,0,0,ROW()-1,14),ROW()-1,FALSE))</x:f>
        <x:v>37.901251000000002</x:v>
      </x:c>
      <x:c r="M370">
        <x:f ca="1">IF(AND($B$1012=1,LEN($M$1371)&gt;0),$M$1371,HLOOKUP(INDIRECT(ADDRESS(2,COLUMN())),OFFSET($T$2,0,0,ROW()-1,14),ROW()-1,FALSE))</x:f>
        <x:v>-51.459502999999998</x:v>
      </x:c>
      <x:c r="N370">
        <x:f ca="1">IF(AND($B$1012=1,LEN($N$1371)&gt;0),$N$1371,HLOOKUP(INDIRECT(ADDRESS(2,COLUMN())),OFFSET($T$2,0,0,ROW()-1,14),ROW()-1,FALSE))</x:f>
        <x:v>-17.992436999999999</x:v>
      </x:c>
      <x:c r="O370">
        <x:f ca="1">IF(AND($B$1012=1,LEN($O$1371)&gt;0),$O$1371,HLOOKUP(INDIRECT(ADDRESS(2,COLUMN())),OFFSET($T$2,0,0,ROW()-1,14),ROW()-1,FALSE))</x:f>
        <x:v>39.073419000000001</x:v>
      </x:c>
      <x:c r="P370">
        <x:f ca="1">IF(AND($B$1012=1,LEN($P$1371)&gt;0),$P$1371,HLOOKUP(INDIRECT(ADDRESS(2,COLUMN())),OFFSET($T$2,0,0,ROW()-1,14),ROW()-1,FALSE))</x:f>
        <x:v>-63.596235999999998</x:v>
      </x:c>
      <x:c r="Q370">
        <x:f ca="1">IF(AND($B$1012=1,LEN($Q$1371)&gt;0),$Q$1371,HLOOKUP(INDIRECT(ADDRESS(2,COLUMN())),OFFSET($T$2,0,0,ROW()-1,14),ROW()-1,FALSE))</x:f>
        <x:v>6.9053630000000004</x:v>
      </x:c>
      <x:c r="R370">
        <x:f ca="1">IF(AND($B$1012=1,LEN($R$1371)&gt;0),$R$1371,HLOOKUP(INDIRECT(ADDRESS(2,COLUMN())),OFFSET($T$2,0,0,ROW()-1,14),ROW()-1,FALSE))</x:f>
        <x:v>-45.567937000000001</x:v>
      </x:c>
      <x:c r="S370">
        <x:f ca="1">IF(AND($B$1012=1,LEN($S$1371)&gt;0),$S$1371,HLOOKUP(INDIRECT(ADDRESS(2,COLUMN())),OFFSET($T$2,0,0,ROW()-1,14),ROW()-1,FALSE))</x:f>
        <x:v>-23.326350999999999</x:v>
      </x:c>
      <x:c r="T370">
        <x:f>-0.855284</x:f>
        <x:v>-0.85528400000000004</x:v>
      </x:c>
      <x:c r="U370">
        <x:f>10.096603</x:f>
        <x:v>10.096603</x:v>
      </x:c>
      <x:c r="V370">
        <x:f>36.657557</x:f>
        <x:v>36.657556999999997</x:v>
      </x:c>
      <x:c r="W370">
        <x:f>41.429004</x:f>
        <x:v>41.429003999999999</x:v>
      </x:c>
      <x:c r="X370">
        <x:f>0.152739</x:f>
        <x:v>0.15273900000000001</x:v>
      </x:c>
      <x:c r="Y370">
        <x:f>4.240431</x:f>
        <x:v>4.2404310000000001</x:v>
      </x:c>
      <x:c r="Z370">
        <x:f>37.901251</x:f>
        <x:v>37.901251000000002</x:v>
      </x:c>
      <x:c r="AA370">
        <x:f>-51.459503</x:f>
        <x:v>-51.459502999999998</x:v>
      </x:c>
      <x:c r="AB370">
        <x:f>-17.992437</x:f>
        <x:v>-17.992436999999999</x:v>
      </x:c>
      <x:c r="AC370">
        <x:f>39.073419</x:f>
        <x:v>39.073419000000001</x:v>
      </x:c>
      <x:c r="AD370">
        <x:f>-63.596236</x:f>
        <x:v>-63.596235999999998</x:v>
      </x:c>
      <x:c r="AE370">
        <x:f>6.905363</x:f>
        <x:v>6.9053630000000004</x:v>
      </x:c>
      <x:c r="AF370">
        <x:f>-45.567937</x:f>
        <x:v>-45.567937000000001</x:v>
      </x:c>
      <x:c r="AG370">
        <x:f>-23.326351</x:f>
        <x:v>-23.326350999999999</x:v>
      </x:c>
    </x:row>
    <x:row r="371" spans="1:33" x14ac:dyDescent="0.25">
      <x:c r="A371" t="str">
        <x:f>"        iShares U.S. Basic Materials E"</x:f>
        <x:v xml:space="preserve">        iShares U.S. Basic Materials E</x:v>
      </x:c>
      <x:c r="B371" t="str">
        <x:f>"IYM US Equity"</x:f>
        <x:v>IYM US Equity</x:v>
      </x:c>
      <x:c r="E371" t="str">
        <x:f t="shared" si="12"/>
        <x:v>Expression</x:v>
      </x:c>
      <x:c r="F371">
        <x:f ca="1">IF(AND($B$1012=1,LEN($F$1372)&gt;0),$F$1372,HLOOKUP(INDIRECT(ADDRESS(2,COLUMN())),OFFSET($T$2,0,0,ROW()-1,14),ROW()-1,FALSE))</x:f>
        <x:v>-12.286431</x:v>
      </x:c>
      <x:c r="G371">
        <x:f ca="1">IF(AND($B$1012=1,LEN($G$1372)&gt;0),$G$1372,HLOOKUP(INDIRECT(ADDRESS(2,COLUMN())),OFFSET($T$2,0,0,ROW()-1,14),ROW()-1,FALSE))</x:f>
        <x:v>-30.961312</x:v>
      </x:c>
      <x:c r="H371">
        <x:f ca="1">IF(AND($B$1012=1,LEN($H$1372)&gt;0),$H$1372,HLOOKUP(INDIRECT(ADDRESS(2,COLUMN())),OFFSET($T$2,0,0,ROW()-1,14),ROW()-1,FALSE))</x:f>
        <x:v>-6.5568549999999997</x:v>
      </x:c>
      <x:c r="I371">
        <x:f ca="1">IF(AND($B$1012=1,LEN($I$1372)&gt;0),$I$1372,HLOOKUP(INDIRECT(ADDRESS(2,COLUMN())),OFFSET($T$2,0,0,ROW()-1,14),ROW()-1,FALSE))</x:f>
        <x:v>-79.415485000000004</x:v>
      </x:c>
      <x:c r="J371">
        <x:f ca="1">IF(AND($B$1012=1,LEN($J$1372)&gt;0),$J$1372,HLOOKUP(INDIRECT(ADDRESS(2,COLUMN())),OFFSET($T$2,0,0,ROW()-1,14),ROW()-1,FALSE))</x:f>
        <x:v>-99.364059999999995</x:v>
      </x:c>
      <x:c r="K371">
        <x:f ca="1">IF(AND($B$1012=1,LEN($K$1372)&gt;0),$K$1372,HLOOKUP(INDIRECT(ADDRESS(2,COLUMN())),OFFSET($T$2,0,0,ROW()-1,14),ROW()-1,FALSE))</x:f>
        <x:v>90.977490000000003</x:v>
      </x:c>
      <x:c r="L371">
        <x:f ca="1">IF(AND($B$1012=1,LEN($L$1372)&gt;0),$L$1372,HLOOKUP(INDIRECT(ADDRESS(2,COLUMN())),OFFSET($T$2,0,0,ROW()-1,14),ROW()-1,FALSE))</x:f>
        <x:v>-120.688335</x:v>
      </x:c>
      <x:c r="M371">
        <x:f ca="1">IF(AND($B$1012=1,LEN($M$1372)&gt;0),$M$1372,HLOOKUP(INDIRECT(ADDRESS(2,COLUMN())),OFFSET($T$2,0,0,ROW()-1,14),ROW()-1,FALSE))</x:f>
        <x:v>92.356009999999998</x:v>
      </x:c>
      <x:c r="N371">
        <x:f ca="1">IF(AND($B$1012=1,LEN($N$1372)&gt;0),$N$1372,HLOOKUP(INDIRECT(ADDRESS(2,COLUMN())),OFFSET($T$2,0,0,ROW()-1,14),ROW()-1,FALSE))</x:f>
        <x:v>40.365504999999999</x:v>
      </x:c>
      <x:c r="O371">
        <x:f ca="1">IF(AND($B$1012=1,LEN($O$1372)&gt;0),$O$1372,HLOOKUP(INDIRECT(ADDRESS(2,COLUMN())),OFFSET($T$2,0,0,ROW()-1,14),ROW()-1,FALSE))</x:f>
        <x:v>13.685779999999999</x:v>
      </x:c>
      <x:c r="P371">
        <x:f ca="1">IF(AND($B$1012=1,LEN($P$1372)&gt;0),$P$1372,HLOOKUP(INDIRECT(ADDRESS(2,COLUMN())),OFFSET($T$2,0,0,ROW()-1,14),ROW()-1,FALSE))</x:f>
        <x:v>20.321000000000002</x:v>
      </x:c>
      <x:c r="Q371">
        <x:f ca="1">IF(AND($B$1012=1,LEN($Q$1372)&gt;0),$Q$1372,HLOOKUP(INDIRECT(ADDRESS(2,COLUMN())),OFFSET($T$2,0,0,ROW()-1,14),ROW()-1,FALSE))</x:f>
        <x:v>-6.6222599999999998</x:v>
      </x:c>
      <x:c r="R371">
        <x:f ca="1">IF(AND($B$1012=1,LEN($R$1372)&gt;0),$R$1372,HLOOKUP(INDIRECT(ADDRESS(2,COLUMN())),OFFSET($T$2,0,0,ROW()-1,14),ROW()-1,FALSE))</x:f>
        <x:v>-156.249145</x:v>
      </x:c>
      <x:c r="S371">
        <x:f ca="1">IF(AND($B$1012=1,LEN($S$1372)&gt;0),$S$1372,HLOOKUP(INDIRECT(ADDRESS(2,COLUMN())),OFFSET($T$2,0,0,ROW()-1,14),ROW()-1,FALSE))</x:f>
        <x:v>-34.179105</x:v>
      </x:c>
      <x:c r="T371">
        <x:f>-12.286431</x:f>
        <x:v>-12.286431</x:v>
      </x:c>
      <x:c r="U371">
        <x:f>-30.961312</x:f>
        <x:v>-30.961312</x:v>
      </x:c>
      <x:c r="V371">
        <x:f>-6.556855</x:f>
        <x:v>-6.5568549999999997</x:v>
      </x:c>
      <x:c r="W371">
        <x:f>-79.415485</x:f>
        <x:v>-79.415485000000004</x:v>
      </x:c>
      <x:c r="X371">
        <x:f>-99.36406</x:f>
        <x:v>-99.364059999999995</x:v>
      </x:c>
      <x:c r="Y371">
        <x:f>90.97749</x:f>
        <x:v>90.977490000000003</x:v>
      </x:c>
      <x:c r="Z371">
        <x:f>-120.688335</x:f>
        <x:v>-120.688335</x:v>
      </x:c>
      <x:c r="AA371">
        <x:f>92.35601</x:f>
        <x:v>92.356009999999998</x:v>
      </x:c>
      <x:c r="AB371">
        <x:f>40.365505</x:f>
        <x:v>40.365504999999999</x:v>
      </x:c>
      <x:c r="AC371">
        <x:f>13.68578</x:f>
        <x:v>13.685779999999999</x:v>
      </x:c>
      <x:c r="AD371">
        <x:f>20.321</x:f>
        <x:v>20.321000000000002</x:v>
      </x:c>
      <x:c r="AE371">
        <x:f>-6.62226</x:f>
        <x:v>-6.6222599999999998</x:v>
      </x:c>
      <x:c r="AF371">
        <x:f>-156.249145</x:f>
        <x:v>-156.249145</x:v>
      </x:c>
      <x:c r="AG371">
        <x:f>-34.179105</x:f>
        <x:v>-34.179105</x:v>
      </x:c>
    </x:row>
    <x:row r="372" spans="1:33" x14ac:dyDescent="0.25">
      <x:c r="A372" t="str">
        <x:f>"        Direxion Daily Junior Gold Min"</x:f>
        <x:v xml:space="preserve">        Direxion Daily Junior Gold Min</x:v>
      </x:c>
      <x:c r="B372" t="str">
        <x:f>"JNUG US Equity"</x:f>
        <x:v>JNUG US Equity</x:v>
      </x:c>
      <x:c r="E372" t="str">
        <x:f t="shared" si="12"/>
        <x:v>Expression</x:v>
      </x:c>
      <x:c r="F372">
        <x:f ca="1">IF(AND($B$1012=1,LEN($F$1373)&gt;0),$F$1373,HLOOKUP(INDIRECT(ADDRESS(2,COLUMN())),OFFSET($T$2,0,0,ROW()-1,14),ROW()-1,FALSE))</x:f>
        <x:v>-54.922516999999999</x:v>
      </x:c>
      <x:c r="G372">
        <x:f ca="1">IF(AND($B$1012=1,LEN($G$1373)&gt;0),$G$1373,HLOOKUP(INDIRECT(ADDRESS(2,COLUMN())),OFFSET($T$2,0,0,ROW()-1,14),ROW()-1,FALSE))</x:f>
        <x:v>-9.5737869999999994</x:v>
      </x:c>
      <x:c r="H372">
        <x:f ca="1">IF(AND($B$1012=1,LEN($H$1373)&gt;0),$H$1373,HLOOKUP(INDIRECT(ADDRESS(2,COLUMN())),OFFSET($T$2,0,0,ROW()-1,14),ROW()-1,FALSE))</x:f>
        <x:v>21.841591000000001</x:v>
      </x:c>
      <x:c r="I372">
        <x:f ca="1">IF(AND($B$1012=1,LEN($I$1373)&gt;0),$I$1373,HLOOKUP(INDIRECT(ADDRESS(2,COLUMN())),OFFSET($T$2,0,0,ROW()-1,14),ROW()-1,FALSE))</x:f>
        <x:v>83.084795</x:v>
      </x:c>
      <x:c r="J372">
        <x:f ca="1">IF(AND($B$1012=1,LEN($J$1373)&gt;0),$J$1373,HLOOKUP(INDIRECT(ADDRESS(2,COLUMN())),OFFSET($T$2,0,0,ROW()-1,14),ROW()-1,FALSE))</x:f>
        <x:v>-11.989463000000001</x:v>
      </x:c>
      <x:c r="K372">
        <x:f ca="1">IF(AND($B$1012=1,LEN($K$1373)&gt;0),$K$1373,HLOOKUP(INDIRECT(ADDRESS(2,COLUMN())),OFFSET($T$2,0,0,ROW()-1,14),ROW()-1,FALSE))</x:f>
        <x:v>23.342841</x:v>
      </x:c>
      <x:c r="L372">
        <x:f ca="1">IF(AND($B$1012=1,LEN($L$1373)&gt;0),$L$1373,HLOOKUP(INDIRECT(ADDRESS(2,COLUMN())),OFFSET($T$2,0,0,ROW()-1,14),ROW()-1,FALSE))</x:f>
        <x:v>15.471838999999999</x:v>
      </x:c>
      <x:c r="M372">
        <x:f ca="1">IF(AND($B$1012=1,LEN($M$1373)&gt;0),$M$1373,HLOOKUP(INDIRECT(ADDRESS(2,COLUMN())),OFFSET($T$2,0,0,ROW()-1,14),ROW()-1,FALSE))</x:f>
        <x:v>-26.795532999999999</x:v>
      </x:c>
      <x:c r="N372">
        <x:f ca="1">IF(AND($B$1012=1,LEN($N$1373)&gt;0),$N$1373,HLOOKUP(INDIRECT(ADDRESS(2,COLUMN())),OFFSET($T$2,0,0,ROW()-1,14),ROW()-1,FALSE))</x:f>
        <x:v>-39.304813000000003</x:v>
      </x:c>
      <x:c r="O372">
        <x:f ca="1">IF(AND($B$1012=1,LEN($O$1373)&gt;0),$O$1373,HLOOKUP(INDIRECT(ADDRESS(2,COLUMN())),OFFSET($T$2,0,0,ROW()-1,14),ROW()-1,FALSE))</x:f>
        <x:v>55.930446000000003</x:v>
      </x:c>
      <x:c r="P372">
        <x:f ca="1">IF(AND($B$1012=1,LEN($P$1373)&gt;0),$P$1373,HLOOKUP(INDIRECT(ADDRESS(2,COLUMN())),OFFSET($T$2,0,0,ROW()-1,14),ROW()-1,FALSE))</x:f>
        <x:v>-26.870305999999999</x:v>
      </x:c>
      <x:c r="Q372">
        <x:f ca="1">IF(AND($B$1012=1,LEN($Q$1373)&gt;0),$Q$1373,HLOOKUP(INDIRECT(ADDRESS(2,COLUMN())),OFFSET($T$2,0,0,ROW()-1,14),ROW()-1,FALSE))</x:f>
        <x:v>-4.9175490000000002</x:v>
      </x:c>
      <x:c r="R372">
        <x:f ca="1">IF(AND($B$1012=1,LEN($R$1373)&gt;0),$R$1373,HLOOKUP(INDIRECT(ADDRESS(2,COLUMN())),OFFSET($T$2,0,0,ROW()-1,14),ROW()-1,FALSE))</x:f>
        <x:v>-31.742996000000002</x:v>
      </x:c>
      <x:c r="S372">
        <x:f ca="1">IF(AND($B$1012=1,LEN($S$1373)&gt;0),$S$1373,HLOOKUP(INDIRECT(ADDRESS(2,COLUMN())),OFFSET($T$2,0,0,ROW()-1,14),ROW()-1,FALSE))</x:f>
        <x:v>-6.5081220000000002</x:v>
      </x:c>
      <x:c r="T372">
        <x:f>-54.922517</x:f>
        <x:v>-54.922516999999999</x:v>
      </x:c>
      <x:c r="U372">
        <x:f>-9.573787</x:f>
        <x:v>-9.5737869999999994</x:v>
      </x:c>
      <x:c r="V372">
        <x:f>21.841591</x:f>
        <x:v>21.841591000000001</x:v>
      </x:c>
      <x:c r="W372">
        <x:f>83.084795</x:f>
        <x:v>83.084795</x:v>
      </x:c>
      <x:c r="X372">
        <x:f>-11.989463</x:f>
        <x:v>-11.989463000000001</x:v>
      </x:c>
      <x:c r="Y372">
        <x:f>23.342841</x:f>
        <x:v>23.342841</x:v>
      </x:c>
      <x:c r="Z372">
        <x:f>15.471839</x:f>
        <x:v>15.471838999999999</x:v>
      </x:c>
      <x:c r="AA372">
        <x:f>-26.795533</x:f>
        <x:v>-26.795532999999999</x:v>
      </x:c>
      <x:c r="AB372">
        <x:f>-39.304813</x:f>
        <x:v>-39.304813000000003</x:v>
      </x:c>
      <x:c r="AC372">
        <x:f>55.930446</x:f>
        <x:v>55.930446000000003</x:v>
      </x:c>
      <x:c r="AD372">
        <x:f>-26.870306</x:f>
        <x:v>-26.870305999999999</x:v>
      </x:c>
      <x:c r="AE372">
        <x:f>-4.917549</x:f>
        <x:v>-4.9175490000000002</x:v>
      </x:c>
      <x:c r="AF372">
        <x:f>-31.742996</x:f>
        <x:v>-31.742996000000002</x:v>
      </x:c>
      <x:c r="AG372">
        <x:f>-6.508122</x:f>
        <x:v>-6.5081220000000002</x:v>
      </x:c>
    </x:row>
    <x:row r="373" spans="1:33" x14ac:dyDescent="0.25">
      <x:c r="A373" t="str">
        <x:f>"        SPDR S&amp;P Metals &amp; Mining ETF"</x:f>
        <x:v xml:space="preserve">        SPDR S&amp;P Metals &amp; Mining ETF</x:v>
      </x:c>
      <x:c r="B373" t="str">
        <x:f>"XME US Equity"</x:f>
        <x:v>XME US Equity</x:v>
      </x:c>
      <x:c r="E373" t="str">
        <x:f t="shared" si="12"/>
        <x:v>Expression</x:v>
      </x:c>
      <x:c r="F373">
        <x:f ca="1">IF(AND($B$1012=1,LEN($F$1374)&gt;0),$F$1374,HLOOKUP(INDIRECT(ADDRESS(2,COLUMN())),OFFSET($T$2,0,0,ROW()-1,14),ROW()-1,FALSE))</x:f>
        <x:v>-12.156701</x:v>
      </x:c>
      <x:c r="G373">
        <x:f ca="1">IF(AND($B$1012=1,LEN($G$1374)&gt;0),$G$1374,HLOOKUP(INDIRECT(ADDRESS(2,COLUMN())),OFFSET($T$2,0,0,ROW()-1,14),ROW()-1,FALSE))</x:f>
        <x:v>18.736370000000001</x:v>
      </x:c>
      <x:c r="H373">
        <x:f ca="1">IF(AND($B$1012=1,LEN($H$1374)&gt;0),$H$1374,HLOOKUP(INDIRECT(ADDRESS(2,COLUMN())),OFFSET($T$2,0,0,ROW()-1,14),ROW()-1,FALSE))</x:f>
        <x:v>-55.646881</x:v>
      </x:c>
      <x:c r="I373">
        <x:f ca="1">IF(AND($B$1012=1,LEN($I$1374)&gt;0),$I$1374,HLOOKUP(INDIRECT(ADDRESS(2,COLUMN())),OFFSET($T$2,0,0,ROW()-1,14),ROW()-1,FALSE))</x:f>
        <x:v>-142.93124700000001</x:v>
      </x:c>
      <x:c r="J373">
        <x:f ca="1">IF(AND($B$1012=1,LEN($J$1374)&gt;0),$J$1374,HLOOKUP(INDIRECT(ADDRESS(2,COLUMN())),OFFSET($T$2,0,0,ROW()-1,14),ROW()-1,FALSE))</x:f>
        <x:v>61.840313999999999</x:v>
      </x:c>
      <x:c r="K373">
        <x:f ca="1">IF(AND($B$1012=1,LEN($K$1374)&gt;0),$K$1374,HLOOKUP(INDIRECT(ADDRESS(2,COLUMN())),OFFSET($T$2,0,0,ROW()-1,14),ROW()-1,FALSE))</x:f>
        <x:v>8.4497970000000002</x:v>
      </x:c>
      <x:c r="L373">
        <x:f ca="1">IF(AND($B$1012=1,LEN($L$1374)&gt;0),$L$1374,HLOOKUP(INDIRECT(ADDRESS(2,COLUMN())),OFFSET($T$2,0,0,ROW()-1,14),ROW()-1,FALSE))</x:f>
        <x:v>-208.378547</x:v>
      </x:c>
      <x:c r="M373">
        <x:f ca="1">IF(AND($B$1012=1,LEN($M$1374)&gt;0),$M$1374,HLOOKUP(INDIRECT(ADDRESS(2,COLUMN())),OFFSET($T$2,0,0,ROW()-1,14),ROW()-1,FALSE))</x:f>
        <x:v>-119.66403</x:v>
      </x:c>
      <x:c r="N373">
        <x:f ca="1">IF(AND($B$1012=1,LEN($N$1374)&gt;0),$N$1374,HLOOKUP(INDIRECT(ADDRESS(2,COLUMN())),OFFSET($T$2,0,0,ROW()-1,14),ROW()-1,FALSE))</x:f>
        <x:v>-216.24477999999999</x:v>
      </x:c>
      <x:c r="O373">
        <x:f ca="1">IF(AND($B$1012=1,LEN($O$1374)&gt;0),$O$1374,HLOOKUP(INDIRECT(ADDRESS(2,COLUMN())),OFFSET($T$2,0,0,ROW()-1,14),ROW()-1,FALSE))</x:f>
        <x:v>59.634746999999997</x:v>
      </x:c>
      <x:c r="P373">
        <x:f ca="1">IF(AND($B$1012=1,LEN($P$1374)&gt;0),$P$1374,HLOOKUP(INDIRECT(ADDRESS(2,COLUMN())),OFFSET($T$2,0,0,ROW()-1,14),ROW()-1,FALSE))</x:f>
        <x:v>310.10801900000001</x:v>
      </x:c>
      <x:c r="Q373">
        <x:f ca="1">IF(AND($B$1012=1,LEN($Q$1374)&gt;0),$Q$1374,HLOOKUP(INDIRECT(ADDRESS(2,COLUMN())),OFFSET($T$2,0,0,ROW()-1,14),ROW()-1,FALSE))</x:f>
        <x:v>-63.431776999999997</x:v>
      </x:c>
      <x:c r="R373">
        <x:f ca="1">IF(AND($B$1012=1,LEN($R$1374)&gt;0),$R$1374,HLOOKUP(INDIRECT(ADDRESS(2,COLUMN())),OFFSET($T$2,0,0,ROW()-1,14),ROW()-1,FALSE))</x:f>
        <x:v>143.91008199999999</x:v>
      </x:c>
      <x:c r="S373">
        <x:f ca="1">IF(AND($B$1012=1,LEN($S$1374)&gt;0),$S$1374,HLOOKUP(INDIRECT(ADDRESS(2,COLUMN())),OFFSET($T$2,0,0,ROW()-1,14),ROW()-1,FALSE))</x:f>
        <x:v>110.581174</x:v>
      </x:c>
      <x:c r="T373">
        <x:f>-12.156701</x:f>
        <x:v>-12.156701</x:v>
      </x:c>
      <x:c r="U373">
        <x:f>18.73637</x:f>
        <x:v>18.736370000000001</x:v>
      </x:c>
      <x:c r="V373">
        <x:f>-55.646881</x:f>
        <x:v>-55.646881</x:v>
      </x:c>
      <x:c r="W373">
        <x:f>-142.931247</x:f>
        <x:v>-142.93124700000001</x:v>
      </x:c>
      <x:c r="X373">
        <x:f>61.840314</x:f>
        <x:v>61.840313999999999</x:v>
      </x:c>
      <x:c r="Y373">
        <x:f>8.449797</x:f>
        <x:v>8.4497970000000002</x:v>
      </x:c>
      <x:c r="Z373">
        <x:f>-208.378547</x:f>
        <x:v>-208.378547</x:v>
      </x:c>
      <x:c r="AA373">
        <x:f>-119.66403</x:f>
        <x:v>-119.66403</x:v>
      </x:c>
      <x:c r="AB373">
        <x:f>-216.24478</x:f>
        <x:v>-216.24477999999999</x:v>
      </x:c>
      <x:c r="AC373">
        <x:f>59.634747</x:f>
        <x:v>59.634746999999997</x:v>
      </x:c>
      <x:c r="AD373">
        <x:f>310.108019</x:f>
        <x:v>310.10801900000001</x:v>
      </x:c>
      <x:c r="AE373">
        <x:f>-63.431777</x:f>
        <x:v>-63.431776999999997</x:v>
      </x:c>
      <x:c r="AF373">
        <x:f>143.910082</x:f>
        <x:v>143.91008199999999</x:v>
      </x:c>
      <x:c r="AG373">
        <x:f>110.581174</x:f>
        <x:v>110.581174</x:v>
      </x:c>
    </x:row>
    <x:row r="374" spans="1:33" x14ac:dyDescent="0.25">
      <x:c r="A374" t="str">
        <x:f>"        Global X Silver Miners ETF"</x:f>
        <x:v xml:space="preserve">        Global X Silver Miners ETF</x:v>
      </x:c>
      <x:c r="B374" t="str">
        <x:f>"SIL US Equity"</x:f>
        <x:v>SIL US Equity</x:v>
      </x:c>
      <x:c r="E374" t="str">
        <x:f t="shared" si="12"/>
        <x:v>Expression</x:v>
      </x:c>
      <x:c r="F374">
        <x:f ca="1">IF(AND($B$1012=1,LEN($F$1375)&gt;0),$F$1375,HLOOKUP(INDIRECT(ADDRESS(2,COLUMN())),OFFSET($T$2,0,0,ROW()-1,14),ROW()-1,FALSE))</x:f>
        <x:v>0</x:v>
      </x:c>
      <x:c r="G374">
        <x:f ca="1">IF(AND($B$1012=1,LEN($G$1375)&gt;0),$G$1375,HLOOKUP(INDIRECT(ADDRESS(2,COLUMN())),OFFSET($T$2,0,0,ROW()-1,14),ROW()-1,FALSE))</x:f>
        <x:v>5.1840000000000002</x:v>
      </x:c>
      <x:c r="H374">
        <x:f ca="1">IF(AND($B$1012=1,LEN($H$1375)&gt;0),$H$1375,HLOOKUP(INDIRECT(ADDRESS(2,COLUMN())),OFFSET($T$2,0,0,ROW()-1,14),ROW()-1,FALSE))</x:f>
        <x:v>27.4664</x:v>
      </x:c>
      <x:c r="I374">
        <x:f ca="1">IF(AND($B$1012=1,LEN($I$1375)&gt;0),$I$1375,HLOOKUP(INDIRECT(ADDRESS(2,COLUMN())),OFFSET($T$2,0,0,ROW()-1,14),ROW()-1,FALSE))</x:f>
        <x:v>-7.2210000000000001</x:v>
      </x:c>
      <x:c r="J374">
        <x:f ca="1">IF(AND($B$1012=1,LEN($J$1375)&gt;0),$J$1375,HLOOKUP(INDIRECT(ADDRESS(2,COLUMN())),OFFSET($T$2,0,0,ROW()-1,14),ROW()-1,FALSE))</x:f>
        <x:v>-2.5859999999999999</x:v>
      </x:c>
      <x:c r="K374">
        <x:f ca="1">IF(AND($B$1012=1,LEN($K$1375)&gt;0),$K$1375,HLOOKUP(INDIRECT(ADDRESS(2,COLUMN())),OFFSET($T$2,0,0,ROW()-1,14),ROW()-1,FALSE))</x:f>
        <x:v>-15.0946</x:v>
      </x:c>
      <x:c r="L374">
        <x:f ca="1">IF(AND($B$1012=1,LEN($L$1375)&gt;0),$L$1375,HLOOKUP(INDIRECT(ADDRESS(2,COLUMN())),OFFSET($T$2,0,0,ROW()-1,14),ROW()-1,FALSE))</x:f>
        <x:v>3.02</x:v>
      </x:c>
      <x:c r="M374">
        <x:f ca="1">IF(AND($B$1012=1,LEN($M$1375)&gt;0),$M$1375,HLOOKUP(INDIRECT(ADDRESS(2,COLUMN())),OFFSET($T$2,0,0,ROW()-1,14),ROW()-1,FALSE))</x:f>
        <x:v>32.877299999999998</x:v>
      </x:c>
      <x:c r="N374">
        <x:f ca="1">IF(AND($B$1012=1,LEN($N$1375)&gt;0),$N$1375,HLOOKUP(INDIRECT(ADDRESS(2,COLUMN())),OFFSET($T$2,0,0,ROW()-1,14),ROW()-1,FALSE))</x:f>
        <x:v>-4.7233999999999998</x:v>
      </x:c>
      <x:c r="O374">
        <x:f ca="1">IF(AND($B$1012=1,LEN($O$1375)&gt;0),$O$1375,HLOOKUP(INDIRECT(ADDRESS(2,COLUMN())),OFFSET($T$2,0,0,ROW()-1,14),ROW()-1,FALSE))</x:f>
        <x:v>-20.186</x:v>
      </x:c>
      <x:c r="P374">
        <x:f ca="1">IF(AND($B$1012=1,LEN($P$1375)&gt;0),$P$1375,HLOOKUP(INDIRECT(ADDRESS(2,COLUMN())),OFFSET($T$2,0,0,ROW()-1,14),ROW()-1,FALSE))</x:f>
        <x:v>-7.7625000000000002</x:v>
      </x:c>
      <x:c r="Q374">
        <x:f ca="1">IF(AND($B$1012=1,LEN($Q$1375)&gt;0),$Q$1375,HLOOKUP(INDIRECT(ADDRESS(2,COLUMN())),OFFSET($T$2,0,0,ROW()-1,14),ROW()-1,FALSE))</x:f>
        <x:v>-12.671200000000001</x:v>
      </x:c>
      <x:c r="R374">
        <x:f ca="1">IF(AND($B$1012=1,LEN($R$1375)&gt;0),$R$1375,HLOOKUP(INDIRECT(ADDRESS(2,COLUMN())),OFFSET($T$2,0,0,ROW()-1,14),ROW()-1,FALSE))</x:f>
        <x:v>16.346599999999999</x:v>
      </x:c>
      <x:c r="S374">
        <x:f ca="1">IF(AND($B$1012=1,LEN($S$1375)&gt;0),$S$1375,HLOOKUP(INDIRECT(ADDRESS(2,COLUMN())),OFFSET($T$2,0,0,ROW()-1,14),ROW()-1,FALSE))</x:f>
        <x:v>-2.6779000000000002</x:v>
      </x:c>
      <x:c r="T374">
        <x:f>0</x:f>
        <x:v>0</x:v>
      </x:c>
      <x:c r="U374">
        <x:f>5.184</x:f>
        <x:v>5.1840000000000002</x:v>
      </x:c>
      <x:c r="V374">
        <x:f>27.4664</x:f>
        <x:v>27.4664</x:v>
      </x:c>
      <x:c r="W374">
        <x:f>-7.221</x:f>
        <x:v>-7.2210000000000001</x:v>
      </x:c>
      <x:c r="X374">
        <x:f>-2.586</x:f>
        <x:v>-2.5859999999999999</x:v>
      </x:c>
      <x:c r="Y374">
        <x:f>-15.0946</x:f>
        <x:v>-15.0946</x:v>
      </x:c>
      <x:c r="Z374">
        <x:f>3.02</x:f>
        <x:v>3.02</x:v>
      </x:c>
      <x:c r="AA374">
        <x:f>32.8773</x:f>
        <x:v>32.877299999999998</x:v>
      </x:c>
      <x:c r="AB374">
        <x:f>-4.7234</x:f>
        <x:v>-4.7233999999999998</x:v>
      </x:c>
      <x:c r="AC374">
        <x:f>-20.186</x:f>
        <x:v>-20.186</x:v>
      </x:c>
      <x:c r="AD374">
        <x:f>-7.7625</x:f>
        <x:v>-7.7625000000000002</x:v>
      </x:c>
      <x:c r="AE374">
        <x:f>-12.6712</x:f>
        <x:v>-12.671200000000001</x:v>
      </x:c>
      <x:c r="AF374">
        <x:f>16.3466</x:f>
        <x:v>16.346599999999999</x:v>
      </x:c>
      <x:c r="AG374">
        <x:f>-2.6779</x:f>
        <x:v>-2.6779000000000002</x:v>
      </x:c>
    </x:row>
    <x:row r="375" spans="1:33" x14ac:dyDescent="0.25">
      <x:c r="A375" t="str">
        <x:f>"        iShares MSCI Global Gold Miner"</x:f>
        <x:v xml:space="preserve">        iShares MSCI Global Gold Miner</x:v>
      </x:c>
      <x:c r="B375" t="str">
        <x:f>"RING US Equity"</x:f>
        <x:v>RING US Equity</x:v>
      </x:c>
      <x:c r="E375" t="str">
        <x:f t="shared" si="12"/>
        <x:v>Expression</x:v>
      </x:c>
      <x:c r="F375">
        <x:f ca="1">IF(AND($B$1012=1,LEN($F$1376)&gt;0),$F$1376,HLOOKUP(INDIRECT(ADDRESS(2,COLUMN())),OFFSET($T$2,0,0,ROW()-1,14),ROW()-1,FALSE))</x:f>
        <x:v>0</x:v>
      </x:c>
      <x:c r="G375">
        <x:f ca="1">IF(AND($B$1012=1,LEN($G$1376)&gt;0),$G$1376,HLOOKUP(INDIRECT(ADDRESS(2,COLUMN())),OFFSET($T$2,0,0,ROW()-1,14),ROW()-1,FALSE))</x:f>
        <x:v>4.5527670000000002</x:v>
      </x:c>
      <x:c r="H375">
        <x:f ca="1">IF(AND($B$1012=1,LEN($H$1376)&gt;0),$H$1376,HLOOKUP(INDIRECT(ADDRESS(2,COLUMN())),OFFSET($T$2,0,0,ROW()-1,14),ROW()-1,FALSE))</x:f>
        <x:v>4.261838</x:v>
      </x:c>
      <x:c r="I375">
        <x:f ca="1">IF(AND($B$1012=1,LEN($I$1376)&gt;0),$I$1376,HLOOKUP(INDIRECT(ADDRESS(2,COLUMN())),OFFSET($T$2,0,0,ROW()-1,14),ROW()-1,FALSE))</x:f>
        <x:v>0</x:v>
      </x:c>
      <x:c r="J375">
        <x:f ca="1">IF(AND($B$1012=1,LEN($J$1376)&gt;0),$J$1376,HLOOKUP(INDIRECT(ADDRESS(2,COLUMN())),OFFSET($T$2,0,0,ROW()-1,14),ROW()-1,FALSE))</x:f>
        <x:v>-7.5403349999999998</x:v>
      </x:c>
      <x:c r="K375">
        <x:f ca="1">IF(AND($B$1012=1,LEN($K$1376)&gt;0),$K$1376,HLOOKUP(INDIRECT(ADDRESS(2,COLUMN())),OFFSET($T$2,0,0,ROW()-1,14),ROW()-1,FALSE))</x:f>
        <x:v>-4.5429050000000002</x:v>
      </x:c>
      <x:c r="L375">
        <x:f ca="1">IF(AND($B$1012=1,LEN($L$1376)&gt;0),$L$1376,HLOOKUP(INDIRECT(ADDRESS(2,COLUMN())),OFFSET($T$2,0,0,ROW()-1,14),ROW()-1,FALSE))</x:f>
        <x:v>0.30743999999999999</x:v>
      </x:c>
      <x:c r="M375">
        <x:f ca="1">IF(AND($B$1012=1,LEN($M$1376)&gt;0),$M$1376,HLOOKUP(INDIRECT(ADDRESS(2,COLUMN())),OFFSET($T$2,0,0,ROW()-1,14),ROW()-1,FALSE))</x:f>
        <x:v>5.4854099999999999</x:v>
      </x:c>
      <x:c r="N375">
        <x:f ca="1">IF(AND($B$1012=1,LEN($N$1376)&gt;0),$N$1376,HLOOKUP(INDIRECT(ADDRESS(2,COLUMN())),OFFSET($T$2,0,0,ROW()-1,14),ROW()-1,FALSE))</x:f>
        <x:v>-56.310690000000001</x:v>
      </x:c>
      <x:c r="O375">
        <x:f ca="1">IF(AND($B$1012=1,LEN($O$1376)&gt;0),$O$1376,HLOOKUP(INDIRECT(ADDRESS(2,COLUMN())),OFFSET($T$2,0,0,ROW()-1,14),ROW()-1,FALSE))</x:f>
        <x:v>6.2240000000000002</x:v>
      </x:c>
      <x:c r="P375">
        <x:f ca="1">IF(AND($B$1012=1,LEN($P$1376)&gt;0),$P$1376,HLOOKUP(INDIRECT(ADDRESS(2,COLUMN())),OFFSET($T$2,0,0,ROW()-1,14),ROW()-1,FALSE))</x:f>
        <x:v>45.681710000000002</x:v>
      </x:c>
      <x:c r="Q375">
        <x:f ca="1">IF(AND($B$1012=1,LEN($Q$1376)&gt;0),$Q$1376,HLOOKUP(INDIRECT(ADDRESS(2,COLUMN())),OFFSET($T$2,0,0,ROW()-1,14),ROW()-1,FALSE))</x:f>
        <x:v>-5.6164300000000003</x:v>
      </x:c>
      <x:c r="R375">
        <x:f ca="1">IF(AND($B$1012=1,LEN($R$1376)&gt;0),$R$1376,HLOOKUP(INDIRECT(ADDRESS(2,COLUMN())),OFFSET($T$2,0,0,ROW()-1,14),ROW()-1,FALSE))</x:f>
        <x:v>-3.1283099999999999</x:v>
      </x:c>
      <x:c r="S375">
        <x:f ca="1">IF(AND($B$1012=1,LEN($S$1376)&gt;0),$S$1376,HLOOKUP(INDIRECT(ADDRESS(2,COLUMN())),OFFSET($T$2,0,0,ROW()-1,14),ROW()-1,FALSE))</x:f>
        <x:v>-23.42107</x:v>
      </x:c>
      <x:c r="T375">
        <x:f>0</x:f>
        <x:v>0</x:v>
      </x:c>
      <x:c r="U375">
        <x:f>4.552767</x:f>
        <x:v>4.5527670000000002</x:v>
      </x:c>
      <x:c r="V375">
        <x:f>4.261838</x:f>
        <x:v>4.261838</x:v>
      </x:c>
      <x:c r="W375">
        <x:f>0</x:f>
        <x:v>0</x:v>
      </x:c>
      <x:c r="X375">
        <x:f>-7.540335</x:f>
        <x:v>-7.5403349999999998</x:v>
      </x:c>
      <x:c r="Y375">
        <x:f>-4.542905</x:f>
        <x:v>-4.5429050000000002</x:v>
      </x:c>
      <x:c r="Z375">
        <x:f>0.30744</x:f>
        <x:v>0.30743999999999999</x:v>
      </x:c>
      <x:c r="AA375">
        <x:f>5.48541</x:f>
        <x:v>5.4854099999999999</x:v>
      </x:c>
      <x:c r="AB375">
        <x:f>-56.31069</x:f>
        <x:v>-56.310690000000001</x:v>
      </x:c>
      <x:c r="AC375">
        <x:f>6.224</x:f>
        <x:v>6.2240000000000002</x:v>
      </x:c>
      <x:c r="AD375">
        <x:f>45.68171</x:f>
        <x:v>45.681710000000002</x:v>
      </x:c>
      <x:c r="AE375">
        <x:f>-5.61643</x:f>
        <x:v>-5.6164300000000003</x:v>
      </x:c>
      <x:c r="AF375">
        <x:f>-3.12831</x:f>
        <x:v>-3.1283099999999999</x:v>
      </x:c>
      <x:c r="AG375">
        <x:f>-23.42107</x:f>
        <x:v>-23.42107</x:v>
      </x:c>
    </x:row>
    <x:row r="376" spans="1:33" x14ac:dyDescent="0.25">
      <x:c r="A376" t="str">
        <x:f>"        Direxion Daily Gold Miners Ind"</x:f>
        <x:v xml:space="preserve">        Direxion Daily Gold Miners Ind</x:v>
      </x:c>
      <x:c r="B376" t="str">
        <x:f>"DUST US Equity"</x:f>
        <x:v>DUST US Equity</x:v>
      </x:c>
      <x:c r="E376" t="str">
        <x:f t="shared" si="12"/>
        <x:v>Expression</x:v>
      </x:c>
      <x:c r="F376">
        <x:f ca="1">IF(AND($B$1012=1,LEN($F$1377)&gt;0),$F$1377,HLOOKUP(INDIRECT(ADDRESS(2,COLUMN())),OFFSET($T$2,0,0,ROW()-1,14),ROW()-1,FALSE))</x:f>
        <x:v>-59.117476000000003</x:v>
      </x:c>
      <x:c r="G376">
        <x:f ca="1">IF(AND($B$1012=1,LEN($G$1377)&gt;0),$G$1377,HLOOKUP(INDIRECT(ADDRESS(2,COLUMN())),OFFSET($T$2,0,0,ROW()-1,14),ROW()-1,FALSE))</x:f>
        <x:v>72.891988999999995</x:v>
      </x:c>
      <x:c r="H376">
        <x:f ca="1">IF(AND($B$1012=1,LEN($H$1377)&gt;0),$H$1377,HLOOKUP(INDIRECT(ADDRESS(2,COLUMN())),OFFSET($T$2,0,0,ROW()-1,14),ROW()-1,FALSE))</x:f>
        <x:v>-25.425919</x:v>
      </x:c>
      <x:c r="I376">
        <x:f ca="1">IF(AND($B$1012=1,LEN($I$1377)&gt;0),$I$1377,HLOOKUP(INDIRECT(ADDRESS(2,COLUMN())),OFFSET($T$2,0,0,ROW()-1,14),ROW()-1,FALSE))</x:f>
        <x:v>-60.037047000000001</x:v>
      </x:c>
      <x:c r="J376">
        <x:f ca="1">IF(AND($B$1012=1,LEN($J$1377)&gt;0),$J$1377,HLOOKUP(INDIRECT(ADDRESS(2,COLUMN())),OFFSET($T$2,0,0,ROW()-1,14),ROW()-1,FALSE))</x:f>
        <x:v>12.639514999999999</x:v>
      </x:c>
      <x:c r="K376">
        <x:f ca="1">IF(AND($B$1012=1,LEN($K$1377)&gt;0),$K$1377,HLOOKUP(INDIRECT(ADDRESS(2,COLUMN())),OFFSET($T$2,0,0,ROW()-1,14),ROW()-1,FALSE))</x:f>
        <x:v>2.9926020000000002</x:v>
      </x:c>
      <x:c r="L376">
        <x:f ca="1">IF(AND($B$1012=1,LEN($L$1377)&gt;0),$L$1377,HLOOKUP(INDIRECT(ADDRESS(2,COLUMN())),OFFSET($T$2,0,0,ROW()-1,14),ROW()-1,FALSE))</x:f>
        <x:v>-22.082329000000001</x:v>
      </x:c>
      <x:c r="M376">
        <x:f ca="1">IF(AND($B$1012=1,LEN($M$1377)&gt;0),$M$1377,HLOOKUP(INDIRECT(ADDRESS(2,COLUMN())),OFFSET($T$2,0,0,ROW()-1,14),ROW()-1,FALSE))</x:f>
        <x:v>39.036090000000002</x:v>
      </x:c>
      <x:c r="N376">
        <x:f ca="1">IF(AND($B$1012=1,LEN($N$1377)&gt;0),$N$1377,HLOOKUP(INDIRECT(ADDRESS(2,COLUMN())),OFFSET($T$2,0,0,ROW()-1,14),ROW()-1,FALSE))</x:f>
        <x:v>37.475530999999997</x:v>
      </x:c>
      <x:c r="O376">
        <x:f ca="1">IF(AND($B$1012=1,LEN($O$1377)&gt;0),$O$1377,HLOOKUP(INDIRECT(ADDRESS(2,COLUMN())),OFFSET($T$2,0,0,ROW()-1,14),ROW()-1,FALSE))</x:f>
        <x:v>-64.315673000000004</x:v>
      </x:c>
      <x:c r="P376">
        <x:f ca="1">IF(AND($B$1012=1,LEN($P$1377)&gt;0),$P$1377,HLOOKUP(INDIRECT(ADDRESS(2,COLUMN())),OFFSET($T$2,0,0,ROW()-1,14),ROW()-1,FALSE))</x:f>
        <x:v>53.742939999999997</x:v>
      </x:c>
      <x:c r="Q376">
        <x:f ca="1">IF(AND($B$1012=1,LEN($Q$1377)&gt;0),$Q$1377,HLOOKUP(INDIRECT(ADDRESS(2,COLUMN())),OFFSET($T$2,0,0,ROW()-1,14),ROW()-1,FALSE))</x:f>
        <x:v>18.540172999999999</x:v>
      </x:c>
      <x:c r="R376">
        <x:f ca="1">IF(AND($B$1012=1,LEN($R$1377)&gt;0),$R$1377,HLOOKUP(INDIRECT(ADDRESS(2,COLUMN())),OFFSET($T$2,0,0,ROW()-1,14),ROW()-1,FALSE))</x:f>
        <x:v>25.545093000000001</x:v>
      </x:c>
      <x:c r="S376">
        <x:f ca="1">IF(AND($B$1012=1,LEN($S$1377)&gt;0),$S$1377,HLOOKUP(INDIRECT(ADDRESS(2,COLUMN())),OFFSET($T$2,0,0,ROW()-1,14),ROW()-1,FALSE))</x:f>
        <x:v>-2.0583830000000001</x:v>
      </x:c>
      <x:c r="T376">
        <x:f>-59.117476</x:f>
        <x:v>-59.117476000000003</x:v>
      </x:c>
      <x:c r="U376">
        <x:f>72.891989</x:f>
        <x:v>72.891988999999995</x:v>
      </x:c>
      <x:c r="V376">
        <x:f>-25.425919</x:f>
        <x:v>-25.425919</x:v>
      </x:c>
      <x:c r="W376">
        <x:f>-60.037047</x:f>
        <x:v>-60.037047000000001</x:v>
      </x:c>
      <x:c r="X376">
        <x:f>12.639515</x:f>
        <x:v>12.639514999999999</x:v>
      </x:c>
      <x:c r="Y376">
        <x:f>2.992602</x:f>
        <x:v>2.9926020000000002</x:v>
      </x:c>
      <x:c r="Z376">
        <x:f>-22.082329</x:f>
        <x:v>-22.082329000000001</x:v>
      </x:c>
      <x:c r="AA376">
        <x:f>39.03609</x:f>
        <x:v>39.036090000000002</x:v>
      </x:c>
      <x:c r="AB376">
        <x:f>37.475531</x:f>
        <x:v>37.475530999999997</x:v>
      </x:c>
      <x:c r="AC376">
        <x:f>-64.315673</x:f>
        <x:v>-64.315673000000004</x:v>
      </x:c>
      <x:c r="AD376">
        <x:f>53.74294</x:f>
        <x:v>53.742939999999997</x:v>
      </x:c>
      <x:c r="AE376">
        <x:f>18.540173</x:f>
        <x:v>18.540172999999999</x:v>
      </x:c>
      <x:c r="AF376">
        <x:f>25.545093</x:f>
        <x:v>25.545093000000001</x:v>
      </x:c>
      <x:c r="AG376">
        <x:f>-2.058383</x:f>
        <x:v>-2.0583830000000001</x:v>
      </x:c>
    </x:row>
    <x:row r="377" spans="1:33" x14ac:dyDescent="0.25">
      <x:c r="A377" t="str">
        <x:f>"        First Trust Materials AlphaDEX"</x:f>
        <x:v xml:space="preserve">        First Trust Materials AlphaDEX</x:v>
      </x:c>
      <x:c r="B377" t="str">
        <x:f>"FXZ US Equity"</x:f>
        <x:v>FXZ US Equity</x:v>
      </x:c>
      <x:c r="E377" t="str">
        <x:f t="shared" si="12"/>
        <x:v>Expression</x:v>
      </x:c>
      <x:c r="F377">
        <x:f ca="1">IF(AND($B$1012=1,LEN($F$1378)&gt;0),$F$1378,HLOOKUP(INDIRECT(ADDRESS(2,COLUMN())),OFFSET($T$2,0,0,ROW()-1,14),ROW()-1,FALSE))</x:f>
        <x:v>-30.734355999999998</x:v>
      </x:c>
      <x:c r="G377">
        <x:f ca="1">IF(AND($B$1012=1,LEN($G$1378)&gt;0),$G$1378,HLOOKUP(INDIRECT(ADDRESS(2,COLUMN())),OFFSET($T$2,0,0,ROW()-1,14),ROW()-1,FALSE))</x:f>
        <x:v>-27.409547</x:v>
      </x:c>
      <x:c r="H377">
        <x:f ca="1">IF(AND($B$1012=1,LEN($H$1378)&gt;0),$H$1378,HLOOKUP(INDIRECT(ADDRESS(2,COLUMN())),OFFSET($T$2,0,0,ROW()-1,14),ROW()-1,FALSE))</x:f>
        <x:v>-9.1891280000000002</x:v>
      </x:c>
      <x:c r="I377">
        <x:f ca="1">IF(AND($B$1012=1,LEN($I$1378)&gt;0),$I$1378,HLOOKUP(INDIRECT(ADDRESS(2,COLUMN())),OFFSET($T$2,0,0,ROW()-1,14),ROW()-1,FALSE))</x:f>
        <x:v>-26.302683999999999</x:v>
      </x:c>
      <x:c r="J377">
        <x:f ca="1">IF(AND($B$1012=1,LEN($J$1378)&gt;0),$J$1378,HLOOKUP(INDIRECT(ADDRESS(2,COLUMN())),OFFSET($T$2,0,0,ROW()-1,14),ROW()-1,FALSE))</x:f>
        <x:v>-39.274500000000003</x:v>
      </x:c>
      <x:c r="K377">
        <x:f ca="1">IF(AND($B$1012=1,LEN($K$1378)&gt;0),$K$1378,HLOOKUP(INDIRECT(ADDRESS(2,COLUMN())),OFFSET($T$2,0,0,ROW()-1,14),ROW()-1,FALSE))</x:f>
        <x:v>-912.99649999999997</x:v>
      </x:c>
      <x:c r="L377">
        <x:f ca="1">IF(AND($B$1012=1,LEN($L$1378)&gt;0),$L$1378,HLOOKUP(INDIRECT(ADDRESS(2,COLUMN())),OFFSET($T$2,0,0,ROW()-1,14),ROW()-1,FALSE))</x:f>
        <x:v>-131.17599999999999</x:v>
      </x:c>
      <x:c r="M377">
        <x:f ca="1">IF(AND($B$1012=1,LEN($M$1378)&gt;0),$M$1378,HLOOKUP(INDIRECT(ADDRESS(2,COLUMN())),OFFSET($T$2,0,0,ROW()-1,14),ROW()-1,FALSE))</x:f>
        <x:v>-23.025500000000001</x:v>
      </x:c>
      <x:c r="N377">
        <x:f ca="1">IF(AND($B$1012=1,LEN($N$1378)&gt;0),$N$1378,HLOOKUP(INDIRECT(ADDRESS(2,COLUMN())),OFFSET($T$2,0,0,ROW()-1,14),ROW()-1,FALSE))</x:f>
        <x:v>-3.9864999999999999</x:v>
      </x:c>
      <x:c r="O377">
        <x:f ca="1">IF(AND($B$1012=1,LEN($O$1378)&gt;0),$O$1378,HLOOKUP(INDIRECT(ADDRESS(2,COLUMN())),OFFSET($T$2,0,0,ROW()-1,14),ROW()-1,FALSE))</x:f>
        <x:v>203.464</x:v>
      </x:c>
      <x:c r="P377">
        <x:f ca="1">IF(AND($B$1012=1,LEN($P$1378)&gt;0),$P$1378,HLOOKUP(INDIRECT(ADDRESS(2,COLUMN())),OFFSET($T$2,0,0,ROW()-1,14),ROW()-1,FALSE))</x:f>
        <x:v>34.337499999999999</x:v>
      </x:c>
      <x:c r="Q377">
        <x:f ca="1">IF(AND($B$1012=1,LEN($Q$1378)&gt;0),$Q$1378,HLOOKUP(INDIRECT(ADDRESS(2,COLUMN())),OFFSET($T$2,0,0,ROW()-1,14),ROW()-1,FALSE))</x:f>
        <x:v>-2.84701</x:v>
      </x:c>
      <x:c r="R377">
        <x:f ca="1">IF(AND($B$1012=1,LEN($R$1378)&gt;0),$R$1378,HLOOKUP(INDIRECT(ADDRESS(2,COLUMN())),OFFSET($T$2,0,0,ROW()-1,14),ROW()-1,FALSE))</x:f>
        <x:v>15.17268</x:v>
      </x:c>
      <x:c r="S377">
        <x:f ca="1">IF(AND($B$1012=1,LEN($S$1378)&gt;0),$S$1378,HLOOKUP(INDIRECT(ADDRESS(2,COLUMN())),OFFSET($T$2,0,0,ROW()-1,14),ROW()-1,FALSE))</x:f>
        <x:v>-55.276766000000002</x:v>
      </x:c>
      <x:c r="T377">
        <x:f>-30.734356</x:f>
        <x:v>-30.734355999999998</x:v>
      </x:c>
      <x:c r="U377">
        <x:f>-27.409547</x:f>
        <x:v>-27.409547</x:v>
      </x:c>
      <x:c r="V377">
        <x:f>-9.189128</x:f>
        <x:v>-9.1891280000000002</x:v>
      </x:c>
      <x:c r="W377">
        <x:f>-26.302684</x:f>
        <x:v>-26.302683999999999</x:v>
      </x:c>
      <x:c r="X377">
        <x:f>-39.2745</x:f>
        <x:v>-39.274500000000003</x:v>
      </x:c>
      <x:c r="Y377">
        <x:f>-912.9965</x:f>
        <x:v>-912.99649999999997</x:v>
      </x:c>
      <x:c r="Z377">
        <x:f>-131.176</x:f>
        <x:v>-131.17599999999999</x:v>
      </x:c>
      <x:c r="AA377">
        <x:f>-23.0255</x:f>
        <x:v>-23.025500000000001</x:v>
      </x:c>
      <x:c r="AB377">
        <x:f>-3.9865</x:f>
        <x:v>-3.9864999999999999</x:v>
      </x:c>
      <x:c r="AC377">
        <x:f>203.464</x:f>
        <x:v>203.464</x:v>
      </x:c>
      <x:c r="AD377">
        <x:f>34.3375</x:f>
        <x:v>34.337499999999999</x:v>
      </x:c>
      <x:c r="AE377">
        <x:f>-2.84701</x:f>
        <x:v>-2.84701</x:v>
      </x:c>
      <x:c r="AF377">
        <x:f>15.17268</x:f>
        <x:v>15.17268</x:v>
      </x:c>
      <x:c r="AG377">
        <x:f>-55.276766</x:f>
        <x:v>-55.276766000000002</x:v>
      </x:c>
    </x:row>
    <x:row r="378" spans="1:33" x14ac:dyDescent="0.25">
      <x:c r="A378" t="str">
        <x:f>"        iShares MSCI Global Metals &amp; M"</x:f>
        <x:v xml:space="preserve">        iShares MSCI Global Metals &amp; M</x:v>
      </x:c>
      <x:c r="B378" t="str">
        <x:f>"PICK US Equity"</x:f>
        <x:v>PICK US Equity</x:v>
      </x:c>
      <x:c r="E378" t="str">
        <x:f t="shared" si="12"/>
        <x:v>Expression</x:v>
      </x:c>
      <x:c r="F378">
        <x:f ca="1">IF(AND($B$1012=1,LEN($F$1379)&gt;0),$F$1379,HLOOKUP(INDIRECT(ADDRESS(2,COLUMN())),OFFSET($T$2,0,0,ROW()-1,14),ROW()-1,FALSE))</x:f>
        <x:v>-30.329311000000001</x:v>
      </x:c>
      <x:c r="G378">
        <x:f ca="1">IF(AND($B$1012=1,LEN($G$1379)&gt;0),$G$1379,HLOOKUP(INDIRECT(ADDRESS(2,COLUMN())),OFFSET($T$2,0,0,ROW()-1,14),ROW()-1,FALSE))</x:f>
        <x:v>-57.624012</x:v>
      </x:c>
      <x:c r="H378">
        <x:f ca="1">IF(AND($B$1012=1,LEN($H$1379)&gt;0),$H$1379,HLOOKUP(INDIRECT(ADDRESS(2,COLUMN())),OFFSET($T$2,0,0,ROW()-1,14),ROW()-1,FALSE))</x:f>
        <x:v>-81.903926999999996</x:v>
      </x:c>
      <x:c r="I378">
        <x:f ca="1">IF(AND($B$1012=1,LEN($I$1379)&gt;0),$I$1379,HLOOKUP(INDIRECT(ADDRESS(2,COLUMN())),OFFSET($T$2,0,0,ROW()-1,14),ROW()-1,FALSE))</x:f>
        <x:v>-67.933570000000003</x:v>
      </x:c>
      <x:c r="J378">
        <x:f ca="1">IF(AND($B$1012=1,LEN($J$1379)&gt;0),$J$1379,HLOOKUP(INDIRECT(ADDRESS(2,COLUMN())),OFFSET($T$2,0,0,ROW()-1,14),ROW()-1,FALSE))</x:f>
        <x:v>27.668305</x:v>
      </x:c>
      <x:c r="K378">
        <x:f ca="1">IF(AND($B$1012=1,LEN($K$1379)&gt;0),$K$1379,HLOOKUP(INDIRECT(ADDRESS(2,COLUMN())),OFFSET($T$2,0,0,ROW()-1,14),ROW()-1,FALSE))</x:f>
        <x:v>146.36716000000001</x:v>
      </x:c>
      <x:c r="L378">
        <x:f ca="1">IF(AND($B$1012=1,LEN($L$1379)&gt;0),$L$1379,HLOOKUP(INDIRECT(ADDRESS(2,COLUMN())),OFFSET($T$2,0,0,ROW()-1,14),ROW()-1,FALSE))</x:f>
        <x:v>-103.55226999999999</x:v>
      </x:c>
      <x:c r="M378">
        <x:f ca="1">IF(AND($B$1012=1,LEN($M$1379)&gt;0),$M$1379,HLOOKUP(INDIRECT(ADDRESS(2,COLUMN())),OFFSET($T$2,0,0,ROW()-1,14),ROW()-1,FALSE))</x:f>
        <x:v>-69.829470000000001</x:v>
      </x:c>
      <x:c r="N378">
        <x:f ca="1">IF(AND($B$1012=1,LEN($N$1379)&gt;0),$N$1379,HLOOKUP(INDIRECT(ADDRESS(2,COLUMN())),OFFSET($T$2,0,0,ROW()-1,14),ROW()-1,FALSE))</x:f>
        <x:v>82.405299999999997</x:v>
      </x:c>
      <x:c r="O378">
        <x:f ca="1">IF(AND($B$1012=1,LEN($O$1379)&gt;0),$O$1379,HLOOKUP(INDIRECT(ADDRESS(2,COLUMN())),OFFSET($T$2,0,0,ROW()-1,14),ROW()-1,FALSE))</x:f>
        <x:v>13.897919999999999</x:v>
      </x:c>
      <x:c r="P378">
        <x:f ca="1">IF(AND($B$1012=1,LEN($P$1379)&gt;0),$P$1379,HLOOKUP(INDIRECT(ADDRESS(2,COLUMN())),OFFSET($T$2,0,0,ROW()-1,14),ROW()-1,FALSE))</x:f>
        <x:v>107.45663500000001</x:v>
      </x:c>
      <x:c r="Q378">
        <x:f ca="1">IF(AND($B$1012=1,LEN($Q$1379)&gt;0),$Q$1379,HLOOKUP(INDIRECT(ADDRESS(2,COLUMN())),OFFSET($T$2,0,0,ROW()-1,14),ROW()-1,FALSE))</x:f>
        <x:v>-2.45547</x:v>
      </x:c>
      <x:c r="R378">
        <x:f ca="1">IF(AND($B$1012=1,LEN($R$1379)&gt;0),$R$1379,HLOOKUP(INDIRECT(ADDRESS(2,COLUMN())),OFFSET($T$2,0,0,ROW()-1,14),ROW()-1,FALSE))</x:f>
        <x:v>0</x:v>
      </x:c>
      <x:c r="S378">
        <x:f ca="1">IF(AND($B$1012=1,LEN($S$1379)&gt;0),$S$1379,HLOOKUP(INDIRECT(ADDRESS(2,COLUMN())),OFFSET($T$2,0,0,ROW()-1,14),ROW()-1,FALSE))</x:f>
        <x:v>0</x:v>
      </x:c>
      <x:c r="T378">
        <x:f>-30.329311</x:f>
        <x:v>-30.329311000000001</x:v>
      </x:c>
      <x:c r="U378">
        <x:f>-57.624012</x:f>
        <x:v>-57.624012</x:v>
      </x:c>
      <x:c r="V378">
        <x:f>-81.903927</x:f>
        <x:v>-81.903926999999996</x:v>
      </x:c>
      <x:c r="W378">
        <x:f>-67.93357</x:f>
        <x:v>-67.933570000000003</x:v>
      </x:c>
      <x:c r="X378">
        <x:f>27.668305</x:f>
        <x:v>27.668305</x:v>
      </x:c>
      <x:c r="Y378">
        <x:f>146.36716</x:f>
        <x:v>146.36716000000001</x:v>
      </x:c>
      <x:c r="Z378">
        <x:f>-103.55227</x:f>
        <x:v>-103.55226999999999</x:v>
      </x:c>
      <x:c r="AA378">
        <x:f>-69.82947</x:f>
        <x:v>-69.829470000000001</x:v>
      </x:c>
      <x:c r="AB378">
        <x:f>82.4053</x:f>
        <x:v>82.405299999999997</x:v>
      </x:c>
      <x:c r="AC378">
        <x:f>13.89792</x:f>
        <x:v>13.897919999999999</x:v>
      </x:c>
      <x:c r="AD378">
        <x:f>107.456635</x:f>
        <x:v>107.45663500000001</x:v>
      </x:c>
      <x:c r="AE378">
        <x:f>-2.45547</x:f>
        <x:v>-2.45547</x:v>
      </x:c>
      <x:c r="AF378">
        <x:f>0</x:f>
        <x:v>0</x:v>
      </x:c>
      <x:c r="AG378">
        <x:f>0</x:f>
        <x:v>0</x:v>
      </x:c>
    </x:row>
    <x:row r="379" spans="1:33" x14ac:dyDescent="0.25">
      <x:c r="A379" t="str">
        <x:f>"        iShares Global Materials ETF"</x:f>
        <x:v xml:space="preserve">        iShares Global Materials ETF</x:v>
      </x:c>
      <x:c r="B379" t="str">
        <x:f>"MXI US Equity"</x:f>
        <x:v>MXI US Equity</x:v>
      </x:c>
      <x:c r="E379" t="str">
        <x:f t="shared" si="12"/>
        <x:v>Expression</x:v>
      </x:c>
      <x:c r="F379">
        <x:f ca="1">IF(AND($B$1012=1,LEN($F$1380)&gt;0),$F$1380,HLOOKUP(INDIRECT(ADDRESS(2,COLUMN())),OFFSET($T$2,0,0,ROW()-1,14),ROW()-1,FALSE))</x:f>
        <x:v>-4.0522299999999998</x:v>
      </x:c>
      <x:c r="G379">
        <x:f ca="1">IF(AND($B$1012=1,LEN($G$1380)&gt;0),$G$1380,HLOOKUP(INDIRECT(ADDRESS(2,COLUMN())),OFFSET($T$2,0,0,ROW()-1,14),ROW()-1,FALSE))</x:f>
        <x:v>0</x:v>
      </x:c>
      <x:c r="H379">
        <x:f ca="1">IF(AND($B$1012=1,LEN($H$1380)&gt;0),$H$1380,HLOOKUP(INDIRECT(ADDRESS(2,COLUMN())),OFFSET($T$2,0,0,ROW()-1,14),ROW()-1,FALSE))</x:f>
        <x:v>-15.870684000000001</x:v>
      </x:c>
      <x:c r="I379">
        <x:f ca="1">IF(AND($B$1012=1,LEN($I$1380)&gt;0),$I$1380,HLOOKUP(INDIRECT(ADDRESS(2,COLUMN())),OFFSET($T$2,0,0,ROW()-1,14),ROW()-1,FALSE))</x:f>
        <x:v>-4.0945600000000004</x:v>
      </x:c>
      <x:c r="J379">
        <x:f ca="1">IF(AND($B$1012=1,LEN($J$1380)&gt;0),$J$1380,HLOOKUP(INDIRECT(ADDRESS(2,COLUMN())),OFFSET($T$2,0,0,ROW()-1,14),ROW()-1,FALSE))</x:f>
        <x:v>-21.22691</x:v>
      </x:c>
      <x:c r="K379">
        <x:f ca="1">IF(AND($B$1012=1,LEN($K$1380)&gt;0),$K$1380,HLOOKUP(INDIRECT(ADDRESS(2,COLUMN())),OFFSET($T$2,0,0,ROW()-1,14),ROW()-1,FALSE))</x:f>
        <x:v>-20.17239</x:v>
      </x:c>
      <x:c r="L379">
        <x:f ca="1">IF(AND($B$1012=1,LEN($L$1380)&gt;0),$L$1380,HLOOKUP(INDIRECT(ADDRESS(2,COLUMN())),OFFSET($T$2,0,0,ROW()-1,14),ROW()-1,FALSE))</x:f>
        <x:v>-8.1406749999999999</x:v>
      </x:c>
      <x:c r="M379">
        <x:f ca="1">IF(AND($B$1012=1,LEN($M$1380)&gt;0),$M$1380,HLOOKUP(INDIRECT(ADDRESS(2,COLUMN())),OFFSET($T$2,0,0,ROW()-1,14),ROW()-1,FALSE))</x:f>
        <x:v>-12.615245</x:v>
      </x:c>
      <x:c r="N379">
        <x:f ca="1">IF(AND($B$1012=1,LEN($N$1380)&gt;0),$N$1380,HLOOKUP(INDIRECT(ADDRESS(2,COLUMN())),OFFSET($T$2,0,0,ROW()-1,14),ROW()-1,FALSE))</x:f>
        <x:v>8.1946329999999996</x:v>
      </x:c>
      <x:c r="O379">
        <x:f ca="1">IF(AND($B$1012=1,LEN($O$1380)&gt;0),$O$1380,HLOOKUP(INDIRECT(ADDRESS(2,COLUMN())),OFFSET($T$2,0,0,ROW()-1,14),ROW()-1,FALSE))</x:f>
        <x:v>12.570615</x:v>
      </x:c>
      <x:c r="P379">
        <x:f ca="1">IF(AND($B$1012=1,LEN($P$1380)&gt;0),$P$1380,HLOOKUP(INDIRECT(ADDRESS(2,COLUMN())),OFFSET($T$2,0,0,ROW()-1,14),ROW()-1,FALSE))</x:f>
        <x:v>17.320194999999998</x:v>
      </x:c>
      <x:c r="Q379">
        <x:f ca="1">IF(AND($B$1012=1,LEN($Q$1380)&gt;0),$Q$1380,HLOOKUP(INDIRECT(ADDRESS(2,COLUMN())),OFFSET($T$2,0,0,ROW()-1,14),ROW()-1,FALSE))</x:f>
        <x:v>12.01972</x:v>
      </x:c>
      <x:c r="R379">
        <x:f ca="1">IF(AND($B$1012=1,LEN($R$1380)&gt;0),$R$1380,HLOOKUP(INDIRECT(ADDRESS(2,COLUMN())),OFFSET($T$2,0,0,ROW()-1,14),ROW()-1,FALSE))</x:f>
        <x:v>-4.1629449999999997</x:v>
      </x:c>
      <x:c r="S379">
        <x:f ca="1">IF(AND($B$1012=1,LEN($S$1380)&gt;0),$S$1380,HLOOKUP(INDIRECT(ADDRESS(2,COLUMN())),OFFSET($T$2,0,0,ROW()-1,14),ROW()-1,FALSE))</x:f>
        <x:v>-14.169635</x:v>
      </x:c>
      <x:c r="T379">
        <x:f>-4.05223</x:f>
        <x:v>-4.0522299999999998</x:v>
      </x:c>
      <x:c r="U379">
        <x:f>0</x:f>
        <x:v>0</x:v>
      </x:c>
      <x:c r="V379">
        <x:f>-15.870684</x:f>
        <x:v>-15.870684000000001</x:v>
      </x:c>
      <x:c r="W379">
        <x:f>-4.09456</x:f>
        <x:v>-4.0945600000000004</x:v>
      </x:c>
      <x:c r="X379">
        <x:f>-21.22691</x:f>
        <x:v>-21.22691</x:v>
      </x:c>
      <x:c r="Y379">
        <x:f>-20.17239</x:f>
        <x:v>-20.17239</x:v>
      </x:c>
      <x:c r="Z379">
        <x:f>-8.140675</x:f>
        <x:v>-8.1406749999999999</x:v>
      </x:c>
      <x:c r="AA379">
        <x:f>-12.615245</x:f>
        <x:v>-12.615245</x:v>
      </x:c>
      <x:c r="AB379">
        <x:f>8.194633</x:f>
        <x:v>8.1946329999999996</x:v>
      </x:c>
      <x:c r="AC379">
        <x:f>12.570615</x:f>
        <x:v>12.570615</x:v>
      </x:c>
      <x:c r="AD379">
        <x:f>17.320195</x:f>
        <x:v>17.320194999999998</x:v>
      </x:c>
      <x:c r="AE379">
        <x:f>12.01972</x:f>
        <x:v>12.01972</x:v>
      </x:c>
      <x:c r="AF379">
        <x:f>-4.162945</x:f>
        <x:v>-4.1629449999999997</x:v>
      </x:c>
      <x:c r="AG379">
        <x:f>-14.169635</x:f>
        <x:v>-14.169635</x:v>
      </x:c>
    </x:row>
    <x:row r="380" spans="1:33" x14ac:dyDescent="0.25">
      <x:c r="A380" t="str">
        <x:f>"        Fidelity MSCI Materials Index"</x:f>
        <x:v xml:space="preserve">        Fidelity MSCI Materials Index</x:v>
      </x:c>
      <x:c r="B380" t="str">
        <x:f>"FMAT US Equity"</x:f>
        <x:v>FMAT US Equity</x:v>
      </x:c>
      <x:c r="E380" t="str">
        <x:f t="shared" si="12"/>
        <x:v>Expression</x:v>
      </x:c>
      <x:c r="F380">
        <x:f ca="1">IF(AND($B$1012=1,LEN($F$1381)&gt;0),$F$1381,HLOOKUP(INDIRECT(ADDRESS(2,COLUMN())),OFFSET($T$2,0,0,ROW()-1,14),ROW()-1,FALSE))</x:f>
        <x:v>-4.4687950000000001</x:v>
      </x:c>
      <x:c r="G380">
        <x:f ca="1">IF(AND($B$1012=1,LEN($G$1381)&gt;0),$G$1381,HLOOKUP(INDIRECT(ADDRESS(2,COLUMN())),OFFSET($T$2,0,0,ROW()-1,14),ROW()-1,FALSE))</x:f>
        <x:v>-8.7080199999999994</x:v>
      </x:c>
      <x:c r="H380">
        <x:f ca="1">IF(AND($B$1012=1,LEN($H$1381)&gt;0),$H$1381,HLOOKUP(INDIRECT(ADDRESS(2,COLUMN())),OFFSET($T$2,0,0,ROW()-1,14),ROW()-1,FALSE))</x:f>
        <x:v>2.2774800000000002</x:v>
      </x:c>
      <x:c r="I380">
        <x:f ca="1">IF(AND($B$1012=1,LEN($I$1381)&gt;0),$I$1381,HLOOKUP(INDIRECT(ADDRESS(2,COLUMN())),OFFSET($T$2,0,0,ROW()-1,14),ROW()-1,FALSE))</x:f>
        <x:v>4.6656750000000002</x:v>
      </x:c>
      <x:c r="J380">
        <x:f ca="1">IF(AND($B$1012=1,LEN($J$1381)&gt;0),$J$1381,HLOOKUP(INDIRECT(ADDRESS(2,COLUMN())),OFFSET($T$2,0,0,ROW()-1,14),ROW()-1,FALSE))</x:f>
        <x:v>4.6080699999999997</x:v>
      </x:c>
      <x:c r="K380">
        <x:f ca="1">IF(AND($B$1012=1,LEN($K$1381)&gt;0),$K$1381,HLOOKUP(INDIRECT(ADDRESS(2,COLUMN())),OFFSET($T$2,0,0,ROW()-1,14),ROW()-1,FALSE))</x:f>
        <x:v>2.2940700000000001</x:v>
      </x:c>
      <x:c r="L380">
        <x:f ca="1">IF(AND($B$1012=1,LEN($L$1381)&gt;0),$L$1381,HLOOKUP(INDIRECT(ADDRESS(2,COLUMN())),OFFSET($T$2,0,0,ROW()-1,14),ROW()-1,FALSE))</x:f>
        <x:v>-32.759639999999997</x:v>
      </x:c>
      <x:c r="M380">
        <x:f ca="1">IF(AND($B$1012=1,LEN($M$1381)&gt;0),$M$1381,HLOOKUP(INDIRECT(ADDRESS(2,COLUMN())),OFFSET($T$2,0,0,ROW()-1,14),ROW()-1,FALSE))</x:f>
        <x:v>9.0211450000000006</x:v>
      </x:c>
      <x:c r="N380">
        <x:f ca="1">IF(AND($B$1012=1,LEN($N$1381)&gt;0),$N$1381,HLOOKUP(INDIRECT(ADDRESS(2,COLUMN())),OFFSET($T$2,0,0,ROW()-1,14),ROW()-1,FALSE))</x:f>
        <x:v>27.035170000000001</x:v>
      </x:c>
      <x:c r="O380">
        <x:f ca="1">IF(AND($B$1012=1,LEN($O$1381)&gt;0),$O$1381,HLOOKUP(INDIRECT(ADDRESS(2,COLUMN())),OFFSET($T$2,0,0,ROW()-1,14),ROW()-1,FALSE))</x:f>
        <x:v>-2.34544</x:v>
      </x:c>
      <x:c r="P380">
        <x:f ca="1">IF(AND($B$1012=1,LEN($P$1381)&gt;0),$P$1381,HLOOKUP(INDIRECT(ADDRESS(2,COLUMN())),OFFSET($T$2,0,0,ROW()-1,14),ROW()-1,FALSE))</x:f>
        <x:v>0</x:v>
      </x:c>
      <x:c r="Q380">
        <x:f ca="1">IF(AND($B$1012=1,LEN($Q$1381)&gt;0),$Q$1381,HLOOKUP(INDIRECT(ADDRESS(2,COLUMN())),OFFSET($T$2,0,0,ROW()-1,14),ROW()-1,FALSE))</x:f>
        <x:v>4.7652349999999997</x:v>
      </x:c>
      <x:c r="R380">
        <x:f ca="1">IF(AND($B$1012=1,LEN($R$1381)&gt;0),$R$1381,HLOOKUP(INDIRECT(ADDRESS(2,COLUMN())),OFFSET($T$2,0,0,ROW()-1,14),ROW()-1,FALSE))</x:f>
        <x:v>-8.7266700000000004</x:v>
      </x:c>
      <x:c r="S380">
        <x:f ca="1">IF(AND($B$1012=1,LEN($S$1381)&gt;0),$S$1381,HLOOKUP(INDIRECT(ADDRESS(2,COLUMN())),OFFSET($T$2,0,0,ROW()-1,14),ROW()-1,FALSE))</x:f>
        <x:v>-11.855365000000001</x:v>
      </x:c>
      <x:c r="T380">
        <x:f>-4.468795</x:f>
        <x:v>-4.4687950000000001</x:v>
      </x:c>
      <x:c r="U380">
        <x:f>-8.70802</x:f>
        <x:v>-8.7080199999999994</x:v>
      </x:c>
      <x:c r="V380">
        <x:f>2.27748</x:f>
        <x:v>2.2774800000000002</x:v>
      </x:c>
      <x:c r="W380">
        <x:f>4.665675</x:f>
        <x:v>4.6656750000000002</x:v>
      </x:c>
      <x:c r="X380">
        <x:f>4.60807</x:f>
        <x:v>4.6080699999999997</x:v>
      </x:c>
      <x:c r="Y380">
        <x:f>2.29407</x:f>
        <x:v>2.2940700000000001</x:v>
      </x:c>
      <x:c r="Z380">
        <x:f>-32.75964</x:f>
        <x:v>-32.759639999999997</x:v>
      </x:c>
      <x:c r="AA380">
        <x:f>9.021145</x:f>
        <x:v>9.0211450000000006</x:v>
      </x:c>
      <x:c r="AB380">
        <x:f>27.03517</x:f>
        <x:v>27.035170000000001</x:v>
      </x:c>
      <x:c r="AC380">
        <x:f>-2.34544</x:f>
        <x:v>-2.34544</x:v>
      </x:c>
      <x:c r="AD380">
        <x:f>0</x:f>
        <x:v>0</x:v>
      </x:c>
      <x:c r="AE380">
        <x:f>4.765235</x:f>
        <x:v>4.7652349999999997</x:v>
      </x:c>
      <x:c r="AF380">
        <x:f>-8.72667</x:f>
        <x:v>-8.7266700000000004</x:v>
      </x:c>
      <x:c r="AG380">
        <x:f>-11.855365</x:f>
        <x:v>-11.855365000000001</x:v>
      </x:c>
    </x:row>
    <x:row r="381" spans="1:33" x14ac:dyDescent="0.25">
      <x:c r="A381" t="str">
        <x:f>"        Sprott Gold Miners ETF"</x:f>
        <x:v xml:space="preserve">        Sprott Gold Miners ETF</x:v>
      </x:c>
      <x:c r="B381" t="str">
        <x:f>"SGDM US Equity"</x:f>
        <x:v>SGDM US Equity</x:v>
      </x:c>
      <x:c r="E381" t="str">
        <x:f t="shared" si="12"/>
        <x:v>Expression</x:v>
      </x:c>
      <x:c r="F381">
        <x:f ca="1">IF(AND($B$1012=1,LEN($F$1382)&gt;0),$F$1382,HLOOKUP(INDIRECT(ADDRESS(2,COLUMN())),OFFSET($T$2,0,0,ROW()-1,14),ROW()-1,FALSE))</x:f>
        <x:v>0</x:v>
      </x:c>
      <x:c r="G381">
        <x:f ca="1">IF(AND($B$1012=1,LEN($G$1382)&gt;0),$G$1382,HLOOKUP(INDIRECT(ADDRESS(2,COLUMN())),OFFSET($T$2,0,0,ROW()-1,14),ROW()-1,FALSE))</x:f>
        <x:v>-3.579418</x:v>
      </x:c>
      <x:c r="H381">
        <x:f ca="1">IF(AND($B$1012=1,LEN($H$1382)&gt;0),$H$1382,HLOOKUP(INDIRECT(ADDRESS(2,COLUMN())),OFFSET($T$2,0,0,ROW()-1,14),ROW()-1,FALSE))</x:f>
        <x:v>0</x:v>
      </x:c>
      <x:c r="I381">
        <x:f ca="1">IF(AND($B$1012=1,LEN($I$1382)&gt;0),$I$1382,HLOOKUP(INDIRECT(ADDRESS(2,COLUMN())),OFFSET($T$2,0,0,ROW()-1,14),ROW()-1,FALSE))</x:f>
        <x:v>-7.0391209999999997</x:v>
      </x:c>
      <x:c r="J381">
        <x:f ca="1">IF(AND($B$1012=1,LEN($J$1382)&gt;0),$J$1382,HLOOKUP(INDIRECT(ADDRESS(2,COLUMN())),OFFSET($T$2,0,0,ROW()-1,14),ROW()-1,FALSE))</x:f>
        <x:v>1.338632</x:v>
      </x:c>
      <x:c r="K381">
        <x:f ca="1">IF(AND($B$1012=1,LEN($K$1382)&gt;0),$K$1382,HLOOKUP(INDIRECT(ADDRESS(2,COLUMN())),OFFSET($T$2,0,0,ROW()-1,14),ROW()-1,FALSE))</x:f>
        <x:v>-2.564209</x:v>
      </x:c>
      <x:c r="L381">
        <x:f ca="1">IF(AND($B$1012=1,LEN($L$1382)&gt;0),$L$1382,HLOOKUP(INDIRECT(ADDRESS(2,COLUMN())),OFFSET($T$2,0,0,ROW()-1,14),ROW()-1,FALSE))</x:f>
        <x:v>3.08718</x:v>
      </x:c>
      <x:c r="M381">
        <x:f ca="1">IF(AND($B$1012=1,LEN($M$1382)&gt;0),$M$1382,HLOOKUP(INDIRECT(ADDRESS(2,COLUMN())),OFFSET($T$2,0,0,ROW()-1,14),ROW()-1,FALSE))</x:f>
        <x:v>-4.9536530000000001</x:v>
      </x:c>
      <x:c r="N381">
        <x:f ca="1">IF(AND($B$1012=1,LEN($N$1382)&gt;0),$N$1382,HLOOKUP(INDIRECT(ADDRESS(2,COLUMN())),OFFSET($T$2,0,0,ROW()-1,14),ROW()-1,FALSE))</x:f>
        <x:v>15.138855</x:v>
      </x:c>
      <x:c r="O381">
        <x:f ca="1">IF(AND($B$1012=1,LEN($O$1382)&gt;0),$O$1382,HLOOKUP(INDIRECT(ADDRESS(2,COLUMN())),OFFSET($T$2,0,0,ROW()-1,14),ROW()-1,FALSE))</x:f>
        <x:v>-3.1477400000000002</x:v>
      </x:c>
      <x:c r="P381">
        <x:f ca="1">IF(AND($B$1012=1,LEN($P$1382)&gt;0),$P$1382,HLOOKUP(INDIRECT(ADDRESS(2,COLUMN())),OFFSET($T$2,0,0,ROW()-1,14),ROW()-1,FALSE))</x:f>
        <x:v>-4.9330470000000002</x:v>
      </x:c>
      <x:c r="Q381">
        <x:f ca="1">IF(AND($B$1012=1,LEN($Q$1382)&gt;0),$Q$1382,HLOOKUP(INDIRECT(ADDRESS(2,COLUMN())),OFFSET($T$2,0,0,ROW()-1,14),ROW()-1,FALSE))</x:f>
        <x:v>10.792626</x:v>
      </x:c>
      <x:c r="R381">
        <x:f ca="1">IF(AND($B$1012=1,LEN($R$1382)&gt;0),$R$1382,HLOOKUP(INDIRECT(ADDRESS(2,COLUMN())),OFFSET($T$2,0,0,ROW()-1,14),ROW()-1,FALSE))</x:f>
        <x:v>2.3988100000000001</x:v>
      </x:c>
      <x:c r="S381">
        <x:f ca="1">IF(AND($B$1012=1,LEN($S$1382)&gt;0),$S$1382,HLOOKUP(INDIRECT(ADDRESS(2,COLUMN())),OFFSET($T$2,0,0,ROW()-1,14),ROW()-1,FALSE))</x:f>
        <x:v>0</x:v>
      </x:c>
      <x:c r="T381">
        <x:f>0</x:f>
        <x:v>0</x:v>
      </x:c>
      <x:c r="U381">
        <x:f>-3.579418</x:f>
        <x:v>-3.579418</x:v>
      </x:c>
      <x:c r="V381">
        <x:f>0</x:f>
        <x:v>0</x:v>
      </x:c>
      <x:c r="W381">
        <x:f>-7.039121</x:f>
        <x:v>-7.0391209999999997</x:v>
      </x:c>
      <x:c r="X381">
        <x:f>1.338632</x:f>
        <x:v>1.338632</x:v>
      </x:c>
      <x:c r="Y381">
        <x:f>-2.564209</x:f>
        <x:v>-2.564209</x:v>
      </x:c>
      <x:c r="Z381">
        <x:f>3.08718</x:f>
        <x:v>3.08718</x:v>
      </x:c>
      <x:c r="AA381">
        <x:f>-4.953653</x:f>
        <x:v>-4.9536530000000001</x:v>
      </x:c>
      <x:c r="AB381">
        <x:f>15.138855</x:f>
        <x:v>15.138855</x:v>
      </x:c>
      <x:c r="AC381">
        <x:f>-3.14774</x:f>
        <x:v>-3.1477400000000002</x:v>
      </x:c>
      <x:c r="AD381">
        <x:f>-4.933047</x:f>
        <x:v>-4.9330470000000002</x:v>
      </x:c>
      <x:c r="AE381">
        <x:f>10.792626</x:f>
        <x:v>10.792626</x:v>
      </x:c>
      <x:c r="AF381">
        <x:f>2.39881</x:f>
        <x:v>2.3988100000000001</x:v>
      </x:c>
      <x:c r="AG381">
        <x:f>0</x:f>
        <x:v>0</x:v>
      </x:c>
    </x:row>
    <x:row r="382" spans="1:33" x14ac:dyDescent="0.25">
      <x:c r="A382" t="str">
        <x:f>"        Invesco S&amp;P 500 Equal Weight M"</x:f>
        <x:v xml:space="preserve">        Invesco S&amp;P 500 Equal Weight M</x:v>
      </x:c>
      <x:c r="B382" t="str">
        <x:f>"RTM US Equity"</x:f>
        <x:v>RTM US Equity</x:v>
      </x:c>
      <x:c r="E382" t="str">
        <x:f t="shared" si="12"/>
        <x:v>Expression</x:v>
      </x:c>
      <x:c r="F382">
        <x:f ca="1">IF(AND($B$1012=1,LEN($F$1383)&gt;0),$F$1383,HLOOKUP(INDIRECT(ADDRESS(2,COLUMN())),OFFSET($T$2,0,0,ROW()-1,14),ROW()-1,FALSE))</x:f>
        <x:v>-1.5366770000000001</x:v>
      </x:c>
      <x:c r="G382">
        <x:f ca="1">IF(AND($B$1012=1,LEN($G$1383)&gt;0),$G$1383,HLOOKUP(INDIRECT(ADDRESS(2,COLUMN())),OFFSET($T$2,0,0,ROW()-1,14),ROW()-1,FALSE))</x:f>
        <x:v>-4.5735939999999999</x:v>
      </x:c>
      <x:c r="H382">
        <x:f ca="1">IF(AND($B$1012=1,LEN($H$1383)&gt;0),$H$1383,HLOOKUP(INDIRECT(ADDRESS(2,COLUMN())),OFFSET($T$2,0,0,ROW()-1,14),ROW()-1,FALSE))</x:f>
        <x:v>-1.5891489999999999</x:v>
      </x:c>
      <x:c r="I382">
        <x:f ca="1">IF(AND($B$1012=1,LEN($I$1383)&gt;0),$I$1383,HLOOKUP(INDIRECT(ADDRESS(2,COLUMN())),OFFSET($T$2,0,0,ROW()-1,14),ROW()-1,FALSE))</x:f>
        <x:v>-13.111864000000001</x:v>
      </x:c>
      <x:c r="J382">
        <x:f ca="1">IF(AND($B$1012=1,LEN($J$1383)&gt;0),$J$1383,HLOOKUP(INDIRECT(ADDRESS(2,COLUMN())),OFFSET($T$2,0,0,ROW()-1,14),ROW()-1,FALSE))</x:f>
        <x:v>-6.361167</x:v>
      </x:c>
      <x:c r="K382">
        <x:f ca="1">IF(AND($B$1012=1,LEN($K$1383)&gt;0),$K$1383,HLOOKUP(INDIRECT(ADDRESS(2,COLUMN())),OFFSET($T$2,0,0,ROW()-1,14),ROW()-1,FALSE))</x:f>
        <x:v>-14.225132</x:v>
      </x:c>
      <x:c r="L382" t="str">
        <x:f ca="1">IF(AND($B$1012=1,LEN($L$1383)&gt;0),$L$1383,HLOOKUP(INDIRECT(ADDRESS(2,COLUMN())),OFFSET($T$2,0,0,ROW()-1,14),ROW()-1,FALSE))</x:f>
        <x:v/>
      </x:c>
      <x:c r="M382" t="str">
        <x:f ca="1">IF(AND($B$1012=1,LEN($M$1383)&gt;0),$M$1383,HLOOKUP(INDIRECT(ADDRESS(2,COLUMN())),OFFSET($T$2,0,0,ROW()-1,14),ROW()-1,FALSE))</x:f>
        <x:v/>
      </x:c>
      <x:c r="N382" t="str">
        <x:f ca="1">IF(AND($B$1012=1,LEN($N$1383)&gt;0),$N$1383,HLOOKUP(INDIRECT(ADDRESS(2,COLUMN())),OFFSET($T$2,0,0,ROW()-1,14),ROW()-1,FALSE))</x:f>
        <x:v/>
      </x:c>
      <x:c r="O382" t="str">
        <x:f ca="1">IF(AND($B$1012=1,LEN($O$1383)&gt;0),$O$1383,HLOOKUP(INDIRECT(ADDRESS(2,COLUMN())),OFFSET($T$2,0,0,ROW()-1,14),ROW()-1,FALSE))</x:f>
        <x:v/>
      </x:c>
      <x:c r="P382" t="str">
        <x:f ca="1">IF(AND($B$1012=1,LEN($P$1383)&gt;0),$P$1383,HLOOKUP(INDIRECT(ADDRESS(2,COLUMN())),OFFSET($T$2,0,0,ROW()-1,14),ROW()-1,FALSE))</x:f>
        <x:v/>
      </x:c>
      <x:c r="Q382" t="str">
        <x:f ca="1">IF(AND($B$1012=1,LEN($Q$1383)&gt;0),$Q$1383,HLOOKUP(INDIRECT(ADDRESS(2,COLUMN())),OFFSET($T$2,0,0,ROW()-1,14),ROW()-1,FALSE))</x:f>
        <x:v/>
      </x:c>
      <x:c r="R382" t="str">
        <x:f ca="1">IF(AND($B$1012=1,LEN($R$1383)&gt;0),$R$1383,HLOOKUP(INDIRECT(ADDRESS(2,COLUMN())),OFFSET($T$2,0,0,ROW()-1,14),ROW()-1,FALSE))</x:f>
        <x:v/>
      </x:c>
      <x:c r="S382" t="str">
        <x:f ca="1">IF(AND($B$1012=1,LEN($S$1383)&gt;0),$S$1383,HLOOKUP(INDIRECT(ADDRESS(2,COLUMN())),OFFSET($T$2,0,0,ROW()-1,14),ROW()-1,FALSE))</x:f>
        <x:v/>
      </x:c>
      <x:c r="T382">
        <x:f>-1.536677</x:f>
        <x:v>-1.5366770000000001</x:v>
      </x:c>
      <x:c r="U382">
        <x:f>-4.573594</x:f>
        <x:v>-4.5735939999999999</x:v>
      </x:c>
      <x:c r="V382">
        <x:f>-1.589149</x:f>
        <x:v>-1.5891489999999999</x:v>
      </x:c>
      <x:c r="W382">
        <x:f>-13.111864</x:f>
        <x:v>-13.111864000000001</x:v>
      </x:c>
      <x:c r="X382">
        <x:f>-6.361167</x:f>
        <x:v>-6.361167</x:v>
      </x:c>
      <x:c r="Y382">
        <x:f>-14.225132</x:f>
        <x:v>-14.225132</x:v>
      </x:c>
      <x:c r="Z382" t="str">
        <x:f>""</x:f>
        <x:v/>
      </x:c>
      <x:c r="AA382" t="str">
        <x:f>""</x:f>
        <x:v/>
      </x:c>
      <x:c r="AB382" t="str">
        <x:f>""</x:f>
        <x:v/>
      </x:c>
      <x:c r="AC382" t="str">
        <x:f>""</x:f>
        <x:v/>
      </x:c>
      <x:c r="AD382" t="str">
        <x:f>""</x:f>
        <x:v/>
      </x:c>
      <x:c r="AE382" t="str">
        <x:f>""</x:f>
        <x:v/>
      </x:c>
      <x:c r="AF382" t="str">
        <x:f>""</x:f>
        <x:v/>
      </x:c>
      <x:c r="AG382" t="str">
        <x:f>""</x:f>
        <x:v/>
      </x:c>
    </x:row>
    <x:row r="383" spans="1:33" x14ac:dyDescent="0.25">
      <x:c r="A383" t="str">
        <x:f>"        VanEck Steel ETF"</x:f>
        <x:v xml:space="preserve">        VanEck Steel ETF</x:v>
      </x:c>
      <x:c r="B383" t="str">
        <x:f>"SLX US Equity"</x:f>
        <x:v>SLX US Equity</x:v>
      </x:c>
      <x:c r="E383" t="str">
        <x:f t="shared" si="12"/>
        <x:v>Expression</x:v>
      </x:c>
      <x:c r="F383">
        <x:f ca="1">IF(AND($B$1012=1,LEN($F$1384)&gt;0),$F$1384,HLOOKUP(INDIRECT(ADDRESS(2,COLUMN())),OFFSET($T$2,0,0,ROW()-1,14),ROW()-1,FALSE))</x:f>
        <x:v>1.609229</x:v>
      </x:c>
      <x:c r="G383">
        <x:f ca="1">IF(AND($B$1012=1,LEN($G$1384)&gt;0),$G$1384,HLOOKUP(INDIRECT(ADDRESS(2,COLUMN())),OFFSET($T$2,0,0,ROW()-1,14),ROW()-1,FALSE))</x:f>
        <x:v>-1.526802</x:v>
      </x:c>
      <x:c r="H383">
        <x:f ca="1">IF(AND($B$1012=1,LEN($H$1384)&gt;0),$H$1384,HLOOKUP(INDIRECT(ADDRESS(2,COLUMN())),OFFSET($T$2,0,0,ROW()-1,14),ROW()-1,FALSE))</x:f>
        <x:v>-0.117981</x:v>
      </x:c>
      <x:c r="I383">
        <x:f ca="1">IF(AND($B$1012=1,LEN($I$1384)&gt;0),$I$1384,HLOOKUP(INDIRECT(ADDRESS(2,COLUMN())),OFFSET($T$2,0,0,ROW()-1,14),ROW()-1,FALSE))</x:f>
        <x:v>1.654226</x:v>
      </x:c>
      <x:c r="J383">
        <x:f ca="1">IF(AND($B$1012=1,LEN($J$1384)&gt;0),$J$1384,HLOOKUP(INDIRECT(ADDRESS(2,COLUMN())),OFFSET($T$2,0,0,ROW()-1,14),ROW()-1,FALSE))</x:f>
        <x:v>3.492356</x:v>
      </x:c>
      <x:c r="K383">
        <x:f ca="1">IF(AND($B$1012=1,LEN($K$1384)&gt;0),$K$1384,HLOOKUP(INDIRECT(ADDRESS(2,COLUMN())),OFFSET($T$2,0,0,ROW()-1,14),ROW()-1,FALSE))</x:f>
        <x:v>3.1104959999999999</x:v>
      </x:c>
      <x:c r="L383">
        <x:f ca="1">IF(AND($B$1012=1,LEN($L$1384)&gt;0),$L$1384,HLOOKUP(INDIRECT(ADDRESS(2,COLUMN())),OFFSET($T$2,0,0,ROW()-1,14),ROW()-1,FALSE))</x:f>
        <x:v>-11.495449000000001</x:v>
      </x:c>
      <x:c r="M383">
        <x:f ca="1">IF(AND($B$1012=1,LEN($M$1384)&gt;0),$M$1384,HLOOKUP(INDIRECT(ADDRESS(2,COLUMN())),OFFSET($T$2,0,0,ROW()-1,14),ROW()-1,FALSE))</x:f>
        <x:v>-6.3064169999999997</x:v>
      </x:c>
      <x:c r="N383">
        <x:f ca="1">IF(AND($B$1012=1,LEN($N$1384)&gt;0),$N$1384,HLOOKUP(INDIRECT(ADDRESS(2,COLUMN())),OFFSET($T$2,0,0,ROW()-1,14),ROW()-1,FALSE))</x:f>
        <x:v>-4.2476339999999997</x:v>
      </x:c>
      <x:c r="O383">
        <x:f ca="1">IF(AND($B$1012=1,LEN($O$1384)&gt;0),$O$1384,HLOOKUP(INDIRECT(ADDRESS(2,COLUMN())),OFFSET($T$2,0,0,ROW()-1,14),ROW()-1,FALSE))</x:f>
        <x:v>15.226407999999999</x:v>
      </x:c>
      <x:c r="P383">
        <x:f ca="1">IF(AND($B$1012=1,LEN($P$1384)&gt;0),$P$1384,HLOOKUP(INDIRECT(ADDRESS(2,COLUMN())),OFFSET($T$2,0,0,ROW()-1,14),ROW()-1,FALSE))</x:f>
        <x:v>12.062132999999999</x:v>
      </x:c>
      <x:c r="Q383">
        <x:f ca="1">IF(AND($B$1012=1,LEN($Q$1384)&gt;0),$Q$1384,HLOOKUP(INDIRECT(ADDRESS(2,COLUMN())),OFFSET($T$2,0,0,ROW()-1,14),ROW()-1,FALSE))</x:f>
        <x:v>-0.55896400000000002</x:v>
      </x:c>
      <x:c r="R383">
        <x:f ca="1">IF(AND($B$1012=1,LEN($R$1384)&gt;0),$R$1384,HLOOKUP(INDIRECT(ADDRESS(2,COLUMN())),OFFSET($T$2,0,0,ROW()-1,14),ROW()-1,FALSE))</x:f>
        <x:v>6.5077249999999998</x:v>
      </x:c>
      <x:c r="S383">
        <x:f ca="1">IF(AND($B$1012=1,LEN($S$1384)&gt;0),$S$1384,HLOOKUP(INDIRECT(ADDRESS(2,COLUMN())),OFFSET($T$2,0,0,ROW()-1,14),ROW()-1,FALSE))</x:f>
        <x:v>1.2458180000000001</x:v>
      </x:c>
      <x:c r="T383">
        <x:f>1.609229</x:f>
        <x:v>1.609229</x:v>
      </x:c>
      <x:c r="U383">
        <x:f>-1.526802</x:f>
        <x:v>-1.526802</x:v>
      </x:c>
      <x:c r="V383">
        <x:f>-0.117981</x:f>
        <x:v>-0.117981</x:v>
      </x:c>
      <x:c r="W383">
        <x:f>1.654226</x:f>
        <x:v>1.654226</x:v>
      </x:c>
      <x:c r="X383">
        <x:f>3.492356</x:f>
        <x:v>3.492356</x:v>
      </x:c>
      <x:c r="Y383">
        <x:f>3.110496</x:f>
        <x:v>3.1104959999999999</x:v>
      </x:c>
      <x:c r="Z383">
        <x:f>-11.495449</x:f>
        <x:v>-11.495449000000001</x:v>
      </x:c>
      <x:c r="AA383">
        <x:f>-6.306417</x:f>
        <x:v>-6.3064169999999997</x:v>
      </x:c>
      <x:c r="AB383">
        <x:f>-4.247634</x:f>
        <x:v>-4.2476339999999997</x:v>
      </x:c>
      <x:c r="AC383">
        <x:f>15.226408</x:f>
        <x:v>15.226407999999999</x:v>
      </x:c>
      <x:c r="AD383">
        <x:f>12.062133</x:f>
        <x:v>12.062132999999999</x:v>
      </x:c>
      <x:c r="AE383">
        <x:f>-0.558964</x:f>
        <x:v>-0.55896400000000002</x:v>
      </x:c>
      <x:c r="AF383">
        <x:f>6.507725</x:f>
        <x:v>6.5077249999999998</x:v>
      </x:c>
      <x:c r="AG383">
        <x:f>1.245818</x:f>
        <x:v>1.2458180000000001</x:v>
      </x:c>
    </x:row>
    <x:row r="384" spans="1:33" x14ac:dyDescent="0.25">
      <x:c r="A384" t="str">
        <x:f>"        Sprott Junior Gold Miners ETF"</x:f>
        <x:v xml:space="preserve">        Sprott Junior Gold Miners ETF</x:v>
      </x:c>
      <x:c r="B384" t="str">
        <x:f>"SGDJ US Equity"</x:f>
        <x:v>SGDJ US Equity</x:v>
      </x:c>
      <x:c r="E384" t="str">
        <x:f t="shared" si="12"/>
        <x:v>Expression</x:v>
      </x:c>
      <x:c r="F384">
        <x:f ca="1">IF(AND($B$1012=1,LEN($F$1385)&gt;0),$F$1385,HLOOKUP(INDIRECT(ADDRESS(2,COLUMN())),OFFSET($T$2,0,0,ROW()-1,14),ROW()-1,FALSE))</x:f>
        <x:v>0</x:v>
      </x:c>
      <x:c r="G384">
        <x:f ca="1">IF(AND($B$1012=1,LEN($G$1385)&gt;0),$G$1385,HLOOKUP(INDIRECT(ADDRESS(2,COLUMN())),OFFSET($T$2,0,0,ROW()-1,14),ROW()-1,FALSE))</x:f>
        <x:v>0</x:v>
      </x:c>
      <x:c r="H384">
        <x:f ca="1">IF(AND($B$1012=1,LEN($H$1385)&gt;0),$H$1385,HLOOKUP(INDIRECT(ADDRESS(2,COLUMN())),OFFSET($T$2,0,0,ROW()-1,14),ROW()-1,FALSE))</x:f>
        <x:v>0</x:v>
      </x:c>
      <x:c r="I384">
        <x:f ca="1">IF(AND($B$1012=1,LEN($I$1385)&gt;0),$I$1385,HLOOKUP(INDIRECT(ADDRESS(2,COLUMN())),OFFSET($T$2,0,0,ROW()-1,14),ROW()-1,FALSE))</x:f>
        <x:v>0</x:v>
      </x:c>
      <x:c r="J384">
        <x:f ca="1">IF(AND($B$1012=1,LEN($J$1385)&gt;0),$J$1385,HLOOKUP(INDIRECT(ADDRESS(2,COLUMN())),OFFSET($T$2,0,0,ROW()-1,14),ROW()-1,FALSE))</x:f>
        <x:v>0</x:v>
      </x:c>
      <x:c r="K384">
        <x:f ca="1">IF(AND($B$1012=1,LEN($K$1385)&gt;0),$K$1385,HLOOKUP(INDIRECT(ADDRESS(2,COLUMN())),OFFSET($T$2,0,0,ROW()-1,14),ROW()-1,FALSE))</x:f>
        <x:v>0</x:v>
      </x:c>
      <x:c r="L384">
        <x:f ca="1">IF(AND($B$1012=1,LEN($L$1385)&gt;0),$L$1385,HLOOKUP(INDIRECT(ADDRESS(2,COLUMN())),OFFSET($T$2,0,0,ROW()-1,14),ROW()-1,FALSE))</x:f>
        <x:v>0</x:v>
      </x:c>
      <x:c r="M384">
        <x:f ca="1">IF(AND($B$1012=1,LEN($M$1385)&gt;0),$M$1385,HLOOKUP(INDIRECT(ADDRESS(2,COLUMN())),OFFSET($T$2,0,0,ROW()-1,14),ROW()-1,FALSE))</x:f>
        <x:v>1.086659</x:v>
      </x:c>
      <x:c r="N384">
        <x:f ca="1">IF(AND($B$1012=1,LEN($N$1385)&gt;0),$N$1385,HLOOKUP(INDIRECT(ADDRESS(2,COLUMN())),OFFSET($T$2,0,0,ROW()-1,14),ROW()-1,FALSE))</x:f>
        <x:v>0</x:v>
      </x:c>
      <x:c r="O384">
        <x:f ca="1">IF(AND($B$1012=1,LEN($O$1385)&gt;0),$O$1385,HLOOKUP(INDIRECT(ADDRESS(2,COLUMN())),OFFSET($T$2,0,0,ROW()-1,14),ROW()-1,FALSE))</x:f>
        <x:v>-6.8024630000000004</x:v>
      </x:c>
      <x:c r="P384">
        <x:f ca="1">IF(AND($B$1012=1,LEN($P$1385)&gt;0),$P$1385,HLOOKUP(INDIRECT(ADDRESS(2,COLUMN())),OFFSET($T$2,0,0,ROW()-1,14),ROW()-1,FALSE))</x:f>
        <x:v>0.59001400000000004</x:v>
      </x:c>
      <x:c r="Q384">
        <x:f ca="1">IF(AND($B$1012=1,LEN($Q$1385)&gt;0),$Q$1385,HLOOKUP(INDIRECT(ADDRESS(2,COLUMN())),OFFSET($T$2,0,0,ROW()-1,14),ROW()-1,FALSE))</x:f>
        <x:v>0</x:v>
      </x:c>
      <x:c r="R384">
        <x:f ca="1">IF(AND($B$1012=1,LEN($R$1385)&gt;0),$R$1385,HLOOKUP(INDIRECT(ADDRESS(2,COLUMN())),OFFSET($T$2,0,0,ROW()-1,14),ROW()-1,FALSE))</x:f>
        <x:v>0</x:v>
      </x:c>
      <x:c r="S384">
        <x:f ca="1">IF(AND($B$1012=1,LEN($S$1385)&gt;0),$S$1385,HLOOKUP(INDIRECT(ADDRESS(2,COLUMN())),OFFSET($T$2,0,0,ROW()-1,14),ROW()-1,FALSE))</x:f>
        <x:v>0</x:v>
      </x:c>
      <x:c r="T384">
        <x:f>0</x:f>
        <x:v>0</x:v>
      </x:c>
      <x:c r="U384">
        <x:f>0</x:f>
        <x:v>0</x:v>
      </x:c>
      <x:c r="V384">
        <x:f>0</x:f>
        <x:v>0</x:v>
      </x:c>
      <x:c r="W384">
        <x:f>0</x:f>
        <x:v>0</x:v>
      </x:c>
      <x:c r="X384">
        <x:f>0</x:f>
        <x:v>0</x:v>
      </x:c>
      <x:c r="Y384">
        <x:f>0</x:f>
        <x:v>0</x:v>
      </x:c>
      <x:c r="Z384">
        <x:f>0</x:f>
        <x:v>0</x:v>
      </x:c>
      <x:c r="AA384">
        <x:f>1.086659</x:f>
        <x:v>1.086659</x:v>
      </x:c>
      <x:c r="AB384">
        <x:f>0</x:f>
        <x:v>0</x:v>
      </x:c>
      <x:c r="AC384">
        <x:f>-6.802463</x:f>
        <x:v>-6.8024630000000004</x:v>
      </x:c>
      <x:c r="AD384">
        <x:f>0.590014</x:f>
        <x:v>0.59001400000000004</x:v>
      </x:c>
      <x:c r="AE384">
        <x:f>0</x:f>
        <x:v>0</x:v>
      </x:c>
      <x:c r="AF384">
        <x:f>0</x:f>
        <x:v>0</x:v>
      </x:c>
      <x:c r="AG384">
        <x:f>0</x:f>
        <x:v>0</x:v>
      </x:c>
    </x:row>
    <x:row r="385" spans="1:33" x14ac:dyDescent="0.25">
      <x:c r="A385" t="str">
        <x:f>"        Direxion Daily Junior Gold Min"</x:f>
        <x:v xml:space="preserve">        Direxion Daily Junior Gold Min</x:v>
      </x:c>
      <x:c r="B385" t="str">
        <x:f>"JDST US Equity"</x:f>
        <x:v>JDST US Equity</x:v>
      </x:c>
      <x:c r="E385" t="str">
        <x:f t="shared" si="12"/>
        <x:v>Expression</x:v>
      </x:c>
      <x:c r="F385">
        <x:f ca="1">IF(AND($B$1012=1,LEN($F$1386)&gt;0),$F$1386,HLOOKUP(INDIRECT(ADDRESS(2,COLUMN())),OFFSET($T$2,0,0,ROW()-1,14),ROW()-1,FALSE))</x:f>
        <x:v>-17.719093999999998</x:v>
      </x:c>
      <x:c r="G385">
        <x:f ca="1">IF(AND($B$1012=1,LEN($G$1386)&gt;0),$G$1386,HLOOKUP(INDIRECT(ADDRESS(2,COLUMN())),OFFSET($T$2,0,0,ROW()-1,14),ROW()-1,FALSE))</x:f>
        <x:v>47.474136999999999</x:v>
      </x:c>
      <x:c r="H385">
        <x:f ca="1">IF(AND($B$1012=1,LEN($H$1386)&gt;0),$H$1386,HLOOKUP(INDIRECT(ADDRESS(2,COLUMN())),OFFSET($T$2,0,0,ROW()-1,14),ROW()-1,FALSE))</x:f>
        <x:v>-38.818494000000001</x:v>
      </x:c>
      <x:c r="I385">
        <x:f ca="1">IF(AND($B$1012=1,LEN($I$1386)&gt;0),$I$1386,HLOOKUP(INDIRECT(ADDRESS(2,COLUMN())),OFFSET($T$2,0,0,ROW()-1,14),ROW()-1,FALSE))</x:f>
        <x:v>-11.320727</x:v>
      </x:c>
      <x:c r="J385">
        <x:f ca="1">IF(AND($B$1012=1,LEN($J$1386)&gt;0),$J$1386,HLOOKUP(INDIRECT(ADDRESS(2,COLUMN())),OFFSET($T$2,0,0,ROW()-1,14),ROW()-1,FALSE))</x:f>
        <x:v>-12.114405</x:v>
      </x:c>
      <x:c r="K385">
        <x:f ca="1">IF(AND($B$1012=1,LEN($K$1386)&gt;0),$K$1386,HLOOKUP(INDIRECT(ADDRESS(2,COLUMN())),OFFSET($T$2,0,0,ROW()-1,14),ROW()-1,FALSE))</x:f>
        <x:v>10.203201999999999</x:v>
      </x:c>
      <x:c r="L385">
        <x:f ca="1">IF(AND($B$1012=1,LEN($L$1386)&gt;0),$L$1386,HLOOKUP(INDIRECT(ADDRESS(2,COLUMN())),OFFSET($T$2,0,0,ROW()-1,14),ROW()-1,FALSE))</x:f>
        <x:v>-9.9228740000000002</x:v>
      </x:c>
      <x:c r="M385">
        <x:f ca="1">IF(AND($B$1012=1,LEN($M$1386)&gt;0),$M$1386,HLOOKUP(INDIRECT(ADDRESS(2,COLUMN())),OFFSET($T$2,0,0,ROW()-1,14),ROW()-1,FALSE))</x:f>
        <x:v>22.644888000000002</x:v>
      </x:c>
      <x:c r="N385">
        <x:f ca="1">IF(AND($B$1012=1,LEN($N$1386)&gt;0),$N$1386,HLOOKUP(INDIRECT(ADDRESS(2,COLUMN())),OFFSET($T$2,0,0,ROW()-1,14),ROW()-1,FALSE))</x:f>
        <x:v>32.605203000000003</x:v>
      </x:c>
      <x:c r="O385">
        <x:f ca="1">IF(AND($B$1012=1,LEN($O$1386)&gt;0),$O$1386,HLOOKUP(INDIRECT(ADDRESS(2,COLUMN())),OFFSET($T$2,0,0,ROW()-1,14),ROW()-1,FALSE))</x:f>
        <x:v>-56.074309999999997</x:v>
      </x:c>
      <x:c r="P385">
        <x:f ca="1">IF(AND($B$1012=1,LEN($P$1386)&gt;0),$P$1386,HLOOKUP(INDIRECT(ADDRESS(2,COLUMN())),OFFSET($T$2,0,0,ROW()-1,14),ROW()-1,FALSE))</x:f>
        <x:v>22.431764000000001</x:v>
      </x:c>
      <x:c r="Q385">
        <x:f ca="1">IF(AND($B$1012=1,LEN($Q$1386)&gt;0),$Q$1386,HLOOKUP(INDIRECT(ADDRESS(2,COLUMN())),OFFSET($T$2,0,0,ROW()-1,14),ROW()-1,FALSE))</x:f>
        <x:v>11.054891</x:v>
      </x:c>
      <x:c r="R385">
        <x:f ca="1">IF(AND($B$1012=1,LEN($R$1386)&gt;0),$R$1386,HLOOKUP(INDIRECT(ADDRESS(2,COLUMN())),OFFSET($T$2,0,0,ROW()-1,14),ROW()-1,FALSE))</x:f>
        <x:v>23.680966000000002</x:v>
      </x:c>
      <x:c r="S385">
        <x:f ca="1">IF(AND($B$1012=1,LEN($S$1386)&gt;0),$S$1386,HLOOKUP(INDIRECT(ADDRESS(2,COLUMN())),OFFSET($T$2,0,0,ROW()-1,14),ROW()-1,FALSE))</x:f>
        <x:v>13.495044999999999</x:v>
      </x:c>
      <x:c r="T385">
        <x:f>-17.719094</x:f>
        <x:v>-17.719093999999998</x:v>
      </x:c>
      <x:c r="U385">
        <x:f>47.474137</x:f>
        <x:v>47.474136999999999</x:v>
      </x:c>
      <x:c r="V385">
        <x:f>-38.818494</x:f>
        <x:v>-38.818494000000001</x:v>
      </x:c>
      <x:c r="W385">
        <x:f>-11.320727</x:f>
        <x:v>-11.320727</x:v>
      </x:c>
      <x:c r="X385">
        <x:f>-12.114405</x:f>
        <x:v>-12.114405</x:v>
      </x:c>
      <x:c r="Y385">
        <x:f>10.203202</x:f>
        <x:v>10.203201999999999</x:v>
      </x:c>
      <x:c r="Z385">
        <x:f>-9.922874</x:f>
        <x:v>-9.9228740000000002</x:v>
      </x:c>
      <x:c r="AA385">
        <x:f>22.644888</x:f>
        <x:v>22.644888000000002</x:v>
      </x:c>
      <x:c r="AB385">
        <x:f>32.605203</x:f>
        <x:v>32.605203000000003</x:v>
      </x:c>
      <x:c r="AC385">
        <x:f>-56.07431</x:f>
        <x:v>-56.074309999999997</x:v>
      </x:c>
      <x:c r="AD385">
        <x:f>22.431764</x:f>
        <x:v>22.431764000000001</x:v>
      </x:c>
      <x:c r="AE385">
        <x:f>11.054891</x:f>
        <x:v>11.054891</x:v>
      </x:c>
      <x:c r="AF385">
        <x:f>23.680966</x:f>
        <x:v>23.680966000000002</x:v>
      </x:c>
      <x:c r="AG385">
        <x:f>13.495045</x:f>
        <x:v>13.495044999999999</x:v>
      </x:c>
    </x:row>
    <x:row r="386" spans="1:33" x14ac:dyDescent="0.25">
      <x:c r="A386" t="str">
        <x:f>"        Invesco DWA Basic Materials Mo"</x:f>
        <x:v xml:space="preserve">        Invesco DWA Basic Materials Mo</x:v>
      </x:c>
      <x:c r="B386" t="str">
        <x:f>"PYZ US Equity"</x:f>
        <x:v>PYZ US Equity</x:v>
      </x:c>
      <x:c r="E386" t="str">
        <x:f t="shared" si="12"/>
        <x:v>Expression</x:v>
      </x:c>
      <x:c r="F386">
        <x:f ca="1">IF(AND($B$1012=1,LEN($F$1387)&gt;0),$F$1387,HLOOKUP(INDIRECT(ADDRESS(2,COLUMN())),OFFSET($T$2,0,0,ROW()-1,14),ROW()-1,FALSE))</x:f>
        <x:v>-8.4855459999999994</x:v>
      </x:c>
      <x:c r="G386">
        <x:f ca="1">IF(AND($B$1012=1,LEN($G$1387)&gt;0),$G$1387,HLOOKUP(INDIRECT(ADDRESS(2,COLUMN())),OFFSET($T$2,0,0,ROW()-1,14),ROW()-1,FALSE))</x:f>
        <x:v>-31.422385999999999</x:v>
      </x:c>
      <x:c r="H386">
        <x:f ca="1">IF(AND($B$1012=1,LEN($H$1387)&gt;0),$H$1387,HLOOKUP(INDIRECT(ADDRESS(2,COLUMN())),OFFSET($T$2,0,0,ROW()-1,14),ROW()-1,FALSE))</x:f>
        <x:v>-1.615707</x:v>
      </x:c>
      <x:c r="I386">
        <x:f ca="1">IF(AND($B$1012=1,LEN($I$1387)&gt;0),$I$1387,HLOOKUP(INDIRECT(ADDRESS(2,COLUMN())),OFFSET($T$2,0,0,ROW()-1,14),ROW()-1,FALSE))</x:f>
        <x:v>0</x:v>
      </x:c>
      <x:c r="J386">
        <x:f ca="1">IF(AND($B$1012=1,LEN($J$1387)&gt;0),$J$1387,HLOOKUP(INDIRECT(ADDRESS(2,COLUMN())),OFFSET($T$2,0,0,ROW()-1,14),ROW()-1,FALSE))</x:f>
        <x:v>-1.7257629999999999</x:v>
      </x:c>
      <x:c r="K386">
        <x:f ca="1">IF(AND($B$1012=1,LEN($K$1387)&gt;0),$K$1387,HLOOKUP(INDIRECT(ADDRESS(2,COLUMN())),OFFSET($T$2,0,0,ROW()-1,14),ROW()-1,FALSE))</x:f>
        <x:v>-1.546783</x:v>
      </x:c>
      <x:c r="L386">
        <x:f ca="1">IF(AND($B$1012=1,LEN($L$1387)&gt;0),$L$1387,HLOOKUP(INDIRECT(ADDRESS(2,COLUMN())),OFFSET($T$2,0,0,ROW()-1,14),ROW()-1,FALSE))</x:f>
        <x:v>-5.6071109999999997</x:v>
      </x:c>
      <x:c r="M386">
        <x:f ca="1">IF(AND($B$1012=1,LEN($M$1387)&gt;0),$M$1387,HLOOKUP(INDIRECT(ADDRESS(2,COLUMN())),OFFSET($T$2,0,0,ROW()-1,14),ROW()-1,FALSE))</x:f>
        <x:v>0</x:v>
      </x:c>
      <x:c r="N386">
        <x:f ca="1">IF(AND($B$1012=1,LEN($N$1387)&gt;0),$N$1387,HLOOKUP(INDIRECT(ADDRESS(2,COLUMN())),OFFSET($T$2,0,0,ROW()-1,14),ROW()-1,FALSE))</x:f>
        <x:v>-4.6205470000000002</x:v>
      </x:c>
      <x:c r="O386">
        <x:f ca="1">IF(AND($B$1012=1,LEN($O$1387)&gt;0),$O$1387,HLOOKUP(INDIRECT(ADDRESS(2,COLUMN())),OFFSET($T$2,0,0,ROW()-1,14),ROW()-1,FALSE))</x:f>
        <x:v>9.1094460000000002</x:v>
      </x:c>
      <x:c r="P386">
        <x:f ca="1">IF(AND($B$1012=1,LEN($P$1387)&gt;0),$P$1387,HLOOKUP(INDIRECT(ADDRESS(2,COLUMN())),OFFSET($T$2,0,0,ROW()-1,14),ROW()-1,FALSE))</x:f>
        <x:v>0.86173299999999997</x:v>
      </x:c>
      <x:c r="Q386">
        <x:f ca="1">IF(AND($B$1012=1,LEN($Q$1387)&gt;0),$Q$1387,HLOOKUP(INDIRECT(ADDRESS(2,COLUMN())),OFFSET($T$2,0,0,ROW()-1,14),ROW()-1,FALSE))</x:f>
        <x:v>32.598739000000002</x:v>
      </x:c>
      <x:c r="R386">
        <x:f ca="1">IF(AND($B$1012=1,LEN($R$1387)&gt;0),$R$1387,HLOOKUP(INDIRECT(ADDRESS(2,COLUMN())),OFFSET($T$2,0,0,ROW()-1,14),ROW()-1,FALSE))</x:f>
        <x:v>6.7151149999999999</x:v>
      </x:c>
      <x:c r="S386">
        <x:f ca="1">IF(AND($B$1012=1,LEN($S$1387)&gt;0),$S$1387,HLOOKUP(INDIRECT(ADDRESS(2,COLUMN())),OFFSET($T$2,0,0,ROW()-1,14),ROW()-1,FALSE))</x:f>
        <x:v>-2.9510179999999999</x:v>
      </x:c>
      <x:c r="T386">
        <x:f>-8.485546</x:f>
        <x:v>-8.4855459999999994</x:v>
      </x:c>
      <x:c r="U386">
        <x:f>-31.422386</x:f>
        <x:v>-31.422385999999999</x:v>
      </x:c>
      <x:c r="V386">
        <x:f>-1.615707</x:f>
        <x:v>-1.615707</x:v>
      </x:c>
      <x:c r="W386">
        <x:f>0</x:f>
        <x:v>0</x:v>
      </x:c>
      <x:c r="X386">
        <x:f>-1.725763</x:f>
        <x:v>-1.7257629999999999</x:v>
      </x:c>
      <x:c r="Y386">
        <x:f>-1.546783</x:f>
        <x:v>-1.546783</x:v>
      </x:c>
      <x:c r="Z386">
        <x:f>-5.607111</x:f>
        <x:v>-5.6071109999999997</x:v>
      </x:c>
      <x:c r="AA386">
        <x:f>0</x:f>
        <x:v>0</x:v>
      </x:c>
      <x:c r="AB386">
        <x:f>-4.620547</x:f>
        <x:v>-4.6205470000000002</x:v>
      </x:c>
      <x:c r="AC386">
        <x:f>9.109446</x:f>
        <x:v>9.1094460000000002</x:v>
      </x:c>
      <x:c r="AD386">
        <x:f>0.861733</x:f>
        <x:v>0.86173299999999997</x:v>
      </x:c>
      <x:c r="AE386">
        <x:f>32.598739</x:f>
        <x:v>32.598739000000002</x:v>
      </x:c>
      <x:c r="AF386">
        <x:f>6.715115</x:f>
        <x:v>6.7151149999999999</x:v>
      </x:c>
      <x:c r="AG386">
        <x:f>-2.951018</x:f>
        <x:v>-2.9510179999999999</x:v>
      </x:c>
    </x:row>
    <x:row r="387" spans="1:33" x14ac:dyDescent="0.25">
      <x:c r="A387" t="str">
        <x:f>"        iShares MSCI Global Silver and"</x:f>
        <x:v xml:space="preserve">        iShares MSCI Global Silver and</x:v>
      </x:c>
      <x:c r="B387" t="str">
        <x:f>"SLVP US Equity"</x:f>
        <x:v>SLVP US Equity</x:v>
      </x:c>
      <x:c r="E387" t="str">
        <x:f t="shared" si="12"/>
        <x:v>Expression</x:v>
      </x:c>
      <x:c r="F387">
        <x:f ca="1">IF(AND($B$1012=1,LEN($F$1388)&gt;0),$F$1388,HLOOKUP(INDIRECT(ADDRESS(2,COLUMN())),OFFSET($T$2,0,0,ROW()-1,14),ROW()-1,FALSE))</x:f>
        <x:v>0</x:v>
      </x:c>
      <x:c r="G387">
        <x:f ca="1">IF(AND($B$1012=1,LEN($G$1388)&gt;0),$G$1388,HLOOKUP(INDIRECT(ADDRESS(2,COLUMN())),OFFSET($T$2,0,0,ROW()-1,14),ROW()-1,FALSE))</x:f>
        <x:v>0</x:v>
      </x:c>
      <x:c r="H387">
        <x:f ca="1">IF(AND($B$1012=1,LEN($H$1388)&gt;0),$H$1388,HLOOKUP(INDIRECT(ADDRESS(2,COLUMN())),OFFSET($T$2,0,0,ROW()-1,14),ROW()-1,FALSE))</x:f>
        <x:v>0.93083000000000005</x:v>
      </x:c>
      <x:c r="I387">
        <x:f ca="1">IF(AND($B$1012=1,LEN($I$1388)&gt;0),$I$1388,HLOOKUP(INDIRECT(ADDRESS(2,COLUMN())),OFFSET($T$2,0,0,ROW()-1,14),ROW()-1,FALSE))</x:f>
        <x:v>0</x:v>
      </x:c>
      <x:c r="J387">
        <x:f ca="1">IF(AND($B$1012=1,LEN($J$1388)&gt;0),$J$1388,HLOOKUP(INDIRECT(ADDRESS(2,COLUMN())),OFFSET($T$2,0,0,ROW()-1,14),ROW()-1,FALSE))</x:f>
        <x:v>0</x:v>
      </x:c>
      <x:c r="K387">
        <x:f ca="1">IF(AND($B$1012=1,LEN($K$1388)&gt;0),$K$1388,HLOOKUP(INDIRECT(ADDRESS(2,COLUMN())),OFFSET($T$2,0,0,ROW()-1,14),ROW()-1,FALSE))</x:f>
        <x:v>1.8856599999999999</x:v>
      </x:c>
      <x:c r="L387">
        <x:f ca="1">IF(AND($B$1012=1,LEN($L$1388)&gt;0),$L$1388,HLOOKUP(INDIRECT(ADDRESS(2,COLUMN())),OFFSET($T$2,0,0,ROW()-1,14),ROW()-1,FALSE))</x:f>
        <x:v>-4.49864</x:v>
      </x:c>
      <x:c r="M387">
        <x:f ca="1">IF(AND($B$1012=1,LEN($M$1388)&gt;0),$M$1388,HLOOKUP(INDIRECT(ADDRESS(2,COLUMN())),OFFSET($T$2,0,0,ROW()-1,14),ROW()-1,FALSE))</x:f>
        <x:v>-3.5158200000000002</x:v>
      </x:c>
      <x:c r="N387">
        <x:f ca="1">IF(AND($B$1012=1,LEN($N$1388)&gt;0),$N$1388,HLOOKUP(INDIRECT(ADDRESS(2,COLUMN())),OFFSET($T$2,0,0,ROW()-1,14),ROW()-1,FALSE))</x:f>
        <x:v>-2.8619400000000002</x:v>
      </x:c>
      <x:c r="O387">
        <x:f ca="1">IF(AND($B$1012=1,LEN($O$1388)&gt;0),$O$1388,HLOOKUP(INDIRECT(ADDRESS(2,COLUMN())),OFFSET($T$2,0,0,ROW()-1,14),ROW()-1,FALSE))</x:f>
        <x:v>-1.9118599999999999</x:v>
      </x:c>
      <x:c r="P387">
        <x:f ca="1">IF(AND($B$1012=1,LEN($P$1388)&gt;0),$P$1388,HLOOKUP(INDIRECT(ADDRESS(2,COLUMN())),OFFSET($T$2,0,0,ROW()-1,14),ROW()-1,FALSE))</x:f>
        <x:v>0</x:v>
      </x:c>
      <x:c r="Q387">
        <x:f ca="1">IF(AND($B$1012=1,LEN($Q$1388)&gt;0),$Q$1388,HLOOKUP(INDIRECT(ADDRESS(2,COLUMN())),OFFSET($T$2,0,0,ROW()-1,14),ROW()-1,FALSE))</x:f>
        <x:v>6.3490000000000005E-2</x:v>
      </x:c>
      <x:c r="R387">
        <x:f ca="1">IF(AND($B$1012=1,LEN($R$1388)&gt;0),$R$1388,HLOOKUP(INDIRECT(ADDRESS(2,COLUMN())),OFFSET($T$2,0,0,ROW()-1,14),ROW()-1,FALSE))</x:f>
        <x:v>0</x:v>
      </x:c>
      <x:c r="S387">
        <x:f ca="1">IF(AND($B$1012=1,LEN($S$1388)&gt;0),$S$1388,HLOOKUP(INDIRECT(ADDRESS(2,COLUMN())),OFFSET($T$2,0,0,ROW()-1,14),ROW()-1,FALSE))</x:f>
        <x:v>2.7269999999999999</x:v>
      </x:c>
      <x:c r="T387">
        <x:f>0</x:f>
        <x:v>0</x:v>
      </x:c>
      <x:c r="U387">
        <x:f>0</x:f>
        <x:v>0</x:v>
      </x:c>
      <x:c r="V387">
        <x:f>0.93083</x:f>
        <x:v>0.93083000000000005</x:v>
      </x:c>
      <x:c r="W387">
        <x:f>0</x:f>
        <x:v>0</x:v>
      </x:c>
      <x:c r="X387">
        <x:f>0</x:f>
        <x:v>0</x:v>
      </x:c>
      <x:c r="Y387">
        <x:f>1.88566</x:f>
        <x:v>1.8856599999999999</x:v>
      </x:c>
      <x:c r="Z387">
        <x:f>-4.49864</x:f>
        <x:v>-4.49864</x:v>
      </x:c>
      <x:c r="AA387">
        <x:f>-3.51582</x:f>
        <x:v>-3.5158200000000002</x:v>
      </x:c>
      <x:c r="AB387">
        <x:f>-2.86194</x:f>
        <x:v>-2.8619400000000002</x:v>
      </x:c>
      <x:c r="AC387">
        <x:f>-1.91186</x:f>
        <x:v>-1.9118599999999999</x:v>
      </x:c>
      <x:c r="AD387">
        <x:f>0</x:f>
        <x:v>0</x:v>
      </x:c>
      <x:c r="AE387">
        <x:f>0.06349</x:f>
        <x:v>6.3490000000000005E-2</x:v>
      </x:c>
      <x:c r="AF387">
        <x:f>0</x:f>
        <x:v>0</x:v>
      </x:c>
      <x:c r="AG387">
        <x:f>2.727</x:f>
        <x:v>2.7269999999999999</x:v>
      </x:c>
    </x:row>
    <x:row r="388" spans="1:33" x14ac:dyDescent="0.25">
      <x:c r="A388" t="str">
        <x:f>"        ETFMG Prime Junior Silver Mine"</x:f>
        <x:v xml:space="preserve">        ETFMG Prime Junior Silver Mine</x:v>
      </x:c>
      <x:c r="B388" t="str">
        <x:f>"SILJ US Equity"</x:f>
        <x:v>SILJ US Equity</x:v>
      </x:c>
      <x:c r="E388" t="str">
        <x:f t="shared" si="12"/>
        <x:v>Expression</x:v>
      </x:c>
      <x:c r="F388">
        <x:f ca="1">IF(AND($B$1012=1,LEN($F$1389)&gt;0),$F$1389,HLOOKUP(INDIRECT(ADDRESS(2,COLUMN())),OFFSET($T$2,0,0,ROW()-1,14),ROW()-1,FALSE))</x:f>
        <x:v>3.4822799999999998</x:v>
      </x:c>
      <x:c r="G388">
        <x:f ca="1">IF(AND($B$1012=1,LEN($G$1389)&gt;0),$G$1389,HLOOKUP(INDIRECT(ADDRESS(2,COLUMN())),OFFSET($T$2,0,0,ROW()-1,14),ROW()-1,FALSE))</x:f>
        <x:v>7.5105050000000002</x:v>
      </x:c>
      <x:c r="H388">
        <x:f ca="1">IF(AND($B$1012=1,LEN($H$1389)&gt;0),$H$1389,HLOOKUP(INDIRECT(ADDRESS(2,COLUMN())),OFFSET($T$2,0,0,ROW()-1,14),ROW()-1,FALSE))</x:f>
        <x:v>4.2241499999999998</x:v>
      </x:c>
      <x:c r="I388">
        <x:f ca="1">IF(AND($B$1012=1,LEN($I$1389)&gt;0),$I$1389,HLOOKUP(INDIRECT(ADDRESS(2,COLUMN())),OFFSET($T$2,0,0,ROW()-1,14),ROW()-1,FALSE))</x:f>
        <x:v>0.46065</x:v>
      </x:c>
      <x:c r="J388">
        <x:f ca="1">IF(AND($B$1012=1,LEN($J$1389)&gt;0),$J$1389,HLOOKUP(INDIRECT(ADDRESS(2,COLUMN())),OFFSET($T$2,0,0,ROW()-1,14),ROW()-1,FALSE))</x:f>
        <x:v>0</x:v>
      </x:c>
      <x:c r="K388">
        <x:f ca="1">IF(AND($B$1012=1,LEN($K$1389)&gt;0),$K$1389,HLOOKUP(INDIRECT(ADDRESS(2,COLUMN())),OFFSET($T$2,0,0,ROW()-1,14),ROW()-1,FALSE))</x:f>
        <x:v>4.28871</x:v>
      </x:c>
      <x:c r="L388">
        <x:f ca="1">IF(AND($B$1012=1,LEN($L$1389)&gt;0),$L$1389,HLOOKUP(INDIRECT(ADDRESS(2,COLUMN())),OFFSET($T$2,0,0,ROW()-1,14),ROW()-1,FALSE))</x:f>
        <x:v>14.97397</x:v>
      </x:c>
      <x:c r="M388">
        <x:f ca="1">IF(AND($B$1012=1,LEN($M$1389)&gt;0),$M$1389,HLOOKUP(INDIRECT(ADDRESS(2,COLUMN())),OFFSET($T$2,0,0,ROW()-1,14),ROW()-1,FALSE))</x:f>
        <x:v>10.726035</x:v>
      </x:c>
      <x:c r="N388">
        <x:f ca="1">IF(AND($B$1012=1,LEN($N$1389)&gt;0),$N$1389,HLOOKUP(INDIRECT(ADDRESS(2,COLUMN())),OFFSET($T$2,0,0,ROW()-1,14),ROW()-1,FALSE))</x:f>
        <x:v>-0.95438999999999996</x:v>
      </x:c>
      <x:c r="O388">
        <x:f ca="1">IF(AND($B$1012=1,LEN($O$1389)&gt;0),$O$1389,HLOOKUP(INDIRECT(ADDRESS(2,COLUMN())),OFFSET($T$2,0,0,ROW()-1,14),ROW()-1,FALSE))</x:f>
        <x:v>-12.62851</x:v>
      </x:c>
      <x:c r="P388">
        <x:f ca="1">IF(AND($B$1012=1,LEN($P$1389)&gt;0),$P$1389,HLOOKUP(INDIRECT(ADDRESS(2,COLUMN())),OFFSET($T$2,0,0,ROW()-1,14),ROW()-1,FALSE))</x:f>
        <x:v>-6.3203800000000001</x:v>
      </x:c>
      <x:c r="Q388">
        <x:f ca="1">IF(AND($B$1012=1,LEN($Q$1389)&gt;0),$Q$1389,HLOOKUP(INDIRECT(ADDRESS(2,COLUMN())),OFFSET($T$2,0,0,ROW()-1,14),ROW()-1,FALSE))</x:f>
        <x:v>4.0882050000000003</x:v>
      </x:c>
      <x:c r="R388">
        <x:f ca="1">IF(AND($B$1012=1,LEN($R$1389)&gt;0),$R$1389,HLOOKUP(INDIRECT(ADDRESS(2,COLUMN())),OFFSET($T$2,0,0,ROW()-1,14),ROW()-1,FALSE))</x:f>
        <x:v>-1.6212299999999999</x:v>
      </x:c>
      <x:c r="S388">
        <x:f ca="1">IF(AND($B$1012=1,LEN($S$1389)&gt;0),$S$1389,HLOOKUP(INDIRECT(ADDRESS(2,COLUMN())),OFFSET($T$2,0,0,ROW()-1,14),ROW()-1,FALSE))</x:f>
        <x:v>4.7102700000000004</x:v>
      </x:c>
      <x:c r="T388">
        <x:f>3.48228</x:f>
        <x:v>3.4822799999999998</x:v>
      </x:c>
      <x:c r="U388">
        <x:f>7.510505</x:f>
        <x:v>7.5105050000000002</x:v>
      </x:c>
      <x:c r="V388">
        <x:f>4.22415</x:f>
        <x:v>4.2241499999999998</x:v>
      </x:c>
      <x:c r="W388">
        <x:f>0.46065</x:f>
        <x:v>0.46065</x:v>
      </x:c>
      <x:c r="X388">
        <x:f>0</x:f>
        <x:v>0</x:v>
      </x:c>
      <x:c r="Y388">
        <x:f>4.28871</x:f>
        <x:v>4.28871</x:v>
      </x:c>
      <x:c r="Z388">
        <x:f>14.97397</x:f>
        <x:v>14.97397</x:v>
      </x:c>
      <x:c r="AA388">
        <x:f>10.726035</x:f>
        <x:v>10.726035</x:v>
      </x:c>
      <x:c r="AB388">
        <x:f>-0.95439</x:f>
        <x:v>-0.95438999999999996</x:v>
      </x:c>
      <x:c r="AC388">
        <x:f>-12.62851</x:f>
        <x:v>-12.62851</x:v>
      </x:c>
      <x:c r="AD388">
        <x:f>-6.32038</x:f>
        <x:v>-6.3203800000000001</x:v>
      </x:c>
      <x:c r="AE388">
        <x:f>4.088205</x:f>
        <x:v>4.0882050000000003</x:v>
      </x:c>
      <x:c r="AF388">
        <x:f>-1.62123</x:f>
        <x:v>-1.6212299999999999</x:v>
      </x:c>
      <x:c r="AG388">
        <x:f>4.71027</x:f>
        <x:v>4.7102700000000004</x:v>
      </x:c>
    </x:row>
    <x:row r="389" spans="1:33" x14ac:dyDescent="0.25">
      <x:c r="A389" t="str">
        <x:f>"        Invesco S&amp;P SmallCap Materials"</x:f>
        <x:v xml:space="preserve">        Invesco S&amp;P SmallCap Materials</x:v>
      </x:c>
      <x:c r="B389" t="str">
        <x:f>"PSCM US Equity"</x:f>
        <x:v>PSCM US Equity</x:v>
      </x:c>
      <x:c r="E389" t="str">
        <x:f t="shared" si="12"/>
        <x:v>Expression</x:v>
      </x:c>
      <x:c r="F389">
        <x:f ca="1">IF(AND($B$1012=1,LEN($F$1390)&gt;0),$F$1390,HLOOKUP(INDIRECT(ADDRESS(2,COLUMN())),OFFSET($T$2,0,0,ROW()-1,14),ROW()-1,FALSE))</x:f>
        <x:v>-0.65240399999999998</x:v>
      </x:c>
      <x:c r="G389">
        <x:f ca="1">IF(AND($B$1012=1,LEN($G$1390)&gt;0),$G$1390,HLOOKUP(INDIRECT(ADDRESS(2,COLUMN())),OFFSET($T$2,0,0,ROW()-1,14),ROW()-1,FALSE))</x:f>
        <x:v>-1.1905829999999999</x:v>
      </x:c>
      <x:c r="H389">
        <x:f ca="1">IF(AND($B$1012=1,LEN($H$1390)&gt;0),$H$1390,HLOOKUP(INDIRECT(ADDRESS(2,COLUMN())),OFFSET($T$2,0,0,ROW()-1,14),ROW()-1,FALSE))</x:f>
        <x:v>0</x:v>
      </x:c>
      <x:c r="I389">
        <x:f ca="1">IF(AND($B$1012=1,LEN($I$1390)&gt;0),$I$1390,HLOOKUP(INDIRECT(ADDRESS(2,COLUMN())),OFFSET($T$2,0,0,ROW()-1,14),ROW()-1,FALSE))</x:f>
        <x:v>-1.3321670000000001</x:v>
      </x:c>
      <x:c r="J389">
        <x:f ca="1">IF(AND($B$1012=1,LEN($J$1390)&gt;0),$J$1390,HLOOKUP(INDIRECT(ADDRESS(2,COLUMN())),OFFSET($T$2,0,0,ROW()-1,14),ROW()-1,FALSE))</x:f>
        <x:v>-0.69814600000000004</x:v>
      </x:c>
      <x:c r="K389">
        <x:f ca="1">IF(AND($B$1012=1,LEN($K$1390)&gt;0),$K$1390,HLOOKUP(INDIRECT(ADDRESS(2,COLUMN())),OFFSET($T$2,0,0,ROW()-1,14),ROW()-1,FALSE))</x:f>
        <x:v>0.67021900000000001</x:v>
      </x:c>
      <x:c r="L389">
        <x:f ca="1">IF(AND($B$1012=1,LEN($L$1390)&gt;0),$L$1390,HLOOKUP(INDIRECT(ADDRESS(2,COLUMN())),OFFSET($T$2,0,0,ROW()-1,14),ROW()-1,FALSE))</x:f>
        <x:v>-0.61942900000000001</x:v>
      </x:c>
      <x:c r="M389">
        <x:f ca="1">IF(AND($B$1012=1,LEN($M$1390)&gt;0),$M$1390,HLOOKUP(INDIRECT(ADDRESS(2,COLUMN())),OFFSET($T$2,0,0,ROW()-1,14),ROW()-1,FALSE))</x:f>
        <x:v>-3.2840029999999998</x:v>
      </x:c>
      <x:c r="N389">
        <x:f ca="1">IF(AND($B$1012=1,LEN($N$1390)&gt;0),$N$1390,HLOOKUP(INDIRECT(ADDRESS(2,COLUMN())),OFFSET($T$2,0,0,ROW()-1,14),ROW()-1,FALSE))</x:f>
        <x:v>5.4815170000000002</x:v>
      </x:c>
      <x:c r="O389">
        <x:f ca="1">IF(AND($B$1012=1,LEN($O$1390)&gt;0),$O$1390,HLOOKUP(INDIRECT(ADDRESS(2,COLUMN())),OFFSET($T$2,0,0,ROW()-1,14),ROW()-1,FALSE))</x:f>
        <x:v>-0.71653299999999998</x:v>
      </x:c>
      <x:c r="P389">
        <x:f ca="1">IF(AND($B$1012=1,LEN($P$1390)&gt;0),$P$1390,HLOOKUP(INDIRECT(ADDRESS(2,COLUMN())),OFFSET($T$2,0,0,ROW()-1,14),ROW()-1,FALSE))</x:f>
        <x:v>0</x:v>
      </x:c>
      <x:c r="Q389">
        <x:f ca="1">IF(AND($B$1012=1,LEN($Q$1390)&gt;0),$Q$1390,HLOOKUP(INDIRECT(ADDRESS(2,COLUMN())),OFFSET($T$2,0,0,ROW()-1,14),ROW()-1,FALSE))</x:f>
        <x:v>0</x:v>
      </x:c>
      <x:c r="R389">
        <x:f ca="1">IF(AND($B$1012=1,LEN($R$1390)&gt;0),$R$1390,HLOOKUP(INDIRECT(ADDRESS(2,COLUMN())),OFFSET($T$2,0,0,ROW()-1,14),ROW()-1,FALSE))</x:f>
        <x:v>-1.315955</x:v>
      </x:c>
      <x:c r="S389">
        <x:f ca="1">IF(AND($B$1012=1,LEN($S$1390)&gt;0),$S$1390,HLOOKUP(INDIRECT(ADDRESS(2,COLUMN())),OFFSET($T$2,0,0,ROW()-1,14),ROW()-1,FALSE))</x:f>
        <x:v>-1.741541</x:v>
      </x:c>
      <x:c r="T389">
        <x:f>-0.652404</x:f>
        <x:v>-0.65240399999999998</x:v>
      </x:c>
      <x:c r="U389">
        <x:f>-1.190583</x:f>
        <x:v>-1.1905829999999999</x:v>
      </x:c>
      <x:c r="V389">
        <x:f>0</x:f>
        <x:v>0</x:v>
      </x:c>
      <x:c r="W389">
        <x:f>-1.332167</x:f>
        <x:v>-1.3321670000000001</x:v>
      </x:c>
      <x:c r="X389">
        <x:f>-0.698146</x:f>
        <x:v>-0.69814600000000004</x:v>
      </x:c>
      <x:c r="Y389">
        <x:f>0.670219</x:f>
        <x:v>0.67021900000000001</x:v>
      </x:c>
      <x:c r="Z389">
        <x:f>-0.619429</x:f>
        <x:v>-0.61942900000000001</x:v>
      </x:c>
      <x:c r="AA389">
        <x:f>-3.284003</x:f>
        <x:v>-3.2840029999999998</x:v>
      </x:c>
      <x:c r="AB389">
        <x:f>5.481517</x:f>
        <x:v>5.4815170000000002</x:v>
      </x:c>
      <x:c r="AC389">
        <x:f>-0.716533</x:f>
        <x:v>-0.71653299999999998</x:v>
      </x:c>
      <x:c r="AD389">
        <x:f>0</x:f>
        <x:v>0</x:v>
      </x:c>
      <x:c r="AE389">
        <x:f>0</x:f>
        <x:v>0</x:v>
      </x:c>
      <x:c r="AF389">
        <x:f>-1.315955</x:f>
        <x:v>-1.315955</x:v>
      </x:c>
      <x:c r="AG389">
        <x:f>-1.741541</x:f>
        <x:v>-1.741541</x:v>
      </x:c>
    </x:row>
    <x:row r="390" spans="1:33" x14ac:dyDescent="0.25">
      <x:c r="A390" t="str">
        <x:f>"        ProShares Ultra Materials"</x:f>
        <x:v xml:space="preserve">        ProShares Ultra Materials</x:v>
      </x:c>
      <x:c r="B390" t="str">
        <x:f>"UYM US Equity"</x:f>
        <x:v>UYM US Equity</x:v>
      </x:c>
      <x:c r="E390" t="str">
        <x:f t="shared" si="12"/>
        <x:v>Expression</x:v>
      </x:c>
      <x:c r="F390">
        <x:f ca="1">IF(AND($B$1012=1,LEN($F$1391)&gt;0),$F$1391,HLOOKUP(INDIRECT(ADDRESS(2,COLUMN())),OFFSET($T$2,0,0,ROW()-1,14),ROW()-1,FALSE))</x:f>
        <x:v>-1.06304</x:v>
      </x:c>
      <x:c r="G390">
        <x:f ca="1">IF(AND($B$1012=1,LEN($G$1391)&gt;0),$G$1391,HLOOKUP(INDIRECT(ADDRESS(2,COLUMN())),OFFSET($T$2,0,0,ROW()-1,14),ROW()-1,FALSE))</x:f>
        <x:v>-1.998345</x:v>
      </x:c>
      <x:c r="H390">
        <x:f ca="1">IF(AND($B$1012=1,LEN($H$1391)&gt;0),$H$1391,HLOOKUP(INDIRECT(ADDRESS(2,COLUMN())),OFFSET($T$2,0,0,ROW()-1,14),ROW()-1,FALSE))</x:f>
        <x:v>-2.6865929999999998</x:v>
      </x:c>
      <x:c r="I390">
        <x:f ca="1">IF(AND($B$1012=1,LEN($I$1391)&gt;0),$I$1391,HLOOKUP(INDIRECT(ADDRESS(2,COLUMN())),OFFSET($T$2,0,0,ROW()-1,14),ROW()-1,FALSE))</x:f>
        <x:v>8.6970000000000006E-2</x:v>
      </x:c>
      <x:c r="J390">
        <x:f ca="1">IF(AND($B$1012=1,LEN($J$1391)&gt;0),$J$1391,HLOOKUP(INDIRECT(ADDRESS(2,COLUMN())),OFFSET($T$2,0,0,ROW()-1,14),ROW()-1,FALSE))</x:f>
        <x:v>1.881885</x:v>
      </x:c>
      <x:c r="K390">
        <x:f ca="1">IF(AND($B$1012=1,LEN($K$1391)&gt;0),$K$1391,HLOOKUP(INDIRECT(ADDRESS(2,COLUMN())),OFFSET($T$2,0,0,ROW()-1,14),ROW()-1,FALSE))</x:f>
        <x:v>-1.0794379999999999</x:v>
      </x:c>
      <x:c r="L390">
        <x:f ca="1">IF(AND($B$1012=1,LEN($L$1391)&gt;0),$L$1391,HLOOKUP(INDIRECT(ADDRESS(2,COLUMN())),OFFSET($T$2,0,0,ROW()-1,14),ROW()-1,FALSE))</x:f>
        <x:v>-2.0525799999999998</x:v>
      </x:c>
      <x:c r="M390">
        <x:f ca="1">IF(AND($B$1012=1,LEN($M$1391)&gt;0),$M$1391,HLOOKUP(INDIRECT(ADDRESS(2,COLUMN())),OFFSET($T$2,0,0,ROW()-1,14),ROW()-1,FALSE))</x:f>
        <x:v>1.7769520000000001</x:v>
      </x:c>
      <x:c r="N390">
        <x:f ca="1">IF(AND($B$1012=1,LEN($N$1391)&gt;0),$N$1391,HLOOKUP(INDIRECT(ADDRESS(2,COLUMN())),OFFSET($T$2,0,0,ROW()-1,14),ROW()-1,FALSE))</x:f>
        <x:v>-2.5137179999999999</x:v>
      </x:c>
      <x:c r="O390">
        <x:f ca="1">IF(AND($B$1012=1,LEN($O$1391)&gt;0),$O$1391,HLOOKUP(INDIRECT(ADDRESS(2,COLUMN())),OFFSET($T$2,0,0,ROW()-1,14),ROW()-1,FALSE))</x:f>
        <x:v>0</x:v>
      </x:c>
      <x:c r="P390">
        <x:f ca="1">IF(AND($B$1012=1,LEN($P$1391)&gt;0),$P$1391,HLOOKUP(INDIRECT(ADDRESS(2,COLUMN())),OFFSET($T$2,0,0,ROW()-1,14),ROW()-1,FALSE))</x:f>
        <x:v>-0.52847699999999997</x:v>
      </x:c>
      <x:c r="Q390">
        <x:f ca="1">IF(AND($B$1012=1,LEN($Q$1391)&gt;0),$Q$1391,HLOOKUP(INDIRECT(ADDRESS(2,COLUMN())),OFFSET($T$2,0,0,ROW()-1,14),ROW()-1,FALSE))</x:f>
        <x:v>2.660793</x:v>
      </x:c>
      <x:c r="R390">
        <x:f ca="1">IF(AND($B$1012=1,LEN($R$1391)&gt;0),$R$1391,HLOOKUP(INDIRECT(ADDRESS(2,COLUMN())),OFFSET($T$2,0,0,ROW()-1,14),ROW()-1,FALSE))</x:f>
        <x:v>-1.0812999999999999</x:v>
      </x:c>
      <x:c r="S390">
        <x:f ca="1">IF(AND($B$1012=1,LEN($S$1391)&gt;0),$S$1391,HLOOKUP(INDIRECT(ADDRESS(2,COLUMN())),OFFSET($T$2,0,0,ROW()-1,14),ROW()-1,FALSE))</x:f>
        <x:v>0</x:v>
      </x:c>
      <x:c r="T390">
        <x:f>-1.06304</x:f>
        <x:v>-1.06304</x:v>
      </x:c>
      <x:c r="U390">
        <x:f>-1.998345</x:f>
        <x:v>-1.998345</x:v>
      </x:c>
      <x:c r="V390">
        <x:f>-2.686593</x:f>
        <x:v>-2.6865929999999998</x:v>
      </x:c>
      <x:c r="W390">
        <x:f>0.08697</x:f>
        <x:v>8.6970000000000006E-2</x:v>
      </x:c>
      <x:c r="X390">
        <x:f>1.881885</x:f>
        <x:v>1.881885</x:v>
      </x:c>
      <x:c r="Y390">
        <x:f>-1.079438</x:f>
        <x:v>-1.0794379999999999</x:v>
      </x:c>
      <x:c r="Z390">
        <x:f>-2.05258</x:f>
        <x:v>-2.0525799999999998</x:v>
      </x:c>
      <x:c r="AA390">
        <x:f>1.776952</x:f>
        <x:v>1.7769520000000001</x:v>
      </x:c>
      <x:c r="AB390">
        <x:f>-2.513718</x:f>
        <x:v>-2.5137179999999999</x:v>
      </x:c>
      <x:c r="AC390">
        <x:f>0</x:f>
        <x:v>0</x:v>
      </x:c>
      <x:c r="AD390">
        <x:f>-0.528477</x:f>
        <x:v>-0.52847699999999997</x:v>
      </x:c>
      <x:c r="AE390">
        <x:f>2.660793</x:f>
        <x:v>2.660793</x:v>
      </x:c>
      <x:c r="AF390">
        <x:f>-1.0813</x:f>
        <x:v>-1.0812999999999999</x:v>
      </x:c>
      <x:c r="AG390">
        <x:f>0</x:f>
        <x:v>0</x:v>
      </x:c>
    </x:row>
    <x:row r="391" spans="1:33" x14ac:dyDescent="0.25">
      <x:c r="A391" t="str">
        <x:f>"        VanEck Rare Earth/Strategic Me"</x:f>
        <x:v xml:space="preserve">        VanEck Rare Earth/Strategic Me</x:v>
      </x:c>
      <x:c r="B391" t="str">
        <x:f>"REMX US Equity"</x:f>
        <x:v>REMX US Equity</x:v>
      </x:c>
      <x:c r="E391" t="str">
        <x:f t="shared" si="12"/>
        <x:v>Expression</x:v>
      </x:c>
      <x:c r="F391">
        <x:f ca="1">IF(AND($B$1012=1,LEN($F$1731)&gt;0),$F$1731,HLOOKUP(INDIRECT(ADDRESS(2,COLUMN())),OFFSET($T$2,0,0,ROW()-1,14),ROW()-1,FALSE))</x:f>
        <x:v>-14.446527</x:v>
      </x:c>
      <x:c r="G391">
        <x:f ca="1">IF(AND($B$1012=1,LEN($G$1731)&gt;0),$G$1731,HLOOKUP(INDIRECT(ADDRESS(2,COLUMN())),OFFSET($T$2,0,0,ROW()-1,14),ROW()-1,FALSE))</x:f>
        <x:v>-26.807746000000002</x:v>
      </x:c>
      <x:c r="H391">
        <x:f ca="1">IF(AND($B$1012=1,LEN($H$1731)&gt;0),$H$1731,HLOOKUP(INDIRECT(ADDRESS(2,COLUMN())),OFFSET($T$2,0,0,ROW()-1,14),ROW()-1,FALSE))</x:f>
        <x:v>7.124396</x:v>
      </x:c>
      <x:c r="I391">
        <x:f ca="1">IF(AND($B$1012=1,LEN($I$1731)&gt;0),$I$1731,HLOOKUP(INDIRECT(ADDRESS(2,COLUMN())),OFFSET($T$2,0,0,ROW()-1,14),ROW()-1,FALSE))</x:f>
        <x:v>0.70131500000000002</x:v>
      </x:c>
      <x:c r="J391">
        <x:f ca="1">IF(AND($B$1012=1,LEN($J$1731)&gt;0),$J$1731,HLOOKUP(INDIRECT(ADDRESS(2,COLUMN())),OFFSET($T$2,0,0,ROW()-1,14),ROW()-1,FALSE))</x:f>
        <x:v>9.9634E-2</x:v>
      </x:c>
      <x:c r="K391">
        <x:f ca="1">IF(AND($B$1012=1,LEN($K$1731)&gt;0),$K$1731,HLOOKUP(INDIRECT(ADDRESS(2,COLUMN())),OFFSET($T$2,0,0,ROW()-1,14),ROW()-1,FALSE))</x:f>
        <x:v>-1.6784E-2</x:v>
      </x:c>
      <x:c r="L391">
        <x:f ca="1">IF(AND($B$1012=1,LEN($L$1731)&gt;0),$L$1731,HLOOKUP(INDIRECT(ADDRESS(2,COLUMN())),OFFSET($T$2,0,0,ROW()-1,14),ROW()-1,FALSE))</x:f>
        <x:v>-38.103796000000003</x:v>
      </x:c>
      <x:c r="M391">
        <x:f ca="1">IF(AND($B$1012=1,LEN($M$1731)&gt;0),$M$1731,HLOOKUP(INDIRECT(ADDRESS(2,COLUMN())),OFFSET($T$2,0,0,ROW()-1,14),ROW()-1,FALSE))</x:f>
        <x:v>-4.0039509999999998</x:v>
      </x:c>
      <x:c r="N391">
        <x:f ca="1">IF(AND($B$1012=1,LEN($N$1731)&gt;0),$N$1731,HLOOKUP(INDIRECT(ADDRESS(2,COLUMN())),OFFSET($T$2,0,0,ROW()-1,14),ROW()-1,FALSE))</x:f>
        <x:v>19.934545</x:v>
      </x:c>
      <x:c r="O391">
        <x:f ca="1">IF(AND($B$1012=1,LEN($O$1731)&gt;0),$O$1731,HLOOKUP(INDIRECT(ADDRESS(2,COLUMN())),OFFSET($T$2,0,0,ROW()-1,14),ROW()-1,FALSE))</x:f>
        <x:v>-49.646355999999997</x:v>
      </x:c>
      <x:c r="P391">
        <x:f ca="1">IF(AND($B$1012=1,LEN($P$1731)&gt;0),$P$1731,HLOOKUP(INDIRECT(ADDRESS(2,COLUMN())),OFFSET($T$2,0,0,ROW()-1,14),ROW()-1,FALSE))</x:f>
        <x:v>-12.242761</x:v>
      </x:c>
      <x:c r="Q391">
        <x:f ca="1">IF(AND($B$1012=1,LEN($Q$1731)&gt;0),$Q$1731,HLOOKUP(INDIRECT(ADDRESS(2,COLUMN())),OFFSET($T$2,0,0,ROW()-1,14),ROW()-1,FALSE))</x:f>
        <x:v>13.398933</x:v>
      </x:c>
      <x:c r="R391">
        <x:f ca="1">IF(AND($B$1012=1,LEN($R$1731)&gt;0),$R$1731,HLOOKUP(INDIRECT(ADDRESS(2,COLUMN())),OFFSET($T$2,0,0,ROW()-1,14),ROW()-1,FALSE))</x:f>
        <x:v>14.210891999999999</x:v>
      </x:c>
      <x:c r="S391">
        <x:f ca="1">IF(AND($B$1012=1,LEN($S$1731)&gt;0),$S$1731,HLOOKUP(INDIRECT(ADDRESS(2,COLUMN())),OFFSET($T$2,0,0,ROW()-1,14),ROW()-1,FALSE))</x:f>
        <x:v>-33.909998000000002</x:v>
      </x:c>
      <x:c r="T391">
        <x:f>-14.446527</x:f>
        <x:v>-14.446527</x:v>
      </x:c>
      <x:c r="U391">
        <x:f>-26.807746</x:f>
        <x:v>-26.807746000000002</x:v>
      </x:c>
      <x:c r="V391">
        <x:f>7.124396</x:f>
        <x:v>7.124396</x:v>
      </x:c>
      <x:c r="W391">
        <x:f>0.701315</x:f>
        <x:v>0.70131500000000002</x:v>
      </x:c>
      <x:c r="X391">
        <x:f>0.099634</x:f>
        <x:v>9.9634E-2</x:v>
      </x:c>
      <x:c r="Y391">
        <x:f>-0.016784</x:f>
        <x:v>-1.6784E-2</x:v>
      </x:c>
      <x:c r="Z391">
        <x:f>-38.103796</x:f>
        <x:v>-38.103796000000003</x:v>
      </x:c>
      <x:c r="AA391">
        <x:f>-4.003951</x:f>
        <x:v>-4.0039509999999998</x:v>
      </x:c>
      <x:c r="AB391">
        <x:f>19.934545</x:f>
        <x:v>19.934545</x:v>
      </x:c>
      <x:c r="AC391">
        <x:f>-49.646356</x:f>
        <x:v>-49.646355999999997</x:v>
      </x:c>
      <x:c r="AD391">
        <x:f>-12.242761</x:f>
        <x:v>-12.242761</x:v>
      </x:c>
      <x:c r="AE391">
        <x:f>13.398933</x:f>
        <x:v>13.398933</x:v>
      </x:c>
      <x:c r="AF391">
        <x:f>14.210892</x:f>
        <x:v>14.210891999999999</x:v>
      </x:c>
      <x:c r="AG391">
        <x:f>-33.909998</x:f>
        <x:v>-33.909998000000002</x:v>
      </x:c>
    </x:row>
    <x:row r="392" spans="1:33" x14ac:dyDescent="0.25">
      <x:c r="A392" t="str">
        <x:f>"        Global X Gold Explorers ETF"</x:f>
        <x:v xml:space="preserve">        Global X Gold Explorers ETF</x:v>
      </x:c>
      <x:c r="B392" t="str">
        <x:f>"GOEX US Equity"</x:f>
        <x:v>GOEX US Equity</x:v>
      </x:c>
      <x:c r="E392" t="str">
        <x:f t="shared" si="12"/>
        <x:v>Expression</x:v>
      </x:c>
      <x:c r="F392">
        <x:f ca="1">IF(AND($B$1012=1,LEN($F$1393)&gt;0),$F$1393,HLOOKUP(INDIRECT(ADDRESS(2,COLUMN())),OFFSET($T$2,0,0,ROW()-1,14),ROW()-1,FALSE))</x:f>
        <x:v>-0.44719999999999999</x:v>
      </x:c>
      <x:c r="G392">
        <x:f ca="1">IF(AND($B$1012=1,LEN($G$1393)&gt;0),$G$1393,HLOOKUP(INDIRECT(ADDRESS(2,COLUMN())),OFFSET($T$2,0,0,ROW()-1,14),ROW()-1,FALSE))</x:f>
        <x:v>-0.65039999999999998</x:v>
      </x:c>
      <x:c r="H392">
        <x:f ca="1">IF(AND($B$1012=1,LEN($H$1393)&gt;0),$H$1393,HLOOKUP(INDIRECT(ADDRESS(2,COLUMN())),OFFSET($T$2,0,0,ROW()-1,14),ROW()-1,FALSE))</x:f>
        <x:v>0</x:v>
      </x:c>
      <x:c r="I392">
        <x:f ca="1">IF(AND($B$1012=1,LEN($I$1393)&gt;0),$I$1393,HLOOKUP(INDIRECT(ADDRESS(2,COLUMN())),OFFSET($T$2,0,0,ROW()-1,14),ROW()-1,FALSE))</x:f>
        <x:v>-0.72719999999999996</x:v>
      </x:c>
      <x:c r="J392">
        <x:f ca="1">IF(AND($B$1012=1,LEN($J$1393)&gt;0),$J$1393,HLOOKUP(INDIRECT(ADDRESS(2,COLUMN())),OFFSET($T$2,0,0,ROW()-1,14),ROW()-1,FALSE))</x:f>
        <x:v>0</x:v>
      </x:c>
      <x:c r="K392">
        <x:f ca="1">IF(AND($B$1012=1,LEN($K$1393)&gt;0),$K$1393,HLOOKUP(INDIRECT(ADDRESS(2,COLUMN())),OFFSET($T$2,0,0,ROW()-1,14),ROW()-1,FALSE))</x:f>
        <x:v>0</x:v>
      </x:c>
      <x:c r="L392">
        <x:f ca="1">IF(AND($B$1012=1,LEN($L$1393)&gt;0),$L$1393,HLOOKUP(INDIRECT(ADDRESS(2,COLUMN())),OFFSET($T$2,0,0,ROW()-1,14),ROW()-1,FALSE))</x:f>
        <x:v>0</x:v>
      </x:c>
      <x:c r="M392">
        <x:f ca="1">IF(AND($B$1012=1,LEN($M$1393)&gt;0),$M$1393,HLOOKUP(INDIRECT(ADDRESS(2,COLUMN())),OFFSET($T$2,0,0,ROW()-1,14),ROW()-1,FALSE))</x:f>
        <x:v>0</x:v>
      </x:c>
      <x:c r="N392">
        <x:f ca="1">IF(AND($B$1012=1,LEN($N$1393)&gt;0),$N$1393,HLOOKUP(INDIRECT(ADDRESS(2,COLUMN())),OFFSET($T$2,0,0,ROW()-1,14),ROW()-1,FALSE))</x:f>
        <x:v>1.7458</x:v>
      </x:c>
      <x:c r="O392">
        <x:f ca="1">IF(AND($B$1012=1,LEN($O$1393)&gt;0),$O$1393,HLOOKUP(INDIRECT(ADDRESS(2,COLUMN())),OFFSET($T$2,0,0,ROW()-1,14),ROW()-1,FALSE))</x:f>
        <x:v>0</x:v>
      </x:c>
      <x:c r="P392">
        <x:f ca="1">IF(AND($B$1012=1,LEN($P$1393)&gt;0),$P$1393,HLOOKUP(INDIRECT(ADDRESS(2,COLUMN())),OFFSET($T$2,0,0,ROW()-1,14),ROW()-1,FALSE))</x:f>
        <x:v>0.27479999999999999</x:v>
      </x:c>
      <x:c r="Q392">
        <x:f ca="1">IF(AND($B$1012=1,LEN($Q$1393)&gt;0),$Q$1393,HLOOKUP(INDIRECT(ADDRESS(2,COLUMN())),OFFSET($T$2,0,0,ROW()-1,14),ROW()-1,FALSE))</x:f>
        <x:v>0.2485</x:v>
      </x:c>
      <x:c r="R392">
        <x:f ca="1">IF(AND($B$1012=1,LEN($R$1393)&gt;0),$R$1393,HLOOKUP(INDIRECT(ADDRESS(2,COLUMN())),OFFSET($T$2,0,0,ROW()-1,14),ROW()-1,FALSE))</x:f>
        <x:v>0</x:v>
      </x:c>
      <x:c r="S392">
        <x:f ca="1">IF(AND($B$1012=1,LEN($S$1393)&gt;0),$S$1393,HLOOKUP(INDIRECT(ADDRESS(2,COLUMN())),OFFSET($T$2,0,0,ROW()-1,14),ROW()-1,FALSE))</x:f>
        <x:v>0</x:v>
      </x:c>
      <x:c r="T392">
        <x:f>-0.4472</x:f>
        <x:v>-0.44719999999999999</x:v>
      </x:c>
      <x:c r="U392">
        <x:f>-0.6504</x:f>
        <x:v>-0.65039999999999998</x:v>
      </x:c>
      <x:c r="V392">
        <x:f>0</x:f>
        <x:v>0</x:v>
      </x:c>
      <x:c r="W392">
        <x:f>-0.7272</x:f>
        <x:v>-0.72719999999999996</x:v>
      </x:c>
      <x:c r="X392">
        <x:f>0</x:f>
        <x:v>0</x:v>
      </x:c>
      <x:c r="Y392">
        <x:f>0</x:f>
        <x:v>0</x:v>
      </x:c>
      <x:c r="Z392">
        <x:f>0</x:f>
        <x:v>0</x:v>
      </x:c>
      <x:c r="AA392">
        <x:f>0</x:f>
        <x:v>0</x:v>
      </x:c>
      <x:c r="AB392">
        <x:f>1.7458</x:f>
        <x:v>1.7458</x:v>
      </x:c>
      <x:c r="AC392">
        <x:f>0</x:f>
        <x:v>0</x:v>
      </x:c>
      <x:c r="AD392">
        <x:f>0.2748</x:f>
        <x:v>0.27479999999999999</x:v>
      </x:c>
      <x:c r="AE392">
        <x:f>0.2485</x:f>
        <x:v>0.2485</x:v>
      </x:c>
      <x:c r="AF392">
        <x:f>0</x:f>
        <x:v>0</x:v>
      </x:c>
      <x:c r="AG392">
        <x:f>0</x:f>
        <x:v>0</x:v>
      </x:c>
    </x:row>
    <x:row r="393" spans="1:33" x14ac:dyDescent="0.25">
      <x:c r="A393" t="str">
        <x:f>"        Invesco Global Gold and Precio"</x:f>
        <x:v xml:space="preserve">        Invesco Global Gold and Precio</x:v>
      </x:c>
      <x:c r="B393" t="str">
        <x:f>"PSAU US Equity"</x:f>
        <x:v>PSAU US Equity</x:v>
      </x:c>
      <x:c r="E393" t="str">
        <x:f t="shared" si="12"/>
        <x:v>Expression</x:v>
      </x:c>
      <x:c r="F393" t="str">
        <x:f ca="1">IF(AND($B$1012=1,LEN($F$1394)&gt;0),$F$1394,HLOOKUP(INDIRECT(ADDRESS(2,COLUMN())),OFFSET($T$2,0,0,ROW()-1,14),ROW()-1,FALSE))</x:f>
        <x:v/>
      </x:c>
      <x:c r="G393" t="str">
        <x:f ca="1">IF(AND($B$1012=1,LEN($G$1394)&gt;0),$G$1394,HLOOKUP(INDIRECT(ADDRESS(2,COLUMN())),OFFSET($T$2,0,0,ROW()-1,14),ROW()-1,FALSE))</x:f>
        <x:v/>
      </x:c>
      <x:c r="H393" t="str">
        <x:f ca="1">IF(AND($B$1012=1,LEN($H$1394)&gt;0),$H$1394,HLOOKUP(INDIRECT(ADDRESS(2,COLUMN())),OFFSET($T$2,0,0,ROW()-1,14),ROW()-1,FALSE))</x:f>
        <x:v/>
      </x:c>
      <x:c r="I393" t="str">
        <x:f ca="1">IF(AND($B$1012=1,LEN($I$1394)&gt;0),$I$1394,HLOOKUP(INDIRECT(ADDRESS(2,COLUMN())),OFFSET($T$2,0,0,ROW()-1,14),ROW()-1,FALSE))</x:f>
        <x:v/>
      </x:c>
      <x:c r="J393" t="str">
        <x:f ca="1">IF(AND($B$1012=1,LEN($J$1394)&gt;0),$J$1394,HLOOKUP(INDIRECT(ADDRESS(2,COLUMN())),OFFSET($T$2,0,0,ROW()-1,14),ROW()-1,FALSE))</x:f>
        <x:v/>
      </x:c>
      <x:c r="K393" t="str">
        <x:f ca="1">IF(AND($B$1012=1,LEN($K$1394)&gt;0),$K$1394,HLOOKUP(INDIRECT(ADDRESS(2,COLUMN())),OFFSET($T$2,0,0,ROW()-1,14),ROW()-1,FALSE))</x:f>
        <x:v/>
      </x:c>
      <x:c r="L393" t="str">
        <x:f ca="1">IF(AND($B$1012=1,LEN($L$1394)&gt;0),$L$1394,HLOOKUP(INDIRECT(ADDRESS(2,COLUMN())),OFFSET($T$2,0,0,ROW()-1,14),ROW()-1,FALSE))</x:f>
        <x:v/>
      </x:c>
      <x:c r="M393" t="str">
        <x:f ca="1">IF(AND($B$1012=1,LEN($M$1394)&gt;0),$M$1394,HLOOKUP(INDIRECT(ADDRESS(2,COLUMN())),OFFSET($T$2,0,0,ROW()-1,14),ROW()-1,FALSE))</x:f>
        <x:v/>
      </x:c>
      <x:c r="N393" t="str">
        <x:f ca="1">IF(AND($B$1012=1,LEN($N$1394)&gt;0),$N$1394,HLOOKUP(INDIRECT(ADDRESS(2,COLUMN())),OFFSET($T$2,0,0,ROW()-1,14),ROW()-1,FALSE))</x:f>
        <x:v/>
      </x:c>
      <x:c r="O393" t="str">
        <x:f ca="1">IF(AND($B$1012=1,LEN($O$1394)&gt;0),$O$1394,HLOOKUP(INDIRECT(ADDRESS(2,COLUMN())),OFFSET($T$2,0,0,ROW()-1,14),ROW()-1,FALSE))</x:f>
        <x:v/>
      </x:c>
      <x:c r="P393" t="str">
        <x:f ca="1">IF(AND($B$1012=1,LEN($P$1394)&gt;0),$P$1394,HLOOKUP(INDIRECT(ADDRESS(2,COLUMN())),OFFSET($T$2,0,0,ROW()-1,14),ROW()-1,FALSE))</x:f>
        <x:v/>
      </x:c>
      <x:c r="Q393" t="str">
        <x:f ca="1">IF(AND($B$1012=1,LEN($Q$1394)&gt;0),$Q$1394,HLOOKUP(INDIRECT(ADDRESS(2,COLUMN())),OFFSET($T$2,0,0,ROW()-1,14),ROW()-1,FALSE))</x:f>
        <x:v/>
      </x:c>
      <x:c r="R393" t="str">
        <x:f ca="1">IF(AND($B$1012=1,LEN($R$1394)&gt;0),$R$1394,HLOOKUP(INDIRECT(ADDRESS(2,COLUMN())),OFFSET($T$2,0,0,ROW()-1,14),ROW()-1,FALSE))</x:f>
        <x:v/>
      </x:c>
      <x:c r="S393" t="str">
        <x:f ca="1">IF(AND($B$1012=1,LEN($S$1394)&gt;0),$S$1394,HLOOKUP(INDIRECT(ADDRESS(2,COLUMN())),OFFSET($T$2,0,0,ROW()-1,14),ROW()-1,FALSE))</x:f>
        <x:v/>
      </x:c>
      <x:c r="T393" t="str">
        <x:f>""</x:f>
        <x:v/>
      </x:c>
      <x:c r="U393" t="str">
        <x:f>""</x:f>
        <x:v/>
      </x:c>
      <x:c r="V393" t="str">
        <x:f>""</x:f>
        <x:v/>
      </x:c>
      <x:c r="W393" t="str">
        <x:f>""</x:f>
        <x:v/>
      </x:c>
      <x:c r="X393" t="str">
        <x:f>""</x:f>
        <x:v/>
      </x:c>
      <x:c r="Y393" t="str">
        <x:f>""</x:f>
        <x:v/>
      </x:c>
      <x:c r="Z393" t="str">
        <x:f>""</x:f>
        <x:v/>
      </x:c>
      <x:c r="AA393" t="str">
        <x:f>""</x:f>
        <x:v/>
      </x:c>
      <x:c r="AB393" t="str">
        <x:f>""</x:f>
        <x:v/>
      </x:c>
      <x:c r="AC393" t="str">
        <x:f>""</x:f>
        <x:v/>
      </x:c>
      <x:c r="AD393" t="str">
        <x:f>""</x:f>
        <x:v/>
      </x:c>
      <x:c r="AE393" t="str">
        <x:f>""</x:f>
        <x:v/>
      </x:c>
      <x:c r="AF393" t="str">
        <x:f>""</x:f>
        <x:v/>
      </x:c>
      <x:c r="AG393" t="str">
        <x:f>""</x:f>
        <x:v/>
      </x:c>
    </x:row>
    <x:row r="394" spans="1:33" x14ac:dyDescent="0.25">
      <x:c r="A394" t="str">
        <x:f>"        Global X Copper Miners ETF"</x:f>
        <x:v xml:space="preserve">        Global X Copper Miners ETF</x:v>
      </x:c>
      <x:c r="B394" t="str">
        <x:f>"COPX US Equity"</x:f>
        <x:v>COPX US Equity</x:v>
      </x:c>
      <x:c r="E394" t="str">
        <x:f t="shared" si="12"/>
        <x:v>Expression</x:v>
      </x:c>
      <x:c r="F394">
        <x:f ca="1">IF(AND($B$1012=1,LEN($F$1395)&gt;0),$F$1395,HLOOKUP(INDIRECT(ADDRESS(2,COLUMN())),OFFSET($T$2,0,0,ROW()-1,14),ROW()-1,FALSE))</x:f>
        <x:v>-18.0031</x:v>
      </x:c>
      <x:c r="G394">
        <x:f ca="1">IF(AND($B$1012=1,LEN($G$1395)&gt;0),$G$1395,HLOOKUP(INDIRECT(ADDRESS(2,COLUMN())),OFFSET($T$2,0,0,ROW()-1,14),ROW()-1,FALSE))</x:f>
        <x:v>-46.694600000000001</x:v>
      </x:c>
      <x:c r="H394">
        <x:f ca="1">IF(AND($B$1012=1,LEN($H$1395)&gt;0),$H$1395,HLOOKUP(INDIRECT(ADDRESS(2,COLUMN())),OFFSET($T$2,0,0,ROW()-1,14),ROW()-1,FALSE))</x:f>
        <x:v>2.7604000000000002</x:v>
      </x:c>
      <x:c r="I394">
        <x:f ca="1">IF(AND($B$1012=1,LEN($I$1395)&gt;0),$I$1395,HLOOKUP(INDIRECT(ADDRESS(2,COLUMN())),OFFSET($T$2,0,0,ROW()-1,14),ROW()-1,FALSE))</x:f>
        <x:v>111.51439999999999</x:v>
      </x:c>
      <x:c r="J394">
        <x:f ca="1">IF(AND($B$1012=1,LEN($J$1395)&gt;0),$J$1395,HLOOKUP(INDIRECT(ADDRESS(2,COLUMN())),OFFSET($T$2,0,0,ROW()-1,14),ROW()-1,FALSE))</x:f>
        <x:v>-20.790099999999999</x:v>
      </x:c>
      <x:c r="K394">
        <x:f ca="1">IF(AND($B$1012=1,LEN($K$1395)&gt;0),$K$1395,HLOOKUP(INDIRECT(ADDRESS(2,COLUMN())),OFFSET($T$2,0,0,ROW()-1,14),ROW()-1,FALSE))</x:f>
        <x:v>-315.39109999999999</x:v>
      </x:c>
      <x:c r="L394">
        <x:f ca="1">IF(AND($B$1012=1,LEN($L$1395)&gt;0),$L$1395,HLOOKUP(INDIRECT(ADDRESS(2,COLUMN())),OFFSET($T$2,0,0,ROW()-1,14),ROW()-1,FALSE))</x:f>
        <x:v>75.381600000000006</x:v>
      </x:c>
      <x:c r="M394">
        <x:f ca="1">IF(AND($B$1012=1,LEN($M$1395)&gt;0),$M$1395,HLOOKUP(INDIRECT(ADDRESS(2,COLUMN())),OFFSET($T$2,0,0,ROW()-1,14),ROW()-1,FALSE))</x:f>
        <x:v>-151.4452</x:v>
      </x:c>
      <x:c r="N394">
        <x:f ca="1">IF(AND($B$1012=1,LEN($N$1395)&gt;0),$N$1395,HLOOKUP(INDIRECT(ADDRESS(2,COLUMN())),OFFSET($T$2,0,0,ROW()-1,14),ROW()-1,FALSE))</x:f>
        <x:v>3.8675000000000002</x:v>
      </x:c>
      <x:c r="O394">
        <x:f ca="1">IF(AND($B$1012=1,LEN($O$1395)&gt;0),$O$1395,HLOOKUP(INDIRECT(ADDRESS(2,COLUMN())),OFFSET($T$2,0,0,ROW()-1,14),ROW()-1,FALSE))</x:f>
        <x:v>-19.276599999999998</x:v>
      </x:c>
      <x:c r="P394">
        <x:f ca="1">IF(AND($B$1012=1,LEN($P$1395)&gt;0),$P$1395,HLOOKUP(INDIRECT(ADDRESS(2,COLUMN())),OFFSET($T$2,0,0,ROW()-1,14),ROW()-1,FALSE))</x:f>
        <x:v>60.211599999999997</x:v>
      </x:c>
      <x:c r="Q394">
        <x:f ca="1">IF(AND($B$1012=1,LEN($Q$1395)&gt;0),$Q$1395,HLOOKUP(INDIRECT(ADDRESS(2,COLUMN())),OFFSET($T$2,0,0,ROW()-1,14),ROW()-1,FALSE))</x:f>
        <x:v>41.535200000000003</x:v>
      </x:c>
      <x:c r="R394">
        <x:f ca="1">IF(AND($B$1012=1,LEN($R$1395)&gt;0),$R$1395,HLOOKUP(INDIRECT(ADDRESS(2,COLUMN())),OFFSET($T$2,0,0,ROW()-1,14),ROW()-1,FALSE))</x:f>
        <x:v>17.017099999999999</x:v>
      </x:c>
      <x:c r="S394">
        <x:f ca="1">IF(AND($B$1012=1,LEN($S$1395)&gt;0),$S$1395,HLOOKUP(INDIRECT(ADDRESS(2,COLUMN())),OFFSET($T$2,0,0,ROW()-1,14),ROW()-1,FALSE))</x:f>
        <x:v>-18.917000000000002</x:v>
      </x:c>
      <x:c r="T394">
        <x:f>-18.0031</x:f>
        <x:v>-18.0031</x:v>
      </x:c>
      <x:c r="U394">
        <x:f>-46.6946</x:f>
        <x:v>-46.694600000000001</x:v>
      </x:c>
      <x:c r="V394">
        <x:f>2.7604</x:f>
        <x:v>2.7604000000000002</x:v>
      </x:c>
      <x:c r="W394">
        <x:f>111.5144</x:f>
        <x:v>111.51439999999999</x:v>
      </x:c>
      <x:c r="X394">
        <x:f>-20.7901</x:f>
        <x:v>-20.790099999999999</x:v>
      </x:c>
      <x:c r="Y394">
        <x:f>-315.3911</x:f>
        <x:v>-315.39109999999999</x:v>
      </x:c>
      <x:c r="Z394">
        <x:f>75.3816</x:f>
        <x:v>75.381600000000006</x:v>
      </x:c>
      <x:c r="AA394">
        <x:f>-151.4452</x:f>
        <x:v>-151.4452</x:v>
      </x:c>
      <x:c r="AB394">
        <x:f>3.8675</x:f>
        <x:v>3.8675000000000002</x:v>
      </x:c>
      <x:c r="AC394">
        <x:f>-19.2766</x:f>
        <x:v>-19.276599999999998</x:v>
      </x:c>
      <x:c r="AD394">
        <x:f>60.2116</x:f>
        <x:v>60.211599999999997</x:v>
      </x:c>
      <x:c r="AE394">
        <x:f>41.5352</x:f>
        <x:v>41.535200000000003</x:v>
      </x:c>
      <x:c r="AF394">
        <x:f>17.0171</x:f>
        <x:v>17.017099999999999</x:v>
      </x:c>
      <x:c r="AG394">
        <x:f>-18.917</x:f>
        <x:v>-18.917000000000002</x:v>
      </x:c>
    </x:row>
    <x:row r="395" spans="1:33" x14ac:dyDescent="0.25">
      <x:c r="A395" t="str">
        <x:f>"        John Hancock Multifactor Mater"</x:f>
        <x:v xml:space="preserve">        John Hancock Multifactor Mater</x:v>
      </x:c>
      <x:c r="B395" t="str">
        <x:f>"JHMA US Equity"</x:f>
        <x:v>JHMA US Equity</x:v>
      </x:c>
      <x:c r="E395" t="str">
        <x:f t="shared" si="12"/>
        <x:v>Expression</x:v>
      </x:c>
      <x:c r="F395" t="str">
        <x:f ca="1">IF(AND($B$1012=1,LEN($F$1396)&gt;0),$F$1396,HLOOKUP(INDIRECT(ADDRESS(2,COLUMN())),OFFSET($T$2,0,0,ROW()-1,14),ROW()-1,FALSE))</x:f>
        <x:v/>
      </x:c>
      <x:c r="G395" t="str">
        <x:f ca="1">IF(AND($B$1012=1,LEN($G$1396)&gt;0),$G$1396,HLOOKUP(INDIRECT(ADDRESS(2,COLUMN())),OFFSET($T$2,0,0,ROW()-1,14),ROW()-1,FALSE))</x:f>
        <x:v/>
      </x:c>
      <x:c r="H395" t="str">
        <x:f ca="1">IF(AND($B$1012=1,LEN($H$1396)&gt;0),$H$1396,HLOOKUP(INDIRECT(ADDRESS(2,COLUMN())),OFFSET($T$2,0,0,ROW()-1,14),ROW()-1,FALSE))</x:f>
        <x:v/>
      </x:c>
      <x:c r="I395" t="str">
        <x:f ca="1">IF(AND($B$1012=1,LEN($I$1396)&gt;0),$I$1396,HLOOKUP(INDIRECT(ADDRESS(2,COLUMN())),OFFSET($T$2,0,0,ROW()-1,14),ROW()-1,FALSE))</x:f>
        <x:v/>
      </x:c>
      <x:c r="J395" t="str">
        <x:f ca="1">IF(AND($B$1012=1,LEN($J$1396)&gt;0),$J$1396,HLOOKUP(INDIRECT(ADDRESS(2,COLUMN())),OFFSET($T$2,0,0,ROW()-1,14),ROW()-1,FALSE))</x:f>
        <x:v/>
      </x:c>
      <x:c r="K395" t="str">
        <x:f ca="1">IF(AND($B$1012=1,LEN($K$1396)&gt;0),$K$1396,HLOOKUP(INDIRECT(ADDRESS(2,COLUMN())),OFFSET($T$2,0,0,ROW()-1,14),ROW()-1,FALSE))</x:f>
        <x:v/>
      </x:c>
      <x:c r="L395" t="str">
        <x:f ca="1">IF(AND($B$1012=1,LEN($L$1396)&gt;0),$L$1396,HLOOKUP(INDIRECT(ADDRESS(2,COLUMN())),OFFSET($T$2,0,0,ROW()-1,14),ROW()-1,FALSE))</x:f>
        <x:v/>
      </x:c>
      <x:c r="M395" t="str">
        <x:f ca="1">IF(AND($B$1012=1,LEN($M$1396)&gt;0),$M$1396,HLOOKUP(INDIRECT(ADDRESS(2,COLUMN())),OFFSET($T$2,0,0,ROW()-1,14),ROW()-1,FALSE))</x:f>
        <x:v/>
      </x:c>
      <x:c r="N395" t="str">
        <x:f ca="1">IF(AND($B$1012=1,LEN($N$1396)&gt;0),$N$1396,HLOOKUP(INDIRECT(ADDRESS(2,COLUMN())),OFFSET($T$2,0,0,ROW()-1,14),ROW()-1,FALSE))</x:f>
        <x:v/>
      </x:c>
      <x:c r="O395" t="str">
        <x:f ca="1">IF(AND($B$1012=1,LEN($O$1396)&gt;0),$O$1396,HLOOKUP(INDIRECT(ADDRESS(2,COLUMN())),OFFSET($T$2,0,0,ROW()-1,14),ROW()-1,FALSE))</x:f>
        <x:v/>
      </x:c>
      <x:c r="P395" t="str">
        <x:f ca="1">IF(AND($B$1012=1,LEN($P$1396)&gt;0),$P$1396,HLOOKUP(INDIRECT(ADDRESS(2,COLUMN())),OFFSET($T$2,0,0,ROW()-1,14),ROW()-1,FALSE))</x:f>
        <x:v/>
      </x:c>
      <x:c r="Q395" t="str">
        <x:f ca="1">IF(AND($B$1012=1,LEN($Q$1396)&gt;0),$Q$1396,HLOOKUP(INDIRECT(ADDRESS(2,COLUMN())),OFFSET($T$2,0,0,ROW()-1,14),ROW()-1,FALSE))</x:f>
        <x:v/>
      </x:c>
      <x:c r="R395" t="str">
        <x:f ca="1">IF(AND($B$1012=1,LEN($R$1396)&gt;0),$R$1396,HLOOKUP(INDIRECT(ADDRESS(2,COLUMN())),OFFSET($T$2,0,0,ROW()-1,14),ROW()-1,FALSE))</x:f>
        <x:v/>
      </x:c>
      <x:c r="S395">
        <x:f ca="1">IF(AND($B$1012=1,LEN($S$1396)&gt;0),$S$1396,HLOOKUP(INDIRECT(ADDRESS(2,COLUMN())),OFFSET($T$2,0,0,ROW()-1,14),ROW()-1,FALSE))</x:f>
        <x:v>-2.0251039999999998</x:v>
      </x:c>
      <x:c r="T395" t="str">
        <x:f>""</x:f>
        <x:v/>
      </x:c>
      <x:c r="U395" t="str">
        <x:f>""</x:f>
        <x:v/>
      </x:c>
      <x:c r="V395" t="str">
        <x:f>""</x:f>
        <x:v/>
      </x:c>
      <x:c r="W395" t="str">
        <x:f>""</x:f>
        <x:v/>
      </x:c>
      <x:c r="X395" t="str">
        <x:f>""</x:f>
        <x:v/>
      </x:c>
      <x:c r="Y395" t="str">
        <x:f>""</x:f>
        <x:v/>
      </x:c>
      <x:c r="Z395" t="str">
        <x:f>""</x:f>
        <x:v/>
      </x:c>
      <x:c r="AA395" t="str">
        <x:f>""</x:f>
        <x:v/>
      </x:c>
      <x:c r="AB395" t="str">
        <x:f>""</x:f>
        <x:v/>
      </x:c>
      <x:c r="AC395" t="str">
        <x:f>""</x:f>
        <x:v/>
      </x:c>
      <x:c r="AD395" t="str">
        <x:f>""</x:f>
        <x:v/>
      </x:c>
      <x:c r="AE395" t="str">
        <x:f>""</x:f>
        <x:v/>
      </x:c>
      <x:c r="AF395" t="str">
        <x:f>""</x:f>
        <x:v/>
      </x:c>
      <x:c r="AG395">
        <x:f>-2.025104</x:f>
        <x:v>-2.0251039999999998</x:v>
      </x:c>
    </x:row>
    <x:row r="396" spans="1:33" x14ac:dyDescent="0.25">
      <x:c r="A396" t="str">
        <x:f>"        Global X Fertilizers/Potash ET"</x:f>
        <x:v xml:space="preserve">        Global X Fertilizers/Potash ET</x:v>
      </x:c>
      <x:c r="B396" t="str">
        <x:f>"SOIL US Equity"</x:f>
        <x:v>SOIL US Equity</x:v>
      </x:c>
      <x:c r="E396" t="str">
        <x:f t="shared" si="12"/>
        <x:v>Expression</x:v>
      </x:c>
      <x:c r="F396" t="str">
        <x:f ca="1">IF(AND($B$1012=1,LEN($F$1397)&gt;0),$F$1397,HLOOKUP(INDIRECT(ADDRESS(2,COLUMN())),OFFSET($T$2,0,0,ROW()-1,14),ROW()-1,FALSE))</x:f>
        <x:v/>
      </x:c>
      <x:c r="G396" t="str">
        <x:f ca="1">IF(AND($B$1012=1,LEN($G$1397)&gt;0),$G$1397,HLOOKUP(INDIRECT(ADDRESS(2,COLUMN())),OFFSET($T$2,0,0,ROW()-1,14),ROW()-1,FALSE))</x:f>
        <x:v/>
      </x:c>
      <x:c r="H396" t="str">
        <x:f ca="1">IF(AND($B$1012=1,LEN($H$1397)&gt;0),$H$1397,HLOOKUP(INDIRECT(ADDRESS(2,COLUMN())),OFFSET($T$2,0,0,ROW()-1,14),ROW()-1,FALSE))</x:f>
        <x:v/>
      </x:c>
      <x:c r="I396" t="str">
        <x:f ca="1">IF(AND($B$1012=1,LEN($I$1397)&gt;0),$I$1397,HLOOKUP(INDIRECT(ADDRESS(2,COLUMN())),OFFSET($T$2,0,0,ROW()-1,14),ROW()-1,FALSE))</x:f>
        <x:v/>
      </x:c>
      <x:c r="J396" t="str">
        <x:f ca="1">IF(AND($B$1012=1,LEN($J$1397)&gt;0),$J$1397,HLOOKUP(INDIRECT(ADDRESS(2,COLUMN())),OFFSET($T$2,0,0,ROW()-1,14),ROW()-1,FALSE))</x:f>
        <x:v/>
      </x:c>
      <x:c r="K396" t="str">
        <x:f ca="1">IF(AND($B$1012=1,LEN($K$1397)&gt;0),$K$1397,HLOOKUP(INDIRECT(ADDRESS(2,COLUMN())),OFFSET($T$2,0,0,ROW()-1,14),ROW()-1,FALSE))</x:f>
        <x:v/>
      </x:c>
      <x:c r="L396" t="str">
        <x:f ca="1">IF(AND($B$1012=1,LEN($L$1397)&gt;0),$L$1397,HLOOKUP(INDIRECT(ADDRESS(2,COLUMN())),OFFSET($T$2,0,0,ROW()-1,14),ROW()-1,FALSE))</x:f>
        <x:v/>
      </x:c>
      <x:c r="M396" t="str">
        <x:f ca="1">IF(AND($B$1012=1,LEN($M$1397)&gt;0),$M$1397,HLOOKUP(INDIRECT(ADDRESS(2,COLUMN())),OFFSET($T$2,0,0,ROW()-1,14),ROW()-1,FALSE))</x:f>
        <x:v/>
      </x:c>
      <x:c r="N396" t="str">
        <x:f ca="1">IF(AND($B$1012=1,LEN($N$1397)&gt;0),$N$1397,HLOOKUP(INDIRECT(ADDRESS(2,COLUMN())),OFFSET($T$2,0,0,ROW()-1,14),ROW()-1,FALSE))</x:f>
        <x:v/>
      </x:c>
      <x:c r="O396" t="str">
        <x:f ca="1">IF(AND($B$1012=1,LEN($O$1397)&gt;0),$O$1397,HLOOKUP(INDIRECT(ADDRESS(2,COLUMN())),OFFSET($T$2,0,0,ROW()-1,14),ROW()-1,FALSE))</x:f>
        <x:v/>
      </x:c>
      <x:c r="P396" t="str">
        <x:f ca="1">IF(AND($B$1012=1,LEN($P$1397)&gt;0),$P$1397,HLOOKUP(INDIRECT(ADDRESS(2,COLUMN())),OFFSET($T$2,0,0,ROW()-1,14),ROW()-1,FALSE))</x:f>
        <x:v/>
      </x:c>
      <x:c r="Q396" t="str">
        <x:f ca="1">IF(AND($B$1012=1,LEN($Q$1397)&gt;0),$Q$1397,HLOOKUP(INDIRECT(ADDRESS(2,COLUMN())),OFFSET($T$2,0,0,ROW()-1,14),ROW()-1,FALSE))</x:f>
        <x:v/>
      </x:c>
      <x:c r="R396" t="str">
        <x:f ca="1">IF(AND($B$1012=1,LEN($R$1397)&gt;0),$R$1397,HLOOKUP(INDIRECT(ADDRESS(2,COLUMN())),OFFSET($T$2,0,0,ROW()-1,14),ROW()-1,FALSE))</x:f>
        <x:v/>
      </x:c>
      <x:c r="S396" t="str">
        <x:f ca="1">IF(AND($B$1012=1,LEN($S$1397)&gt;0),$S$1397,HLOOKUP(INDIRECT(ADDRESS(2,COLUMN())),OFFSET($T$2,0,0,ROW()-1,14),ROW()-1,FALSE))</x:f>
        <x:v/>
      </x:c>
      <x:c r="T396" t="str">
        <x:f>""</x:f>
        <x:v/>
      </x:c>
      <x:c r="U396" t="str">
        <x:f>""</x:f>
        <x:v/>
      </x:c>
      <x:c r="V396" t="str">
        <x:f>""</x:f>
        <x:v/>
      </x:c>
      <x:c r="W396" t="str">
        <x:f>""</x:f>
        <x:v/>
      </x:c>
      <x:c r="X396" t="str">
        <x:f>""</x:f>
        <x:v/>
      </x:c>
      <x:c r="Y396" t="str">
        <x:f>""</x:f>
        <x:v/>
      </x:c>
      <x:c r="Z396" t="str">
        <x:f>""</x:f>
        <x:v/>
      </x:c>
      <x:c r="AA396" t="str">
        <x:f>""</x:f>
        <x:v/>
      </x:c>
      <x:c r="AB396" t="str">
        <x:f>""</x:f>
        <x:v/>
      </x:c>
      <x:c r="AC396" t="str">
        <x:f>""</x:f>
        <x:v/>
      </x:c>
      <x:c r="AD396" t="str">
        <x:f>""</x:f>
        <x:v/>
      </x:c>
      <x:c r="AE396" t="str">
        <x:f>""</x:f>
        <x:v/>
      </x:c>
      <x:c r="AF396" t="str">
        <x:f>""</x:f>
        <x:v/>
      </x:c>
      <x:c r="AG396" t="str">
        <x:f>""</x:f>
        <x:v/>
      </x:c>
    </x:row>
    <x:row r="397" spans="1:33" x14ac:dyDescent="0.25">
      <x:c r="A397" t="str">
        <x:f>"        Proshares Trust-Proshares Ultr"</x:f>
        <x:v xml:space="preserve">        Proshares Trust-Proshares Ultr</x:v>
      </x:c>
      <x:c r="B397" t="str">
        <x:f>"GDXX US Equity"</x:f>
        <x:v>GDXX US Equity</x:v>
      </x:c>
      <x:c r="E397" t="str">
        <x:f t="shared" si="12"/>
        <x:v>Expression</x:v>
      </x:c>
      <x:c r="F397" t="str">
        <x:f ca="1">IF(AND($B$1012=1,LEN($F$1398)&gt;0),$F$1398,HLOOKUP(INDIRECT(ADDRESS(2,COLUMN())),OFFSET($T$2,0,0,ROW()-1,14),ROW()-1,FALSE))</x:f>
        <x:v/>
      </x:c>
      <x:c r="G397" t="str">
        <x:f ca="1">IF(AND($B$1012=1,LEN($G$1398)&gt;0),$G$1398,HLOOKUP(INDIRECT(ADDRESS(2,COLUMN())),OFFSET($T$2,0,0,ROW()-1,14),ROW()-1,FALSE))</x:f>
        <x:v/>
      </x:c>
      <x:c r="H397" t="str">
        <x:f ca="1">IF(AND($B$1012=1,LEN($H$1398)&gt;0),$H$1398,HLOOKUP(INDIRECT(ADDRESS(2,COLUMN())),OFFSET($T$2,0,0,ROW()-1,14),ROW()-1,FALSE))</x:f>
        <x:v/>
      </x:c>
      <x:c r="I397" t="str">
        <x:f ca="1">IF(AND($B$1012=1,LEN($I$1398)&gt;0),$I$1398,HLOOKUP(INDIRECT(ADDRESS(2,COLUMN())),OFFSET($T$2,0,0,ROW()-1,14),ROW()-1,FALSE))</x:f>
        <x:v/>
      </x:c>
      <x:c r="J397" t="str">
        <x:f ca="1">IF(AND($B$1012=1,LEN($J$1398)&gt;0),$J$1398,HLOOKUP(INDIRECT(ADDRESS(2,COLUMN())),OFFSET($T$2,0,0,ROW()-1,14),ROW()-1,FALSE))</x:f>
        <x:v/>
      </x:c>
      <x:c r="K397" t="str">
        <x:f ca="1">IF(AND($B$1012=1,LEN($K$1398)&gt;0),$K$1398,HLOOKUP(INDIRECT(ADDRESS(2,COLUMN())),OFFSET($T$2,0,0,ROW()-1,14),ROW()-1,FALSE))</x:f>
        <x:v/>
      </x:c>
      <x:c r="L397" t="str">
        <x:f ca="1">IF(AND($B$1012=1,LEN($L$1398)&gt;0),$L$1398,HLOOKUP(INDIRECT(ADDRESS(2,COLUMN())),OFFSET($T$2,0,0,ROW()-1,14),ROW()-1,FALSE))</x:f>
        <x:v/>
      </x:c>
      <x:c r="M397" t="str">
        <x:f ca="1">IF(AND($B$1012=1,LEN($M$1398)&gt;0),$M$1398,HLOOKUP(INDIRECT(ADDRESS(2,COLUMN())),OFFSET($T$2,0,0,ROW()-1,14),ROW()-1,FALSE))</x:f>
        <x:v/>
      </x:c>
      <x:c r="N397" t="str">
        <x:f ca="1">IF(AND($B$1012=1,LEN($N$1398)&gt;0),$N$1398,HLOOKUP(INDIRECT(ADDRESS(2,COLUMN())),OFFSET($T$2,0,0,ROW()-1,14),ROW()-1,FALSE))</x:f>
        <x:v/>
      </x:c>
      <x:c r="O397" t="str">
        <x:f ca="1">IF(AND($B$1012=1,LEN($O$1398)&gt;0),$O$1398,HLOOKUP(INDIRECT(ADDRESS(2,COLUMN())),OFFSET($T$2,0,0,ROW()-1,14),ROW()-1,FALSE))</x:f>
        <x:v/>
      </x:c>
      <x:c r="P397" t="str">
        <x:f ca="1">IF(AND($B$1012=1,LEN($P$1398)&gt;0),$P$1398,HLOOKUP(INDIRECT(ADDRESS(2,COLUMN())),OFFSET($T$2,0,0,ROW()-1,14),ROW()-1,FALSE))</x:f>
        <x:v/>
      </x:c>
      <x:c r="Q397" t="str">
        <x:f ca="1">IF(AND($B$1012=1,LEN($Q$1398)&gt;0),$Q$1398,HLOOKUP(INDIRECT(ADDRESS(2,COLUMN())),OFFSET($T$2,0,0,ROW()-1,14),ROW()-1,FALSE))</x:f>
        <x:v/>
      </x:c>
      <x:c r="R397" t="str">
        <x:f ca="1">IF(AND($B$1012=1,LEN($R$1398)&gt;0),$R$1398,HLOOKUP(INDIRECT(ADDRESS(2,COLUMN())),OFFSET($T$2,0,0,ROW()-1,14),ROW()-1,FALSE))</x:f>
        <x:v/>
      </x:c>
      <x:c r="S397" t="str">
        <x:f ca="1">IF(AND($B$1012=1,LEN($S$1398)&gt;0),$S$1398,HLOOKUP(INDIRECT(ADDRESS(2,COLUMN())),OFFSET($T$2,0,0,ROW()-1,14),ROW()-1,FALSE))</x:f>
        <x:v/>
      </x:c>
      <x:c r="T397" t="str">
        <x:f>""</x:f>
        <x:v/>
      </x:c>
      <x:c r="U397" t="str">
        <x:f>""</x:f>
        <x:v/>
      </x:c>
      <x:c r="V397" t="str">
        <x:f>""</x:f>
        <x:v/>
      </x:c>
      <x:c r="W397" t="str">
        <x:f>""</x:f>
        <x:v/>
      </x:c>
      <x:c r="X397" t="str">
        <x:f>""</x:f>
        <x:v/>
      </x:c>
      <x:c r="Y397" t="str">
        <x:f>""</x:f>
        <x:v/>
      </x:c>
      <x:c r="Z397" t="str">
        <x:f>""</x:f>
        <x:v/>
      </x:c>
      <x:c r="AA397" t="str">
        <x:f>""</x:f>
        <x:v/>
      </x:c>
      <x:c r="AB397" t="str">
        <x:f>""</x:f>
        <x:v/>
      </x:c>
      <x:c r="AC397" t="str">
        <x:f>""</x:f>
        <x:v/>
      </x:c>
      <x:c r="AD397" t="str">
        <x:f>""</x:f>
        <x:v/>
      </x:c>
      <x:c r="AE397" t="str">
        <x:f>""</x:f>
        <x:v/>
      </x:c>
      <x:c r="AF397" t="str">
        <x:f>""</x:f>
        <x:v/>
      </x:c>
      <x:c r="AG397" t="str">
        <x:f>""</x:f>
        <x:v/>
      </x:c>
    </x:row>
    <x:row r="398" spans="1:33" x14ac:dyDescent="0.25">
      <x:c r="A398" t="str">
        <x:f>"        SPDR S&amp;P International Materia"</x:f>
        <x:v xml:space="preserve">        SPDR S&amp;P International Materia</x:v>
      </x:c>
      <x:c r="B398" t="str">
        <x:f>"IRV US Equity"</x:f>
        <x:v>IRV US Equity</x:v>
      </x:c>
      <x:c r="E398" t="str">
        <x:f t="shared" ref="E398:E427" si="13">"Expression"</x:f>
        <x:v>Expression</x:v>
      </x:c>
      <x:c r="F398" t="str">
        <x:f ca="1">IF(AND($B$1012=1,LEN($F$1399)&gt;0),$F$1399,HLOOKUP(INDIRECT(ADDRESS(2,COLUMN())),OFFSET($T$2,0,0,ROW()-1,14),ROW()-1,FALSE))</x:f>
        <x:v/>
      </x:c>
      <x:c r="G398" t="str">
        <x:f ca="1">IF(AND($B$1012=1,LEN($G$1399)&gt;0),$G$1399,HLOOKUP(INDIRECT(ADDRESS(2,COLUMN())),OFFSET($T$2,0,0,ROW()-1,14),ROW()-1,FALSE))</x:f>
        <x:v/>
      </x:c>
      <x:c r="H398" t="str">
        <x:f ca="1">IF(AND($B$1012=1,LEN($H$1399)&gt;0),$H$1399,HLOOKUP(INDIRECT(ADDRESS(2,COLUMN())),OFFSET($T$2,0,0,ROW()-1,14),ROW()-1,FALSE))</x:f>
        <x:v/>
      </x:c>
      <x:c r="I398" t="str">
        <x:f ca="1">IF(AND($B$1012=1,LEN($I$1399)&gt;0),$I$1399,HLOOKUP(INDIRECT(ADDRESS(2,COLUMN())),OFFSET($T$2,0,0,ROW()-1,14),ROW()-1,FALSE))</x:f>
        <x:v/>
      </x:c>
      <x:c r="J398" t="str">
        <x:f ca="1">IF(AND($B$1012=1,LEN($J$1399)&gt;0),$J$1399,HLOOKUP(INDIRECT(ADDRESS(2,COLUMN())),OFFSET($T$2,0,0,ROW()-1,14),ROW()-1,FALSE))</x:f>
        <x:v/>
      </x:c>
      <x:c r="K398" t="str">
        <x:f ca="1">IF(AND($B$1012=1,LEN($K$1399)&gt;0),$K$1399,HLOOKUP(INDIRECT(ADDRESS(2,COLUMN())),OFFSET($T$2,0,0,ROW()-1,14),ROW()-1,FALSE))</x:f>
        <x:v/>
      </x:c>
      <x:c r="L398" t="str">
        <x:f ca="1">IF(AND($B$1012=1,LEN($L$1399)&gt;0),$L$1399,HLOOKUP(INDIRECT(ADDRESS(2,COLUMN())),OFFSET($T$2,0,0,ROW()-1,14),ROW()-1,FALSE))</x:f>
        <x:v/>
      </x:c>
      <x:c r="M398" t="str">
        <x:f ca="1">IF(AND($B$1012=1,LEN($M$1399)&gt;0),$M$1399,HLOOKUP(INDIRECT(ADDRESS(2,COLUMN())),OFFSET($T$2,0,0,ROW()-1,14),ROW()-1,FALSE))</x:f>
        <x:v/>
      </x:c>
      <x:c r="N398" t="str">
        <x:f ca="1">IF(AND($B$1012=1,LEN($N$1399)&gt;0),$N$1399,HLOOKUP(INDIRECT(ADDRESS(2,COLUMN())),OFFSET($T$2,0,0,ROW()-1,14),ROW()-1,FALSE))</x:f>
        <x:v/>
      </x:c>
      <x:c r="O398" t="str">
        <x:f ca="1">IF(AND($B$1012=1,LEN($O$1399)&gt;0),$O$1399,HLOOKUP(INDIRECT(ADDRESS(2,COLUMN())),OFFSET($T$2,0,0,ROW()-1,14),ROW()-1,FALSE))</x:f>
        <x:v/>
      </x:c>
      <x:c r="P398" t="str">
        <x:f ca="1">IF(AND($B$1012=1,LEN($P$1399)&gt;0),$P$1399,HLOOKUP(INDIRECT(ADDRESS(2,COLUMN())),OFFSET($T$2,0,0,ROW()-1,14),ROW()-1,FALSE))</x:f>
        <x:v/>
      </x:c>
      <x:c r="Q398" t="str">
        <x:f ca="1">IF(AND($B$1012=1,LEN($Q$1399)&gt;0),$Q$1399,HLOOKUP(INDIRECT(ADDRESS(2,COLUMN())),OFFSET($T$2,0,0,ROW()-1,14),ROW()-1,FALSE))</x:f>
        <x:v/>
      </x:c>
      <x:c r="R398" t="str">
        <x:f ca="1">IF(AND($B$1012=1,LEN($R$1399)&gt;0),$R$1399,HLOOKUP(INDIRECT(ADDRESS(2,COLUMN())),OFFSET($T$2,0,0,ROW()-1,14),ROW()-1,FALSE))</x:f>
        <x:v/>
      </x:c>
      <x:c r="S398" t="str">
        <x:f ca="1">IF(AND($B$1012=1,LEN($S$1399)&gt;0),$S$1399,HLOOKUP(INDIRECT(ADDRESS(2,COLUMN())),OFFSET($T$2,0,0,ROW()-1,14),ROW()-1,FALSE))</x:f>
        <x:v/>
      </x:c>
      <x:c r="T398" t="str">
        <x:f>""</x:f>
        <x:v/>
      </x:c>
      <x:c r="U398" t="str">
        <x:f>""</x:f>
        <x:v/>
      </x:c>
      <x:c r="V398" t="str">
        <x:f>""</x:f>
        <x:v/>
      </x:c>
      <x:c r="W398" t="str">
        <x:f>""</x:f>
        <x:v/>
      </x:c>
      <x:c r="X398" t="str">
        <x:f>""</x:f>
        <x:v/>
      </x:c>
      <x:c r="Y398" t="str">
        <x:f>""</x:f>
        <x:v/>
      </x:c>
      <x:c r="Z398" t="str">
        <x:f>""</x:f>
        <x:v/>
      </x:c>
      <x:c r="AA398" t="str">
        <x:f>""</x:f>
        <x:v/>
      </x:c>
      <x:c r="AB398" t="str">
        <x:f>""</x:f>
        <x:v/>
      </x:c>
      <x:c r="AC398" t="str">
        <x:f>""</x:f>
        <x:v/>
      </x:c>
      <x:c r="AD398" t="str">
        <x:f>""</x:f>
        <x:v/>
      </x:c>
      <x:c r="AE398" t="str">
        <x:f>""</x:f>
        <x:v/>
      </x:c>
      <x:c r="AF398" t="str">
        <x:f>""</x:f>
        <x:v/>
      </x:c>
      <x:c r="AG398" t="str">
        <x:f>""</x:f>
        <x:v/>
      </x:c>
    </x:row>
    <x:row r="399" spans="1:33" x14ac:dyDescent="0.25">
      <x:c r="A399" t="str">
        <x:f>"        ProShares UltraShort Materials"</x:f>
        <x:v xml:space="preserve">        ProShares UltraShort Materials</x:v>
      </x:c>
      <x:c r="B399" t="str">
        <x:f>"SMN US Equity"</x:f>
        <x:v>SMN US Equity</x:v>
      </x:c>
      <x:c r="E399" t="str">
        <x:f t="shared" si="13"/>
        <x:v>Expression</x:v>
      </x:c>
      <x:c r="F399">
        <x:f ca="1">IF(AND($B$1012=1,LEN($F$1400)&gt;0),$F$1400,HLOOKUP(INDIRECT(ADDRESS(2,COLUMN())),OFFSET($T$2,0,0,ROW()-1,14),ROW()-1,FALSE))</x:f>
        <x:v>0</x:v>
      </x:c>
      <x:c r="G399">
        <x:f ca="1">IF(AND($B$1012=1,LEN($G$1400)&gt;0),$G$1400,HLOOKUP(INDIRECT(ADDRESS(2,COLUMN())),OFFSET($T$2,0,0,ROW()-1,14),ROW()-1,FALSE))</x:f>
        <x:v>0.28169699999999998</x:v>
      </x:c>
      <x:c r="H399">
        <x:f ca="1">IF(AND($B$1012=1,LEN($H$1400)&gt;0),$H$1400,HLOOKUP(INDIRECT(ADDRESS(2,COLUMN())),OFFSET($T$2,0,0,ROW()-1,14),ROW()-1,FALSE))</x:f>
        <x:v>-0.228072</x:v>
      </x:c>
      <x:c r="I399">
        <x:f ca="1">IF(AND($B$1012=1,LEN($I$1400)&gt;0),$I$1400,HLOOKUP(INDIRECT(ADDRESS(2,COLUMN())),OFFSET($T$2,0,0,ROW()-1,14),ROW()-1,FALSE))</x:f>
        <x:v>0</x:v>
      </x:c>
      <x:c r="J399">
        <x:f ca="1">IF(AND($B$1012=1,LEN($J$1400)&gt;0),$J$1400,HLOOKUP(INDIRECT(ADDRESS(2,COLUMN())),OFFSET($T$2,0,0,ROW()-1,14),ROW()-1,FALSE))</x:f>
        <x:v>-0.22684299999999999</x:v>
      </x:c>
      <x:c r="K399">
        <x:f ca="1">IF(AND($B$1012=1,LEN($K$1400)&gt;0),$K$1400,HLOOKUP(INDIRECT(ADDRESS(2,COLUMN())),OFFSET($T$2,0,0,ROW()-1,14),ROW()-1,FALSE))</x:f>
        <x:v>0.244003</x:v>
      </x:c>
      <x:c r="L399">
        <x:f ca="1">IF(AND($B$1012=1,LEN($L$1400)&gt;0),$L$1400,HLOOKUP(INDIRECT(ADDRESS(2,COLUMN())),OFFSET($T$2,0,0,ROW()-1,14),ROW()-1,FALSE))</x:f>
        <x:v>-0.26677299999999998</x:v>
      </x:c>
      <x:c r="M399">
        <x:f ca="1">IF(AND($B$1012=1,LEN($M$1400)&gt;0),$M$1400,HLOOKUP(INDIRECT(ADDRESS(2,COLUMN())),OFFSET($T$2,0,0,ROW()-1,14),ROW()-1,FALSE))</x:f>
        <x:v>-8.4250000000000002E-3</x:v>
      </x:c>
      <x:c r="N399">
        <x:f ca="1">IF(AND($B$1012=1,LEN($N$1400)&gt;0),$N$1400,HLOOKUP(INDIRECT(ADDRESS(2,COLUMN())),OFFSET($T$2,0,0,ROW()-1,14),ROW()-1,FALSE))</x:f>
        <x:v>-0.238625</x:v>
      </x:c>
      <x:c r="O399">
        <x:f ca="1">IF(AND($B$1012=1,LEN($O$1400)&gt;0),$O$1400,HLOOKUP(INDIRECT(ADDRESS(2,COLUMN())),OFFSET($T$2,0,0,ROW()-1,14),ROW()-1,FALSE))</x:f>
        <x:v>0</x:v>
      </x:c>
      <x:c r="P399">
        <x:f ca="1">IF(AND($B$1012=1,LEN($P$1400)&gt;0),$P$1400,HLOOKUP(INDIRECT(ADDRESS(2,COLUMN())),OFFSET($T$2,0,0,ROW()-1,14),ROW()-1,FALSE))</x:f>
        <x:v>-0.540215</x:v>
      </x:c>
      <x:c r="Q399">
        <x:f ca="1">IF(AND($B$1012=1,LEN($Q$1400)&gt;0),$Q$1400,HLOOKUP(INDIRECT(ADDRESS(2,COLUMN())),OFFSET($T$2,0,0,ROW()-1,14),ROW()-1,FALSE))</x:f>
        <x:v>0.52325500000000003</x:v>
      </x:c>
      <x:c r="R399">
        <x:f ca="1">IF(AND($B$1012=1,LEN($R$1400)&gt;0),$R$1400,HLOOKUP(INDIRECT(ADDRESS(2,COLUMN())),OFFSET($T$2,0,0,ROW()-1,14),ROW()-1,FALSE))</x:f>
        <x:v>-0.96935000000000004</x:v>
      </x:c>
      <x:c r="S399">
        <x:f ca="1">IF(AND($B$1012=1,LEN($S$1400)&gt;0),$S$1400,HLOOKUP(INDIRECT(ADDRESS(2,COLUMN())),OFFSET($T$2,0,0,ROW()-1,14),ROW()-1,FALSE))</x:f>
        <x:v>-2.0406300000000002</x:v>
      </x:c>
      <x:c r="T399">
        <x:f>0</x:f>
        <x:v>0</x:v>
      </x:c>
      <x:c r="U399">
        <x:f>0.281697</x:f>
        <x:v>0.28169699999999998</x:v>
      </x:c>
      <x:c r="V399">
        <x:f>-0.228072</x:f>
        <x:v>-0.228072</x:v>
      </x:c>
      <x:c r="W399">
        <x:f>0</x:f>
        <x:v>0</x:v>
      </x:c>
      <x:c r="X399">
        <x:f>-0.226843</x:f>
        <x:v>-0.22684299999999999</x:v>
      </x:c>
      <x:c r="Y399">
        <x:f>0.244003</x:f>
        <x:v>0.244003</x:v>
      </x:c>
      <x:c r="Z399">
        <x:f>-0.266773</x:f>
        <x:v>-0.26677299999999998</x:v>
      </x:c>
      <x:c r="AA399">
        <x:f>-0.008425</x:f>
        <x:v>-8.4250000000000002E-3</x:v>
      </x:c>
      <x:c r="AB399">
        <x:f>-0.238625</x:f>
        <x:v>-0.238625</x:v>
      </x:c>
      <x:c r="AC399">
        <x:f>0</x:f>
        <x:v>0</x:v>
      </x:c>
      <x:c r="AD399">
        <x:f>-0.540215</x:f>
        <x:v>-0.540215</x:v>
      </x:c>
      <x:c r="AE399">
        <x:f>0.523255</x:f>
        <x:v>0.52325500000000003</x:v>
      </x:c>
      <x:c r="AF399">
        <x:f>-0.96935</x:f>
        <x:v>-0.96935000000000004</x:v>
      </x:c>
      <x:c r="AG399">
        <x:f>-2.04063</x:f>
        <x:v>-2.0406300000000002</x:v>
      </x:c>
    </x:row>
    <x:row r="400" spans="1:33" x14ac:dyDescent="0.25">
      <x:c r="A400" t="str">
        <x:f>"        Proshares Ultra Junior Miners"</x:f>
        <x:v xml:space="preserve">        Proshares Ultra Junior Miners</x:v>
      </x:c>
      <x:c r="B400" t="str">
        <x:f>"GDJJ US Equity"</x:f>
        <x:v>GDJJ US Equity</x:v>
      </x:c>
      <x:c r="E400" t="str">
        <x:f t="shared" si="13"/>
        <x:v>Expression</x:v>
      </x:c>
      <x:c r="F400" t="str">
        <x:f ca="1">IF(AND($B$1012=1,LEN($F$1401)&gt;0),$F$1401,HLOOKUP(INDIRECT(ADDRESS(2,COLUMN())),OFFSET($T$2,0,0,ROW()-1,14),ROW()-1,FALSE))</x:f>
        <x:v/>
      </x:c>
      <x:c r="G400" t="str">
        <x:f ca="1">IF(AND($B$1012=1,LEN($G$1401)&gt;0),$G$1401,HLOOKUP(INDIRECT(ADDRESS(2,COLUMN())),OFFSET($T$2,0,0,ROW()-1,14),ROW()-1,FALSE))</x:f>
        <x:v/>
      </x:c>
      <x:c r="H400" t="str">
        <x:f ca="1">IF(AND($B$1012=1,LEN($H$1401)&gt;0),$H$1401,HLOOKUP(INDIRECT(ADDRESS(2,COLUMN())),OFFSET($T$2,0,0,ROW()-1,14),ROW()-1,FALSE))</x:f>
        <x:v/>
      </x:c>
      <x:c r="I400" t="str">
        <x:f ca="1">IF(AND($B$1012=1,LEN($I$1401)&gt;0),$I$1401,HLOOKUP(INDIRECT(ADDRESS(2,COLUMN())),OFFSET($T$2,0,0,ROW()-1,14),ROW()-1,FALSE))</x:f>
        <x:v/>
      </x:c>
      <x:c r="J400" t="str">
        <x:f ca="1">IF(AND($B$1012=1,LEN($J$1401)&gt;0),$J$1401,HLOOKUP(INDIRECT(ADDRESS(2,COLUMN())),OFFSET($T$2,0,0,ROW()-1,14),ROW()-1,FALSE))</x:f>
        <x:v/>
      </x:c>
      <x:c r="K400" t="str">
        <x:f ca="1">IF(AND($B$1012=1,LEN($K$1401)&gt;0),$K$1401,HLOOKUP(INDIRECT(ADDRESS(2,COLUMN())),OFFSET($T$2,0,0,ROW()-1,14),ROW()-1,FALSE))</x:f>
        <x:v/>
      </x:c>
      <x:c r="L400" t="str">
        <x:f ca="1">IF(AND($B$1012=1,LEN($L$1401)&gt;0),$L$1401,HLOOKUP(INDIRECT(ADDRESS(2,COLUMN())),OFFSET($T$2,0,0,ROW()-1,14),ROW()-1,FALSE))</x:f>
        <x:v/>
      </x:c>
      <x:c r="M400" t="str">
        <x:f ca="1">IF(AND($B$1012=1,LEN($M$1401)&gt;0),$M$1401,HLOOKUP(INDIRECT(ADDRESS(2,COLUMN())),OFFSET($T$2,0,0,ROW()-1,14),ROW()-1,FALSE))</x:f>
        <x:v/>
      </x:c>
      <x:c r="N400" t="str">
        <x:f ca="1">IF(AND($B$1012=1,LEN($N$1401)&gt;0),$N$1401,HLOOKUP(INDIRECT(ADDRESS(2,COLUMN())),OFFSET($T$2,0,0,ROW()-1,14),ROW()-1,FALSE))</x:f>
        <x:v/>
      </x:c>
      <x:c r="O400" t="str">
        <x:f ca="1">IF(AND($B$1012=1,LEN($O$1401)&gt;0),$O$1401,HLOOKUP(INDIRECT(ADDRESS(2,COLUMN())),OFFSET($T$2,0,0,ROW()-1,14),ROW()-1,FALSE))</x:f>
        <x:v/>
      </x:c>
      <x:c r="P400" t="str">
        <x:f ca="1">IF(AND($B$1012=1,LEN($P$1401)&gt;0),$P$1401,HLOOKUP(INDIRECT(ADDRESS(2,COLUMN())),OFFSET($T$2,0,0,ROW()-1,14),ROW()-1,FALSE))</x:f>
        <x:v/>
      </x:c>
      <x:c r="Q400" t="str">
        <x:f ca="1">IF(AND($B$1012=1,LEN($Q$1401)&gt;0),$Q$1401,HLOOKUP(INDIRECT(ADDRESS(2,COLUMN())),OFFSET($T$2,0,0,ROW()-1,14),ROW()-1,FALSE))</x:f>
        <x:v/>
      </x:c>
      <x:c r="R400" t="str">
        <x:f ca="1">IF(AND($B$1012=1,LEN($R$1401)&gt;0),$R$1401,HLOOKUP(INDIRECT(ADDRESS(2,COLUMN())),OFFSET($T$2,0,0,ROW()-1,14),ROW()-1,FALSE))</x:f>
        <x:v/>
      </x:c>
      <x:c r="S400" t="str">
        <x:f ca="1">IF(AND($B$1012=1,LEN($S$1401)&gt;0),$S$1401,HLOOKUP(INDIRECT(ADDRESS(2,COLUMN())),OFFSET($T$2,0,0,ROW()-1,14),ROW()-1,FALSE))</x:f>
        <x:v/>
      </x:c>
      <x:c r="T400" t="str">
        <x:f>""</x:f>
        <x:v/>
      </x:c>
      <x:c r="U400" t="str">
        <x:f>""</x:f>
        <x:v/>
      </x:c>
      <x:c r="V400" t="str">
        <x:f>""</x:f>
        <x:v/>
      </x:c>
      <x:c r="W400" t="str">
        <x:f>""</x:f>
        <x:v/>
      </x:c>
      <x:c r="X400" t="str">
        <x:f>""</x:f>
        <x:v/>
      </x:c>
      <x:c r="Y400" t="str">
        <x:f>""</x:f>
        <x:v/>
      </x:c>
      <x:c r="Z400" t="str">
        <x:f>""</x:f>
        <x:v/>
      </x:c>
      <x:c r="AA400" t="str">
        <x:f>""</x:f>
        <x:v/>
      </x:c>
      <x:c r="AB400" t="str">
        <x:f>""</x:f>
        <x:v/>
      </x:c>
      <x:c r="AC400" t="str">
        <x:f>""</x:f>
        <x:v/>
      </x:c>
      <x:c r="AD400" t="str">
        <x:f>""</x:f>
        <x:v/>
      </x:c>
      <x:c r="AE400" t="str">
        <x:f>""</x:f>
        <x:v/>
      </x:c>
      <x:c r="AF400" t="str">
        <x:f>""</x:f>
        <x:v/>
      </x:c>
      <x:c r="AG400" t="str">
        <x:f>""</x:f>
        <x:v/>
      </x:c>
    </x:row>
    <x:row r="401" spans="1:33" x14ac:dyDescent="0.25">
      <x:c r="A401" t="str">
        <x:f>"        MicroSectors Gold 3X Leveraged"</x:f>
        <x:v xml:space="preserve">        MicroSectors Gold 3X Leveraged</x:v>
      </x:c>
      <x:c r="B401" t="str">
        <x:f>"SHNY US Equity"</x:f>
        <x:v>SHNY US Equity</x:v>
      </x:c>
      <x:c r="E401" t="str">
        <x:f t="shared" si="13"/>
        <x:v>Expression</x:v>
      </x:c>
      <x:c r="F401">
        <x:f ca="1">IF(AND($B$1012=1,LEN($F$1402)&gt;0),$F$1402,HLOOKUP(INDIRECT(ADDRESS(2,COLUMN())),OFFSET($T$2,0,0,ROW()-1,14),ROW()-1,FALSE))</x:f>
        <x:v>0</x:v>
      </x:c>
      <x:c r="G401">
        <x:f ca="1">IF(AND($B$1012=1,LEN($G$1402)&gt;0),$G$1402,HLOOKUP(INDIRECT(ADDRESS(2,COLUMN())),OFFSET($T$2,0,0,ROW()-1,14),ROW()-1,FALSE))</x:f>
        <x:v>0</x:v>
      </x:c>
      <x:c r="H401">
        <x:f ca="1">IF(AND($B$1012=1,LEN($H$1402)&gt;0),$H$1402,HLOOKUP(INDIRECT(ADDRESS(2,COLUMN())),OFFSET($T$2,0,0,ROW()-1,14),ROW()-1,FALSE))</x:f>
        <x:v>0</x:v>
      </x:c>
      <x:c r="I401">
        <x:f ca="1">IF(AND($B$1012=1,LEN($I$1402)&gt;0),$I$1402,HLOOKUP(INDIRECT(ADDRESS(2,COLUMN())),OFFSET($T$2,0,0,ROW()-1,14),ROW()-1,FALSE))</x:f>
        <x:v>0</x:v>
      </x:c>
      <x:c r="J401">
        <x:f ca="1">IF(AND($B$1012=1,LEN($J$1402)&gt;0),$J$1402,HLOOKUP(INDIRECT(ADDRESS(2,COLUMN())),OFFSET($T$2,0,0,ROW()-1,14),ROW()-1,FALSE))</x:f>
        <x:v>0</x:v>
      </x:c>
      <x:c r="K401">
        <x:f ca="1">IF(AND($B$1012=1,LEN($K$1402)&gt;0),$K$1402,HLOOKUP(INDIRECT(ADDRESS(2,COLUMN())),OFFSET($T$2,0,0,ROW()-1,14),ROW()-1,FALSE))</x:f>
        <x:v>0</x:v>
      </x:c>
      <x:c r="L401">
        <x:f ca="1">IF(AND($B$1012=1,LEN($L$1402)&gt;0),$L$1402,HLOOKUP(INDIRECT(ADDRESS(2,COLUMN())),OFFSET($T$2,0,0,ROW()-1,14),ROW()-1,FALSE))</x:f>
        <x:v>0</x:v>
      </x:c>
      <x:c r="M401">
        <x:f ca="1">IF(AND($B$1012=1,LEN($M$1402)&gt;0),$M$1402,HLOOKUP(INDIRECT(ADDRESS(2,COLUMN())),OFFSET($T$2,0,0,ROW()-1,14),ROW()-1,FALSE))</x:f>
        <x:v>0</x:v>
      </x:c>
      <x:c r="N401">
        <x:f ca="1">IF(AND($B$1012=1,LEN($N$1402)&gt;0),$N$1402,HLOOKUP(INDIRECT(ADDRESS(2,COLUMN())),OFFSET($T$2,0,0,ROW()-1,14),ROW()-1,FALSE))</x:f>
        <x:v>2.3499999999999999E-4</x:v>
      </x:c>
      <x:c r="O401">
        <x:f ca="1">IF(AND($B$1012=1,LEN($O$1402)&gt;0),$O$1402,HLOOKUP(INDIRECT(ADDRESS(2,COLUMN())),OFFSET($T$2,0,0,ROW()-1,14),ROW()-1,FALSE))</x:f>
        <x:v>0</x:v>
      </x:c>
      <x:c r="P401" t="str">
        <x:f ca="1">IF(AND($B$1012=1,LEN($P$1402)&gt;0),$P$1402,HLOOKUP(INDIRECT(ADDRESS(2,COLUMN())),OFFSET($T$2,0,0,ROW()-1,14),ROW()-1,FALSE))</x:f>
        <x:v/>
      </x:c>
      <x:c r="Q401" t="str">
        <x:f ca="1">IF(AND($B$1012=1,LEN($Q$1402)&gt;0),$Q$1402,HLOOKUP(INDIRECT(ADDRESS(2,COLUMN())),OFFSET($T$2,0,0,ROW()-1,14),ROW()-1,FALSE))</x:f>
        <x:v/>
      </x:c>
      <x:c r="R401" t="str">
        <x:f ca="1">IF(AND($B$1012=1,LEN($R$1402)&gt;0),$R$1402,HLOOKUP(INDIRECT(ADDRESS(2,COLUMN())),OFFSET($T$2,0,0,ROW()-1,14),ROW()-1,FALSE))</x:f>
        <x:v/>
      </x:c>
      <x:c r="S401" t="str">
        <x:f ca="1">IF(AND($B$1012=1,LEN($S$1402)&gt;0),$S$1402,HLOOKUP(INDIRECT(ADDRESS(2,COLUMN())),OFFSET($T$2,0,0,ROW()-1,14),ROW()-1,FALSE))</x:f>
        <x:v/>
      </x:c>
      <x:c r="T401">
        <x:f>0</x:f>
        <x:v>0</x:v>
      </x:c>
      <x:c r="U401">
        <x:f>0</x:f>
        <x:v>0</x:v>
      </x:c>
      <x:c r="V401">
        <x:f>0</x:f>
        <x:v>0</x:v>
      </x:c>
      <x:c r="W401">
        <x:f>0</x:f>
        <x:v>0</x:v>
      </x:c>
      <x:c r="X401">
        <x:f>0</x:f>
        <x:v>0</x:v>
      </x:c>
      <x:c r="Y401">
        <x:f>0</x:f>
        <x:v>0</x:v>
      </x:c>
      <x:c r="Z401">
        <x:f>0</x:f>
        <x:v>0</x:v>
      </x:c>
      <x:c r="AA401">
        <x:f>0</x:f>
        <x:v>0</x:v>
      </x:c>
      <x:c r="AB401">
        <x:f>0.000235</x:f>
        <x:v>2.3499999999999999E-4</x:v>
      </x:c>
      <x:c r="AC401">
        <x:f>0</x:f>
        <x:v>0</x:v>
      </x:c>
      <x:c r="AD401" t="str">
        <x:f>""</x:f>
        <x:v/>
      </x:c>
      <x:c r="AE401" t="str">
        <x:f>""</x:f>
        <x:v/>
      </x:c>
      <x:c r="AF401" t="str">
        <x:f>""</x:f>
        <x:v/>
      </x:c>
      <x:c r="AG401" t="str">
        <x:f>""</x:f>
        <x:v/>
      </x:c>
    </x:row>
    <x:row r="402" spans="1:33" x14ac:dyDescent="0.25">
      <x:c r="A402" t="str">
        <x:f>"        Global X MSCI China Materials"</x:f>
        <x:v xml:space="preserve">        Global X MSCI China Materials</x:v>
      </x:c>
      <x:c r="B402" t="str">
        <x:f>"CHIM US Equity"</x:f>
        <x:v>CHIM US Equity</x:v>
      </x:c>
      <x:c r="E402" t="str">
        <x:f t="shared" si="13"/>
        <x:v>Expression</x:v>
      </x:c>
      <x:c r="F402">
        <x:f ca="1">IF(AND($B$1012=1,LEN($F$1403)&gt;0),$F$1403,HLOOKUP(INDIRECT(ADDRESS(2,COLUMN())),OFFSET($T$2,0,0,ROW()-1,14),ROW()-1,FALSE))</x:f>
        <x:v>0</x:v>
      </x:c>
      <x:c r="G402">
        <x:f ca="1">IF(AND($B$1012=1,LEN($G$1403)&gt;0),$G$1403,HLOOKUP(INDIRECT(ADDRESS(2,COLUMN())),OFFSET($T$2,0,0,ROW()-1,14),ROW()-1,FALSE))</x:f>
        <x:v>0</x:v>
      </x:c>
      <x:c r="H402">
        <x:f ca="1">IF(AND($B$1012=1,LEN($H$1403)&gt;0),$H$1403,HLOOKUP(INDIRECT(ADDRESS(2,COLUMN())),OFFSET($T$2,0,0,ROW()-1,14),ROW()-1,FALSE))</x:f>
        <x:v>0</x:v>
      </x:c>
      <x:c r="I402">
        <x:f ca="1">IF(AND($B$1012=1,LEN($I$1403)&gt;0),$I$1403,HLOOKUP(INDIRECT(ADDRESS(2,COLUMN())),OFFSET($T$2,0,0,ROW()-1,14),ROW()-1,FALSE))</x:f>
        <x:v>0</x:v>
      </x:c>
      <x:c r="J402">
        <x:f ca="1">IF(AND($B$1012=1,LEN($J$1403)&gt;0),$J$1403,HLOOKUP(INDIRECT(ADDRESS(2,COLUMN())),OFFSET($T$2,0,0,ROW()-1,14),ROW()-1,FALSE))</x:f>
        <x:v>0</x:v>
      </x:c>
      <x:c r="K402">
        <x:f ca="1">IF(AND($B$1012=1,LEN($K$1403)&gt;0),$K$1403,HLOOKUP(INDIRECT(ADDRESS(2,COLUMN())),OFFSET($T$2,0,0,ROW()-1,14),ROW()-1,FALSE))</x:f>
        <x:v>0</x:v>
      </x:c>
      <x:c r="L402">
        <x:f ca="1">IF(AND($B$1012=1,LEN($L$1403)&gt;0),$L$1403,HLOOKUP(INDIRECT(ADDRESS(2,COLUMN())),OFFSET($T$2,0,0,ROW()-1,14),ROW()-1,FALSE))</x:f>
        <x:v>0</x:v>
      </x:c>
      <x:c r="M402">
        <x:f ca="1">IF(AND($B$1012=1,LEN($M$1403)&gt;0),$M$1403,HLOOKUP(INDIRECT(ADDRESS(2,COLUMN())),OFFSET($T$2,0,0,ROW()-1,14),ROW()-1,FALSE))</x:f>
        <x:v>0</x:v>
      </x:c>
      <x:c r="N402">
        <x:f ca="1">IF(AND($B$1012=1,LEN($N$1403)&gt;0),$N$1403,HLOOKUP(INDIRECT(ADDRESS(2,COLUMN())),OFFSET($T$2,0,0,ROW()-1,14),ROW()-1,FALSE))</x:f>
        <x:v>0</x:v>
      </x:c>
      <x:c r="O402">
        <x:f ca="1">IF(AND($B$1012=1,LEN($O$1403)&gt;0),$O$1403,HLOOKUP(INDIRECT(ADDRESS(2,COLUMN())),OFFSET($T$2,0,0,ROW()-1,14),ROW()-1,FALSE))</x:f>
        <x:v>-1.1733</x:v>
      </x:c>
      <x:c r="P402">
        <x:f ca="1">IF(AND($B$1012=1,LEN($P$1403)&gt;0),$P$1403,HLOOKUP(INDIRECT(ADDRESS(2,COLUMN())),OFFSET($T$2,0,0,ROW()-1,14),ROW()-1,FALSE))</x:f>
        <x:v>0.5988</x:v>
      </x:c>
      <x:c r="Q402">
        <x:f ca="1">IF(AND($B$1012=1,LEN($Q$1403)&gt;0),$Q$1403,HLOOKUP(INDIRECT(ADDRESS(2,COLUMN())),OFFSET($T$2,0,0,ROW()-1,14),ROW()-1,FALSE))</x:f>
        <x:v>0.35959999999999998</x:v>
      </x:c>
      <x:c r="R402">
        <x:f ca="1">IF(AND($B$1012=1,LEN($R$1403)&gt;0),$R$1403,HLOOKUP(INDIRECT(ADDRESS(2,COLUMN())),OFFSET($T$2,0,0,ROW()-1,14),ROW()-1,FALSE))</x:f>
        <x:v>0</x:v>
      </x:c>
      <x:c r="S402">
        <x:f ca="1">IF(AND($B$1012=1,LEN($S$1403)&gt;0),$S$1403,HLOOKUP(INDIRECT(ADDRESS(2,COLUMN())),OFFSET($T$2,0,0,ROW()-1,14),ROW()-1,FALSE))</x:f>
        <x:v>0</x:v>
      </x:c>
      <x:c r="T402">
        <x:f>0</x:f>
        <x:v>0</x:v>
      </x:c>
      <x:c r="U402">
        <x:f>0</x:f>
        <x:v>0</x:v>
      </x:c>
      <x:c r="V402">
        <x:f>0</x:f>
        <x:v>0</x:v>
      </x:c>
      <x:c r="W402">
        <x:f>0</x:f>
        <x:v>0</x:v>
      </x:c>
      <x:c r="X402">
        <x:f>0</x:f>
        <x:v>0</x:v>
      </x:c>
      <x:c r="Y402">
        <x:f>0</x:f>
        <x:v>0</x:v>
      </x:c>
      <x:c r="Z402">
        <x:f>0</x:f>
        <x:v>0</x:v>
      </x:c>
      <x:c r="AA402">
        <x:f>0</x:f>
        <x:v>0</x:v>
      </x:c>
      <x:c r="AB402">
        <x:f>0</x:f>
        <x:v>0</x:v>
      </x:c>
      <x:c r="AC402">
        <x:f>-1.1733</x:f>
        <x:v>-1.1733</x:v>
      </x:c>
      <x:c r="AD402">
        <x:f>0.5988</x:f>
        <x:v>0.5988</x:v>
      </x:c>
      <x:c r="AE402">
        <x:f>0.3596</x:f>
        <x:v>0.35959999999999998</x:v>
      </x:c>
      <x:c r="AF402">
        <x:f>0</x:f>
        <x:v>0</x:v>
      </x:c>
      <x:c r="AG402">
        <x:f>0</x:f>
        <x:v>0</x:v>
      </x:c>
    </x:row>
    <x:row r="403" spans="1:33" x14ac:dyDescent="0.25">
      <x:c r="A403" t="str">
        <x:f>"        iShares Edge MSCI Multifactor"</x:f>
        <x:v xml:space="preserve">        iShares Edge MSCI Multifactor</x:v>
      </x:c>
      <x:c r="B403" t="str">
        <x:f>"MATF US Equity"</x:f>
        <x:v>MATF US Equity</x:v>
      </x:c>
      <x:c r="E403" t="str">
        <x:f t="shared" si="13"/>
        <x:v>Expression</x:v>
      </x:c>
      <x:c r="F403" t="str">
        <x:f ca="1">IF(AND($B$1012=1,LEN($F$1404)&gt;0),$F$1404,HLOOKUP(INDIRECT(ADDRESS(2,COLUMN())),OFFSET($T$2,0,0,ROW()-1,14),ROW()-1,FALSE))</x:f>
        <x:v/>
      </x:c>
      <x:c r="G403" t="str">
        <x:f ca="1">IF(AND($B$1012=1,LEN($G$1404)&gt;0),$G$1404,HLOOKUP(INDIRECT(ADDRESS(2,COLUMN())),OFFSET($T$2,0,0,ROW()-1,14),ROW()-1,FALSE))</x:f>
        <x:v/>
      </x:c>
      <x:c r="H403" t="str">
        <x:f ca="1">IF(AND($B$1012=1,LEN($H$1404)&gt;0),$H$1404,HLOOKUP(INDIRECT(ADDRESS(2,COLUMN())),OFFSET($T$2,0,0,ROW()-1,14),ROW()-1,FALSE))</x:f>
        <x:v/>
      </x:c>
      <x:c r="I403" t="str">
        <x:f ca="1">IF(AND($B$1012=1,LEN($I$1404)&gt;0),$I$1404,HLOOKUP(INDIRECT(ADDRESS(2,COLUMN())),OFFSET($T$2,0,0,ROW()-1,14),ROW()-1,FALSE))</x:f>
        <x:v/>
      </x:c>
      <x:c r="J403" t="str">
        <x:f ca="1">IF(AND($B$1012=1,LEN($J$1404)&gt;0),$J$1404,HLOOKUP(INDIRECT(ADDRESS(2,COLUMN())),OFFSET($T$2,0,0,ROW()-1,14),ROW()-1,FALSE))</x:f>
        <x:v/>
      </x:c>
      <x:c r="K403" t="str">
        <x:f ca="1">IF(AND($B$1012=1,LEN($K$1404)&gt;0),$K$1404,HLOOKUP(INDIRECT(ADDRESS(2,COLUMN())),OFFSET($T$2,0,0,ROW()-1,14),ROW()-1,FALSE))</x:f>
        <x:v/>
      </x:c>
      <x:c r="L403" t="str">
        <x:f ca="1">IF(AND($B$1012=1,LEN($L$1404)&gt;0),$L$1404,HLOOKUP(INDIRECT(ADDRESS(2,COLUMN())),OFFSET($T$2,0,0,ROW()-1,14),ROW()-1,FALSE))</x:f>
        <x:v/>
      </x:c>
      <x:c r="M403" t="str">
        <x:f ca="1">IF(AND($B$1012=1,LEN($M$1404)&gt;0),$M$1404,HLOOKUP(INDIRECT(ADDRESS(2,COLUMN())),OFFSET($T$2,0,0,ROW()-1,14),ROW()-1,FALSE))</x:f>
        <x:v/>
      </x:c>
      <x:c r="N403" t="str">
        <x:f ca="1">IF(AND($B$1012=1,LEN($N$1404)&gt;0),$N$1404,HLOOKUP(INDIRECT(ADDRESS(2,COLUMN())),OFFSET($T$2,0,0,ROW()-1,14),ROW()-1,FALSE))</x:f>
        <x:v/>
      </x:c>
      <x:c r="O403" t="str">
        <x:f ca="1">IF(AND($B$1012=1,LEN($O$1404)&gt;0),$O$1404,HLOOKUP(INDIRECT(ADDRESS(2,COLUMN())),OFFSET($T$2,0,0,ROW()-1,14),ROW()-1,FALSE))</x:f>
        <x:v/>
      </x:c>
      <x:c r="P403" t="str">
        <x:f ca="1">IF(AND($B$1012=1,LEN($P$1404)&gt;0),$P$1404,HLOOKUP(INDIRECT(ADDRESS(2,COLUMN())),OFFSET($T$2,0,0,ROW()-1,14),ROW()-1,FALSE))</x:f>
        <x:v/>
      </x:c>
      <x:c r="Q403" t="str">
        <x:f ca="1">IF(AND($B$1012=1,LEN($Q$1404)&gt;0),$Q$1404,HLOOKUP(INDIRECT(ADDRESS(2,COLUMN())),OFFSET($T$2,0,0,ROW()-1,14),ROW()-1,FALSE))</x:f>
        <x:v/>
      </x:c>
      <x:c r="R403" t="str">
        <x:f ca="1">IF(AND($B$1012=1,LEN($R$1404)&gt;0),$R$1404,HLOOKUP(INDIRECT(ADDRESS(2,COLUMN())),OFFSET($T$2,0,0,ROW()-1,14),ROW()-1,FALSE))</x:f>
        <x:v/>
      </x:c>
      <x:c r="S403" t="str">
        <x:f ca="1">IF(AND($B$1012=1,LEN($S$1404)&gt;0),$S$1404,HLOOKUP(INDIRECT(ADDRESS(2,COLUMN())),OFFSET($T$2,0,0,ROW()-1,14),ROW()-1,FALSE))</x:f>
        <x:v/>
      </x:c>
      <x:c r="T403" t="str">
        <x:f>""</x:f>
        <x:v/>
      </x:c>
      <x:c r="U403" t="str">
        <x:f>""</x:f>
        <x:v/>
      </x:c>
      <x:c r="V403" t="str">
        <x:f>""</x:f>
        <x:v/>
      </x:c>
      <x:c r="W403" t="str">
        <x:f>""</x:f>
        <x:v/>
      </x:c>
      <x:c r="X403" t="str">
        <x:f>""</x:f>
        <x:v/>
      </x:c>
      <x:c r="Y403" t="str">
        <x:f>""</x:f>
        <x:v/>
      </x:c>
      <x:c r="Z403" t="str">
        <x:f>""</x:f>
        <x:v/>
      </x:c>
      <x:c r="AA403" t="str">
        <x:f>""</x:f>
        <x:v/>
      </x:c>
      <x:c r="AB403" t="str">
        <x:f>""</x:f>
        <x:v/>
      </x:c>
      <x:c r="AC403" t="str">
        <x:f>""</x:f>
        <x:v/>
      </x:c>
      <x:c r="AD403" t="str">
        <x:f>""</x:f>
        <x:v/>
      </x:c>
      <x:c r="AE403" t="str">
        <x:f>""</x:f>
        <x:v/>
      </x:c>
      <x:c r="AF403" t="str">
        <x:f>""</x:f>
        <x:v/>
      </x:c>
      <x:c r="AG403" t="str">
        <x:f>""</x:f>
        <x:v/>
      </x:c>
    </x:row>
    <x:row r="404" spans="1:33" x14ac:dyDescent="0.25">
      <x:c r="A404" t="str">
        <x:f>"        Melt Pharmaceuticals Inc"</x:f>
        <x:v xml:space="preserve">        Melt Pharmaceuticals Inc</x:v>
      </x:c>
      <x:c r="B404" t="str">
        <x:f>"MELT US Equity"</x:f>
        <x:v>MELT US Equity</x:v>
      </x:c>
      <x:c r="E404" t="str">
        <x:f t="shared" si="13"/>
        <x:v>Expression</x:v>
      </x:c>
      <x:c r="F404" t="str">
        <x:f ca="1">IF(AND($B$1012=1,LEN($F$1405)&gt;0),$F$1405,HLOOKUP(INDIRECT(ADDRESS(2,COLUMN())),OFFSET($T$2,0,0,ROW()-1,14),ROW()-1,FALSE))</x:f>
        <x:v/>
      </x:c>
      <x:c r="G404" t="str">
        <x:f ca="1">IF(AND($B$1012=1,LEN($G$1405)&gt;0),$G$1405,HLOOKUP(INDIRECT(ADDRESS(2,COLUMN())),OFFSET($T$2,0,0,ROW()-1,14),ROW()-1,FALSE))</x:f>
        <x:v/>
      </x:c>
      <x:c r="H404" t="str">
        <x:f ca="1">IF(AND($B$1012=1,LEN($H$1405)&gt;0),$H$1405,HLOOKUP(INDIRECT(ADDRESS(2,COLUMN())),OFFSET($T$2,0,0,ROW()-1,14),ROW()-1,FALSE))</x:f>
        <x:v/>
      </x:c>
      <x:c r="I404" t="str">
        <x:f ca="1">IF(AND($B$1012=1,LEN($I$1405)&gt;0),$I$1405,HLOOKUP(INDIRECT(ADDRESS(2,COLUMN())),OFFSET($T$2,0,0,ROW()-1,14),ROW()-1,FALSE))</x:f>
        <x:v/>
      </x:c>
      <x:c r="J404" t="str">
        <x:f ca="1">IF(AND($B$1012=1,LEN($J$1405)&gt;0),$J$1405,HLOOKUP(INDIRECT(ADDRESS(2,COLUMN())),OFFSET($T$2,0,0,ROW()-1,14),ROW()-1,FALSE))</x:f>
        <x:v/>
      </x:c>
      <x:c r="K404" t="str">
        <x:f ca="1">IF(AND($B$1012=1,LEN($K$1405)&gt;0),$K$1405,HLOOKUP(INDIRECT(ADDRESS(2,COLUMN())),OFFSET($T$2,0,0,ROW()-1,14),ROW()-1,FALSE))</x:f>
        <x:v/>
      </x:c>
      <x:c r="L404" t="str">
        <x:f ca="1">IF(AND($B$1012=1,LEN($L$1405)&gt;0),$L$1405,HLOOKUP(INDIRECT(ADDRESS(2,COLUMN())),OFFSET($T$2,0,0,ROW()-1,14),ROW()-1,FALSE))</x:f>
        <x:v/>
      </x:c>
      <x:c r="M404" t="str">
        <x:f ca="1">IF(AND($B$1012=1,LEN($M$1405)&gt;0),$M$1405,HLOOKUP(INDIRECT(ADDRESS(2,COLUMN())),OFFSET($T$2,0,0,ROW()-1,14),ROW()-1,FALSE))</x:f>
        <x:v/>
      </x:c>
      <x:c r="N404" t="str">
        <x:f ca="1">IF(AND($B$1012=1,LEN($N$1405)&gt;0),$N$1405,HLOOKUP(INDIRECT(ADDRESS(2,COLUMN())),OFFSET($T$2,0,0,ROW()-1,14),ROW()-1,FALSE))</x:f>
        <x:v/>
      </x:c>
      <x:c r="O404" t="str">
        <x:f ca="1">IF(AND($B$1012=1,LEN($O$1405)&gt;0),$O$1405,HLOOKUP(INDIRECT(ADDRESS(2,COLUMN())),OFFSET($T$2,0,0,ROW()-1,14),ROW()-1,FALSE))</x:f>
        <x:v/>
      </x:c>
      <x:c r="P404" t="str">
        <x:f ca="1">IF(AND($B$1012=1,LEN($P$1405)&gt;0),$P$1405,HLOOKUP(INDIRECT(ADDRESS(2,COLUMN())),OFFSET($T$2,0,0,ROW()-1,14),ROW()-1,FALSE))</x:f>
        <x:v/>
      </x:c>
      <x:c r="Q404" t="str">
        <x:f ca="1">IF(AND($B$1012=1,LEN($Q$1405)&gt;0),$Q$1405,HLOOKUP(INDIRECT(ADDRESS(2,COLUMN())),OFFSET($T$2,0,0,ROW()-1,14),ROW()-1,FALSE))</x:f>
        <x:v/>
      </x:c>
      <x:c r="R404" t="str">
        <x:f ca="1">IF(AND($B$1012=1,LEN($R$1405)&gt;0),$R$1405,HLOOKUP(INDIRECT(ADDRESS(2,COLUMN())),OFFSET($T$2,0,0,ROW()-1,14),ROW()-1,FALSE))</x:f>
        <x:v/>
      </x:c>
      <x:c r="S404" t="str">
        <x:f ca="1">IF(AND($B$1012=1,LEN($S$1405)&gt;0),$S$1405,HLOOKUP(INDIRECT(ADDRESS(2,COLUMN())),OFFSET($T$2,0,0,ROW()-1,14),ROW()-1,FALSE))</x:f>
        <x:v/>
      </x:c>
      <x:c r="T404" t="str">
        <x:f>""</x:f>
        <x:v/>
      </x:c>
      <x:c r="U404" t="str">
        <x:f>""</x:f>
        <x:v/>
      </x:c>
      <x:c r="V404" t="str">
        <x:f>""</x:f>
        <x:v/>
      </x:c>
      <x:c r="W404" t="str">
        <x:f>""</x:f>
        <x:v/>
      </x:c>
      <x:c r="X404" t="str">
        <x:f>""</x:f>
        <x:v/>
      </x:c>
      <x:c r="Y404" t="str">
        <x:f>""</x:f>
        <x:v/>
      </x:c>
      <x:c r="Z404" t="str">
        <x:f>""</x:f>
        <x:v/>
      </x:c>
      <x:c r="AA404" t="str">
        <x:f>""</x:f>
        <x:v/>
      </x:c>
      <x:c r="AB404" t="str">
        <x:f>""</x:f>
        <x:v/>
      </x:c>
      <x:c r="AC404" t="str">
        <x:f>""</x:f>
        <x:v/>
      </x:c>
      <x:c r="AD404" t="str">
        <x:f>""</x:f>
        <x:v/>
      </x:c>
      <x:c r="AE404" t="str">
        <x:f>""</x:f>
        <x:v/>
      </x:c>
      <x:c r="AF404" t="str">
        <x:f>""</x:f>
        <x:v/>
      </x:c>
      <x:c r="AG404" t="str">
        <x:f>""</x:f>
        <x:v/>
      </x:c>
    </x:row>
    <x:row r="405" spans="1:33" x14ac:dyDescent="0.25">
      <x:c r="A405" t="str">
        <x:f>"        Proshares Ultrashort Gold Mine"</x:f>
        <x:v xml:space="preserve">        Proshares Ultrashort Gold Mine</x:v>
      </x:c>
      <x:c r="B405" t="str">
        <x:f>"GDXS US Equity"</x:f>
        <x:v>GDXS US Equity</x:v>
      </x:c>
      <x:c r="E405" t="str">
        <x:f t="shared" si="13"/>
        <x:v>Expression</x:v>
      </x:c>
      <x:c r="F405" t="str">
        <x:f ca="1">IF(AND($B$1012=1,LEN($F$1406)&gt;0),$F$1406,HLOOKUP(INDIRECT(ADDRESS(2,COLUMN())),OFFSET($T$2,0,0,ROW()-1,14),ROW()-1,FALSE))</x:f>
        <x:v/>
      </x:c>
      <x:c r="G405" t="str">
        <x:f ca="1">IF(AND($B$1012=1,LEN($G$1406)&gt;0),$G$1406,HLOOKUP(INDIRECT(ADDRESS(2,COLUMN())),OFFSET($T$2,0,0,ROW()-1,14),ROW()-1,FALSE))</x:f>
        <x:v/>
      </x:c>
      <x:c r="H405" t="str">
        <x:f ca="1">IF(AND($B$1012=1,LEN($H$1406)&gt;0),$H$1406,HLOOKUP(INDIRECT(ADDRESS(2,COLUMN())),OFFSET($T$2,0,0,ROW()-1,14),ROW()-1,FALSE))</x:f>
        <x:v/>
      </x:c>
      <x:c r="I405" t="str">
        <x:f ca="1">IF(AND($B$1012=1,LEN($I$1406)&gt;0),$I$1406,HLOOKUP(INDIRECT(ADDRESS(2,COLUMN())),OFFSET($T$2,0,0,ROW()-1,14),ROW()-1,FALSE))</x:f>
        <x:v/>
      </x:c>
      <x:c r="J405" t="str">
        <x:f ca="1">IF(AND($B$1012=1,LEN($J$1406)&gt;0),$J$1406,HLOOKUP(INDIRECT(ADDRESS(2,COLUMN())),OFFSET($T$2,0,0,ROW()-1,14),ROW()-1,FALSE))</x:f>
        <x:v/>
      </x:c>
      <x:c r="K405" t="str">
        <x:f ca="1">IF(AND($B$1012=1,LEN($K$1406)&gt;0),$K$1406,HLOOKUP(INDIRECT(ADDRESS(2,COLUMN())),OFFSET($T$2,0,0,ROW()-1,14),ROW()-1,FALSE))</x:f>
        <x:v/>
      </x:c>
      <x:c r="L405" t="str">
        <x:f ca="1">IF(AND($B$1012=1,LEN($L$1406)&gt;0),$L$1406,HLOOKUP(INDIRECT(ADDRESS(2,COLUMN())),OFFSET($T$2,0,0,ROW()-1,14),ROW()-1,FALSE))</x:f>
        <x:v/>
      </x:c>
      <x:c r="M405" t="str">
        <x:f ca="1">IF(AND($B$1012=1,LEN($M$1406)&gt;0),$M$1406,HLOOKUP(INDIRECT(ADDRESS(2,COLUMN())),OFFSET($T$2,0,0,ROW()-1,14),ROW()-1,FALSE))</x:f>
        <x:v/>
      </x:c>
      <x:c r="N405" t="str">
        <x:f ca="1">IF(AND($B$1012=1,LEN($N$1406)&gt;0),$N$1406,HLOOKUP(INDIRECT(ADDRESS(2,COLUMN())),OFFSET($T$2,0,0,ROW()-1,14),ROW()-1,FALSE))</x:f>
        <x:v/>
      </x:c>
      <x:c r="O405" t="str">
        <x:f ca="1">IF(AND($B$1012=1,LEN($O$1406)&gt;0),$O$1406,HLOOKUP(INDIRECT(ADDRESS(2,COLUMN())),OFFSET($T$2,0,0,ROW()-1,14),ROW()-1,FALSE))</x:f>
        <x:v/>
      </x:c>
      <x:c r="P405" t="str">
        <x:f ca="1">IF(AND($B$1012=1,LEN($P$1406)&gt;0),$P$1406,HLOOKUP(INDIRECT(ADDRESS(2,COLUMN())),OFFSET($T$2,0,0,ROW()-1,14),ROW()-1,FALSE))</x:f>
        <x:v/>
      </x:c>
      <x:c r="Q405" t="str">
        <x:f ca="1">IF(AND($B$1012=1,LEN($Q$1406)&gt;0),$Q$1406,HLOOKUP(INDIRECT(ADDRESS(2,COLUMN())),OFFSET($T$2,0,0,ROW()-1,14),ROW()-1,FALSE))</x:f>
        <x:v/>
      </x:c>
      <x:c r="R405" t="str">
        <x:f ca="1">IF(AND($B$1012=1,LEN($R$1406)&gt;0),$R$1406,HLOOKUP(INDIRECT(ADDRESS(2,COLUMN())),OFFSET($T$2,0,0,ROW()-1,14),ROW()-1,FALSE))</x:f>
        <x:v/>
      </x:c>
      <x:c r="S405" t="str">
        <x:f ca="1">IF(AND($B$1012=1,LEN($S$1406)&gt;0),$S$1406,HLOOKUP(INDIRECT(ADDRESS(2,COLUMN())),OFFSET($T$2,0,0,ROW()-1,14),ROW()-1,FALSE))</x:f>
        <x:v/>
      </x:c>
      <x:c r="T405" t="str">
        <x:f>""</x:f>
        <x:v/>
      </x:c>
      <x:c r="U405" t="str">
        <x:f>""</x:f>
        <x:v/>
      </x:c>
      <x:c r="V405" t="str">
        <x:f>""</x:f>
        <x:v/>
      </x:c>
      <x:c r="W405" t="str">
        <x:f>""</x:f>
        <x:v/>
      </x:c>
      <x:c r="X405" t="str">
        <x:f>""</x:f>
        <x:v/>
      </x:c>
      <x:c r="Y405" t="str">
        <x:f>""</x:f>
        <x:v/>
      </x:c>
      <x:c r="Z405" t="str">
        <x:f>""</x:f>
        <x:v/>
      </x:c>
      <x:c r="AA405" t="str">
        <x:f>""</x:f>
        <x:v/>
      </x:c>
      <x:c r="AB405" t="str">
        <x:f>""</x:f>
        <x:v/>
      </x:c>
      <x:c r="AC405" t="str">
        <x:f>""</x:f>
        <x:v/>
      </x:c>
      <x:c r="AD405" t="str">
        <x:f>""</x:f>
        <x:v/>
      </x:c>
      <x:c r="AE405" t="str">
        <x:f>""</x:f>
        <x:v/>
      </x:c>
      <x:c r="AF405" t="str">
        <x:f>""</x:f>
        <x:v/>
      </x:c>
      <x:c r="AG405" t="str">
        <x:f>""</x:f>
        <x:v/>
      </x:c>
    </x:row>
    <x:row r="406" spans="1:33" x14ac:dyDescent="0.25">
      <x:c r="A406" t="str">
        <x:f>"        ProShares Short Basic Material"</x:f>
        <x:v xml:space="preserve">        ProShares Short Basic Material</x:v>
      </x:c>
      <x:c r="B406" t="str">
        <x:f>"SBM US Equity"</x:f>
        <x:v>SBM US Equity</x:v>
      </x:c>
      <x:c r="E406" t="str">
        <x:f t="shared" si="13"/>
        <x:v>Expression</x:v>
      </x:c>
      <x:c r="F406" t="str">
        <x:f ca="1">IF(AND($B$1012=1,LEN($F$1407)&gt;0),$F$1407,HLOOKUP(INDIRECT(ADDRESS(2,COLUMN())),OFFSET($T$2,0,0,ROW()-1,14),ROW()-1,FALSE))</x:f>
        <x:v/>
      </x:c>
      <x:c r="G406" t="str">
        <x:f ca="1">IF(AND($B$1012=1,LEN($G$1407)&gt;0),$G$1407,HLOOKUP(INDIRECT(ADDRESS(2,COLUMN())),OFFSET($T$2,0,0,ROW()-1,14),ROW()-1,FALSE))</x:f>
        <x:v/>
      </x:c>
      <x:c r="H406" t="str">
        <x:f ca="1">IF(AND($B$1012=1,LEN($H$1407)&gt;0),$H$1407,HLOOKUP(INDIRECT(ADDRESS(2,COLUMN())),OFFSET($T$2,0,0,ROW()-1,14),ROW()-1,FALSE))</x:f>
        <x:v/>
      </x:c>
      <x:c r="I406" t="str">
        <x:f ca="1">IF(AND($B$1012=1,LEN($I$1407)&gt;0),$I$1407,HLOOKUP(INDIRECT(ADDRESS(2,COLUMN())),OFFSET($T$2,0,0,ROW()-1,14),ROW()-1,FALSE))</x:f>
        <x:v/>
      </x:c>
      <x:c r="J406" t="str">
        <x:f ca="1">IF(AND($B$1012=1,LEN($J$1407)&gt;0),$J$1407,HLOOKUP(INDIRECT(ADDRESS(2,COLUMN())),OFFSET($T$2,0,0,ROW()-1,14),ROW()-1,FALSE))</x:f>
        <x:v/>
      </x:c>
      <x:c r="K406" t="str">
        <x:f ca="1">IF(AND($B$1012=1,LEN($K$1407)&gt;0),$K$1407,HLOOKUP(INDIRECT(ADDRESS(2,COLUMN())),OFFSET($T$2,0,0,ROW()-1,14),ROW()-1,FALSE))</x:f>
        <x:v/>
      </x:c>
      <x:c r="L406" t="str">
        <x:f ca="1">IF(AND($B$1012=1,LEN($L$1407)&gt;0),$L$1407,HLOOKUP(INDIRECT(ADDRESS(2,COLUMN())),OFFSET($T$2,0,0,ROW()-1,14),ROW()-1,FALSE))</x:f>
        <x:v/>
      </x:c>
      <x:c r="M406" t="str">
        <x:f ca="1">IF(AND($B$1012=1,LEN($M$1407)&gt;0),$M$1407,HLOOKUP(INDIRECT(ADDRESS(2,COLUMN())),OFFSET($T$2,0,0,ROW()-1,14),ROW()-1,FALSE))</x:f>
        <x:v/>
      </x:c>
      <x:c r="N406" t="str">
        <x:f ca="1">IF(AND($B$1012=1,LEN($N$1407)&gt;0),$N$1407,HLOOKUP(INDIRECT(ADDRESS(2,COLUMN())),OFFSET($T$2,0,0,ROW()-1,14),ROW()-1,FALSE))</x:f>
        <x:v/>
      </x:c>
      <x:c r="O406" t="str">
        <x:f ca="1">IF(AND($B$1012=1,LEN($O$1407)&gt;0),$O$1407,HLOOKUP(INDIRECT(ADDRESS(2,COLUMN())),OFFSET($T$2,0,0,ROW()-1,14),ROW()-1,FALSE))</x:f>
        <x:v/>
      </x:c>
      <x:c r="P406" t="str">
        <x:f ca="1">IF(AND($B$1012=1,LEN($P$1407)&gt;0),$P$1407,HLOOKUP(INDIRECT(ADDRESS(2,COLUMN())),OFFSET($T$2,0,0,ROW()-1,14),ROW()-1,FALSE))</x:f>
        <x:v/>
      </x:c>
      <x:c r="Q406" t="str">
        <x:f ca="1">IF(AND($B$1012=1,LEN($Q$1407)&gt;0),$Q$1407,HLOOKUP(INDIRECT(ADDRESS(2,COLUMN())),OFFSET($T$2,0,0,ROW()-1,14),ROW()-1,FALSE))</x:f>
        <x:v/>
      </x:c>
      <x:c r="R406" t="str">
        <x:f ca="1">IF(AND($B$1012=1,LEN($R$1407)&gt;0),$R$1407,HLOOKUP(INDIRECT(ADDRESS(2,COLUMN())),OFFSET($T$2,0,0,ROW()-1,14),ROW()-1,FALSE))</x:f>
        <x:v/>
      </x:c>
      <x:c r="S406" t="str">
        <x:f ca="1">IF(AND($B$1012=1,LEN($S$1407)&gt;0),$S$1407,HLOOKUP(INDIRECT(ADDRESS(2,COLUMN())),OFFSET($T$2,0,0,ROW()-1,14),ROW()-1,FALSE))</x:f>
        <x:v/>
      </x:c>
      <x:c r="T406" t="str">
        <x:f>""</x:f>
        <x:v/>
      </x:c>
      <x:c r="U406" t="str">
        <x:f>""</x:f>
        <x:v/>
      </x:c>
      <x:c r="V406" t="str">
        <x:f>""</x:f>
        <x:v/>
      </x:c>
      <x:c r="W406" t="str">
        <x:f>""</x:f>
        <x:v/>
      </x:c>
      <x:c r="X406" t="str">
        <x:f>""</x:f>
        <x:v/>
      </x:c>
      <x:c r="Y406" t="str">
        <x:f>""</x:f>
        <x:v/>
      </x:c>
      <x:c r="Z406" t="str">
        <x:f>""</x:f>
        <x:v/>
      </x:c>
      <x:c r="AA406" t="str">
        <x:f>""</x:f>
        <x:v/>
      </x:c>
      <x:c r="AB406" t="str">
        <x:f>""</x:f>
        <x:v/>
      </x:c>
      <x:c r="AC406" t="str">
        <x:f>""</x:f>
        <x:v/>
      </x:c>
      <x:c r="AD406" t="str">
        <x:f>""</x:f>
        <x:v/>
      </x:c>
      <x:c r="AE406" t="str">
        <x:f>""</x:f>
        <x:v/>
      </x:c>
      <x:c r="AF406" t="str">
        <x:f>""</x:f>
        <x:v/>
      </x:c>
      <x:c r="AG406" t="str">
        <x:f>""</x:f>
        <x:v/>
      </x:c>
    </x:row>
    <x:row r="407" spans="1:33" x14ac:dyDescent="0.25">
      <x:c r="A407" t="str">
        <x:f>"        MicroSectors Gold -3X Inverse"</x:f>
        <x:v xml:space="preserve">        MicroSectors Gold -3X Inverse</x:v>
      </x:c>
      <x:c r="B407" t="str">
        <x:f>"DULL US Equity"</x:f>
        <x:v>DULL US Equity</x:v>
      </x:c>
      <x:c r="E407" t="str">
        <x:f t="shared" si="13"/>
        <x:v>Expression</x:v>
      </x:c>
      <x:c r="F407">
        <x:f ca="1">IF(AND($B$1012=1,LEN($F$1408)&gt;0),$F$1408,HLOOKUP(INDIRECT(ADDRESS(2,COLUMN())),OFFSET($T$2,0,0,ROW()-1,14),ROW()-1,FALSE))</x:f>
        <x:v>0</x:v>
      </x:c>
      <x:c r="G407">
        <x:f ca="1">IF(AND($B$1012=1,LEN($G$1408)&gt;0),$G$1408,HLOOKUP(INDIRECT(ADDRESS(2,COLUMN())),OFFSET($T$2,0,0,ROW()-1,14),ROW()-1,FALSE))</x:f>
        <x:v>0</x:v>
      </x:c>
      <x:c r="H407">
        <x:f ca="1">IF(AND($B$1012=1,LEN($H$1408)&gt;0),$H$1408,HLOOKUP(INDIRECT(ADDRESS(2,COLUMN())),OFFSET($T$2,0,0,ROW()-1,14),ROW()-1,FALSE))</x:f>
        <x:v>0</x:v>
      </x:c>
      <x:c r="I407">
        <x:f ca="1">IF(AND($B$1012=1,LEN($I$1408)&gt;0),$I$1408,HLOOKUP(INDIRECT(ADDRESS(2,COLUMN())),OFFSET($T$2,0,0,ROW()-1,14),ROW()-1,FALSE))</x:f>
        <x:v>0</x:v>
      </x:c>
      <x:c r="J407">
        <x:f ca="1">IF(AND($B$1012=1,LEN($J$1408)&gt;0),$J$1408,HLOOKUP(INDIRECT(ADDRESS(2,COLUMN())),OFFSET($T$2,0,0,ROW()-1,14),ROW()-1,FALSE))</x:f>
        <x:v>0</x:v>
      </x:c>
      <x:c r="K407">
        <x:f ca="1">IF(AND($B$1012=1,LEN($K$1408)&gt;0),$K$1408,HLOOKUP(INDIRECT(ADDRESS(2,COLUMN())),OFFSET($T$2,0,0,ROW()-1,14),ROW()-1,FALSE))</x:f>
        <x:v>0</x:v>
      </x:c>
      <x:c r="L407">
        <x:f ca="1">IF(AND($B$1012=1,LEN($L$1408)&gt;0),$L$1408,HLOOKUP(INDIRECT(ADDRESS(2,COLUMN())),OFFSET($T$2,0,0,ROW()-1,14),ROW()-1,FALSE))</x:f>
        <x:v>0</x:v>
      </x:c>
      <x:c r="M407">
        <x:f ca="1">IF(AND($B$1012=1,LEN($M$1408)&gt;0),$M$1408,HLOOKUP(INDIRECT(ADDRESS(2,COLUMN())),OFFSET($T$2,0,0,ROW()-1,14),ROW()-1,FALSE))</x:f>
        <x:v>0</x:v>
      </x:c>
      <x:c r="N407">
        <x:f ca="1">IF(AND($B$1012=1,LEN($N$1408)&gt;0),$N$1408,HLOOKUP(INDIRECT(ADDRESS(2,COLUMN())),OFFSET($T$2,0,0,ROW()-1,14),ROW()-1,FALSE))</x:f>
        <x:v>0</x:v>
      </x:c>
      <x:c r="O407">
        <x:f ca="1">IF(AND($B$1012=1,LEN($O$1408)&gt;0),$O$1408,HLOOKUP(INDIRECT(ADDRESS(2,COLUMN())),OFFSET($T$2,0,0,ROW()-1,14),ROW()-1,FALSE))</x:f>
        <x:v>0</x:v>
      </x:c>
      <x:c r="P407" t="str">
        <x:f ca="1">IF(AND($B$1012=1,LEN($P$1408)&gt;0),$P$1408,HLOOKUP(INDIRECT(ADDRESS(2,COLUMN())),OFFSET($T$2,0,0,ROW()-1,14),ROW()-1,FALSE))</x:f>
        <x:v/>
      </x:c>
      <x:c r="Q407" t="str">
        <x:f ca="1">IF(AND($B$1012=1,LEN($Q$1408)&gt;0),$Q$1408,HLOOKUP(INDIRECT(ADDRESS(2,COLUMN())),OFFSET($T$2,0,0,ROW()-1,14),ROW()-1,FALSE))</x:f>
        <x:v/>
      </x:c>
      <x:c r="R407" t="str">
        <x:f ca="1">IF(AND($B$1012=1,LEN($R$1408)&gt;0),$R$1408,HLOOKUP(INDIRECT(ADDRESS(2,COLUMN())),OFFSET($T$2,0,0,ROW()-1,14),ROW()-1,FALSE))</x:f>
        <x:v/>
      </x:c>
      <x:c r="S407" t="str">
        <x:f ca="1">IF(AND($B$1012=1,LEN($S$1408)&gt;0),$S$1408,HLOOKUP(INDIRECT(ADDRESS(2,COLUMN())),OFFSET($T$2,0,0,ROW()-1,14),ROW()-1,FALSE))</x:f>
        <x:v/>
      </x:c>
      <x:c r="T407">
        <x:f>0</x:f>
        <x:v>0</x:v>
      </x:c>
      <x:c r="U407">
        <x:f>0</x:f>
        <x:v>0</x:v>
      </x:c>
      <x:c r="V407">
        <x:f>0</x:f>
        <x:v>0</x:v>
      </x:c>
      <x:c r="W407">
        <x:f>0</x:f>
        <x:v>0</x:v>
      </x:c>
      <x:c r="X407">
        <x:f>0</x:f>
        <x:v>0</x:v>
      </x:c>
      <x:c r="Y407">
        <x:f>0</x:f>
        <x:v>0</x:v>
      </x:c>
      <x:c r="Z407">
        <x:f>0</x:f>
        <x:v>0</x:v>
      </x:c>
      <x:c r="AA407">
        <x:f>0</x:f>
        <x:v>0</x:v>
      </x:c>
      <x:c r="AB407">
        <x:f>0</x:f>
        <x:v>0</x:v>
      </x:c>
      <x:c r="AC407">
        <x:f>0</x:f>
        <x:v>0</x:v>
      </x:c>
      <x:c r="AD407" t="str">
        <x:f>""</x:f>
        <x:v/>
      </x:c>
      <x:c r="AE407" t="str">
        <x:f>""</x:f>
        <x:v/>
      </x:c>
      <x:c r="AF407" t="str">
        <x:f>""</x:f>
        <x:v/>
      </x:c>
      <x:c r="AG407" t="str">
        <x:f>""</x:f>
        <x:v/>
      </x:c>
    </x:row>
    <x:row r="408" spans="1:33" x14ac:dyDescent="0.25">
      <x:c r="A408" t="str">
        <x:f>"        VelocityShares VIX Medium Term"</x:f>
        <x:v xml:space="preserve">        VelocityShares VIX Medium Term</x:v>
      </x:c>
      <x:c r="B408" t="str">
        <x:f>"VIIZ US Equity"</x:f>
        <x:v>VIIZ US Equity</x:v>
      </x:c>
      <x:c r="E408" t="str">
        <x:f t="shared" si="13"/>
        <x:v>Expression</x:v>
      </x:c>
      <x:c r="F408" t="str">
        <x:f ca="1">IF(AND($B$1012=1,LEN($F$1409)&gt;0),$F$1409,HLOOKUP(INDIRECT(ADDRESS(2,COLUMN())),OFFSET($T$2,0,0,ROW()-1,14),ROW()-1,FALSE))</x:f>
        <x:v/>
      </x:c>
      <x:c r="G408" t="str">
        <x:f ca="1">IF(AND($B$1012=1,LEN($G$1409)&gt;0),$G$1409,HLOOKUP(INDIRECT(ADDRESS(2,COLUMN())),OFFSET($T$2,0,0,ROW()-1,14),ROW()-1,FALSE))</x:f>
        <x:v/>
      </x:c>
      <x:c r="H408" t="str">
        <x:f ca="1">IF(AND($B$1012=1,LEN($H$1409)&gt;0),$H$1409,HLOOKUP(INDIRECT(ADDRESS(2,COLUMN())),OFFSET($T$2,0,0,ROW()-1,14),ROW()-1,FALSE))</x:f>
        <x:v/>
      </x:c>
      <x:c r="I408" t="str">
        <x:f ca="1">IF(AND($B$1012=1,LEN($I$1409)&gt;0),$I$1409,HLOOKUP(INDIRECT(ADDRESS(2,COLUMN())),OFFSET($T$2,0,0,ROW()-1,14),ROW()-1,FALSE))</x:f>
        <x:v/>
      </x:c>
      <x:c r="J408" t="str">
        <x:f ca="1">IF(AND($B$1012=1,LEN($J$1409)&gt;0),$J$1409,HLOOKUP(INDIRECT(ADDRESS(2,COLUMN())),OFFSET($T$2,0,0,ROW()-1,14),ROW()-1,FALSE))</x:f>
        <x:v/>
      </x:c>
      <x:c r="K408" t="str">
        <x:f ca="1">IF(AND($B$1012=1,LEN($K$1409)&gt;0),$K$1409,HLOOKUP(INDIRECT(ADDRESS(2,COLUMN())),OFFSET($T$2,0,0,ROW()-1,14),ROW()-1,FALSE))</x:f>
        <x:v/>
      </x:c>
      <x:c r="L408" t="str">
        <x:f ca="1">IF(AND($B$1012=1,LEN($L$1409)&gt;0),$L$1409,HLOOKUP(INDIRECT(ADDRESS(2,COLUMN())),OFFSET($T$2,0,0,ROW()-1,14),ROW()-1,FALSE))</x:f>
        <x:v/>
      </x:c>
      <x:c r="M408" t="str">
        <x:f ca="1">IF(AND($B$1012=1,LEN($M$1409)&gt;0),$M$1409,HLOOKUP(INDIRECT(ADDRESS(2,COLUMN())),OFFSET($T$2,0,0,ROW()-1,14),ROW()-1,FALSE))</x:f>
        <x:v/>
      </x:c>
      <x:c r="N408" t="str">
        <x:f ca="1">IF(AND($B$1012=1,LEN($N$1409)&gt;0),$N$1409,HLOOKUP(INDIRECT(ADDRESS(2,COLUMN())),OFFSET($T$2,0,0,ROW()-1,14),ROW()-1,FALSE))</x:f>
        <x:v/>
      </x:c>
      <x:c r="O408" t="str">
        <x:f ca="1">IF(AND($B$1012=1,LEN($O$1409)&gt;0),$O$1409,HLOOKUP(INDIRECT(ADDRESS(2,COLUMN())),OFFSET($T$2,0,0,ROW()-1,14),ROW()-1,FALSE))</x:f>
        <x:v/>
      </x:c>
      <x:c r="P408" t="str">
        <x:f ca="1">IF(AND($B$1012=1,LEN($P$1409)&gt;0),$P$1409,HLOOKUP(INDIRECT(ADDRESS(2,COLUMN())),OFFSET($T$2,0,0,ROW()-1,14),ROW()-1,FALSE))</x:f>
        <x:v/>
      </x:c>
      <x:c r="Q408" t="str">
        <x:f ca="1">IF(AND($B$1012=1,LEN($Q$1409)&gt;0),$Q$1409,HLOOKUP(INDIRECT(ADDRESS(2,COLUMN())),OFFSET($T$2,0,0,ROW()-1,14),ROW()-1,FALSE))</x:f>
        <x:v/>
      </x:c>
      <x:c r="R408" t="str">
        <x:f ca="1">IF(AND($B$1012=1,LEN($R$1409)&gt;0),$R$1409,HLOOKUP(INDIRECT(ADDRESS(2,COLUMN())),OFFSET($T$2,0,0,ROW()-1,14),ROW()-1,FALSE))</x:f>
        <x:v/>
      </x:c>
      <x:c r="S408" t="str">
        <x:f ca="1">IF(AND($B$1012=1,LEN($S$1409)&gt;0),$S$1409,HLOOKUP(INDIRECT(ADDRESS(2,COLUMN())),OFFSET($T$2,0,0,ROW()-1,14),ROW()-1,FALSE))</x:f>
        <x:v/>
      </x:c>
      <x:c r="T408" t="str">
        <x:f>""</x:f>
        <x:v/>
      </x:c>
      <x:c r="U408" t="str">
        <x:f>""</x:f>
        <x:v/>
      </x:c>
      <x:c r="V408" t="str">
        <x:f>""</x:f>
        <x:v/>
      </x:c>
      <x:c r="W408" t="str">
        <x:f>""</x:f>
        <x:v/>
      </x:c>
      <x:c r="X408" t="str">
        <x:f>""</x:f>
        <x:v/>
      </x:c>
      <x:c r="Y408" t="str">
        <x:f>""</x:f>
        <x:v/>
      </x:c>
      <x:c r="Z408" t="str">
        <x:f>""</x:f>
        <x:v/>
      </x:c>
      <x:c r="AA408" t="str">
        <x:f>""</x:f>
        <x:v/>
      </x:c>
      <x:c r="AB408" t="str">
        <x:f>""</x:f>
        <x:v/>
      </x:c>
      <x:c r="AC408" t="str">
        <x:f>""</x:f>
        <x:v/>
      </x:c>
      <x:c r="AD408" t="str">
        <x:f>""</x:f>
        <x:v/>
      </x:c>
      <x:c r="AE408" t="str">
        <x:f>""</x:f>
        <x:v/>
      </x:c>
      <x:c r="AF408" t="str">
        <x:f>""</x:f>
        <x:v/>
      </x:c>
      <x:c r="AG408" t="str">
        <x:f>""</x:f>
        <x:v/>
      </x:c>
    </x:row>
    <x:row r="409" spans="1:33" x14ac:dyDescent="0.25">
      <x:c r="A409" t="str">
        <x:f>"        iPath Pure Beta Precious Metal"</x:f>
        <x:v xml:space="preserve">        iPath Pure Beta Precious Metal</x:v>
      </x:c>
      <x:c r="B409" t="str">
        <x:f>"1873918D US Equity"</x:f>
        <x:v>1873918D US Equity</x:v>
      </x:c>
      <x:c r="E409" t="str">
        <x:f t="shared" si="13"/>
        <x:v>Expression</x:v>
      </x:c>
      <x:c r="F409" t="str">
        <x:f ca="1">IF(AND($B$1012=1,LEN($F$1410)&gt;0),$F$1410,HLOOKUP(INDIRECT(ADDRESS(2,COLUMN())),OFFSET($T$2,0,0,ROW()-1,14),ROW()-1,FALSE))</x:f>
        <x:v/>
      </x:c>
      <x:c r="G409" t="str">
        <x:f ca="1">IF(AND($B$1012=1,LEN($G$1410)&gt;0),$G$1410,HLOOKUP(INDIRECT(ADDRESS(2,COLUMN())),OFFSET($T$2,0,0,ROW()-1,14),ROW()-1,FALSE))</x:f>
        <x:v/>
      </x:c>
      <x:c r="H409" t="str">
        <x:f ca="1">IF(AND($B$1012=1,LEN($H$1410)&gt;0),$H$1410,HLOOKUP(INDIRECT(ADDRESS(2,COLUMN())),OFFSET($T$2,0,0,ROW()-1,14),ROW()-1,FALSE))</x:f>
        <x:v/>
      </x:c>
      <x:c r="I409" t="str">
        <x:f ca="1">IF(AND($B$1012=1,LEN($I$1410)&gt;0),$I$1410,HLOOKUP(INDIRECT(ADDRESS(2,COLUMN())),OFFSET($T$2,0,0,ROW()-1,14),ROW()-1,FALSE))</x:f>
        <x:v/>
      </x:c>
      <x:c r="J409" t="str">
        <x:f ca="1">IF(AND($B$1012=1,LEN($J$1410)&gt;0),$J$1410,HLOOKUP(INDIRECT(ADDRESS(2,COLUMN())),OFFSET($T$2,0,0,ROW()-1,14),ROW()-1,FALSE))</x:f>
        <x:v/>
      </x:c>
      <x:c r="K409" t="str">
        <x:f ca="1">IF(AND($B$1012=1,LEN($K$1410)&gt;0),$K$1410,HLOOKUP(INDIRECT(ADDRESS(2,COLUMN())),OFFSET($T$2,0,0,ROW()-1,14),ROW()-1,FALSE))</x:f>
        <x:v/>
      </x:c>
      <x:c r="L409" t="str">
        <x:f ca="1">IF(AND($B$1012=1,LEN($L$1410)&gt;0),$L$1410,HLOOKUP(INDIRECT(ADDRESS(2,COLUMN())),OFFSET($T$2,0,0,ROW()-1,14),ROW()-1,FALSE))</x:f>
        <x:v/>
      </x:c>
      <x:c r="M409" t="str">
        <x:f ca="1">IF(AND($B$1012=1,LEN($M$1410)&gt;0),$M$1410,HLOOKUP(INDIRECT(ADDRESS(2,COLUMN())),OFFSET($T$2,0,0,ROW()-1,14),ROW()-1,FALSE))</x:f>
        <x:v/>
      </x:c>
      <x:c r="N409" t="str">
        <x:f ca="1">IF(AND($B$1012=1,LEN($N$1410)&gt;0),$N$1410,HLOOKUP(INDIRECT(ADDRESS(2,COLUMN())),OFFSET($T$2,0,0,ROW()-1,14),ROW()-1,FALSE))</x:f>
        <x:v/>
      </x:c>
      <x:c r="O409" t="str">
        <x:f ca="1">IF(AND($B$1012=1,LEN($O$1410)&gt;0),$O$1410,HLOOKUP(INDIRECT(ADDRESS(2,COLUMN())),OFFSET($T$2,0,0,ROW()-1,14),ROW()-1,FALSE))</x:f>
        <x:v/>
      </x:c>
      <x:c r="P409" t="str">
        <x:f ca="1">IF(AND($B$1012=1,LEN($P$1410)&gt;0),$P$1410,HLOOKUP(INDIRECT(ADDRESS(2,COLUMN())),OFFSET($T$2,0,0,ROW()-1,14),ROW()-1,FALSE))</x:f>
        <x:v/>
      </x:c>
      <x:c r="Q409" t="str">
        <x:f ca="1">IF(AND($B$1012=1,LEN($Q$1410)&gt;0),$Q$1410,HLOOKUP(INDIRECT(ADDRESS(2,COLUMN())),OFFSET($T$2,0,0,ROW()-1,14),ROW()-1,FALSE))</x:f>
        <x:v/>
      </x:c>
      <x:c r="R409" t="str">
        <x:f ca="1">IF(AND($B$1012=1,LEN($R$1410)&gt;0),$R$1410,HLOOKUP(INDIRECT(ADDRESS(2,COLUMN())),OFFSET($T$2,0,0,ROW()-1,14),ROW()-1,FALSE))</x:f>
        <x:v/>
      </x:c>
      <x:c r="S409" t="str">
        <x:f ca="1">IF(AND($B$1012=1,LEN($S$1410)&gt;0),$S$1410,HLOOKUP(INDIRECT(ADDRESS(2,COLUMN())),OFFSET($T$2,0,0,ROW()-1,14),ROW()-1,FALSE))</x:f>
        <x:v/>
      </x:c>
      <x:c r="T409" t="str">
        <x:f>""</x:f>
        <x:v/>
      </x:c>
      <x:c r="U409" t="str">
        <x:f>""</x:f>
        <x:v/>
      </x:c>
      <x:c r="V409" t="str">
        <x:f>""</x:f>
        <x:v/>
      </x:c>
      <x:c r="W409" t="str">
        <x:f>""</x:f>
        <x:v/>
      </x:c>
      <x:c r="X409" t="str">
        <x:f>""</x:f>
        <x:v/>
      </x:c>
      <x:c r="Y409" t="str">
        <x:f>""</x:f>
        <x:v/>
      </x:c>
      <x:c r="Z409" t="str">
        <x:f>""</x:f>
        <x:v/>
      </x:c>
      <x:c r="AA409" t="str">
        <x:f>""</x:f>
        <x:v/>
      </x:c>
      <x:c r="AB409" t="str">
        <x:f>""</x:f>
        <x:v/>
      </x:c>
      <x:c r="AC409" t="str">
        <x:f>""</x:f>
        <x:v/>
      </x:c>
      <x:c r="AD409" t="str">
        <x:f>""</x:f>
        <x:v/>
      </x:c>
      <x:c r="AE409" t="str">
        <x:f>""</x:f>
        <x:v/>
      </x:c>
      <x:c r="AF409" t="str">
        <x:f>""</x:f>
        <x:v/>
      </x:c>
      <x:c r="AG409" t="str">
        <x:f>""</x:f>
        <x:v/>
      </x:c>
    </x:row>
    <x:row r="410" spans="1:33" x14ac:dyDescent="0.25">
      <x:c r="A410" t="str">
        <x:f>"        Sprott Uranium Miners ETF"</x:f>
        <x:v xml:space="preserve">        Sprott Uranium Miners ETF</x:v>
      </x:c>
      <x:c r="B410" t="str">
        <x:f>"URNM US Equity"</x:f>
        <x:v>URNM US Equity</x:v>
      </x:c>
      <x:c r="E410" t="str">
        <x:f t="shared" si="13"/>
        <x:v>Expression</x:v>
      </x:c>
      <x:c r="F410">
        <x:f ca="1">IF(AND($B$1012=1,LEN($F$1411)&gt;0),$F$1411,HLOOKUP(INDIRECT(ADDRESS(2,COLUMN())),OFFSET($T$2,0,0,ROW()-1,14),ROW()-1,FALSE))</x:f>
        <x:v>63.117066999999999</x:v>
      </x:c>
      <x:c r="G410">
        <x:f ca="1">IF(AND($B$1012=1,LEN($G$1411)&gt;0),$G$1411,HLOOKUP(INDIRECT(ADDRESS(2,COLUMN())),OFFSET($T$2,0,0,ROW()-1,14),ROW()-1,FALSE))</x:f>
        <x:v>130.50699</x:v>
      </x:c>
      <x:c r="H410">
        <x:f ca="1">IF(AND($B$1012=1,LEN($H$1411)&gt;0),$H$1411,HLOOKUP(INDIRECT(ADDRESS(2,COLUMN())),OFFSET($T$2,0,0,ROW()-1,14),ROW()-1,FALSE))</x:f>
        <x:v>20.511638000000001</x:v>
      </x:c>
      <x:c r="I410">
        <x:f ca="1">IF(AND($B$1012=1,LEN($I$1411)&gt;0),$I$1411,HLOOKUP(INDIRECT(ADDRESS(2,COLUMN())),OFFSET($T$2,0,0,ROW()-1,14),ROW()-1,FALSE))</x:f>
        <x:v>37.143949999999997</x:v>
      </x:c>
      <x:c r="J410">
        <x:f ca="1">IF(AND($B$1012=1,LEN($J$1411)&gt;0),$J$1411,HLOOKUP(INDIRECT(ADDRESS(2,COLUMN())),OFFSET($T$2,0,0,ROW()-1,14),ROW()-1,FALSE))</x:f>
        <x:v>-4.8310760000000004</x:v>
      </x:c>
      <x:c r="K410">
        <x:f ca="1">IF(AND($B$1012=1,LEN($K$1411)&gt;0),$K$1411,HLOOKUP(INDIRECT(ADDRESS(2,COLUMN())),OFFSET($T$2,0,0,ROW()-1,14),ROW()-1,FALSE))</x:f>
        <x:v>-1.71627</x:v>
      </x:c>
      <x:c r="L410">
        <x:f ca="1">IF(AND($B$1012=1,LEN($L$1411)&gt;0),$L$1411,HLOOKUP(INDIRECT(ADDRESS(2,COLUMN())),OFFSET($T$2,0,0,ROW()-1,14),ROW()-1,FALSE))</x:f>
        <x:v>-14.423543</x:v>
      </x:c>
      <x:c r="M410">
        <x:f ca="1">IF(AND($B$1012=1,LEN($M$1411)&gt;0),$M$1411,HLOOKUP(INDIRECT(ADDRESS(2,COLUMN())),OFFSET($T$2,0,0,ROW()-1,14),ROW()-1,FALSE))</x:f>
        <x:v>17.939091999999999</x:v>
      </x:c>
      <x:c r="N410">
        <x:f ca="1">IF(AND($B$1012=1,LEN($N$1411)&gt;0),$N$1411,HLOOKUP(INDIRECT(ADDRESS(2,COLUMN())),OFFSET($T$2,0,0,ROW()-1,14),ROW()-1,FALSE))</x:f>
        <x:v>11.474237</x:v>
      </x:c>
      <x:c r="O410">
        <x:f ca="1">IF(AND($B$1012=1,LEN($O$1411)&gt;0),$O$1411,HLOOKUP(INDIRECT(ADDRESS(2,COLUMN())),OFFSET($T$2,0,0,ROW()-1,14),ROW()-1,FALSE))</x:f>
        <x:v>25.974187000000001</x:v>
      </x:c>
      <x:c r="P410">
        <x:f ca="1">IF(AND($B$1012=1,LEN($P$1411)&gt;0),$P$1411,HLOOKUP(INDIRECT(ADDRESS(2,COLUMN())),OFFSET($T$2,0,0,ROW()-1,14),ROW()-1,FALSE))</x:f>
        <x:v>2.1638860000000002</x:v>
      </x:c>
      <x:c r="Q410">
        <x:f ca="1">IF(AND($B$1012=1,LEN($Q$1411)&gt;0),$Q$1411,HLOOKUP(INDIRECT(ADDRESS(2,COLUMN())),OFFSET($T$2,0,0,ROW()-1,14),ROW()-1,FALSE))</x:f>
        <x:v>-33.214793</x:v>
      </x:c>
      <x:c r="R410">
        <x:f ca="1">IF(AND($B$1012=1,LEN($R$1411)&gt;0),$R$1411,HLOOKUP(INDIRECT(ADDRESS(2,COLUMN())),OFFSET($T$2,0,0,ROW()-1,14),ROW()-1,FALSE))</x:f>
        <x:v>5.8692159999999998</x:v>
      </x:c>
      <x:c r="S410">
        <x:f ca="1">IF(AND($B$1012=1,LEN($S$1411)&gt;0),$S$1411,HLOOKUP(INDIRECT(ADDRESS(2,COLUMN())),OFFSET($T$2,0,0,ROW()-1,14),ROW()-1,FALSE))</x:f>
        <x:v>-2.9890759999999998</x:v>
      </x:c>
      <x:c r="T410">
        <x:f>63.117067</x:f>
        <x:v>63.117066999999999</x:v>
      </x:c>
      <x:c r="U410">
        <x:f>130.50699</x:f>
        <x:v>130.50699</x:v>
      </x:c>
      <x:c r="V410">
        <x:f>20.511638</x:f>
        <x:v>20.511638000000001</x:v>
      </x:c>
      <x:c r="W410">
        <x:f>37.14395</x:f>
        <x:v>37.143949999999997</x:v>
      </x:c>
      <x:c r="X410">
        <x:f>-4.831076</x:f>
        <x:v>-4.8310760000000004</x:v>
      </x:c>
      <x:c r="Y410">
        <x:f>-1.71627</x:f>
        <x:v>-1.71627</x:v>
      </x:c>
      <x:c r="Z410">
        <x:f>-14.423543</x:f>
        <x:v>-14.423543</x:v>
      </x:c>
      <x:c r="AA410">
        <x:f>17.939092</x:f>
        <x:v>17.939091999999999</x:v>
      </x:c>
      <x:c r="AB410">
        <x:f>11.474237</x:f>
        <x:v>11.474237</x:v>
      </x:c>
      <x:c r="AC410">
        <x:f>25.974187</x:f>
        <x:v>25.974187000000001</x:v>
      </x:c>
      <x:c r="AD410">
        <x:f>2.163886</x:f>
        <x:v>2.1638860000000002</x:v>
      </x:c>
      <x:c r="AE410">
        <x:f>-33.214793</x:f>
        <x:v>-33.214793</x:v>
      </x:c>
      <x:c r="AF410">
        <x:f>5.869216</x:f>
        <x:v>5.8692159999999998</x:v>
      </x:c>
      <x:c r="AG410">
        <x:f>-2.989076</x:f>
        <x:v>-2.9890759999999998</x:v>
      </x:c>
    </x:row>
    <x:row r="411" spans="1:33" x14ac:dyDescent="0.25">
      <x:c r="A411" t="str">
        <x:f>"        MicroSectors Gold Miners 3X Le"</x:f>
        <x:v xml:space="preserve">        MicroSectors Gold Miners 3X Le</x:v>
      </x:c>
      <x:c r="B411" t="str">
        <x:f>"GDXU US Equity"</x:f>
        <x:v>GDXU US Equity</x:v>
      </x:c>
      <x:c r="E411" t="str">
        <x:f t="shared" si="13"/>
        <x:v>Expression</x:v>
      </x:c>
      <x:c r="F411">
        <x:f ca="1">IF(AND($B$1012=1,LEN($F$1412)&gt;0),$F$1412,HLOOKUP(INDIRECT(ADDRESS(2,COLUMN())),OFFSET($T$2,0,0,ROW()-1,14),ROW()-1,FALSE))</x:f>
        <x:v>0</x:v>
      </x:c>
      <x:c r="G411">
        <x:f ca="1">IF(AND($B$1012=1,LEN($G$1412)&gt;0),$G$1412,HLOOKUP(INDIRECT(ADDRESS(2,COLUMN())),OFFSET($T$2,0,0,ROW()-1,14),ROW()-1,FALSE))</x:f>
        <x:v>31.979779000000001</x:v>
      </x:c>
      <x:c r="H411">
        <x:f ca="1">IF(AND($B$1012=1,LEN($H$1412)&gt;0),$H$1412,HLOOKUP(INDIRECT(ADDRESS(2,COLUMN())),OFFSET($T$2,0,0,ROW()-1,14),ROW()-1,FALSE))</x:f>
        <x:v>0</x:v>
      </x:c>
      <x:c r="I411">
        <x:f ca="1">IF(AND($B$1012=1,LEN($I$1412)&gt;0),$I$1412,HLOOKUP(INDIRECT(ADDRESS(2,COLUMN())),OFFSET($T$2,0,0,ROW()-1,14),ROW()-1,FALSE))</x:f>
        <x:v>29.481891000000001</x:v>
      </x:c>
      <x:c r="J411">
        <x:f ca="1">IF(AND($B$1012=1,LEN($J$1412)&gt;0),$J$1412,HLOOKUP(INDIRECT(ADDRESS(2,COLUMN())),OFFSET($T$2,0,0,ROW()-1,14),ROW()-1,FALSE))</x:f>
        <x:v>0</x:v>
      </x:c>
      <x:c r="K411">
        <x:f ca="1">IF(AND($B$1012=1,LEN($K$1412)&gt;0),$K$1412,HLOOKUP(INDIRECT(ADDRESS(2,COLUMN())),OFFSET($T$2,0,0,ROW()-1,14),ROW()-1,FALSE))</x:f>
        <x:v>18.573757000000001</x:v>
      </x:c>
      <x:c r="L411">
        <x:f ca="1">IF(AND($B$1012=1,LEN($L$1412)&gt;0),$L$1412,HLOOKUP(INDIRECT(ADDRESS(2,COLUMN())),OFFSET($T$2,0,0,ROW()-1,14),ROW()-1,FALSE))</x:f>
        <x:v>0</x:v>
      </x:c>
      <x:c r="M411">
        <x:f ca="1">IF(AND($B$1012=1,LEN($M$1412)&gt;0),$M$1412,HLOOKUP(INDIRECT(ADDRESS(2,COLUMN())),OFFSET($T$2,0,0,ROW()-1,14),ROW()-1,FALSE))</x:f>
        <x:v>0</x:v>
      </x:c>
      <x:c r="N411">
        <x:f ca="1">IF(AND($B$1012=1,LEN($N$1412)&gt;0),$N$1412,HLOOKUP(INDIRECT(ADDRESS(2,COLUMN())),OFFSET($T$2,0,0,ROW()-1,14),ROW()-1,FALSE))</x:f>
        <x:v>0</x:v>
      </x:c>
      <x:c r="O411">
        <x:f ca="1">IF(AND($B$1012=1,LEN($O$1412)&gt;0),$O$1412,HLOOKUP(INDIRECT(ADDRESS(2,COLUMN())),OFFSET($T$2,0,0,ROW()-1,14),ROW()-1,FALSE))</x:f>
        <x:v>0</x:v>
      </x:c>
      <x:c r="P411">
        <x:f ca="1">IF(AND($B$1012=1,LEN($P$1412)&gt;0),$P$1412,HLOOKUP(INDIRECT(ADDRESS(2,COLUMN())),OFFSET($T$2,0,0,ROW()-1,14),ROW()-1,FALSE))</x:f>
        <x:v>0</x:v>
      </x:c>
      <x:c r="Q411">
        <x:f ca="1">IF(AND($B$1012=1,LEN($Q$1412)&gt;0),$Q$1412,HLOOKUP(INDIRECT(ADDRESS(2,COLUMN())),OFFSET($T$2,0,0,ROW()-1,14),ROW()-1,FALSE))</x:f>
        <x:v>0</x:v>
      </x:c>
      <x:c r="R411">
        <x:f ca="1">IF(AND($B$1012=1,LEN($R$1412)&gt;0),$R$1412,HLOOKUP(INDIRECT(ADDRESS(2,COLUMN())),OFFSET($T$2,0,0,ROW()-1,14),ROW()-1,FALSE))</x:f>
        <x:v>0</x:v>
      </x:c>
      <x:c r="S411">
        <x:f ca="1">IF(AND($B$1012=1,LEN($S$1412)&gt;0),$S$1412,HLOOKUP(INDIRECT(ADDRESS(2,COLUMN())),OFFSET($T$2,0,0,ROW()-1,14),ROW()-1,FALSE))</x:f>
        <x:v>0</x:v>
      </x:c>
      <x:c r="T411">
        <x:f>0</x:f>
        <x:v>0</x:v>
      </x:c>
      <x:c r="U411">
        <x:f>31.979779</x:f>
        <x:v>31.979779000000001</x:v>
      </x:c>
      <x:c r="V411">
        <x:f>0</x:f>
        <x:v>0</x:v>
      </x:c>
      <x:c r="W411">
        <x:f>29.481891</x:f>
        <x:v>29.481891000000001</x:v>
      </x:c>
      <x:c r="X411">
        <x:f>0</x:f>
        <x:v>0</x:v>
      </x:c>
      <x:c r="Y411">
        <x:f>18.573757</x:f>
        <x:v>18.573757000000001</x:v>
      </x:c>
      <x:c r="Z411">
        <x:f>0</x:f>
        <x:v>0</x:v>
      </x:c>
      <x:c r="AA411">
        <x:f>0</x:f>
        <x:v>0</x:v>
      </x:c>
      <x:c r="AB411">
        <x:f>0</x:f>
        <x:v>0</x:v>
      </x:c>
      <x:c r="AC411">
        <x:f>0</x:f>
        <x:v>0</x:v>
      </x:c>
      <x:c r="AD411">
        <x:f>0</x:f>
        <x:v>0</x:v>
      </x:c>
      <x:c r="AE411">
        <x:f>0</x:f>
        <x:v>0</x:v>
      </x:c>
      <x:c r="AF411">
        <x:f>0</x:f>
        <x:v>0</x:v>
      </x:c>
      <x:c r="AG411">
        <x:f>0</x:f>
        <x:v>0</x:v>
      </x:c>
    </x:row>
    <x:row r="412" spans="1:33" x14ac:dyDescent="0.25">
      <x:c r="A412" t="str">
        <x:f>"        Amplify Pure Junior Gold Miner"</x:f>
        <x:v xml:space="preserve">        Amplify Pure Junior Gold Miner</x:v>
      </x:c>
      <x:c r="B412" t="str">
        <x:f>"JGLD US Equity"</x:f>
        <x:v>JGLD US Equity</x:v>
      </x:c>
      <x:c r="E412" t="str">
        <x:f t="shared" si="13"/>
        <x:v>Expression</x:v>
      </x:c>
      <x:c r="F412" t="str">
        <x:f ca="1">IF(AND($B$1012=1,LEN($F$1413)&gt;0),$F$1413,HLOOKUP(INDIRECT(ADDRESS(2,COLUMN())),OFFSET($T$2,0,0,ROW()-1,14),ROW()-1,FALSE))</x:f>
        <x:v/>
      </x:c>
      <x:c r="G412" t="str">
        <x:f ca="1">IF(AND($B$1012=1,LEN($G$1413)&gt;0),$G$1413,HLOOKUP(INDIRECT(ADDRESS(2,COLUMN())),OFFSET($T$2,0,0,ROW()-1,14),ROW()-1,FALSE))</x:f>
        <x:v/>
      </x:c>
      <x:c r="H412" t="str">
        <x:f ca="1">IF(AND($B$1012=1,LEN($H$1413)&gt;0),$H$1413,HLOOKUP(INDIRECT(ADDRESS(2,COLUMN())),OFFSET($T$2,0,0,ROW()-1,14),ROW()-1,FALSE))</x:f>
        <x:v/>
      </x:c>
      <x:c r="I412" t="str">
        <x:f ca="1">IF(AND($B$1012=1,LEN($I$1413)&gt;0),$I$1413,HLOOKUP(INDIRECT(ADDRESS(2,COLUMN())),OFFSET($T$2,0,0,ROW()-1,14),ROW()-1,FALSE))</x:f>
        <x:v/>
      </x:c>
      <x:c r="J412" t="str">
        <x:f ca="1">IF(AND($B$1012=1,LEN($J$1413)&gt;0),$J$1413,HLOOKUP(INDIRECT(ADDRESS(2,COLUMN())),OFFSET($T$2,0,0,ROW()-1,14),ROW()-1,FALSE))</x:f>
        <x:v/>
      </x:c>
      <x:c r="K412" t="str">
        <x:f ca="1">IF(AND($B$1012=1,LEN($K$1413)&gt;0),$K$1413,HLOOKUP(INDIRECT(ADDRESS(2,COLUMN())),OFFSET($T$2,0,0,ROW()-1,14),ROW()-1,FALSE))</x:f>
        <x:v/>
      </x:c>
      <x:c r="L412" t="str">
        <x:f ca="1">IF(AND($B$1012=1,LEN($L$1413)&gt;0),$L$1413,HLOOKUP(INDIRECT(ADDRESS(2,COLUMN())),OFFSET($T$2,0,0,ROW()-1,14),ROW()-1,FALSE))</x:f>
        <x:v/>
      </x:c>
      <x:c r="M412" t="str">
        <x:f ca="1">IF(AND($B$1012=1,LEN($M$1413)&gt;0),$M$1413,HLOOKUP(INDIRECT(ADDRESS(2,COLUMN())),OFFSET($T$2,0,0,ROW()-1,14),ROW()-1,FALSE))</x:f>
        <x:v/>
      </x:c>
      <x:c r="N412" t="str">
        <x:f ca="1">IF(AND($B$1012=1,LEN($N$1413)&gt;0),$N$1413,HLOOKUP(INDIRECT(ADDRESS(2,COLUMN())),OFFSET($T$2,0,0,ROW()-1,14),ROW()-1,FALSE))</x:f>
        <x:v/>
      </x:c>
      <x:c r="O412" t="str">
        <x:f ca="1">IF(AND($B$1012=1,LEN($O$1413)&gt;0),$O$1413,HLOOKUP(INDIRECT(ADDRESS(2,COLUMN())),OFFSET($T$2,0,0,ROW()-1,14),ROW()-1,FALSE))</x:f>
        <x:v/>
      </x:c>
      <x:c r="P412" t="str">
        <x:f ca="1">IF(AND($B$1012=1,LEN($P$1413)&gt;0),$P$1413,HLOOKUP(INDIRECT(ADDRESS(2,COLUMN())),OFFSET($T$2,0,0,ROW()-1,14),ROW()-1,FALSE))</x:f>
        <x:v/>
      </x:c>
      <x:c r="Q412" t="str">
        <x:f ca="1">IF(AND($B$1012=1,LEN($Q$1413)&gt;0),$Q$1413,HLOOKUP(INDIRECT(ADDRESS(2,COLUMN())),OFFSET($T$2,0,0,ROW()-1,14),ROW()-1,FALSE))</x:f>
        <x:v/>
      </x:c>
      <x:c r="R412" t="str">
        <x:f ca="1">IF(AND($B$1012=1,LEN($R$1413)&gt;0),$R$1413,HLOOKUP(INDIRECT(ADDRESS(2,COLUMN())),OFFSET($T$2,0,0,ROW()-1,14),ROW()-1,FALSE))</x:f>
        <x:v/>
      </x:c>
      <x:c r="S412">
        <x:f ca="1">IF(AND($B$1012=1,LEN($S$1413)&gt;0),$S$1413,HLOOKUP(INDIRECT(ADDRESS(2,COLUMN())),OFFSET($T$2,0,0,ROW()-1,14),ROW()-1,FALSE))</x:f>
        <x:v>0</x:v>
      </x:c>
      <x:c r="T412" t="str">
        <x:f>""</x:f>
        <x:v/>
      </x:c>
      <x:c r="U412" t="str">
        <x:f>""</x:f>
        <x:v/>
      </x:c>
      <x:c r="V412" t="str">
        <x:f>""</x:f>
        <x:v/>
      </x:c>
      <x:c r="W412" t="str">
        <x:f>""</x:f>
        <x:v/>
      </x:c>
      <x:c r="X412" t="str">
        <x:f>""</x:f>
        <x:v/>
      </x:c>
      <x:c r="Y412" t="str">
        <x:f>""</x:f>
        <x:v/>
      </x:c>
      <x:c r="Z412" t="str">
        <x:f>""</x:f>
        <x:v/>
      </x:c>
      <x:c r="AA412" t="str">
        <x:f>""</x:f>
        <x:v/>
      </x:c>
      <x:c r="AB412" t="str">
        <x:f>""</x:f>
        <x:v/>
      </x:c>
      <x:c r="AC412" t="str">
        <x:f>""</x:f>
        <x:v/>
      </x:c>
      <x:c r="AD412" t="str">
        <x:f>""</x:f>
        <x:v/>
      </x:c>
      <x:c r="AE412" t="str">
        <x:f>""</x:f>
        <x:v/>
      </x:c>
      <x:c r="AF412" t="str">
        <x:f>""</x:f>
        <x:v/>
      </x:c>
      <x:c r="AG412">
        <x:f>0</x:f>
        <x:v>0</x:v>
      </x:c>
    </x:row>
    <x:row r="413" spans="1:33" x14ac:dyDescent="0.25">
      <x:c r="A413" t="str">
        <x:f>"        MicroSectors Gold Miners -3X I"</x:f>
        <x:v xml:space="preserve">        MicroSectors Gold Miners -3X I</x:v>
      </x:c>
      <x:c r="B413" t="str">
        <x:f>"GDXD US Equity"</x:f>
        <x:v>GDXD US Equity</x:v>
      </x:c>
      <x:c r="E413" t="str">
        <x:f t="shared" si="13"/>
        <x:v>Expression</x:v>
      </x:c>
      <x:c r="F413">
        <x:f ca="1">IF(AND($B$1012=1,LEN($F$1414)&gt;0),$F$1414,HLOOKUP(INDIRECT(ADDRESS(2,COLUMN())),OFFSET($T$2,0,0,ROW()-1,14),ROW()-1,FALSE))</x:f>
        <x:v>0</x:v>
      </x:c>
      <x:c r="G413">
        <x:f ca="1">IF(AND($B$1012=1,LEN($G$1414)&gt;0),$G$1414,HLOOKUP(INDIRECT(ADDRESS(2,COLUMN())),OFFSET($T$2,0,0,ROW()-1,14),ROW()-1,FALSE))</x:f>
        <x:v>0</x:v>
      </x:c>
      <x:c r="H413">
        <x:f ca="1">IF(AND($B$1012=1,LEN($H$1414)&gt;0),$H$1414,HLOOKUP(INDIRECT(ADDRESS(2,COLUMN())),OFFSET($T$2,0,0,ROW()-1,14),ROW()-1,FALSE))</x:f>
        <x:v>0</x:v>
      </x:c>
      <x:c r="I413">
        <x:f ca="1">IF(AND($B$1012=1,LEN($I$1414)&gt;0),$I$1414,HLOOKUP(INDIRECT(ADDRESS(2,COLUMN())),OFFSET($T$2,0,0,ROW()-1,14),ROW()-1,FALSE))</x:f>
        <x:v>0</x:v>
      </x:c>
      <x:c r="J413">
        <x:f ca="1">IF(AND($B$1012=1,LEN($J$1414)&gt;0),$J$1414,HLOOKUP(INDIRECT(ADDRESS(2,COLUMN())),OFFSET($T$2,0,0,ROW()-1,14),ROW()-1,FALSE))</x:f>
        <x:v>0</x:v>
      </x:c>
      <x:c r="K413">
        <x:f ca="1">IF(AND($B$1012=1,LEN($K$1414)&gt;0),$K$1414,HLOOKUP(INDIRECT(ADDRESS(2,COLUMN())),OFFSET($T$2,0,0,ROW()-1,14),ROW()-1,FALSE))</x:f>
        <x:v>0</x:v>
      </x:c>
      <x:c r="L413">
        <x:f ca="1">IF(AND($B$1012=1,LEN($L$1414)&gt;0),$L$1414,HLOOKUP(INDIRECT(ADDRESS(2,COLUMN())),OFFSET($T$2,0,0,ROW()-1,14),ROW()-1,FALSE))</x:f>
        <x:v>0</x:v>
      </x:c>
      <x:c r="M413">
        <x:f ca="1">IF(AND($B$1012=1,LEN($M$1414)&gt;0),$M$1414,HLOOKUP(INDIRECT(ADDRESS(2,COLUMN())),OFFSET($T$2,0,0,ROW()-1,14),ROW()-1,FALSE))</x:f>
        <x:v>23.018488999999999</x:v>
      </x:c>
      <x:c r="N413">
        <x:f ca="1">IF(AND($B$1012=1,LEN($N$1414)&gt;0),$N$1414,HLOOKUP(INDIRECT(ADDRESS(2,COLUMN())),OFFSET($T$2,0,0,ROW()-1,14),ROW()-1,FALSE))</x:f>
        <x:v>0</x:v>
      </x:c>
      <x:c r="O413">
        <x:f ca="1">IF(AND($B$1012=1,LEN($O$1414)&gt;0),$O$1414,HLOOKUP(INDIRECT(ADDRESS(2,COLUMN())),OFFSET($T$2,0,0,ROW()-1,14),ROW()-1,FALSE))</x:f>
        <x:v>3.315569</x:v>
      </x:c>
      <x:c r="P413">
        <x:f ca="1">IF(AND($B$1012=1,LEN($P$1414)&gt;0),$P$1414,HLOOKUP(INDIRECT(ADDRESS(2,COLUMN())),OFFSET($T$2,0,0,ROW()-1,14),ROW()-1,FALSE))</x:f>
        <x:v>10.224368</x:v>
      </x:c>
      <x:c r="Q413">
        <x:f ca="1">IF(AND($B$1012=1,LEN($Q$1414)&gt;0),$Q$1414,HLOOKUP(INDIRECT(ADDRESS(2,COLUMN())),OFFSET($T$2,0,0,ROW()-1,14),ROW()-1,FALSE))</x:f>
        <x:v>4.1297699999999997</x:v>
      </x:c>
      <x:c r="R413">
        <x:f ca="1">IF(AND($B$1012=1,LEN($R$1414)&gt;0),$R$1414,HLOOKUP(INDIRECT(ADDRESS(2,COLUMN())),OFFSET($T$2,0,0,ROW()-1,14),ROW()-1,FALSE))</x:f>
        <x:v>11.468522999999999</x:v>
      </x:c>
      <x:c r="S413">
        <x:f ca="1">IF(AND($B$1012=1,LEN($S$1414)&gt;0),$S$1414,HLOOKUP(INDIRECT(ADDRESS(2,COLUMN())),OFFSET($T$2,0,0,ROW()-1,14),ROW()-1,FALSE))</x:f>
        <x:v>0</x:v>
      </x:c>
      <x:c r="T413">
        <x:f>0</x:f>
        <x:v>0</x:v>
      </x:c>
      <x:c r="U413">
        <x:f>0</x:f>
        <x:v>0</x:v>
      </x:c>
      <x:c r="V413">
        <x:f>0</x:f>
        <x:v>0</x:v>
      </x:c>
      <x:c r="W413">
        <x:f>0</x:f>
        <x:v>0</x:v>
      </x:c>
      <x:c r="X413">
        <x:f>0</x:f>
        <x:v>0</x:v>
      </x:c>
      <x:c r="Y413">
        <x:f>0</x:f>
        <x:v>0</x:v>
      </x:c>
      <x:c r="Z413">
        <x:f>0</x:f>
        <x:v>0</x:v>
      </x:c>
      <x:c r="AA413">
        <x:f>23.018489</x:f>
        <x:v>23.018488999999999</x:v>
      </x:c>
      <x:c r="AB413">
        <x:f>0</x:f>
        <x:v>0</x:v>
      </x:c>
      <x:c r="AC413">
        <x:f>3.315569</x:f>
        <x:v>3.315569</x:v>
      </x:c>
      <x:c r="AD413">
        <x:f>10.224368</x:f>
        <x:v>10.224368</x:v>
      </x:c>
      <x:c r="AE413">
        <x:f>4.12977</x:f>
        <x:v>4.1297699999999997</x:v>
      </x:c>
      <x:c r="AF413">
        <x:f>11.468523</x:f>
        <x:v>11.468522999999999</x:v>
      </x:c>
      <x:c r="AG413">
        <x:f>0</x:f>
        <x:v>0</x:v>
      </x:c>
    </x:row>
    <x:row r="414" spans="1:33" x14ac:dyDescent="0.25">
      <x:c r="A414" t="str">
        <x:f>"        ETFMG Prime 2x Daily Junior Si"</x:f>
        <x:v xml:space="preserve">        ETFMG Prime 2x Daily Junior Si</x:v>
      </x:c>
      <x:c r="B414" t="str">
        <x:f>"SILX US Equity"</x:f>
        <x:v>SILX US Equity</x:v>
      </x:c>
      <x:c r="E414" t="str">
        <x:f t="shared" si="13"/>
        <x:v>Expression</x:v>
      </x:c>
      <x:c r="F414" t="str">
        <x:f ca="1">IF(AND($B$1012=1,LEN($F$1415)&gt;0),$F$1415,HLOOKUP(INDIRECT(ADDRESS(2,COLUMN())),OFFSET($T$2,0,0,ROW()-1,14),ROW()-1,FALSE))</x:f>
        <x:v/>
      </x:c>
      <x:c r="G414" t="str">
        <x:f ca="1">IF(AND($B$1012=1,LEN($G$1415)&gt;0),$G$1415,HLOOKUP(INDIRECT(ADDRESS(2,COLUMN())),OFFSET($T$2,0,0,ROW()-1,14),ROW()-1,FALSE))</x:f>
        <x:v/>
      </x:c>
      <x:c r="H414" t="str">
        <x:f ca="1">IF(AND($B$1012=1,LEN($H$1415)&gt;0),$H$1415,HLOOKUP(INDIRECT(ADDRESS(2,COLUMN())),OFFSET($T$2,0,0,ROW()-1,14),ROW()-1,FALSE))</x:f>
        <x:v/>
      </x:c>
      <x:c r="I414" t="str">
        <x:f ca="1">IF(AND($B$1012=1,LEN($I$1415)&gt;0),$I$1415,HLOOKUP(INDIRECT(ADDRESS(2,COLUMN())),OFFSET($T$2,0,0,ROW()-1,14),ROW()-1,FALSE))</x:f>
        <x:v/>
      </x:c>
      <x:c r="J414">
        <x:f ca="1">IF(AND($B$1012=1,LEN($J$1415)&gt;0),$J$1415,HLOOKUP(INDIRECT(ADDRESS(2,COLUMN())),OFFSET($T$2,0,0,ROW()-1,14),ROW()-1,FALSE))</x:f>
        <x:v>-7.0351999999999998E-2</x:v>
      </x:c>
      <x:c r="K414">
        <x:f ca="1">IF(AND($B$1012=1,LEN($K$1415)&gt;0),$K$1415,HLOOKUP(INDIRECT(ADDRESS(2,COLUMN())),OFFSET($T$2,0,0,ROW()-1,14),ROW()-1,FALSE))</x:f>
        <x:v>0.193494</x:v>
      </x:c>
      <x:c r="L414">
        <x:f ca="1">IF(AND($B$1012=1,LEN($L$1415)&gt;0),$L$1415,HLOOKUP(INDIRECT(ADDRESS(2,COLUMN())),OFFSET($T$2,0,0,ROW()-1,14),ROW()-1,FALSE))</x:f>
        <x:v>1.3812869999999999</x:v>
      </x:c>
      <x:c r="M414">
        <x:f ca="1">IF(AND($B$1012=1,LEN($M$1415)&gt;0),$M$1415,HLOOKUP(INDIRECT(ADDRESS(2,COLUMN())),OFFSET($T$2,0,0,ROW()-1,14),ROW()-1,FALSE))</x:f>
        <x:v>0.31268000000000001</x:v>
      </x:c>
      <x:c r="N414">
        <x:f ca="1">IF(AND($B$1012=1,LEN($N$1415)&gt;0),$N$1415,HLOOKUP(INDIRECT(ADDRESS(2,COLUMN())),OFFSET($T$2,0,0,ROW()-1,14),ROW()-1,FALSE))</x:f>
        <x:v>0.75896300000000005</x:v>
      </x:c>
      <x:c r="O414">
        <x:f ca="1">IF(AND($B$1012=1,LEN($O$1415)&gt;0),$O$1415,HLOOKUP(INDIRECT(ADDRESS(2,COLUMN())),OFFSET($T$2,0,0,ROW()-1,14),ROW()-1,FALSE))</x:f>
        <x:v>1.3088690000000001</x:v>
      </x:c>
      <x:c r="P414">
        <x:f ca="1">IF(AND($B$1012=1,LEN($P$1415)&gt;0),$P$1415,HLOOKUP(INDIRECT(ADDRESS(2,COLUMN())),OFFSET($T$2,0,0,ROW()-1,14),ROW()-1,FALSE))</x:f>
        <x:v>0.17771999999999999</x:v>
      </x:c>
      <x:c r="Q414">
        <x:f ca="1">IF(AND($B$1012=1,LEN($Q$1415)&gt;0),$Q$1415,HLOOKUP(INDIRECT(ADDRESS(2,COLUMN())),OFFSET($T$2,0,0,ROW()-1,14),ROW()-1,FALSE))</x:f>
        <x:v>0.57545199999999996</x:v>
      </x:c>
      <x:c r="R414">
        <x:f ca="1">IF(AND($B$1012=1,LEN($R$1415)&gt;0),$R$1415,HLOOKUP(INDIRECT(ADDRESS(2,COLUMN())),OFFSET($T$2,0,0,ROW()-1,14),ROW()-1,FALSE))</x:f>
        <x:v>0.180782</x:v>
      </x:c>
      <x:c r="S414">
        <x:f ca="1">IF(AND($B$1012=1,LEN($S$1415)&gt;0),$S$1415,HLOOKUP(INDIRECT(ADDRESS(2,COLUMN())),OFFSET($T$2,0,0,ROW()-1,14),ROW()-1,FALSE))</x:f>
        <x:v>0.19800999999999999</x:v>
      </x:c>
      <x:c r="T414" t="str">
        <x:f>""</x:f>
        <x:v/>
      </x:c>
      <x:c r="U414" t="str">
        <x:f>""</x:f>
        <x:v/>
      </x:c>
      <x:c r="V414" t="str">
        <x:f>""</x:f>
        <x:v/>
      </x:c>
      <x:c r="W414" t="str">
        <x:f>""</x:f>
        <x:v/>
      </x:c>
      <x:c r="X414">
        <x:f>-0.070352</x:f>
        <x:v>-7.0351999999999998E-2</x:v>
      </x:c>
      <x:c r="Y414">
        <x:f>0.193494</x:f>
        <x:v>0.193494</x:v>
      </x:c>
      <x:c r="Z414">
        <x:f>1.381287</x:f>
        <x:v>1.3812869999999999</x:v>
      </x:c>
      <x:c r="AA414">
        <x:f>0.31268</x:f>
        <x:v>0.31268000000000001</x:v>
      </x:c>
      <x:c r="AB414">
        <x:f>0.758963</x:f>
        <x:v>0.75896300000000005</x:v>
      </x:c>
      <x:c r="AC414">
        <x:f>1.308869</x:f>
        <x:v>1.3088690000000001</x:v>
      </x:c>
      <x:c r="AD414">
        <x:f>0.17772</x:f>
        <x:v>0.17771999999999999</x:v>
      </x:c>
      <x:c r="AE414">
        <x:f>0.575452</x:f>
        <x:v>0.57545199999999996</x:v>
      </x:c>
      <x:c r="AF414">
        <x:f>0.180782</x:f>
        <x:v>0.180782</x:v>
      </x:c>
      <x:c r="AG414">
        <x:f>0.19801</x:f>
        <x:v>0.19800999999999999</x:v>
      </x:c>
    </x:row>
    <x:row r="415" spans="1:33" x14ac:dyDescent="0.25">
      <x:c r="A415" t="str">
        <x:f>"        ETFMG Prime 2x Daily Inverse J"</x:f>
        <x:v xml:space="preserve">        ETFMG Prime 2x Daily Inverse J</x:v>
      </x:c>
      <x:c r="B415" t="str">
        <x:f>"SINV US Equity"</x:f>
        <x:v>SINV US Equity</x:v>
      </x:c>
      <x:c r="E415" t="str">
        <x:f t="shared" si="13"/>
        <x:v>Expression</x:v>
      </x:c>
      <x:c r="F415" t="str">
        <x:f ca="1">IF(AND($B$1012=1,LEN($F$1416)&gt;0),$F$1416,HLOOKUP(INDIRECT(ADDRESS(2,COLUMN())),OFFSET($T$2,0,0,ROW()-1,14),ROW()-1,FALSE))</x:f>
        <x:v/>
      </x:c>
      <x:c r="G415" t="str">
        <x:f ca="1">IF(AND($B$1012=1,LEN($G$1416)&gt;0),$G$1416,HLOOKUP(INDIRECT(ADDRESS(2,COLUMN())),OFFSET($T$2,0,0,ROW()-1,14),ROW()-1,FALSE))</x:f>
        <x:v/>
      </x:c>
      <x:c r="H415" t="str">
        <x:f ca="1">IF(AND($B$1012=1,LEN($H$1416)&gt;0),$H$1416,HLOOKUP(INDIRECT(ADDRESS(2,COLUMN())),OFFSET($T$2,0,0,ROW()-1,14),ROW()-1,FALSE))</x:f>
        <x:v/>
      </x:c>
      <x:c r="I415" t="str">
        <x:f ca="1">IF(AND($B$1012=1,LEN($I$1416)&gt;0),$I$1416,HLOOKUP(INDIRECT(ADDRESS(2,COLUMN())),OFFSET($T$2,0,0,ROW()-1,14),ROW()-1,FALSE))</x:f>
        <x:v/>
      </x:c>
      <x:c r="J415" t="str">
        <x:f ca="1">IF(AND($B$1012=1,LEN($J$1416)&gt;0),$J$1416,HLOOKUP(INDIRECT(ADDRESS(2,COLUMN())),OFFSET($T$2,0,0,ROW()-1,14),ROW()-1,FALSE))</x:f>
        <x:v/>
      </x:c>
      <x:c r="K415" t="str">
        <x:f ca="1">IF(AND($B$1012=1,LEN($K$1416)&gt;0),$K$1416,HLOOKUP(INDIRECT(ADDRESS(2,COLUMN())),OFFSET($T$2,0,0,ROW()-1,14),ROW()-1,FALSE))</x:f>
        <x:v/>
      </x:c>
      <x:c r="L415" t="str">
        <x:f ca="1">IF(AND($B$1012=1,LEN($L$1416)&gt;0),$L$1416,HLOOKUP(INDIRECT(ADDRESS(2,COLUMN())),OFFSET($T$2,0,0,ROW()-1,14),ROW()-1,FALSE))</x:f>
        <x:v/>
      </x:c>
      <x:c r="M415" t="str">
        <x:f ca="1">IF(AND($B$1012=1,LEN($M$1416)&gt;0),$M$1416,HLOOKUP(INDIRECT(ADDRESS(2,COLUMN())),OFFSET($T$2,0,0,ROW()-1,14),ROW()-1,FALSE))</x:f>
        <x:v/>
      </x:c>
      <x:c r="N415" t="str">
        <x:f ca="1">IF(AND($B$1012=1,LEN($N$1416)&gt;0),$N$1416,HLOOKUP(INDIRECT(ADDRESS(2,COLUMN())),OFFSET($T$2,0,0,ROW()-1,14),ROW()-1,FALSE))</x:f>
        <x:v/>
      </x:c>
      <x:c r="O415" t="str">
        <x:f ca="1">IF(AND($B$1012=1,LEN($O$1416)&gt;0),$O$1416,HLOOKUP(INDIRECT(ADDRESS(2,COLUMN())),OFFSET($T$2,0,0,ROW()-1,14),ROW()-1,FALSE))</x:f>
        <x:v/>
      </x:c>
      <x:c r="P415" t="str">
        <x:f ca="1">IF(AND($B$1012=1,LEN($P$1416)&gt;0),$P$1416,HLOOKUP(INDIRECT(ADDRESS(2,COLUMN())),OFFSET($T$2,0,0,ROW()-1,14),ROW()-1,FALSE))</x:f>
        <x:v/>
      </x:c>
      <x:c r="Q415" t="str">
        <x:f ca="1">IF(AND($B$1012=1,LEN($Q$1416)&gt;0),$Q$1416,HLOOKUP(INDIRECT(ADDRESS(2,COLUMN())),OFFSET($T$2,0,0,ROW()-1,14),ROW()-1,FALSE))</x:f>
        <x:v/>
      </x:c>
      <x:c r="R415" t="str">
        <x:f ca="1">IF(AND($B$1012=1,LEN($R$1416)&gt;0),$R$1416,HLOOKUP(INDIRECT(ADDRESS(2,COLUMN())),OFFSET($T$2,0,0,ROW()-1,14),ROW()-1,FALSE))</x:f>
        <x:v/>
      </x:c>
      <x:c r="S415" t="str">
        <x:f ca="1">IF(AND($B$1012=1,LEN($S$1416)&gt;0),$S$1416,HLOOKUP(INDIRECT(ADDRESS(2,COLUMN())),OFFSET($T$2,0,0,ROW()-1,14),ROW()-1,FALSE))</x:f>
        <x:v/>
      </x:c>
      <x:c r="T415" t="str">
        <x:f>""</x:f>
        <x:v/>
      </x:c>
      <x:c r="U415" t="str">
        <x:f>""</x:f>
        <x:v/>
      </x:c>
      <x:c r="V415" t="str">
        <x:f>""</x:f>
        <x:v/>
      </x:c>
      <x:c r="W415" t="str">
        <x:f>""</x:f>
        <x:v/>
      </x:c>
      <x:c r="X415" t="str">
        <x:f>""</x:f>
        <x:v/>
      </x:c>
      <x:c r="Y415" t="str">
        <x:f>""</x:f>
        <x:v/>
      </x:c>
      <x:c r="Z415" t="str">
        <x:f>""</x:f>
        <x:v/>
      </x:c>
      <x:c r="AA415" t="str">
        <x:f>""</x:f>
        <x:v/>
      </x:c>
      <x:c r="AB415" t="str">
        <x:f>""</x:f>
        <x:v/>
      </x:c>
      <x:c r="AC415" t="str">
        <x:f>""</x:f>
        <x:v/>
      </x:c>
      <x:c r="AD415" t="str">
        <x:f>""</x:f>
        <x:v/>
      </x:c>
      <x:c r="AE415" t="str">
        <x:f>""</x:f>
        <x:v/>
      </x:c>
      <x:c r="AF415" t="str">
        <x:f>""</x:f>
        <x:v/>
      </x:c>
      <x:c r="AG415" t="str">
        <x:f>""</x:f>
        <x:v/>
      </x:c>
    </x:row>
    <x:row r="416" spans="1:33" x14ac:dyDescent="0.25">
      <x:c r="A416" t="str">
        <x:f>"        Proshares Smart Materials ETF"</x:f>
        <x:v xml:space="preserve">        Proshares Smart Materials ETF</x:v>
      </x:c>
      <x:c r="B416" t="str">
        <x:f>"TINT US Equity"</x:f>
        <x:v>TINT US Equity</x:v>
      </x:c>
      <x:c r="E416" t="str">
        <x:f t="shared" si="13"/>
        <x:v>Expression</x:v>
      </x:c>
      <x:c r="F416">
        <x:f ca="1">IF(AND($B$1012=1,LEN($F$1417)&gt;0),$F$1417,HLOOKUP(INDIRECT(ADDRESS(2,COLUMN())),OFFSET($T$2,0,0,ROW()-1,14),ROW()-1,FALSE))</x:f>
        <x:v>0</x:v>
      </x:c>
      <x:c r="G416">
        <x:f ca="1">IF(AND($B$1012=1,LEN($G$1417)&gt;0),$G$1417,HLOOKUP(INDIRECT(ADDRESS(2,COLUMN())),OFFSET($T$2,0,0,ROW()-1,14),ROW()-1,FALSE))</x:f>
        <x:v>0</x:v>
      </x:c>
      <x:c r="H416">
        <x:f ca="1">IF(AND($B$1012=1,LEN($H$1417)&gt;0),$H$1417,HLOOKUP(INDIRECT(ADDRESS(2,COLUMN())),OFFSET($T$2,0,0,ROW()-1,14),ROW()-1,FALSE))</x:f>
        <x:v>0</x:v>
      </x:c>
      <x:c r="I416">
        <x:f ca="1">IF(AND($B$1012=1,LEN($I$1417)&gt;0),$I$1417,HLOOKUP(INDIRECT(ADDRESS(2,COLUMN())),OFFSET($T$2,0,0,ROW()-1,14),ROW()-1,FALSE))</x:f>
        <x:v>0</x:v>
      </x:c>
      <x:c r="J416">
        <x:f ca="1">IF(AND($B$1012=1,LEN($J$1417)&gt;0),$J$1417,HLOOKUP(INDIRECT(ADDRESS(2,COLUMN())),OFFSET($T$2,0,0,ROW()-1,14),ROW()-1,FALSE))</x:f>
        <x:v>0</x:v>
      </x:c>
      <x:c r="K416">
        <x:f ca="1">IF(AND($B$1012=1,LEN($K$1417)&gt;0),$K$1417,HLOOKUP(INDIRECT(ADDRESS(2,COLUMN())),OFFSET($T$2,0,0,ROW()-1,14),ROW()-1,FALSE))</x:f>
        <x:v>0</x:v>
      </x:c>
      <x:c r="L416">
        <x:f ca="1">IF(AND($B$1012=1,LEN($L$1417)&gt;0),$L$1417,HLOOKUP(INDIRECT(ADDRESS(2,COLUMN())),OFFSET($T$2,0,0,ROW()-1,14),ROW()-1,FALSE))</x:f>
        <x:v>0</x:v>
      </x:c>
      <x:c r="M416">
        <x:f ca="1">IF(AND($B$1012=1,LEN($M$1417)&gt;0),$M$1417,HLOOKUP(INDIRECT(ADDRESS(2,COLUMN())),OFFSET($T$2,0,0,ROW()-1,14),ROW()-1,FALSE))</x:f>
        <x:v>0</x:v>
      </x:c>
      <x:c r="N416">
        <x:f ca="1">IF(AND($B$1012=1,LEN($N$1417)&gt;0),$N$1417,HLOOKUP(INDIRECT(ADDRESS(2,COLUMN())),OFFSET($T$2,0,0,ROW()-1,14),ROW()-1,FALSE))</x:f>
        <x:v>0</x:v>
      </x:c>
      <x:c r="O416">
        <x:f ca="1">IF(AND($B$1012=1,LEN($O$1417)&gt;0),$O$1417,HLOOKUP(INDIRECT(ADDRESS(2,COLUMN())),OFFSET($T$2,0,0,ROW()-1,14),ROW()-1,FALSE))</x:f>
        <x:v>0</x:v>
      </x:c>
      <x:c r="P416">
        <x:f ca="1">IF(AND($B$1012=1,LEN($P$1417)&gt;0),$P$1417,HLOOKUP(INDIRECT(ADDRESS(2,COLUMN())),OFFSET($T$2,0,0,ROW()-1,14),ROW()-1,FALSE))</x:f>
        <x:v>0</x:v>
      </x:c>
      <x:c r="Q416">
        <x:f ca="1">IF(AND($B$1012=1,LEN($Q$1417)&gt;0),$Q$1417,HLOOKUP(INDIRECT(ADDRESS(2,COLUMN())),OFFSET($T$2,0,0,ROW()-1,14),ROW()-1,FALSE))</x:f>
        <x:v>0</x:v>
      </x:c>
      <x:c r="R416">
        <x:f ca="1">IF(AND($B$1012=1,LEN($R$1417)&gt;0),$R$1417,HLOOKUP(INDIRECT(ADDRESS(2,COLUMN())),OFFSET($T$2,0,0,ROW()-1,14),ROW()-1,FALSE))</x:f>
        <x:v>0</x:v>
      </x:c>
      <x:c r="S416">
        <x:f ca="1">IF(AND($B$1012=1,LEN($S$1417)&gt;0),$S$1417,HLOOKUP(INDIRECT(ADDRESS(2,COLUMN())),OFFSET($T$2,0,0,ROW()-1,14),ROW()-1,FALSE))</x:f>
        <x:v>0</x:v>
      </x:c>
      <x:c r="T416">
        <x:f>0</x:f>
        <x:v>0</x:v>
      </x:c>
      <x:c r="U416">
        <x:f>0</x:f>
        <x:v>0</x:v>
      </x:c>
      <x:c r="V416">
        <x:f>0</x:f>
        <x:v>0</x:v>
      </x:c>
      <x:c r="W416">
        <x:f>0</x:f>
        <x:v>0</x:v>
      </x:c>
      <x:c r="X416">
        <x:f>0</x:f>
        <x:v>0</x:v>
      </x:c>
      <x:c r="Y416">
        <x:f>0</x:f>
        <x:v>0</x:v>
      </x:c>
      <x:c r="Z416">
        <x:f>0</x:f>
        <x:v>0</x:v>
      </x:c>
      <x:c r="AA416">
        <x:f>0</x:f>
        <x:v>0</x:v>
      </x:c>
      <x:c r="AB416">
        <x:f>0</x:f>
        <x:v>0</x:v>
      </x:c>
      <x:c r="AC416">
        <x:f>0</x:f>
        <x:v>0</x:v>
      </x:c>
      <x:c r="AD416">
        <x:f>0</x:f>
        <x:v>0</x:v>
      </x:c>
      <x:c r="AE416">
        <x:f>0</x:f>
        <x:v>0</x:v>
      </x:c>
      <x:c r="AF416">
        <x:f>0</x:f>
        <x:v>0</x:v>
      </x:c>
      <x:c r="AG416">
        <x:f>0</x:f>
        <x:v>0</x:v>
      </x:c>
    </x:row>
    <x:row r="417" spans="1:33" x14ac:dyDescent="0.25">
      <x:c r="A417" t="str">
        <x:f>"        VanEck Green Metals ETF"</x:f>
        <x:v xml:space="preserve">        VanEck Green Metals ETF</x:v>
      </x:c>
      <x:c r="B417" t="str">
        <x:f>"GMET US Equity"</x:f>
        <x:v>GMET US Equity</x:v>
      </x:c>
      <x:c r="E417" t="str">
        <x:f t="shared" si="13"/>
        <x:v>Expression</x:v>
      </x:c>
      <x:c r="F417">
        <x:f ca="1">IF(AND($B$1012=1,LEN($F$1418)&gt;0),$F$1418,HLOOKUP(INDIRECT(ADDRESS(2,COLUMN())),OFFSET($T$2,0,0,ROW()-1,14),ROW()-1,FALSE))</x:f>
        <x:v>0</x:v>
      </x:c>
      <x:c r="G417">
        <x:f ca="1">IF(AND($B$1012=1,LEN($G$1418)&gt;0),$G$1418,HLOOKUP(INDIRECT(ADDRESS(2,COLUMN())),OFFSET($T$2,0,0,ROW()-1,14),ROW()-1,FALSE))</x:f>
        <x:v>2.4077289999999998</x:v>
      </x:c>
      <x:c r="H417">
        <x:f ca="1">IF(AND($B$1012=1,LEN($H$1418)&gt;0),$H$1418,HLOOKUP(INDIRECT(ADDRESS(2,COLUMN())),OFFSET($T$2,0,0,ROW()-1,14),ROW()-1,FALSE))</x:f>
        <x:v>0</x:v>
      </x:c>
      <x:c r="I417">
        <x:f ca="1">IF(AND($B$1012=1,LEN($I$1418)&gt;0),$I$1418,HLOOKUP(INDIRECT(ADDRESS(2,COLUMN())),OFFSET($T$2,0,0,ROW()-1,14),ROW()-1,FALSE))</x:f>
        <x:v>2.6043970000000001</x:v>
      </x:c>
      <x:c r="J417">
        <x:f ca="1">IF(AND($B$1012=1,LEN($J$1418)&gt;0),$J$1418,HLOOKUP(INDIRECT(ADDRESS(2,COLUMN())),OFFSET($T$2,0,0,ROW()-1,14),ROW()-1,FALSE))</x:f>
        <x:v>0</x:v>
      </x:c>
      <x:c r="K417">
        <x:f ca="1">IF(AND($B$1012=1,LEN($K$1418)&gt;0),$K$1418,HLOOKUP(INDIRECT(ADDRESS(2,COLUMN())),OFFSET($T$2,0,0,ROW()-1,14),ROW()-1,FALSE))</x:f>
        <x:v>0</x:v>
      </x:c>
      <x:c r="L417">
        <x:f ca="1">IF(AND($B$1012=1,LEN($L$1418)&gt;0),$L$1418,HLOOKUP(INDIRECT(ADDRESS(2,COLUMN())),OFFSET($T$2,0,0,ROW()-1,14),ROW()-1,FALSE))</x:f>
        <x:v>0</x:v>
      </x:c>
      <x:c r="M417">
        <x:f ca="1">IF(AND($B$1012=1,LEN($M$1418)&gt;0),$M$1418,HLOOKUP(INDIRECT(ADDRESS(2,COLUMN())),OFFSET($T$2,0,0,ROW()-1,14),ROW()-1,FALSE))</x:f>
        <x:v>0</x:v>
      </x:c>
      <x:c r="N417">
        <x:f ca="1">IF(AND($B$1012=1,LEN($N$1418)&gt;0),$N$1418,HLOOKUP(INDIRECT(ADDRESS(2,COLUMN())),OFFSET($T$2,0,0,ROW()-1,14),ROW()-1,FALSE))</x:f>
        <x:v>0</x:v>
      </x:c>
      <x:c r="O417">
        <x:f ca="1">IF(AND($B$1012=1,LEN($O$1418)&gt;0),$O$1418,HLOOKUP(INDIRECT(ADDRESS(2,COLUMN())),OFFSET($T$2,0,0,ROW()-1,14),ROW()-1,FALSE))</x:f>
        <x:v>3.2648779999999999</x:v>
      </x:c>
      <x:c r="P417">
        <x:f ca="1">IF(AND($B$1012=1,LEN($P$1418)&gt;0),$P$1418,HLOOKUP(INDIRECT(ADDRESS(2,COLUMN())),OFFSET($T$2,0,0,ROW()-1,14),ROW()-1,FALSE))</x:f>
        <x:v>0</x:v>
      </x:c>
      <x:c r="Q417">
        <x:f ca="1">IF(AND($B$1012=1,LEN($Q$1418)&gt;0),$Q$1418,HLOOKUP(INDIRECT(ADDRESS(2,COLUMN())),OFFSET($T$2,0,0,ROW()-1,14),ROW()-1,FALSE))</x:f>
        <x:v>0</x:v>
      </x:c>
      <x:c r="R417">
        <x:f ca="1">IF(AND($B$1012=1,LEN($R$1418)&gt;0),$R$1418,HLOOKUP(INDIRECT(ADDRESS(2,COLUMN())),OFFSET($T$2,0,0,ROW()-1,14),ROW()-1,FALSE))</x:f>
        <x:v>0</x:v>
      </x:c>
      <x:c r="S417">
        <x:f ca="1">IF(AND($B$1012=1,LEN($S$1418)&gt;0),$S$1418,HLOOKUP(INDIRECT(ADDRESS(2,COLUMN())),OFFSET($T$2,0,0,ROW()-1,14),ROW()-1,FALSE))</x:f>
        <x:v>1.33792</x:v>
      </x:c>
      <x:c r="T417">
        <x:f>0</x:f>
        <x:v>0</x:v>
      </x:c>
      <x:c r="U417">
        <x:f>2.407729</x:f>
        <x:v>2.4077289999999998</x:v>
      </x:c>
      <x:c r="V417">
        <x:f>0</x:f>
        <x:v>0</x:v>
      </x:c>
      <x:c r="W417">
        <x:f>2.604397</x:f>
        <x:v>2.6043970000000001</x:v>
      </x:c>
      <x:c r="X417">
        <x:f>0</x:f>
        <x:v>0</x:v>
      </x:c>
      <x:c r="Y417">
        <x:f>0</x:f>
        <x:v>0</x:v>
      </x:c>
      <x:c r="Z417">
        <x:f>0</x:f>
        <x:v>0</x:v>
      </x:c>
      <x:c r="AA417">
        <x:f>0</x:f>
        <x:v>0</x:v>
      </x:c>
      <x:c r="AB417">
        <x:f>0</x:f>
        <x:v>0</x:v>
      </x:c>
      <x:c r="AC417">
        <x:f>3.264878</x:f>
        <x:v>3.2648779999999999</x:v>
      </x:c>
      <x:c r="AD417">
        <x:f>0</x:f>
        <x:v>0</x:v>
      </x:c>
      <x:c r="AE417">
        <x:f>0</x:f>
        <x:v>0</x:v>
      </x:c>
      <x:c r="AF417">
        <x:f>0</x:f>
        <x:v>0</x:v>
      </x:c>
      <x:c r="AG417">
        <x:f>1.33792</x:f>
        <x:v>1.33792</x:v>
      </x:c>
    </x:row>
    <x:row r="418" spans="1:33" x14ac:dyDescent="0.25">
      <x:c r="A418" t="str">
        <x:f>"        Global X Funds-Global X Disrup"</x:f>
        <x:v xml:space="preserve">        Global X Funds-Global X Disrup</x:v>
      </x:c>
      <x:c r="B418" t="str">
        <x:f>"DMAT US Equity"</x:f>
        <x:v>DMAT US Equity</x:v>
      </x:c>
      <x:c r="E418" t="str">
        <x:f t="shared" si="13"/>
        <x:v>Expression</x:v>
      </x:c>
      <x:c r="F418">
        <x:f ca="1">IF(AND($B$1012=1,LEN($F$1419)&gt;0),$F$1419,HLOOKUP(INDIRECT(ADDRESS(2,COLUMN())),OFFSET($T$2,0,0,ROW()-1,14),ROW()-1,FALSE))</x:f>
        <x:v>0</x:v>
      </x:c>
      <x:c r="G418">
        <x:f ca="1">IF(AND($B$1012=1,LEN($G$1419)&gt;0),$G$1419,HLOOKUP(INDIRECT(ADDRESS(2,COLUMN())),OFFSET($T$2,0,0,ROW()-1,14),ROW()-1,FALSE))</x:f>
        <x:v>0</x:v>
      </x:c>
      <x:c r="H418">
        <x:f ca="1">IF(AND($B$1012=1,LEN($H$1419)&gt;0),$H$1419,HLOOKUP(INDIRECT(ADDRESS(2,COLUMN())),OFFSET($T$2,0,0,ROW()-1,14),ROW()-1,FALSE))</x:f>
        <x:v>4.2300000000000004</x:v>
      </x:c>
      <x:c r="I418">
        <x:f ca="1">IF(AND($B$1012=1,LEN($I$1419)&gt;0),$I$1419,HLOOKUP(INDIRECT(ADDRESS(2,COLUMN())),OFFSET($T$2,0,0,ROW()-1,14),ROW()-1,FALSE))</x:f>
        <x:v>0</x:v>
      </x:c>
      <x:c r="J418">
        <x:f ca="1">IF(AND($B$1012=1,LEN($J$1419)&gt;0),$J$1419,HLOOKUP(INDIRECT(ADDRESS(2,COLUMN())),OFFSET($T$2,0,0,ROW()-1,14),ROW()-1,FALSE))</x:f>
        <x:v>0</x:v>
      </x:c>
      <x:c r="K418">
        <x:f ca="1">IF(AND($B$1012=1,LEN($K$1419)&gt;0),$K$1419,HLOOKUP(INDIRECT(ADDRESS(2,COLUMN())),OFFSET($T$2,0,0,ROW()-1,14),ROW()-1,FALSE))</x:f>
        <x:v>0</x:v>
      </x:c>
      <x:c r="L418">
        <x:f ca="1">IF(AND($B$1012=1,LEN($L$1419)&gt;0),$L$1419,HLOOKUP(INDIRECT(ADDRESS(2,COLUMN())),OFFSET($T$2,0,0,ROW()-1,14),ROW()-1,FALSE))</x:f>
        <x:v>0</x:v>
      </x:c>
      <x:c r="M418">
        <x:f ca="1">IF(AND($B$1012=1,LEN($M$1419)&gt;0),$M$1419,HLOOKUP(INDIRECT(ADDRESS(2,COLUMN())),OFFSET($T$2,0,0,ROW()-1,14),ROW()-1,FALSE))</x:f>
        <x:v>0.37719999999999998</x:v>
      </x:c>
      <x:c r="N418">
        <x:f ca="1">IF(AND($B$1012=1,LEN($N$1419)&gt;0),$N$1419,HLOOKUP(INDIRECT(ADDRESS(2,COLUMN())),OFFSET($T$2,0,0,ROW()-1,14),ROW()-1,FALSE))</x:f>
        <x:v>0.57150000000000001</x:v>
      </x:c>
      <x:c r="O418">
        <x:f ca="1">IF(AND($B$1012=1,LEN($O$1419)&gt;0),$O$1419,HLOOKUP(INDIRECT(ADDRESS(2,COLUMN())),OFFSET($T$2,0,0,ROW()-1,14),ROW()-1,FALSE))</x:f>
        <x:v>-0.43180000000000002</x:v>
      </x:c>
      <x:c r="P418">
        <x:f ca="1">IF(AND($B$1012=1,LEN($P$1419)&gt;0),$P$1419,HLOOKUP(INDIRECT(ADDRESS(2,COLUMN())),OFFSET($T$2,0,0,ROW()-1,14),ROW()-1,FALSE))</x:f>
        <x:v>0.9</x:v>
      </x:c>
      <x:c r="Q418">
        <x:f ca="1">IF(AND($B$1012=1,LEN($Q$1419)&gt;0),$Q$1419,HLOOKUP(INDIRECT(ADDRESS(2,COLUMN())),OFFSET($T$2,0,0,ROW()-1,14),ROW()-1,FALSE))</x:f>
        <x:v>0.63239999999999996</x:v>
      </x:c>
      <x:c r="R418">
        <x:f ca="1">IF(AND($B$1012=1,LEN($R$1419)&gt;0),$R$1419,HLOOKUP(INDIRECT(ADDRESS(2,COLUMN())),OFFSET($T$2,0,0,ROW()-1,14),ROW()-1,FALSE))</x:f>
        <x:v>0</x:v>
      </x:c>
      <x:c r="S418">
        <x:f ca="1">IF(AND($B$1012=1,LEN($S$1419)&gt;0),$S$1419,HLOOKUP(INDIRECT(ADDRESS(2,COLUMN())),OFFSET($T$2,0,0,ROW()-1,14),ROW()-1,FALSE))</x:f>
        <x:v>0</x:v>
      </x:c>
      <x:c r="T418">
        <x:f>0</x:f>
        <x:v>0</x:v>
      </x:c>
      <x:c r="U418">
        <x:f>0</x:f>
        <x:v>0</x:v>
      </x:c>
      <x:c r="V418">
        <x:f>4.23</x:f>
        <x:v>4.2300000000000004</x:v>
      </x:c>
      <x:c r="W418">
        <x:f>0</x:f>
        <x:v>0</x:v>
      </x:c>
      <x:c r="X418">
        <x:f>0</x:f>
        <x:v>0</x:v>
      </x:c>
      <x:c r="Y418">
        <x:f>0</x:f>
        <x:v>0</x:v>
      </x:c>
      <x:c r="Z418">
        <x:f>0</x:f>
        <x:v>0</x:v>
      </x:c>
      <x:c r="AA418">
        <x:f>0.3772</x:f>
        <x:v>0.37719999999999998</x:v>
      </x:c>
      <x:c r="AB418">
        <x:f>0.5715</x:f>
        <x:v>0.57150000000000001</x:v>
      </x:c>
      <x:c r="AC418">
        <x:f>-0.4318</x:f>
        <x:v>-0.43180000000000002</x:v>
      </x:c>
      <x:c r="AD418">
        <x:f>0.9</x:f>
        <x:v>0.9</x:v>
      </x:c>
      <x:c r="AE418">
        <x:f>0.6324</x:f>
        <x:v>0.63239999999999996</x:v>
      </x:c>
      <x:c r="AF418">
        <x:f>0</x:f>
        <x:v>0</x:v>
      </x:c>
      <x:c r="AG418">
        <x:f>0</x:f>
        <x:v>0</x:v>
      </x:c>
    </x:row>
    <x:row r="419" spans="1:33" x14ac:dyDescent="0.25">
      <x:c r="A419" t="str">
        <x:f>"        Energy &amp; Minerals Group EV Sol"</x:f>
        <x:v xml:space="preserve">        Energy &amp; Minerals Group EV Sol</x:v>
      </x:c>
      <x:c r="B419" t="str">
        <x:f>"CHRG US Equity"</x:f>
        <x:v>CHRG US Equity</x:v>
      </x:c>
      <x:c r="E419" t="str">
        <x:f t="shared" si="13"/>
        <x:v>Expression</x:v>
      </x:c>
      <x:c r="F419">
        <x:f ca="1">IF(AND($B$1012=1,LEN($F$1420)&gt;0),$F$1420,HLOOKUP(INDIRECT(ADDRESS(2,COLUMN())),OFFSET($T$2,0,0,ROW()-1,14),ROW()-1,FALSE))</x:f>
        <x:v>0</x:v>
      </x:c>
      <x:c r="G419">
        <x:f ca="1">IF(AND($B$1012=1,LEN($G$1420)&gt;0),$G$1420,HLOOKUP(INDIRECT(ADDRESS(2,COLUMN())),OFFSET($T$2,0,0,ROW()-1,14),ROW()-1,FALSE))</x:f>
        <x:v>0</x:v>
      </x:c>
      <x:c r="H419">
        <x:f ca="1">IF(AND($B$1012=1,LEN($H$1420)&gt;0),$H$1420,HLOOKUP(INDIRECT(ADDRESS(2,COLUMN())),OFFSET($T$2,0,0,ROW()-1,14),ROW()-1,FALSE))</x:f>
        <x:v>0</x:v>
      </x:c>
      <x:c r="I419">
        <x:f ca="1">IF(AND($B$1012=1,LEN($I$1420)&gt;0),$I$1420,HLOOKUP(INDIRECT(ADDRESS(2,COLUMN())),OFFSET($T$2,0,0,ROW()-1,14),ROW()-1,FALSE))</x:f>
        <x:v>0</x:v>
      </x:c>
      <x:c r="J419">
        <x:f ca="1">IF(AND($B$1012=1,LEN($J$1420)&gt;0),$J$1420,HLOOKUP(INDIRECT(ADDRESS(2,COLUMN())),OFFSET($T$2,0,0,ROW()-1,14),ROW()-1,FALSE))</x:f>
        <x:v>0</x:v>
      </x:c>
      <x:c r="K419">
        <x:f ca="1">IF(AND($B$1012=1,LEN($K$1420)&gt;0),$K$1420,HLOOKUP(INDIRECT(ADDRESS(2,COLUMN())),OFFSET($T$2,0,0,ROW()-1,14),ROW()-1,FALSE))</x:f>
        <x:v>0</x:v>
      </x:c>
      <x:c r="L419">
        <x:f ca="1">IF(AND($B$1012=1,LEN($L$1420)&gt;0),$L$1420,HLOOKUP(INDIRECT(ADDRESS(2,COLUMN())),OFFSET($T$2,0,0,ROW()-1,14),ROW()-1,FALSE))</x:f>
        <x:v>0</x:v>
      </x:c>
      <x:c r="M419">
        <x:f ca="1">IF(AND($B$1012=1,LEN($M$1420)&gt;0),$M$1420,HLOOKUP(INDIRECT(ADDRESS(2,COLUMN())),OFFSET($T$2,0,0,ROW()-1,14),ROW()-1,FALSE))</x:f>
        <x:v>0</x:v>
      </x:c>
      <x:c r="N419">
        <x:f ca="1">IF(AND($B$1012=1,LEN($N$1420)&gt;0),$N$1420,HLOOKUP(INDIRECT(ADDRESS(2,COLUMN())),OFFSET($T$2,0,0,ROW()-1,14),ROW()-1,FALSE))</x:f>
        <x:v>0</x:v>
      </x:c>
      <x:c r="O419">
        <x:f ca="1">IF(AND($B$1012=1,LEN($O$1420)&gt;0),$O$1420,HLOOKUP(INDIRECT(ADDRESS(2,COLUMN())),OFFSET($T$2,0,0,ROW()-1,14),ROW()-1,FALSE))</x:f>
        <x:v>0</x:v>
      </x:c>
      <x:c r="P419">
        <x:f ca="1">IF(AND($B$1012=1,LEN($P$1420)&gt;0),$P$1420,HLOOKUP(INDIRECT(ADDRESS(2,COLUMN())),OFFSET($T$2,0,0,ROW()-1,14),ROW()-1,FALSE))</x:f>
        <x:v>-1.9102600000000001</x:v>
      </x:c>
      <x:c r="Q419" t="str">
        <x:f ca="1">IF(AND($B$1012=1,LEN($Q$1420)&gt;0),$Q$1420,HLOOKUP(INDIRECT(ADDRESS(2,COLUMN())),OFFSET($T$2,0,0,ROW()-1,14),ROW()-1,FALSE))</x:f>
        <x:v/>
      </x:c>
      <x:c r="R419" t="str">
        <x:f ca="1">IF(AND($B$1012=1,LEN($R$1420)&gt;0),$R$1420,HLOOKUP(INDIRECT(ADDRESS(2,COLUMN())),OFFSET($T$2,0,0,ROW()-1,14),ROW()-1,FALSE))</x:f>
        <x:v/>
      </x:c>
      <x:c r="S419" t="str">
        <x:f ca="1">IF(AND($B$1012=1,LEN($S$1420)&gt;0),$S$1420,HLOOKUP(INDIRECT(ADDRESS(2,COLUMN())),OFFSET($T$2,0,0,ROW()-1,14),ROW()-1,FALSE))</x:f>
        <x:v/>
      </x:c>
      <x:c r="T419">
        <x:f>0</x:f>
        <x:v>0</x:v>
      </x:c>
      <x:c r="U419">
        <x:f>0</x:f>
        <x:v>0</x:v>
      </x:c>
      <x:c r="V419">
        <x:f>0</x:f>
        <x:v>0</x:v>
      </x:c>
      <x:c r="W419">
        <x:f>0</x:f>
        <x:v>0</x:v>
      </x:c>
      <x:c r="X419">
        <x:f>0</x:f>
        <x:v>0</x:v>
      </x:c>
      <x:c r="Y419">
        <x:f>0</x:f>
        <x:v>0</x:v>
      </x:c>
      <x:c r="Z419">
        <x:f>0</x:f>
        <x:v>0</x:v>
      </x:c>
      <x:c r="AA419">
        <x:f>0</x:f>
        <x:v>0</x:v>
      </x:c>
      <x:c r="AB419">
        <x:f>0</x:f>
        <x:v>0</x:v>
      </x:c>
      <x:c r="AC419">
        <x:f>0</x:f>
        <x:v>0</x:v>
      </x:c>
      <x:c r="AD419">
        <x:f>-1.91026</x:f>
        <x:v>-1.9102600000000001</x:v>
      </x:c>
      <x:c r="AE419" t="str">
        <x:f>""</x:f>
        <x:v/>
      </x:c>
      <x:c r="AF419" t="str">
        <x:f>""</x:f>
        <x:v/>
      </x:c>
      <x:c r="AG419" t="str">
        <x:f>""</x:f>
        <x:v/>
      </x:c>
    </x:row>
    <x:row r="420" spans="1:33" x14ac:dyDescent="0.25">
      <x:c r="A420" t="str">
        <x:f>"        Sprott Junior Copper Miners ET"</x:f>
        <x:v xml:space="preserve">        Sprott Junior Copper Miners ET</x:v>
      </x:c>
      <x:c r="B420" t="str">
        <x:f>"COPJ US Equity"</x:f>
        <x:v>COPJ US Equity</x:v>
      </x:c>
      <x:c r="E420" t="str">
        <x:f t="shared" si="13"/>
        <x:v>Expression</x:v>
      </x:c>
      <x:c r="F420">
        <x:f ca="1">IF(AND($B$1012=1,LEN($F$1421)&gt;0),$F$1421,HLOOKUP(INDIRECT(ADDRESS(2,COLUMN())),OFFSET($T$2,0,0,ROW()-1,14),ROW()-1,FALSE))</x:f>
        <x:v>0.17004</x:v>
      </x:c>
      <x:c r="G420">
        <x:f ca="1">IF(AND($B$1012=1,LEN($G$1421)&gt;0),$G$1421,HLOOKUP(INDIRECT(ADDRESS(2,COLUMN())),OFFSET($T$2,0,0,ROW()-1,14),ROW()-1,FALSE))</x:f>
        <x:v>0.16872100000000001</x:v>
      </x:c>
      <x:c r="H420">
        <x:f ca="1">IF(AND($B$1012=1,LEN($H$1421)&gt;0),$H$1421,HLOOKUP(INDIRECT(ADDRESS(2,COLUMN())),OFFSET($T$2,0,0,ROW()-1,14),ROW()-1,FALSE))</x:f>
        <x:v>0.35298099999999999</x:v>
      </x:c>
      <x:c r="I420">
        <x:f ca="1">IF(AND($B$1012=1,LEN($I$1421)&gt;0),$I$1421,HLOOKUP(INDIRECT(ADDRESS(2,COLUMN())),OFFSET($T$2,0,0,ROW()-1,14),ROW()-1,FALSE))</x:f>
        <x:v>0.80964199999999997</x:v>
      </x:c>
      <x:c r="J420">
        <x:f ca="1">IF(AND($B$1012=1,LEN($J$1421)&gt;0),$J$1421,HLOOKUP(INDIRECT(ADDRESS(2,COLUMN())),OFFSET($T$2,0,0,ROW()-1,14),ROW()-1,FALSE))</x:f>
        <x:v>0</x:v>
      </x:c>
      <x:c r="K420">
        <x:f ca="1">IF(AND($B$1012=1,LEN($K$1421)&gt;0),$K$1421,HLOOKUP(INDIRECT(ADDRESS(2,COLUMN())),OFFSET($T$2,0,0,ROW()-1,14),ROW()-1,FALSE))</x:f>
        <x:v>0.19240399999999999</x:v>
      </x:c>
      <x:c r="L420">
        <x:f ca="1">IF(AND($B$1012=1,LEN($L$1421)&gt;0),$L$1421,HLOOKUP(INDIRECT(ADDRESS(2,COLUMN())),OFFSET($T$2,0,0,ROW()-1,14),ROW()-1,FALSE))</x:f>
        <x:v>0</x:v>
      </x:c>
      <x:c r="M420">
        <x:f ca="1">IF(AND($B$1012=1,LEN($M$1421)&gt;0),$M$1421,HLOOKUP(INDIRECT(ADDRESS(2,COLUMN())),OFFSET($T$2,0,0,ROW()-1,14),ROW()-1,FALSE))</x:f>
        <x:v>0.59646999999999994</x:v>
      </x:c>
      <x:c r="N420">
        <x:f ca="1">IF(AND($B$1012=1,LEN($N$1421)&gt;0),$N$1421,HLOOKUP(INDIRECT(ADDRESS(2,COLUMN())),OFFSET($T$2,0,0,ROW()-1,14),ROW()-1,FALSE))</x:f>
        <x:v>0</x:v>
      </x:c>
      <x:c r="O420">
        <x:f ca="1">IF(AND($B$1012=1,LEN($O$1421)&gt;0),$O$1421,HLOOKUP(INDIRECT(ADDRESS(2,COLUMN())),OFFSET($T$2,0,0,ROW()-1,14),ROW()-1,FALSE))</x:f>
        <x:v>-2.0000000000000002E-5</x:v>
      </x:c>
      <x:c r="P420" t="str">
        <x:f ca="1">IF(AND($B$1012=1,LEN($P$1421)&gt;0),$P$1421,HLOOKUP(INDIRECT(ADDRESS(2,COLUMN())),OFFSET($T$2,0,0,ROW()-1,14),ROW()-1,FALSE))</x:f>
        <x:v/>
      </x:c>
      <x:c r="Q420" t="str">
        <x:f ca="1">IF(AND($B$1012=1,LEN($Q$1421)&gt;0),$Q$1421,HLOOKUP(INDIRECT(ADDRESS(2,COLUMN())),OFFSET($T$2,0,0,ROW()-1,14),ROW()-1,FALSE))</x:f>
        <x:v/>
      </x:c>
      <x:c r="R420" t="str">
        <x:f ca="1">IF(AND($B$1012=1,LEN($R$1421)&gt;0),$R$1421,HLOOKUP(INDIRECT(ADDRESS(2,COLUMN())),OFFSET($T$2,0,0,ROW()-1,14),ROW()-1,FALSE))</x:f>
        <x:v/>
      </x:c>
      <x:c r="S420" t="str">
        <x:f ca="1">IF(AND($B$1012=1,LEN($S$1421)&gt;0),$S$1421,HLOOKUP(INDIRECT(ADDRESS(2,COLUMN())),OFFSET($T$2,0,0,ROW()-1,14),ROW()-1,FALSE))</x:f>
        <x:v/>
      </x:c>
      <x:c r="T420">
        <x:f>0.17004</x:f>
        <x:v>0.17004</x:v>
      </x:c>
      <x:c r="U420">
        <x:f>0.168721</x:f>
        <x:v>0.16872100000000001</x:v>
      </x:c>
      <x:c r="V420">
        <x:f>0.352981</x:f>
        <x:v>0.35298099999999999</x:v>
      </x:c>
      <x:c r="W420">
        <x:f>0.809642</x:f>
        <x:v>0.80964199999999997</x:v>
      </x:c>
      <x:c r="X420">
        <x:f>0</x:f>
        <x:v>0</x:v>
      </x:c>
      <x:c r="Y420">
        <x:f>0.192404</x:f>
        <x:v>0.19240399999999999</x:v>
      </x:c>
      <x:c r="Z420">
        <x:f>0</x:f>
        <x:v>0</x:v>
      </x:c>
      <x:c r="AA420">
        <x:f>0.59647</x:f>
        <x:v>0.59646999999999994</x:v>
      </x:c>
      <x:c r="AB420">
        <x:f>0</x:f>
        <x:v>0</x:v>
      </x:c>
      <x:c r="AC420">
        <x:f>-0.00002</x:f>
        <x:v>-2.0000000000000002E-5</x:v>
      </x:c>
      <x:c r="AD420" t="str">
        <x:f>""</x:f>
        <x:v/>
      </x:c>
      <x:c r="AE420" t="str">
        <x:f>""</x:f>
        <x:v/>
      </x:c>
      <x:c r="AF420" t="str">
        <x:f>""</x:f>
        <x:v/>
      </x:c>
      <x:c r="AG420" t="str">
        <x:f>""</x:f>
        <x:v/>
      </x:c>
    </x:row>
    <x:row r="421" spans="1:33" x14ac:dyDescent="0.25">
      <x:c r="A421" t="str">
        <x:f>"        Optica Rare Earth &amp; Critical M"</x:f>
        <x:v xml:space="preserve">        Optica Rare Earth &amp; Critical M</x:v>
      </x:c>
      <x:c r="B421" t="str">
        <x:f>"CRIT US Equity"</x:f>
        <x:v>CRIT US Equity</x:v>
      </x:c>
      <x:c r="E421" t="str">
        <x:f t="shared" si="13"/>
        <x:v>Expression</x:v>
      </x:c>
      <x:c r="F421">
        <x:f ca="1">IF(AND($B$1012=1,LEN($F$1730)&gt;0),$F$1730,HLOOKUP(INDIRECT(ADDRESS(2,COLUMN())),OFFSET($T$2,0,0,ROW()-1,14),ROW()-1,FALSE))</x:f>
        <x:v>0</x:v>
      </x:c>
      <x:c r="G421">
        <x:f ca="1">IF(AND($B$1012=1,LEN($G$1730)&gt;0),$G$1730,HLOOKUP(INDIRECT(ADDRESS(2,COLUMN())),OFFSET($T$2,0,0,ROW()-1,14),ROW()-1,FALSE))</x:f>
        <x:v>0</x:v>
      </x:c>
      <x:c r="H421">
        <x:f ca="1">IF(AND($B$1012=1,LEN($H$1730)&gt;0),$H$1730,HLOOKUP(INDIRECT(ADDRESS(2,COLUMN())),OFFSET($T$2,0,0,ROW()-1,14),ROW()-1,FALSE))</x:f>
        <x:v>0</x:v>
      </x:c>
      <x:c r="I421">
        <x:f ca="1">IF(AND($B$1012=1,LEN($I$1730)&gt;0),$I$1730,HLOOKUP(INDIRECT(ADDRESS(2,COLUMN())),OFFSET($T$2,0,0,ROW()-1,14),ROW()-1,FALSE))</x:f>
        <x:v>0</x:v>
      </x:c>
      <x:c r="J421">
        <x:f ca="1">IF(AND($B$1012=1,LEN($J$1730)&gt;0),$J$1730,HLOOKUP(INDIRECT(ADDRESS(2,COLUMN())),OFFSET($T$2,0,0,ROW()-1,14),ROW()-1,FALSE))</x:f>
        <x:v>0</x:v>
      </x:c>
      <x:c r="K421">
        <x:f ca="1">IF(AND($B$1012=1,LEN($K$1730)&gt;0),$K$1730,HLOOKUP(INDIRECT(ADDRESS(2,COLUMN())),OFFSET($T$2,0,0,ROW()-1,14),ROW()-1,FALSE))</x:f>
        <x:v>0</x:v>
      </x:c>
      <x:c r="L421">
        <x:f ca="1">IF(AND($B$1012=1,LEN($L$1730)&gt;0),$L$1730,HLOOKUP(INDIRECT(ADDRESS(2,COLUMN())),OFFSET($T$2,0,0,ROW()-1,14),ROW()-1,FALSE))</x:f>
        <x:v>0</x:v>
      </x:c>
      <x:c r="M421">
        <x:f ca="1">IF(AND($B$1012=1,LEN($M$1730)&gt;0),$M$1730,HLOOKUP(INDIRECT(ADDRESS(2,COLUMN())),OFFSET($T$2,0,0,ROW()-1,14),ROW()-1,FALSE))</x:f>
        <x:v>0.3886</x:v>
      </x:c>
      <x:c r="N421">
        <x:f ca="1">IF(AND($B$1012=1,LEN($N$1730)&gt;0),$N$1730,HLOOKUP(INDIRECT(ADDRESS(2,COLUMN())),OFFSET($T$2,0,0,ROW()-1,14),ROW()-1,FALSE))</x:f>
        <x:v>-0.2087</x:v>
      </x:c>
      <x:c r="O421">
        <x:f ca="1">IF(AND($B$1012=1,LEN($O$1730)&gt;0),$O$1730,HLOOKUP(INDIRECT(ADDRESS(2,COLUMN())),OFFSET($T$2,0,0,ROW()-1,14),ROW()-1,FALSE))</x:f>
        <x:v>0.40920000000000001</x:v>
      </x:c>
      <x:c r="P421">
        <x:f ca="1">IF(AND($B$1012=1,LEN($P$1730)&gt;0),$P$1730,HLOOKUP(INDIRECT(ADDRESS(2,COLUMN())),OFFSET($T$2,0,0,ROW()-1,14),ROW()-1,FALSE))</x:f>
        <x:v>-0.47799999999999998</x:v>
      </x:c>
      <x:c r="Q421">
        <x:f ca="1">IF(AND($B$1012=1,LEN($Q$1730)&gt;0),$Q$1730,HLOOKUP(INDIRECT(ADDRESS(2,COLUMN())),OFFSET($T$2,0,0,ROW()-1,14),ROW()-1,FALSE))</x:f>
        <x:v>0</x:v>
      </x:c>
      <x:c r="R421">
        <x:f ca="1">IF(AND($B$1012=1,LEN($R$1730)&gt;0),$R$1730,HLOOKUP(INDIRECT(ADDRESS(2,COLUMN())),OFFSET($T$2,0,0,ROW()-1,14),ROW()-1,FALSE))</x:f>
        <x:v>0</x:v>
      </x:c>
      <x:c r="S421">
        <x:f ca="1">IF(AND($B$1012=1,LEN($S$1730)&gt;0),$S$1730,HLOOKUP(INDIRECT(ADDRESS(2,COLUMN())),OFFSET($T$2,0,0,ROW()-1,14),ROW()-1,FALSE))</x:f>
        <x:v>0</x:v>
      </x:c>
      <x:c r="T421">
        <x:f>0</x:f>
        <x:v>0</x:v>
      </x:c>
      <x:c r="U421">
        <x:f>0</x:f>
        <x:v>0</x:v>
      </x:c>
      <x:c r="V421">
        <x:f>0</x:f>
        <x:v>0</x:v>
      </x:c>
      <x:c r="W421">
        <x:f>0</x:f>
        <x:v>0</x:v>
      </x:c>
      <x:c r="X421">
        <x:f>0</x:f>
        <x:v>0</x:v>
      </x:c>
      <x:c r="Y421">
        <x:f>0</x:f>
        <x:v>0</x:v>
      </x:c>
      <x:c r="Z421">
        <x:f>0</x:f>
        <x:v>0</x:v>
      </x:c>
      <x:c r="AA421">
        <x:f>0.3886</x:f>
        <x:v>0.3886</x:v>
      </x:c>
      <x:c r="AB421">
        <x:f>-0.2087</x:f>
        <x:v>-0.2087</x:v>
      </x:c>
      <x:c r="AC421">
        <x:f>0.4092</x:f>
        <x:v>0.40920000000000001</x:v>
      </x:c>
      <x:c r="AD421">
        <x:f>-0.478</x:f>
        <x:v>-0.47799999999999998</x:v>
      </x:c>
      <x:c r="AE421">
        <x:f>0</x:f>
        <x:v>0</x:v>
      </x:c>
      <x:c r="AF421">
        <x:f>0</x:f>
        <x:v>0</x:v>
      </x:c>
      <x:c r="AG421">
        <x:f>0</x:f>
        <x:v>0</x:v>
      </x:c>
    </x:row>
    <x:row r="422" spans="1:33" x14ac:dyDescent="0.25">
      <x:c r="A422" t="str">
        <x:f>"        Proshares S&amp;P Global Core Batt"</x:f>
        <x:v xml:space="preserve">        Proshares S&amp;P Global Core Batt</x:v>
      </x:c>
      <x:c r="B422" t="str">
        <x:f>"ION US Equity"</x:f>
        <x:v>ION US Equity</x:v>
      </x:c>
      <x:c r="E422" t="str">
        <x:f t="shared" si="13"/>
        <x:v>Expression</x:v>
      </x:c>
      <x:c r="F422">
        <x:f ca="1">IF(AND($B$1012=1,LEN($F$1423)&gt;0),$F$1423,HLOOKUP(INDIRECT(ADDRESS(2,COLUMN())),OFFSET($T$2,0,0,ROW()-1,14),ROW()-1,FALSE))</x:f>
        <x:v>0</x:v>
      </x:c>
      <x:c r="G422">
        <x:f ca="1">IF(AND($B$1012=1,LEN($G$1423)&gt;0),$G$1423,HLOOKUP(INDIRECT(ADDRESS(2,COLUMN())),OFFSET($T$2,0,0,ROW()-1,14),ROW()-1,FALSE))</x:f>
        <x:v>0</x:v>
      </x:c>
      <x:c r="H422">
        <x:f ca="1">IF(AND($B$1012=1,LEN($H$1423)&gt;0),$H$1423,HLOOKUP(INDIRECT(ADDRESS(2,COLUMN())),OFFSET($T$2,0,0,ROW()-1,14),ROW()-1,FALSE))</x:f>
        <x:v>0</x:v>
      </x:c>
      <x:c r="I422">
        <x:f ca="1">IF(AND($B$1012=1,LEN($I$1423)&gt;0),$I$1423,HLOOKUP(INDIRECT(ADDRESS(2,COLUMN())),OFFSET($T$2,0,0,ROW()-1,14),ROW()-1,FALSE))</x:f>
        <x:v>0</x:v>
      </x:c>
      <x:c r="J422">
        <x:f ca="1">IF(AND($B$1012=1,LEN($J$1423)&gt;0),$J$1423,HLOOKUP(INDIRECT(ADDRESS(2,COLUMN())),OFFSET($T$2,0,0,ROW()-1,14),ROW()-1,FALSE))</x:f>
        <x:v>0</x:v>
      </x:c>
      <x:c r="K422">
        <x:f ca="1">IF(AND($B$1012=1,LEN($K$1423)&gt;0),$K$1423,HLOOKUP(INDIRECT(ADDRESS(2,COLUMN())),OFFSET($T$2,0,0,ROW()-1,14),ROW()-1,FALSE))</x:f>
        <x:v>0</x:v>
      </x:c>
      <x:c r="L422">
        <x:f ca="1">IF(AND($B$1012=1,LEN($L$1423)&gt;0),$L$1423,HLOOKUP(INDIRECT(ADDRESS(2,COLUMN())),OFFSET($T$2,0,0,ROW()-1,14),ROW()-1,FALSE))</x:f>
        <x:v>0</x:v>
      </x:c>
      <x:c r="M422">
        <x:f ca="1">IF(AND($B$1012=1,LEN($M$1423)&gt;0),$M$1423,HLOOKUP(INDIRECT(ADDRESS(2,COLUMN())),OFFSET($T$2,0,0,ROW()-1,14),ROW()-1,FALSE))</x:f>
        <x:v>0</x:v>
      </x:c>
      <x:c r="N422">
        <x:f ca="1">IF(AND($B$1012=1,LEN($N$1423)&gt;0),$N$1423,HLOOKUP(INDIRECT(ADDRESS(2,COLUMN())),OFFSET($T$2,0,0,ROW()-1,14),ROW()-1,FALSE))</x:f>
        <x:v>-0.902335</x:v>
      </x:c>
      <x:c r="O422">
        <x:f ca="1">IF(AND($B$1012=1,LEN($O$1423)&gt;0),$O$1423,HLOOKUP(INDIRECT(ADDRESS(2,COLUMN())),OFFSET($T$2,0,0,ROW()-1,14),ROW()-1,FALSE))</x:f>
        <x:v>0</x:v>
      </x:c>
      <x:c r="P422">
        <x:f ca="1">IF(AND($B$1012=1,LEN($P$1423)&gt;0),$P$1423,HLOOKUP(INDIRECT(ADDRESS(2,COLUMN())),OFFSET($T$2,0,0,ROW()-1,14),ROW()-1,FALSE))</x:f>
        <x:v>0</x:v>
      </x:c>
      <x:c r="Q422">
        <x:f ca="1">IF(AND($B$1012=1,LEN($Q$1423)&gt;0),$Q$1423,HLOOKUP(INDIRECT(ADDRESS(2,COLUMN())),OFFSET($T$2,0,0,ROW()-1,14),ROW()-1,FALSE))</x:f>
        <x:v>0</x:v>
      </x:c>
      <x:c r="R422" t="str">
        <x:f ca="1">IF(AND($B$1012=1,LEN($R$1423)&gt;0),$R$1423,HLOOKUP(INDIRECT(ADDRESS(2,COLUMN())),OFFSET($T$2,0,0,ROW()-1,14),ROW()-1,FALSE))</x:f>
        <x:v/>
      </x:c>
      <x:c r="S422" t="str">
        <x:f ca="1">IF(AND($B$1012=1,LEN($S$1423)&gt;0),$S$1423,HLOOKUP(INDIRECT(ADDRESS(2,COLUMN())),OFFSET($T$2,0,0,ROW()-1,14),ROW()-1,FALSE))</x:f>
        <x:v/>
      </x:c>
      <x:c r="T422">
        <x:f>0</x:f>
        <x:v>0</x:v>
      </x:c>
      <x:c r="U422">
        <x:f>0</x:f>
        <x:v>0</x:v>
      </x:c>
      <x:c r="V422">
        <x:f>0</x:f>
        <x:v>0</x:v>
      </x:c>
      <x:c r="W422">
        <x:f>0</x:f>
        <x:v>0</x:v>
      </x:c>
      <x:c r="X422">
        <x:f>0</x:f>
        <x:v>0</x:v>
      </x:c>
      <x:c r="Y422">
        <x:f>0</x:f>
        <x:v>0</x:v>
      </x:c>
      <x:c r="Z422">
        <x:f>0</x:f>
        <x:v>0</x:v>
      </x:c>
      <x:c r="AA422">
        <x:f>0</x:f>
        <x:v>0</x:v>
      </x:c>
      <x:c r="AB422">
        <x:f>-0.902335</x:f>
        <x:v>-0.902335</x:v>
      </x:c>
      <x:c r="AC422">
        <x:f>0</x:f>
        <x:v>0</x:v>
      </x:c>
      <x:c r="AD422">
        <x:f>0</x:f>
        <x:v>0</x:v>
      </x:c>
      <x:c r="AE422">
        <x:f>0</x:f>
        <x:v>0</x:v>
      </x:c>
      <x:c r="AF422" t="str">
        <x:f>""</x:f>
        <x:v/>
      </x:c>
      <x:c r="AG422" t="str">
        <x:f>""</x:f>
        <x:v/>
      </x:c>
    </x:row>
    <x:row r="423" spans="1:33" x14ac:dyDescent="0.25">
      <x:c r="A423" t="str">
        <x:f>"        Sprott Lithium Miners ETF"</x:f>
        <x:v xml:space="preserve">        Sprott Lithium Miners ETF</x:v>
      </x:c>
      <x:c r="B423" t="str">
        <x:f>"LITP US Equity"</x:f>
        <x:v>LITP US Equity</x:v>
      </x:c>
      <x:c r="E423" t="str">
        <x:f t="shared" si="13"/>
        <x:v>Expression</x:v>
      </x:c>
      <x:c r="F423">
        <x:f ca="1">IF(AND($B$1012=1,LEN($F$1424)&gt;0),$F$1424,HLOOKUP(INDIRECT(ADDRESS(2,COLUMN())),OFFSET($T$2,0,0,ROW()-1,14),ROW()-1,FALSE))</x:f>
        <x:v>0</x:v>
      </x:c>
      <x:c r="G423">
        <x:f ca="1">IF(AND($B$1012=1,LEN($G$1424)&gt;0),$G$1424,HLOOKUP(INDIRECT(ADDRESS(2,COLUMN())),OFFSET($T$2,0,0,ROW()-1,14),ROW()-1,FALSE))</x:f>
        <x:v>0.40024999999999999</x:v>
      </x:c>
      <x:c r="H423">
        <x:f ca="1">IF(AND($B$1012=1,LEN($H$1424)&gt;0),$H$1424,HLOOKUP(INDIRECT(ADDRESS(2,COLUMN())),OFFSET($T$2,0,0,ROW()-1,14),ROW()-1,FALSE))</x:f>
        <x:v>0.30627700000000002</x:v>
      </x:c>
      <x:c r="I423">
        <x:f ca="1">IF(AND($B$1012=1,LEN($I$1424)&gt;0),$I$1424,HLOOKUP(INDIRECT(ADDRESS(2,COLUMN())),OFFSET($T$2,0,0,ROW()-1,14),ROW()-1,FALSE))</x:f>
        <x:v>0.63241000000000003</x:v>
      </x:c>
      <x:c r="J423">
        <x:f ca="1">IF(AND($B$1012=1,LEN($J$1424)&gt;0),$J$1424,HLOOKUP(INDIRECT(ADDRESS(2,COLUMN())),OFFSET($T$2,0,0,ROW()-1,14),ROW()-1,FALSE))</x:f>
        <x:v>1.171603</x:v>
      </x:c>
      <x:c r="K423">
        <x:f ca="1">IF(AND($B$1012=1,LEN($K$1424)&gt;0),$K$1424,HLOOKUP(INDIRECT(ADDRESS(2,COLUMN())),OFFSET($T$2,0,0,ROW()-1,14),ROW()-1,FALSE))</x:f>
        <x:v>-0.21252599999999999</x:v>
      </x:c>
      <x:c r="L423">
        <x:f ca="1">IF(AND($B$1012=1,LEN($L$1424)&gt;0),$L$1424,HLOOKUP(INDIRECT(ADDRESS(2,COLUMN())),OFFSET($T$2,0,0,ROW()-1,14),ROW()-1,FALSE))</x:f>
        <x:v>-2.0434060000000001</x:v>
      </x:c>
      <x:c r="M423">
        <x:f ca="1">IF(AND($B$1012=1,LEN($M$1424)&gt;0),$M$1424,HLOOKUP(INDIRECT(ADDRESS(2,COLUMN())),OFFSET($T$2,0,0,ROW()-1,14),ROW()-1,FALSE))</x:f>
        <x:v>0</x:v>
      </x:c>
      <x:c r="N423">
        <x:f ca="1">IF(AND($B$1012=1,LEN($N$1424)&gt;0),$N$1424,HLOOKUP(INDIRECT(ADDRESS(2,COLUMN())),OFFSET($T$2,0,0,ROW()-1,14),ROW()-1,FALSE))</x:f>
        <x:v>2.306076</x:v>
      </x:c>
      <x:c r="O423">
        <x:f ca="1">IF(AND($B$1012=1,LEN($O$1424)&gt;0),$O$1424,HLOOKUP(INDIRECT(ADDRESS(2,COLUMN())),OFFSET($T$2,0,0,ROW()-1,14),ROW()-1,FALSE))</x:f>
        <x:v>0.95410200000000001</x:v>
      </x:c>
      <x:c r="P423" t="str">
        <x:f ca="1">IF(AND($B$1012=1,LEN($P$1424)&gt;0),$P$1424,HLOOKUP(INDIRECT(ADDRESS(2,COLUMN())),OFFSET($T$2,0,0,ROW()-1,14),ROW()-1,FALSE))</x:f>
        <x:v/>
      </x:c>
      <x:c r="Q423" t="str">
        <x:f ca="1">IF(AND($B$1012=1,LEN($Q$1424)&gt;0),$Q$1424,HLOOKUP(INDIRECT(ADDRESS(2,COLUMN())),OFFSET($T$2,0,0,ROW()-1,14),ROW()-1,FALSE))</x:f>
        <x:v/>
      </x:c>
      <x:c r="R423" t="str">
        <x:f ca="1">IF(AND($B$1012=1,LEN($R$1424)&gt;0),$R$1424,HLOOKUP(INDIRECT(ADDRESS(2,COLUMN())),OFFSET($T$2,0,0,ROW()-1,14),ROW()-1,FALSE))</x:f>
        <x:v/>
      </x:c>
      <x:c r="S423" t="str">
        <x:f ca="1">IF(AND($B$1012=1,LEN($S$1424)&gt;0),$S$1424,HLOOKUP(INDIRECT(ADDRESS(2,COLUMN())),OFFSET($T$2,0,0,ROW()-1,14),ROW()-1,FALSE))</x:f>
        <x:v/>
      </x:c>
      <x:c r="T423">
        <x:f>0</x:f>
        <x:v>0</x:v>
      </x:c>
      <x:c r="U423">
        <x:f>0.40025</x:f>
        <x:v>0.40024999999999999</x:v>
      </x:c>
      <x:c r="V423">
        <x:f>0.306277</x:f>
        <x:v>0.30627700000000002</x:v>
      </x:c>
      <x:c r="W423">
        <x:f>0.63241</x:f>
        <x:v>0.63241000000000003</x:v>
      </x:c>
      <x:c r="X423">
        <x:f>1.171603</x:f>
        <x:v>1.171603</x:v>
      </x:c>
      <x:c r="Y423">
        <x:f>-0.212526</x:f>
        <x:v>-0.21252599999999999</x:v>
      </x:c>
      <x:c r="Z423">
        <x:f>-2.043406</x:f>
        <x:v>-2.0434060000000001</x:v>
      </x:c>
      <x:c r="AA423">
        <x:f>0</x:f>
        <x:v>0</x:v>
      </x:c>
      <x:c r="AB423">
        <x:f>2.306076</x:f>
        <x:v>2.306076</x:v>
      </x:c>
      <x:c r="AC423">
        <x:f>0.954102</x:f>
        <x:v>0.95410200000000001</x:v>
      </x:c>
      <x:c r="AD423" t="str">
        <x:f>""</x:f>
        <x:v/>
      </x:c>
      <x:c r="AE423" t="str">
        <x:f>""</x:f>
        <x:v/>
      </x:c>
      <x:c r="AF423" t="str">
        <x:f>""</x:f>
        <x:v/>
      </x:c>
      <x:c r="AG423" t="str">
        <x:f>""</x:f>
        <x:v/>
      </x:c>
    </x:row>
    <x:row r="424" spans="1:33" x14ac:dyDescent="0.25">
      <x:c r="A424" t="str">
        <x:f>"        Amplify Natural Resources Divi"</x:f>
        <x:v xml:space="preserve">        Amplify Natural Resources Divi</x:v>
      </x:c>
      <x:c r="B424" t="str">
        <x:f>"NDIV US Equity"</x:f>
        <x:v>NDIV US Equity</x:v>
      </x:c>
      <x:c r="E424" t="str">
        <x:f t="shared" si="13"/>
        <x:v>Expression</x:v>
      </x:c>
      <x:c r="F424">
        <x:f ca="1">IF(AND($B$1012=1,LEN($F$1425)&gt;0),$F$1425,HLOOKUP(INDIRECT(ADDRESS(2,COLUMN())),OFFSET($T$2,0,0,ROW()-1,14),ROW()-1,FALSE))</x:f>
        <x:v>0</x:v>
      </x:c>
      <x:c r="G424">
        <x:f ca="1">IF(AND($B$1012=1,LEN($G$1425)&gt;0),$G$1425,HLOOKUP(INDIRECT(ADDRESS(2,COLUMN())),OFFSET($T$2,0,0,ROW()-1,14),ROW()-1,FALSE))</x:f>
        <x:v>0.64176999999999995</x:v>
      </x:c>
      <x:c r="H424">
        <x:f ca="1">IF(AND($B$1012=1,LEN($H$1425)&gt;0),$H$1425,HLOOKUP(INDIRECT(ADDRESS(2,COLUMN())),OFFSET($T$2,0,0,ROW()-1,14),ROW()-1,FALSE))</x:f>
        <x:v>0.67190499999999997</x:v>
      </x:c>
      <x:c r="I424">
        <x:f ca="1">IF(AND($B$1012=1,LEN($I$1425)&gt;0),$I$1425,HLOOKUP(INDIRECT(ADDRESS(2,COLUMN())),OFFSET($T$2,0,0,ROW()-1,14),ROW()-1,FALSE))</x:f>
        <x:v>0.66242199999999996</x:v>
      </x:c>
      <x:c r="J424">
        <x:f ca="1">IF(AND($B$1012=1,LEN($J$1425)&gt;0),$J$1425,HLOOKUP(INDIRECT(ADDRESS(2,COLUMN())),OFFSET($T$2,0,0,ROW()-1,14),ROW()-1,FALSE))</x:f>
        <x:v>0</x:v>
      </x:c>
      <x:c r="K424">
        <x:f ca="1">IF(AND($B$1012=1,LEN($K$1425)&gt;0),$K$1425,HLOOKUP(INDIRECT(ADDRESS(2,COLUMN())),OFFSET($T$2,0,0,ROW()-1,14),ROW()-1,FALSE))</x:f>
        <x:v>0.62924999999999998</x:v>
      </x:c>
      <x:c r="L424">
        <x:f ca="1">IF(AND($B$1012=1,LEN($L$1425)&gt;0),$L$1425,HLOOKUP(INDIRECT(ADDRESS(2,COLUMN())),OFFSET($T$2,0,0,ROW()-1,14),ROW()-1,FALSE))</x:f>
        <x:v>2.748E-3</x:v>
      </x:c>
      <x:c r="M424">
        <x:f ca="1">IF(AND($B$1012=1,LEN($M$1425)&gt;0),$M$1425,HLOOKUP(INDIRECT(ADDRESS(2,COLUMN())),OFFSET($T$2,0,0,ROW()-1,14),ROW()-1,FALSE))</x:f>
        <x:v>0.63835200000000003</x:v>
      </x:c>
      <x:c r="N424">
        <x:f ca="1">IF(AND($B$1012=1,LEN($N$1425)&gt;0),$N$1425,HLOOKUP(INDIRECT(ADDRESS(2,COLUMN())),OFFSET($T$2,0,0,ROW()-1,14),ROW()-1,FALSE))</x:f>
        <x:v>0</x:v>
      </x:c>
      <x:c r="O424">
        <x:f ca="1">IF(AND($B$1012=1,LEN($O$1425)&gt;0),$O$1425,HLOOKUP(INDIRECT(ADDRESS(2,COLUMN())),OFFSET($T$2,0,0,ROW()-1,14),ROW()-1,FALSE))</x:f>
        <x:v>2.7160899999999999</x:v>
      </x:c>
      <x:c r="P424">
        <x:f ca="1">IF(AND($B$1012=1,LEN($P$1425)&gt;0),$P$1425,HLOOKUP(INDIRECT(ADDRESS(2,COLUMN())),OFFSET($T$2,0,0,ROW()-1,14),ROW()-1,FALSE))</x:f>
        <x:v>0</x:v>
      </x:c>
      <x:c r="Q424">
        <x:f ca="1">IF(AND($B$1012=1,LEN($Q$1425)&gt;0),$Q$1425,HLOOKUP(INDIRECT(ADDRESS(2,COLUMN())),OFFSET($T$2,0,0,ROW()-1,14),ROW()-1,FALSE))</x:f>
        <x:v>1.280265</x:v>
      </x:c>
      <x:c r="R424">
        <x:f ca="1">IF(AND($B$1012=1,LEN($R$1425)&gt;0),$R$1425,HLOOKUP(INDIRECT(ADDRESS(2,COLUMN())),OFFSET($T$2,0,0,ROW()-1,14),ROW()-1,FALSE))</x:f>
        <x:v>0</x:v>
      </x:c>
      <x:c r="S424">
        <x:f ca="1">IF(AND($B$1012=1,LEN($S$1425)&gt;0),$S$1425,HLOOKUP(INDIRECT(ADDRESS(2,COLUMN())),OFFSET($T$2,0,0,ROW()-1,14),ROW()-1,FALSE))</x:f>
        <x:v>0.59943000000000002</x:v>
      </x:c>
      <x:c r="T424">
        <x:f>0</x:f>
        <x:v>0</x:v>
      </x:c>
      <x:c r="U424">
        <x:f>0.64177</x:f>
        <x:v>0.64176999999999995</x:v>
      </x:c>
      <x:c r="V424">
        <x:f>0.671905</x:f>
        <x:v>0.67190499999999997</x:v>
      </x:c>
      <x:c r="W424">
        <x:f>0.662422</x:f>
        <x:v>0.66242199999999996</x:v>
      </x:c>
      <x:c r="X424">
        <x:f>0</x:f>
        <x:v>0</x:v>
      </x:c>
      <x:c r="Y424">
        <x:f>0.62925</x:f>
        <x:v>0.62924999999999998</x:v>
      </x:c>
      <x:c r="Z424">
        <x:f>0.002748</x:f>
        <x:v>2.748E-3</x:v>
      </x:c>
      <x:c r="AA424">
        <x:f>0.638352</x:f>
        <x:v>0.63835200000000003</x:v>
      </x:c>
      <x:c r="AB424">
        <x:f>0</x:f>
        <x:v>0</x:v>
      </x:c>
      <x:c r="AC424">
        <x:f>2.71609</x:f>
        <x:v>2.7160899999999999</x:v>
      </x:c>
      <x:c r="AD424">
        <x:f>0</x:f>
        <x:v>0</x:v>
      </x:c>
      <x:c r="AE424">
        <x:f>1.280265</x:f>
        <x:v>1.280265</x:v>
      </x:c>
      <x:c r="AF424">
        <x:f>0</x:f>
        <x:v>0</x:v>
      </x:c>
      <x:c r="AG424">
        <x:f>0.59943</x:f>
        <x:v>0.59943000000000002</x:v>
      </x:c>
    </x:row>
    <x:row r="425" spans="1:33" x14ac:dyDescent="0.25">
      <x:c r="A425" t="str">
        <x:f>"        Sprott Nickel Miners ETF"</x:f>
        <x:v xml:space="preserve">        Sprott Nickel Miners ETF</x:v>
      </x:c>
      <x:c r="B425" t="str">
        <x:f>"NIKL US Equity"</x:f>
        <x:v>NIKL US Equity</x:v>
      </x:c>
      <x:c r="E425" t="str">
        <x:f t="shared" si="13"/>
        <x:v>Expression</x:v>
      </x:c>
      <x:c r="F425">
        <x:f ca="1">IF(AND($B$1012=1,LEN($F$1426)&gt;0),$F$1426,HLOOKUP(INDIRECT(ADDRESS(2,COLUMN())),OFFSET($T$2,0,0,ROW()-1,14),ROW()-1,FALSE))</x:f>
        <x:v>0</x:v>
      </x:c>
      <x:c r="G425">
        <x:f ca="1">IF(AND($B$1012=1,LEN($G$1426)&gt;0),$G$1426,HLOOKUP(INDIRECT(ADDRESS(2,COLUMN())),OFFSET($T$2,0,0,ROW()-1,14),ROW()-1,FALSE))</x:f>
        <x:v>0</x:v>
      </x:c>
      <x:c r="H425">
        <x:f ca="1">IF(AND($B$1012=1,LEN($H$1426)&gt;0),$H$1426,HLOOKUP(INDIRECT(ADDRESS(2,COLUMN())),OFFSET($T$2,0,0,ROW()-1,14),ROW()-1,FALSE))</x:f>
        <x:v>0</x:v>
      </x:c>
      <x:c r="I425">
        <x:f ca="1">IF(AND($B$1012=1,LEN($I$1426)&gt;0),$I$1426,HLOOKUP(INDIRECT(ADDRESS(2,COLUMN())),OFFSET($T$2,0,0,ROW()-1,14),ROW()-1,FALSE))</x:f>
        <x:v>0</x:v>
      </x:c>
      <x:c r="J425">
        <x:f ca="1">IF(AND($B$1012=1,LEN($J$1426)&gt;0),$J$1426,HLOOKUP(INDIRECT(ADDRESS(2,COLUMN())),OFFSET($T$2,0,0,ROW()-1,14),ROW()-1,FALSE))</x:f>
        <x:v>0</x:v>
      </x:c>
      <x:c r="K425">
        <x:f ca="1">IF(AND($B$1012=1,LEN($K$1426)&gt;0),$K$1426,HLOOKUP(INDIRECT(ADDRESS(2,COLUMN())),OFFSET($T$2,0,0,ROW()-1,14),ROW()-1,FALSE))</x:f>
        <x:v>0</x:v>
      </x:c>
      <x:c r="L425">
        <x:f ca="1">IF(AND($B$1012=1,LEN($L$1426)&gt;0),$L$1426,HLOOKUP(INDIRECT(ADDRESS(2,COLUMN())),OFFSET($T$2,0,0,ROW()-1,14),ROW()-1,FALSE))</x:f>
        <x:v>0.198629</x:v>
      </x:c>
      <x:c r="M425">
        <x:f ca="1">IF(AND($B$1012=1,LEN($M$1426)&gt;0),$M$1426,HLOOKUP(INDIRECT(ADDRESS(2,COLUMN())),OFFSET($T$2,0,0,ROW()-1,14),ROW()-1,FALSE))</x:f>
        <x:v>0</x:v>
      </x:c>
      <x:c r="N425">
        <x:f ca="1">IF(AND($B$1012=1,LEN($N$1426)&gt;0),$N$1426,HLOOKUP(INDIRECT(ADDRESS(2,COLUMN())),OFFSET($T$2,0,0,ROW()-1,14),ROW()-1,FALSE))</x:f>
        <x:v>0</x:v>
      </x:c>
      <x:c r="O425" t="str">
        <x:f ca="1">IF(AND($B$1012=1,LEN($O$1426)&gt;0),$O$1426,HLOOKUP(INDIRECT(ADDRESS(2,COLUMN())),OFFSET($T$2,0,0,ROW()-1,14),ROW()-1,FALSE))</x:f>
        <x:v/>
      </x:c>
      <x:c r="P425" t="str">
        <x:f ca="1">IF(AND($B$1012=1,LEN($P$1426)&gt;0),$P$1426,HLOOKUP(INDIRECT(ADDRESS(2,COLUMN())),OFFSET($T$2,0,0,ROW()-1,14),ROW()-1,FALSE))</x:f>
        <x:v/>
      </x:c>
      <x:c r="Q425" t="str">
        <x:f ca="1">IF(AND($B$1012=1,LEN($Q$1426)&gt;0),$Q$1426,HLOOKUP(INDIRECT(ADDRESS(2,COLUMN())),OFFSET($T$2,0,0,ROW()-1,14),ROW()-1,FALSE))</x:f>
        <x:v/>
      </x:c>
      <x:c r="R425" t="str">
        <x:f ca="1">IF(AND($B$1012=1,LEN($R$1426)&gt;0),$R$1426,HLOOKUP(INDIRECT(ADDRESS(2,COLUMN())),OFFSET($T$2,0,0,ROW()-1,14),ROW()-1,FALSE))</x:f>
        <x:v/>
      </x:c>
      <x:c r="S425" t="str">
        <x:f ca="1">IF(AND($B$1012=1,LEN($S$1426)&gt;0),$S$1426,HLOOKUP(INDIRECT(ADDRESS(2,COLUMN())),OFFSET($T$2,0,0,ROW()-1,14),ROW()-1,FALSE))</x:f>
        <x:v/>
      </x:c>
      <x:c r="T425">
        <x:f>0</x:f>
        <x:v>0</x:v>
      </x:c>
      <x:c r="U425">
        <x:f>0</x:f>
        <x:v>0</x:v>
      </x:c>
      <x:c r="V425">
        <x:f>0</x:f>
        <x:v>0</x:v>
      </x:c>
      <x:c r="W425">
        <x:f>0</x:f>
        <x:v>0</x:v>
      </x:c>
      <x:c r="X425">
        <x:f>0</x:f>
        <x:v>0</x:v>
      </x:c>
      <x:c r="Y425">
        <x:f>0</x:f>
        <x:v>0</x:v>
      </x:c>
      <x:c r="Z425">
        <x:f>0.198629</x:f>
        <x:v>0.198629</x:v>
      </x:c>
      <x:c r="AA425">
        <x:f>0</x:f>
        <x:v>0</x:v>
      </x:c>
      <x:c r="AB425">
        <x:f>0</x:f>
        <x:v>0</x:v>
      </x:c>
      <x:c r="AC425" t="str">
        <x:f>""</x:f>
        <x:v/>
      </x:c>
      <x:c r="AD425" t="str">
        <x:f>""</x:f>
        <x:v/>
      </x:c>
      <x:c r="AE425" t="str">
        <x:f>""</x:f>
        <x:v/>
      </x:c>
      <x:c r="AF425" t="str">
        <x:f>""</x:f>
        <x:v/>
      </x:c>
      <x:c r="AG425" t="str">
        <x:f>""</x:f>
        <x:v/>
      </x:c>
    </x:row>
    <x:row r="426" spans="1:33" x14ac:dyDescent="0.25">
      <x:c r="A426" t="str">
        <x:f>"        Sprott Energy Transition Mater"</x:f>
        <x:v xml:space="preserve">        Sprott Energy Transition Mater</x:v>
      </x:c>
      <x:c r="B426" t="str">
        <x:f>"SETM US Equity"</x:f>
        <x:v>SETM US Equity</x:v>
      </x:c>
      <x:c r="E426" t="str">
        <x:f t="shared" si="13"/>
        <x:v>Expression</x:v>
      </x:c>
      <x:c r="F426">
        <x:f ca="1">IF(AND($B$1012=1,LEN($F$1729)&gt;0),$F$1729,HLOOKUP(INDIRECT(ADDRESS(2,COLUMN())),OFFSET($T$2,0,0,ROW()-1,14),ROW()-1,FALSE))</x:f>
        <x:v>1.333515</x:v>
      </x:c>
      <x:c r="G426">
        <x:f ca="1">IF(AND($B$1012=1,LEN($G$1729)&gt;0),$G$1729,HLOOKUP(INDIRECT(ADDRESS(2,COLUMN())),OFFSET($T$2,0,0,ROW()-1,14),ROW()-1,FALSE))</x:f>
        <x:v>0</x:v>
      </x:c>
      <x:c r="H426">
        <x:f ca="1">IF(AND($B$1012=1,LEN($H$1729)&gt;0),$H$1729,HLOOKUP(INDIRECT(ADDRESS(2,COLUMN())),OFFSET($T$2,0,0,ROW()-1,14),ROW()-1,FALSE))</x:f>
        <x:v>1.272537</x:v>
      </x:c>
      <x:c r="I426">
        <x:f ca="1">IF(AND($B$1012=1,LEN($I$1729)&gt;0),$I$1729,HLOOKUP(INDIRECT(ADDRESS(2,COLUMN())),OFFSET($T$2,0,0,ROW()-1,14),ROW()-1,FALSE))</x:f>
        <x:v>1.9459090000000001</x:v>
      </x:c>
      <x:c r="J426">
        <x:f ca="1">IF(AND($B$1012=1,LEN($J$1729)&gt;0),$J$1729,HLOOKUP(INDIRECT(ADDRESS(2,COLUMN())),OFFSET($T$2,0,0,ROW()-1,14),ROW()-1,FALSE))</x:f>
        <x:v>0.87820799999999999</x:v>
      </x:c>
      <x:c r="K426">
        <x:f ca="1">IF(AND($B$1012=1,LEN($K$1729)&gt;0),$K$1729,HLOOKUP(INDIRECT(ADDRESS(2,COLUMN())),OFFSET($T$2,0,0,ROW()-1,14),ROW()-1,FALSE))</x:f>
        <x:v>1.801804</x:v>
      </x:c>
      <x:c r="L426">
        <x:f ca="1">IF(AND($B$1012=1,LEN($L$1729)&gt;0),$L$1729,HLOOKUP(INDIRECT(ADDRESS(2,COLUMN())),OFFSET($T$2,0,0,ROW()-1,14),ROW()-1,FALSE))</x:f>
        <x:v>-1.3373440000000001</x:v>
      </x:c>
      <x:c r="M426">
        <x:f ca="1">IF(AND($B$1012=1,LEN($M$1729)&gt;0),$M$1729,HLOOKUP(INDIRECT(ADDRESS(2,COLUMN())),OFFSET($T$2,0,0,ROW()-1,14),ROW()-1,FALSE))</x:f>
        <x:v>0</x:v>
      </x:c>
      <x:c r="N426">
        <x:f ca="1">IF(AND($B$1012=1,LEN($N$1729)&gt;0),$N$1729,HLOOKUP(INDIRECT(ADDRESS(2,COLUMN())),OFFSET($T$2,0,0,ROW()-1,14),ROW()-1,FALSE))</x:f>
        <x:v>3.1959749999999998</x:v>
      </x:c>
      <x:c r="O426">
        <x:f ca="1">IF(AND($B$1012=1,LEN($O$1729)&gt;0),$O$1729,HLOOKUP(INDIRECT(ADDRESS(2,COLUMN())),OFFSET($T$2,0,0,ROW()-1,14),ROW()-1,FALSE))</x:f>
        <x:v>2.1341139999999998</x:v>
      </x:c>
      <x:c r="P426" t="str">
        <x:f ca="1">IF(AND($B$1012=1,LEN($P$1729)&gt;0),$P$1729,HLOOKUP(INDIRECT(ADDRESS(2,COLUMN())),OFFSET($T$2,0,0,ROW()-1,14),ROW()-1,FALSE))</x:f>
        <x:v/>
      </x:c>
      <x:c r="Q426" t="str">
        <x:f ca="1">IF(AND($B$1012=1,LEN($Q$1729)&gt;0),$Q$1729,HLOOKUP(INDIRECT(ADDRESS(2,COLUMN())),OFFSET($T$2,0,0,ROW()-1,14),ROW()-1,FALSE))</x:f>
        <x:v/>
      </x:c>
      <x:c r="R426" t="str">
        <x:f ca="1">IF(AND($B$1012=1,LEN($R$1729)&gt;0),$R$1729,HLOOKUP(INDIRECT(ADDRESS(2,COLUMN())),OFFSET($T$2,0,0,ROW()-1,14),ROW()-1,FALSE))</x:f>
        <x:v/>
      </x:c>
      <x:c r="S426" t="str">
        <x:f ca="1">IF(AND($B$1012=1,LEN($S$1729)&gt;0),$S$1729,HLOOKUP(INDIRECT(ADDRESS(2,COLUMN())),OFFSET($T$2,0,0,ROW()-1,14),ROW()-1,FALSE))</x:f>
        <x:v/>
      </x:c>
      <x:c r="T426">
        <x:f>1.333515</x:f>
        <x:v>1.333515</x:v>
      </x:c>
      <x:c r="U426">
        <x:f>0</x:f>
        <x:v>0</x:v>
      </x:c>
      <x:c r="V426">
        <x:f>1.272537</x:f>
        <x:v>1.272537</x:v>
      </x:c>
      <x:c r="W426">
        <x:f>1.945909</x:f>
        <x:v>1.9459090000000001</x:v>
      </x:c>
      <x:c r="X426">
        <x:f>0.878208</x:f>
        <x:v>0.87820799999999999</x:v>
      </x:c>
      <x:c r="Y426">
        <x:f>1.801804</x:f>
        <x:v>1.801804</x:v>
      </x:c>
      <x:c r="Z426">
        <x:f>-1.337344</x:f>
        <x:v>-1.3373440000000001</x:v>
      </x:c>
      <x:c r="AA426">
        <x:f>0</x:f>
        <x:v>0</x:v>
      </x:c>
      <x:c r="AB426">
        <x:f>3.195975</x:f>
        <x:v>3.1959749999999998</x:v>
      </x:c>
      <x:c r="AC426">
        <x:f>2.134114</x:f>
        <x:v>2.1341139999999998</x:v>
      </x:c>
      <x:c r="AD426" t="str">
        <x:f>""</x:f>
        <x:v/>
      </x:c>
      <x:c r="AE426" t="str">
        <x:f>""</x:f>
        <x:v/>
      </x:c>
      <x:c r="AF426" t="str">
        <x:f>""</x:f>
        <x:v/>
      </x:c>
      <x:c r="AG426" t="str">
        <x:f>""</x:f>
        <x:v/>
      </x:c>
    </x:row>
    <x:row r="427" spans="1:33" x14ac:dyDescent="0.25">
      <x:c r="A427" t="str">
        <x:f>"        Sprott Junior Uranium Miners E"</x:f>
        <x:v xml:space="preserve">        Sprott Junior Uranium Miners E</x:v>
      </x:c>
      <x:c r="B427" t="str">
        <x:f>"URNJ US Equity"</x:f>
        <x:v>URNJ US Equity</x:v>
      </x:c>
      <x:c r="E427" t="str">
        <x:f t="shared" si="13"/>
        <x:v>Expression</x:v>
      </x:c>
      <x:c r="F427">
        <x:f ca="1">IF(AND($B$1012=1,LEN($F$1428)&gt;0),$F$1428,HLOOKUP(INDIRECT(ADDRESS(2,COLUMN())),OFFSET($T$2,0,0,ROW()-1,14),ROW()-1,FALSE))</x:f>
        <x:v>4.6951359999999998</x:v>
      </x:c>
      <x:c r="G427">
        <x:f ca="1">IF(AND($B$1012=1,LEN($G$1428)&gt;0),$G$1428,HLOOKUP(INDIRECT(ADDRESS(2,COLUMN())),OFFSET($T$2,0,0,ROW()-1,14),ROW()-1,FALSE))</x:f>
        <x:v>13.456592000000001</x:v>
      </x:c>
      <x:c r="H427">
        <x:f ca="1">IF(AND($B$1012=1,LEN($H$1428)&gt;0),$H$1428,HLOOKUP(INDIRECT(ADDRESS(2,COLUMN())),OFFSET($T$2,0,0,ROW()-1,14),ROW()-1,FALSE))</x:f>
        <x:v>86.266773000000001</x:v>
      </x:c>
      <x:c r="I427">
        <x:f ca="1">IF(AND($B$1012=1,LEN($I$1428)&gt;0),$I$1428,HLOOKUP(INDIRECT(ADDRESS(2,COLUMN())),OFFSET($T$2,0,0,ROW()-1,14),ROW()-1,FALSE))</x:f>
        <x:v>13.754047999999999</x:v>
      </x:c>
      <x:c r="J427">
        <x:f ca="1">IF(AND($B$1012=1,LEN($J$1428)&gt;0),$J$1428,HLOOKUP(INDIRECT(ADDRESS(2,COLUMN())),OFFSET($T$2,0,0,ROW()-1,14),ROW()-1,FALSE))</x:f>
        <x:v>0</x:v>
      </x:c>
      <x:c r="K427">
        <x:f ca="1">IF(AND($B$1012=1,LEN($K$1428)&gt;0),$K$1428,HLOOKUP(INDIRECT(ADDRESS(2,COLUMN())),OFFSET($T$2,0,0,ROW()-1,14),ROW()-1,FALSE))</x:f>
        <x:v>8.6509520000000002</x:v>
      </x:c>
      <x:c r="L427">
        <x:f ca="1">IF(AND($B$1012=1,LEN($L$1428)&gt;0),$L$1428,HLOOKUP(INDIRECT(ADDRESS(2,COLUMN())),OFFSET($T$2,0,0,ROW()-1,14),ROW()-1,FALSE))</x:f>
        <x:v>6.3803330000000003</x:v>
      </x:c>
      <x:c r="M427">
        <x:f ca="1">IF(AND($B$1012=1,LEN($M$1428)&gt;0),$M$1428,HLOOKUP(INDIRECT(ADDRESS(2,COLUMN())),OFFSET($T$2,0,0,ROW()-1,14),ROW()-1,FALSE))</x:f>
        <x:v>0.30149199999999998</x:v>
      </x:c>
      <x:c r="N427">
        <x:f ca="1">IF(AND($B$1012=1,LEN($N$1428)&gt;0),$N$1428,HLOOKUP(INDIRECT(ADDRESS(2,COLUMN())),OFFSET($T$2,0,0,ROW()-1,14),ROW()-1,FALSE))</x:f>
        <x:v>4.8076819999999998</x:v>
      </x:c>
      <x:c r="O427">
        <x:f ca="1">IF(AND($B$1012=1,LEN($O$1428)&gt;0),$O$1428,HLOOKUP(INDIRECT(ADDRESS(2,COLUMN())),OFFSET($T$2,0,0,ROW()-1,14),ROW()-1,FALSE))</x:f>
        <x:v>12.875555</x:v>
      </x:c>
      <x:c r="P427" t="str">
        <x:f ca="1">IF(AND($B$1012=1,LEN($P$1428)&gt;0),$P$1428,HLOOKUP(INDIRECT(ADDRESS(2,COLUMN())),OFFSET($T$2,0,0,ROW()-1,14),ROW()-1,FALSE))</x:f>
        <x:v/>
      </x:c>
      <x:c r="Q427" t="str">
        <x:f ca="1">IF(AND($B$1012=1,LEN($Q$1428)&gt;0),$Q$1428,HLOOKUP(INDIRECT(ADDRESS(2,COLUMN())),OFFSET($T$2,0,0,ROW()-1,14),ROW()-1,FALSE))</x:f>
        <x:v/>
      </x:c>
      <x:c r="R427" t="str">
        <x:f ca="1">IF(AND($B$1012=1,LEN($R$1428)&gt;0),$R$1428,HLOOKUP(INDIRECT(ADDRESS(2,COLUMN())),OFFSET($T$2,0,0,ROW()-1,14),ROW()-1,FALSE))</x:f>
        <x:v/>
      </x:c>
      <x:c r="S427" t="str">
        <x:f ca="1">IF(AND($B$1012=1,LEN($S$1428)&gt;0),$S$1428,HLOOKUP(INDIRECT(ADDRESS(2,COLUMN())),OFFSET($T$2,0,0,ROW()-1,14),ROW()-1,FALSE))</x:f>
        <x:v/>
      </x:c>
      <x:c r="T427">
        <x:f>4.695136</x:f>
        <x:v>4.6951359999999998</x:v>
      </x:c>
      <x:c r="U427">
        <x:f>13.456592</x:f>
        <x:v>13.456592000000001</x:v>
      </x:c>
      <x:c r="V427">
        <x:f>86.266773</x:f>
        <x:v>86.266773000000001</x:v>
      </x:c>
      <x:c r="W427">
        <x:f>13.754048</x:f>
        <x:v>13.754047999999999</x:v>
      </x:c>
      <x:c r="X427">
        <x:f>0</x:f>
        <x:v>0</x:v>
      </x:c>
      <x:c r="Y427">
        <x:f>8.650952</x:f>
        <x:v>8.6509520000000002</x:v>
      </x:c>
      <x:c r="Z427">
        <x:f>6.380333</x:f>
        <x:v>6.3803330000000003</x:v>
      </x:c>
      <x:c r="AA427">
        <x:f>0.301492</x:f>
        <x:v>0.30149199999999998</x:v>
      </x:c>
      <x:c r="AB427">
        <x:f>4.807682</x:f>
        <x:v>4.8076819999999998</x:v>
      </x:c>
      <x:c r="AC427">
        <x:f>12.875555</x:f>
        <x:v>12.875555</x:v>
      </x:c>
      <x:c r="AD427" t="str">
        <x:f>""</x:f>
        <x:v/>
      </x:c>
      <x:c r="AE427" t="str">
        <x:f>""</x:f>
        <x:v/>
      </x:c>
      <x:c r="AF427" t="str">
        <x:f>""</x:f>
        <x:v/>
      </x:c>
      <x:c r="AG427" t="str">
        <x:f>""</x:f>
        <x:v/>
      </x:c>
    </x:row>
    <x:row r="428" spans="1:33" x14ac:dyDescent="0.25">
      <x:c r="A428" t="str">
        <x:f>"    Real Estate"</x:f>
        <x:v xml:space="preserve">    Real Estate</x:v>
      </x:c>
      <x:c r="B428" t="str">
        <x:f>""</x:f>
        <x:v/>
      </x:c>
      <x:c r="E428" t="str">
        <x:f>"Sum"</x:f>
        <x:v>Sum</x:v>
      </x:c>
      <x:c r="F428">
        <x:f ca="1">IF(ISERROR(IF(SUM($F$429:$F$499) = 0, "", SUM($F$429:$F$499))), "", (IF(SUM($F$429:$F$499) = 0, "", SUM($F$429:$F$499))))</x:f>
        <x:v>115.54005199999996</x:v>
      </x:c>
      <x:c r="G428">
        <x:f ca="1">IF(ISERROR(IF(SUM($G$429:$G$499) = 0, "", SUM($G$429:$G$499))), "", (IF(SUM($G$429:$G$499) = 0, "", SUM($G$429:$G$499))))</x:f>
        <x:v>100.50697799999995</x:v>
      </x:c>
      <x:c r="H428">
        <x:f ca="1">IF(ISERROR(IF(SUM($H$429:$H$499) = 0, "", SUM($H$429:$H$499))), "", (IF(SUM($H$429:$H$499) = 0, "", SUM($H$429:$H$499))))</x:f>
        <x:v>-127.94413999999998</x:v>
      </x:c>
      <x:c r="I428">
        <x:f ca="1">IF(ISERROR(IF(SUM($I$429:$I$499) = 0, "", SUM($I$429:$I$499))), "", (IF(SUM($I$429:$I$499) = 0, "", SUM($I$429:$I$499))))</x:f>
        <x:v>-278.13324600000004</x:v>
      </x:c>
      <x:c r="J428">
        <x:f ca="1">IF(ISERROR(IF(SUM($J$429:$J$499) = 0, "", SUM($J$429:$J$499))), "", (IF(SUM($J$429:$J$499) = 0, "", SUM($J$429:$J$499))))</x:f>
        <x:v>861.98260699999992</x:v>
      </x:c>
      <x:c r="K428">
        <x:f ca="1">IF(ISERROR(IF(SUM($K$429:$K$499) = 0, "", SUM($K$429:$K$499))), "", (IF(SUM($K$429:$K$499) = 0, "", SUM($K$429:$K$499))))</x:f>
        <x:v>237.423878</x:v>
      </x:c>
      <x:c r="L428">
        <x:f ca="1">IF(ISERROR(IF(SUM($L$429:$L$499) = 0, "", SUM($L$429:$L$499))), "", (IF(SUM($L$429:$L$499) = 0, "", SUM($L$429:$L$499))))</x:f>
        <x:v>-572.65690900000004</x:v>
      </x:c>
      <x:c r="M428">
        <x:f ca="1">IF(ISERROR(IF(SUM($M$429:$M$499) = 0, "", SUM($M$429:$M$499))), "", (IF(SUM($M$429:$M$499) = 0, "", SUM($M$429:$M$499))))</x:f>
        <x:v>-919.45608399999992</x:v>
      </x:c>
      <x:c r="N428">
        <x:f ca="1">IF(ISERROR(IF(SUM($N$429:$N$499) = 0, "", SUM($N$429:$N$499))), "", (IF(SUM($N$429:$N$499) = 0, "", SUM($N$429:$N$499))))</x:f>
        <x:v>-983.9827370000005</x:v>
      </x:c>
      <x:c r="O428">
        <x:f ca="1">IF(ISERROR(IF(SUM($O$429:$O$499) = 0, "", SUM($O$429:$O$499))), "", (IF(SUM($O$429:$O$499) = 0, "", SUM($O$429:$O$499))))</x:f>
        <x:v>-962.7949209999997</x:v>
      </x:c>
      <x:c r="P428">
        <x:f ca="1">IF(ISERROR(IF(SUM($P$429:$P$499) = 0, "", SUM($P$429:$P$499))), "", (IF(SUM($P$429:$P$499) = 0, "", SUM($P$429:$P$499))))</x:f>
        <x:v>-433.952741</x:v>
      </x:c>
      <x:c r="Q428">
        <x:f ca="1">IF(ISERROR(IF(SUM($Q$429:$Q$499) = 0, "", SUM($Q$429:$Q$499))), "", (IF(SUM($Q$429:$Q$499) = 0, "", SUM($Q$429:$Q$499))))</x:f>
        <x:v>618.36642500000016</x:v>
      </x:c>
      <x:c r="R428">
        <x:f ca="1">IF(ISERROR(IF(SUM($R$429:$R$499) = 0, "", SUM($R$429:$R$499))), "", (IF(SUM($R$429:$R$499) = 0, "", SUM($R$429:$R$499))))</x:f>
        <x:v>133.12127900000004</x:v>
      </x:c>
      <x:c r="S428">
        <x:f ca="1">IF(ISERROR(IF(SUM($S$429:$S$499) = 0, "", SUM($S$429:$S$499))), "", (IF(SUM($S$429:$S$499) = 0, "", SUM($S$429:$S$499))))</x:f>
        <x:v>-377.19703200000015</x:v>
      </x:c>
      <x:c r="T428">
        <x:f>115.540052</x:f>
        <x:v>115.540052</x:v>
      </x:c>
      <x:c r="U428">
        <x:f>100.506978</x:f>
        <x:v>100.506978</x:v>
      </x:c>
      <x:c r="V428">
        <x:f>-127.94414</x:f>
        <x:v>-127.94414</x:v>
      </x:c>
      <x:c r="W428">
        <x:f>-278.133246</x:f>
        <x:v>-278.13324599999999</x:v>
      </x:c>
      <x:c r="X428">
        <x:f>861.982607</x:f>
        <x:v>861.98260700000003</x:v>
      </x:c>
      <x:c r="Y428">
        <x:f>237.423878</x:f>
        <x:v>237.423878</x:v>
      </x:c>
      <x:c r="Z428">
        <x:f>-572.656909</x:f>
        <x:v>-572.65690900000004</x:v>
      </x:c>
      <x:c r="AA428">
        <x:f>-919.456084</x:f>
        <x:v>-919.45608400000003</x:v>
      </x:c>
      <x:c r="AB428">
        <x:f>-983.982737</x:f>
        <x:v>-983.98273700000004</x:v>
      </x:c>
      <x:c r="AC428">
        <x:f>-962.794921</x:f>
        <x:v>-962.79492100000004</x:v>
      </x:c>
      <x:c r="AD428">
        <x:f>-433.952741</x:f>
        <x:v>-433.952741</x:v>
      </x:c>
      <x:c r="AE428">
        <x:f>618.366425</x:f>
        <x:v>618.36642500000005</x:v>
      </x:c>
      <x:c r="AF428">
        <x:f>133.121279</x:f>
        <x:v>133.12127899999999</x:v>
      </x:c>
      <x:c r="AG428">
        <x:f>-377.197032</x:f>
        <x:v>-377.19703199999998</x:v>
      </x:c>
    </x:row>
    <x:row r="429" spans="1:33" x14ac:dyDescent="0.25">
      <x:c r="A429" t="str">
        <x:f>"        Vanguard Real Estate ETF"</x:f>
        <x:v xml:space="preserve">        Vanguard Real Estate ETF</x:v>
      </x:c>
      <x:c r="B429" t="str">
        <x:f>"VNQ US Equity"</x:f>
        <x:v>VNQ US Equity</x:v>
      </x:c>
      <x:c r="E429" t="str">
        <x:f t="shared" ref="E429:E460" si="14">"Expression"</x:f>
        <x:v>Expression</x:v>
      </x:c>
      <x:c r="F429">
        <x:f ca="1">IF(AND($B$1012=1,LEN($F$1429)&gt;0),$F$1429,HLOOKUP(INDIRECT(ADDRESS(2,COLUMN())),OFFSET($T$2,0,0,ROW()-1,14),ROW()-1,FALSE))</x:f>
        <x:v>-205.13541699999999</x:v>
      </x:c>
      <x:c r="G429">
        <x:f ca="1">IF(AND($B$1012=1,LEN($G$1429)&gt;0),$G$1429,HLOOKUP(INDIRECT(ADDRESS(2,COLUMN())),OFFSET($T$2,0,0,ROW()-1,14),ROW()-1,FALSE))</x:f>
        <x:v>-350.12151899999998</x:v>
      </x:c>
      <x:c r="H429">
        <x:f ca="1">IF(AND($B$1012=1,LEN($H$1429)&gt;0),$H$1429,HLOOKUP(INDIRECT(ADDRESS(2,COLUMN())),OFFSET($T$2,0,0,ROW()-1,14),ROW()-1,FALSE))</x:f>
        <x:v>-164.588584</x:v>
      </x:c>
      <x:c r="I429">
        <x:f ca="1">IF(AND($B$1012=1,LEN($I$1429)&gt;0),$I$1429,HLOOKUP(INDIRECT(ADDRESS(2,COLUMN())),OFFSET($T$2,0,0,ROW()-1,14),ROW()-1,FALSE))</x:f>
        <x:v>-209.63917900000001</x:v>
      </x:c>
      <x:c r="J429">
        <x:f ca="1">IF(AND($B$1012=1,LEN($J$1429)&gt;0),$J$1429,HLOOKUP(INDIRECT(ADDRESS(2,COLUMN())),OFFSET($T$2,0,0,ROW()-1,14),ROW()-1,FALSE))</x:f>
        <x:v>804.19608200000005</x:v>
      </x:c>
      <x:c r="K429">
        <x:f ca="1">IF(AND($B$1012=1,LEN($K$1429)&gt;0),$K$1429,HLOOKUP(INDIRECT(ADDRESS(2,COLUMN())),OFFSET($T$2,0,0,ROW()-1,14),ROW()-1,FALSE))</x:f>
        <x:v>-7.936763</x:v>
      </x:c>
      <x:c r="L429">
        <x:f ca="1">IF(AND($B$1012=1,LEN($L$1429)&gt;0),$L$1429,HLOOKUP(INDIRECT(ADDRESS(2,COLUMN())),OFFSET($T$2,0,0,ROW()-1,14),ROW()-1,FALSE))</x:f>
        <x:v>-577.31890999999996</x:v>
      </x:c>
      <x:c r="M429">
        <x:f ca="1">IF(AND($B$1012=1,LEN($M$1429)&gt;0),$M$1429,HLOOKUP(INDIRECT(ADDRESS(2,COLUMN())),OFFSET($T$2,0,0,ROW()-1,14),ROW()-1,FALSE))</x:f>
        <x:v>-150.57380900000001</x:v>
      </x:c>
      <x:c r="N429">
        <x:f ca="1">IF(AND($B$1012=1,LEN($N$1429)&gt;0),$N$1429,HLOOKUP(INDIRECT(ADDRESS(2,COLUMN())),OFFSET($T$2,0,0,ROW()-1,14),ROW()-1,FALSE))</x:f>
        <x:v>-554.43321700000001</x:v>
      </x:c>
      <x:c r="O429">
        <x:f ca="1">IF(AND($B$1012=1,LEN($O$1429)&gt;0),$O$1429,HLOOKUP(INDIRECT(ADDRESS(2,COLUMN())),OFFSET($T$2,0,0,ROW()-1,14),ROW()-1,FALSE))</x:f>
        <x:v>-244.63625099999999</x:v>
      </x:c>
      <x:c r="P429">
        <x:f ca="1">IF(AND($B$1012=1,LEN($P$1429)&gt;0),$P$1429,HLOOKUP(INDIRECT(ADDRESS(2,COLUMN())),OFFSET($T$2,0,0,ROW()-1,14),ROW()-1,FALSE))</x:f>
        <x:v>14.857986</x:v>
      </x:c>
      <x:c r="Q429">
        <x:f ca="1">IF(AND($B$1012=1,LEN($Q$1429)&gt;0),$Q$1429,HLOOKUP(INDIRECT(ADDRESS(2,COLUMN())),OFFSET($T$2,0,0,ROW()-1,14),ROW()-1,FALSE))</x:f>
        <x:v>-431.38185299999998</x:v>
      </x:c>
      <x:c r="R429">
        <x:f ca="1">IF(AND($B$1012=1,LEN($R$1429)&gt;0),$R$1429,HLOOKUP(INDIRECT(ADDRESS(2,COLUMN())),OFFSET($T$2,0,0,ROW()-1,14),ROW()-1,FALSE))</x:f>
        <x:v>275.97811000000002</x:v>
      </x:c>
      <x:c r="S429">
        <x:f ca="1">IF(AND($B$1012=1,LEN($S$1429)&gt;0),$S$1429,HLOOKUP(INDIRECT(ADDRESS(2,COLUMN())),OFFSET($T$2,0,0,ROW()-1,14),ROW()-1,FALSE))</x:f>
        <x:v>-397.59391900000003</x:v>
      </x:c>
      <x:c r="T429">
        <x:f>-205.135417</x:f>
        <x:v>-205.13541699999999</x:v>
      </x:c>
      <x:c r="U429">
        <x:f>-350.121519</x:f>
        <x:v>-350.12151899999998</x:v>
      </x:c>
      <x:c r="V429">
        <x:f>-164.588584</x:f>
        <x:v>-164.588584</x:v>
      </x:c>
      <x:c r="W429">
        <x:f>-209.639179</x:f>
        <x:v>-209.63917900000001</x:v>
      </x:c>
      <x:c r="X429">
        <x:f>804.196082</x:f>
        <x:v>804.19608200000005</x:v>
      </x:c>
      <x:c r="Y429">
        <x:f>-7.936763</x:f>
        <x:v>-7.936763</x:v>
      </x:c>
      <x:c r="Z429">
        <x:f>-577.31891</x:f>
        <x:v>-577.31890999999996</x:v>
      </x:c>
      <x:c r="AA429">
        <x:f>-150.573809</x:f>
        <x:v>-150.57380900000001</x:v>
      </x:c>
      <x:c r="AB429">
        <x:f>-554.433217</x:f>
        <x:v>-554.43321700000001</x:v>
      </x:c>
      <x:c r="AC429">
        <x:f>-244.636251</x:f>
        <x:v>-244.63625099999999</x:v>
      </x:c>
      <x:c r="AD429">
        <x:f>14.857986</x:f>
        <x:v>14.857986</x:v>
      </x:c>
      <x:c r="AE429">
        <x:f>-431.381853</x:f>
        <x:v>-431.38185299999998</x:v>
      </x:c>
      <x:c r="AF429">
        <x:f>275.97811</x:f>
        <x:v>275.97811000000002</x:v>
      </x:c>
      <x:c r="AG429">
        <x:f>-397.593919</x:f>
        <x:v>-397.59391900000003</x:v>
      </x:c>
    </x:row>
    <x:row r="430" spans="1:33" x14ac:dyDescent="0.25">
      <x:c r="A430" t="str">
        <x:f>"        iShares U.S. Real Estate ETF"</x:f>
        <x:v xml:space="preserve">        iShares U.S. Real Estate ETF</x:v>
      </x:c>
      <x:c r="B430" t="str">
        <x:f>"IYR US Equity"</x:f>
        <x:v>IYR US Equity</x:v>
      </x:c>
      <x:c r="E430" t="str">
        <x:f t="shared" si="14"/>
        <x:v>Expression</x:v>
      </x:c>
      <x:c r="F430">
        <x:f ca="1">IF(AND($B$1012=1,LEN($F$1430)&gt;0),$F$1430,HLOOKUP(INDIRECT(ADDRESS(2,COLUMN())),OFFSET($T$2,0,0,ROW()-1,14),ROW()-1,FALSE))</x:f>
        <x:v>72.233469999999997</x:v>
      </x:c>
      <x:c r="G430">
        <x:f ca="1">IF(AND($B$1012=1,LEN($G$1430)&gt;0),$G$1430,HLOOKUP(INDIRECT(ADDRESS(2,COLUMN())),OFFSET($T$2,0,0,ROW()-1,14),ROW()-1,FALSE))</x:f>
        <x:v>26.529287</x:v>
      </x:c>
      <x:c r="H430">
        <x:f ca="1">IF(AND($B$1012=1,LEN($H$1430)&gt;0),$H$1430,HLOOKUP(INDIRECT(ADDRESS(2,COLUMN())),OFFSET($T$2,0,0,ROW()-1,14),ROW()-1,FALSE))</x:f>
        <x:v>-57.980252999999998</x:v>
      </x:c>
      <x:c r="I430">
        <x:f ca="1">IF(AND($B$1012=1,LEN($I$1430)&gt;0),$I$1430,HLOOKUP(INDIRECT(ADDRESS(2,COLUMN())),OFFSET($T$2,0,0,ROW()-1,14),ROW()-1,FALSE))</x:f>
        <x:v>99.340490000000003</x:v>
      </x:c>
      <x:c r="J430">
        <x:f ca="1">IF(AND($B$1012=1,LEN($J$1430)&gt;0),$J$1430,HLOOKUP(INDIRECT(ADDRESS(2,COLUMN())),OFFSET($T$2,0,0,ROW()-1,14),ROW()-1,FALSE))</x:f>
        <x:v>-56.392004999999997</x:v>
      </x:c>
      <x:c r="K430">
        <x:f ca="1">IF(AND($B$1012=1,LEN($K$1430)&gt;0),$K$1430,HLOOKUP(INDIRECT(ADDRESS(2,COLUMN())),OFFSET($T$2,0,0,ROW()-1,14),ROW()-1,FALSE))</x:f>
        <x:v>-229.58998</x:v>
      </x:c>
      <x:c r="L430">
        <x:f ca="1">IF(AND($B$1012=1,LEN($L$1430)&gt;0),$L$1430,HLOOKUP(INDIRECT(ADDRESS(2,COLUMN())),OFFSET($T$2,0,0,ROW()-1,14),ROW()-1,FALSE))</x:f>
        <x:v>212.98005000000001</x:v>
      </x:c>
      <x:c r="M430">
        <x:f ca="1">IF(AND($B$1012=1,LEN($M$1430)&gt;0),$M$1430,HLOOKUP(INDIRECT(ADDRESS(2,COLUMN())),OFFSET($T$2,0,0,ROW()-1,14),ROW()-1,FALSE))</x:f>
        <x:v>-409.33882999999997</x:v>
      </x:c>
      <x:c r="N430">
        <x:f ca="1">IF(AND($B$1012=1,LEN($N$1430)&gt;0),$N$1430,HLOOKUP(INDIRECT(ADDRESS(2,COLUMN())),OFFSET($T$2,0,0,ROW()-1,14),ROW()-1,FALSE))</x:f>
        <x:v>-102.17034</x:v>
      </x:c>
      <x:c r="O430">
        <x:f ca="1">IF(AND($B$1012=1,LEN($O$1430)&gt;0),$O$1430,HLOOKUP(INDIRECT(ADDRESS(2,COLUMN())),OFFSET($T$2,0,0,ROW()-1,14),ROW()-1,FALSE))</x:f>
        <x:v>-262.47557499999999</x:v>
      </x:c>
      <x:c r="P430">
        <x:f ca="1">IF(AND($B$1012=1,LEN($P$1430)&gt;0),$P$1430,HLOOKUP(INDIRECT(ADDRESS(2,COLUMN())),OFFSET($T$2,0,0,ROW()-1,14),ROW()-1,FALSE))</x:f>
        <x:v>-267.42567500000001</x:v>
      </x:c>
      <x:c r="Q430">
        <x:f ca="1">IF(AND($B$1012=1,LEN($Q$1430)&gt;0),$Q$1430,HLOOKUP(INDIRECT(ADDRESS(2,COLUMN())),OFFSET($T$2,0,0,ROW()-1,14),ROW()-1,FALSE))</x:f>
        <x:v>740.67580499999997</x:v>
      </x:c>
      <x:c r="R430">
        <x:f ca="1">IF(AND($B$1012=1,LEN($R$1430)&gt;0),$R$1430,HLOOKUP(INDIRECT(ADDRESS(2,COLUMN())),OFFSET($T$2,0,0,ROW()-1,14),ROW()-1,FALSE))</x:f>
        <x:v>-370.00024999999999</x:v>
      </x:c>
      <x:c r="S430">
        <x:f ca="1">IF(AND($B$1012=1,LEN($S$1430)&gt;0),$S$1430,HLOOKUP(INDIRECT(ADDRESS(2,COLUMN())),OFFSET($T$2,0,0,ROW()-1,14),ROW()-1,FALSE))</x:f>
        <x:v>24.31439</x:v>
      </x:c>
      <x:c r="T430">
        <x:f>72.23347</x:f>
        <x:v>72.233469999999997</x:v>
      </x:c>
      <x:c r="U430">
        <x:f>26.529287</x:f>
        <x:v>26.529287</x:v>
      </x:c>
      <x:c r="V430">
        <x:f>-57.980253</x:f>
        <x:v>-57.980252999999998</x:v>
      </x:c>
      <x:c r="W430">
        <x:f>99.34049</x:f>
        <x:v>99.340490000000003</x:v>
      </x:c>
      <x:c r="X430">
        <x:f>-56.392005</x:f>
        <x:v>-56.392004999999997</x:v>
      </x:c>
      <x:c r="Y430">
        <x:f>-229.58998</x:f>
        <x:v>-229.58998</x:v>
      </x:c>
      <x:c r="Z430">
        <x:f>212.98005</x:f>
        <x:v>212.98005000000001</x:v>
      </x:c>
      <x:c r="AA430">
        <x:f>-409.33883</x:f>
        <x:v>-409.33882999999997</x:v>
      </x:c>
      <x:c r="AB430">
        <x:f>-102.17034</x:f>
        <x:v>-102.17034</x:v>
      </x:c>
      <x:c r="AC430">
        <x:f>-262.475575</x:f>
        <x:v>-262.47557499999999</x:v>
      </x:c>
      <x:c r="AD430">
        <x:f>-267.425675</x:f>
        <x:v>-267.42567500000001</x:v>
      </x:c>
      <x:c r="AE430">
        <x:f>740.675805</x:f>
        <x:v>740.67580499999997</x:v>
      </x:c>
      <x:c r="AF430">
        <x:f>-370.00025</x:f>
        <x:v>-370.00024999999999</x:v>
      </x:c>
      <x:c r="AG430">
        <x:f>24.31439</x:f>
        <x:v>24.31439</x:v>
      </x:c>
    </x:row>
    <x:row r="431" spans="1:33" x14ac:dyDescent="0.25">
      <x:c r="A431" t="str">
        <x:f>"        Vanguard Global ex-U.S. Real E"</x:f>
        <x:v xml:space="preserve">        Vanguard Global ex-U.S. Real E</x:v>
      </x:c>
      <x:c r="B431" t="str">
        <x:f>"VNQI US Equity"</x:f>
        <x:v>VNQI US Equity</x:v>
      </x:c>
      <x:c r="E431" t="str">
        <x:f t="shared" si="14"/>
        <x:v>Expression</x:v>
      </x:c>
      <x:c r="F431">
        <x:f ca="1">IF(AND($B$1012=1,LEN($F$1431)&gt;0),$F$1431,HLOOKUP(INDIRECT(ADDRESS(2,COLUMN())),OFFSET($T$2,0,0,ROW()-1,14),ROW()-1,FALSE))</x:f>
        <x:v>11.665798000000001</x:v>
      </x:c>
      <x:c r="G431">
        <x:f ca="1">IF(AND($B$1012=1,LEN($G$1431)&gt;0),$G$1431,HLOOKUP(INDIRECT(ADDRESS(2,COLUMN())),OFFSET($T$2,0,0,ROW()-1,14),ROW()-1,FALSE))</x:f>
        <x:v>-15.718</x:v>
      </x:c>
      <x:c r="H431">
        <x:f ca="1">IF(AND($B$1012=1,LEN($H$1431)&gt;0),$H$1431,HLOOKUP(INDIRECT(ADDRESS(2,COLUMN())),OFFSET($T$2,0,0,ROW()-1,14),ROW()-1,FALSE))</x:f>
        <x:v>-48.564754000000001</x:v>
      </x:c>
      <x:c r="I431">
        <x:f ca="1">IF(AND($B$1012=1,LEN($I$1431)&gt;0),$I$1431,HLOOKUP(INDIRECT(ADDRESS(2,COLUMN())),OFFSET($T$2,0,0,ROW()-1,14),ROW()-1,FALSE))</x:f>
        <x:v>1.0666020000000001</x:v>
      </x:c>
      <x:c r="J431">
        <x:f ca="1">IF(AND($B$1012=1,LEN($J$1431)&gt;0),$J$1431,HLOOKUP(INDIRECT(ADDRESS(2,COLUMN())),OFFSET($T$2,0,0,ROW()-1,14),ROW()-1,FALSE))</x:f>
        <x:v>8.6255310000000005</x:v>
      </x:c>
      <x:c r="K431">
        <x:f ca="1">IF(AND($B$1012=1,LEN($K$1431)&gt;0),$K$1431,HLOOKUP(INDIRECT(ADDRESS(2,COLUMN())),OFFSET($T$2,0,0,ROW()-1,14),ROW()-1,FALSE))</x:f>
        <x:v>-35.858164000000002</x:v>
      </x:c>
      <x:c r="L431">
        <x:f ca="1">IF(AND($B$1012=1,LEN($L$1431)&gt;0),$L$1431,HLOOKUP(INDIRECT(ADDRESS(2,COLUMN())),OFFSET($T$2,0,0,ROW()-1,14),ROW()-1,FALSE))</x:f>
        <x:v>-24.710346000000001</x:v>
      </x:c>
      <x:c r="M431">
        <x:f ca="1">IF(AND($B$1012=1,LEN($M$1431)&gt;0),$M$1431,HLOOKUP(INDIRECT(ADDRESS(2,COLUMN())),OFFSET($T$2,0,0,ROW()-1,14),ROW()-1,FALSE))</x:f>
        <x:v>-8.2879719999999999</x:v>
      </x:c>
      <x:c r="N431">
        <x:f ca="1">IF(AND($B$1012=1,LEN($N$1431)&gt;0),$N$1431,HLOOKUP(INDIRECT(ADDRESS(2,COLUMN())),OFFSET($T$2,0,0,ROW()-1,14),ROW()-1,FALSE))</x:f>
        <x:v>-8.2017129999999998</x:v>
      </x:c>
      <x:c r="O431">
        <x:f ca="1">IF(AND($B$1012=1,LEN($O$1431)&gt;0),$O$1431,HLOOKUP(INDIRECT(ADDRESS(2,COLUMN())),OFFSET($T$2,0,0,ROW()-1,14),ROW()-1,FALSE))</x:f>
        <x:v>1.0329E-2</x:v>
      </x:c>
      <x:c r="P431">
        <x:f ca="1">IF(AND($B$1012=1,LEN($P$1431)&gt;0),$P$1431,HLOOKUP(INDIRECT(ADDRESS(2,COLUMN())),OFFSET($T$2,0,0,ROW()-1,14),ROW()-1,FALSE))</x:f>
        <x:v>-41.780817999999996</x:v>
      </x:c>
      <x:c r="Q431">
        <x:f ca="1">IF(AND($B$1012=1,LEN($Q$1431)&gt;0),$Q$1431,HLOOKUP(INDIRECT(ADDRESS(2,COLUMN())),OFFSET($T$2,0,0,ROW()-1,14),ROW()-1,FALSE))</x:f>
        <x:v>12.675354</x:v>
      </x:c>
      <x:c r="R431">
        <x:f ca="1">IF(AND($B$1012=1,LEN($R$1431)&gt;0),$R$1431,HLOOKUP(INDIRECT(ADDRESS(2,COLUMN())),OFFSET($T$2,0,0,ROW()-1,14),ROW()-1,FALSE))</x:f>
        <x:v>3.9391000000000002E-2</x:v>
      </x:c>
      <x:c r="S431">
        <x:f ca="1">IF(AND($B$1012=1,LEN($S$1431)&gt;0),$S$1431,HLOOKUP(INDIRECT(ADDRESS(2,COLUMN())),OFFSET($T$2,0,0,ROW()-1,14),ROW()-1,FALSE))</x:f>
        <x:v>-33.637146000000001</x:v>
      </x:c>
      <x:c r="T431">
        <x:f>11.665798</x:f>
        <x:v>11.665798000000001</x:v>
      </x:c>
      <x:c r="U431">
        <x:f>-15.718</x:f>
        <x:v>-15.718</x:v>
      </x:c>
      <x:c r="V431">
        <x:f>-48.564754</x:f>
        <x:v>-48.564754000000001</x:v>
      </x:c>
      <x:c r="W431">
        <x:f>1.066602</x:f>
        <x:v>1.0666020000000001</x:v>
      </x:c>
      <x:c r="X431">
        <x:f>8.625531</x:f>
        <x:v>8.6255310000000005</x:v>
      </x:c>
      <x:c r="Y431">
        <x:f>-35.858164</x:f>
        <x:v>-35.858164000000002</x:v>
      </x:c>
      <x:c r="Z431">
        <x:f>-24.710346</x:f>
        <x:v>-24.710346000000001</x:v>
      </x:c>
      <x:c r="AA431">
        <x:f>-8.287972</x:f>
        <x:v>-8.2879719999999999</x:v>
      </x:c>
      <x:c r="AB431">
        <x:f>-8.201713</x:f>
        <x:v>-8.2017129999999998</x:v>
      </x:c>
      <x:c r="AC431">
        <x:f>0.010329</x:f>
        <x:v>1.0329E-2</x:v>
      </x:c>
      <x:c r="AD431">
        <x:f>-41.780818</x:f>
        <x:v>-41.780817999999996</x:v>
      </x:c>
      <x:c r="AE431">
        <x:f>12.675354</x:f>
        <x:v>12.675354</x:v>
      </x:c>
      <x:c r="AF431">
        <x:f>0.039391</x:f>
        <x:v>3.9391000000000002E-2</x:v>
      </x:c>
      <x:c r="AG431">
        <x:f>-33.637146</x:f>
        <x:v>-33.637146000000001</x:v>
      </x:c>
    </x:row>
    <x:row r="432" spans="1:33" x14ac:dyDescent="0.25">
      <x:c r="A432" t="str">
        <x:f>"        SPDR Dow Jones International R"</x:f>
        <x:v xml:space="preserve">        SPDR Dow Jones International R</x:v>
      </x:c>
      <x:c r="B432" t="str">
        <x:f>"RWX US Equity"</x:f>
        <x:v>RWX US Equity</x:v>
      </x:c>
      <x:c r="E432" t="str">
        <x:f t="shared" si="14"/>
        <x:v>Expression</x:v>
      </x:c>
      <x:c r="F432">
        <x:f ca="1">IF(AND($B$1012=1,LEN($F$1432)&gt;0),$F$1432,HLOOKUP(INDIRECT(ADDRESS(2,COLUMN())),OFFSET($T$2,0,0,ROW()-1,14),ROW()-1,FALSE))</x:f>
        <x:v>-10.784106</x:v>
      </x:c>
      <x:c r="G432">
        <x:f ca="1">IF(AND($B$1012=1,LEN($G$1432)&gt;0),$G$1432,HLOOKUP(INDIRECT(ADDRESS(2,COLUMN())),OFFSET($T$2,0,0,ROW()-1,14),ROW()-1,FALSE))</x:f>
        <x:v>0</x:v>
      </x:c>
      <x:c r="H432">
        <x:f ca="1">IF(AND($B$1012=1,LEN($H$1432)&gt;0),$H$1432,HLOOKUP(INDIRECT(ADDRESS(2,COLUMN())),OFFSET($T$2,0,0,ROW()-1,14),ROW()-1,FALSE))</x:f>
        <x:v>-5.0053280000000004</x:v>
      </x:c>
      <x:c r="I432">
        <x:f ca="1">IF(AND($B$1012=1,LEN($I$1432)&gt;0),$I$1432,HLOOKUP(INDIRECT(ADDRESS(2,COLUMN())),OFFSET($T$2,0,0,ROW()-1,14),ROW()-1,FALSE))</x:f>
        <x:v>0</x:v>
      </x:c>
      <x:c r="J432">
        <x:f ca="1">IF(AND($B$1012=1,LEN($J$1432)&gt;0),$J$1432,HLOOKUP(INDIRECT(ADDRESS(2,COLUMN())),OFFSET($T$2,0,0,ROW()-1,14),ROW()-1,FALSE))</x:f>
        <x:v>-10.321103000000001</x:v>
      </x:c>
      <x:c r="K432">
        <x:f ca="1">IF(AND($B$1012=1,LEN($K$1432)&gt;0),$K$1432,HLOOKUP(INDIRECT(ADDRESS(2,COLUMN())),OFFSET($T$2,0,0,ROW()-1,14),ROW()-1,FALSE))</x:f>
        <x:v>-61.785659000000003</x:v>
      </x:c>
      <x:c r="L432">
        <x:f ca="1">IF(AND($B$1012=1,LEN($L$1432)&gt;0),$L$1432,HLOOKUP(INDIRECT(ADDRESS(2,COLUMN())),OFFSET($T$2,0,0,ROW()-1,14),ROW()-1,FALSE))</x:f>
        <x:v>0.112916</x:v>
      </x:c>
      <x:c r="M432">
        <x:f ca="1">IF(AND($B$1012=1,LEN($M$1432)&gt;0),$M$1432,HLOOKUP(INDIRECT(ADDRESS(2,COLUMN())),OFFSET($T$2,0,0,ROW()-1,14),ROW()-1,FALSE))</x:f>
        <x:v>-26.781590999999999</x:v>
      </x:c>
      <x:c r="N432">
        <x:f ca="1">IF(AND($B$1012=1,LEN($N$1432)&gt;0),$N$1432,HLOOKUP(INDIRECT(ADDRESS(2,COLUMN())),OFFSET($T$2,0,0,ROW()-1,14),ROW()-1,FALSE))</x:f>
        <x:v>-15.661379</x:v>
      </x:c>
      <x:c r="O432">
        <x:f ca="1">IF(AND($B$1012=1,LEN($O$1432)&gt;0),$O$1432,HLOOKUP(INDIRECT(ADDRESS(2,COLUMN())),OFFSET($T$2,0,0,ROW()-1,14),ROW()-1,FALSE))</x:f>
        <x:v>-2.8268409999999999</x:v>
      </x:c>
      <x:c r="P432">
        <x:f ca="1">IF(AND($B$1012=1,LEN($P$1432)&gt;0),$P$1432,HLOOKUP(INDIRECT(ADDRESS(2,COLUMN())),OFFSET($T$2,0,0,ROW()-1,14),ROW()-1,FALSE))</x:f>
        <x:v>11.292137</x:v>
      </x:c>
      <x:c r="Q432">
        <x:f ca="1">IF(AND($B$1012=1,LEN($Q$1432)&gt;0),$Q$1432,HLOOKUP(INDIRECT(ADDRESS(2,COLUMN())),OFFSET($T$2,0,0,ROW()-1,14),ROW()-1,FALSE))</x:f>
        <x:v>-25.623037</x:v>
      </x:c>
      <x:c r="R432">
        <x:f ca="1">IF(AND($B$1012=1,LEN($R$1432)&gt;0),$R$1432,HLOOKUP(INDIRECT(ADDRESS(2,COLUMN())),OFFSET($T$2,0,0,ROW()-1,14),ROW()-1,FALSE))</x:f>
        <x:v>-10.226115999999999</x:v>
      </x:c>
      <x:c r="S432">
        <x:f ca="1">IF(AND($B$1012=1,LEN($S$1432)&gt;0),$S$1432,HLOOKUP(INDIRECT(ADDRESS(2,COLUMN())),OFFSET($T$2,0,0,ROW()-1,14),ROW()-1,FALSE))</x:f>
        <x:v>-11.668048000000001</x:v>
      </x:c>
      <x:c r="T432">
        <x:f>-10.784106</x:f>
        <x:v>-10.784106</x:v>
      </x:c>
      <x:c r="U432">
        <x:f>0</x:f>
        <x:v>0</x:v>
      </x:c>
      <x:c r="V432">
        <x:f>-5.005328</x:f>
        <x:v>-5.0053280000000004</x:v>
      </x:c>
      <x:c r="W432">
        <x:f>0</x:f>
        <x:v>0</x:v>
      </x:c>
      <x:c r="X432">
        <x:f>-10.321103</x:f>
        <x:v>-10.321103000000001</x:v>
      </x:c>
      <x:c r="Y432">
        <x:f>-61.785659</x:f>
        <x:v>-61.785659000000003</x:v>
      </x:c>
      <x:c r="Z432">
        <x:f>0.112916</x:f>
        <x:v>0.112916</x:v>
      </x:c>
      <x:c r="AA432">
        <x:f>-26.781591</x:f>
        <x:v>-26.781590999999999</x:v>
      </x:c>
      <x:c r="AB432">
        <x:f>-15.661379</x:f>
        <x:v>-15.661379</x:v>
      </x:c>
      <x:c r="AC432">
        <x:f>-2.826841</x:f>
        <x:v>-2.8268409999999999</x:v>
      </x:c>
      <x:c r="AD432">
        <x:f>11.292137</x:f>
        <x:v>11.292137</x:v>
      </x:c>
      <x:c r="AE432">
        <x:f>-25.623037</x:f>
        <x:v>-25.623037</x:v>
      </x:c>
      <x:c r="AF432">
        <x:f>-10.226116</x:f>
        <x:v>-10.226115999999999</x:v>
      </x:c>
      <x:c r="AG432">
        <x:f>-11.668048</x:f>
        <x:v>-11.668048000000001</x:v>
      </x:c>
    </x:row>
    <x:row r="433" spans="1:33" x14ac:dyDescent="0.25">
      <x:c r="A433" t="str">
        <x:f>"        Schwab U.S. REIT ETF"</x:f>
        <x:v xml:space="preserve">        Schwab U.S. REIT ETF</x:v>
      </x:c>
      <x:c r="B433" t="str">
        <x:f>"SCHH US Equity"</x:f>
        <x:v>SCHH US Equity</x:v>
      </x:c>
      <x:c r="E433" t="str">
        <x:f t="shared" si="14"/>
        <x:v>Expression</x:v>
      </x:c>
      <x:c r="F433">
        <x:f ca="1">IF(AND($B$1012=1,LEN($F$1433)&gt;0),$F$1433,HLOOKUP(INDIRECT(ADDRESS(2,COLUMN())),OFFSET($T$2,0,0,ROW()-1,14),ROW()-1,FALSE))</x:f>
        <x:v>32.997160999999998</x:v>
      </x:c>
      <x:c r="G433">
        <x:f ca="1">IF(AND($B$1012=1,LEN($G$1433)&gt;0),$G$1433,HLOOKUP(INDIRECT(ADDRESS(2,COLUMN())),OFFSET($T$2,0,0,ROW()-1,14),ROW()-1,FALSE))</x:f>
        <x:v>188.24644499999999</x:v>
      </x:c>
      <x:c r="H433">
        <x:f ca="1">IF(AND($B$1012=1,LEN($H$1433)&gt;0),$H$1433,HLOOKUP(INDIRECT(ADDRESS(2,COLUMN())),OFFSET($T$2,0,0,ROW()-1,14),ROW()-1,FALSE))</x:f>
        <x:v>68.134906000000001</x:v>
      </x:c>
      <x:c r="I433">
        <x:f ca="1">IF(AND($B$1012=1,LEN($I$1433)&gt;0),$I$1433,HLOOKUP(INDIRECT(ADDRESS(2,COLUMN())),OFFSET($T$2,0,0,ROW()-1,14),ROW()-1,FALSE))</x:f>
        <x:v>6.4909290000000004</x:v>
      </x:c>
      <x:c r="J433">
        <x:f ca="1">IF(AND($B$1012=1,LEN($J$1433)&gt;0),$J$1433,HLOOKUP(INDIRECT(ADDRESS(2,COLUMN())),OFFSET($T$2,0,0,ROW()-1,14),ROW()-1,FALSE))</x:f>
        <x:v>38.386218999999997</x:v>
      </x:c>
      <x:c r="K433">
        <x:f ca="1">IF(AND($B$1012=1,LEN($K$1433)&gt;0),$K$1433,HLOOKUP(INDIRECT(ADDRESS(2,COLUMN())),OFFSET($T$2,0,0,ROW()-1,14),ROW()-1,FALSE))</x:f>
        <x:v>64.240517999999994</x:v>
      </x:c>
      <x:c r="L433">
        <x:f ca="1">IF(AND($B$1012=1,LEN($L$1433)&gt;0),$L$1433,HLOOKUP(INDIRECT(ADDRESS(2,COLUMN())),OFFSET($T$2,0,0,ROW()-1,14),ROW()-1,FALSE))</x:f>
        <x:v>14.700944</x:v>
      </x:c>
      <x:c r="M433">
        <x:f ca="1">IF(AND($B$1012=1,LEN($M$1433)&gt;0),$M$1433,HLOOKUP(INDIRECT(ADDRESS(2,COLUMN())),OFFSET($T$2,0,0,ROW()-1,14),ROW()-1,FALSE))</x:f>
        <x:v>11.569402999999999</x:v>
      </x:c>
      <x:c r="N433">
        <x:f ca="1">IF(AND($B$1012=1,LEN($N$1433)&gt;0),$N$1433,HLOOKUP(INDIRECT(ADDRESS(2,COLUMN())),OFFSET($T$2,0,0,ROW()-1,14),ROW()-1,FALSE))</x:f>
        <x:v>116.408694</x:v>
      </x:c>
      <x:c r="O433">
        <x:f ca="1">IF(AND($B$1012=1,LEN($O$1433)&gt;0),$O$1433,HLOOKUP(INDIRECT(ADDRESS(2,COLUMN())),OFFSET($T$2,0,0,ROW()-1,14),ROW()-1,FALSE))</x:f>
        <x:v>0.15910099999999999</x:v>
      </x:c>
      <x:c r="P433">
        <x:f ca="1">IF(AND($B$1012=1,LEN($P$1433)&gt;0),$P$1433,HLOOKUP(INDIRECT(ADDRESS(2,COLUMN())),OFFSET($T$2,0,0,ROW()-1,14),ROW()-1,FALSE))</x:f>
        <x:v>-7.9348159999999996</x:v>
      </x:c>
      <x:c r="Q433">
        <x:f ca="1">IF(AND($B$1012=1,LEN($Q$1433)&gt;0),$Q$1433,HLOOKUP(INDIRECT(ADDRESS(2,COLUMN())),OFFSET($T$2,0,0,ROW()-1,14),ROW()-1,FALSE))</x:f>
        <x:v>30.461493000000001</x:v>
      </x:c>
      <x:c r="R433">
        <x:f ca="1">IF(AND($B$1012=1,LEN($R$1433)&gt;0),$R$1433,HLOOKUP(INDIRECT(ADDRESS(2,COLUMN())),OFFSET($T$2,0,0,ROW()-1,14),ROW()-1,FALSE))</x:f>
        <x:v>101.081596</x:v>
      </x:c>
      <x:c r="S433">
        <x:f ca="1">IF(AND($B$1012=1,LEN($S$1433)&gt;0),$S$1433,HLOOKUP(INDIRECT(ADDRESS(2,COLUMN())),OFFSET($T$2,0,0,ROW()-1,14),ROW()-1,FALSE))</x:f>
        <x:v>83.967982000000006</x:v>
      </x:c>
      <x:c r="T433">
        <x:f>32.997161</x:f>
        <x:v>32.997160999999998</x:v>
      </x:c>
      <x:c r="U433">
        <x:f>188.246445</x:f>
        <x:v>188.24644499999999</x:v>
      </x:c>
      <x:c r="V433">
        <x:f>68.134906</x:f>
        <x:v>68.134906000000001</x:v>
      </x:c>
      <x:c r="W433">
        <x:f>6.490929</x:f>
        <x:v>6.4909290000000004</x:v>
      </x:c>
      <x:c r="X433">
        <x:f>38.386219</x:f>
        <x:v>38.386218999999997</x:v>
      </x:c>
      <x:c r="Y433">
        <x:f>64.240518</x:f>
        <x:v>64.240517999999994</x:v>
      </x:c>
      <x:c r="Z433">
        <x:f>14.700944</x:f>
        <x:v>14.700944</x:v>
      </x:c>
      <x:c r="AA433">
        <x:f>11.569403</x:f>
        <x:v>11.569402999999999</x:v>
      </x:c>
      <x:c r="AB433">
        <x:f>116.408694</x:f>
        <x:v>116.408694</x:v>
      </x:c>
      <x:c r="AC433">
        <x:f>0.159101</x:f>
        <x:v>0.15910099999999999</x:v>
      </x:c>
      <x:c r="AD433">
        <x:f>-7.934816</x:f>
        <x:v>-7.9348159999999996</x:v>
      </x:c>
      <x:c r="AE433">
        <x:f>30.461493</x:f>
        <x:v>30.461493000000001</x:v>
      </x:c>
      <x:c r="AF433">
        <x:f>101.081596</x:f>
        <x:v>101.081596</x:v>
      </x:c>
      <x:c r="AG433">
        <x:f>83.967982</x:f>
        <x:v>83.967982000000006</x:v>
      </x:c>
    </x:row>
    <x:row r="434" spans="1:33" x14ac:dyDescent="0.25">
      <x:c r="A434" t="str">
        <x:f>"        iShares Cohen &amp; Steers REIT ET"</x:f>
        <x:v xml:space="preserve">        iShares Cohen &amp; Steers REIT ET</x:v>
      </x:c>
      <x:c r="B434" t="str">
        <x:f>"ICF US Equity"</x:f>
        <x:v>ICF US Equity</x:v>
      </x:c>
      <x:c r="E434" t="str">
        <x:f t="shared" si="14"/>
        <x:v>Expression</x:v>
      </x:c>
      <x:c r="F434">
        <x:f ca="1">IF(AND($B$1012=1,LEN($F$1434)&gt;0),$F$1434,HLOOKUP(INDIRECT(ADDRESS(2,COLUMN())),OFFSET($T$2,0,0,ROW()-1,14),ROW()-1,FALSE))</x:f>
        <x:v>-2.5458590000000001</x:v>
      </x:c>
      <x:c r="G434">
        <x:f ca="1">IF(AND($B$1012=1,LEN($G$1434)&gt;0),$G$1434,HLOOKUP(INDIRECT(ADDRESS(2,COLUMN())),OFFSET($T$2,0,0,ROW()-1,14),ROW()-1,FALSE))</x:f>
        <x:v>-141.99731199999999</x:v>
      </x:c>
      <x:c r="H434">
        <x:f ca="1">IF(AND($B$1012=1,LEN($H$1434)&gt;0),$H$1434,HLOOKUP(INDIRECT(ADDRESS(2,COLUMN())),OFFSET($T$2,0,0,ROW()-1,14),ROW()-1,FALSE))</x:f>
        <x:v>-7.955349</x:v>
      </x:c>
      <x:c r="I434">
        <x:f ca="1">IF(AND($B$1012=1,LEN($I$1434)&gt;0),$I$1434,HLOOKUP(INDIRECT(ADDRESS(2,COLUMN())),OFFSET($T$2,0,0,ROW()-1,14),ROW()-1,FALSE))</x:f>
        <x:v>-11.03542</x:v>
      </x:c>
      <x:c r="J434">
        <x:f ca="1">IF(AND($B$1012=1,LEN($J$1434)&gt;0),$J$1434,HLOOKUP(INDIRECT(ADDRESS(2,COLUMN())),OFFSET($T$2,0,0,ROW()-1,14),ROW()-1,FALSE))</x:f>
        <x:v>-16.898140000000001</x:v>
      </x:c>
      <x:c r="K434">
        <x:f ca="1">IF(AND($B$1012=1,LEN($K$1434)&gt;0),$K$1434,HLOOKUP(INDIRECT(ADDRESS(2,COLUMN())),OFFSET($T$2,0,0,ROW()-1,14),ROW()-1,FALSE))</x:f>
        <x:v>-13.753819999999999</x:v>
      </x:c>
      <x:c r="L434">
        <x:f ca="1">IF(AND($B$1012=1,LEN($L$1434)&gt;0),$L$1434,HLOOKUP(INDIRECT(ADDRESS(2,COLUMN())),OFFSET($T$2,0,0,ROW()-1,14),ROW()-1,FALSE))</x:f>
        <x:v>-18.707825</x:v>
      </x:c>
      <x:c r="M434">
        <x:f ca="1">IF(AND($B$1012=1,LEN($M$1434)&gt;0),$M$1434,HLOOKUP(INDIRECT(ADDRESS(2,COLUMN())),OFFSET($T$2,0,0,ROW()-1,14),ROW()-1,FALSE))</x:f>
        <x:v>-11.075735</x:v>
      </x:c>
      <x:c r="N434">
        <x:f ca="1">IF(AND($B$1012=1,LEN($N$1434)&gt;0),$N$1434,HLOOKUP(INDIRECT(ADDRESS(2,COLUMN())),OFFSET($T$2,0,0,ROW()-1,14),ROW()-1,FALSE))</x:f>
        <x:v>-5.6082999999999998</x:v>
      </x:c>
      <x:c r="O434">
        <x:f ca="1">IF(AND($B$1012=1,LEN($O$1434)&gt;0),$O$1434,HLOOKUP(INDIRECT(ADDRESS(2,COLUMN())),OFFSET($T$2,0,0,ROW()-1,14),ROW()-1,FALSE))</x:f>
        <x:v>-11.487</x:v>
      </x:c>
      <x:c r="P434">
        <x:f ca="1">IF(AND($B$1012=1,LEN($P$1434)&gt;0),$P$1434,HLOOKUP(INDIRECT(ADDRESS(2,COLUMN())),OFFSET($T$2,0,0,ROW()-1,14),ROW()-1,FALSE))</x:f>
        <x:v>33.561664999999998</x:v>
      </x:c>
      <x:c r="Q434">
        <x:f ca="1">IF(AND($B$1012=1,LEN($Q$1434)&gt;0),$Q$1434,HLOOKUP(INDIRECT(ADDRESS(2,COLUMN())),OFFSET($T$2,0,0,ROW()-1,14),ROW()-1,FALSE))</x:f>
        <x:v>41.76858</x:v>
      </x:c>
      <x:c r="R434">
        <x:f ca="1">IF(AND($B$1012=1,LEN($R$1434)&gt;0),$R$1434,HLOOKUP(INDIRECT(ADDRESS(2,COLUMN())),OFFSET($T$2,0,0,ROW()-1,14),ROW()-1,FALSE))</x:f>
        <x:v>3.0043600000000001</x:v>
      </x:c>
      <x:c r="S434">
        <x:f ca="1">IF(AND($B$1012=1,LEN($S$1434)&gt;0),$S$1434,HLOOKUP(INDIRECT(ADDRESS(2,COLUMN())),OFFSET($T$2,0,0,ROW()-1,14),ROW()-1,FALSE))</x:f>
        <x:v>-63.127090000000003</x:v>
      </x:c>
      <x:c r="T434">
        <x:f>-2.545859</x:f>
        <x:v>-2.5458590000000001</x:v>
      </x:c>
      <x:c r="U434">
        <x:f>-141.997312</x:f>
        <x:v>-141.99731199999999</x:v>
      </x:c>
      <x:c r="V434">
        <x:f>-7.955349</x:f>
        <x:v>-7.955349</x:v>
      </x:c>
      <x:c r="W434">
        <x:f>-11.03542</x:f>
        <x:v>-11.03542</x:v>
      </x:c>
      <x:c r="X434">
        <x:f>-16.89814</x:f>
        <x:v>-16.898140000000001</x:v>
      </x:c>
      <x:c r="Y434">
        <x:f>-13.75382</x:f>
        <x:v>-13.753819999999999</x:v>
      </x:c>
      <x:c r="Z434">
        <x:f>-18.707825</x:f>
        <x:v>-18.707825</x:v>
      </x:c>
      <x:c r="AA434">
        <x:f>-11.075735</x:f>
        <x:v>-11.075735</x:v>
      </x:c>
      <x:c r="AB434">
        <x:f>-5.6083</x:f>
        <x:v>-5.6082999999999998</x:v>
      </x:c>
      <x:c r="AC434">
        <x:f>-11.487</x:f>
        <x:v>-11.487</x:v>
      </x:c>
      <x:c r="AD434">
        <x:f>33.561665</x:f>
        <x:v>33.561664999999998</x:v>
      </x:c>
      <x:c r="AE434">
        <x:f>41.76858</x:f>
        <x:v>41.76858</x:v>
      </x:c>
      <x:c r="AF434">
        <x:f>3.00436</x:f>
        <x:v>3.0043600000000001</x:v>
      </x:c>
      <x:c r="AG434">
        <x:f>-63.12709</x:f>
        <x:v>-63.127090000000003</x:v>
      </x:c>
    </x:row>
    <x:row r="435" spans="1:33" x14ac:dyDescent="0.25">
      <x:c r="A435" t="str">
        <x:f>"        SPDR Dow Jones REIT ETF"</x:f>
        <x:v xml:space="preserve">        SPDR Dow Jones REIT ETF</x:v>
      </x:c>
      <x:c r="B435" t="str">
        <x:f>"RWR US Equity"</x:f>
        <x:v>RWR US Equity</x:v>
      </x:c>
      <x:c r="E435" t="str">
        <x:f t="shared" si="14"/>
        <x:v>Expression</x:v>
      </x:c>
      <x:c r="F435">
        <x:f ca="1">IF(AND($B$1012=1,LEN($F$1435)&gt;0),$F$1435,HLOOKUP(INDIRECT(ADDRESS(2,COLUMN())),OFFSET($T$2,0,0,ROW()-1,14),ROW()-1,FALSE))</x:f>
        <x:v>-17.242971000000001</x:v>
      </x:c>
      <x:c r="G435">
        <x:f ca="1">IF(AND($B$1012=1,LEN($G$1435)&gt;0),$G$1435,HLOOKUP(INDIRECT(ADDRESS(2,COLUMN())),OFFSET($T$2,0,0,ROW()-1,14),ROW()-1,FALSE))</x:f>
        <x:v>7.8419020000000002</x:v>
      </x:c>
      <x:c r="H435">
        <x:f ca="1">IF(AND($B$1012=1,LEN($H$1435)&gt;0),$H$1435,HLOOKUP(INDIRECT(ADDRESS(2,COLUMN())),OFFSET($T$2,0,0,ROW()-1,14),ROW()-1,FALSE))</x:f>
        <x:v>4.4563119999999996</x:v>
      </x:c>
      <x:c r="I435">
        <x:f ca="1">IF(AND($B$1012=1,LEN($I$1435)&gt;0),$I$1435,HLOOKUP(INDIRECT(ADDRESS(2,COLUMN())),OFFSET($T$2,0,0,ROW()-1,14),ROW()-1,FALSE))</x:f>
        <x:v>11.642383000000001</x:v>
      </x:c>
      <x:c r="J435">
        <x:f ca="1">IF(AND($B$1012=1,LEN($J$1435)&gt;0),$J$1435,HLOOKUP(INDIRECT(ADDRESS(2,COLUMN())),OFFSET($T$2,0,0,ROW()-1,14),ROW()-1,FALSE))</x:f>
        <x:v>1.2977700000000001</x:v>
      </x:c>
      <x:c r="K435">
        <x:f ca="1">IF(AND($B$1012=1,LEN($K$1435)&gt;0),$K$1435,HLOOKUP(INDIRECT(ADDRESS(2,COLUMN())),OFFSET($T$2,0,0,ROW()-1,14),ROW()-1,FALSE))</x:f>
        <x:v>18.482284</x:v>
      </x:c>
      <x:c r="L435">
        <x:f ca="1">IF(AND($B$1012=1,LEN($L$1435)&gt;0),$L$1435,HLOOKUP(INDIRECT(ADDRESS(2,COLUMN())),OFFSET($T$2,0,0,ROW()-1,14),ROW()-1,FALSE))</x:f>
        <x:v>-98.699520000000007</x:v>
      </x:c>
      <x:c r="M435">
        <x:f ca="1">IF(AND($B$1012=1,LEN($M$1435)&gt;0),$M$1435,HLOOKUP(INDIRECT(ADDRESS(2,COLUMN())),OFFSET($T$2,0,0,ROW()-1,14),ROW()-1,FALSE))</x:f>
        <x:v>-52.950690999999999</x:v>
      </x:c>
      <x:c r="N435">
        <x:f ca="1">IF(AND($B$1012=1,LEN($N$1435)&gt;0),$N$1435,HLOOKUP(INDIRECT(ADDRESS(2,COLUMN())),OFFSET($T$2,0,0,ROW()-1,14),ROW()-1,FALSE))</x:f>
        <x:v>-59.197637</x:v>
      </x:c>
      <x:c r="O435">
        <x:f ca="1">IF(AND($B$1012=1,LEN($O$1435)&gt;0),$O$1435,HLOOKUP(INDIRECT(ADDRESS(2,COLUMN())),OFFSET($T$2,0,0,ROW()-1,14),ROW()-1,FALSE))</x:f>
        <x:v>6.2012239999999998</x:v>
      </x:c>
      <x:c r="P435">
        <x:f ca="1">IF(AND($B$1012=1,LEN($P$1435)&gt;0),$P$1435,HLOOKUP(INDIRECT(ADDRESS(2,COLUMN())),OFFSET($T$2,0,0,ROW()-1,14),ROW()-1,FALSE))</x:f>
        <x:v>-26.031583999999999</x:v>
      </x:c>
      <x:c r="Q435">
        <x:f ca="1">IF(AND($B$1012=1,LEN($Q$1435)&gt;0),$Q$1435,HLOOKUP(INDIRECT(ADDRESS(2,COLUMN())),OFFSET($T$2,0,0,ROW()-1,14),ROW()-1,FALSE))</x:f>
        <x:v>-6.2683150000000003</x:v>
      </x:c>
      <x:c r="R435">
        <x:f ca="1">IF(AND($B$1012=1,LEN($R$1435)&gt;0),$R$1435,HLOOKUP(INDIRECT(ADDRESS(2,COLUMN())),OFFSET($T$2,0,0,ROW()-1,14),ROW()-1,FALSE))</x:f>
        <x:v>-6.25284</x:v>
      </x:c>
      <x:c r="S435">
        <x:f ca="1">IF(AND($B$1012=1,LEN($S$1435)&gt;0),$S$1435,HLOOKUP(INDIRECT(ADDRESS(2,COLUMN())),OFFSET($T$2,0,0,ROW()-1,14),ROW()-1,FALSE))</x:f>
        <x:v>5.1635910000000003</x:v>
      </x:c>
      <x:c r="T435">
        <x:f>-17.242971</x:f>
        <x:v>-17.242971000000001</x:v>
      </x:c>
      <x:c r="U435">
        <x:f>7.841902</x:f>
        <x:v>7.8419020000000002</x:v>
      </x:c>
      <x:c r="V435">
        <x:f>4.456312</x:f>
        <x:v>4.4563119999999996</x:v>
      </x:c>
      <x:c r="W435">
        <x:f>11.642383</x:f>
        <x:v>11.642383000000001</x:v>
      </x:c>
      <x:c r="X435">
        <x:f>1.29777</x:f>
        <x:v>1.2977700000000001</x:v>
      </x:c>
      <x:c r="Y435">
        <x:f>18.482284</x:f>
        <x:v>18.482284</x:v>
      </x:c>
      <x:c r="Z435">
        <x:f>-98.69952</x:f>
        <x:v>-98.699520000000007</x:v>
      </x:c>
      <x:c r="AA435">
        <x:f>-52.950691</x:f>
        <x:v>-52.950690999999999</x:v>
      </x:c>
      <x:c r="AB435">
        <x:f>-59.197637</x:f>
        <x:v>-59.197637</x:v>
      </x:c>
      <x:c r="AC435">
        <x:f>6.201224</x:f>
        <x:v>6.2012239999999998</x:v>
      </x:c>
      <x:c r="AD435">
        <x:f>-26.031584</x:f>
        <x:v>-26.031583999999999</x:v>
      </x:c>
      <x:c r="AE435">
        <x:f>-6.268315</x:f>
        <x:v>-6.2683150000000003</x:v>
      </x:c>
      <x:c r="AF435">
        <x:f>-6.25284</x:f>
        <x:v>-6.25284</x:v>
      </x:c>
      <x:c r="AG435">
        <x:f>5.163591</x:f>
        <x:v>5.1635910000000003</x:v>
      </x:c>
    </x:row>
    <x:row r="436" spans="1:33" x14ac:dyDescent="0.25">
      <x:c r="A436" t="str">
        <x:f>"        SPDR Dow Jones Global Real Est"</x:f>
        <x:v xml:space="preserve">        SPDR Dow Jones Global Real Est</x:v>
      </x:c>
      <x:c r="B436" t="str">
        <x:f>"RWO US Equity"</x:f>
        <x:v>RWO US Equity</x:v>
      </x:c>
      <x:c r="E436" t="str">
        <x:f t="shared" si="14"/>
        <x:v>Expression</x:v>
      </x:c>
      <x:c r="F436">
        <x:f ca="1">IF(AND($B$1012=1,LEN($F$1436)&gt;0),$F$1436,HLOOKUP(INDIRECT(ADDRESS(2,COLUMN())),OFFSET($T$2,0,0,ROW()-1,14),ROW()-1,FALSE))</x:f>
        <x:v>0</x:v>
      </x:c>
      <x:c r="G436">
        <x:f ca="1">IF(AND($B$1012=1,LEN($G$1436)&gt;0),$G$1436,HLOOKUP(INDIRECT(ADDRESS(2,COLUMN())),OFFSET($T$2,0,0,ROW()-1,14),ROW()-1,FALSE))</x:f>
        <x:v>3.7123979999999999</x:v>
      </x:c>
      <x:c r="H436">
        <x:f ca="1">IF(AND($B$1012=1,LEN($H$1436)&gt;0),$H$1436,HLOOKUP(INDIRECT(ADDRESS(2,COLUMN())),OFFSET($T$2,0,0,ROW()-1,14),ROW()-1,FALSE))</x:f>
        <x:v>-9.6382200000000005</x:v>
      </x:c>
      <x:c r="I436">
        <x:f ca="1">IF(AND($B$1012=1,LEN($I$1436)&gt;0),$I$1436,HLOOKUP(INDIRECT(ADDRESS(2,COLUMN())),OFFSET($T$2,0,0,ROW()-1,14),ROW()-1,FALSE))</x:f>
        <x:v>-14.517979</x:v>
      </x:c>
      <x:c r="J436">
        <x:f ca="1">IF(AND($B$1012=1,LEN($J$1436)&gt;0),$J$1436,HLOOKUP(INDIRECT(ADDRESS(2,COLUMN())),OFFSET($T$2,0,0,ROW()-1,14),ROW()-1,FALSE))</x:f>
        <x:v>-10.88325</x:v>
      </x:c>
      <x:c r="K436">
        <x:f ca="1">IF(AND($B$1012=1,LEN($K$1436)&gt;0),$K$1436,HLOOKUP(INDIRECT(ADDRESS(2,COLUMN())),OFFSET($T$2,0,0,ROW()-1,14),ROW()-1,FALSE))</x:f>
        <x:v>-12.228165000000001</x:v>
      </x:c>
      <x:c r="L436">
        <x:f ca="1">IF(AND($B$1012=1,LEN($L$1436)&gt;0),$L$1436,HLOOKUP(INDIRECT(ADDRESS(2,COLUMN())),OFFSET($T$2,0,0,ROW()-1,14),ROW()-1,FALSE))</x:f>
        <x:v>-22.866230000000002</x:v>
      </x:c>
      <x:c r="M436">
        <x:f ca="1">IF(AND($B$1012=1,LEN($M$1436)&gt;0),$M$1436,HLOOKUP(INDIRECT(ADDRESS(2,COLUMN())),OFFSET($T$2,0,0,ROW()-1,14),ROW()-1,FALSE))</x:f>
        <x:v>14.390293</x:v>
      </x:c>
      <x:c r="N436">
        <x:f ca="1">IF(AND($B$1012=1,LEN($N$1436)&gt;0),$N$1436,HLOOKUP(INDIRECT(ADDRESS(2,COLUMN())),OFFSET($T$2,0,0,ROW()-1,14),ROW()-1,FALSE))</x:f>
        <x:v>2.0217200000000002</x:v>
      </x:c>
      <x:c r="O436">
        <x:f ca="1">IF(AND($B$1012=1,LEN($O$1436)&gt;0),$O$1436,HLOOKUP(INDIRECT(ADDRESS(2,COLUMN())),OFFSET($T$2,0,0,ROW()-1,14),ROW()-1,FALSE))</x:f>
        <x:v>20.024542</x:v>
      </x:c>
      <x:c r="P436">
        <x:f ca="1">IF(AND($B$1012=1,LEN($P$1436)&gt;0),$P$1436,HLOOKUP(INDIRECT(ADDRESS(2,COLUMN())),OFFSET($T$2,0,0,ROW()-1,14),ROW()-1,FALSE))</x:f>
        <x:v>22.742946</x:v>
      </x:c>
      <x:c r="Q436">
        <x:f ca="1">IF(AND($B$1012=1,LEN($Q$1436)&gt;0),$Q$1436,HLOOKUP(INDIRECT(ADDRESS(2,COLUMN())),OFFSET($T$2,0,0,ROW()-1,14),ROW()-1,FALSE))</x:f>
        <x:v>19.050422999999999</x:v>
      </x:c>
      <x:c r="R436">
        <x:f ca="1">IF(AND($B$1012=1,LEN($R$1436)&gt;0),$R$1436,HLOOKUP(INDIRECT(ADDRESS(2,COLUMN())),OFFSET($T$2,0,0,ROW()-1,14),ROW()-1,FALSE))</x:f>
        <x:v>16.154506999999999</x:v>
      </x:c>
      <x:c r="S436">
        <x:f ca="1">IF(AND($B$1012=1,LEN($S$1436)&gt;0),$S$1436,HLOOKUP(INDIRECT(ADDRESS(2,COLUMN())),OFFSET($T$2,0,0,ROW()-1,14),ROW()-1,FALSE))</x:f>
        <x:v>34.600130999999998</x:v>
      </x:c>
      <x:c r="T436">
        <x:f>0</x:f>
        <x:v>0</x:v>
      </x:c>
      <x:c r="U436">
        <x:f>3.712398</x:f>
        <x:v>3.7123979999999999</x:v>
      </x:c>
      <x:c r="V436">
        <x:f>-9.63822</x:f>
        <x:v>-9.6382200000000005</x:v>
      </x:c>
      <x:c r="W436">
        <x:f>-14.517979</x:f>
        <x:v>-14.517979</x:v>
      </x:c>
      <x:c r="X436">
        <x:f>-10.88325</x:f>
        <x:v>-10.88325</x:v>
      </x:c>
      <x:c r="Y436">
        <x:f>-12.228165</x:f>
        <x:v>-12.228165000000001</x:v>
      </x:c>
      <x:c r="Z436">
        <x:f>-22.86623</x:f>
        <x:v>-22.866230000000002</x:v>
      </x:c>
      <x:c r="AA436">
        <x:f>14.390293</x:f>
        <x:v>14.390293</x:v>
      </x:c>
      <x:c r="AB436">
        <x:f>2.02172</x:f>
        <x:v>2.0217200000000002</x:v>
      </x:c>
      <x:c r="AC436">
        <x:f>20.024542</x:f>
        <x:v>20.024542</x:v>
      </x:c>
      <x:c r="AD436">
        <x:f>22.742946</x:f>
        <x:v>22.742946</x:v>
      </x:c>
      <x:c r="AE436">
        <x:f>19.050423</x:f>
        <x:v>19.050422999999999</x:v>
      </x:c>
      <x:c r="AF436">
        <x:f>16.154507</x:f>
        <x:v>16.154506999999999</x:v>
      </x:c>
      <x:c r="AG436">
        <x:f>34.600131</x:f>
        <x:v>34.600130999999998</x:v>
      </x:c>
    </x:row>
    <x:row r="437" spans="1:33" x14ac:dyDescent="0.25">
      <x:c r="A437" t="str">
        <x:f>"        Real Estate Select Sector SPDR"</x:f>
        <x:v xml:space="preserve">        Real Estate Select Sector SPDR</x:v>
      </x:c>
      <x:c r="B437" t="str">
        <x:f>"XLRE US Equity"</x:f>
        <x:v>XLRE US Equity</x:v>
      </x:c>
      <x:c r="E437" t="str">
        <x:f t="shared" si="14"/>
        <x:v>Expression</x:v>
      </x:c>
      <x:c r="F437">
        <x:f ca="1">IF(AND($B$1012=1,LEN($F$1437)&gt;0),$F$1437,HLOOKUP(INDIRECT(ADDRESS(2,COLUMN())),OFFSET($T$2,0,0,ROW()-1,14),ROW()-1,FALSE))</x:f>
        <x:v>124.17433699999999</x:v>
      </x:c>
      <x:c r="G437">
        <x:f ca="1">IF(AND($B$1012=1,LEN($G$1437)&gt;0),$G$1437,HLOOKUP(INDIRECT(ADDRESS(2,COLUMN())),OFFSET($T$2,0,0,ROW()-1,14),ROW()-1,FALSE))</x:f>
        <x:v>148.94129899999999</x:v>
      </x:c>
      <x:c r="H437">
        <x:f ca="1">IF(AND($B$1012=1,LEN($H$1437)&gt;0),$H$1437,HLOOKUP(INDIRECT(ADDRESS(2,COLUMN())),OFFSET($T$2,0,0,ROW()-1,14),ROW()-1,FALSE))</x:f>
        <x:v>-48.212465999999999</x:v>
      </x:c>
      <x:c r="I437">
        <x:f ca="1">IF(AND($B$1012=1,LEN($I$1437)&gt;0),$I$1437,HLOOKUP(INDIRECT(ADDRESS(2,COLUMN())),OFFSET($T$2,0,0,ROW()-1,14),ROW()-1,FALSE))</x:f>
        <x:v>-104.761585</x:v>
      </x:c>
      <x:c r="J437">
        <x:f ca="1">IF(AND($B$1012=1,LEN($J$1437)&gt;0),$J$1437,HLOOKUP(INDIRECT(ADDRESS(2,COLUMN())),OFFSET($T$2,0,0,ROW()-1,14),ROW()-1,FALSE))</x:f>
        <x:v>36.215651000000001</x:v>
      </x:c>
      <x:c r="K437">
        <x:f ca="1">IF(AND($B$1012=1,LEN($K$1437)&gt;0),$K$1437,HLOOKUP(INDIRECT(ADDRESS(2,COLUMN())),OFFSET($T$2,0,0,ROW()-1,14),ROW()-1,FALSE))</x:f>
        <x:v>187.64095</x:v>
      </x:c>
      <x:c r="L437">
        <x:f ca="1">IF(AND($B$1012=1,LEN($L$1437)&gt;0),$L$1437,HLOOKUP(INDIRECT(ADDRESS(2,COLUMN())),OFFSET($T$2,0,0,ROW()-1,14),ROW()-1,FALSE))</x:f>
        <x:v>-73.196347000000003</x:v>
      </x:c>
      <x:c r="M437">
        <x:f ca="1">IF(AND($B$1012=1,LEN($M$1437)&gt;0),$M$1437,HLOOKUP(INDIRECT(ADDRESS(2,COLUMN())),OFFSET($T$2,0,0,ROW()-1,14),ROW()-1,FALSE))</x:f>
        <x:v>-152.04084700000001</x:v>
      </x:c>
      <x:c r="N437">
        <x:f ca="1">IF(AND($B$1012=1,LEN($N$1437)&gt;0),$N$1437,HLOOKUP(INDIRECT(ADDRESS(2,COLUMN())),OFFSET($T$2,0,0,ROW()-1,14),ROW()-1,FALSE))</x:f>
        <x:v>-100.611603</x:v>
      </x:c>
      <x:c r="O437">
        <x:f ca="1">IF(AND($B$1012=1,LEN($O$1437)&gt;0),$O$1437,HLOOKUP(INDIRECT(ADDRESS(2,COLUMN())),OFFSET($T$2,0,0,ROW()-1,14),ROW()-1,FALSE))</x:f>
        <x:v>-152.222623</x:v>
      </x:c>
      <x:c r="P437">
        <x:f ca="1">IF(AND($B$1012=1,LEN($P$1437)&gt;0),$P$1437,HLOOKUP(INDIRECT(ADDRESS(2,COLUMN())),OFFSET($T$2,0,0,ROW()-1,14),ROW()-1,FALSE))</x:f>
        <x:v>-82.429107999999999</x:v>
      </x:c>
      <x:c r="Q437">
        <x:f ca="1">IF(AND($B$1012=1,LEN($Q$1437)&gt;0),$Q$1437,HLOOKUP(INDIRECT(ADDRESS(2,COLUMN())),OFFSET($T$2,0,0,ROW()-1,14),ROW()-1,FALSE))</x:f>
        <x:v>150.54834500000001</x:v>
      </x:c>
      <x:c r="R437">
        <x:f ca="1">IF(AND($B$1012=1,LEN($R$1437)&gt;0),$R$1437,HLOOKUP(INDIRECT(ADDRESS(2,COLUMN())),OFFSET($T$2,0,0,ROW()-1,14),ROW()-1,FALSE))</x:f>
        <x:v>8.0744520000000009</x:v>
      </x:c>
      <x:c r="S437">
        <x:f ca="1">IF(AND($B$1012=1,LEN($S$1437)&gt;0),$S$1437,HLOOKUP(INDIRECT(ADDRESS(2,COLUMN())),OFFSET($T$2,0,0,ROW()-1,14),ROW()-1,FALSE))</x:f>
        <x:v>24.980156000000001</x:v>
      </x:c>
      <x:c r="T437">
        <x:f>124.174337</x:f>
        <x:v>124.17433699999999</x:v>
      </x:c>
      <x:c r="U437">
        <x:f>148.941299</x:f>
        <x:v>148.94129899999999</x:v>
      </x:c>
      <x:c r="V437">
        <x:f>-48.212466</x:f>
        <x:v>-48.212465999999999</x:v>
      </x:c>
      <x:c r="W437">
        <x:f>-104.761585</x:f>
        <x:v>-104.761585</x:v>
      </x:c>
      <x:c r="X437">
        <x:f>36.215651</x:f>
        <x:v>36.215651000000001</x:v>
      </x:c>
      <x:c r="Y437">
        <x:f>187.64095</x:f>
        <x:v>187.64095</x:v>
      </x:c>
      <x:c r="Z437">
        <x:f>-73.196347</x:f>
        <x:v>-73.196347000000003</x:v>
      </x:c>
      <x:c r="AA437">
        <x:f>-152.040847</x:f>
        <x:v>-152.04084700000001</x:v>
      </x:c>
      <x:c r="AB437">
        <x:f>-100.611603</x:f>
        <x:v>-100.611603</x:v>
      </x:c>
      <x:c r="AC437">
        <x:f>-152.222623</x:f>
        <x:v>-152.222623</x:v>
      </x:c>
      <x:c r="AD437">
        <x:f>-82.429108</x:f>
        <x:v>-82.429107999999999</x:v>
      </x:c>
      <x:c r="AE437">
        <x:f>150.548345</x:f>
        <x:v>150.54834500000001</x:v>
      </x:c>
      <x:c r="AF437">
        <x:f>8.074452</x:f>
        <x:v>8.0744520000000009</x:v>
      </x:c>
      <x:c r="AG437">
        <x:f>24.980156</x:f>
        <x:v>24.980156000000001</x:v>
      </x:c>
    </x:row>
    <x:row r="438" spans="1:33" x14ac:dyDescent="0.25">
      <x:c r="A438" t="str">
        <x:f>"        VanEck Inflation Allocation ET"</x:f>
        <x:v xml:space="preserve">        VanEck Inflation Allocation ET</x:v>
      </x:c>
      <x:c r="B438" t="str">
        <x:f>"RAAX US Equity"</x:f>
        <x:v>RAAX US Equity</x:v>
      </x:c>
      <x:c r="E438" t="str">
        <x:f t="shared" si="14"/>
        <x:v>Expression</x:v>
      </x:c>
      <x:c r="F438">
        <x:f ca="1">IF(AND($B$1012=1,LEN($F$1438)&gt;0),$F$1438,HLOOKUP(INDIRECT(ADDRESS(2,COLUMN())),OFFSET($T$2,0,0,ROW()-1,14),ROW()-1,FALSE))</x:f>
        <x:v>16.742633999999999</x:v>
      </x:c>
      <x:c r="G438">
        <x:f ca="1">IF(AND($B$1012=1,LEN($G$1438)&gt;0),$G$1438,HLOOKUP(INDIRECT(ADDRESS(2,COLUMN())),OFFSET($T$2,0,0,ROW()-1,14),ROW()-1,FALSE))</x:f>
        <x:v>1.9086749999999999</x:v>
      </x:c>
      <x:c r="H438">
        <x:f ca="1">IF(AND($B$1012=1,LEN($H$1438)&gt;0),$H$1438,HLOOKUP(INDIRECT(ADDRESS(2,COLUMN())),OFFSET($T$2,0,0,ROW()-1,14),ROW()-1,FALSE))</x:f>
        <x:v>1.943381</x:v>
      </x:c>
      <x:c r="I438">
        <x:f ca="1">IF(AND($B$1012=1,LEN($I$1438)&gt;0),$I$1438,HLOOKUP(INDIRECT(ADDRESS(2,COLUMN())),OFFSET($T$2,0,0,ROW()-1,14),ROW()-1,FALSE))</x:f>
        <x:v>-2.5954389999999998</x:v>
      </x:c>
      <x:c r="J438">
        <x:f ca="1">IF(AND($B$1012=1,LEN($J$1438)&gt;0),$J$1438,HLOOKUP(INDIRECT(ADDRESS(2,COLUMN())),OFFSET($T$2,0,0,ROW()-1,14),ROW()-1,FALSE))</x:f>
        <x:v>-6.993538</x:v>
      </x:c>
      <x:c r="K438">
        <x:f ca="1">IF(AND($B$1012=1,LEN($K$1438)&gt;0),$K$1438,HLOOKUP(INDIRECT(ADDRESS(2,COLUMN())),OFFSET($T$2,0,0,ROW()-1,14),ROW()-1,FALSE))</x:f>
        <x:v>-8.0744170000000004</x:v>
      </x:c>
      <x:c r="L438">
        <x:f ca="1">IF(AND($B$1012=1,LEN($L$1438)&gt;0),$L$1438,HLOOKUP(INDIRECT(ADDRESS(2,COLUMN())),OFFSET($T$2,0,0,ROW()-1,14),ROW()-1,FALSE))</x:f>
        <x:v>-16.231634</x:v>
      </x:c>
      <x:c r="M438">
        <x:f ca="1">IF(AND($B$1012=1,LEN($M$1438)&gt;0),$M$1438,HLOOKUP(INDIRECT(ADDRESS(2,COLUMN())),OFFSET($T$2,0,0,ROW()-1,14),ROW()-1,FALSE))</x:f>
        <x:v>0.65793299999999999</x:v>
      </x:c>
      <x:c r="N438">
        <x:f ca="1">IF(AND($B$1012=1,LEN($N$1438)&gt;0),$N$1438,HLOOKUP(INDIRECT(ADDRESS(2,COLUMN())),OFFSET($T$2,0,0,ROW()-1,14),ROW()-1,FALSE))</x:f>
        <x:v>-8.0431650000000001</x:v>
      </x:c>
      <x:c r="O438">
        <x:f ca="1">IF(AND($B$1012=1,LEN($O$1438)&gt;0),$O$1438,HLOOKUP(INDIRECT(ADDRESS(2,COLUMN())),OFFSET($T$2,0,0,ROW()-1,14),ROW()-1,FALSE))</x:f>
        <x:v>-2.5437449999999999</x:v>
      </x:c>
      <x:c r="P438">
        <x:f ca="1">IF(AND($B$1012=1,LEN($P$1438)&gt;0),$P$1438,HLOOKUP(INDIRECT(ADDRESS(2,COLUMN())),OFFSET($T$2,0,0,ROW()-1,14),ROW()-1,FALSE))</x:f>
        <x:v>-7.83507</x:v>
      </x:c>
      <x:c r="Q438">
        <x:f ca="1">IF(AND($B$1012=1,LEN($Q$1438)&gt;0),$Q$1438,HLOOKUP(INDIRECT(ADDRESS(2,COLUMN())),OFFSET($T$2,0,0,ROW()-1,14),ROW()-1,FALSE))</x:f>
        <x:v>-1.8797550000000001</x:v>
      </x:c>
      <x:c r="R438">
        <x:f ca="1">IF(AND($B$1012=1,LEN($R$1438)&gt;0),$R$1438,HLOOKUP(INDIRECT(ADDRESS(2,COLUMN())),OFFSET($T$2,0,0,ROW()-1,14),ROW()-1,FALSE))</x:f>
        <x:v>1.9255800000000001</x:v>
      </x:c>
      <x:c r="S438">
        <x:f ca="1">IF(AND($B$1012=1,LEN($S$1438)&gt;0),$S$1438,HLOOKUP(INDIRECT(ADDRESS(2,COLUMN())),OFFSET($T$2,0,0,ROW()-1,14),ROW()-1,FALSE))</x:f>
        <x:v>-4.7398899999999999</x:v>
      </x:c>
      <x:c r="T438">
        <x:f>16.742634</x:f>
        <x:v>16.742633999999999</x:v>
      </x:c>
      <x:c r="U438">
        <x:f>1.908675</x:f>
        <x:v>1.9086749999999999</x:v>
      </x:c>
      <x:c r="V438">
        <x:f>1.943381</x:f>
        <x:v>1.943381</x:v>
      </x:c>
      <x:c r="W438">
        <x:f>-2.595439</x:f>
        <x:v>-2.5954389999999998</x:v>
      </x:c>
      <x:c r="X438">
        <x:f>-6.993538</x:f>
        <x:v>-6.993538</x:v>
      </x:c>
      <x:c r="Y438">
        <x:f>-8.074417</x:f>
        <x:v>-8.0744170000000004</x:v>
      </x:c>
      <x:c r="Z438">
        <x:f>-16.231634</x:f>
        <x:v>-16.231634</x:v>
      </x:c>
      <x:c r="AA438">
        <x:f>0.657933</x:f>
        <x:v>0.65793299999999999</x:v>
      </x:c>
      <x:c r="AB438">
        <x:f>-8.043165</x:f>
        <x:v>-8.0431650000000001</x:v>
      </x:c>
      <x:c r="AC438">
        <x:f>-2.543745</x:f>
        <x:v>-2.5437449999999999</x:v>
      </x:c>
      <x:c r="AD438">
        <x:f>-7.83507</x:f>
        <x:v>-7.83507</x:v>
      </x:c>
      <x:c r="AE438">
        <x:f>-1.879755</x:f>
        <x:v>-1.8797550000000001</x:v>
      </x:c>
      <x:c r="AF438">
        <x:f>1.92558</x:f>
        <x:v>1.9255800000000001</x:v>
      </x:c>
      <x:c r="AG438">
        <x:f>-4.73989</x:f>
        <x:v>-4.7398899999999999</x:v>
      </x:c>
    </x:row>
    <x:row r="439" spans="1:33" x14ac:dyDescent="0.25">
      <x:c r="A439" t="str">
        <x:f>"        iShares Mortgage Real Estate E"</x:f>
        <x:v xml:space="preserve">        iShares Mortgage Real Estate E</x:v>
      </x:c>
      <x:c r="B439" t="str">
        <x:f>"REM US Equity"</x:f>
        <x:v>REM US Equity</x:v>
      </x:c>
      <x:c r="E439" t="str">
        <x:f t="shared" si="14"/>
        <x:v>Expression</x:v>
      </x:c>
      <x:c r="F439">
        <x:f ca="1">IF(AND($B$1012=1,LEN($F$1439)&gt;0),$F$1439,HLOOKUP(INDIRECT(ADDRESS(2,COLUMN())),OFFSET($T$2,0,0,ROW()-1,14),ROW()-1,FALSE))</x:f>
        <x:v>-2.1939639999999998</x:v>
      </x:c>
      <x:c r="G439">
        <x:f ca="1">IF(AND($B$1012=1,LEN($G$1439)&gt;0),$G$1439,HLOOKUP(INDIRECT(ADDRESS(2,COLUMN())),OFFSET($T$2,0,0,ROW()-1,14),ROW()-1,FALSE))</x:f>
        <x:v>-24.367792999999999</x:v>
      </x:c>
      <x:c r="H439">
        <x:f ca="1">IF(AND($B$1012=1,LEN($H$1439)&gt;0),$H$1439,HLOOKUP(INDIRECT(ADDRESS(2,COLUMN())),OFFSET($T$2,0,0,ROW()-1,14),ROW()-1,FALSE))</x:f>
        <x:v>4.4623030000000004</x:v>
      </x:c>
      <x:c r="I439">
        <x:f ca="1">IF(AND($B$1012=1,LEN($I$1439)&gt;0),$I$1439,HLOOKUP(INDIRECT(ADDRESS(2,COLUMN())),OFFSET($T$2,0,0,ROW()-1,14),ROW()-1,FALSE))</x:f>
        <x:v>-28.993625000000002</x:v>
      </x:c>
      <x:c r="J439">
        <x:f ca="1">IF(AND($B$1012=1,LEN($J$1439)&gt;0),$J$1439,HLOOKUP(INDIRECT(ADDRESS(2,COLUMN())),OFFSET($T$2,0,0,ROW()-1,14),ROW()-1,FALSE))</x:f>
        <x:v>31.656700000000001</x:v>
      </x:c>
      <x:c r="K439">
        <x:f ca="1">IF(AND($B$1012=1,LEN($K$1439)&gt;0),$K$1439,HLOOKUP(INDIRECT(ADDRESS(2,COLUMN())),OFFSET($T$2,0,0,ROW()-1,14),ROW()-1,FALSE))</x:f>
        <x:v>14.64077</x:v>
      </x:c>
      <x:c r="L439">
        <x:f ca="1">IF(AND($B$1012=1,LEN($L$1439)&gt;0),$L$1439,HLOOKUP(INDIRECT(ADDRESS(2,COLUMN())),OFFSET($T$2,0,0,ROW()-1,14),ROW()-1,FALSE))</x:f>
        <x:v>-3.1573500000000001</x:v>
      </x:c>
      <x:c r="M439">
        <x:f ca="1">IF(AND($B$1012=1,LEN($M$1439)&gt;0),$M$1439,HLOOKUP(INDIRECT(ADDRESS(2,COLUMN())),OFFSET($T$2,0,0,ROW()-1,14),ROW()-1,FALSE))</x:f>
        <x:v>-20.611305000000002</x:v>
      </x:c>
      <x:c r="N439">
        <x:f ca="1">IF(AND($B$1012=1,LEN($N$1439)&gt;0),$N$1439,HLOOKUP(INDIRECT(ADDRESS(2,COLUMN())),OFFSET($T$2,0,0,ROW()-1,14),ROW()-1,FALSE))</x:f>
        <x:v>-21.321390000000001</x:v>
      </x:c>
      <x:c r="O439">
        <x:f ca="1">IF(AND($B$1012=1,LEN($O$1439)&gt;0),$O$1439,HLOOKUP(INDIRECT(ADDRESS(2,COLUMN())),OFFSET($T$2,0,0,ROW()-1,14),ROW()-1,FALSE))</x:f>
        <x:v>25.906455000000001</x:v>
      </x:c>
      <x:c r="P439">
        <x:f ca="1">IF(AND($B$1012=1,LEN($P$1439)&gt;0),$P$1439,HLOOKUP(INDIRECT(ADDRESS(2,COLUMN())),OFFSET($T$2,0,0,ROW()-1,14),ROW()-1,FALSE))</x:f>
        <x:v>-6.4258550000000003</x:v>
      </x:c>
      <x:c r="Q439">
        <x:f ca="1">IF(AND($B$1012=1,LEN($Q$1439)&gt;0),$Q$1439,HLOOKUP(INDIRECT(ADDRESS(2,COLUMN())),OFFSET($T$2,0,0,ROW()-1,14),ROW()-1,FALSE))</x:f>
        <x:v>3.76492</x:v>
      </x:c>
      <x:c r="R439">
        <x:f ca="1">IF(AND($B$1012=1,LEN($R$1439)&gt;0),$R$1439,HLOOKUP(INDIRECT(ADDRESS(2,COLUMN())),OFFSET($T$2,0,0,ROW()-1,14),ROW()-1,FALSE))</x:f>
        <x:v>15.305429999999999</x:v>
      </x:c>
      <x:c r="S439">
        <x:f ca="1">IF(AND($B$1012=1,LEN($S$1439)&gt;0),$S$1439,HLOOKUP(INDIRECT(ADDRESS(2,COLUMN())),OFFSET($T$2,0,0,ROW()-1,14),ROW()-1,FALSE))</x:f>
        <x:v>6.9718049999999998</x:v>
      </x:c>
      <x:c r="T439">
        <x:f>-2.193964</x:f>
        <x:v>-2.1939639999999998</x:v>
      </x:c>
      <x:c r="U439">
        <x:f>-24.367793</x:f>
        <x:v>-24.367792999999999</x:v>
      </x:c>
      <x:c r="V439">
        <x:f>4.462303</x:f>
        <x:v>4.4623030000000004</x:v>
      </x:c>
      <x:c r="W439">
        <x:f>-28.993625</x:f>
        <x:v>-28.993625000000002</x:v>
      </x:c>
      <x:c r="X439">
        <x:f>31.6567</x:f>
        <x:v>31.656700000000001</x:v>
      </x:c>
      <x:c r="Y439">
        <x:f>14.64077</x:f>
        <x:v>14.64077</x:v>
      </x:c>
      <x:c r="Z439">
        <x:f>-3.15735</x:f>
        <x:v>-3.1573500000000001</x:v>
      </x:c>
      <x:c r="AA439">
        <x:f>-20.611305</x:f>
        <x:v>-20.611305000000002</x:v>
      </x:c>
      <x:c r="AB439">
        <x:f>-21.32139</x:f>
        <x:v>-21.321390000000001</x:v>
      </x:c>
      <x:c r="AC439">
        <x:f>25.906455</x:f>
        <x:v>25.906455000000001</x:v>
      </x:c>
      <x:c r="AD439">
        <x:f>-6.425855</x:f>
        <x:v>-6.4258550000000003</x:v>
      </x:c>
      <x:c r="AE439">
        <x:f>3.76492</x:f>
        <x:v>3.76492</x:v>
      </x:c>
      <x:c r="AF439">
        <x:f>15.30543</x:f>
        <x:v>15.305429999999999</x:v>
      </x:c>
      <x:c r="AG439">
        <x:f>6.971805</x:f>
        <x:v>6.9718049999999998</x:v>
      </x:c>
    </x:row>
    <x:row r="440" spans="1:33" x14ac:dyDescent="0.25">
      <x:c r="A440" t="str">
        <x:f>"        iShares International Develope"</x:f>
        <x:v xml:space="preserve">        iShares International Develope</x:v>
      </x:c>
      <x:c r="B440" t="str">
        <x:f>"IFGL US Equity"</x:f>
        <x:v>IFGL US Equity</x:v>
      </x:c>
      <x:c r="E440" t="str">
        <x:f t="shared" si="14"/>
        <x:v>Expression</x:v>
      </x:c>
      <x:c r="F440">
        <x:f ca="1">IF(AND($B$1012=1,LEN($F$1440)&gt;0),$F$1440,HLOOKUP(INDIRECT(ADDRESS(2,COLUMN())),OFFSET($T$2,0,0,ROW()-1,14),ROW()-1,FALSE))</x:f>
        <x:v>-1.9266840000000001</x:v>
      </x:c>
      <x:c r="G440">
        <x:f ca="1">IF(AND($B$1012=1,LEN($G$1440)&gt;0),$G$1440,HLOOKUP(INDIRECT(ADDRESS(2,COLUMN())),OFFSET($T$2,0,0,ROW()-1,14),ROW()-1,FALSE))</x:f>
        <x:v>0</x:v>
      </x:c>
      <x:c r="H440">
        <x:f ca="1">IF(AND($B$1012=1,LEN($H$1440)&gt;0),$H$1440,HLOOKUP(INDIRECT(ADDRESS(2,COLUMN())),OFFSET($T$2,0,0,ROW()-1,14),ROW()-1,FALSE))</x:f>
        <x:v>-5.9916900000000002</x:v>
      </x:c>
      <x:c r="I440">
        <x:f ca="1">IF(AND($B$1012=1,LEN($I$1440)&gt;0),$I$1440,HLOOKUP(INDIRECT(ADDRESS(2,COLUMN())),OFFSET($T$2,0,0,ROW()-1,14),ROW()-1,FALSE))</x:f>
        <x:v>-2.0061900000000001</x:v>
      </x:c>
      <x:c r="J440">
        <x:f ca="1">IF(AND($B$1012=1,LEN($J$1440)&gt;0),$J$1440,HLOOKUP(INDIRECT(ADDRESS(2,COLUMN())),OFFSET($T$2,0,0,ROW()-1,14),ROW()-1,FALSE))</x:f>
        <x:v>0</x:v>
      </x:c>
      <x:c r="K440">
        <x:f ca="1">IF(AND($B$1012=1,LEN($K$1440)&gt;0),$K$1440,HLOOKUP(INDIRECT(ADDRESS(2,COLUMN())),OFFSET($T$2,0,0,ROW()-1,14),ROW()-1,FALSE))</x:f>
        <x:v>-1.97953</x:v>
      </x:c>
      <x:c r="L440">
        <x:f ca="1">IF(AND($B$1012=1,LEN($L$1440)&gt;0),$L$1440,HLOOKUP(INDIRECT(ADDRESS(2,COLUMN())),OFFSET($T$2,0,0,ROW()-1,14),ROW()-1,FALSE))</x:f>
        <x:v>-6.2946</x:v>
      </x:c>
      <x:c r="M440">
        <x:f ca="1">IF(AND($B$1012=1,LEN($M$1440)&gt;0),$M$1440,HLOOKUP(INDIRECT(ADDRESS(2,COLUMN())),OFFSET($T$2,0,0,ROW()-1,14),ROW()-1,FALSE))</x:f>
        <x:v>0</x:v>
      </x:c>
      <x:c r="N440">
        <x:f ca="1">IF(AND($B$1012=1,LEN($N$1440)&gt;0),$N$1440,HLOOKUP(INDIRECT(ADDRESS(2,COLUMN())),OFFSET($T$2,0,0,ROW()-1,14),ROW()-1,FALSE))</x:f>
        <x:v>0</x:v>
      </x:c>
      <x:c r="O440">
        <x:f ca="1">IF(AND($B$1012=1,LEN($O$1440)&gt;0),$O$1440,HLOOKUP(INDIRECT(ADDRESS(2,COLUMN())),OFFSET($T$2,0,0,ROW()-1,14),ROW()-1,FALSE))</x:f>
        <x:v>0</x:v>
      </x:c>
      <x:c r="P440">
        <x:f ca="1">IF(AND($B$1012=1,LEN($P$1440)&gt;0),$P$1440,HLOOKUP(INDIRECT(ADDRESS(2,COLUMN())),OFFSET($T$2,0,0,ROW()-1,14),ROW()-1,FALSE))</x:f>
        <x:v>0</x:v>
      </x:c>
      <x:c r="Q440">
        <x:f ca="1">IF(AND($B$1012=1,LEN($Q$1440)&gt;0),$Q$1440,HLOOKUP(INDIRECT(ADDRESS(2,COLUMN())),OFFSET($T$2,0,0,ROW()-1,14),ROW()-1,FALSE))</x:f>
        <x:v>-25.170200000000001</x:v>
      </x:c>
      <x:c r="R440">
        <x:f ca="1">IF(AND($B$1012=1,LEN($R$1440)&gt;0),$R$1440,HLOOKUP(INDIRECT(ADDRESS(2,COLUMN())),OFFSET($T$2,0,0,ROW()-1,14),ROW()-1,FALSE))</x:f>
        <x:v>0</x:v>
      </x:c>
      <x:c r="S440">
        <x:f ca="1">IF(AND($B$1012=1,LEN($S$1440)&gt;0),$S$1440,HLOOKUP(INDIRECT(ADDRESS(2,COLUMN())),OFFSET($T$2,0,0,ROW()-1,14),ROW()-1,FALSE))</x:f>
        <x:v>-1.93658</x:v>
      </x:c>
      <x:c r="T440">
        <x:f>-1.926684</x:f>
        <x:v>-1.9266840000000001</x:v>
      </x:c>
      <x:c r="U440">
        <x:f>0</x:f>
        <x:v>0</x:v>
      </x:c>
      <x:c r="V440">
        <x:f>-5.99169</x:f>
        <x:v>-5.9916900000000002</x:v>
      </x:c>
      <x:c r="W440">
        <x:f>-2.00619</x:f>
        <x:v>-2.0061900000000001</x:v>
      </x:c>
      <x:c r="X440">
        <x:f>0</x:f>
        <x:v>0</x:v>
      </x:c>
      <x:c r="Y440">
        <x:f>-1.97953</x:f>
        <x:v>-1.97953</x:v>
      </x:c>
      <x:c r="Z440">
        <x:f>-6.2946</x:f>
        <x:v>-6.2946</x:v>
      </x:c>
      <x:c r="AA440">
        <x:f>0</x:f>
        <x:v>0</x:v>
      </x:c>
      <x:c r="AB440">
        <x:f>0</x:f>
        <x:v>0</x:v>
      </x:c>
      <x:c r="AC440">
        <x:f>0</x:f>
        <x:v>0</x:v>
      </x:c>
      <x:c r="AD440">
        <x:f>0</x:f>
        <x:v>0</x:v>
      </x:c>
      <x:c r="AE440">
        <x:f>-25.1702</x:f>
        <x:v>-25.170200000000001</x:v>
      </x:c>
      <x:c r="AF440">
        <x:f>0</x:f>
        <x:v>0</x:v>
      </x:c>
      <x:c r="AG440">
        <x:f>-1.93658</x:f>
        <x:v>-1.93658</x:v>
      </x:c>
    </x:row>
    <x:row r="441" spans="1:33" x14ac:dyDescent="0.25">
      <x:c r="A441" t="str">
        <x:f>"        iShares Residential and Multis"</x:f>
        <x:v xml:space="preserve">        iShares Residential and Multis</x:v>
      </x:c>
      <x:c r="B441" t="str">
        <x:f>"REZ US Equity"</x:f>
        <x:v>REZ US Equity</x:v>
      </x:c>
      <x:c r="E441" t="str">
        <x:f t="shared" si="14"/>
        <x:v>Expression</x:v>
      </x:c>
      <x:c r="F441">
        <x:f ca="1">IF(AND($B$1012=1,LEN($F$1441)&gt;0),$F$1441,HLOOKUP(INDIRECT(ADDRESS(2,COLUMN())),OFFSET($T$2,0,0,ROW()-1,14),ROW()-1,FALSE))</x:f>
        <x:v>-3.2064550000000001</x:v>
      </x:c>
      <x:c r="G441">
        <x:f ca="1">IF(AND($B$1012=1,LEN($G$1441)&gt;0),$G$1441,HLOOKUP(INDIRECT(ADDRESS(2,COLUMN())),OFFSET($T$2,0,0,ROW()-1,14),ROW()-1,FALSE))</x:f>
        <x:v>-3.7501069999999999</x:v>
      </x:c>
      <x:c r="H441">
        <x:f ca="1">IF(AND($B$1012=1,LEN($H$1441)&gt;0),$H$1441,HLOOKUP(INDIRECT(ADDRESS(2,COLUMN())),OFFSET($T$2,0,0,ROW()-1,14),ROW()-1,FALSE))</x:f>
        <x:v>6.6733989999999999</x:v>
      </x:c>
      <x:c r="I441">
        <x:f ca="1">IF(AND($B$1012=1,LEN($I$1441)&gt;0),$I$1441,HLOOKUP(INDIRECT(ADDRESS(2,COLUMN())),OFFSET($T$2,0,0,ROW()-1,14),ROW()-1,FALSE))</x:f>
        <x:v>-14.095789999999999</x:v>
      </x:c>
      <x:c r="J441">
        <x:f ca="1">IF(AND($B$1012=1,LEN($J$1441)&gt;0),$J$1441,HLOOKUP(INDIRECT(ADDRESS(2,COLUMN())),OFFSET($T$2,0,0,ROW()-1,14),ROW()-1,FALSE))</x:f>
        <x:v>-3.6897449999999998</x:v>
      </x:c>
      <x:c r="K441">
        <x:f ca="1">IF(AND($B$1012=1,LEN($K$1441)&gt;0),$K$1441,HLOOKUP(INDIRECT(ADDRESS(2,COLUMN())),OFFSET($T$2,0,0,ROW()-1,14),ROW()-1,FALSE))</x:f>
        <x:v>7.2260400000000002</x:v>
      </x:c>
      <x:c r="L441">
        <x:f ca="1">IF(AND($B$1012=1,LEN($L$1441)&gt;0),$L$1441,HLOOKUP(INDIRECT(ADDRESS(2,COLUMN())),OFFSET($T$2,0,0,ROW()-1,14),ROW()-1,FALSE))</x:f>
        <x:v>-3.5236450000000001</x:v>
      </x:c>
      <x:c r="M441">
        <x:f ca="1">IF(AND($B$1012=1,LEN($M$1441)&gt;0),$M$1441,HLOOKUP(INDIRECT(ADDRESS(2,COLUMN())),OFFSET($T$2,0,0,ROW()-1,14),ROW()-1,FALSE))</x:f>
        <x:v>1.6840000000000001E-2</x:v>
      </x:c>
      <x:c r="N441">
        <x:f ca="1">IF(AND($B$1012=1,LEN($N$1441)&gt;0),$N$1441,HLOOKUP(INDIRECT(ADDRESS(2,COLUMN())),OFFSET($T$2,0,0,ROW()-1,14),ROW()-1,FALSE))</x:f>
        <x:v>-17.263480000000001</x:v>
      </x:c>
      <x:c r="O441">
        <x:f ca="1">IF(AND($B$1012=1,LEN($O$1441)&gt;0),$O$1441,HLOOKUP(INDIRECT(ADDRESS(2,COLUMN())),OFFSET($T$2,0,0,ROW()-1,14),ROW()-1,FALSE))</x:f>
        <x:v>-14.89082</x:v>
      </x:c>
      <x:c r="P441">
        <x:f ca="1">IF(AND($B$1012=1,LEN($P$1441)&gt;0),$P$1441,HLOOKUP(INDIRECT(ADDRESS(2,COLUMN())),OFFSET($T$2,0,0,ROW()-1,14),ROW()-1,FALSE))</x:f>
        <x:v>-3.4034300000000002</x:v>
      </x:c>
      <x:c r="Q441">
        <x:f ca="1">IF(AND($B$1012=1,LEN($Q$1441)&gt;0),$Q$1441,HLOOKUP(INDIRECT(ADDRESS(2,COLUMN())),OFFSET($T$2,0,0,ROW()-1,14),ROW()-1,FALSE))</x:f>
        <x:v>-17.071615000000001</x:v>
      </x:c>
      <x:c r="R441">
        <x:f ca="1">IF(AND($B$1012=1,LEN($R$1441)&gt;0),$R$1441,HLOOKUP(INDIRECT(ADDRESS(2,COLUMN())),OFFSET($T$2,0,0,ROW()-1,14),ROW()-1,FALSE))</x:f>
        <x:v>0.36792999999999998</x:v>
      </x:c>
      <x:c r="S441">
        <x:f ca="1">IF(AND($B$1012=1,LEN($S$1441)&gt;0),$S$1441,HLOOKUP(INDIRECT(ADDRESS(2,COLUMN())),OFFSET($T$2,0,0,ROW()-1,14),ROW()-1,FALSE))</x:f>
        <x:v>-6.5902750000000001</x:v>
      </x:c>
      <x:c r="T441">
        <x:f>-3.206455</x:f>
        <x:v>-3.2064550000000001</x:v>
      </x:c>
      <x:c r="U441">
        <x:f>-3.750107</x:f>
        <x:v>-3.7501069999999999</x:v>
      </x:c>
      <x:c r="V441">
        <x:f>6.673399</x:f>
        <x:v>6.6733989999999999</x:v>
      </x:c>
      <x:c r="W441">
        <x:f>-14.09579</x:f>
        <x:v>-14.095789999999999</x:v>
      </x:c>
      <x:c r="X441">
        <x:f>-3.689745</x:f>
        <x:v>-3.6897449999999998</x:v>
      </x:c>
      <x:c r="Y441">
        <x:f>7.22604</x:f>
        <x:v>7.2260400000000002</x:v>
      </x:c>
      <x:c r="Z441">
        <x:f>-3.523645</x:f>
        <x:v>-3.5236450000000001</x:v>
      </x:c>
      <x:c r="AA441">
        <x:f>0.01684</x:f>
        <x:v>1.6840000000000001E-2</x:v>
      </x:c>
      <x:c r="AB441">
        <x:f>-17.26348</x:f>
        <x:v>-17.263480000000001</x:v>
      </x:c>
      <x:c r="AC441">
        <x:f>-14.89082</x:f>
        <x:v>-14.89082</x:v>
      </x:c>
      <x:c r="AD441">
        <x:f>-3.40343</x:f>
        <x:v>-3.4034300000000002</x:v>
      </x:c>
      <x:c r="AE441">
        <x:f>-17.071615</x:f>
        <x:v>-17.071615000000001</x:v>
      </x:c>
      <x:c r="AF441">
        <x:f>0.36793</x:f>
        <x:v>0.36792999999999998</x:v>
      </x:c>
      <x:c r="AG441">
        <x:f>-6.590275</x:f>
        <x:v>-6.5902750000000001</x:v>
      </x:c>
    </x:row>
    <x:row r="442" spans="1:33" x14ac:dyDescent="0.25">
      <x:c r="A442" t="str">
        <x:f>"        iShares Global REIT ETF"</x:f>
        <x:v xml:space="preserve">        iShares Global REIT ETF</x:v>
      </x:c>
      <x:c r="B442" t="str">
        <x:f>"REET US Equity"</x:f>
        <x:v>REET US Equity</x:v>
      </x:c>
      <x:c r="E442" t="str">
        <x:f t="shared" si="14"/>
        <x:v>Expression</x:v>
      </x:c>
      <x:c r="F442">
        <x:f ca="1">IF(AND($B$1012=1,LEN($F$1442)&gt;0),$F$1442,HLOOKUP(INDIRECT(ADDRESS(2,COLUMN())),OFFSET($T$2,0,0,ROW()-1,14),ROW()-1,FALSE))</x:f>
        <x:v>4.3699199999999996</x:v>
      </x:c>
      <x:c r="G442">
        <x:f ca="1">IF(AND($B$1012=1,LEN($G$1442)&gt;0),$G$1442,HLOOKUP(INDIRECT(ADDRESS(2,COLUMN())),OFFSET($T$2,0,0,ROW()-1,14),ROW()-1,FALSE))</x:f>
        <x:v>68.820700000000002</x:v>
      </x:c>
      <x:c r="H442">
        <x:f ca="1">IF(AND($B$1012=1,LEN($H$1442)&gt;0),$H$1442,HLOOKUP(INDIRECT(ADDRESS(2,COLUMN())),OFFSET($T$2,0,0,ROW()-1,14),ROW()-1,FALSE))</x:f>
        <x:v>29.603535000000001</x:v>
      </x:c>
      <x:c r="I442">
        <x:f ca="1">IF(AND($B$1012=1,LEN($I$1442)&gt;0),$I$1442,HLOOKUP(INDIRECT(ADDRESS(2,COLUMN())),OFFSET($T$2,0,0,ROW()-1,14),ROW()-1,FALSE))</x:f>
        <x:v>1.5163800000000001</x:v>
      </x:c>
      <x:c r="J442">
        <x:f ca="1">IF(AND($B$1012=1,LEN($J$1442)&gt;0),$J$1442,HLOOKUP(INDIRECT(ADDRESS(2,COLUMN())),OFFSET($T$2,0,0,ROW()-1,14),ROW()-1,FALSE))</x:f>
        <x:v>49.766374999999996</x:v>
      </x:c>
      <x:c r="K442">
        <x:f ca="1">IF(AND($B$1012=1,LEN($K$1442)&gt;0),$K$1442,HLOOKUP(INDIRECT(ADDRESS(2,COLUMN())),OFFSET($T$2,0,0,ROW()-1,14),ROW()-1,FALSE))</x:f>
        <x:v>44.568460000000002</x:v>
      </x:c>
      <x:c r="L442">
        <x:f ca="1">IF(AND($B$1012=1,LEN($L$1442)&gt;0),$L$1442,HLOOKUP(INDIRECT(ADDRESS(2,COLUMN())),OFFSET($T$2,0,0,ROW()-1,14),ROW()-1,FALSE))</x:f>
        <x:v>99.504114999999999</x:v>
      </x:c>
      <x:c r="M442">
        <x:f ca="1">IF(AND($B$1012=1,LEN($M$1442)&gt;0),$M$1442,HLOOKUP(INDIRECT(ADDRESS(2,COLUMN())),OFFSET($T$2,0,0,ROW()-1,14),ROW()-1,FALSE))</x:f>
        <x:v>-19.470894999999999</x:v>
      </x:c>
      <x:c r="N442">
        <x:f ca="1">IF(AND($B$1012=1,LEN($N$1442)&gt;0),$N$1442,HLOOKUP(INDIRECT(ADDRESS(2,COLUMN())),OFFSET($T$2,0,0,ROW()-1,14),ROW()-1,FALSE))</x:f>
        <x:v>5.199605</x:v>
      </x:c>
      <x:c r="O442">
        <x:f ca="1">IF(AND($B$1012=1,LEN($O$1442)&gt;0),$O$1442,HLOOKUP(INDIRECT(ADDRESS(2,COLUMN())),OFFSET($T$2,0,0,ROW()-1,14),ROW()-1,FALSE))</x:f>
        <x:v>-8.2965750000000007</x:v>
      </x:c>
      <x:c r="P442">
        <x:f ca="1">IF(AND($B$1012=1,LEN($P$1442)&gt;0),$P$1442,HLOOKUP(INDIRECT(ADDRESS(2,COLUMN())),OFFSET($T$2,0,0,ROW()-1,14),ROW()-1,FALSE))</x:f>
        <x:v>4.8238599999999998</x:v>
      </x:c>
      <x:c r="Q442">
        <x:f ca="1">IF(AND($B$1012=1,LEN($Q$1442)&gt;0),$Q$1442,HLOOKUP(INDIRECT(ADDRESS(2,COLUMN())),OFFSET($T$2,0,0,ROW()-1,14),ROW()-1,FALSE))</x:f>
        <x:v>43.871859999999998</x:v>
      </x:c>
      <x:c r="R442">
        <x:f ca="1">IF(AND($B$1012=1,LEN($R$1442)&gt;0),$R$1442,HLOOKUP(INDIRECT(ADDRESS(2,COLUMN())),OFFSET($T$2,0,0,ROW()-1,14),ROW()-1,FALSE))</x:f>
        <x:v>113.18643</x:v>
      </x:c>
      <x:c r="S442">
        <x:f ca="1">IF(AND($B$1012=1,LEN($S$1442)&gt;0),$S$1442,HLOOKUP(INDIRECT(ADDRESS(2,COLUMN())),OFFSET($T$2,0,0,ROW()-1,14),ROW()-1,FALSE))</x:f>
        <x:v>77.205534999999998</x:v>
      </x:c>
      <x:c r="T442">
        <x:f>4.36992</x:f>
        <x:v>4.3699199999999996</x:v>
      </x:c>
      <x:c r="U442">
        <x:f>68.8207</x:f>
        <x:v>68.820700000000002</x:v>
      </x:c>
      <x:c r="V442">
        <x:f>29.603535</x:f>
        <x:v>29.603535000000001</x:v>
      </x:c>
      <x:c r="W442">
        <x:f>1.51638</x:f>
        <x:v>1.5163800000000001</x:v>
      </x:c>
      <x:c r="X442">
        <x:f>49.766375</x:f>
        <x:v>49.766374999999996</x:v>
      </x:c>
      <x:c r="Y442">
        <x:f>44.56846</x:f>
        <x:v>44.568460000000002</x:v>
      </x:c>
      <x:c r="Z442">
        <x:f>99.504115</x:f>
        <x:v>99.504114999999999</x:v>
      </x:c>
      <x:c r="AA442">
        <x:f>-19.470895</x:f>
        <x:v>-19.470894999999999</x:v>
      </x:c>
      <x:c r="AB442">
        <x:f>5.199605</x:f>
        <x:v>5.199605</x:v>
      </x:c>
      <x:c r="AC442">
        <x:f>-8.296575</x:f>
        <x:v>-8.2965750000000007</x:v>
      </x:c>
      <x:c r="AD442">
        <x:f>4.82386</x:f>
        <x:v>4.8238599999999998</x:v>
      </x:c>
      <x:c r="AE442">
        <x:f>43.87186</x:f>
        <x:v>43.871859999999998</x:v>
      </x:c>
      <x:c r="AF442">
        <x:f>113.18643</x:f>
        <x:v>113.18643</x:v>
      </x:c>
      <x:c r="AG442">
        <x:f>77.205535</x:f>
        <x:v>77.205534999999998</x:v>
      </x:c>
    </x:row>
    <x:row r="443" spans="1:33" x14ac:dyDescent="0.25">
      <x:c r="A443" t="str">
        <x:f>"        Invesco KBW Premium Yield Equi"</x:f>
        <x:v xml:space="preserve">        Invesco KBW Premium Yield Equi</x:v>
      </x:c>
      <x:c r="B443" t="str">
        <x:f>"KBWY US Equity"</x:f>
        <x:v>KBWY US Equity</x:v>
      </x:c>
      <x:c r="E443" t="str">
        <x:f t="shared" si="14"/>
        <x:v>Expression</x:v>
      </x:c>
      <x:c r="F443">
        <x:f ca="1">IF(AND($B$1012=1,LEN($F$1443)&gt;0),$F$1443,HLOOKUP(INDIRECT(ADDRESS(2,COLUMN())),OFFSET($T$2,0,0,ROW()-1,14),ROW()-1,FALSE))</x:f>
        <x:v>0.96504900000000005</x:v>
      </x:c>
      <x:c r="G443">
        <x:f ca="1">IF(AND($B$1012=1,LEN($G$1443)&gt;0),$G$1443,HLOOKUP(INDIRECT(ADDRESS(2,COLUMN())),OFFSET($T$2,0,0,ROW()-1,14),ROW()-1,FALSE))</x:f>
        <x:v>-9.4199120000000001</x:v>
      </x:c>
      <x:c r="H443">
        <x:f ca="1">IF(AND($B$1012=1,LEN($H$1443)&gt;0),$H$1443,HLOOKUP(INDIRECT(ADDRESS(2,COLUMN())),OFFSET($T$2,0,0,ROW()-1,14),ROW()-1,FALSE))</x:f>
        <x:v>0</x:v>
      </x:c>
      <x:c r="I443">
        <x:f ca="1">IF(AND($B$1012=1,LEN($I$1443)&gt;0),$I$1443,HLOOKUP(INDIRECT(ADDRESS(2,COLUMN())),OFFSET($T$2,0,0,ROW()-1,14),ROW()-1,FALSE))</x:f>
        <x:v>-6.2231480000000001</x:v>
      </x:c>
      <x:c r="J443">
        <x:f ca="1">IF(AND($B$1012=1,LEN($J$1443)&gt;0),$J$1443,HLOOKUP(INDIRECT(ADDRESS(2,COLUMN())),OFFSET($T$2,0,0,ROW()-1,14),ROW()-1,FALSE))</x:f>
        <x:v>0</x:v>
      </x:c>
      <x:c r="K443">
        <x:f ca="1">IF(AND($B$1012=1,LEN($K$1443)&gt;0),$K$1443,HLOOKUP(INDIRECT(ADDRESS(2,COLUMN())),OFFSET($T$2,0,0,ROW()-1,14),ROW()-1,FALSE))</x:f>
        <x:v>11.988747</x:v>
      </x:c>
      <x:c r="L443">
        <x:f ca="1">IF(AND($B$1012=1,LEN($L$1443)&gt;0),$L$1443,HLOOKUP(INDIRECT(ADDRESS(2,COLUMN())),OFFSET($T$2,0,0,ROW()-1,14),ROW()-1,FALSE))</x:f>
        <x:v>-2.353675</x:v>
      </x:c>
      <x:c r="M443">
        <x:f ca="1">IF(AND($B$1012=1,LEN($M$1443)&gt;0),$M$1443,HLOOKUP(INDIRECT(ADDRESS(2,COLUMN())),OFFSET($T$2,0,0,ROW()-1,14),ROW()-1,FALSE))</x:f>
        <x:v>-14.554176</x:v>
      </x:c>
      <x:c r="N443">
        <x:f ca="1">IF(AND($B$1012=1,LEN($N$1443)&gt;0),$N$1443,HLOOKUP(INDIRECT(ADDRESS(2,COLUMN())),OFFSET($T$2,0,0,ROW()-1,14),ROW()-1,FALSE))</x:f>
        <x:v>1.615812</x:v>
      </x:c>
      <x:c r="O443">
        <x:f ca="1">IF(AND($B$1012=1,LEN($O$1443)&gt;0),$O$1443,HLOOKUP(INDIRECT(ADDRESS(2,COLUMN())),OFFSET($T$2,0,0,ROW()-1,14),ROW()-1,FALSE))</x:f>
        <x:v>-7.8093880000000002</x:v>
      </x:c>
      <x:c r="P443">
        <x:f ca="1">IF(AND($B$1012=1,LEN($P$1443)&gt;0),$P$1443,HLOOKUP(INDIRECT(ADDRESS(2,COLUMN())),OFFSET($T$2,0,0,ROW()-1,14),ROW()-1,FALSE))</x:f>
        <x:v>7.9741650000000002</x:v>
      </x:c>
      <x:c r="Q443">
        <x:f ca="1">IF(AND($B$1012=1,LEN($Q$1443)&gt;0),$Q$1443,HLOOKUP(INDIRECT(ADDRESS(2,COLUMN())),OFFSET($T$2,0,0,ROW()-1,14),ROW()-1,FALSE))</x:f>
        <x:v>-1.60154</x:v>
      </x:c>
      <x:c r="R443">
        <x:f ca="1">IF(AND($B$1012=1,LEN($R$1443)&gt;0),$R$1443,HLOOKUP(INDIRECT(ADDRESS(2,COLUMN())),OFFSET($T$2,0,0,ROW()-1,14),ROW()-1,FALSE))</x:f>
        <x:v>5.7844329999999999</x:v>
      </x:c>
      <x:c r="S443">
        <x:f ca="1">IF(AND($B$1012=1,LEN($S$1443)&gt;0),$S$1443,HLOOKUP(INDIRECT(ADDRESS(2,COLUMN())),OFFSET($T$2,0,0,ROW()-1,14),ROW()-1,FALSE))</x:f>
        <x:v>-4.3993890000000002</x:v>
      </x:c>
      <x:c r="T443">
        <x:f>0.965049</x:f>
        <x:v>0.96504900000000005</x:v>
      </x:c>
      <x:c r="U443">
        <x:f>-9.419912</x:f>
        <x:v>-9.4199120000000001</x:v>
      </x:c>
      <x:c r="V443">
        <x:f>0</x:f>
        <x:v>0</x:v>
      </x:c>
      <x:c r="W443">
        <x:f>-6.223148</x:f>
        <x:v>-6.2231480000000001</x:v>
      </x:c>
      <x:c r="X443">
        <x:f>0</x:f>
        <x:v>0</x:v>
      </x:c>
      <x:c r="Y443">
        <x:f>11.988747</x:f>
        <x:v>11.988747</x:v>
      </x:c>
      <x:c r="Z443">
        <x:f>-2.353675</x:f>
        <x:v>-2.353675</x:v>
      </x:c>
      <x:c r="AA443">
        <x:f>-14.554176</x:f>
        <x:v>-14.554176</x:v>
      </x:c>
      <x:c r="AB443">
        <x:f>1.615812</x:f>
        <x:v>1.615812</x:v>
      </x:c>
      <x:c r="AC443">
        <x:f>-7.809388</x:f>
        <x:v>-7.8093880000000002</x:v>
      </x:c>
      <x:c r="AD443">
        <x:f>7.974165</x:f>
        <x:v>7.9741650000000002</x:v>
      </x:c>
      <x:c r="AE443">
        <x:f>-1.60154</x:f>
        <x:v>-1.60154</x:v>
      </x:c>
      <x:c r="AF443">
        <x:f>5.784433</x:f>
        <x:v>5.7844329999999999</x:v>
      </x:c>
      <x:c r="AG443">
        <x:f>-4.399389</x:f>
        <x:v>-4.3993890000000002</x:v>
      </x:c>
    </x:row>
    <x:row r="444" spans="1:33" x14ac:dyDescent="0.25">
      <x:c r="A444" t="str">
        <x:f>"        ETRACS Monthly Pay 2xLeveraged"</x:f>
        <x:v xml:space="preserve">        ETRACS Monthly Pay 2xLeveraged</x:v>
      </x:c>
      <x:c r="B444" t="str">
        <x:f>"MORL US Equity"</x:f>
        <x:v>MORL US Equity</x:v>
      </x:c>
      <x:c r="E444" t="str">
        <x:f t="shared" si="14"/>
        <x:v>Expression</x:v>
      </x:c>
      <x:c r="F444" t="str">
        <x:f ca="1">IF(AND($B$1012=1,LEN($F$1444)&gt;0),$F$1444,HLOOKUP(INDIRECT(ADDRESS(2,COLUMN())),OFFSET($T$2,0,0,ROW()-1,14),ROW()-1,FALSE))</x:f>
        <x:v/>
      </x:c>
      <x:c r="G444" t="str">
        <x:f ca="1">IF(AND($B$1012=1,LEN($G$1444)&gt;0),$G$1444,HLOOKUP(INDIRECT(ADDRESS(2,COLUMN())),OFFSET($T$2,0,0,ROW()-1,14),ROW()-1,FALSE))</x:f>
        <x:v/>
      </x:c>
      <x:c r="H444" t="str">
        <x:f ca="1">IF(AND($B$1012=1,LEN($H$1444)&gt;0),$H$1444,HLOOKUP(INDIRECT(ADDRESS(2,COLUMN())),OFFSET($T$2,0,0,ROW()-1,14),ROW()-1,FALSE))</x:f>
        <x:v/>
      </x:c>
      <x:c r="I444" t="str">
        <x:f ca="1">IF(AND($B$1012=1,LEN($I$1444)&gt;0),$I$1444,HLOOKUP(INDIRECT(ADDRESS(2,COLUMN())),OFFSET($T$2,0,0,ROW()-1,14),ROW()-1,FALSE))</x:f>
        <x:v/>
      </x:c>
      <x:c r="J444" t="str">
        <x:f ca="1">IF(AND($B$1012=1,LEN($J$1444)&gt;0),$J$1444,HLOOKUP(INDIRECT(ADDRESS(2,COLUMN())),OFFSET($T$2,0,0,ROW()-1,14),ROW()-1,FALSE))</x:f>
        <x:v/>
      </x:c>
      <x:c r="K444" t="str">
        <x:f ca="1">IF(AND($B$1012=1,LEN($K$1444)&gt;0),$K$1444,HLOOKUP(INDIRECT(ADDRESS(2,COLUMN())),OFFSET($T$2,0,0,ROW()-1,14),ROW()-1,FALSE))</x:f>
        <x:v/>
      </x:c>
      <x:c r="L444" t="str">
        <x:f ca="1">IF(AND($B$1012=1,LEN($L$1444)&gt;0),$L$1444,HLOOKUP(INDIRECT(ADDRESS(2,COLUMN())),OFFSET($T$2,0,0,ROW()-1,14),ROW()-1,FALSE))</x:f>
        <x:v/>
      </x:c>
      <x:c r="M444" t="str">
        <x:f ca="1">IF(AND($B$1012=1,LEN($M$1444)&gt;0),$M$1444,HLOOKUP(INDIRECT(ADDRESS(2,COLUMN())),OFFSET($T$2,0,0,ROW()-1,14),ROW()-1,FALSE))</x:f>
        <x:v/>
      </x:c>
      <x:c r="N444" t="str">
        <x:f ca="1">IF(AND($B$1012=1,LEN($N$1444)&gt;0),$N$1444,HLOOKUP(INDIRECT(ADDRESS(2,COLUMN())),OFFSET($T$2,0,0,ROW()-1,14),ROW()-1,FALSE))</x:f>
        <x:v/>
      </x:c>
      <x:c r="O444" t="str">
        <x:f ca="1">IF(AND($B$1012=1,LEN($O$1444)&gt;0),$O$1444,HLOOKUP(INDIRECT(ADDRESS(2,COLUMN())),OFFSET($T$2,0,0,ROW()-1,14),ROW()-1,FALSE))</x:f>
        <x:v/>
      </x:c>
      <x:c r="P444" t="str">
        <x:f ca="1">IF(AND($B$1012=1,LEN($P$1444)&gt;0),$P$1444,HLOOKUP(INDIRECT(ADDRESS(2,COLUMN())),OFFSET($T$2,0,0,ROW()-1,14),ROW()-1,FALSE))</x:f>
        <x:v/>
      </x:c>
      <x:c r="Q444" t="str">
        <x:f ca="1">IF(AND($B$1012=1,LEN($Q$1444)&gt;0),$Q$1444,HLOOKUP(INDIRECT(ADDRESS(2,COLUMN())),OFFSET($T$2,0,0,ROW()-1,14),ROW()-1,FALSE))</x:f>
        <x:v/>
      </x:c>
      <x:c r="R444" t="str">
        <x:f ca="1">IF(AND($B$1012=1,LEN($R$1444)&gt;0),$R$1444,HLOOKUP(INDIRECT(ADDRESS(2,COLUMN())),OFFSET($T$2,0,0,ROW()-1,14),ROW()-1,FALSE))</x:f>
        <x:v/>
      </x:c>
      <x:c r="S444" t="str">
        <x:f ca="1">IF(AND($B$1012=1,LEN($S$1444)&gt;0),$S$1444,HLOOKUP(INDIRECT(ADDRESS(2,COLUMN())),OFFSET($T$2,0,0,ROW()-1,14),ROW()-1,FALSE))</x:f>
        <x:v/>
      </x:c>
      <x:c r="T444" t="str">
        <x:f>""</x:f>
        <x:v/>
      </x:c>
      <x:c r="U444" t="str">
        <x:f>""</x:f>
        <x:v/>
      </x:c>
      <x:c r="V444" t="str">
        <x:f>""</x:f>
        <x:v/>
      </x:c>
      <x:c r="W444" t="str">
        <x:f>""</x:f>
        <x:v/>
      </x:c>
      <x:c r="X444" t="str">
        <x:f>""</x:f>
        <x:v/>
      </x:c>
      <x:c r="Y444" t="str">
        <x:f>""</x:f>
        <x:v/>
      </x:c>
      <x:c r="Z444" t="str">
        <x:f>""</x:f>
        <x:v/>
      </x:c>
      <x:c r="AA444" t="str">
        <x:f>""</x:f>
        <x:v/>
      </x:c>
      <x:c r="AB444" t="str">
        <x:f>""</x:f>
        <x:v/>
      </x:c>
      <x:c r="AC444" t="str">
        <x:f>""</x:f>
        <x:v/>
      </x:c>
      <x:c r="AD444" t="str">
        <x:f>""</x:f>
        <x:v/>
      </x:c>
      <x:c r="AE444" t="str">
        <x:f>""</x:f>
        <x:v/>
      </x:c>
      <x:c r="AF444" t="str">
        <x:f>""</x:f>
        <x:v/>
      </x:c>
      <x:c r="AG444" t="str">
        <x:f>""</x:f>
        <x:v/>
      </x:c>
    </x:row>
    <x:row r="445" spans="1:33" x14ac:dyDescent="0.25">
      <x:c r="A445" t="str">
        <x:f>"        Fidelity MSCI Real Estate Inde"</x:f>
        <x:v xml:space="preserve">        Fidelity MSCI Real Estate Inde</x:v>
      </x:c>
      <x:c r="B445" t="str">
        <x:f>"FREL US Equity"</x:f>
        <x:v>FREL US Equity</x:v>
      </x:c>
      <x:c r="E445" t="str">
        <x:f t="shared" si="14"/>
        <x:v>Expression</x:v>
      </x:c>
      <x:c r="F445">
        <x:f ca="1">IF(AND($B$1012=1,LEN($F$1445)&gt;0),$F$1445,HLOOKUP(INDIRECT(ADDRESS(2,COLUMN())),OFFSET($T$2,0,0,ROW()-1,14),ROW()-1,FALSE))</x:f>
        <x:v>-28.691230000000001</x:v>
      </x:c>
      <x:c r="G445">
        <x:f ca="1">IF(AND($B$1012=1,LEN($G$1445)&gt;0),$G$1445,HLOOKUP(INDIRECT(ADDRESS(2,COLUMN())),OFFSET($T$2,0,0,ROW()-1,14),ROW()-1,FALSE))</x:f>
        <x:v>-5.48712</x:v>
      </x:c>
      <x:c r="H445">
        <x:f ca="1">IF(AND($B$1012=1,LEN($H$1445)&gt;0),$H$1445,HLOOKUP(INDIRECT(ADDRESS(2,COLUMN())),OFFSET($T$2,0,0,ROW()-1,14),ROW()-1,FALSE))</x:f>
        <x:v>-10.513605</x:v>
      </x:c>
      <x:c r="I445">
        <x:f ca="1">IF(AND($B$1012=1,LEN($I$1445)&gt;0),$I$1445,HLOOKUP(INDIRECT(ADDRESS(2,COLUMN())),OFFSET($T$2,0,0,ROW()-1,14),ROW()-1,FALSE))</x:f>
        <x:v>-1.2987899999999999</x:v>
      </x:c>
      <x:c r="J445">
        <x:f ca="1">IF(AND($B$1012=1,LEN($J$1445)&gt;0),$J$1445,HLOOKUP(INDIRECT(ADDRESS(2,COLUMN())),OFFSET($T$2,0,0,ROW()-1,14),ROW()-1,FALSE))</x:f>
        <x:v>-8.9573350000000005</x:v>
      </x:c>
      <x:c r="K445">
        <x:f ca="1">IF(AND($B$1012=1,LEN($K$1445)&gt;0),$K$1445,HLOOKUP(INDIRECT(ADDRESS(2,COLUMN())),OFFSET($T$2,0,0,ROW()-1,14),ROW()-1,FALSE))</x:f>
        <x:v>-35.934525000000001</x:v>
      </x:c>
      <x:c r="L445">
        <x:f ca="1">IF(AND($B$1012=1,LEN($L$1445)&gt;0),$L$1445,HLOOKUP(INDIRECT(ADDRESS(2,COLUMN())),OFFSET($T$2,0,0,ROW()-1,14),ROW()-1,FALSE))</x:f>
        <x:v>-53.405929999999998</x:v>
      </x:c>
      <x:c r="M445">
        <x:f ca="1">IF(AND($B$1012=1,LEN($M$1445)&gt;0),$M$1445,HLOOKUP(INDIRECT(ADDRESS(2,COLUMN())),OFFSET($T$2,0,0,ROW()-1,14),ROW()-1,FALSE))</x:f>
        <x:v>-59.242539999999998</x:v>
      </x:c>
      <x:c r="N445">
        <x:f ca="1">IF(AND($B$1012=1,LEN($N$1445)&gt;0),$N$1445,HLOOKUP(INDIRECT(ADDRESS(2,COLUMN())),OFFSET($T$2,0,0,ROW()-1,14),ROW()-1,FALSE))</x:f>
        <x:v>-249.99963</x:v>
      </x:c>
      <x:c r="O445">
        <x:f ca="1">IF(AND($B$1012=1,LEN($O$1445)&gt;0),$O$1445,HLOOKUP(INDIRECT(ADDRESS(2,COLUMN())),OFFSET($T$2,0,0,ROW()-1,14),ROW()-1,FALSE))</x:f>
        <x:v>-24.244820000000001</x:v>
      </x:c>
      <x:c r="P445">
        <x:f ca="1">IF(AND($B$1012=1,LEN($P$1445)&gt;0),$P$1445,HLOOKUP(INDIRECT(ADDRESS(2,COLUMN())),OFFSET($T$2,0,0,ROW()-1,14),ROW()-1,FALSE))</x:f>
        <x:v>-13.07084</x:v>
      </x:c>
      <x:c r="Q445">
        <x:f ca="1">IF(AND($B$1012=1,LEN($Q$1445)&gt;0),$Q$1445,HLOOKUP(INDIRECT(ADDRESS(2,COLUMN())),OFFSET($T$2,0,0,ROW()-1,14),ROW()-1,FALSE))</x:f>
        <x:v>-24.311859999999999</x:v>
      </x:c>
      <x:c r="R445">
        <x:f ca="1">IF(AND($B$1012=1,LEN($R$1445)&gt;0),$R$1445,HLOOKUP(INDIRECT(ADDRESS(2,COLUMN())),OFFSET($T$2,0,0,ROW()-1,14),ROW()-1,FALSE))</x:f>
        <x:v>-10.205875000000001</x:v>
      </x:c>
      <x:c r="S445">
        <x:f ca="1">IF(AND($B$1012=1,LEN($S$1445)&gt;0),$S$1445,HLOOKUP(INDIRECT(ADDRESS(2,COLUMN())),OFFSET($T$2,0,0,ROW()-1,14),ROW()-1,FALSE))</x:f>
        <x:v>-22.835795000000001</x:v>
      </x:c>
      <x:c r="T445">
        <x:f>-28.69123</x:f>
        <x:v>-28.691230000000001</x:v>
      </x:c>
      <x:c r="U445">
        <x:f>-5.48712</x:f>
        <x:v>-5.48712</x:v>
      </x:c>
      <x:c r="V445">
        <x:f>-10.513605</x:f>
        <x:v>-10.513605</x:v>
      </x:c>
      <x:c r="W445">
        <x:f>-1.29879</x:f>
        <x:v>-1.2987899999999999</x:v>
      </x:c>
      <x:c r="X445">
        <x:f>-8.957335</x:f>
        <x:v>-8.9573350000000005</x:v>
      </x:c>
      <x:c r="Y445">
        <x:f>-35.934525</x:f>
        <x:v>-35.934525000000001</x:v>
      </x:c>
      <x:c r="Z445">
        <x:f>-53.40593</x:f>
        <x:v>-53.405929999999998</x:v>
      </x:c>
      <x:c r="AA445">
        <x:f>-59.24254</x:f>
        <x:v>-59.242539999999998</x:v>
      </x:c>
      <x:c r="AB445">
        <x:f>-249.99963</x:f>
        <x:v>-249.99963</x:v>
      </x:c>
      <x:c r="AC445">
        <x:f>-24.24482</x:f>
        <x:v>-24.244820000000001</x:v>
      </x:c>
      <x:c r="AD445">
        <x:f>-13.07084</x:f>
        <x:v>-13.07084</x:v>
      </x:c>
      <x:c r="AE445">
        <x:f>-24.31186</x:f>
        <x:v>-24.311859999999999</x:v>
      </x:c>
      <x:c r="AF445">
        <x:f>-10.205875</x:f>
        <x:v>-10.205875000000001</x:v>
      </x:c>
      <x:c r="AG445">
        <x:f>-22.835795</x:f>
        <x:v>-22.835795000000001</x:v>
      </x:c>
    </x:row>
    <x:row r="446" spans="1:33" x14ac:dyDescent="0.25">
      <x:c r="A446" t="str">
        <x:f>"        FlexShares Global Quality Real"</x:f>
        <x:v xml:space="preserve">        FlexShares Global Quality Real</x:v>
      </x:c>
      <x:c r="B446" t="str">
        <x:f>"GQRE US Equity"</x:f>
        <x:v>GQRE US Equity</x:v>
      </x:c>
      <x:c r="E446" t="str">
        <x:f t="shared" si="14"/>
        <x:v>Expression</x:v>
      </x:c>
      <x:c r="F446">
        <x:f ca="1">IF(AND($B$1012=1,LEN($F$1446)&gt;0),$F$1446,HLOOKUP(INDIRECT(ADDRESS(2,COLUMN())),OFFSET($T$2,0,0,ROW()-1,14),ROW()-1,FALSE))</x:f>
        <x:v>14.95786</x:v>
      </x:c>
      <x:c r="G446">
        <x:f ca="1">IF(AND($B$1012=1,LEN($G$1446)&gt;0),$G$1446,HLOOKUP(INDIRECT(ADDRESS(2,COLUMN())),OFFSET($T$2,0,0,ROW()-1,14),ROW()-1,FALSE))</x:f>
        <x:v>-25.634115000000001</x:v>
      </x:c>
      <x:c r="H446">
        <x:f ca="1">IF(AND($B$1012=1,LEN($H$1446)&gt;0),$H$1446,HLOOKUP(INDIRECT(ADDRESS(2,COLUMN())),OFFSET($T$2,0,0,ROW()-1,14),ROW()-1,FALSE))</x:f>
        <x:v>0</x:v>
      </x:c>
      <x:c r="I446">
        <x:f ca="1">IF(AND($B$1012=1,LEN($I$1446)&gt;0),$I$1446,HLOOKUP(INDIRECT(ADDRESS(2,COLUMN())),OFFSET($T$2,0,0,ROW()-1,14),ROW()-1,FALSE))</x:f>
        <x:v>-5.1804300000000003</x:v>
      </x:c>
      <x:c r="J446">
        <x:f ca="1">IF(AND($B$1012=1,LEN($J$1446)&gt;0),$J$1446,HLOOKUP(INDIRECT(ADDRESS(2,COLUMN())),OFFSET($T$2,0,0,ROW()-1,14),ROW()-1,FALSE))</x:f>
        <x:v>0</x:v>
      </x:c>
      <x:c r="K446">
        <x:f ca="1">IF(AND($B$1012=1,LEN($K$1446)&gt;0),$K$1446,HLOOKUP(INDIRECT(ADDRESS(2,COLUMN())),OFFSET($T$2,0,0,ROW()-1,14),ROW()-1,FALSE))</x:f>
        <x:v>-5.2254100000000001</x:v>
      </x:c>
      <x:c r="L446">
        <x:f ca="1">IF(AND($B$1012=1,LEN($L$1446)&gt;0),$L$1446,HLOOKUP(INDIRECT(ADDRESS(2,COLUMN())),OFFSET($T$2,0,0,ROW()-1,14),ROW()-1,FALSE))</x:f>
        <x:v>-7.8371750000000002</x:v>
      </x:c>
      <x:c r="M446">
        <x:f ca="1">IF(AND($B$1012=1,LEN($M$1446)&gt;0),$M$1446,HLOOKUP(INDIRECT(ADDRESS(2,COLUMN())),OFFSET($T$2,0,0,ROW()-1,14),ROW()-1,FALSE))</x:f>
        <x:v>-2.64466</x:v>
      </x:c>
      <x:c r="N446">
        <x:f ca="1">IF(AND($B$1012=1,LEN($N$1446)&gt;0),$N$1446,HLOOKUP(INDIRECT(ADDRESS(2,COLUMN())),OFFSET($T$2,0,0,ROW()-1,14),ROW()-1,FALSE))</x:f>
        <x:v>-8.128425</x:v>
      </x:c>
      <x:c r="O446">
        <x:f ca="1">IF(AND($B$1012=1,LEN($O$1446)&gt;0),$O$1446,HLOOKUP(INDIRECT(ADDRESS(2,COLUMN())),OFFSET($T$2,0,0,ROW()-1,14),ROW()-1,FALSE))</x:f>
        <x:v>5.4600900000000001</x:v>
      </x:c>
      <x:c r="P446">
        <x:f ca="1">IF(AND($B$1012=1,LEN($P$1446)&gt;0),$P$1446,HLOOKUP(INDIRECT(ADDRESS(2,COLUMN())),OFFSET($T$2,0,0,ROW()-1,14),ROW()-1,FALSE))</x:f>
        <x:v>-2.8137850000000002</x:v>
      </x:c>
      <x:c r="Q446">
        <x:f ca="1">IF(AND($B$1012=1,LEN($Q$1446)&gt;0),$Q$1446,HLOOKUP(INDIRECT(ADDRESS(2,COLUMN())),OFFSET($T$2,0,0,ROW()-1,14),ROW()-1,FALSE))</x:f>
        <x:v>-2.6264400000000001</x:v>
      </x:c>
      <x:c r="R446">
        <x:f ca="1">IF(AND($B$1012=1,LEN($R$1446)&gt;0),$R$1446,HLOOKUP(INDIRECT(ADDRESS(2,COLUMN())),OFFSET($T$2,0,0,ROW()-1,14),ROW()-1,FALSE))</x:f>
        <x:v>1.5925000000000002E-2</x:v>
      </x:c>
      <x:c r="S446">
        <x:f ca="1">IF(AND($B$1012=1,LEN($S$1446)&gt;0),$S$1446,HLOOKUP(INDIRECT(ADDRESS(2,COLUMN())),OFFSET($T$2,0,0,ROW()-1,14),ROW()-1,FALSE))</x:f>
        <x:v>-2.4799099999999998</x:v>
      </x:c>
      <x:c r="T446">
        <x:f>14.95786</x:f>
        <x:v>14.95786</x:v>
      </x:c>
      <x:c r="U446">
        <x:f>-25.634115</x:f>
        <x:v>-25.634115000000001</x:v>
      </x:c>
      <x:c r="V446">
        <x:f>0</x:f>
        <x:v>0</x:v>
      </x:c>
      <x:c r="W446">
        <x:f>-5.18043</x:f>
        <x:v>-5.1804300000000003</x:v>
      </x:c>
      <x:c r="X446">
        <x:f>0</x:f>
        <x:v>0</x:v>
      </x:c>
      <x:c r="Y446">
        <x:f>-5.22541</x:f>
        <x:v>-5.2254100000000001</x:v>
      </x:c>
      <x:c r="Z446">
        <x:f>-7.837175</x:f>
        <x:v>-7.8371750000000002</x:v>
      </x:c>
      <x:c r="AA446">
        <x:f>-2.64466</x:f>
        <x:v>-2.64466</x:v>
      </x:c>
      <x:c r="AB446">
        <x:f>-8.128425</x:f>
        <x:v>-8.128425</x:v>
      </x:c>
      <x:c r="AC446">
        <x:f>5.46009</x:f>
        <x:v>5.4600900000000001</x:v>
      </x:c>
      <x:c r="AD446">
        <x:f>-2.813785</x:f>
        <x:v>-2.8137850000000002</x:v>
      </x:c>
      <x:c r="AE446">
        <x:f>-2.62644</x:f>
        <x:v>-2.6264400000000001</x:v>
      </x:c>
      <x:c r="AF446">
        <x:f>0.015925</x:f>
        <x:v>1.5925000000000002E-2</x:v>
      </x:c>
      <x:c r="AG446">
        <x:f>-2.47991</x:f>
        <x:v>-2.4799099999999998</x:v>
      </x:c>
    </x:row>
    <x:row r="447" spans="1:33" x14ac:dyDescent="0.25">
      <x:c r="A447" t="str">
        <x:f>"        First Trust S&amp;P REIT Index Fun"</x:f>
        <x:v xml:space="preserve">        First Trust S&amp;P REIT Index Fun</x:v>
      </x:c>
      <x:c r="B447" t="str">
        <x:f>"FRI US Equity"</x:f>
        <x:v>FRI US Equity</x:v>
      </x:c>
      <x:c r="E447" t="str">
        <x:f t="shared" si="14"/>
        <x:v>Expression</x:v>
      </x:c>
      <x:c r="F447">
        <x:f ca="1">IF(AND($B$1012=1,LEN($F$1447)&gt;0),$F$1447,HLOOKUP(INDIRECT(ADDRESS(2,COLUMN())),OFFSET($T$2,0,0,ROW()-1,14),ROW()-1,FALSE))</x:f>
        <x:v>-2.2361249999999999</x:v>
      </x:c>
      <x:c r="G447">
        <x:f ca="1">IF(AND($B$1012=1,LEN($G$1447)&gt;0),$G$1447,HLOOKUP(INDIRECT(ADDRESS(2,COLUMN())),OFFSET($T$2,0,0,ROW()-1,14),ROW()-1,FALSE))</x:f>
        <x:v>-3.3938470000000001</x:v>
      </x:c>
      <x:c r="H447">
        <x:f ca="1">IF(AND($B$1012=1,LEN($H$1447)&gt;0),$H$1447,HLOOKUP(INDIRECT(ADDRESS(2,COLUMN())),OFFSET($T$2,0,0,ROW()-1,14),ROW()-1,FALSE))</x:f>
        <x:v>-2.3211240000000002</x:v>
      </x:c>
      <x:c r="I447">
        <x:f ca="1">IF(AND($B$1012=1,LEN($I$1447)&gt;0),$I$1447,HLOOKUP(INDIRECT(ADDRESS(2,COLUMN())),OFFSET($T$2,0,0,ROW()-1,14),ROW()-1,FALSE))</x:f>
        <x:v>3.7685</x:v>
      </x:c>
      <x:c r="J447">
        <x:f ca="1">IF(AND($B$1012=1,LEN($J$1447)&gt;0),$J$1447,HLOOKUP(INDIRECT(ADDRESS(2,COLUMN())),OFFSET($T$2,0,0,ROW()-1,14),ROW()-1,FALSE))</x:f>
        <x:v>3.8085</x:v>
      </x:c>
      <x:c r="K447">
        <x:f ca="1">IF(AND($B$1012=1,LEN($K$1447)&gt;0),$K$1447,HLOOKUP(INDIRECT(ADDRESS(2,COLUMN())),OFFSET($T$2,0,0,ROW()-1,14),ROW()-1,FALSE))</x:f>
        <x:v>-3.6724999999999999</x:v>
      </x:c>
      <x:c r="L447">
        <x:f ca="1">IF(AND($B$1012=1,LEN($L$1447)&gt;0),$L$1447,HLOOKUP(INDIRECT(ADDRESS(2,COLUMN())),OFFSET($T$2,0,0,ROW()-1,14),ROW()-1,FALSE))</x:f>
        <x:v>-4.8514999999999997</x:v>
      </x:c>
      <x:c r="M447">
        <x:f ca="1">IF(AND($B$1012=1,LEN($M$1447)&gt;0),$M$1447,HLOOKUP(INDIRECT(ADDRESS(2,COLUMN())),OFFSET($T$2,0,0,ROW()-1,14),ROW()-1,FALSE))</x:f>
        <x:v>-2.4E-2</x:v>
      </x:c>
      <x:c r="N447">
        <x:f ca="1">IF(AND($B$1012=1,LEN($N$1447)&gt;0),$N$1447,HLOOKUP(INDIRECT(ADDRESS(2,COLUMN())),OFFSET($T$2,0,0,ROW()-1,14),ROW()-1,FALSE))</x:f>
        <x:v>0</x:v>
      </x:c>
      <x:c r="O447">
        <x:f ca="1">IF(AND($B$1012=1,LEN($O$1447)&gt;0),$O$1447,HLOOKUP(INDIRECT(ADDRESS(2,COLUMN())),OFFSET($T$2,0,0,ROW()-1,14),ROW()-1,FALSE))</x:f>
        <x:v>-1.3045</x:v>
      </x:c>
      <x:c r="P447">
        <x:f ca="1">IF(AND($B$1012=1,LEN($P$1447)&gt;0),$P$1447,HLOOKUP(INDIRECT(ADDRESS(2,COLUMN())),OFFSET($T$2,0,0,ROW()-1,14),ROW()-1,FALSE))</x:f>
        <x:v>-8.8230000000000004</x:v>
      </x:c>
      <x:c r="Q447">
        <x:f ca="1">IF(AND($B$1012=1,LEN($Q$1447)&gt;0),$Q$1447,HLOOKUP(INDIRECT(ADDRESS(2,COLUMN())),OFFSET($T$2,0,0,ROW()-1,14),ROW()-1,FALSE))</x:f>
        <x:v>-4.7856430000000003</x:v>
      </x:c>
      <x:c r="R447">
        <x:f ca="1">IF(AND($B$1012=1,LEN($R$1447)&gt;0),$R$1447,HLOOKUP(INDIRECT(ADDRESS(2,COLUMN())),OFFSET($T$2,0,0,ROW()-1,14),ROW()-1,FALSE))</x:f>
        <x:v>-7.4914230000000002</x:v>
      </x:c>
      <x:c r="S447">
        <x:f ca="1">IF(AND($B$1012=1,LEN($S$1447)&gt;0),$S$1447,HLOOKUP(INDIRECT(ADDRESS(2,COLUMN())),OFFSET($T$2,0,0,ROW()-1,14),ROW()-1,FALSE))</x:f>
        <x:v>-15.356688</x:v>
      </x:c>
      <x:c r="T447">
        <x:f>-2.236125</x:f>
        <x:v>-2.2361249999999999</x:v>
      </x:c>
      <x:c r="U447">
        <x:f>-3.393847</x:f>
        <x:v>-3.3938470000000001</x:v>
      </x:c>
      <x:c r="V447">
        <x:f>-2.321124</x:f>
        <x:v>-2.3211240000000002</x:v>
      </x:c>
      <x:c r="W447">
        <x:f>3.7685</x:f>
        <x:v>3.7685</x:v>
      </x:c>
      <x:c r="X447">
        <x:f>3.8085</x:f>
        <x:v>3.8085</x:v>
      </x:c>
      <x:c r="Y447">
        <x:f>-3.6725</x:f>
        <x:v>-3.6724999999999999</x:v>
      </x:c>
      <x:c r="Z447">
        <x:f>-4.8515</x:f>
        <x:v>-4.8514999999999997</x:v>
      </x:c>
      <x:c r="AA447">
        <x:f>-0.024</x:f>
        <x:v>-2.4E-2</x:v>
      </x:c>
      <x:c r="AB447">
        <x:f>0</x:f>
        <x:v>0</x:v>
      </x:c>
      <x:c r="AC447">
        <x:f>-1.3045</x:f>
        <x:v>-1.3045</x:v>
      </x:c>
      <x:c r="AD447">
        <x:f>-8.823</x:f>
        <x:v>-8.8230000000000004</x:v>
      </x:c>
      <x:c r="AE447">
        <x:f>-4.785643</x:f>
        <x:v>-4.7856430000000003</x:v>
      </x:c>
      <x:c r="AF447">
        <x:f>-7.491423</x:f>
        <x:v>-7.4914230000000002</x:v>
      </x:c>
      <x:c r="AG447">
        <x:f>-15.356688</x:f>
        <x:v>-15.356688</x:v>
      </x:c>
    </x:row>
    <x:row r="448" spans="1:33" x14ac:dyDescent="0.25">
      <x:c r="A448" t="str">
        <x:f>"        ProShares Ultra Real Estate"</x:f>
        <x:v xml:space="preserve">        ProShares Ultra Real Estate</x:v>
      </x:c>
      <x:c r="B448" t="str">
        <x:f>"URE US Equity"</x:f>
        <x:v>URE US Equity</x:v>
      </x:c>
      <x:c r="E448" t="str">
        <x:f t="shared" si="14"/>
        <x:v>Expression</x:v>
      </x:c>
      <x:c r="F448">
        <x:f ca="1">IF(AND($B$1012=1,LEN($F$1448)&gt;0),$F$1448,HLOOKUP(INDIRECT(ADDRESS(2,COLUMN())),OFFSET($T$2,0,0,ROW()-1,14),ROW()-1,FALSE))</x:f>
        <x:v>0</x:v>
      </x:c>
      <x:c r="G448">
        <x:f ca="1">IF(AND($B$1012=1,LEN($G$1448)&gt;0),$G$1448,HLOOKUP(INDIRECT(ADDRESS(2,COLUMN())),OFFSET($T$2,0,0,ROW()-1,14),ROW()-1,FALSE))</x:f>
        <x:v>0</x:v>
      </x:c>
      <x:c r="H448">
        <x:f ca="1">IF(AND($B$1012=1,LEN($H$1448)&gt;0),$H$1448,HLOOKUP(INDIRECT(ADDRESS(2,COLUMN())),OFFSET($T$2,0,0,ROW()-1,14),ROW()-1,FALSE))</x:f>
        <x:v>0</x:v>
      </x:c>
      <x:c r="I448">
        <x:f ca="1">IF(AND($B$1012=1,LEN($I$1448)&gt;0),$I$1448,HLOOKUP(INDIRECT(ADDRESS(2,COLUMN())),OFFSET($T$2,0,0,ROW()-1,14),ROW()-1,FALSE))</x:f>
        <x:v>0</x:v>
      </x:c>
      <x:c r="J448">
        <x:f ca="1">IF(AND($B$1012=1,LEN($J$1448)&gt;0),$J$1448,HLOOKUP(INDIRECT(ADDRESS(2,COLUMN())),OFFSET($T$2,0,0,ROW()-1,14),ROW()-1,FALSE))</x:f>
        <x:v>-1.457657</x:v>
      </x:c>
      <x:c r="K448">
        <x:f ca="1">IF(AND($B$1012=1,LEN($K$1448)&gt;0),$K$1448,HLOOKUP(INDIRECT(ADDRESS(2,COLUMN())),OFFSET($T$2,0,0,ROW()-1,14),ROW()-1,FALSE))</x:f>
        <x:v>-1.4533180000000001</x:v>
      </x:c>
      <x:c r="L448">
        <x:f ca="1">IF(AND($B$1012=1,LEN($L$1448)&gt;0),$L$1448,HLOOKUP(INDIRECT(ADDRESS(2,COLUMN())),OFFSET($T$2,0,0,ROW()-1,14),ROW()-1,FALSE))</x:f>
        <x:v>0</x:v>
      </x:c>
      <x:c r="M448">
        <x:f ca="1">IF(AND($B$1012=1,LEN($M$1448)&gt;0),$M$1448,HLOOKUP(INDIRECT(ADDRESS(2,COLUMN())),OFFSET($T$2,0,0,ROW()-1,14),ROW()-1,FALSE))</x:f>
        <x:v>0</x:v>
      </x:c>
      <x:c r="N448">
        <x:f ca="1">IF(AND($B$1012=1,LEN($N$1448)&gt;0),$N$1448,HLOOKUP(INDIRECT(ADDRESS(2,COLUMN())),OFFSET($T$2,0,0,ROW()-1,14),ROW()-1,FALSE))</x:f>
        <x:v>-8.4644999999999998E-2</x:v>
      </x:c>
      <x:c r="O448">
        <x:f ca="1">IF(AND($B$1012=1,LEN($O$1448)&gt;0),$O$1448,HLOOKUP(INDIRECT(ADDRESS(2,COLUMN())),OFFSET($T$2,0,0,ROW()-1,14),ROW()-1,FALSE))</x:f>
        <x:v>0</x:v>
      </x:c>
      <x:c r="P448">
        <x:f ca="1">IF(AND($B$1012=1,LEN($P$1448)&gt;0),$P$1448,HLOOKUP(INDIRECT(ADDRESS(2,COLUMN())),OFFSET($T$2,0,0,ROW()-1,14),ROW()-1,FALSE))</x:f>
        <x:v>-1.6304369999999999</x:v>
      </x:c>
      <x:c r="Q448">
        <x:f ca="1">IF(AND($B$1012=1,LEN($Q$1448)&gt;0),$Q$1448,HLOOKUP(INDIRECT(ADDRESS(2,COLUMN())),OFFSET($T$2,0,0,ROW()-1,14),ROW()-1,FALSE))</x:f>
        <x:v>0</x:v>
      </x:c>
      <x:c r="R448">
        <x:f ca="1">IF(AND($B$1012=1,LEN($R$1448)&gt;0),$R$1448,HLOOKUP(INDIRECT(ADDRESS(2,COLUMN())),OFFSET($T$2,0,0,ROW()-1,14),ROW()-1,FALSE))</x:f>
        <x:v>0</x:v>
      </x:c>
      <x:c r="S448">
        <x:f ca="1">IF(AND($B$1012=1,LEN($S$1448)&gt;0),$S$1448,HLOOKUP(INDIRECT(ADDRESS(2,COLUMN())),OFFSET($T$2,0,0,ROW()-1,14),ROW()-1,FALSE))</x:f>
        <x:v>-1.3984019999999999</x:v>
      </x:c>
      <x:c r="T448">
        <x:f>0</x:f>
        <x:v>0</x:v>
      </x:c>
      <x:c r="U448">
        <x:f>0</x:f>
        <x:v>0</x:v>
      </x:c>
      <x:c r="V448">
        <x:f>0</x:f>
        <x:v>0</x:v>
      </x:c>
      <x:c r="W448">
        <x:f>0</x:f>
        <x:v>0</x:v>
      </x:c>
      <x:c r="X448">
        <x:f>-1.457657</x:f>
        <x:v>-1.457657</x:v>
      </x:c>
      <x:c r="Y448">
        <x:f>-1.453318</x:f>
        <x:v>-1.4533180000000001</x:v>
      </x:c>
      <x:c r="Z448">
        <x:f>0</x:f>
        <x:v>0</x:v>
      </x:c>
      <x:c r="AA448">
        <x:f>0</x:f>
        <x:v>0</x:v>
      </x:c>
      <x:c r="AB448">
        <x:f>-0.084645</x:f>
        <x:v>-8.4644999999999998E-2</x:v>
      </x:c>
      <x:c r="AC448">
        <x:f>0</x:f>
        <x:v>0</x:v>
      </x:c>
      <x:c r="AD448">
        <x:f>-1.630437</x:f>
        <x:v>-1.6304369999999999</x:v>
      </x:c>
      <x:c r="AE448">
        <x:f>0</x:f>
        <x:v>0</x:v>
      </x:c>
      <x:c r="AF448">
        <x:f>0</x:f>
        <x:v>0</x:v>
      </x:c>
      <x:c r="AG448">
        <x:f>-1.398402</x:f>
        <x:v>-1.3984019999999999</x:v>
      </x:c>
    </x:row>
    <x:row r="449" spans="1:33" x14ac:dyDescent="0.25">
      <x:c r="A449" t="str">
        <x:f>"        VanEck Mortgage REIT Income ET"</x:f>
        <x:v xml:space="preserve">        VanEck Mortgage REIT Income ET</x:v>
      </x:c>
      <x:c r="B449" t="str">
        <x:f>"MORT US Equity"</x:f>
        <x:v>MORT US Equity</x:v>
      </x:c>
      <x:c r="E449" t="str">
        <x:f t="shared" si="14"/>
        <x:v>Expression</x:v>
      </x:c>
      <x:c r="F449">
        <x:f ca="1">IF(AND($B$1012=1,LEN($F$1449)&gt;0),$F$1449,HLOOKUP(INDIRECT(ADDRESS(2,COLUMN())),OFFSET($T$2,0,0,ROW()-1,14),ROW()-1,FALSE))</x:f>
        <x:v>0</x:v>
      </x:c>
      <x:c r="G449">
        <x:f ca="1">IF(AND($B$1012=1,LEN($G$1449)&gt;0),$G$1449,HLOOKUP(INDIRECT(ADDRESS(2,COLUMN())),OFFSET($T$2,0,0,ROW()-1,14),ROW()-1,FALSE))</x:f>
        <x:v>6.2390499999999998</x:v>
      </x:c>
      <x:c r="H449">
        <x:f ca="1">IF(AND($B$1012=1,LEN($H$1449)&gt;0),$H$1449,HLOOKUP(INDIRECT(ADDRESS(2,COLUMN())),OFFSET($T$2,0,0,ROW()-1,14),ROW()-1,FALSE))</x:f>
        <x:v>1.1284149999999999</x:v>
      </x:c>
      <x:c r="I449">
        <x:f ca="1">IF(AND($B$1012=1,LEN($I$1449)&gt;0),$I$1449,HLOOKUP(INDIRECT(ADDRESS(2,COLUMN())),OFFSET($T$2,0,0,ROW()-1,14),ROW()-1,FALSE))</x:f>
        <x:v>2.3303999999999998E-2</x:v>
      </x:c>
      <x:c r="J449">
        <x:f ca="1">IF(AND($B$1012=1,LEN($J$1449)&gt;0),$J$1449,HLOOKUP(INDIRECT(ADDRESS(2,COLUMN())),OFFSET($T$2,0,0,ROW()-1,14),ROW()-1,FALSE))</x:f>
        <x:v>3.0188459999999999</x:v>
      </x:c>
      <x:c r="K449">
        <x:f ca="1">IF(AND($B$1012=1,LEN($K$1449)&gt;0),$K$1449,HLOOKUP(INDIRECT(ADDRESS(2,COLUMN())),OFFSET($T$2,0,0,ROW()-1,14),ROW()-1,FALSE))</x:f>
        <x:v>5.2343970000000004</x:v>
      </x:c>
      <x:c r="L449">
        <x:f ca="1">IF(AND($B$1012=1,LEN($L$1449)&gt;0),$L$1449,HLOOKUP(INDIRECT(ADDRESS(2,COLUMN())),OFFSET($T$2,0,0,ROW()-1,14),ROW()-1,FALSE))</x:f>
        <x:v>3.1398009999999998</x:v>
      </x:c>
      <x:c r="M449">
        <x:f ca="1">IF(AND($B$1012=1,LEN($M$1449)&gt;0),$M$1449,HLOOKUP(INDIRECT(ADDRESS(2,COLUMN())),OFFSET($T$2,0,0,ROW()-1,14),ROW()-1,FALSE))</x:f>
        <x:v>24.640986999999999</x:v>
      </x:c>
      <x:c r="N449">
        <x:f ca="1">IF(AND($B$1012=1,LEN($N$1449)&gt;0),$N$1449,HLOOKUP(INDIRECT(ADDRESS(2,COLUMN())),OFFSET($T$2,0,0,ROW()-1,14),ROW()-1,FALSE))</x:f>
        <x:v>1.012006</x:v>
      </x:c>
      <x:c r="O449">
        <x:f ca="1">IF(AND($B$1012=1,LEN($O$1449)&gt;0),$O$1449,HLOOKUP(INDIRECT(ADDRESS(2,COLUMN())),OFFSET($T$2,0,0,ROW()-1,14),ROW()-1,FALSE))</x:f>
        <x:v>7.2278010000000004</x:v>
      </x:c>
      <x:c r="P449">
        <x:f ca="1">IF(AND($B$1012=1,LEN($P$1449)&gt;0),$P$1449,HLOOKUP(INDIRECT(ADDRESS(2,COLUMN())),OFFSET($T$2,0,0,ROW()-1,14),ROW()-1,FALSE))</x:f>
        <x:v>3.5849709999999999</x:v>
      </x:c>
      <x:c r="Q449">
        <x:f ca="1">IF(AND($B$1012=1,LEN($Q$1449)&gt;0),$Q$1449,HLOOKUP(INDIRECT(ADDRESS(2,COLUMN())),OFFSET($T$2,0,0,ROW()-1,14),ROW()-1,FALSE))</x:f>
        <x:v>5.6350179999999996</x:v>
      </x:c>
      <x:c r="R449">
        <x:f ca="1">IF(AND($B$1012=1,LEN($R$1449)&gt;0),$R$1449,HLOOKUP(INDIRECT(ADDRESS(2,COLUMN())),OFFSET($T$2,0,0,ROW()-1,14),ROW()-1,FALSE))</x:f>
        <x:v>3.7770980000000001</x:v>
      </x:c>
      <x:c r="S449">
        <x:f ca="1">IF(AND($B$1012=1,LEN($S$1449)&gt;0),$S$1449,HLOOKUP(INDIRECT(ADDRESS(2,COLUMN())),OFFSET($T$2,0,0,ROW()-1,14),ROW()-1,FALSE))</x:f>
        <x:v>3.8635229999999998</x:v>
      </x:c>
      <x:c r="T449">
        <x:f>0</x:f>
        <x:v>0</x:v>
      </x:c>
      <x:c r="U449">
        <x:f>6.23905</x:f>
        <x:v>6.2390499999999998</x:v>
      </x:c>
      <x:c r="V449">
        <x:f>1.128415</x:f>
        <x:v>1.1284149999999999</x:v>
      </x:c>
      <x:c r="W449">
        <x:f>0.023304</x:f>
        <x:v>2.3303999999999998E-2</x:v>
      </x:c>
      <x:c r="X449">
        <x:f>3.018846</x:f>
        <x:v>3.0188459999999999</x:v>
      </x:c>
      <x:c r="Y449">
        <x:f>5.234397</x:f>
        <x:v>5.2343970000000004</x:v>
      </x:c>
      <x:c r="Z449">
        <x:f>3.139801</x:f>
        <x:v>3.1398009999999998</x:v>
      </x:c>
      <x:c r="AA449">
        <x:f>24.640987</x:f>
        <x:v>24.640986999999999</x:v>
      </x:c>
      <x:c r="AB449">
        <x:f>1.012006</x:f>
        <x:v>1.012006</x:v>
      </x:c>
      <x:c r="AC449">
        <x:f>7.227801</x:f>
        <x:v>7.2278010000000004</x:v>
      </x:c>
      <x:c r="AD449">
        <x:f>3.584971</x:f>
        <x:v>3.5849709999999999</x:v>
      </x:c>
      <x:c r="AE449">
        <x:f>5.635018</x:f>
        <x:v>5.6350179999999996</x:v>
      </x:c>
      <x:c r="AF449">
        <x:f>3.777098</x:f>
        <x:v>3.7770980000000001</x:v>
      </x:c>
      <x:c r="AG449">
        <x:f>3.863523</x:f>
        <x:v>3.8635229999999998</x:v>
      </x:c>
    </x:row>
    <x:row r="450" spans="1:33" x14ac:dyDescent="0.25">
      <x:c r="A450" t="str">
        <x:f>"        iShares International Develope"</x:f>
        <x:v xml:space="preserve">        iShares International Develope</x:v>
      </x:c>
      <x:c r="B450" t="str">
        <x:f>"WPS US Equity"</x:f>
        <x:v>WPS US Equity</x:v>
      </x:c>
      <x:c r="E450" t="str">
        <x:f t="shared" si="14"/>
        <x:v>Expression</x:v>
      </x:c>
      <x:c r="F450">
        <x:f ca="1">IF(AND($B$1012=1,LEN($F$1450)&gt;0),$F$1450,HLOOKUP(INDIRECT(ADDRESS(2,COLUMN())),OFFSET($T$2,0,0,ROW()-1,14),ROW()-1,FALSE))</x:f>
        <x:v>-2.513884</x:v>
      </x:c>
      <x:c r="G450">
        <x:f ca="1">IF(AND($B$1012=1,LEN($G$1450)&gt;0),$G$1450,HLOOKUP(INDIRECT(ADDRESS(2,COLUMN())),OFFSET($T$2,0,0,ROW()-1,14),ROW()-1,FALSE))</x:f>
        <x:v>0</x:v>
      </x:c>
      <x:c r="H450">
        <x:f ca="1">IF(AND($B$1012=1,LEN($H$1450)&gt;0),$H$1450,HLOOKUP(INDIRECT(ADDRESS(2,COLUMN())),OFFSET($T$2,0,0,ROW()-1,14),ROW()-1,FALSE))</x:f>
        <x:v>0</x:v>
      </x:c>
      <x:c r="I450">
        <x:f ca="1">IF(AND($B$1012=1,LEN($I$1450)&gt;0),$I$1450,HLOOKUP(INDIRECT(ADDRESS(2,COLUMN())),OFFSET($T$2,0,0,ROW()-1,14),ROW()-1,FALSE))</x:f>
        <x:v>0</x:v>
      </x:c>
      <x:c r="J450">
        <x:f ca="1">IF(AND($B$1012=1,LEN($J$1450)&gt;0),$J$1450,HLOOKUP(INDIRECT(ADDRESS(2,COLUMN())),OFFSET($T$2,0,0,ROW()-1,14),ROW()-1,FALSE))</x:f>
        <x:v>-2.6133299999999999</x:v>
      </x:c>
      <x:c r="K450">
        <x:f ca="1">IF(AND($B$1012=1,LEN($K$1450)&gt;0),$K$1450,HLOOKUP(INDIRECT(ADDRESS(2,COLUMN())),OFFSET($T$2,0,0,ROW()-1,14),ROW()-1,FALSE))</x:f>
        <x:v>0</x:v>
      </x:c>
      <x:c r="L450">
        <x:f ca="1">IF(AND($B$1012=1,LEN($L$1450)&gt;0),$L$1450,HLOOKUP(INDIRECT(ADDRESS(2,COLUMN())),OFFSET($T$2,0,0,ROW()-1,14),ROW()-1,FALSE))</x:f>
        <x:v>0</x:v>
      </x:c>
      <x:c r="M450">
        <x:f ca="1">IF(AND($B$1012=1,LEN($M$1450)&gt;0),$M$1450,HLOOKUP(INDIRECT(ADDRESS(2,COLUMN())),OFFSET($T$2,0,0,ROW()-1,14),ROW()-1,FALSE))</x:f>
        <x:v>0</x:v>
      </x:c>
      <x:c r="N450">
        <x:f ca="1">IF(AND($B$1012=1,LEN($N$1450)&gt;0),$N$1450,HLOOKUP(INDIRECT(ADDRESS(2,COLUMN())),OFFSET($T$2,0,0,ROW()-1,14),ROW()-1,FALSE))</x:f>
        <x:v>0</x:v>
      </x:c>
      <x:c r="O450">
        <x:f ca="1">IF(AND($B$1012=1,LEN($O$1450)&gt;0),$O$1450,HLOOKUP(INDIRECT(ADDRESS(2,COLUMN())),OFFSET($T$2,0,0,ROW()-1,14),ROW()-1,FALSE))</x:f>
        <x:v>0</x:v>
      </x:c>
      <x:c r="P450">
        <x:f ca="1">IF(AND($B$1012=1,LEN($P$1450)&gt;0),$P$1450,HLOOKUP(INDIRECT(ADDRESS(2,COLUMN())),OFFSET($T$2,0,0,ROW()-1,14),ROW()-1,FALSE))</x:f>
        <x:v>-2.9533</x:v>
      </x:c>
      <x:c r="Q450">
        <x:f ca="1">IF(AND($B$1012=1,LEN($Q$1450)&gt;0),$Q$1450,HLOOKUP(INDIRECT(ADDRESS(2,COLUMN())),OFFSET($T$2,0,0,ROW()-1,14),ROW()-1,FALSE))</x:f>
        <x:v>0</x:v>
      </x:c>
      <x:c r="R450">
        <x:f ca="1">IF(AND($B$1012=1,LEN($R$1450)&gt;0),$R$1450,HLOOKUP(INDIRECT(ADDRESS(2,COLUMN())),OFFSET($T$2,0,0,ROW()-1,14),ROW()-1,FALSE))</x:f>
        <x:v>0</x:v>
      </x:c>
      <x:c r="S450">
        <x:f ca="1">IF(AND($B$1012=1,LEN($S$1450)&gt;0),$S$1450,HLOOKUP(INDIRECT(ADDRESS(2,COLUMN())),OFFSET($T$2,0,0,ROW()-1,14),ROW()-1,FALSE))</x:f>
        <x:v>0</x:v>
      </x:c>
      <x:c r="T450">
        <x:f>-2.513884</x:f>
        <x:v>-2.513884</x:v>
      </x:c>
      <x:c r="U450">
        <x:f>0</x:f>
        <x:v>0</x:v>
      </x:c>
      <x:c r="V450">
        <x:f>0</x:f>
        <x:v>0</x:v>
      </x:c>
      <x:c r="W450">
        <x:f>0</x:f>
        <x:v>0</x:v>
      </x:c>
      <x:c r="X450">
        <x:f>-2.61333</x:f>
        <x:v>-2.6133299999999999</x:v>
      </x:c>
      <x:c r="Y450">
        <x:f>0</x:f>
        <x:v>0</x:v>
      </x:c>
      <x:c r="Z450">
        <x:f>0</x:f>
        <x:v>0</x:v>
      </x:c>
      <x:c r="AA450">
        <x:f>0</x:f>
        <x:v>0</x:v>
      </x:c>
      <x:c r="AB450">
        <x:f>0</x:f>
        <x:v>0</x:v>
      </x:c>
      <x:c r="AC450">
        <x:f>0</x:f>
        <x:v>0</x:v>
      </x:c>
      <x:c r="AD450">
        <x:f>-2.9533</x:f>
        <x:v>-2.9533</x:v>
      </x:c>
      <x:c r="AE450">
        <x:f>0</x:f>
        <x:v>0</x:v>
      </x:c>
      <x:c r="AF450">
        <x:f>0</x:f>
        <x:v>0</x:v>
      </x:c>
      <x:c r="AG450">
        <x:f>0</x:f>
        <x:v>0</x:v>
      </x:c>
    </x:row>
    <x:row r="451" spans="1:33" x14ac:dyDescent="0.25">
      <x:c r="A451" t="str">
        <x:f>"        iShares Core US REIT ETF"</x:f>
        <x:v xml:space="preserve">        iShares Core US REIT ETF</x:v>
      </x:c>
      <x:c r="B451" t="str">
        <x:f>"USRT US Equity"</x:f>
        <x:v>USRT US Equity</x:v>
      </x:c>
      <x:c r="E451" t="str">
        <x:f t="shared" si="14"/>
        <x:v>Expression</x:v>
      </x:c>
      <x:c r="F451">
        <x:f ca="1">IF(AND($B$1012=1,LEN($F$1451)&gt;0),$F$1451,HLOOKUP(INDIRECT(ADDRESS(2,COLUMN())),OFFSET($T$2,0,0,ROW()-1,14),ROW()-1,FALSE))</x:f>
        <x:v>14.178777999999999</x:v>
      </x:c>
      <x:c r="G451">
        <x:f ca="1">IF(AND($B$1012=1,LEN($G$1451)&gt;0),$G$1451,HLOOKUP(INDIRECT(ADDRESS(2,COLUMN())),OFFSET($T$2,0,0,ROW()-1,14),ROW()-1,FALSE))</x:f>
        <x:v>71.857983000000004</x:v>
      </x:c>
      <x:c r="H451">
        <x:f ca="1">IF(AND($B$1012=1,LEN($H$1451)&gt;0),$H$1451,HLOOKUP(INDIRECT(ADDRESS(2,COLUMN())),OFFSET($T$2,0,0,ROW()-1,14),ROW()-1,FALSE))</x:f>
        <x:v>22.441163</x:v>
      </x:c>
      <x:c r="I451">
        <x:f ca="1">IF(AND($B$1012=1,LEN($I$1451)&gt;0),$I$1451,HLOOKUP(INDIRECT(ADDRESS(2,COLUMN())),OFFSET($T$2,0,0,ROW()-1,14),ROW()-1,FALSE))</x:f>
        <x:v>-91.334919999999997</x:v>
      </x:c>
      <x:c r="J451">
        <x:f ca="1">IF(AND($B$1012=1,LEN($J$1451)&gt;0),$J$1451,HLOOKUP(INDIRECT(ADDRESS(2,COLUMN())),OFFSET($T$2,0,0,ROW()-1,14),ROW()-1,FALSE))</x:f>
        <x:v>18.350415000000002</x:v>
      </x:c>
      <x:c r="K451">
        <x:f ca="1">IF(AND($B$1012=1,LEN($K$1451)&gt;0),$K$1451,HLOOKUP(INDIRECT(ADDRESS(2,COLUMN())),OFFSET($T$2,0,0,ROW()-1,14),ROW()-1,FALSE))</x:f>
        <x:v>175.98016999999999</x:v>
      </x:c>
      <x:c r="L451">
        <x:f ca="1">IF(AND($B$1012=1,LEN($L$1451)&gt;0),$L$1451,HLOOKUP(INDIRECT(ADDRESS(2,COLUMN())),OFFSET($T$2,0,0,ROW()-1,14),ROW()-1,FALSE))</x:f>
        <x:v>-14.90619</x:v>
      </x:c>
      <x:c r="M451">
        <x:f ca="1">IF(AND($B$1012=1,LEN($M$1451)&gt;0),$M$1451,HLOOKUP(INDIRECT(ADDRESS(2,COLUMN())),OFFSET($T$2,0,0,ROW()-1,14),ROW()-1,FALSE))</x:f>
        <x:v>-7.4539200000000001</x:v>
      </x:c>
      <x:c r="N451">
        <x:f ca="1">IF(AND($B$1012=1,LEN($N$1451)&gt;0),$N$1451,HLOOKUP(INDIRECT(ADDRESS(2,COLUMN())),OFFSET($T$2,0,0,ROW()-1,14),ROW()-1,FALSE))</x:f>
        <x:v>-45.281165000000001</x:v>
      </x:c>
      <x:c r="O451">
        <x:f ca="1">IF(AND($B$1012=1,LEN($O$1451)&gt;0),$O$1451,HLOOKUP(INDIRECT(ADDRESS(2,COLUMN())),OFFSET($T$2,0,0,ROW()-1,14),ROW()-1,FALSE))</x:f>
        <x:v>30.759264999999999</x:v>
      </x:c>
      <x:c r="P451">
        <x:f ca="1">IF(AND($B$1012=1,LEN($P$1451)&gt;0),$P$1451,HLOOKUP(INDIRECT(ADDRESS(2,COLUMN())),OFFSET($T$2,0,0,ROW()-1,14),ROW()-1,FALSE))</x:f>
        <x:v>-33.874944999999997</x:v>
      </x:c>
      <x:c r="Q451">
        <x:f ca="1">IF(AND($B$1012=1,LEN($Q$1451)&gt;0),$Q$1451,HLOOKUP(INDIRECT(ADDRESS(2,COLUMN())),OFFSET($T$2,0,0,ROW()-1,14),ROW()-1,FALSE))</x:f>
        <x:v>48.463380000000001</x:v>
      </x:c>
      <x:c r="R451">
        <x:f ca="1">IF(AND($B$1012=1,LEN($R$1451)&gt;0),$R$1451,HLOOKUP(INDIRECT(ADDRESS(2,COLUMN())),OFFSET($T$2,0,0,ROW()-1,14),ROW()-1,FALSE))</x:f>
        <x:v>-28.037984999999999</x:v>
      </x:c>
      <x:c r="S451">
        <x:f ca="1">IF(AND($B$1012=1,LEN($S$1451)&gt;0),$S$1451,HLOOKUP(INDIRECT(ADDRESS(2,COLUMN())),OFFSET($T$2,0,0,ROW()-1,14),ROW()-1,FALSE))</x:f>
        <x:v>42.805340000000001</x:v>
      </x:c>
      <x:c r="T451">
        <x:f>14.178778</x:f>
        <x:v>14.178777999999999</x:v>
      </x:c>
      <x:c r="U451">
        <x:f>71.857983</x:f>
        <x:v>71.857983000000004</x:v>
      </x:c>
      <x:c r="V451">
        <x:f>22.441163</x:f>
        <x:v>22.441163</x:v>
      </x:c>
      <x:c r="W451">
        <x:f>-91.33492</x:f>
        <x:v>-91.334919999999997</x:v>
      </x:c>
      <x:c r="X451">
        <x:f>18.350415</x:f>
        <x:v>18.350415000000002</x:v>
      </x:c>
      <x:c r="Y451">
        <x:f>175.98017</x:f>
        <x:v>175.98016999999999</x:v>
      </x:c>
      <x:c r="Z451">
        <x:f>-14.90619</x:f>
        <x:v>-14.90619</x:v>
      </x:c>
      <x:c r="AA451">
        <x:f>-7.45392</x:f>
        <x:v>-7.4539200000000001</x:v>
      </x:c>
      <x:c r="AB451">
        <x:f>-45.281165</x:f>
        <x:v>-45.281165000000001</x:v>
      </x:c>
      <x:c r="AC451">
        <x:f>30.759265</x:f>
        <x:v>30.759264999999999</x:v>
      </x:c>
      <x:c r="AD451">
        <x:f>-33.874945</x:f>
        <x:v>-33.874944999999997</x:v>
      </x:c>
      <x:c r="AE451">
        <x:f>48.46338</x:f>
        <x:v>48.463380000000001</x:v>
      </x:c>
      <x:c r="AF451">
        <x:f>-28.037985</x:f>
        <x:v>-28.037984999999999</x:v>
      </x:c>
      <x:c r="AG451">
        <x:f>42.80534</x:f>
        <x:v>42.805340000000001</x:v>
      </x:c>
    </x:row>
    <x:row r="452" spans="1:33" x14ac:dyDescent="0.25">
      <x:c r="A452" t="str">
        <x:f>"        IQ CBRE NextGen Real Estate ET"</x:f>
        <x:v xml:space="preserve">        IQ CBRE NextGen Real Estate ET</x:v>
      </x:c>
      <x:c r="B452" t="str">
        <x:f>"ROOF US Equity"</x:f>
        <x:v>ROOF US Equity</x:v>
      </x:c>
      <x:c r="E452" t="str">
        <x:f t="shared" si="14"/>
        <x:v>Expression</x:v>
      </x:c>
      <x:c r="F452">
        <x:f ca="1">IF(AND($B$1012=1,LEN($F$1452)&gt;0),$F$1452,HLOOKUP(INDIRECT(ADDRESS(2,COLUMN())),OFFSET($T$2,0,0,ROW()-1,14),ROW()-1,FALSE))</x:f>
        <x:v>0</x:v>
      </x:c>
      <x:c r="G452">
        <x:f ca="1">IF(AND($B$1012=1,LEN($G$1452)&gt;0),$G$1452,HLOOKUP(INDIRECT(ADDRESS(2,COLUMN())),OFFSET($T$2,0,0,ROW()-1,14),ROW()-1,FALSE))</x:f>
        <x:v>-0.86795599999999995</x:v>
      </x:c>
      <x:c r="H452">
        <x:f ca="1">IF(AND($B$1012=1,LEN($H$1452)&gt;0),$H$1452,HLOOKUP(INDIRECT(ADDRESS(2,COLUMN())),OFFSET($T$2,0,0,ROW()-1,14),ROW()-1,FALSE))</x:f>
        <x:v>0</x:v>
      </x:c>
      <x:c r="I452">
        <x:f ca="1">IF(AND($B$1012=1,LEN($I$1452)&gt;0),$I$1452,HLOOKUP(INDIRECT(ADDRESS(2,COLUMN())),OFFSET($T$2,0,0,ROW()-1,14),ROW()-1,FALSE))</x:f>
        <x:v>-0.48486400000000002</x:v>
      </x:c>
      <x:c r="J452">
        <x:f ca="1">IF(AND($B$1012=1,LEN($J$1452)&gt;0),$J$1452,HLOOKUP(INDIRECT(ADDRESS(2,COLUMN())),OFFSET($T$2,0,0,ROW()-1,14),ROW()-1,FALSE))</x:f>
        <x:v>0</x:v>
      </x:c>
      <x:c r="K452">
        <x:f ca="1">IF(AND($B$1012=1,LEN($K$1452)&gt;0),$K$1452,HLOOKUP(INDIRECT(ADDRESS(2,COLUMN())),OFFSET($T$2,0,0,ROW()-1,14),ROW()-1,FALSE))</x:f>
        <x:v>-2.926688</x:v>
      </x:c>
      <x:c r="L452">
        <x:f ca="1">IF(AND($B$1012=1,LEN($L$1452)&gt;0),$L$1452,HLOOKUP(INDIRECT(ADDRESS(2,COLUMN())),OFFSET($T$2,0,0,ROW()-1,14),ROW()-1,FALSE))</x:f>
        <x:v>0</x:v>
      </x:c>
      <x:c r="M452">
        <x:f ca="1">IF(AND($B$1012=1,LEN($M$1452)&gt;0),$M$1452,HLOOKUP(INDIRECT(ADDRESS(2,COLUMN())),OFFSET($T$2,0,0,ROW()-1,14),ROW()-1,FALSE))</x:f>
        <x:v>-0.96680200000000005</x:v>
      </x:c>
      <x:c r="N452">
        <x:f ca="1">IF(AND($B$1012=1,LEN($N$1452)&gt;0),$N$1452,HLOOKUP(INDIRECT(ADDRESS(2,COLUMN())),OFFSET($T$2,0,0,ROW()-1,14),ROW()-1,FALSE))</x:f>
        <x:v>-1.862517</x:v>
      </x:c>
      <x:c r="O452">
        <x:f ca="1">IF(AND($B$1012=1,LEN($O$1452)&gt;0),$O$1452,HLOOKUP(INDIRECT(ADDRESS(2,COLUMN())),OFFSET($T$2,0,0,ROW()-1,14),ROW()-1,FALSE))</x:f>
        <x:v>-0.98002299999999998</x:v>
      </x:c>
      <x:c r="P452">
        <x:f ca="1">IF(AND($B$1012=1,LEN($P$1452)&gt;0),$P$1452,HLOOKUP(INDIRECT(ADDRESS(2,COLUMN())),OFFSET($T$2,0,0,ROW()-1,14),ROW()-1,FALSE))</x:f>
        <x:v>-1.0288090000000001</x:v>
      </x:c>
      <x:c r="Q452">
        <x:f ca="1">IF(AND($B$1012=1,LEN($Q$1452)&gt;0),$Q$1452,HLOOKUP(INDIRECT(ADDRESS(2,COLUMN())),OFFSET($T$2,0,0,ROW()-1,14),ROW()-1,FALSE))</x:f>
        <x:v>0</x:v>
      </x:c>
      <x:c r="R452">
        <x:f ca="1">IF(AND($B$1012=1,LEN($R$1452)&gt;0),$R$1452,HLOOKUP(INDIRECT(ADDRESS(2,COLUMN())),OFFSET($T$2,0,0,ROW()-1,14),ROW()-1,FALSE))</x:f>
        <x:v>0</x:v>
      </x:c>
      <x:c r="S452">
        <x:f ca="1">IF(AND($B$1012=1,LEN($S$1452)&gt;0),$S$1452,HLOOKUP(INDIRECT(ADDRESS(2,COLUMN())),OFFSET($T$2,0,0,ROW()-1,14),ROW()-1,FALSE))</x:f>
        <x:v>-1.8093980000000001</x:v>
      </x:c>
      <x:c r="T452">
        <x:f>0</x:f>
        <x:v>0</x:v>
      </x:c>
      <x:c r="U452">
        <x:f>-0.867956</x:f>
        <x:v>-0.86795599999999995</x:v>
      </x:c>
      <x:c r="V452">
        <x:f>0</x:f>
        <x:v>0</x:v>
      </x:c>
      <x:c r="W452">
        <x:f>-0.484864</x:f>
        <x:v>-0.48486400000000002</x:v>
      </x:c>
      <x:c r="X452">
        <x:f>0</x:f>
        <x:v>0</x:v>
      </x:c>
      <x:c r="Y452">
        <x:f>-2.926688</x:f>
        <x:v>-2.926688</x:v>
      </x:c>
      <x:c r="Z452">
        <x:f>0</x:f>
        <x:v>0</x:v>
      </x:c>
      <x:c r="AA452">
        <x:f>-0.966802</x:f>
        <x:v>-0.96680200000000005</x:v>
      </x:c>
      <x:c r="AB452">
        <x:f>-1.862517</x:f>
        <x:v>-1.862517</x:v>
      </x:c>
      <x:c r="AC452">
        <x:f>-0.980023</x:f>
        <x:v>-0.98002299999999998</x:v>
      </x:c>
      <x:c r="AD452">
        <x:f>-1.028809</x:f>
        <x:v>-1.0288090000000001</x:v>
      </x:c>
      <x:c r="AE452">
        <x:f>0</x:f>
        <x:v>0</x:v>
      </x:c>
      <x:c r="AF452">
        <x:f>0</x:f>
        <x:v>0</x:v>
      </x:c>
      <x:c r="AG452">
        <x:f>-1.809398</x:f>
        <x:v>-1.8093980000000001</x:v>
      </x:c>
    </x:row>
    <x:row r="453" spans="1:33" x14ac:dyDescent="0.25">
      <x:c r="A453" t="str">
        <x:f>"        WisdomTree New Economy Real Es"</x:f>
        <x:v xml:space="preserve">        WisdomTree New Economy Real Es</x:v>
      </x:c>
      <x:c r="B453" t="str">
        <x:f>"DRW US Equity"</x:f>
        <x:v>DRW US Equity</x:v>
      </x:c>
      <x:c r="E453" t="str">
        <x:f t="shared" si="14"/>
        <x:v>Expression</x:v>
      </x:c>
      <x:c r="F453">
        <x:f ca="1">IF(AND($B$1012=1,LEN($F$1453)&gt;0),$F$1453,HLOOKUP(INDIRECT(ADDRESS(2,COLUMN())),OFFSET($T$2,0,0,ROW()-1,14),ROW()-1,FALSE))</x:f>
        <x:v>0</x:v>
      </x:c>
      <x:c r="G453">
        <x:f ca="1">IF(AND($B$1012=1,LEN($G$1453)&gt;0),$G$1453,HLOOKUP(INDIRECT(ADDRESS(2,COLUMN())),OFFSET($T$2,0,0,ROW()-1,14),ROW()-1,FALSE))</x:f>
        <x:v>-0.73824299999999998</x:v>
      </x:c>
      <x:c r="H453">
        <x:f ca="1">IF(AND($B$1012=1,LEN($H$1453)&gt;0),$H$1453,HLOOKUP(INDIRECT(ADDRESS(2,COLUMN())),OFFSET($T$2,0,0,ROW()-1,14),ROW()-1,FALSE))</x:f>
        <x:v>-0.84201400000000004</x:v>
      </x:c>
      <x:c r="I453">
        <x:f ca="1">IF(AND($B$1012=1,LEN($I$1453)&gt;0),$I$1453,HLOOKUP(INDIRECT(ADDRESS(2,COLUMN())),OFFSET($T$2,0,0,ROW()-1,14),ROW()-1,FALSE))</x:f>
        <x:v>-0.85887800000000003</x:v>
      </x:c>
      <x:c r="J453">
        <x:f ca="1">IF(AND($B$1012=1,LEN($J$1453)&gt;0),$J$1453,HLOOKUP(INDIRECT(ADDRESS(2,COLUMN())),OFFSET($T$2,0,0,ROW()-1,14),ROW()-1,FALSE))</x:f>
        <x:v>-0.87355099999999997</x:v>
      </x:c>
      <x:c r="K453">
        <x:f ca="1">IF(AND($B$1012=1,LEN($K$1453)&gt;0),$K$1453,HLOOKUP(INDIRECT(ADDRESS(2,COLUMN())),OFFSET($T$2,0,0,ROW()-1,14),ROW()-1,FALSE))</x:f>
        <x:v>0</x:v>
      </x:c>
      <x:c r="L453">
        <x:f ca="1">IF(AND($B$1012=1,LEN($L$1453)&gt;0),$L$1453,HLOOKUP(INDIRECT(ADDRESS(2,COLUMN())),OFFSET($T$2,0,0,ROW()-1,14),ROW()-1,FALSE))</x:f>
        <x:v>-1.646485</x:v>
      </x:c>
      <x:c r="M453">
        <x:f ca="1">IF(AND($B$1012=1,LEN($M$1453)&gt;0),$M$1453,HLOOKUP(INDIRECT(ADDRESS(2,COLUMN())),OFFSET($T$2,0,0,ROW()-1,14),ROW()-1,FALSE))</x:f>
        <x:v>0</x:v>
      </x:c>
      <x:c r="N453">
        <x:f ca="1">IF(AND($B$1012=1,LEN($N$1453)&gt;0),$N$1453,HLOOKUP(INDIRECT(ADDRESS(2,COLUMN())),OFFSET($T$2,0,0,ROW()-1,14),ROW()-1,FALSE))</x:f>
        <x:v>0</x:v>
      </x:c>
      <x:c r="O453">
        <x:f ca="1">IF(AND($B$1012=1,LEN($O$1453)&gt;0),$O$1453,HLOOKUP(INDIRECT(ADDRESS(2,COLUMN())),OFFSET($T$2,0,0,ROW()-1,14),ROW()-1,FALSE))</x:f>
        <x:v>-1.8589929999999999</x:v>
      </x:c>
      <x:c r="P453">
        <x:f ca="1">IF(AND($B$1012=1,LEN($P$1453)&gt;0),$P$1453,HLOOKUP(INDIRECT(ADDRESS(2,COLUMN())),OFFSET($T$2,0,0,ROW()-1,14),ROW()-1,FALSE))</x:f>
        <x:v>-2.7288589999999999</x:v>
      </x:c>
      <x:c r="Q453">
        <x:f ca="1">IF(AND($B$1012=1,LEN($Q$1453)&gt;0),$Q$1453,HLOOKUP(INDIRECT(ADDRESS(2,COLUMN())),OFFSET($T$2,0,0,ROW()-1,14),ROW()-1,FALSE))</x:f>
        <x:v>-2.4912860000000001</x:v>
      </x:c>
      <x:c r="R453">
        <x:f ca="1">IF(AND($B$1012=1,LEN($R$1453)&gt;0),$R$1453,HLOOKUP(INDIRECT(ADDRESS(2,COLUMN())),OFFSET($T$2,0,0,ROW()-1,14),ROW()-1,FALSE))</x:f>
        <x:v>-0.79524300000000003</x:v>
      </x:c>
      <x:c r="S453">
        <x:f ca="1">IF(AND($B$1012=1,LEN($S$1453)&gt;0),$S$1453,HLOOKUP(INDIRECT(ADDRESS(2,COLUMN())),OFFSET($T$2,0,0,ROW()-1,14),ROW()-1,FALSE))</x:f>
        <x:v>0</x:v>
      </x:c>
      <x:c r="T453">
        <x:f>0</x:f>
        <x:v>0</x:v>
      </x:c>
      <x:c r="U453">
        <x:f>-0.738243</x:f>
        <x:v>-0.73824299999999998</x:v>
      </x:c>
      <x:c r="V453">
        <x:f>-0.842014</x:f>
        <x:v>-0.84201400000000004</x:v>
      </x:c>
      <x:c r="W453">
        <x:f>-0.858878</x:f>
        <x:v>-0.85887800000000003</x:v>
      </x:c>
      <x:c r="X453">
        <x:f>-0.873551</x:f>
        <x:v>-0.87355099999999997</x:v>
      </x:c>
      <x:c r="Y453">
        <x:f>0</x:f>
        <x:v>0</x:v>
      </x:c>
      <x:c r="Z453">
        <x:f>-1.646485</x:f>
        <x:v>-1.646485</x:v>
      </x:c>
      <x:c r="AA453">
        <x:f>0</x:f>
        <x:v>0</x:v>
      </x:c>
      <x:c r="AB453">
        <x:f>0</x:f>
        <x:v>0</x:v>
      </x:c>
      <x:c r="AC453">
        <x:f>-1.858993</x:f>
        <x:v>-1.8589929999999999</x:v>
      </x:c>
      <x:c r="AD453">
        <x:f>-2.728859</x:f>
        <x:v>-2.7288589999999999</x:v>
      </x:c>
      <x:c r="AE453">
        <x:f>-2.491286</x:f>
        <x:v>-2.4912860000000001</x:v>
      </x:c>
      <x:c r="AF453">
        <x:f>-0.795243</x:f>
        <x:v>-0.79524300000000003</x:v>
      </x:c>
      <x:c r="AG453">
        <x:f>0</x:f>
        <x:v>0</x:v>
      </x:c>
    </x:row>
    <x:row r="454" spans="1:33" x14ac:dyDescent="0.25">
      <x:c r="A454" t="str">
        <x:f>"        ALPS REIT Dividend Dogs ETF"</x:f>
        <x:v xml:space="preserve">        ALPS REIT Dividend Dogs ETF</x:v>
      </x:c>
      <x:c r="B454" t="str">
        <x:f>"RDOG US Equity"</x:f>
        <x:v>RDOG US Equity</x:v>
      </x:c>
      <x:c r="E454" t="str">
        <x:f t="shared" si="14"/>
        <x:v>Expression</x:v>
      </x:c>
      <x:c r="F454">
        <x:f ca="1">IF(AND($B$1012=1,LEN($F$1454)&gt;0),$F$1454,HLOOKUP(INDIRECT(ADDRESS(2,COLUMN())),OFFSET($T$2,0,0,ROW()-1,14),ROW()-1,FALSE))</x:f>
        <x:v>0</x:v>
      </x:c>
      <x:c r="G454">
        <x:f ca="1">IF(AND($B$1012=1,LEN($G$1454)&gt;0),$G$1454,HLOOKUP(INDIRECT(ADDRESS(2,COLUMN())),OFFSET($T$2,0,0,ROW()-1,14),ROW()-1,FALSE))</x:f>
        <x:v>0</x:v>
      </x:c>
      <x:c r="H454">
        <x:f ca="1">IF(AND($B$1012=1,LEN($H$1454)&gt;0),$H$1454,HLOOKUP(INDIRECT(ADDRESS(2,COLUMN())),OFFSET($T$2,0,0,ROW()-1,14),ROW()-1,FALSE))</x:f>
        <x:v>-0.83596099999999995</x:v>
      </x:c>
      <x:c r="I454">
        <x:f ca="1">IF(AND($B$1012=1,LEN($I$1454)&gt;0),$I$1454,HLOOKUP(INDIRECT(ADDRESS(2,COLUMN())),OFFSET($T$2,0,0,ROW()-1,14),ROW()-1,FALSE))</x:f>
        <x:v>-0.92547000000000001</x:v>
      </x:c>
      <x:c r="J454">
        <x:f ca="1">IF(AND($B$1012=1,LEN($J$1454)&gt;0),$J$1454,HLOOKUP(INDIRECT(ADDRESS(2,COLUMN())),OFFSET($T$2,0,0,ROW()-1,14),ROW()-1,FALSE))</x:f>
        <x:v>-1.849515</x:v>
      </x:c>
      <x:c r="K454">
        <x:f ca="1">IF(AND($B$1012=1,LEN($K$1454)&gt;0),$K$1454,HLOOKUP(INDIRECT(ADDRESS(2,COLUMN())),OFFSET($T$2,0,0,ROW()-1,14),ROW()-1,FALSE))</x:f>
        <x:v>0</x:v>
      </x:c>
      <x:c r="L454">
        <x:f ca="1">IF(AND($B$1012=1,LEN($L$1454)&gt;0),$L$1454,HLOOKUP(INDIRECT(ADDRESS(2,COLUMN())),OFFSET($T$2,0,0,ROW()-1,14),ROW()-1,FALSE))</x:f>
        <x:v>0</x:v>
      </x:c>
      <x:c r="M454">
        <x:f ca="1">IF(AND($B$1012=1,LEN($M$1454)&gt;0),$M$1454,HLOOKUP(INDIRECT(ADDRESS(2,COLUMN())),OFFSET($T$2,0,0,ROW()-1,14),ROW()-1,FALSE))</x:f>
        <x:v>-1.7641910000000001</x:v>
      </x:c>
      <x:c r="N454">
        <x:f ca="1">IF(AND($B$1012=1,LEN($N$1454)&gt;0),$N$1454,HLOOKUP(INDIRECT(ADDRESS(2,COLUMN())),OFFSET($T$2,0,0,ROW()-1,14),ROW()-1,FALSE))</x:f>
        <x:v>0</x:v>
      </x:c>
      <x:c r="O454">
        <x:f ca="1">IF(AND($B$1012=1,LEN($O$1454)&gt;0),$O$1454,HLOOKUP(INDIRECT(ADDRESS(2,COLUMN())),OFFSET($T$2,0,0,ROW()-1,14),ROW()-1,FALSE))</x:f>
        <x:v>-1.0694250000000001</x:v>
      </x:c>
      <x:c r="P454">
        <x:f ca="1">IF(AND($B$1012=1,LEN($P$1454)&gt;0),$P$1454,HLOOKUP(INDIRECT(ADDRESS(2,COLUMN())),OFFSET($T$2,0,0,ROW()-1,14),ROW()-1,FALSE))</x:f>
        <x:v>0</x:v>
      </x:c>
      <x:c r="Q454">
        <x:f ca="1">IF(AND($B$1012=1,LEN($Q$1454)&gt;0),$Q$1454,HLOOKUP(INDIRECT(ADDRESS(2,COLUMN())),OFFSET($T$2,0,0,ROW()-1,14),ROW()-1,FALSE))</x:f>
        <x:v>0</x:v>
      </x:c>
      <x:c r="R454">
        <x:f ca="1">IF(AND($B$1012=1,LEN($R$1454)&gt;0),$R$1454,HLOOKUP(INDIRECT(ADDRESS(2,COLUMN())),OFFSET($T$2,0,0,ROW()-1,14),ROW()-1,FALSE))</x:f>
        <x:v>-1.025156</x:v>
      </x:c>
      <x:c r="S454">
        <x:f ca="1">IF(AND($B$1012=1,LEN($S$1454)&gt;0),$S$1454,HLOOKUP(INDIRECT(ADDRESS(2,COLUMN())),OFFSET($T$2,0,0,ROW()-1,14),ROW()-1,FALSE))</x:f>
        <x:v>0</x:v>
      </x:c>
      <x:c r="T454">
        <x:f>0</x:f>
        <x:v>0</x:v>
      </x:c>
      <x:c r="U454">
        <x:f>0</x:f>
        <x:v>0</x:v>
      </x:c>
      <x:c r="V454">
        <x:f>-0.835961</x:f>
        <x:v>-0.83596099999999995</x:v>
      </x:c>
      <x:c r="W454">
        <x:f>-0.92547</x:f>
        <x:v>-0.92547000000000001</x:v>
      </x:c>
      <x:c r="X454">
        <x:f>-1.849515</x:f>
        <x:v>-1.849515</x:v>
      </x:c>
      <x:c r="Y454">
        <x:f>0</x:f>
        <x:v>0</x:v>
      </x:c>
      <x:c r="Z454">
        <x:f>0</x:f>
        <x:v>0</x:v>
      </x:c>
      <x:c r="AA454">
        <x:f>-1.764191</x:f>
        <x:v>-1.7641910000000001</x:v>
      </x:c>
      <x:c r="AB454">
        <x:f>0</x:f>
        <x:v>0</x:v>
      </x:c>
      <x:c r="AC454">
        <x:f>-1.069425</x:f>
        <x:v>-1.0694250000000001</x:v>
      </x:c>
      <x:c r="AD454">
        <x:f>0</x:f>
        <x:v>0</x:v>
      </x:c>
      <x:c r="AE454">
        <x:f>0</x:f>
        <x:v>0</x:v>
      </x:c>
      <x:c r="AF454">
        <x:f>-1.025156</x:f>
        <x:v>-1.025156</x:v>
      </x:c>
      <x:c r="AG454">
        <x:f>0</x:f>
        <x:v>0</x:v>
      </x:c>
    </x:row>
    <x:row r="455" spans="1:33" x14ac:dyDescent="0.25">
      <x:c r="A455" t="str">
        <x:f>"        Direxion Daily Real Estate Bul"</x:f>
        <x:v xml:space="preserve">        Direxion Daily Real Estate Bul</x:v>
      </x:c>
      <x:c r="B455" t="str">
        <x:f>"DRN US Equity"</x:f>
        <x:v>DRN US Equity</x:v>
      </x:c>
      <x:c r="E455" t="str">
        <x:f t="shared" si="14"/>
        <x:v>Expression</x:v>
      </x:c>
      <x:c r="F455">
        <x:f ca="1">IF(AND($B$1012=1,LEN($F$1455)&gt;0),$F$1455,HLOOKUP(INDIRECT(ADDRESS(2,COLUMN())),OFFSET($T$2,0,0,ROW()-1,14),ROW()-1,FALSE))</x:f>
        <x:v>-3.2895759999999998</x:v>
      </x:c>
      <x:c r="G455">
        <x:f ca="1">IF(AND($B$1012=1,LEN($G$1455)&gt;0),$G$1455,HLOOKUP(INDIRECT(ADDRESS(2,COLUMN())),OFFSET($T$2,0,0,ROW()-1,14),ROW()-1,FALSE))</x:f>
        <x:v>4.708685</x:v>
      </x:c>
      <x:c r="H455">
        <x:f ca="1">IF(AND($B$1012=1,LEN($H$1455)&gt;0),$H$1455,HLOOKUP(INDIRECT(ADDRESS(2,COLUMN())),OFFSET($T$2,0,0,ROW()-1,14),ROW()-1,FALSE))</x:f>
        <x:v>5.187881</x:v>
      </x:c>
      <x:c r="I455">
        <x:f ca="1">IF(AND($B$1012=1,LEN($I$1455)&gt;0),$I$1455,HLOOKUP(INDIRECT(ADDRESS(2,COLUMN())),OFFSET($T$2,0,0,ROW()-1,14),ROW()-1,FALSE))</x:f>
        <x:v>1.299086</x:v>
      </x:c>
      <x:c r="J455">
        <x:f ca="1">IF(AND($B$1012=1,LEN($J$1455)&gt;0),$J$1455,HLOOKUP(INDIRECT(ADDRESS(2,COLUMN())),OFFSET($T$2,0,0,ROW()-1,14),ROW()-1,FALSE))</x:f>
        <x:v>5.0502120000000001</x:v>
      </x:c>
      <x:c r="K455">
        <x:f ca="1">IF(AND($B$1012=1,LEN($K$1455)&gt;0),$K$1455,HLOOKUP(INDIRECT(ADDRESS(2,COLUMN())),OFFSET($T$2,0,0,ROW()-1,14),ROW()-1,FALSE))</x:f>
        <x:v>-1.479652</x:v>
      </x:c>
      <x:c r="L455">
        <x:f ca="1">IF(AND($B$1012=1,LEN($L$1455)&gt;0),$L$1455,HLOOKUP(INDIRECT(ADDRESS(2,COLUMN())),OFFSET($T$2,0,0,ROW()-1,14),ROW()-1,FALSE))</x:f>
        <x:v>1.7833540000000001</x:v>
      </x:c>
      <x:c r="M455">
        <x:f ca="1">IF(AND($B$1012=1,LEN($M$1455)&gt;0),$M$1455,HLOOKUP(INDIRECT(ADDRESS(2,COLUMN())),OFFSET($T$2,0,0,ROW()-1,14),ROW()-1,FALSE))</x:f>
        <x:v>-3.74105</x:v>
      </x:c>
      <x:c r="N455">
        <x:f ca="1">IF(AND($B$1012=1,LEN($N$1455)&gt;0),$N$1455,HLOOKUP(INDIRECT(ADDRESS(2,COLUMN())),OFFSET($T$2,0,0,ROW()-1,14),ROW()-1,FALSE))</x:f>
        <x:v>6.9189410000000002</x:v>
      </x:c>
      <x:c r="O455">
        <x:f ca="1">IF(AND($B$1012=1,LEN($O$1455)&gt;0),$O$1455,HLOOKUP(INDIRECT(ADDRESS(2,COLUMN())),OFFSET($T$2,0,0,ROW()-1,14),ROW()-1,FALSE))</x:f>
        <x:v>-0.68291599999999997</x:v>
      </x:c>
      <x:c r="P455">
        <x:f ca="1">IF(AND($B$1012=1,LEN($P$1455)&gt;0),$P$1455,HLOOKUP(INDIRECT(ADDRESS(2,COLUMN())),OFFSET($T$2,0,0,ROW()-1,14),ROW()-1,FALSE))</x:f>
        <x:v>1.1951099999999999</x:v>
      </x:c>
      <x:c r="Q455">
        <x:f ca="1">IF(AND($B$1012=1,LEN($Q$1455)&gt;0),$Q$1455,HLOOKUP(INDIRECT(ADDRESS(2,COLUMN())),OFFSET($T$2,0,0,ROW()-1,14),ROW()-1,FALSE))</x:f>
        <x:v>-0.15939200000000001</x:v>
      </x:c>
      <x:c r="R455">
        <x:f ca="1">IF(AND($B$1012=1,LEN($R$1455)&gt;0),$R$1455,HLOOKUP(INDIRECT(ADDRESS(2,COLUMN())),OFFSET($T$2,0,0,ROW()-1,14),ROW()-1,FALSE))</x:f>
        <x:v>-2.109591</x:v>
      </x:c>
      <x:c r="S455">
        <x:f ca="1">IF(AND($B$1012=1,LEN($S$1455)&gt;0),$S$1455,HLOOKUP(INDIRECT(ADDRESS(2,COLUMN())),OFFSET($T$2,0,0,ROW()-1,14),ROW()-1,FALSE))</x:f>
        <x:v>7.0295230000000002</x:v>
      </x:c>
      <x:c r="T455">
        <x:f>-3.289576</x:f>
        <x:v>-3.2895759999999998</x:v>
      </x:c>
      <x:c r="U455">
        <x:f>4.708685</x:f>
        <x:v>4.708685</x:v>
      </x:c>
      <x:c r="V455">
        <x:f>5.187881</x:f>
        <x:v>5.187881</x:v>
      </x:c>
      <x:c r="W455">
        <x:f>1.299086</x:f>
        <x:v>1.299086</x:v>
      </x:c>
      <x:c r="X455">
        <x:f>5.050212</x:f>
        <x:v>5.0502120000000001</x:v>
      </x:c>
      <x:c r="Y455">
        <x:f>-1.479652</x:f>
        <x:v>-1.479652</x:v>
      </x:c>
      <x:c r="Z455">
        <x:f>1.783354</x:f>
        <x:v>1.7833540000000001</x:v>
      </x:c>
      <x:c r="AA455">
        <x:f>-3.74105</x:f>
        <x:v>-3.74105</x:v>
      </x:c>
      <x:c r="AB455">
        <x:f>6.918941</x:f>
        <x:v>6.9189410000000002</x:v>
      </x:c>
      <x:c r="AC455">
        <x:f>-0.682916</x:f>
        <x:v>-0.68291599999999997</x:v>
      </x:c>
      <x:c r="AD455">
        <x:f>1.19511</x:f>
        <x:v>1.1951099999999999</x:v>
      </x:c>
      <x:c r="AE455">
        <x:f>-0.159392</x:f>
        <x:v>-0.15939200000000001</x:v>
      </x:c>
      <x:c r="AF455">
        <x:f>-2.109591</x:f>
        <x:v>-2.109591</x:v>
      </x:c>
      <x:c r="AG455">
        <x:f>7.029523</x:f>
        <x:v>7.0295230000000002</x:v>
      </x:c>
    </x:row>
    <x:row r="456" spans="1:33" x14ac:dyDescent="0.25">
      <x:c r="A456" t="str">
        <x:f>"        First Trust Alerian Disruptive"</x:f>
        <x:v xml:space="preserve">        First Trust Alerian Disruptive</x:v>
      </x:c>
      <x:c r="B456" t="str">
        <x:f>"FFR US Equity"</x:f>
        <x:v>FFR US Equity</x:v>
      </x:c>
      <x:c r="E456" t="str">
        <x:f t="shared" si="14"/>
        <x:v>Expression</x:v>
      </x:c>
      <x:c r="F456">
        <x:f ca="1">IF(AND($B$1012=1,LEN($F$1456)&gt;0),$F$1456,HLOOKUP(INDIRECT(ADDRESS(2,COLUMN())),OFFSET($T$2,0,0,ROW()-1,14),ROW()-1,FALSE))</x:f>
        <x:v>0</x:v>
      </x:c>
      <x:c r="G456">
        <x:f ca="1">IF(AND($B$1012=1,LEN($G$1456)&gt;0),$G$1456,HLOOKUP(INDIRECT(ADDRESS(2,COLUMN())),OFFSET($T$2,0,0,ROW()-1,14),ROW()-1,FALSE))</x:f>
        <x:v>0</x:v>
      </x:c>
      <x:c r="H456">
        <x:f ca="1">IF(AND($B$1012=1,LEN($H$1456)&gt;0),$H$1456,HLOOKUP(INDIRECT(ADDRESS(2,COLUMN())),OFFSET($T$2,0,0,ROW()-1,14),ROW()-1,FALSE))</x:f>
        <x:v>0</x:v>
      </x:c>
      <x:c r="I456">
        <x:f ca="1">IF(AND($B$1012=1,LEN($I$1456)&gt;0),$I$1456,HLOOKUP(INDIRECT(ADDRESS(2,COLUMN())),OFFSET($T$2,0,0,ROW()-1,14),ROW()-1,FALSE))</x:f>
        <x:v>0</x:v>
      </x:c>
      <x:c r="J456">
        <x:f ca="1">IF(AND($B$1012=1,LEN($J$1456)&gt;0),$J$1456,HLOOKUP(INDIRECT(ADDRESS(2,COLUMN())),OFFSET($T$2,0,0,ROW()-1,14),ROW()-1,FALSE))</x:f>
        <x:v>-2.0274999999999999</x:v>
      </x:c>
      <x:c r="K456">
        <x:f ca="1">IF(AND($B$1012=1,LEN($K$1456)&gt;0),$K$1456,HLOOKUP(INDIRECT(ADDRESS(2,COLUMN())),OFFSET($T$2,0,0,ROW()-1,14),ROW()-1,FALSE))</x:f>
        <x:v>-1.9664999999999999</x:v>
      </x:c>
      <x:c r="L456">
        <x:f ca="1">IF(AND($B$1012=1,LEN($L$1456)&gt;0),$L$1456,HLOOKUP(INDIRECT(ADDRESS(2,COLUMN())),OFFSET($T$2,0,0,ROW()-1,14),ROW()-1,FALSE))</x:f>
        <x:v>0</x:v>
      </x:c>
      <x:c r="M456">
        <x:f ca="1">IF(AND($B$1012=1,LEN($M$1456)&gt;0),$M$1456,HLOOKUP(INDIRECT(ADDRESS(2,COLUMN())),OFFSET($T$2,0,0,ROW()-1,14),ROW()-1,FALSE))</x:f>
        <x:v>0</x:v>
      </x:c>
      <x:c r="N456">
        <x:f ca="1">IF(AND($B$1012=1,LEN($N$1456)&gt;0),$N$1456,HLOOKUP(INDIRECT(ADDRESS(2,COLUMN())),OFFSET($T$2,0,0,ROW()-1,14),ROW()-1,FALSE))</x:f>
        <x:v>0</x:v>
      </x:c>
      <x:c r="O456">
        <x:f ca="1">IF(AND($B$1012=1,LEN($O$1456)&gt;0),$O$1456,HLOOKUP(INDIRECT(ADDRESS(2,COLUMN())),OFFSET($T$2,0,0,ROW()-1,14),ROW()-1,FALSE))</x:f>
        <x:v>0</x:v>
      </x:c>
      <x:c r="P456">
        <x:f ca="1">IF(AND($B$1012=1,LEN($P$1456)&gt;0),$P$1456,HLOOKUP(INDIRECT(ADDRESS(2,COLUMN())),OFFSET($T$2,0,0,ROW()-1,14),ROW()-1,FALSE))</x:f>
        <x:v>0</x:v>
      </x:c>
      <x:c r="Q456">
        <x:f ca="1">IF(AND($B$1012=1,LEN($Q$1456)&gt;0),$Q$1456,HLOOKUP(INDIRECT(ADDRESS(2,COLUMN())),OFFSET($T$2,0,0,ROW()-1,14),ROW()-1,FALSE))</x:f>
        <x:v>0</x:v>
      </x:c>
      <x:c r="R456">
        <x:f ca="1">IF(AND($B$1012=1,LEN($R$1456)&gt;0),$R$1456,HLOOKUP(INDIRECT(ADDRESS(2,COLUMN())),OFFSET($T$2,0,0,ROW()-1,14),ROW()-1,FALSE))</x:f>
        <x:v>0</x:v>
      </x:c>
      <x:c r="S456">
        <x:f ca="1">IF(AND($B$1012=1,LEN($S$1456)&gt;0),$S$1456,HLOOKUP(INDIRECT(ADDRESS(2,COLUMN())),OFFSET($T$2,0,0,ROW()-1,14),ROW()-1,FALSE))</x:f>
        <x:v>0</x:v>
      </x:c>
      <x:c r="T456">
        <x:f>0</x:f>
        <x:v>0</x:v>
      </x:c>
      <x:c r="U456">
        <x:f>0</x:f>
        <x:v>0</x:v>
      </x:c>
      <x:c r="V456">
        <x:f>0</x:f>
        <x:v>0</x:v>
      </x:c>
      <x:c r="W456">
        <x:f>0</x:f>
        <x:v>0</x:v>
      </x:c>
      <x:c r="X456">
        <x:f>-2.0275</x:f>
        <x:v>-2.0274999999999999</x:v>
      </x:c>
      <x:c r="Y456">
        <x:f>-1.9665</x:f>
        <x:v>-1.9664999999999999</x:v>
      </x:c>
      <x:c r="Z456">
        <x:f>0</x:f>
        <x:v>0</x:v>
      </x:c>
      <x:c r="AA456">
        <x:f>0</x:f>
        <x:v>0</x:v>
      </x:c>
      <x:c r="AB456">
        <x:f>0</x:f>
        <x:v>0</x:v>
      </x:c>
      <x:c r="AC456">
        <x:f>0</x:f>
        <x:v>0</x:v>
      </x:c>
      <x:c r="AD456">
        <x:f>0</x:f>
        <x:v>0</x:v>
      </x:c>
      <x:c r="AE456">
        <x:f>0</x:f>
        <x:v>0</x:v>
      </x:c>
      <x:c r="AF456">
        <x:f>0</x:f>
        <x:v>0</x:v>
      </x:c>
      <x:c r="AG456">
        <x:f>0</x:f>
        <x:v>0</x:v>
      </x:c>
    </x:row>
    <x:row r="457" spans="1:33" x14ac:dyDescent="0.25">
      <x:c r="A457" t="str">
        <x:f>"        Invesco China Real Estate ETF"</x:f>
        <x:v xml:space="preserve">        Invesco China Real Estate ETF</x:v>
      </x:c>
      <x:c r="B457" t="str">
        <x:f>"TAO US Equity"</x:f>
        <x:v>TAO US Equity</x:v>
      </x:c>
      <x:c r="E457" t="str">
        <x:f t="shared" si="14"/>
        <x:v>Expression</x:v>
      </x:c>
      <x:c r="F457" t="str">
        <x:f ca="1">IF(AND($B$1012=1,LEN($F$1457)&gt;0),$F$1457,HLOOKUP(INDIRECT(ADDRESS(2,COLUMN())),OFFSET($T$2,0,0,ROW()-1,14),ROW()-1,FALSE))</x:f>
        <x:v/>
      </x:c>
      <x:c r="G457" t="str">
        <x:f ca="1">IF(AND($B$1012=1,LEN($G$1457)&gt;0),$G$1457,HLOOKUP(INDIRECT(ADDRESS(2,COLUMN())),OFFSET($T$2,0,0,ROW()-1,14),ROW()-1,FALSE))</x:f>
        <x:v/>
      </x:c>
      <x:c r="H457" t="str">
        <x:f ca="1">IF(AND($B$1012=1,LEN($H$1457)&gt;0),$H$1457,HLOOKUP(INDIRECT(ADDRESS(2,COLUMN())),OFFSET($T$2,0,0,ROW()-1,14),ROW()-1,FALSE))</x:f>
        <x:v/>
      </x:c>
      <x:c r="I457" t="str">
        <x:f ca="1">IF(AND($B$1012=1,LEN($I$1457)&gt;0),$I$1457,HLOOKUP(INDIRECT(ADDRESS(2,COLUMN())),OFFSET($T$2,0,0,ROW()-1,14),ROW()-1,FALSE))</x:f>
        <x:v/>
      </x:c>
      <x:c r="J457" t="str">
        <x:f ca="1">IF(AND($B$1012=1,LEN($J$1457)&gt;0),$J$1457,HLOOKUP(INDIRECT(ADDRESS(2,COLUMN())),OFFSET($T$2,0,0,ROW()-1,14),ROW()-1,FALSE))</x:f>
        <x:v/>
      </x:c>
      <x:c r="K457" t="str">
        <x:f ca="1">IF(AND($B$1012=1,LEN($K$1457)&gt;0),$K$1457,HLOOKUP(INDIRECT(ADDRESS(2,COLUMN())),OFFSET($T$2,0,0,ROW()-1,14),ROW()-1,FALSE))</x:f>
        <x:v/>
      </x:c>
      <x:c r="L457" t="str">
        <x:f ca="1">IF(AND($B$1012=1,LEN($L$1457)&gt;0),$L$1457,HLOOKUP(INDIRECT(ADDRESS(2,COLUMN())),OFFSET($T$2,0,0,ROW()-1,14),ROW()-1,FALSE))</x:f>
        <x:v/>
      </x:c>
      <x:c r="M457" t="str">
        <x:f ca="1">IF(AND($B$1012=1,LEN($M$1457)&gt;0),$M$1457,HLOOKUP(INDIRECT(ADDRESS(2,COLUMN())),OFFSET($T$2,0,0,ROW()-1,14),ROW()-1,FALSE))</x:f>
        <x:v/>
      </x:c>
      <x:c r="N457" t="str">
        <x:f ca="1">IF(AND($B$1012=1,LEN($N$1457)&gt;0),$N$1457,HLOOKUP(INDIRECT(ADDRESS(2,COLUMN())),OFFSET($T$2,0,0,ROW()-1,14),ROW()-1,FALSE))</x:f>
        <x:v/>
      </x:c>
      <x:c r="O457" t="str">
        <x:f ca="1">IF(AND($B$1012=1,LEN($O$1457)&gt;0),$O$1457,HLOOKUP(INDIRECT(ADDRESS(2,COLUMN())),OFFSET($T$2,0,0,ROW()-1,14),ROW()-1,FALSE))</x:f>
        <x:v/>
      </x:c>
      <x:c r="P457" t="str">
        <x:f ca="1">IF(AND($B$1012=1,LEN($P$1457)&gt;0),$P$1457,HLOOKUP(INDIRECT(ADDRESS(2,COLUMN())),OFFSET($T$2,0,0,ROW()-1,14),ROW()-1,FALSE))</x:f>
        <x:v/>
      </x:c>
      <x:c r="Q457" t="str">
        <x:f ca="1">IF(AND($B$1012=1,LEN($Q$1457)&gt;0),$Q$1457,HLOOKUP(INDIRECT(ADDRESS(2,COLUMN())),OFFSET($T$2,0,0,ROW()-1,14),ROW()-1,FALSE))</x:f>
        <x:v/>
      </x:c>
      <x:c r="R457" t="str">
        <x:f ca="1">IF(AND($B$1012=1,LEN($R$1457)&gt;0),$R$1457,HLOOKUP(INDIRECT(ADDRESS(2,COLUMN())),OFFSET($T$2,0,0,ROW()-1,14),ROW()-1,FALSE))</x:f>
        <x:v/>
      </x:c>
      <x:c r="S457" t="str">
        <x:f ca="1">IF(AND($B$1012=1,LEN($S$1457)&gt;0),$S$1457,HLOOKUP(INDIRECT(ADDRESS(2,COLUMN())),OFFSET($T$2,0,0,ROW()-1,14),ROW()-1,FALSE))</x:f>
        <x:v/>
      </x:c>
      <x:c r="T457" t="str">
        <x:f>""</x:f>
        <x:v/>
      </x:c>
      <x:c r="U457" t="str">
        <x:f>""</x:f>
        <x:v/>
      </x:c>
      <x:c r="V457" t="str">
        <x:f>""</x:f>
        <x:v/>
      </x:c>
      <x:c r="W457" t="str">
        <x:f>""</x:f>
        <x:v/>
      </x:c>
      <x:c r="X457" t="str">
        <x:f>""</x:f>
        <x:v/>
      </x:c>
      <x:c r="Y457" t="str">
        <x:f>""</x:f>
        <x:v/>
      </x:c>
      <x:c r="Z457" t="str">
        <x:f>""</x:f>
        <x:v/>
      </x:c>
      <x:c r="AA457" t="str">
        <x:f>""</x:f>
        <x:v/>
      </x:c>
      <x:c r="AB457" t="str">
        <x:f>""</x:f>
        <x:v/>
      </x:c>
      <x:c r="AC457" t="str">
        <x:f>""</x:f>
        <x:v/>
      </x:c>
      <x:c r="AD457" t="str">
        <x:f>""</x:f>
        <x:v/>
      </x:c>
      <x:c r="AE457" t="str">
        <x:f>""</x:f>
        <x:v/>
      </x:c>
      <x:c r="AF457" t="str">
        <x:f>""</x:f>
        <x:v/>
      </x:c>
      <x:c r="AG457" t="str">
        <x:f>""</x:f>
        <x:v/>
      </x:c>
    </x:row>
    <x:row r="458" spans="1:33" x14ac:dyDescent="0.25">
      <x:c r="A458" t="str">
        <x:f>"        iShares Europe Developed Real"</x:f>
        <x:v xml:space="preserve">        iShares Europe Developed Real</x:v>
      </x:c>
      <x:c r="B458" t="str">
        <x:f>"IFEU US Equity"</x:f>
        <x:v>IFEU US Equity</x:v>
      </x:c>
      <x:c r="E458" t="str">
        <x:f t="shared" si="14"/>
        <x:v>Expression</x:v>
      </x:c>
      <x:c r="F458" t="str">
        <x:f ca="1">IF(AND($B$1012=1,LEN($F$1458)&gt;0),$F$1458,HLOOKUP(INDIRECT(ADDRESS(2,COLUMN())),OFFSET($T$2,0,0,ROW()-1,14),ROW()-1,FALSE))</x:f>
        <x:v/>
      </x:c>
      <x:c r="G458" t="str">
        <x:f ca="1">IF(AND($B$1012=1,LEN($G$1458)&gt;0),$G$1458,HLOOKUP(INDIRECT(ADDRESS(2,COLUMN())),OFFSET($T$2,0,0,ROW()-1,14),ROW()-1,FALSE))</x:f>
        <x:v/>
      </x:c>
      <x:c r="H458" t="str">
        <x:f ca="1">IF(AND($B$1012=1,LEN($H$1458)&gt;0),$H$1458,HLOOKUP(INDIRECT(ADDRESS(2,COLUMN())),OFFSET($T$2,0,0,ROW()-1,14),ROW()-1,FALSE))</x:f>
        <x:v/>
      </x:c>
      <x:c r="I458" t="str">
        <x:f ca="1">IF(AND($B$1012=1,LEN($I$1458)&gt;0),$I$1458,HLOOKUP(INDIRECT(ADDRESS(2,COLUMN())),OFFSET($T$2,0,0,ROW()-1,14),ROW()-1,FALSE))</x:f>
        <x:v/>
      </x:c>
      <x:c r="J458" t="str">
        <x:f ca="1">IF(AND($B$1012=1,LEN($J$1458)&gt;0),$J$1458,HLOOKUP(INDIRECT(ADDRESS(2,COLUMN())),OFFSET($T$2,0,0,ROW()-1,14),ROW()-1,FALSE))</x:f>
        <x:v/>
      </x:c>
      <x:c r="K458" t="str">
        <x:f ca="1">IF(AND($B$1012=1,LEN($K$1458)&gt;0),$K$1458,HLOOKUP(INDIRECT(ADDRESS(2,COLUMN())),OFFSET($T$2,0,0,ROW()-1,14),ROW()-1,FALSE))</x:f>
        <x:v/>
      </x:c>
      <x:c r="L458" t="str">
        <x:f ca="1">IF(AND($B$1012=1,LEN($L$1458)&gt;0),$L$1458,HLOOKUP(INDIRECT(ADDRESS(2,COLUMN())),OFFSET($T$2,0,0,ROW()-1,14),ROW()-1,FALSE))</x:f>
        <x:v/>
      </x:c>
      <x:c r="M458" t="str">
        <x:f ca="1">IF(AND($B$1012=1,LEN($M$1458)&gt;0),$M$1458,HLOOKUP(INDIRECT(ADDRESS(2,COLUMN())),OFFSET($T$2,0,0,ROW()-1,14),ROW()-1,FALSE))</x:f>
        <x:v/>
      </x:c>
      <x:c r="N458" t="str">
        <x:f ca="1">IF(AND($B$1012=1,LEN($N$1458)&gt;0),$N$1458,HLOOKUP(INDIRECT(ADDRESS(2,COLUMN())),OFFSET($T$2,0,0,ROW()-1,14),ROW()-1,FALSE))</x:f>
        <x:v/>
      </x:c>
      <x:c r="O458" t="str">
        <x:f ca="1">IF(AND($B$1012=1,LEN($O$1458)&gt;0),$O$1458,HLOOKUP(INDIRECT(ADDRESS(2,COLUMN())),OFFSET($T$2,0,0,ROW()-1,14),ROW()-1,FALSE))</x:f>
        <x:v/>
      </x:c>
      <x:c r="P458" t="str">
        <x:f ca="1">IF(AND($B$1012=1,LEN($P$1458)&gt;0),$P$1458,HLOOKUP(INDIRECT(ADDRESS(2,COLUMN())),OFFSET($T$2,0,0,ROW()-1,14),ROW()-1,FALSE))</x:f>
        <x:v/>
      </x:c>
      <x:c r="Q458" t="str">
        <x:f ca="1">IF(AND($B$1012=1,LEN($Q$1458)&gt;0),$Q$1458,HLOOKUP(INDIRECT(ADDRESS(2,COLUMN())),OFFSET($T$2,0,0,ROW()-1,14),ROW()-1,FALSE))</x:f>
        <x:v/>
      </x:c>
      <x:c r="R458" t="str">
        <x:f ca="1">IF(AND($B$1012=1,LEN($R$1458)&gt;0),$R$1458,HLOOKUP(INDIRECT(ADDRESS(2,COLUMN())),OFFSET($T$2,0,0,ROW()-1,14),ROW()-1,FALSE))</x:f>
        <x:v/>
      </x:c>
      <x:c r="S458" t="str">
        <x:f ca="1">IF(AND($B$1012=1,LEN($S$1458)&gt;0),$S$1458,HLOOKUP(INDIRECT(ADDRESS(2,COLUMN())),OFFSET($T$2,0,0,ROW()-1,14),ROW()-1,FALSE))</x:f>
        <x:v/>
      </x:c>
      <x:c r="T458" t="str">
        <x:f>""</x:f>
        <x:v/>
      </x:c>
      <x:c r="U458" t="str">
        <x:f>""</x:f>
        <x:v/>
      </x:c>
      <x:c r="V458" t="str">
        <x:f>""</x:f>
        <x:v/>
      </x:c>
      <x:c r="W458" t="str">
        <x:f>""</x:f>
        <x:v/>
      </x:c>
      <x:c r="X458" t="str">
        <x:f>""</x:f>
        <x:v/>
      </x:c>
      <x:c r="Y458" t="str">
        <x:f>""</x:f>
        <x:v/>
      </x:c>
      <x:c r="Z458" t="str">
        <x:f>""</x:f>
        <x:v/>
      </x:c>
      <x:c r="AA458" t="str">
        <x:f>""</x:f>
        <x:v/>
      </x:c>
      <x:c r="AB458" t="str">
        <x:f>""</x:f>
        <x:v/>
      </x:c>
      <x:c r="AC458" t="str">
        <x:f>""</x:f>
        <x:v/>
      </x:c>
      <x:c r="AD458" t="str">
        <x:f>""</x:f>
        <x:v/>
      </x:c>
      <x:c r="AE458" t="str">
        <x:f>""</x:f>
        <x:v/>
      </x:c>
      <x:c r="AF458" t="str">
        <x:f>""</x:f>
        <x:v/>
      </x:c>
      <x:c r="AG458" t="str">
        <x:f>""</x:f>
        <x:v/>
      </x:c>
    </x:row>
    <x:row r="459" spans="1:33" x14ac:dyDescent="0.25">
      <x:c r="A459" t="str">
        <x:f>"        Global X SuperDividend REIT ET"</x:f>
        <x:v xml:space="preserve">        Global X SuperDividend REIT ET</x:v>
      </x:c>
      <x:c r="B459" t="str">
        <x:f>"SRET US Equity"</x:f>
        <x:v>SRET US Equity</x:v>
      </x:c>
      <x:c r="E459" t="str">
        <x:f t="shared" si="14"/>
        <x:v>Expression</x:v>
      </x:c>
      <x:c r="F459">
        <x:f ca="1">IF(AND($B$1012=1,LEN($F$1459)&gt;0),$F$1459,HLOOKUP(INDIRECT(ADDRESS(2,COLUMN())),OFFSET($T$2,0,0,ROW()-1,14),ROW()-1,FALSE))</x:f>
        <x:v>0</x:v>
      </x:c>
      <x:c r="G459">
        <x:f ca="1">IF(AND($B$1012=1,LEN($G$1459)&gt;0),$G$1459,HLOOKUP(INDIRECT(ADDRESS(2,COLUMN())),OFFSET($T$2,0,0,ROW()-1,14),ROW()-1,FALSE))</x:f>
        <x:v>4.1445999999999996</x:v>
      </x:c>
      <x:c r="H459">
        <x:f ca="1">IF(AND($B$1012=1,LEN($H$1459)&gt;0),$H$1459,HLOOKUP(INDIRECT(ADDRESS(2,COLUMN())),OFFSET($T$2,0,0,ROW()-1,14),ROW()-1,FALSE))</x:f>
        <x:v>0</x:v>
      </x:c>
      <x:c r="I459">
        <x:f ca="1">IF(AND($B$1012=1,LEN($I$1459)&gt;0),$I$1459,HLOOKUP(INDIRECT(ADDRESS(2,COLUMN())),OFFSET($T$2,0,0,ROW()-1,14),ROW()-1,FALSE))</x:f>
        <x:v>-6.7084000000000001</x:v>
      </x:c>
      <x:c r="J459">
        <x:f ca="1">IF(AND($B$1012=1,LEN($J$1459)&gt;0),$J$1459,HLOOKUP(INDIRECT(ADDRESS(2,COLUMN())),OFFSET($T$2,0,0,ROW()-1,14),ROW()-1,FALSE))</x:f>
        <x:v>-2.3048000000000002</x:v>
      </x:c>
      <x:c r="K459">
        <x:f ca="1">IF(AND($B$1012=1,LEN($K$1459)&gt;0),$K$1459,HLOOKUP(INDIRECT(ADDRESS(2,COLUMN())),OFFSET($T$2,0,0,ROW()-1,14),ROW()-1,FALSE))</x:f>
        <x:v>-8.4179999999999993</x:v>
      </x:c>
      <x:c r="L459">
        <x:f ca="1">IF(AND($B$1012=1,LEN($L$1459)&gt;0),$L$1459,HLOOKUP(INDIRECT(ADDRESS(2,COLUMN())),OFFSET($T$2,0,0,ROW()-1,14),ROW()-1,FALSE))</x:f>
        <x:v>-3.6360000000000001</x:v>
      </x:c>
      <x:c r="M459">
        <x:f ca="1">IF(AND($B$1012=1,LEN($M$1459)&gt;0),$M$1459,HLOOKUP(INDIRECT(ADDRESS(2,COLUMN())),OFFSET($T$2,0,0,ROW()-1,14),ROW()-1,FALSE))</x:f>
        <x:v>-4.3033000000000001</x:v>
      </x:c>
      <x:c r="N459">
        <x:f ca="1">IF(AND($B$1012=1,LEN($N$1459)&gt;0),$N$1459,HLOOKUP(INDIRECT(ADDRESS(2,COLUMN())),OFFSET($T$2,0,0,ROW()-1,14),ROW()-1,FALSE))</x:f>
        <x:v>-4.6045999999999996</x:v>
      </x:c>
      <x:c r="O459">
        <x:f ca="1">IF(AND($B$1012=1,LEN($O$1459)&gt;0),$O$1459,HLOOKUP(INDIRECT(ADDRESS(2,COLUMN())),OFFSET($T$2,0,0,ROW()-1,14),ROW()-1,FALSE))</x:f>
        <x:v>0</x:v>
      </x:c>
      <x:c r="P459">
        <x:f ca="1">IF(AND($B$1012=1,LEN($P$1459)&gt;0),$P$1459,HLOOKUP(INDIRECT(ADDRESS(2,COLUMN())),OFFSET($T$2,0,0,ROW()-1,14),ROW()-1,FALSE))</x:f>
        <x:v>2.4289640000000001</x:v>
      </x:c>
      <x:c r="Q459">
        <x:f ca="1">IF(AND($B$1012=1,LEN($Q$1459)&gt;0),$Q$1459,HLOOKUP(INDIRECT(ADDRESS(2,COLUMN())),OFFSET($T$2,0,0,ROW()-1,14),ROW()-1,FALSE))</x:f>
        <x:v>-5.8614170000000003</x:v>
      </x:c>
      <x:c r="R459">
        <x:f ca="1">IF(AND($B$1012=1,LEN($R$1459)&gt;0),$R$1459,HLOOKUP(INDIRECT(ADDRESS(2,COLUMN())),OFFSET($T$2,0,0,ROW()-1,14),ROW()-1,FALSE))</x:f>
        <x:v>-5.2114000000000003</x:v>
      </x:c>
      <x:c r="S459">
        <x:f ca="1">IF(AND($B$1012=1,LEN($S$1459)&gt;0),$S$1459,HLOOKUP(INDIRECT(ADDRESS(2,COLUMN())),OFFSET($T$2,0,0,ROW()-1,14),ROW()-1,FALSE))</x:f>
        <x:v>-1.6975</x:v>
      </x:c>
      <x:c r="T459">
        <x:f>0</x:f>
        <x:v>0</x:v>
      </x:c>
      <x:c r="U459">
        <x:f>4.1446</x:f>
        <x:v>4.1445999999999996</x:v>
      </x:c>
      <x:c r="V459">
        <x:f>0</x:f>
        <x:v>0</x:v>
      </x:c>
      <x:c r="W459">
        <x:f>-6.7084</x:f>
        <x:v>-6.7084000000000001</x:v>
      </x:c>
      <x:c r="X459">
        <x:f>-2.3048</x:f>
        <x:v>-2.3048000000000002</x:v>
      </x:c>
      <x:c r="Y459">
        <x:f>-8.418</x:f>
        <x:v>-8.4179999999999993</x:v>
      </x:c>
      <x:c r="Z459">
        <x:f>-3.636</x:f>
        <x:v>-3.6360000000000001</x:v>
      </x:c>
      <x:c r="AA459">
        <x:f>-4.3033</x:f>
        <x:v>-4.3033000000000001</x:v>
      </x:c>
      <x:c r="AB459">
        <x:f>-4.6046</x:f>
        <x:v>-4.6045999999999996</x:v>
      </x:c>
      <x:c r="AC459">
        <x:f>0</x:f>
        <x:v>0</x:v>
      </x:c>
      <x:c r="AD459">
        <x:f>2.428964</x:f>
        <x:v>2.4289640000000001</x:v>
      </x:c>
      <x:c r="AE459">
        <x:f>-5.861417</x:f>
        <x:v>-5.8614170000000003</x:v>
      </x:c>
      <x:c r="AF459">
        <x:f>-5.2114</x:f>
        <x:v>-5.2114000000000003</x:v>
      </x:c>
      <x:c r="AG459">
        <x:f>-1.6975</x:f>
        <x:v>-1.6975</x:v>
      </x:c>
    </x:row>
    <x:row r="460" spans="1:33" x14ac:dyDescent="0.25">
      <x:c r="A460" t="str">
        <x:f>"        ProShares UltraShort Real Esta"</x:f>
        <x:v xml:space="preserve">        ProShares UltraShort Real Esta</x:v>
      </x:c>
      <x:c r="B460" t="str">
        <x:f>"SRS US Equity"</x:f>
        <x:v>SRS US Equity</x:v>
      </x:c>
      <x:c r="E460" t="str">
        <x:f t="shared" si="14"/>
        <x:v>Expression</x:v>
      </x:c>
      <x:c r="F460">
        <x:f ca="1">IF(AND($B$1012=1,LEN($F$1460)&gt;0),$F$1460,HLOOKUP(INDIRECT(ADDRESS(2,COLUMN())),OFFSET($T$2,0,0,ROW()-1,14),ROW()-1,FALSE))</x:f>
        <x:v>-3.4058449999999998</x:v>
      </x:c>
      <x:c r="G460">
        <x:f ca="1">IF(AND($B$1012=1,LEN($G$1460)&gt;0),$G$1460,HLOOKUP(INDIRECT(ADDRESS(2,COLUMN())),OFFSET($T$2,0,0,ROW()-1,14),ROW()-1,FALSE))</x:f>
        <x:v>-7.4564279999999998</x:v>
      </x:c>
      <x:c r="H460">
        <x:f ca="1">IF(AND($B$1012=1,LEN($H$1460)&gt;0),$H$1460,HLOOKUP(INDIRECT(ADDRESS(2,COLUMN())),OFFSET($T$2,0,0,ROW()-1,14),ROW()-1,FALSE))</x:f>
        <x:v>0</x:v>
      </x:c>
      <x:c r="I460">
        <x:f ca="1">IF(AND($B$1012=1,LEN($I$1460)&gt;0),$I$1460,HLOOKUP(INDIRECT(ADDRESS(2,COLUMN())),OFFSET($T$2,0,0,ROW()-1,14),ROW()-1,FALSE))</x:f>
        <x:v>-0.47379700000000002</x:v>
      </x:c>
      <x:c r="J460">
        <x:f ca="1">IF(AND($B$1012=1,LEN($J$1460)&gt;0),$J$1460,HLOOKUP(INDIRECT(ADDRESS(2,COLUMN())),OFFSET($T$2,0,0,ROW()-1,14),ROW()-1,FALSE))</x:f>
        <x:v>-0.41578700000000002</x:v>
      </x:c>
      <x:c r="K460">
        <x:f ca="1">IF(AND($B$1012=1,LEN($K$1460)&gt;0),$K$1460,HLOOKUP(INDIRECT(ADDRESS(2,COLUMN())),OFFSET($T$2,0,0,ROW()-1,14),ROW()-1,FALSE))</x:f>
        <x:v>-2.17564</x:v>
      </x:c>
      <x:c r="L460">
        <x:f ca="1">IF(AND($B$1012=1,LEN($L$1460)&gt;0),$L$1460,HLOOKUP(INDIRECT(ADDRESS(2,COLUMN())),OFFSET($T$2,0,0,ROW()-1,14),ROW()-1,FALSE))</x:f>
        <x:v>3.6893150000000001</x:v>
      </x:c>
      <x:c r="M460">
        <x:f ca="1">IF(AND($B$1012=1,LEN($M$1460)&gt;0),$M$1460,HLOOKUP(INDIRECT(ADDRESS(2,COLUMN())),OFFSET($T$2,0,0,ROW()-1,14),ROW()-1,FALSE))</x:f>
        <x:v>1.8519999999999998E-2</x:v>
      </x:c>
      <x:c r="N460">
        <x:f ca="1">IF(AND($B$1012=1,LEN($N$1460)&gt;0),$N$1460,HLOOKUP(INDIRECT(ADDRESS(2,COLUMN())),OFFSET($T$2,0,0,ROW()-1,14),ROW()-1,FALSE))</x:f>
        <x:v>-3.7819799999999999</x:v>
      </x:c>
      <x:c r="O460">
        <x:f ca="1">IF(AND($B$1012=1,LEN($O$1460)&gt;0),$O$1460,HLOOKUP(INDIRECT(ADDRESS(2,COLUMN())),OFFSET($T$2,0,0,ROW()-1,14),ROW()-1,FALSE))</x:f>
        <x:v>-2.2458450000000001</x:v>
      </x:c>
      <x:c r="P460">
        <x:f ca="1">IF(AND($B$1012=1,LEN($P$1460)&gt;0),$P$1460,HLOOKUP(INDIRECT(ADDRESS(2,COLUMN())),OFFSET($T$2,0,0,ROW()-1,14),ROW()-1,FALSE))</x:f>
        <x:v>-2.1535299999999999</x:v>
      </x:c>
      <x:c r="Q460">
        <x:f ca="1">IF(AND($B$1012=1,LEN($Q$1460)&gt;0),$Q$1460,HLOOKUP(INDIRECT(ADDRESS(2,COLUMN())),OFFSET($T$2,0,0,ROW()-1,14),ROW()-1,FALSE))</x:f>
        <x:v>6.2578800000000001</x:v>
      </x:c>
      <x:c r="R460">
        <x:f ca="1">IF(AND($B$1012=1,LEN($R$1460)&gt;0),$R$1460,HLOOKUP(INDIRECT(ADDRESS(2,COLUMN())),OFFSET($T$2,0,0,ROW()-1,14),ROW()-1,FALSE))</x:f>
        <x:v>-0.96264000000000005</x:v>
      </x:c>
      <x:c r="S460">
        <x:f ca="1">IF(AND($B$1012=1,LEN($S$1460)&gt;0),$S$1460,HLOOKUP(INDIRECT(ADDRESS(2,COLUMN())),OFFSET($T$2,0,0,ROW()-1,14),ROW()-1,FALSE))</x:f>
        <x:v>-12.18544</x:v>
      </x:c>
      <x:c r="T460">
        <x:f>-3.405845</x:f>
        <x:v>-3.4058449999999998</x:v>
      </x:c>
      <x:c r="U460">
        <x:f>-7.456428</x:f>
        <x:v>-7.4564279999999998</x:v>
      </x:c>
      <x:c r="V460">
        <x:f>0</x:f>
        <x:v>0</x:v>
      </x:c>
      <x:c r="W460">
        <x:f>-0.473797</x:f>
        <x:v>-0.47379700000000002</x:v>
      </x:c>
      <x:c r="X460">
        <x:f>-0.415787</x:f>
        <x:v>-0.41578700000000002</x:v>
      </x:c>
      <x:c r="Y460">
        <x:f>-2.17564</x:f>
        <x:v>-2.17564</x:v>
      </x:c>
      <x:c r="Z460">
        <x:f>3.689315</x:f>
        <x:v>3.6893150000000001</x:v>
      </x:c>
      <x:c r="AA460">
        <x:f>0.01852</x:f>
        <x:v>1.8519999999999998E-2</x:v>
      </x:c>
      <x:c r="AB460">
        <x:f>-3.78198</x:f>
        <x:v>-3.7819799999999999</x:v>
      </x:c>
      <x:c r="AC460">
        <x:f>-2.245845</x:f>
        <x:v>-2.2458450000000001</x:v>
      </x:c>
      <x:c r="AD460">
        <x:f>-2.15353</x:f>
        <x:v>-2.1535299999999999</x:v>
      </x:c>
      <x:c r="AE460">
        <x:f>6.25788</x:f>
        <x:v>6.2578800000000001</x:v>
      </x:c>
      <x:c r="AF460">
        <x:f>-0.96264</x:f>
        <x:v>-0.96264000000000005</x:v>
      </x:c>
      <x:c r="AG460">
        <x:f>-12.18544</x:f>
        <x:v>-12.18544</x:v>
      </x:c>
    </x:row>
    <x:row r="461" spans="1:33" x14ac:dyDescent="0.25">
      <x:c r="A461" t="str">
        <x:f>"        X-Links Monthly Pay 2x Leverag"</x:f>
        <x:v xml:space="preserve">        X-Links Monthly Pay 2x Leverag</x:v>
      </x:c>
      <x:c r="B461" t="str">
        <x:f>"REML US Equity"</x:f>
        <x:v>REML US Equity</x:v>
      </x:c>
      <x:c r="E461" t="str">
        <x:f t="shared" ref="E461:E492" si="15">"Expression"</x:f>
        <x:v>Expression</x:v>
      </x:c>
      <x:c r="F461" t="str">
        <x:f ca="1">IF(AND($B$1012=1,LEN($F$1461)&gt;0),$F$1461,HLOOKUP(INDIRECT(ADDRESS(2,COLUMN())),OFFSET($T$2,0,0,ROW()-1,14),ROW()-1,FALSE))</x:f>
        <x:v/>
      </x:c>
      <x:c r="G461" t="str">
        <x:f ca="1">IF(AND($B$1012=1,LEN($G$1461)&gt;0),$G$1461,HLOOKUP(INDIRECT(ADDRESS(2,COLUMN())),OFFSET($T$2,0,0,ROW()-1,14),ROW()-1,FALSE))</x:f>
        <x:v/>
      </x:c>
      <x:c r="H461" t="str">
        <x:f ca="1">IF(AND($B$1012=1,LEN($H$1461)&gt;0),$H$1461,HLOOKUP(INDIRECT(ADDRESS(2,COLUMN())),OFFSET($T$2,0,0,ROW()-1,14),ROW()-1,FALSE))</x:f>
        <x:v/>
      </x:c>
      <x:c r="I461" t="str">
        <x:f ca="1">IF(AND($B$1012=1,LEN($I$1461)&gt;0),$I$1461,HLOOKUP(INDIRECT(ADDRESS(2,COLUMN())),OFFSET($T$2,0,0,ROW()-1,14),ROW()-1,FALSE))</x:f>
        <x:v/>
      </x:c>
      <x:c r="J461" t="str">
        <x:f ca="1">IF(AND($B$1012=1,LEN($J$1461)&gt;0),$J$1461,HLOOKUP(INDIRECT(ADDRESS(2,COLUMN())),OFFSET($T$2,0,0,ROW()-1,14),ROW()-1,FALSE))</x:f>
        <x:v/>
      </x:c>
      <x:c r="K461" t="str">
        <x:f ca="1">IF(AND($B$1012=1,LEN($K$1461)&gt;0),$K$1461,HLOOKUP(INDIRECT(ADDRESS(2,COLUMN())),OFFSET($T$2,0,0,ROW()-1,14),ROW()-1,FALSE))</x:f>
        <x:v/>
      </x:c>
      <x:c r="L461" t="str">
        <x:f ca="1">IF(AND($B$1012=1,LEN($L$1461)&gt;0),$L$1461,HLOOKUP(INDIRECT(ADDRESS(2,COLUMN())),OFFSET($T$2,0,0,ROW()-1,14),ROW()-1,FALSE))</x:f>
        <x:v/>
      </x:c>
      <x:c r="M461" t="str">
        <x:f ca="1">IF(AND($B$1012=1,LEN($M$1461)&gt;0),$M$1461,HLOOKUP(INDIRECT(ADDRESS(2,COLUMN())),OFFSET($T$2,0,0,ROW()-1,14),ROW()-1,FALSE))</x:f>
        <x:v/>
      </x:c>
      <x:c r="N461" t="str">
        <x:f ca="1">IF(AND($B$1012=1,LEN($N$1461)&gt;0),$N$1461,HLOOKUP(INDIRECT(ADDRESS(2,COLUMN())),OFFSET($T$2,0,0,ROW()-1,14),ROW()-1,FALSE))</x:f>
        <x:v/>
      </x:c>
      <x:c r="O461" t="str">
        <x:f ca="1">IF(AND($B$1012=1,LEN($O$1461)&gt;0),$O$1461,HLOOKUP(INDIRECT(ADDRESS(2,COLUMN())),OFFSET($T$2,0,0,ROW()-1,14),ROW()-1,FALSE))</x:f>
        <x:v/>
      </x:c>
      <x:c r="P461" t="str">
        <x:f ca="1">IF(AND($B$1012=1,LEN($P$1461)&gt;0),$P$1461,HLOOKUP(INDIRECT(ADDRESS(2,COLUMN())),OFFSET($T$2,0,0,ROW()-1,14),ROW()-1,FALSE))</x:f>
        <x:v/>
      </x:c>
      <x:c r="Q461" t="str">
        <x:f ca="1">IF(AND($B$1012=1,LEN($Q$1461)&gt;0),$Q$1461,HLOOKUP(INDIRECT(ADDRESS(2,COLUMN())),OFFSET($T$2,0,0,ROW()-1,14),ROW()-1,FALSE))</x:f>
        <x:v/>
      </x:c>
      <x:c r="R461" t="str">
        <x:f ca="1">IF(AND($B$1012=1,LEN($R$1461)&gt;0),$R$1461,HLOOKUP(INDIRECT(ADDRESS(2,COLUMN())),OFFSET($T$2,0,0,ROW()-1,14),ROW()-1,FALSE))</x:f>
        <x:v/>
      </x:c>
      <x:c r="S461" t="str">
        <x:f ca="1">IF(AND($B$1012=1,LEN($S$1461)&gt;0),$S$1461,HLOOKUP(INDIRECT(ADDRESS(2,COLUMN())),OFFSET($T$2,0,0,ROW()-1,14),ROW()-1,FALSE))</x:f>
        <x:v/>
      </x:c>
      <x:c r="T461" t="str">
        <x:f>""</x:f>
        <x:v/>
      </x:c>
      <x:c r="U461" t="str">
        <x:f>""</x:f>
        <x:v/>
      </x:c>
      <x:c r="V461" t="str">
        <x:f>""</x:f>
        <x:v/>
      </x:c>
      <x:c r="W461" t="str">
        <x:f>""</x:f>
        <x:v/>
      </x:c>
      <x:c r="X461" t="str">
        <x:f>""</x:f>
        <x:v/>
      </x:c>
      <x:c r="Y461" t="str">
        <x:f>""</x:f>
        <x:v/>
      </x:c>
      <x:c r="Z461" t="str">
        <x:f>""</x:f>
        <x:v/>
      </x:c>
      <x:c r="AA461" t="str">
        <x:f>""</x:f>
        <x:v/>
      </x:c>
      <x:c r="AB461" t="str">
        <x:f>""</x:f>
        <x:v/>
      </x:c>
      <x:c r="AC461" t="str">
        <x:f>""</x:f>
        <x:v/>
      </x:c>
      <x:c r="AD461" t="str">
        <x:f>""</x:f>
        <x:v/>
      </x:c>
      <x:c r="AE461" t="str">
        <x:f>""</x:f>
        <x:v/>
      </x:c>
      <x:c r="AF461" t="str">
        <x:f>""</x:f>
        <x:v/>
      </x:c>
      <x:c r="AG461" t="str">
        <x:f>""</x:f>
        <x:v/>
      </x:c>
    </x:row>
    <x:row r="462" spans="1:33" x14ac:dyDescent="0.25">
      <x:c r="A462" t="str">
        <x:f>"        Invesco Active US Real Estate"</x:f>
        <x:v xml:space="preserve">        Invesco Active US Real Estate</x:v>
      </x:c>
      <x:c r="B462" t="str">
        <x:f>"PSR US Equity"</x:f>
        <x:v>PSR US Equity</x:v>
      </x:c>
      <x:c r="E462" t="str">
        <x:f t="shared" si="15"/>
        <x:v>Expression</x:v>
      </x:c>
      <x:c r="F462">
        <x:f ca="1">IF(AND($B$1012=1,LEN($F$1462)&gt;0),$F$1462,HLOOKUP(INDIRECT(ADDRESS(2,COLUMN())),OFFSET($T$2,0,0,ROW()-1,14),ROW()-1,FALSE))</x:f>
        <x:v>1.003711</x:v>
      </x:c>
      <x:c r="G462">
        <x:f ca="1">IF(AND($B$1012=1,LEN($G$1462)&gt;0),$G$1462,HLOOKUP(INDIRECT(ADDRESS(2,COLUMN())),OFFSET($T$2,0,0,ROW()-1,14),ROW()-1,FALSE))</x:f>
        <x:v>-3.7983099999999999</x:v>
      </x:c>
      <x:c r="H462">
        <x:f ca="1">IF(AND($B$1012=1,LEN($H$1462)&gt;0),$H$1462,HLOOKUP(INDIRECT(ADDRESS(2,COLUMN())),OFFSET($T$2,0,0,ROW()-1,14),ROW()-1,FALSE))</x:f>
        <x:v>-2.5388950000000001</x:v>
      </x:c>
      <x:c r="I462">
        <x:f ca="1">IF(AND($B$1012=1,LEN($I$1462)&gt;0),$I$1462,HLOOKUP(INDIRECT(ADDRESS(2,COLUMN())),OFFSET($T$2,0,0,ROW()-1,14),ROW()-1,FALSE))</x:f>
        <x:v>-5.149546</x:v>
      </x:c>
      <x:c r="J462">
        <x:f ca="1">IF(AND($B$1012=1,LEN($J$1462)&gt;0),$J$1462,HLOOKUP(INDIRECT(ADDRESS(2,COLUMN())),OFFSET($T$2,0,0,ROW()-1,14),ROW()-1,FALSE))</x:f>
        <x:v>-6.1771140000000004</x:v>
      </x:c>
      <x:c r="K462">
        <x:f ca="1">IF(AND($B$1012=1,LEN($K$1462)&gt;0),$K$1462,HLOOKUP(INDIRECT(ADDRESS(2,COLUMN())),OFFSET($T$2,0,0,ROW()-1,14),ROW()-1,FALSE))</x:f>
        <x:v>-2.6001409999999998</x:v>
      </x:c>
      <x:c r="L462">
        <x:f ca="1">IF(AND($B$1012=1,LEN($L$1462)&gt;0),$L$1462,HLOOKUP(INDIRECT(ADDRESS(2,COLUMN())),OFFSET($T$2,0,0,ROW()-1,14),ROW()-1,FALSE))</x:f>
        <x:v>-2.4223490000000001</x:v>
      </x:c>
      <x:c r="M462">
        <x:f ca="1">IF(AND($B$1012=1,LEN($M$1462)&gt;0),$M$1462,HLOOKUP(INDIRECT(ADDRESS(2,COLUMN())),OFFSET($T$2,0,0,ROW()-1,14),ROW()-1,FALSE))</x:f>
        <x:v>-2.6246619999999998</x:v>
      </x:c>
      <x:c r="N462">
        <x:f ca="1">IF(AND($B$1012=1,LEN($N$1462)&gt;0),$N$1462,HLOOKUP(INDIRECT(ADDRESS(2,COLUMN())),OFFSET($T$2,0,0,ROW()-1,14),ROW()-1,FALSE))</x:f>
        <x:v>3.397E-2</x:v>
      </x:c>
      <x:c r="O462">
        <x:f ca="1">IF(AND($B$1012=1,LEN($O$1462)&gt;0),$O$1462,HLOOKUP(INDIRECT(ADDRESS(2,COLUMN())),OFFSET($T$2,0,0,ROW()-1,14),ROW()-1,FALSE))</x:f>
        <x:v>-3.8032750000000002</x:v>
      </x:c>
      <x:c r="P462">
        <x:f ca="1">IF(AND($B$1012=1,LEN($P$1462)&gt;0),$P$1462,HLOOKUP(INDIRECT(ADDRESS(2,COLUMN())),OFFSET($T$2,0,0,ROW()-1,14),ROW()-1,FALSE))</x:f>
        <x:v>-16.447707000000001</x:v>
      </x:c>
      <x:c r="Q462">
        <x:f ca="1">IF(AND($B$1012=1,LEN($Q$1462)&gt;0),$Q$1462,HLOOKUP(INDIRECT(ADDRESS(2,COLUMN())),OFFSET($T$2,0,0,ROW()-1,14),ROW()-1,FALSE))</x:f>
        <x:v>18.383752000000001</x:v>
      </x:c>
      <x:c r="R462">
        <x:f ca="1">IF(AND($B$1012=1,LEN($R$1462)&gt;0),$R$1462,HLOOKUP(INDIRECT(ADDRESS(2,COLUMN())),OFFSET($T$2,0,0,ROW()-1,14),ROW()-1,FALSE))</x:f>
        <x:v>10.829539</x:v>
      </x:c>
      <x:c r="S462">
        <x:f ca="1">IF(AND($B$1012=1,LEN($S$1462)&gt;0),$S$1462,HLOOKUP(INDIRECT(ADDRESS(2,COLUMN())),OFFSET($T$2,0,0,ROW()-1,14),ROW()-1,FALSE))</x:f>
        <x:v>-0.14488300000000001</x:v>
      </x:c>
      <x:c r="T462">
        <x:f>1.003711</x:f>
        <x:v>1.003711</x:v>
      </x:c>
      <x:c r="U462">
        <x:f>-3.79831</x:f>
        <x:v>-3.7983099999999999</x:v>
      </x:c>
      <x:c r="V462">
        <x:f>-2.538895</x:f>
        <x:v>-2.5388950000000001</x:v>
      </x:c>
      <x:c r="W462">
        <x:f>-5.149546</x:f>
        <x:v>-5.149546</x:v>
      </x:c>
      <x:c r="X462">
        <x:f>-6.177114</x:f>
        <x:v>-6.1771140000000004</x:v>
      </x:c>
      <x:c r="Y462">
        <x:f>-2.600141</x:f>
        <x:v>-2.6001409999999998</x:v>
      </x:c>
      <x:c r="Z462">
        <x:f>-2.422349</x:f>
        <x:v>-2.4223490000000001</x:v>
      </x:c>
      <x:c r="AA462">
        <x:f>-2.624662</x:f>
        <x:v>-2.6246619999999998</x:v>
      </x:c>
      <x:c r="AB462">
        <x:f>0.03397</x:f>
        <x:v>3.397E-2</x:v>
      </x:c>
      <x:c r="AC462">
        <x:f>-3.803275</x:f>
        <x:v>-3.8032750000000002</x:v>
      </x:c>
      <x:c r="AD462">
        <x:f>-16.447707</x:f>
        <x:v>-16.447707000000001</x:v>
      </x:c>
      <x:c r="AE462">
        <x:f>18.383752</x:f>
        <x:v>18.383752000000001</x:v>
      </x:c>
      <x:c r="AF462">
        <x:f>10.829539</x:f>
        <x:v>10.829539</x:v>
      </x:c>
      <x:c r="AG462">
        <x:f>-0.144883</x:f>
        <x:v>-0.14488300000000001</x:v>
      </x:c>
    </x:row>
    <x:row r="463" spans="1:33" x14ac:dyDescent="0.25">
      <x:c r="A463" t="str">
        <x:f>"        Invesco S&amp;P 500 Equal Weight R"</x:f>
        <x:v xml:space="preserve">        Invesco S&amp;P 500 Equal Weight R</x:v>
      </x:c>
      <x:c r="B463" t="str">
        <x:f>"EWRE US Equity"</x:f>
        <x:v>EWRE US Equity</x:v>
      </x:c>
      <x:c r="E463" t="str">
        <x:f t="shared" si="15"/>
        <x:v>Expression</x:v>
      </x:c>
      <x:c r="F463">
        <x:f ca="1">IF(AND($B$1012=1,LEN($F$1463)&gt;0),$F$1463,HLOOKUP(INDIRECT(ADDRESS(2,COLUMN())),OFFSET($T$2,0,0,ROW()-1,14),ROW()-1,FALSE))</x:f>
        <x:v>3.5008189999999999</x:v>
      </x:c>
      <x:c r="G463">
        <x:f ca="1">IF(AND($B$1012=1,LEN($G$1463)&gt;0),$G$1463,HLOOKUP(INDIRECT(ADDRESS(2,COLUMN())),OFFSET($T$2,0,0,ROW()-1,14),ROW()-1,FALSE))</x:f>
        <x:v>2.178407</x:v>
      </x:c>
      <x:c r="H463">
        <x:f ca="1">IF(AND($B$1012=1,LEN($H$1463)&gt;0),$H$1463,HLOOKUP(INDIRECT(ADDRESS(2,COLUMN())),OFFSET($T$2,0,0,ROW()-1,14),ROW()-1,FALSE))</x:f>
        <x:v>-11.996857</x:v>
      </x:c>
      <x:c r="I463">
        <x:f ca="1">IF(AND($B$1012=1,LEN($I$1463)&gt;0),$I$1463,HLOOKUP(INDIRECT(ADDRESS(2,COLUMN())),OFFSET($T$2,0,0,ROW()-1,14),ROW()-1,FALSE))</x:f>
        <x:v>0.356018</x:v>
      </x:c>
      <x:c r="J463">
        <x:f ca="1">IF(AND($B$1012=1,LEN($J$1463)&gt;0),$J$1463,HLOOKUP(INDIRECT(ADDRESS(2,COLUMN())),OFFSET($T$2,0,0,ROW()-1,14),ROW()-1,FALSE))</x:f>
        <x:v>-5.4480000000000001E-2</x:v>
      </x:c>
      <x:c r="K463">
        <x:f ca="1">IF(AND($B$1012=1,LEN($K$1463)&gt;0),$K$1463,HLOOKUP(INDIRECT(ADDRESS(2,COLUMN())),OFFSET($T$2,0,0,ROW()-1,14),ROW()-1,FALSE))</x:f>
        <x:v>-4.6684910000000004</x:v>
      </x:c>
      <x:c r="L463" t="str">
        <x:f ca="1">IF(AND($B$1012=1,LEN($L$1463)&gt;0),$L$1463,HLOOKUP(INDIRECT(ADDRESS(2,COLUMN())),OFFSET($T$2,0,0,ROW()-1,14),ROW()-1,FALSE))</x:f>
        <x:v/>
      </x:c>
      <x:c r="M463" t="str">
        <x:f ca="1">IF(AND($B$1012=1,LEN($M$1463)&gt;0),$M$1463,HLOOKUP(INDIRECT(ADDRESS(2,COLUMN())),OFFSET($T$2,0,0,ROW()-1,14),ROW()-1,FALSE))</x:f>
        <x:v/>
      </x:c>
      <x:c r="N463" t="str">
        <x:f ca="1">IF(AND($B$1012=1,LEN($N$1463)&gt;0),$N$1463,HLOOKUP(INDIRECT(ADDRESS(2,COLUMN())),OFFSET($T$2,0,0,ROW()-1,14),ROW()-1,FALSE))</x:f>
        <x:v/>
      </x:c>
      <x:c r="O463" t="str">
        <x:f ca="1">IF(AND($B$1012=1,LEN($O$1463)&gt;0),$O$1463,HLOOKUP(INDIRECT(ADDRESS(2,COLUMN())),OFFSET($T$2,0,0,ROW()-1,14),ROW()-1,FALSE))</x:f>
        <x:v/>
      </x:c>
      <x:c r="P463" t="str">
        <x:f ca="1">IF(AND($B$1012=1,LEN($P$1463)&gt;0),$P$1463,HLOOKUP(INDIRECT(ADDRESS(2,COLUMN())),OFFSET($T$2,0,0,ROW()-1,14),ROW()-1,FALSE))</x:f>
        <x:v/>
      </x:c>
      <x:c r="Q463" t="str">
        <x:f ca="1">IF(AND($B$1012=1,LEN($Q$1463)&gt;0),$Q$1463,HLOOKUP(INDIRECT(ADDRESS(2,COLUMN())),OFFSET($T$2,0,0,ROW()-1,14),ROW()-1,FALSE))</x:f>
        <x:v/>
      </x:c>
      <x:c r="R463" t="str">
        <x:f ca="1">IF(AND($B$1012=1,LEN($R$1463)&gt;0),$R$1463,HLOOKUP(INDIRECT(ADDRESS(2,COLUMN())),OFFSET($T$2,0,0,ROW()-1,14),ROW()-1,FALSE))</x:f>
        <x:v/>
      </x:c>
      <x:c r="S463" t="str">
        <x:f ca="1">IF(AND($B$1012=1,LEN($S$1463)&gt;0),$S$1463,HLOOKUP(INDIRECT(ADDRESS(2,COLUMN())),OFFSET($T$2,0,0,ROW()-1,14),ROW()-1,FALSE))</x:f>
        <x:v/>
      </x:c>
      <x:c r="T463">
        <x:f>3.500819</x:f>
        <x:v>3.5008189999999999</x:v>
      </x:c>
      <x:c r="U463">
        <x:f>2.178407</x:f>
        <x:v>2.178407</x:v>
      </x:c>
      <x:c r="V463">
        <x:f>-11.996857</x:f>
        <x:v>-11.996857</x:v>
      </x:c>
      <x:c r="W463">
        <x:f>0.356018</x:f>
        <x:v>0.356018</x:v>
      </x:c>
      <x:c r="X463">
        <x:f>-0.05448</x:f>
        <x:v>-5.4480000000000001E-2</x:v>
      </x:c>
      <x:c r="Y463">
        <x:f>-4.668491</x:f>
        <x:v>-4.6684910000000004</x:v>
      </x:c>
      <x:c r="Z463" t="str">
        <x:f>""</x:f>
        <x:v/>
      </x:c>
      <x:c r="AA463" t="str">
        <x:f>""</x:f>
        <x:v/>
      </x:c>
      <x:c r="AB463" t="str">
        <x:f>""</x:f>
        <x:v/>
      </x:c>
      <x:c r="AC463" t="str">
        <x:f>""</x:f>
        <x:v/>
      </x:c>
      <x:c r="AD463" t="str">
        <x:f>""</x:f>
        <x:v/>
      </x:c>
      <x:c r="AE463" t="str">
        <x:f>""</x:f>
        <x:v/>
      </x:c>
      <x:c r="AF463" t="str">
        <x:f>""</x:f>
        <x:v/>
      </x:c>
      <x:c r="AG463" t="str">
        <x:f>""</x:f>
        <x:v/>
      </x:c>
    </x:row>
    <x:row r="464" spans="1:33" x14ac:dyDescent="0.25">
      <x:c r="A464" t="str">
        <x:f>"        Invesco Wilshire US REIT ETF"</x:f>
        <x:v xml:space="preserve">        Invesco Wilshire US REIT ETF</x:v>
      </x:c>
      <x:c r="B464" t="str">
        <x:f>"WREI US Equity"</x:f>
        <x:v>WREI US Equity</x:v>
      </x:c>
      <x:c r="E464" t="str">
        <x:f t="shared" si="15"/>
        <x:v>Expression</x:v>
      </x:c>
      <x:c r="F464" t="str">
        <x:f ca="1">IF(AND($B$1012=1,LEN($F$1464)&gt;0),$F$1464,HLOOKUP(INDIRECT(ADDRESS(2,COLUMN())),OFFSET($T$2,0,0,ROW()-1,14),ROW()-1,FALSE))</x:f>
        <x:v/>
      </x:c>
      <x:c r="G464" t="str">
        <x:f ca="1">IF(AND($B$1012=1,LEN($G$1464)&gt;0),$G$1464,HLOOKUP(INDIRECT(ADDRESS(2,COLUMN())),OFFSET($T$2,0,0,ROW()-1,14),ROW()-1,FALSE))</x:f>
        <x:v/>
      </x:c>
      <x:c r="H464" t="str">
        <x:f ca="1">IF(AND($B$1012=1,LEN($H$1464)&gt;0),$H$1464,HLOOKUP(INDIRECT(ADDRESS(2,COLUMN())),OFFSET($T$2,0,0,ROW()-1,14),ROW()-1,FALSE))</x:f>
        <x:v/>
      </x:c>
      <x:c r="I464" t="str">
        <x:f ca="1">IF(AND($B$1012=1,LEN($I$1464)&gt;0),$I$1464,HLOOKUP(INDIRECT(ADDRESS(2,COLUMN())),OFFSET($T$2,0,0,ROW()-1,14),ROW()-1,FALSE))</x:f>
        <x:v/>
      </x:c>
      <x:c r="J464" t="str">
        <x:f ca="1">IF(AND($B$1012=1,LEN($J$1464)&gt;0),$J$1464,HLOOKUP(INDIRECT(ADDRESS(2,COLUMN())),OFFSET($T$2,0,0,ROW()-1,14),ROW()-1,FALSE))</x:f>
        <x:v/>
      </x:c>
      <x:c r="K464" t="str">
        <x:f ca="1">IF(AND($B$1012=1,LEN($K$1464)&gt;0),$K$1464,HLOOKUP(INDIRECT(ADDRESS(2,COLUMN())),OFFSET($T$2,0,0,ROW()-1,14),ROW()-1,FALSE))</x:f>
        <x:v/>
      </x:c>
      <x:c r="L464" t="str">
        <x:f ca="1">IF(AND($B$1012=1,LEN($L$1464)&gt;0),$L$1464,HLOOKUP(INDIRECT(ADDRESS(2,COLUMN())),OFFSET($T$2,0,0,ROW()-1,14),ROW()-1,FALSE))</x:f>
        <x:v/>
      </x:c>
      <x:c r="M464" t="str">
        <x:f ca="1">IF(AND($B$1012=1,LEN($M$1464)&gt;0),$M$1464,HLOOKUP(INDIRECT(ADDRESS(2,COLUMN())),OFFSET($T$2,0,0,ROW()-1,14),ROW()-1,FALSE))</x:f>
        <x:v/>
      </x:c>
      <x:c r="N464" t="str">
        <x:f ca="1">IF(AND($B$1012=1,LEN($N$1464)&gt;0),$N$1464,HLOOKUP(INDIRECT(ADDRESS(2,COLUMN())),OFFSET($T$2,0,0,ROW()-1,14),ROW()-1,FALSE))</x:f>
        <x:v/>
      </x:c>
      <x:c r="O464" t="str">
        <x:f ca="1">IF(AND($B$1012=1,LEN($O$1464)&gt;0),$O$1464,HLOOKUP(INDIRECT(ADDRESS(2,COLUMN())),OFFSET($T$2,0,0,ROW()-1,14),ROW()-1,FALSE))</x:f>
        <x:v/>
      </x:c>
      <x:c r="P464" t="str">
        <x:f ca="1">IF(AND($B$1012=1,LEN($P$1464)&gt;0),$P$1464,HLOOKUP(INDIRECT(ADDRESS(2,COLUMN())),OFFSET($T$2,0,0,ROW()-1,14),ROW()-1,FALSE))</x:f>
        <x:v/>
      </x:c>
      <x:c r="Q464" t="str">
        <x:f ca="1">IF(AND($B$1012=1,LEN($Q$1464)&gt;0),$Q$1464,HLOOKUP(INDIRECT(ADDRESS(2,COLUMN())),OFFSET($T$2,0,0,ROW()-1,14),ROW()-1,FALSE))</x:f>
        <x:v/>
      </x:c>
      <x:c r="R464" t="str">
        <x:f ca="1">IF(AND($B$1012=1,LEN($R$1464)&gt;0),$R$1464,HLOOKUP(INDIRECT(ADDRESS(2,COLUMN())),OFFSET($T$2,0,0,ROW()-1,14),ROW()-1,FALSE))</x:f>
        <x:v/>
      </x:c>
      <x:c r="S464" t="str">
        <x:f ca="1">IF(AND($B$1012=1,LEN($S$1464)&gt;0),$S$1464,HLOOKUP(INDIRECT(ADDRESS(2,COLUMN())),OFFSET($T$2,0,0,ROW()-1,14),ROW()-1,FALSE))</x:f>
        <x:v/>
      </x:c>
      <x:c r="T464" t="str">
        <x:f>""</x:f>
        <x:v/>
      </x:c>
      <x:c r="U464" t="str">
        <x:f>""</x:f>
        <x:v/>
      </x:c>
      <x:c r="V464" t="str">
        <x:f>""</x:f>
        <x:v/>
      </x:c>
      <x:c r="W464" t="str">
        <x:f>""</x:f>
        <x:v/>
      </x:c>
      <x:c r="X464" t="str">
        <x:f>""</x:f>
        <x:v/>
      </x:c>
      <x:c r="Y464" t="str">
        <x:f>""</x:f>
        <x:v/>
      </x:c>
      <x:c r="Z464" t="str">
        <x:f>""</x:f>
        <x:v/>
      </x:c>
      <x:c r="AA464" t="str">
        <x:f>""</x:f>
        <x:v/>
      </x:c>
      <x:c r="AB464" t="str">
        <x:f>""</x:f>
        <x:v/>
      </x:c>
      <x:c r="AC464" t="str">
        <x:f>""</x:f>
        <x:v/>
      </x:c>
      <x:c r="AD464" t="str">
        <x:f>""</x:f>
        <x:v/>
      </x:c>
      <x:c r="AE464" t="str">
        <x:f>""</x:f>
        <x:v/>
      </x:c>
      <x:c r="AF464" t="str">
        <x:f>""</x:f>
        <x:v/>
      </x:c>
      <x:c r="AG464" t="str">
        <x:f>""</x:f>
        <x:v/>
      </x:c>
    </x:row>
    <x:row r="465" spans="1:33" x14ac:dyDescent="0.25">
      <x:c r="A465" t="str">
        <x:f>"        ETRACS Monthly Pay 2xLeveraged"</x:f>
        <x:v xml:space="preserve">        ETRACS Monthly Pay 2xLeveraged</x:v>
      </x:c>
      <x:c r="B465" t="str">
        <x:f>"MRRL US Equity"</x:f>
        <x:v>MRRL US Equity</x:v>
      </x:c>
      <x:c r="E465" t="str">
        <x:f t="shared" si="15"/>
        <x:v>Expression</x:v>
      </x:c>
      <x:c r="F465" t="str">
        <x:f ca="1">IF(AND($B$1012=1,LEN($F$1465)&gt;0),$F$1465,HLOOKUP(INDIRECT(ADDRESS(2,COLUMN())),OFFSET($T$2,0,0,ROW()-1,14),ROW()-1,FALSE))</x:f>
        <x:v/>
      </x:c>
      <x:c r="G465" t="str">
        <x:f ca="1">IF(AND($B$1012=1,LEN($G$1465)&gt;0),$G$1465,HLOOKUP(INDIRECT(ADDRESS(2,COLUMN())),OFFSET($T$2,0,0,ROW()-1,14),ROW()-1,FALSE))</x:f>
        <x:v/>
      </x:c>
      <x:c r="H465" t="str">
        <x:f ca="1">IF(AND($B$1012=1,LEN($H$1465)&gt;0),$H$1465,HLOOKUP(INDIRECT(ADDRESS(2,COLUMN())),OFFSET($T$2,0,0,ROW()-1,14),ROW()-1,FALSE))</x:f>
        <x:v/>
      </x:c>
      <x:c r="I465" t="str">
        <x:f ca="1">IF(AND($B$1012=1,LEN($I$1465)&gt;0),$I$1465,HLOOKUP(INDIRECT(ADDRESS(2,COLUMN())),OFFSET($T$2,0,0,ROW()-1,14),ROW()-1,FALSE))</x:f>
        <x:v/>
      </x:c>
      <x:c r="J465" t="str">
        <x:f ca="1">IF(AND($B$1012=1,LEN($J$1465)&gt;0),$J$1465,HLOOKUP(INDIRECT(ADDRESS(2,COLUMN())),OFFSET($T$2,0,0,ROW()-1,14),ROW()-1,FALSE))</x:f>
        <x:v/>
      </x:c>
      <x:c r="K465" t="str">
        <x:f ca="1">IF(AND($B$1012=1,LEN($K$1465)&gt;0),$K$1465,HLOOKUP(INDIRECT(ADDRESS(2,COLUMN())),OFFSET($T$2,0,0,ROW()-1,14),ROW()-1,FALSE))</x:f>
        <x:v/>
      </x:c>
      <x:c r="L465" t="str">
        <x:f ca="1">IF(AND($B$1012=1,LEN($L$1465)&gt;0),$L$1465,HLOOKUP(INDIRECT(ADDRESS(2,COLUMN())),OFFSET($T$2,0,0,ROW()-1,14),ROW()-1,FALSE))</x:f>
        <x:v/>
      </x:c>
      <x:c r="M465" t="str">
        <x:f ca="1">IF(AND($B$1012=1,LEN($M$1465)&gt;0),$M$1465,HLOOKUP(INDIRECT(ADDRESS(2,COLUMN())),OFFSET($T$2,0,0,ROW()-1,14),ROW()-1,FALSE))</x:f>
        <x:v/>
      </x:c>
      <x:c r="N465" t="str">
        <x:f ca="1">IF(AND($B$1012=1,LEN($N$1465)&gt;0),$N$1465,HLOOKUP(INDIRECT(ADDRESS(2,COLUMN())),OFFSET($T$2,0,0,ROW()-1,14),ROW()-1,FALSE))</x:f>
        <x:v/>
      </x:c>
      <x:c r="O465" t="str">
        <x:f ca="1">IF(AND($B$1012=1,LEN($O$1465)&gt;0),$O$1465,HLOOKUP(INDIRECT(ADDRESS(2,COLUMN())),OFFSET($T$2,0,0,ROW()-1,14),ROW()-1,FALSE))</x:f>
        <x:v/>
      </x:c>
      <x:c r="P465" t="str">
        <x:f ca="1">IF(AND($B$1012=1,LEN($P$1465)&gt;0),$P$1465,HLOOKUP(INDIRECT(ADDRESS(2,COLUMN())),OFFSET($T$2,0,0,ROW()-1,14),ROW()-1,FALSE))</x:f>
        <x:v/>
      </x:c>
      <x:c r="Q465" t="str">
        <x:f ca="1">IF(AND($B$1012=1,LEN($Q$1465)&gt;0),$Q$1465,HLOOKUP(INDIRECT(ADDRESS(2,COLUMN())),OFFSET($T$2,0,0,ROW()-1,14),ROW()-1,FALSE))</x:f>
        <x:v/>
      </x:c>
      <x:c r="R465" t="str">
        <x:f ca="1">IF(AND($B$1012=1,LEN($R$1465)&gt;0),$R$1465,HLOOKUP(INDIRECT(ADDRESS(2,COLUMN())),OFFSET($T$2,0,0,ROW()-1,14),ROW()-1,FALSE))</x:f>
        <x:v/>
      </x:c>
      <x:c r="S465" t="str">
        <x:f ca="1">IF(AND($B$1012=1,LEN($S$1465)&gt;0),$S$1465,HLOOKUP(INDIRECT(ADDRESS(2,COLUMN())),OFFSET($T$2,0,0,ROW()-1,14),ROW()-1,FALSE))</x:f>
        <x:v/>
      </x:c>
      <x:c r="T465" t="str">
        <x:f>""</x:f>
        <x:v/>
      </x:c>
      <x:c r="U465" t="str">
        <x:f>""</x:f>
        <x:v/>
      </x:c>
      <x:c r="V465" t="str">
        <x:f>""</x:f>
        <x:v/>
      </x:c>
      <x:c r="W465" t="str">
        <x:f>""</x:f>
        <x:v/>
      </x:c>
      <x:c r="X465" t="str">
        <x:f>""</x:f>
        <x:v/>
      </x:c>
      <x:c r="Y465" t="str">
        <x:f>""</x:f>
        <x:v/>
      </x:c>
      <x:c r="Z465" t="str">
        <x:f>""</x:f>
        <x:v/>
      </x:c>
      <x:c r="AA465" t="str">
        <x:f>""</x:f>
        <x:v/>
      </x:c>
      <x:c r="AB465" t="str">
        <x:f>""</x:f>
        <x:v/>
      </x:c>
      <x:c r="AC465" t="str">
        <x:f>""</x:f>
        <x:v/>
      </x:c>
      <x:c r="AD465" t="str">
        <x:f>""</x:f>
        <x:v/>
      </x:c>
      <x:c r="AE465" t="str">
        <x:f>""</x:f>
        <x:v/>
      </x:c>
      <x:c r="AF465" t="str">
        <x:f>""</x:f>
        <x:v/>
      </x:c>
      <x:c r="AG465" t="str">
        <x:f>""</x:f>
        <x:v/>
      </x:c>
    </x:row>
    <x:row r="466" spans="1:33" x14ac:dyDescent="0.25">
      <x:c r="A466" t="str">
        <x:f>"        Direxion Daily Real Estate Bea"</x:f>
        <x:v xml:space="preserve">        Direxion Daily Real Estate Bea</x:v>
      </x:c>
      <x:c r="B466" t="str">
        <x:f>"DRV US Equity"</x:f>
        <x:v>DRV US Equity</x:v>
      </x:c>
      <x:c r="E466" t="str">
        <x:f t="shared" si="15"/>
        <x:v>Expression</x:v>
      </x:c>
      <x:c r="F466">
        <x:f ca="1">IF(AND($B$1012=1,LEN($F$1466)&gt;0),$F$1466,HLOOKUP(INDIRECT(ADDRESS(2,COLUMN())),OFFSET($T$2,0,0,ROW()-1,14),ROW()-1,FALSE))</x:f>
        <x:v>6.350835</x:v>
      </x:c>
      <x:c r="G466">
        <x:f ca="1">IF(AND($B$1012=1,LEN($G$1466)&gt;0),$G$1466,HLOOKUP(INDIRECT(ADDRESS(2,COLUMN())),OFFSET($T$2,0,0,ROW()-1,14),ROW()-1,FALSE))</x:f>
        <x:v>-23.005015</x:v>
      </x:c>
      <x:c r="H466">
        <x:f ca="1">IF(AND($B$1012=1,LEN($H$1466)&gt;0),$H$1466,HLOOKUP(INDIRECT(ADDRESS(2,COLUMN())),OFFSET($T$2,0,0,ROW()-1,14),ROW()-1,FALSE))</x:f>
        <x:v>-2.1067779999999998</x:v>
      </x:c>
      <x:c r="I466">
        <x:f ca="1">IF(AND($B$1012=1,LEN($I$1466)&gt;0),$I$1466,HLOOKUP(INDIRECT(ADDRESS(2,COLUMN())),OFFSET($T$2,0,0,ROW()-1,14),ROW()-1,FALSE))</x:f>
        <x:v>-6.7385489999999999</x:v>
      </x:c>
      <x:c r="J466">
        <x:f ca="1">IF(AND($B$1012=1,LEN($J$1466)&gt;0),$J$1466,HLOOKUP(INDIRECT(ADDRESS(2,COLUMN())),OFFSET($T$2,0,0,ROW()-1,14),ROW()-1,FALSE))</x:f>
        <x:v>-6.6134050000000002</x:v>
      </x:c>
      <x:c r="K466">
        <x:f ca="1">IF(AND($B$1012=1,LEN($K$1466)&gt;0),$K$1466,HLOOKUP(INDIRECT(ADDRESS(2,COLUMN())),OFFSET($T$2,0,0,ROW()-1,14),ROW()-1,FALSE))</x:f>
        <x:v>-7.8153600000000001</x:v>
      </x:c>
      <x:c r="L466">
        <x:f ca="1">IF(AND($B$1012=1,LEN($L$1466)&gt;0),$L$1466,HLOOKUP(INDIRECT(ADDRESS(2,COLUMN())),OFFSET($T$2,0,0,ROW()-1,14),ROW()-1,FALSE))</x:f>
        <x:v>-24.155266000000001</x:v>
      </x:c>
      <x:c r="M466">
        <x:f ca="1">IF(AND($B$1012=1,LEN($M$1466)&gt;0),$M$1466,HLOOKUP(INDIRECT(ADDRESS(2,COLUMN())),OFFSET($T$2,0,0,ROW()-1,14),ROW()-1,FALSE))</x:f>
        <x:v>17.343731999999999</x:v>
      </x:c>
      <x:c r="N466">
        <x:f ca="1">IF(AND($B$1012=1,LEN($N$1466)&gt;0),$N$1466,HLOOKUP(INDIRECT(ADDRESS(2,COLUMN())),OFFSET($T$2,0,0,ROW()-1,14),ROW()-1,FALSE))</x:f>
        <x:v>-32.435068999999999</x:v>
      </x:c>
      <x:c r="O466">
        <x:f ca="1">IF(AND($B$1012=1,LEN($O$1466)&gt;0),$O$1466,HLOOKUP(INDIRECT(ADDRESS(2,COLUMN())),OFFSET($T$2,0,0,ROW()-1,14),ROW()-1,FALSE))</x:f>
        <x:v>-8.1504250000000003</x:v>
      </x:c>
      <x:c r="P466">
        <x:f ca="1">IF(AND($B$1012=1,LEN($P$1466)&gt;0),$P$1466,HLOOKUP(INDIRECT(ADDRESS(2,COLUMN())),OFFSET($T$2,0,0,ROW()-1,14),ROW()-1,FALSE))</x:f>
        <x:v>14.637833000000001</x:v>
      </x:c>
      <x:c r="Q466">
        <x:f ca="1">IF(AND($B$1012=1,LEN($Q$1466)&gt;0),$Q$1466,HLOOKUP(INDIRECT(ADDRESS(2,COLUMN())),OFFSET($T$2,0,0,ROW()-1,14),ROW()-1,FALSE))</x:f>
        <x:v>-2.6464029999999998</x:v>
      </x:c>
      <x:c r="R466">
        <x:f ca="1">IF(AND($B$1012=1,LEN($R$1466)&gt;0),$R$1466,HLOOKUP(INDIRECT(ADDRESS(2,COLUMN())),OFFSET($T$2,0,0,ROW()-1,14),ROW()-1,FALSE))</x:f>
        <x:v>19.875644999999999</x:v>
      </x:c>
      <x:c r="S466">
        <x:f ca="1">IF(AND($B$1012=1,LEN($S$1466)&gt;0),$S$1466,HLOOKUP(INDIRECT(ADDRESS(2,COLUMN())),OFFSET($T$2,0,0,ROW()-1,14),ROW()-1,FALSE))</x:f>
        <x:v>25.709440000000001</x:v>
      </x:c>
      <x:c r="T466">
        <x:f>6.350835</x:f>
        <x:v>6.350835</x:v>
      </x:c>
      <x:c r="U466">
        <x:f>-23.005015</x:f>
        <x:v>-23.005015</x:v>
      </x:c>
      <x:c r="V466">
        <x:f>-2.106778</x:f>
        <x:v>-2.1067779999999998</x:v>
      </x:c>
      <x:c r="W466">
        <x:f>-6.738549</x:f>
        <x:v>-6.7385489999999999</x:v>
      </x:c>
      <x:c r="X466">
        <x:f>-6.613405</x:f>
        <x:v>-6.6134050000000002</x:v>
      </x:c>
      <x:c r="Y466">
        <x:f>-7.81536</x:f>
        <x:v>-7.8153600000000001</x:v>
      </x:c>
      <x:c r="Z466">
        <x:f>-24.155266</x:f>
        <x:v>-24.155266000000001</x:v>
      </x:c>
      <x:c r="AA466">
        <x:f>17.343732</x:f>
        <x:v>17.343731999999999</x:v>
      </x:c>
      <x:c r="AB466">
        <x:f>-32.435069</x:f>
        <x:v>-32.435068999999999</x:v>
      </x:c>
      <x:c r="AC466">
        <x:f>-8.150425</x:f>
        <x:v>-8.1504250000000003</x:v>
      </x:c>
      <x:c r="AD466">
        <x:f>14.637833</x:f>
        <x:v>14.637833000000001</x:v>
      </x:c>
      <x:c r="AE466">
        <x:f>-2.646403</x:f>
        <x:v>-2.6464029999999998</x:v>
      </x:c>
      <x:c r="AF466">
        <x:f>19.875645</x:f>
        <x:v>19.875644999999999</x:v>
      </x:c>
      <x:c r="AG466">
        <x:f>25.70944</x:f>
        <x:v>25.709440000000001</x:v>
      </x:c>
    </x:row>
    <x:row r="467" spans="1:33" x14ac:dyDescent="0.25">
      <x:c r="A467" t="str">
        <x:f>"        ProShares Short Real Estate"</x:f>
        <x:v xml:space="preserve">        ProShares Short Real Estate</x:v>
      </x:c>
      <x:c r="B467" t="str">
        <x:f>"REK US Equity"</x:f>
        <x:v>REK US Equity</x:v>
      </x:c>
      <x:c r="E467" t="str">
        <x:f t="shared" si="15"/>
        <x:v>Expression</x:v>
      </x:c>
      <x:c r="F467">
        <x:f ca="1">IF(AND($B$1012=1,LEN($F$1467)&gt;0),$F$1467,HLOOKUP(INDIRECT(ADDRESS(2,COLUMN())),OFFSET($T$2,0,0,ROW()-1,14),ROW()-1,FALSE))</x:f>
        <x:v>-7.5088350000000004</x:v>
      </x:c>
      <x:c r="G467">
        <x:f ca="1">IF(AND($B$1012=1,LEN($G$1467)&gt;0),$G$1467,HLOOKUP(INDIRECT(ADDRESS(2,COLUMN())),OFFSET($T$2,0,0,ROW()-1,14),ROW()-1,FALSE))</x:f>
        <x:v>4.6395799999999996</x:v>
      </x:c>
      <x:c r="H467">
        <x:f ca="1">IF(AND($B$1012=1,LEN($H$1467)&gt;0),$H$1467,HLOOKUP(INDIRECT(ADDRESS(2,COLUMN())),OFFSET($T$2,0,0,ROW()-1,14),ROW()-1,FALSE))</x:f>
        <x:v>1.572435</x:v>
      </x:c>
      <x:c r="I467">
        <x:f ca="1">IF(AND($B$1012=1,LEN($I$1467)&gt;0),$I$1467,HLOOKUP(INDIRECT(ADDRESS(2,COLUMN())),OFFSET($T$2,0,0,ROW()-1,14),ROW()-1,FALSE))</x:f>
        <x:v>-1.0314049999999999</x:v>
      </x:c>
      <x:c r="J467">
        <x:f ca="1">IF(AND($B$1012=1,LEN($J$1467)&gt;0),$J$1467,HLOOKUP(INDIRECT(ADDRESS(2,COLUMN())),OFFSET($T$2,0,0,ROW()-1,14),ROW()-1,FALSE))</x:f>
        <x:v>-10.21866</x:v>
      </x:c>
      <x:c r="K467">
        <x:f ca="1">IF(AND($B$1012=1,LEN($K$1467)&gt;0),$K$1467,HLOOKUP(INDIRECT(ADDRESS(2,COLUMN())),OFFSET($T$2,0,0,ROW()-1,14),ROW()-1,FALSE))</x:f>
        <x:v>-3.011755</x:v>
      </x:c>
      <x:c r="L467">
        <x:f ca="1">IF(AND($B$1012=1,LEN($L$1467)&gt;0),$L$1467,HLOOKUP(INDIRECT(ADDRESS(2,COLUMN())),OFFSET($T$2,0,0,ROW()-1,14),ROW()-1,FALSE))</x:f>
        <x:v>9.2163649999999997</x:v>
      </x:c>
      <x:c r="M467">
        <x:f ca="1">IF(AND($B$1012=1,LEN($M$1467)&gt;0),$M$1467,HLOOKUP(INDIRECT(ADDRESS(2,COLUMN())),OFFSET($T$2,0,0,ROW()-1,14),ROW()-1,FALSE))</x:f>
        <x:v>-2.0330599999999999</x:v>
      </x:c>
      <x:c r="N467">
        <x:f ca="1">IF(AND($B$1012=1,LEN($N$1467)&gt;0),$N$1467,HLOOKUP(INDIRECT(ADDRESS(2,COLUMN())),OFFSET($T$2,0,0,ROW()-1,14),ROW()-1,FALSE))</x:f>
        <x:v>6.1467749999999999</x:v>
      </x:c>
      <x:c r="O467">
        <x:f ca="1">IF(AND($B$1012=1,LEN($O$1467)&gt;0),$O$1467,HLOOKUP(INDIRECT(ADDRESS(2,COLUMN())),OFFSET($T$2,0,0,ROW()-1,14),ROW()-1,FALSE))</x:f>
        <x:v>-5.58826</x:v>
      </x:c>
      <x:c r="P467">
        <x:f ca="1">IF(AND($B$1012=1,LEN($P$1467)&gt;0),$P$1467,HLOOKUP(INDIRECT(ADDRESS(2,COLUMN())),OFFSET($T$2,0,0,ROW()-1,14),ROW()-1,FALSE))</x:f>
        <x:v>-17.896239999999999</x:v>
      </x:c>
      <x:c r="Q467">
        <x:f ca="1">IF(AND($B$1012=1,LEN($Q$1467)&gt;0),$Q$1467,HLOOKUP(INDIRECT(ADDRESS(2,COLUMN())),OFFSET($T$2,0,0,ROW()-1,14),ROW()-1,FALSE))</x:f>
        <x:v>1.029085</x:v>
      </x:c>
      <x:c r="R467">
        <x:f ca="1">IF(AND($B$1012=1,LEN($R$1467)&gt;0),$R$1467,HLOOKUP(INDIRECT(ADDRESS(2,COLUMN())),OFFSET($T$2,0,0,ROW()-1,14),ROW()-1,FALSE))</x:f>
        <x:v>-3.1180949999999998</x:v>
      </x:c>
      <x:c r="S467">
        <x:f ca="1">IF(AND($B$1012=1,LEN($S$1467)&gt;0),$S$1467,HLOOKUP(INDIRECT(ADDRESS(2,COLUMN())),OFFSET($T$2,0,0,ROW()-1,14),ROW()-1,FALSE))</x:f>
        <x:v>-0.91135500000000003</x:v>
      </x:c>
      <x:c r="T467">
        <x:f>-7.508835</x:f>
        <x:v>-7.5088350000000004</x:v>
      </x:c>
      <x:c r="U467">
        <x:f>4.63958</x:f>
        <x:v>4.6395799999999996</x:v>
      </x:c>
      <x:c r="V467">
        <x:f>1.572435</x:f>
        <x:v>1.572435</x:v>
      </x:c>
      <x:c r="W467">
        <x:f>-1.031405</x:f>
        <x:v>-1.0314049999999999</x:v>
      </x:c>
      <x:c r="X467">
        <x:f>-10.21866</x:f>
        <x:v>-10.21866</x:v>
      </x:c>
      <x:c r="Y467">
        <x:f>-3.011755</x:f>
        <x:v>-3.011755</x:v>
      </x:c>
      <x:c r="Z467">
        <x:f>9.216365</x:f>
        <x:v>9.2163649999999997</x:v>
      </x:c>
      <x:c r="AA467">
        <x:f>-2.03306</x:f>
        <x:v>-2.0330599999999999</x:v>
      </x:c>
      <x:c r="AB467">
        <x:f>6.146775</x:f>
        <x:v>6.1467749999999999</x:v>
      </x:c>
      <x:c r="AC467">
        <x:f>-5.58826</x:f>
        <x:v>-5.58826</x:v>
      </x:c>
      <x:c r="AD467">
        <x:f>-17.89624</x:f>
        <x:v>-17.896239999999999</x:v>
      </x:c>
      <x:c r="AE467">
        <x:f>1.029085</x:f>
        <x:v>1.029085</x:v>
      </x:c>
      <x:c r="AF467">
        <x:f>-3.118095</x:f>
        <x:v>-3.1180949999999998</x:v>
      </x:c>
      <x:c r="AG467">
        <x:f>-0.911355</x:f>
        <x:v>-0.91135500000000003</x:v>
      </x:c>
    </x:row>
    <x:row r="468" spans="1:33" x14ac:dyDescent="0.25">
      <x:c r="A468" t="str">
        <x:f>"        Infracap REIT Preferred ETF"</x:f>
        <x:v xml:space="preserve">        Infracap REIT Preferred ETF</x:v>
      </x:c>
      <x:c r="B468" t="str">
        <x:f>"PFFR US Equity"</x:f>
        <x:v>PFFR US Equity</x:v>
      </x:c>
      <x:c r="E468" t="str">
        <x:f t="shared" si="15"/>
        <x:v>Expression</x:v>
      </x:c>
      <x:c r="F468">
        <x:f ca="1">IF(AND($B$1012=1,LEN($F$1468)&gt;0),$F$1468,HLOOKUP(INDIRECT(ADDRESS(2,COLUMN())),OFFSET($T$2,0,0,ROW()-1,14),ROW()-1,FALSE))</x:f>
        <x:v>0</x:v>
      </x:c>
      <x:c r="G468">
        <x:f ca="1">IF(AND($B$1012=1,LEN($G$1468)&gt;0),$G$1468,HLOOKUP(INDIRECT(ADDRESS(2,COLUMN())),OFFSET($T$2,0,0,ROW()-1,14),ROW()-1,FALSE))</x:f>
        <x:v>0</x:v>
      </x:c>
      <x:c r="H468">
        <x:f ca="1">IF(AND($B$1012=1,LEN($H$1468)&gt;0),$H$1468,HLOOKUP(INDIRECT(ADDRESS(2,COLUMN())),OFFSET($T$2,0,0,ROW()-1,14),ROW()-1,FALSE))</x:f>
        <x:v>-1.737233</x:v>
      </x:c>
      <x:c r="I468">
        <x:f ca="1">IF(AND($B$1012=1,LEN($I$1468)&gt;0),$I$1468,HLOOKUP(INDIRECT(ADDRESS(2,COLUMN())),OFFSET($T$2,0,0,ROW()-1,14),ROW()-1,FALSE))</x:f>
        <x:v>0.867479</x:v>
      </x:c>
      <x:c r="J468">
        <x:f ca="1">IF(AND($B$1012=1,LEN($J$1468)&gt;0),$J$1468,HLOOKUP(INDIRECT(ADDRESS(2,COLUMN())),OFFSET($T$2,0,0,ROW()-1,14),ROW()-1,FALSE))</x:f>
        <x:v>0</x:v>
      </x:c>
      <x:c r="K468">
        <x:f ca="1">IF(AND($B$1012=1,LEN($K$1468)&gt;0),$K$1468,HLOOKUP(INDIRECT(ADDRESS(2,COLUMN())),OFFSET($T$2,0,0,ROW()-1,14),ROW()-1,FALSE))</x:f>
        <x:v>-0.84133899999999995</x:v>
      </x:c>
      <x:c r="L468">
        <x:f ca="1">IF(AND($B$1012=1,LEN($L$1468)&gt;0),$L$1468,HLOOKUP(INDIRECT(ADDRESS(2,COLUMN())),OFFSET($T$2,0,0,ROW()-1,14),ROW()-1,FALSE))</x:f>
        <x:v>-0.83387199999999995</x:v>
      </x:c>
      <x:c r="M468">
        <x:f ca="1">IF(AND($B$1012=1,LEN($M$1468)&gt;0),$M$1468,HLOOKUP(INDIRECT(ADDRESS(2,COLUMN())),OFFSET($T$2,0,0,ROW()-1,14),ROW()-1,FALSE))</x:f>
        <x:v>-0.863626</x:v>
      </x:c>
      <x:c r="N468">
        <x:f ca="1">IF(AND($B$1012=1,LEN($N$1468)&gt;0),$N$1468,HLOOKUP(INDIRECT(ADDRESS(2,COLUMN())),OFFSET($T$2,0,0,ROW()-1,14),ROW()-1,FALSE))</x:f>
        <x:v>0</x:v>
      </x:c>
      <x:c r="O468">
        <x:f ca="1">IF(AND($B$1012=1,LEN($O$1468)&gt;0),$O$1468,HLOOKUP(INDIRECT(ADDRESS(2,COLUMN())),OFFSET($T$2,0,0,ROW()-1,14),ROW()-1,FALSE))</x:f>
        <x:v>4.607005</x:v>
      </x:c>
      <x:c r="P468">
        <x:f ca="1">IF(AND($B$1012=1,LEN($P$1468)&gt;0),$P$1468,HLOOKUP(INDIRECT(ADDRESS(2,COLUMN())),OFFSET($T$2,0,0,ROW()-1,14),ROW()-1,FALSE))</x:f>
        <x:v>1.856214</x:v>
      </x:c>
      <x:c r="Q468">
        <x:f ca="1">IF(AND($B$1012=1,LEN($Q$1468)&gt;0),$Q$1468,HLOOKUP(INDIRECT(ADDRESS(2,COLUMN())),OFFSET($T$2,0,0,ROW()-1,14),ROW()-1,FALSE))</x:f>
        <x:v>-0.82575200000000004</x:v>
      </x:c>
      <x:c r="R468">
        <x:f ca="1">IF(AND($B$1012=1,LEN($R$1468)&gt;0),$R$1468,HLOOKUP(INDIRECT(ADDRESS(2,COLUMN())),OFFSET($T$2,0,0,ROW()-1,14),ROW()-1,FALSE))</x:f>
        <x:v>0.84915499999999999</x:v>
      </x:c>
      <x:c r="S468">
        <x:f ca="1">IF(AND($B$1012=1,LEN($S$1468)&gt;0),$S$1468,HLOOKUP(INDIRECT(ADDRESS(2,COLUMN())),OFFSET($T$2,0,0,ROW()-1,14),ROW()-1,FALSE))</x:f>
        <x:v>0</x:v>
      </x:c>
      <x:c r="T468">
        <x:f>0</x:f>
        <x:v>0</x:v>
      </x:c>
      <x:c r="U468">
        <x:f>0</x:f>
        <x:v>0</x:v>
      </x:c>
      <x:c r="V468">
        <x:f>-1.737233</x:f>
        <x:v>-1.737233</x:v>
      </x:c>
      <x:c r="W468">
        <x:f>0.867479</x:f>
        <x:v>0.867479</x:v>
      </x:c>
      <x:c r="X468">
        <x:f>0</x:f>
        <x:v>0</x:v>
      </x:c>
      <x:c r="Y468">
        <x:f>-0.841339</x:f>
        <x:v>-0.84133899999999995</x:v>
      </x:c>
      <x:c r="Z468">
        <x:f>-0.833872</x:f>
        <x:v>-0.83387199999999995</x:v>
      </x:c>
      <x:c r="AA468">
        <x:f>-0.863626</x:f>
        <x:v>-0.863626</x:v>
      </x:c>
      <x:c r="AB468">
        <x:f>0</x:f>
        <x:v>0</x:v>
      </x:c>
      <x:c r="AC468">
        <x:f>4.607005</x:f>
        <x:v>4.607005</x:v>
      </x:c>
      <x:c r="AD468">
        <x:f>1.856214</x:f>
        <x:v>1.856214</x:v>
      </x:c>
      <x:c r="AE468">
        <x:f>-0.825752</x:f>
        <x:v>-0.82575200000000004</x:v>
      </x:c>
      <x:c r="AF468">
        <x:f>0.849155</x:f>
        <x:v>0.84915499999999999</x:v>
      </x:c>
      <x:c r="AG468">
        <x:f>0</x:f>
        <x:v>0</x:v>
      </x:c>
    </x:row>
    <x:row r="469" spans="1:33" x14ac:dyDescent="0.25">
      <x:c r="A469" t="str">
        <x:f>"        Hartford Multifactor REIT ETF"</x:f>
        <x:v xml:space="preserve">        Hartford Multifactor REIT ETF</x:v>
      </x:c>
      <x:c r="B469" t="str">
        <x:f>"RORE US Equity"</x:f>
        <x:v>RORE US Equity</x:v>
      </x:c>
      <x:c r="E469" t="str">
        <x:f t="shared" si="15"/>
        <x:v>Expression</x:v>
      </x:c>
      <x:c r="F469" t="str">
        <x:f ca="1">IF(AND($B$1012=1,LEN($F$1469)&gt;0),$F$1469,HLOOKUP(INDIRECT(ADDRESS(2,COLUMN())),OFFSET($T$2,0,0,ROW()-1,14),ROW()-1,FALSE))</x:f>
        <x:v/>
      </x:c>
      <x:c r="G469" t="str">
        <x:f ca="1">IF(AND($B$1012=1,LEN($G$1469)&gt;0),$G$1469,HLOOKUP(INDIRECT(ADDRESS(2,COLUMN())),OFFSET($T$2,0,0,ROW()-1,14),ROW()-1,FALSE))</x:f>
        <x:v/>
      </x:c>
      <x:c r="H469" t="str">
        <x:f ca="1">IF(AND($B$1012=1,LEN($H$1469)&gt;0),$H$1469,HLOOKUP(INDIRECT(ADDRESS(2,COLUMN())),OFFSET($T$2,0,0,ROW()-1,14),ROW()-1,FALSE))</x:f>
        <x:v/>
      </x:c>
      <x:c r="I469" t="str">
        <x:f ca="1">IF(AND($B$1012=1,LEN($I$1469)&gt;0),$I$1469,HLOOKUP(INDIRECT(ADDRESS(2,COLUMN())),OFFSET($T$2,0,0,ROW()-1,14),ROW()-1,FALSE))</x:f>
        <x:v/>
      </x:c>
      <x:c r="J469" t="str">
        <x:f ca="1">IF(AND($B$1012=1,LEN($J$1469)&gt;0),$J$1469,HLOOKUP(INDIRECT(ADDRESS(2,COLUMN())),OFFSET($T$2,0,0,ROW()-1,14),ROW()-1,FALSE))</x:f>
        <x:v/>
      </x:c>
      <x:c r="K469" t="str">
        <x:f ca="1">IF(AND($B$1012=1,LEN($K$1469)&gt;0),$K$1469,HLOOKUP(INDIRECT(ADDRESS(2,COLUMN())),OFFSET($T$2,0,0,ROW()-1,14),ROW()-1,FALSE))</x:f>
        <x:v/>
      </x:c>
      <x:c r="L469" t="str">
        <x:f ca="1">IF(AND($B$1012=1,LEN($L$1469)&gt;0),$L$1469,HLOOKUP(INDIRECT(ADDRESS(2,COLUMN())),OFFSET($T$2,0,0,ROW()-1,14),ROW()-1,FALSE))</x:f>
        <x:v/>
      </x:c>
      <x:c r="M469" t="str">
        <x:f ca="1">IF(AND($B$1012=1,LEN($M$1469)&gt;0),$M$1469,HLOOKUP(INDIRECT(ADDRESS(2,COLUMN())),OFFSET($T$2,0,0,ROW()-1,14),ROW()-1,FALSE))</x:f>
        <x:v/>
      </x:c>
      <x:c r="N469" t="str">
        <x:f ca="1">IF(AND($B$1012=1,LEN($N$1469)&gt;0),$N$1469,HLOOKUP(INDIRECT(ADDRESS(2,COLUMN())),OFFSET($T$2,0,0,ROW()-1,14),ROW()-1,FALSE))</x:f>
        <x:v/>
      </x:c>
      <x:c r="O469" t="str">
        <x:f ca="1">IF(AND($B$1012=1,LEN($O$1469)&gt;0),$O$1469,HLOOKUP(INDIRECT(ADDRESS(2,COLUMN())),OFFSET($T$2,0,0,ROW()-1,14),ROW()-1,FALSE))</x:f>
        <x:v/>
      </x:c>
      <x:c r="P469" t="str">
        <x:f ca="1">IF(AND($B$1012=1,LEN($P$1469)&gt;0),$P$1469,HLOOKUP(INDIRECT(ADDRESS(2,COLUMN())),OFFSET($T$2,0,0,ROW()-1,14),ROW()-1,FALSE))</x:f>
        <x:v/>
      </x:c>
      <x:c r="Q469" t="str">
        <x:f ca="1">IF(AND($B$1012=1,LEN($Q$1469)&gt;0),$Q$1469,HLOOKUP(INDIRECT(ADDRESS(2,COLUMN())),OFFSET($T$2,0,0,ROW()-1,14),ROW()-1,FALSE))</x:f>
        <x:v/>
      </x:c>
      <x:c r="R469" t="str">
        <x:f ca="1">IF(AND($B$1012=1,LEN($R$1469)&gt;0),$R$1469,HLOOKUP(INDIRECT(ADDRESS(2,COLUMN())),OFFSET($T$2,0,0,ROW()-1,14),ROW()-1,FALSE))</x:f>
        <x:v/>
      </x:c>
      <x:c r="S469" t="str">
        <x:f ca="1">IF(AND($B$1012=1,LEN($S$1469)&gt;0),$S$1469,HLOOKUP(INDIRECT(ADDRESS(2,COLUMN())),OFFSET($T$2,0,0,ROW()-1,14),ROW()-1,FALSE))</x:f>
        <x:v/>
      </x:c>
      <x:c r="T469" t="str">
        <x:f>""</x:f>
        <x:v/>
      </x:c>
      <x:c r="U469" t="str">
        <x:f>""</x:f>
        <x:v/>
      </x:c>
      <x:c r="V469" t="str">
        <x:f>""</x:f>
        <x:v/>
      </x:c>
      <x:c r="W469" t="str">
        <x:f>""</x:f>
        <x:v/>
      </x:c>
      <x:c r="X469" t="str">
        <x:f>""</x:f>
        <x:v/>
      </x:c>
      <x:c r="Y469" t="str">
        <x:f>""</x:f>
        <x:v/>
      </x:c>
      <x:c r="Z469" t="str">
        <x:f>""</x:f>
        <x:v/>
      </x:c>
      <x:c r="AA469" t="str">
        <x:f>""</x:f>
        <x:v/>
      </x:c>
      <x:c r="AB469" t="str">
        <x:f>""</x:f>
        <x:v/>
      </x:c>
      <x:c r="AC469" t="str">
        <x:f>""</x:f>
        <x:v/>
      </x:c>
      <x:c r="AD469" t="str">
        <x:f>""</x:f>
        <x:v/>
      </x:c>
      <x:c r="AE469" t="str">
        <x:f>""</x:f>
        <x:v/>
      </x:c>
      <x:c r="AF469" t="str">
        <x:f>""</x:f>
        <x:v/>
      </x:c>
      <x:c r="AG469" t="str">
        <x:f>""</x:f>
        <x:v/>
      </x:c>
    </x:row>
    <x:row r="470" spans="1:33" x14ac:dyDescent="0.25">
      <x:c r="A470" t="str">
        <x:f>"        Nuveen Short-Term REIT ETF"</x:f>
        <x:v xml:space="preserve">        Nuveen Short-Term REIT ETF</x:v>
      </x:c>
      <x:c r="B470" t="str">
        <x:f>"NURE US Equity"</x:f>
        <x:v>NURE US Equity</x:v>
      </x:c>
      <x:c r="E470" t="str">
        <x:f t="shared" si="15"/>
        <x:v>Expression</x:v>
      </x:c>
      <x:c r="F470">
        <x:f ca="1">IF(AND($B$1012=1,LEN($F$1470)&gt;0),$F$1470,HLOOKUP(INDIRECT(ADDRESS(2,COLUMN())),OFFSET($T$2,0,0,ROW()-1,14),ROW()-1,FALSE))</x:f>
        <x:v>1.32609</x:v>
      </x:c>
      <x:c r="G470">
        <x:f ca="1">IF(AND($B$1012=1,LEN($G$1470)&gt;0),$G$1470,HLOOKUP(INDIRECT(ADDRESS(2,COLUMN())),OFFSET($T$2,0,0,ROW()-1,14),ROW()-1,FALSE))</x:f>
        <x:v>-1.3689199999999999</x:v>
      </x:c>
      <x:c r="H470">
        <x:f ca="1">IF(AND($B$1012=1,LEN($H$1470)&gt;0),$H$1470,HLOOKUP(INDIRECT(ADDRESS(2,COLUMN())),OFFSET($T$2,0,0,ROW()-1,14),ROW()-1,FALSE))</x:f>
        <x:v>-2.8022450000000001</x:v>
      </x:c>
      <x:c r="I470">
        <x:f ca="1">IF(AND($B$1012=1,LEN($I$1470)&gt;0),$I$1470,HLOOKUP(INDIRECT(ADDRESS(2,COLUMN())),OFFSET($T$2,0,0,ROW()-1,14),ROW()-1,FALSE))</x:f>
        <x:v>2.9405100000000002</x:v>
      </x:c>
      <x:c r="J470">
        <x:f ca="1">IF(AND($B$1012=1,LEN($J$1470)&gt;0),$J$1470,HLOOKUP(INDIRECT(ADDRESS(2,COLUMN())),OFFSET($T$2,0,0,ROW()-1,14),ROW()-1,FALSE))</x:f>
        <x:v>0</x:v>
      </x:c>
      <x:c r="K470">
        <x:f ca="1">IF(AND($B$1012=1,LEN($K$1470)&gt;0),$K$1470,HLOOKUP(INDIRECT(ADDRESS(2,COLUMN())),OFFSET($T$2,0,0,ROW()-1,14),ROW()-1,FALSE))</x:f>
        <x:v>-3.0150350000000001</x:v>
      </x:c>
      <x:c r="L470">
        <x:f ca="1">IF(AND($B$1012=1,LEN($L$1470)&gt;0),$L$1470,HLOOKUP(INDIRECT(ADDRESS(2,COLUMN())),OFFSET($T$2,0,0,ROW()-1,14),ROW()-1,FALSE))</x:f>
        <x:v>2.9258899999999999</x:v>
      </x:c>
      <x:c r="M470">
        <x:f ca="1">IF(AND($B$1012=1,LEN($M$1470)&gt;0),$M$1470,HLOOKUP(INDIRECT(ADDRESS(2,COLUMN())),OFFSET($T$2,0,0,ROW()-1,14),ROW()-1,FALSE))</x:f>
        <x:v>-2.9817499999999999</x:v>
      </x:c>
      <x:c r="N470">
        <x:f ca="1">IF(AND($B$1012=1,LEN($N$1470)&gt;0),$N$1470,HLOOKUP(INDIRECT(ADDRESS(2,COLUMN())),OFFSET($T$2,0,0,ROW()-1,14),ROW()-1,FALSE))</x:f>
        <x:v>-4.3908899999999997</x:v>
      </x:c>
      <x:c r="O470">
        <x:f ca="1">IF(AND($B$1012=1,LEN($O$1470)&gt;0),$O$1470,HLOOKUP(INDIRECT(ADDRESS(2,COLUMN())),OFFSET($T$2,0,0,ROW()-1,14),ROW()-1,FALSE))</x:f>
        <x:v>-1.9810000000000001E-2</x:v>
      </x:c>
      <x:c r="P470">
        <x:f ca="1">IF(AND($B$1012=1,LEN($P$1470)&gt;0),$P$1470,HLOOKUP(INDIRECT(ADDRESS(2,COLUMN())),OFFSET($T$2,0,0,ROW()-1,14),ROW()-1,FALSE))</x:f>
        <x:v>-10.742509999999999</x:v>
      </x:c>
      <x:c r="Q470">
        <x:f ca="1">IF(AND($B$1012=1,LEN($Q$1470)&gt;0),$Q$1470,HLOOKUP(INDIRECT(ADDRESS(2,COLUMN())),OFFSET($T$2,0,0,ROW()-1,14),ROW()-1,FALSE))</x:f>
        <x:v>-19.353045000000002</x:v>
      </x:c>
      <x:c r="R470">
        <x:f ca="1">IF(AND($B$1012=1,LEN($R$1470)&gt;0),$R$1470,HLOOKUP(INDIRECT(ADDRESS(2,COLUMN())),OFFSET($T$2,0,0,ROW()-1,14),ROW()-1,FALSE))</x:f>
        <x:v>-13.044715</x:v>
      </x:c>
      <x:c r="S470">
        <x:f ca="1">IF(AND($B$1012=1,LEN($S$1470)&gt;0),$S$1470,HLOOKUP(INDIRECT(ADDRESS(2,COLUMN())),OFFSET($T$2,0,0,ROW()-1,14),ROW()-1,FALSE))</x:f>
        <x:v>0</x:v>
      </x:c>
      <x:c r="T470">
        <x:f>1.32609</x:f>
        <x:v>1.32609</x:v>
      </x:c>
      <x:c r="U470">
        <x:f>-1.36892</x:f>
        <x:v>-1.3689199999999999</x:v>
      </x:c>
      <x:c r="V470">
        <x:f>-2.802245</x:f>
        <x:v>-2.8022450000000001</x:v>
      </x:c>
      <x:c r="W470">
        <x:f>2.94051</x:f>
        <x:v>2.9405100000000002</x:v>
      </x:c>
      <x:c r="X470">
        <x:f>0</x:f>
        <x:v>0</x:v>
      </x:c>
      <x:c r="Y470">
        <x:f>-3.015035</x:f>
        <x:v>-3.0150350000000001</x:v>
      </x:c>
      <x:c r="Z470">
        <x:f>2.92589</x:f>
        <x:v>2.9258899999999999</x:v>
      </x:c>
      <x:c r="AA470">
        <x:f>-2.98175</x:f>
        <x:v>-2.9817499999999999</x:v>
      </x:c>
      <x:c r="AB470">
        <x:f>-4.39089</x:f>
        <x:v>-4.3908899999999997</x:v>
      </x:c>
      <x:c r="AC470">
        <x:f>-0.01981</x:f>
        <x:v>-1.9810000000000001E-2</x:v>
      </x:c>
      <x:c r="AD470">
        <x:f>-10.74251</x:f>
        <x:v>-10.742509999999999</x:v>
      </x:c>
      <x:c r="AE470">
        <x:f>-19.353045</x:f>
        <x:v>-19.353045000000002</x:v>
      </x:c>
      <x:c r="AF470">
        <x:f>-13.044715</x:f>
        <x:v>-13.044715</x:v>
      </x:c>
      <x:c r="AG470">
        <x:f>0</x:f>
        <x:v>0</x:v>
      </x:c>
    </x:row>
    <x:row r="471" spans="1:33" x14ac:dyDescent="0.25">
      <x:c r="A471" t="str">
        <x:f>"        WisdomTree Japan Hedged Real E"</x:f>
        <x:v xml:space="preserve">        WisdomTree Japan Hedged Real E</x:v>
      </x:c>
      <x:c r="B471" t="str">
        <x:f>"DXJR US Equity"</x:f>
        <x:v>DXJR US Equity</x:v>
      </x:c>
      <x:c r="E471" t="str">
        <x:f t="shared" si="15"/>
        <x:v>Expression</x:v>
      </x:c>
      <x:c r="F471" t="str">
        <x:f ca="1">IF(AND($B$1012=1,LEN($F$1471)&gt;0),$F$1471,HLOOKUP(INDIRECT(ADDRESS(2,COLUMN())),OFFSET($T$2,0,0,ROW()-1,14),ROW()-1,FALSE))</x:f>
        <x:v/>
      </x:c>
      <x:c r="G471" t="str">
        <x:f ca="1">IF(AND($B$1012=1,LEN($G$1471)&gt;0),$G$1471,HLOOKUP(INDIRECT(ADDRESS(2,COLUMN())),OFFSET($T$2,0,0,ROW()-1,14),ROW()-1,FALSE))</x:f>
        <x:v/>
      </x:c>
      <x:c r="H471" t="str">
        <x:f ca="1">IF(AND($B$1012=1,LEN($H$1471)&gt;0),$H$1471,HLOOKUP(INDIRECT(ADDRESS(2,COLUMN())),OFFSET($T$2,0,0,ROW()-1,14),ROW()-1,FALSE))</x:f>
        <x:v/>
      </x:c>
      <x:c r="I471" t="str">
        <x:f ca="1">IF(AND($B$1012=1,LEN($I$1471)&gt;0),$I$1471,HLOOKUP(INDIRECT(ADDRESS(2,COLUMN())),OFFSET($T$2,0,0,ROW()-1,14),ROW()-1,FALSE))</x:f>
        <x:v/>
      </x:c>
      <x:c r="J471" t="str">
        <x:f ca="1">IF(AND($B$1012=1,LEN($J$1471)&gt;0),$J$1471,HLOOKUP(INDIRECT(ADDRESS(2,COLUMN())),OFFSET($T$2,0,0,ROW()-1,14),ROW()-1,FALSE))</x:f>
        <x:v/>
      </x:c>
      <x:c r="K471" t="str">
        <x:f ca="1">IF(AND($B$1012=1,LEN($K$1471)&gt;0),$K$1471,HLOOKUP(INDIRECT(ADDRESS(2,COLUMN())),OFFSET($T$2,0,0,ROW()-1,14),ROW()-1,FALSE))</x:f>
        <x:v/>
      </x:c>
      <x:c r="L471" t="str">
        <x:f ca="1">IF(AND($B$1012=1,LEN($L$1471)&gt;0),$L$1471,HLOOKUP(INDIRECT(ADDRESS(2,COLUMN())),OFFSET($T$2,0,0,ROW()-1,14),ROW()-1,FALSE))</x:f>
        <x:v/>
      </x:c>
      <x:c r="M471" t="str">
        <x:f ca="1">IF(AND($B$1012=1,LEN($M$1471)&gt;0),$M$1471,HLOOKUP(INDIRECT(ADDRESS(2,COLUMN())),OFFSET($T$2,0,0,ROW()-1,14),ROW()-1,FALSE))</x:f>
        <x:v/>
      </x:c>
      <x:c r="N471" t="str">
        <x:f ca="1">IF(AND($B$1012=1,LEN($N$1471)&gt;0),$N$1471,HLOOKUP(INDIRECT(ADDRESS(2,COLUMN())),OFFSET($T$2,0,0,ROW()-1,14),ROW()-1,FALSE))</x:f>
        <x:v/>
      </x:c>
      <x:c r="O471" t="str">
        <x:f ca="1">IF(AND($B$1012=1,LEN($O$1471)&gt;0),$O$1471,HLOOKUP(INDIRECT(ADDRESS(2,COLUMN())),OFFSET($T$2,0,0,ROW()-1,14),ROW()-1,FALSE))</x:f>
        <x:v/>
      </x:c>
      <x:c r="P471" t="str">
        <x:f ca="1">IF(AND($B$1012=1,LEN($P$1471)&gt;0),$P$1471,HLOOKUP(INDIRECT(ADDRESS(2,COLUMN())),OFFSET($T$2,0,0,ROW()-1,14),ROW()-1,FALSE))</x:f>
        <x:v/>
      </x:c>
      <x:c r="Q471" t="str">
        <x:f ca="1">IF(AND($B$1012=1,LEN($Q$1471)&gt;0),$Q$1471,HLOOKUP(INDIRECT(ADDRESS(2,COLUMN())),OFFSET($T$2,0,0,ROW()-1,14),ROW()-1,FALSE))</x:f>
        <x:v/>
      </x:c>
      <x:c r="R471" t="str">
        <x:f ca="1">IF(AND($B$1012=1,LEN($R$1471)&gt;0),$R$1471,HLOOKUP(INDIRECT(ADDRESS(2,COLUMN())),OFFSET($T$2,0,0,ROW()-1,14),ROW()-1,FALSE))</x:f>
        <x:v/>
      </x:c>
      <x:c r="S471" t="str">
        <x:f ca="1">IF(AND($B$1012=1,LEN($S$1471)&gt;0),$S$1471,HLOOKUP(INDIRECT(ADDRESS(2,COLUMN())),OFFSET($T$2,0,0,ROW()-1,14),ROW()-1,FALSE))</x:f>
        <x:v/>
      </x:c>
      <x:c r="T471" t="str">
        <x:f>""</x:f>
        <x:v/>
      </x:c>
      <x:c r="U471" t="str">
        <x:f>""</x:f>
        <x:v/>
      </x:c>
      <x:c r="V471" t="str">
        <x:f>""</x:f>
        <x:v/>
      </x:c>
      <x:c r="W471" t="str">
        <x:f>""</x:f>
        <x:v/>
      </x:c>
      <x:c r="X471" t="str">
        <x:f>""</x:f>
        <x:v/>
      </x:c>
      <x:c r="Y471" t="str">
        <x:f>""</x:f>
        <x:v/>
      </x:c>
      <x:c r="Z471" t="str">
        <x:f>""</x:f>
        <x:v/>
      </x:c>
      <x:c r="AA471" t="str">
        <x:f>""</x:f>
        <x:v/>
      </x:c>
      <x:c r="AB471" t="str">
        <x:f>""</x:f>
        <x:v/>
      </x:c>
      <x:c r="AC471" t="str">
        <x:f>""</x:f>
        <x:v/>
      </x:c>
      <x:c r="AD471" t="str">
        <x:f>""</x:f>
        <x:v/>
      </x:c>
      <x:c r="AE471" t="str">
        <x:f>""</x:f>
        <x:v/>
      </x:c>
      <x:c r="AF471" t="str">
        <x:f>""</x:f>
        <x:v/>
      </x:c>
      <x:c r="AG471" t="str">
        <x:f>""</x:f>
        <x:v/>
      </x:c>
    </x:row>
    <x:row r="472" spans="1:33" x14ac:dyDescent="0.25">
      <x:c r="A472" t="str">
        <x:f>"        WisdomTree Global ex-U.S. Hedg"</x:f>
        <x:v xml:space="preserve">        WisdomTree Global ex-U.S. Hedg</x:v>
      </x:c>
      <x:c r="B472" t="str">
        <x:f>"HDRW US Equity"</x:f>
        <x:v>HDRW US Equity</x:v>
      </x:c>
      <x:c r="E472" t="str">
        <x:f t="shared" si="15"/>
        <x:v>Expression</x:v>
      </x:c>
      <x:c r="F472" t="str">
        <x:f ca="1">IF(AND($B$1012=1,LEN($F$1472)&gt;0),$F$1472,HLOOKUP(INDIRECT(ADDRESS(2,COLUMN())),OFFSET($T$2,0,0,ROW()-1,14),ROW()-1,FALSE))</x:f>
        <x:v/>
      </x:c>
      <x:c r="G472" t="str">
        <x:f ca="1">IF(AND($B$1012=1,LEN($G$1472)&gt;0),$G$1472,HLOOKUP(INDIRECT(ADDRESS(2,COLUMN())),OFFSET($T$2,0,0,ROW()-1,14),ROW()-1,FALSE))</x:f>
        <x:v/>
      </x:c>
      <x:c r="H472" t="str">
        <x:f ca="1">IF(AND($B$1012=1,LEN($H$1472)&gt;0),$H$1472,HLOOKUP(INDIRECT(ADDRESS(2,COLUMN())),OFFSET($T$2,0,0,ROW()-1,14),ROW()-1,FALSE))</x:f>
        <x:v/>
      </x:c>
      <x:c r="I472" t="str">
        <x:f ca="1">IF(AND($B$1012=1,LEN($I$1472)&gt;0),$I$1472,HLOOKUP(INDIRECT(ADDRESS(2,COLUMN())),OFFSET($T$2,0,0,ROW()-1,14),ROW()-1,FALSE))</x:f>
        <x:v/>
      </x:c>
      <x:c r="J472" t="str">
        <x:f ca="1">IF(AND($B$1012=1,LEN($J$1472)&gt;0),$J$1472,HLOOKUP(INDIRECT(ADDRESS(2,COLUMN())),OFFSET($T$2,0,0,ROW()-1,14),ROW()-1,FALSE))</x:f>
        <x:v/>
      </x:c>
      <x:c r="K472" t="str">
        <x:f ca="1">IF(AND($B$1012=1,LEN($K$1472)&gt;0),$K$1472,HLOOKUP(INDIRECT(ADDRESS(2,COLUMN())),OFFSET($T$2,0,0,ROW()-1,14),ROW()-1,FALSE))</x:f>
        <x:v/>
      </x:c>
      <x:c r="L472" t="str">
        <x:f ca="1">IF(AND($B$1012=1,LEN($L$1472)&gt;0),$L$1472,HLOOKUP(INDIRECT(ADDRESS(2,COLUMN())),OFFSET($T$2,0,0,ROW()-1,14),ROW()-1,FALSE))</x:f>
        <x:v/>
      </x:c>
      <x:c r="M472" t="str">
        <x:f ca="1">IF(AND($B$1012=1,LEN($M$1472)&gt;0),$M$1472,HLOOKUP(INDIRECT(ADDRESS(2,COLUMN())),OFFSET($T$2,0,0,ROW()-1,14),ROW()-1,FALSE))</x:f>
        <x:v/>
      </x:c>
      <x:c r="N472" t="str">
        <x:f ca="1">IF(AND($B$1012=1,LEN($N$1472)&gt;0),$N$1472,HLOOKUP(INDIRECT(ADDRESS(2,COLUMN())),OFFSET($T$2,0,0,ROW()-1,14),ROW()-1,FALSE))</x:f>
        <x:v/>
      </x:c>
      <x:c r="O472" t="str">
        <x:f ca="1">IF(AND($B$1012=1,LEN($O$1472)&gt;0),$O$1472,HLOOKUP(INDIRECT(ADDRESS(2,COLUMN())),OFFSET($T$2,0,0,ROW()-1,14),ROW()-1,FALSE))</x:f>
        <x:v/>
      </x:c>
      <x:c r="P472" t="str">
        <x:f ca="1">IF(AND($B$1012=1,LEN($P$1472)&gt;0),$P$1472,HLOOKUP(INDIRECT(ADDRESS(2,COLUMN())),OFFSET($T$2,0,0,ROW()-1,14),ROW()-1,FALSE))</x:f>
        <x:v/>
      </x:c>
      <x:c r="Q472" t="str">
        <x:f ca="1">IF(AND($B$1012=1,LEN($Q$1472)&gt;0),$Q$1472,HLOOKUP(INDIRECT(ADDRESS(2,COLUMN())),OFFSET($T$2,0,0,ROW()-1,14),ROW()-1,FALSE))</x:f>
        <x:v/>
      </x:c>
      <x:c r="R472" t="str">
        <x:f ca="1">IF(AND($B$1012=1,LEN($R$1472)&gt;0),$R$1472,HLOOKUP(INDIRECT(ADDRESS(2,COLUMN())),OFFSET($T$2,0,0,ROW()-1,14),ROW()-1,FALSE))</x:f>
        <x:v/>
      </x:c>
      <x:c r="S472" t="str">
        <x:f ca="1">IF(AND($B$1012=1,LEN($S$1472)&gt;0),$S$1472,HLOOKUP(INDIRECT(ADDRESS(2,COLUMN())),OFFSET($T$2,0,0,ROW()-1,14),ROW()-1,FALSE))</x:f>
        <x:v/>
      </x:c>
      <x:c r="T472" t="str">
        <x:f>""</x:f>
        <x:v/>
      </x:c>
      <x:c r="U472" t="str">
        <x:f>""</x:f>
        <x:v/>
      </x:c>
      <x:c r="V472" t="str">
        <x:f>""</x:f>
        <x:v/>
      </x:c>
      <x:c r="W472" t="str">
        <x:f>""</x:f>
        <x:v/>
      </x:c>
      <x:c r="X472" t="str">
        <x:f>""</x:f>
        <x:v/>
      </x:c>
      <x:c r="Y472" t="str">
        <x:f>""</x:f>
        <x:v/>
      </x:c>
      <x:c r="Z472" t="str">
        <x:f>""</x:f>
        <x:v/>
      </x:c>
      <x:c r="AA472" t="str">
        <x:f>""</x:f>
        <x:v/>
      </x:c>
      <x:c r="AB472" t="str">
        <x:f>""</x:f>
        <x:v/>
      </x:c>
      <x:c r="AC472" t="str">
        <x:f>""</x:f>
        <x:v/>
      </x:c>
      <x:c r="AD472" t="str">
        <x:f>""</x:f>
        <x:v/>
      </x:c>
      <x:c r="AE472" t="str">
        <x:f>""</x:f>
        <x:v/>
      </x:c>
      <x:c r="AF472" t="str">
        <x:f>""</x:f>
        <x:v/>
      </x:c>
      <x:c r="AG472" t="str">
        <x:f>""</x:f>
        <x:v/>
      </x:c>
    </x:row>
    <x:row r="473" spans="1:33" x14ac:dyDescent="0.25">
      <x:c r="A473" t="str">
        <x:f>"        Prime Medicine Inc"</x:f>
        <x:v xml:space="preserve">        Prime Medicine Inc</x:v>
      </x:c>
      <x:c r="B473" t="str">
        <x:f>"PRME US Equity"</x:f>
        <x:v>PRME US Equity</x:v>
      </x:c>
      <x:c r="E473" t="str">
        <x:f t="shared" si="15"/>
        <x:v>Expression</x:v>
      </x:c>
      <x:c r="F473" t="str">
        <x:f ca="1">IF(AND($B$1012=1,LEN($F$1473)&gt;0),$F$1473,HLOOKUP(INDIRECT(ADDRESS(2,COLUMN())),OFFSET($T$2,0,0,ROW()-1,14),ROW()-1,FALSE))</x:f>
        <x:v/>
      </x:c>
      <x:c r="G473" t="str">
        <x:f ca="1">IF(AND($B$1012=1,LEN($G$1473)&gt;0),$G$1473,HLOOKUP(INDIRECT(ADDRESS(2,COLUMN())),OFFSET($T$2,0,0,ROW()-1,14),ROW()-1,FALSE))</x:f>
        <x:v/>
      </x:c>
      <x:c r="H473" t="str">
        <x:f ca="1">IF(AND($B$1012=1,LEN($H$1473)&gt;0),$H$1473,HLOOKUP(INDIRECT(ADDRESS(2,COLUMN())),OFFSET($T$2,0,0,ROW()-1,14),ROW()-1,FALSE))</x:f>
        <x:v/>
      </x:c>
      <x:c r="I473" t="str">
        <x:f ca="1">IF(AND($B$1012=1,LEN($I$1473)&gt;0),$I$1473,HLOOKUP(INDIRECT(ADDRESS(2,COLUMN())),OFFSET($T$2,0,0,ROW()-1,14),ROW()-1,FALSE))</x:f>
        <x:v/>
      </x:c>
      <x:c r="J473" t="str">
        <x:f ca="1">IF(AND($B$1012=1,LEN($J$1473)&gt;0),$J$1473,HLOOKUP(INDIRECT(ADDRESS(2,COLUMN())),OFFSET($T$2,0,0,ROW()-1,14),ROW()-1,FALSE))</x:f>
        <x:v/>
      </x:c>
      <x:c r="K473" t="str">
        <x:f ca="1">IF(AND($B$1012=1,LEN($K$1473)&gt;0),$K$1473,HLOOKUP(INDIRECT(ADDRESS(2,COLUMN())),OFFSET($T$2,0,0,ROW()-1,14),ROW()-1,FALSE))</x:f>
        <x:v/>
      </x:c>
      <x:c r="L473" t="str">
        <x:f ca="1">IF(AND($B$1012=1,LEN($L$1473)&gt;0),$L$1473,HLOOKUP(INDIRECT(ADDRESS(2,COLUMN())),OFFSET($T$2,0,0,ROW()-1,14),ROW()-1,FALSE))</x:f>
        <x:v/>
      </x:c>
      <x:c r="M473" t="str">
        <x:f ca="1">IF(AND($B$1012=1,LEN($M$1473)&gt;0),$M$1473,HLOOKUP(INDIRECT(ADDRESS(2,COLUMN())),OFFSET($T$2,0,0,ROW()-1,14),ROW()-1,FALSE))</x:f>
        <x:v/>
      </x:c>
      <x:c r="N473" t="str">
        <x:f ca="1">IF(AND($B$1012=1,LEN($N$1473)&gt;0),$N$1473,HLOOKUP(INDIRECT(ADDRESS(2,COLUMN())),OFFSET($T$2,0,0,ROW()-1,14),ROW()-1,FALSE))</x:f>
        <x:v/>
      </x:c>
      <x:c r="O473" t="str">
        <x:f ca="1">IF(AND($B$1012=1,LEN($O$1473)&gt;0),$O$1473,HLOOKUP(INDIRECT(ADDRESS(2,COLUMN())),OFFSET($T$2,0,0,ROW()-1,14),ROW()-1,FALSE))</x:f>
        <x:v/>
      </x:c>
      <x:c r="P473" t="str">
        <x:f ca="1">IF(AND($B$1012=1,LEN($P$1473)&gt;0),$P$1473,HLOOKUP(INDIRECT(ADDRESS(2,COLUMN())),OFFSET($T$2,0,0,ROW()-1,14),ROW()-1,FALSE))</x:f>
        <x:v/>
      </x:c>
      <x:c r="Q473" t="str">
        <x:f ca="1">IF(AND($B$1012=1,LEN($Q$1473)&gt;0),$Q$1473,HLOOKUP(INDIRECT(ADDRESS(2,COLUMN())),OFFSET($T$2,0,0,ROW()-1,14),ROW()-1,FALSE))</x:f>
        <x:v/>
      </x:c>
      <x:c r="R473" t="str">
        <x:f ca="1">IF(AND($B$1012=1,LEN($R$1473)&gt;0),$R$1473,HLOOKUP(INDIRECT(ADDRESS(2,COLUMN())),OFFSET($T$2,0,0,ROW()-1,14),ROW()-1,FALSE))</x:f>
        <x:v/>
      </x:c>
      <x:c r="S473" t="str">
        <x:f ca="1">IF(AND($B$1012=1,LEN($S$1473)&gt;0),$S$1473,HLOOKUP(INDIRECT(ADDRESS(2,COLUMN())),OFFSET($T$2,0,0,ROW()-1,14),ROW()-1,FALSE))</x:f>
        <x:v/>
      </x:c>
      <x:c r="T473" t="str">
        <x:f>""</x:f>
        <x:v/>
      </x:c>
      <x:c r="U473" t="str">
        <x:f>""</x:f>
        <x:v/>
      </x:c>
      <x:c r="V473" t="str">
        <x:f>""</x:f>
        <x:v/>
      </x:c>
      <x:c r="W473" t="str">
        <x:f>""</x:f>
        <x:v/>
      </x:c>
      <x:c r="X473" t="str">
        <x:f>""</x:f>
        <x:v/>
      </x:c>
      <x:c r="Y473" t="str">
        <x:f>""</x:f>
        <x:v/>
      </x:c>
      <x:c r="Z473" t="str">
        <x:f>""</x:f>
        <x:v/>
      </x:c>
      <x:c r="AA473" t="str">
        <x:f>""</x:f>
        <x:v/>
      </x:c>
      <x:c r="AB473" t="str">
        <x:f>""</x:f>
        <x:v/>
      </x:c>
      <x:c r="AC473" t="str">
        <x:f>""</x:f>
        <x:v/>
      </x:c>
      <x:c r="AD473" t="str">
        <x:f>""</x:f>
        <x:v/>
      </x:c>
      <x:c r="AE473" t="str">
        <x:f>""</x:f>
        <x:v/>
      </x:c>
      <x:c r="AF473" t="str">
        <x:f>""</x:f>
        <x:v/>
      </x:c>
      <x:c r="AG473" t="str">
        <x:f>""</x:f>
        <x:v/>
      </x:c>
    </x:row>
    <x:row r="474" spans="1:33" x14ac:dyDescent="0.25">
      <x:c r="A474" t="str">
        <x:f>"        US Diversified Real Estate ETF"</x:f>
        <x:v xml:space="preserve">        US Diversified Real Estate ETF</x:v>
      </x:c>
      <x:c r="B474" t="str">
        <x:f>"PPTY US Equity"</x:f>
        <x:v>PPTY US Equity</x:v>
      </x:c>
      <x:c r="E474" t="str">
        <x:f t="shared" si="15"/>
        <x:v>Expression</x:v>
      </x:c>
      <x:c r="F474">
        <x:f ca="1">IF(AND($B$1012=1,LEN($F$1474)&gt;0),$F$1474,HLOOKUP(INDIRECT(ADDRESS(2,COLUMN())),OFFSET($T$2,0,0,ROW()-1,14),ROW()-1,FALSE))</x:f>
        <x:v>0</x:v>
      </x:c>
      <x:c r="G474">
        <x:f ca="1">IF(AND($B$1012=1,LEN($G$1474)&gt;0),$G$1474,HLOOKUP(INDIRECT(ADDRESS(2,COLUMN())),OFFSET($T$2,0,0,ROW()-1,14),ROW()-1,FALSE))</x:f>
        <x:v>1.33551</x:v>
      </x:c>
      <x:c r="H474">
        <x:f ca="1">IF(AND($B$1012=1,LEN($H$1474)&gt;0),$H$1474,HLOOKUP(INDIRECT(ADDRESS(2,COLUMN())),OFFSET($T$2,0,0,ROW()-1,14),ROW()-1,FALSE))</x:f>
        <x:v>0</x:v>
      </x:c>
      <x:c r="I474">
        <x:f ca="1">IF(AND($B$1012=1,LEN($I$1474)&gt;0),$I$1474,HLOOKUP(INDIRECT(ADDRESS(2,COLUMN())),OFFSET($T$2,0,0,ROW()-1,14),ROW()-1,FALSE))</x:f>
        <x:v>0</x:v>
      </x:c>
      <x:c r="J474">
        <x:f ca="1">IF(AND($B$1012=1,LEN($J$1474)&gt;0),$J$1474,HLOOKUP(INDIRECT(ADDRESS(2,COLUMN())),OFFSET($T$2,0,0,ROW()-1,14),ROW()-1,FALSE))</x:f>
        <x:v>0</x:v>
      </x:c>
      <x:c r="K474">
        <x:f ca="1">IF(AND($B$1012=1,LEN($K$1474)&gt;0),$K$1474,HLOOKUP(INDIRECT(ADDRESS(2,COLUMN())),OFFSET($T$2,0,0,ROW()-1,14),ROW()-1,FALSE))</x:f>
        <x:v>0</x:v>
      </x:c>
      <x:c r="L474">
        <x:f ca="1">IF(AND($B$1012=1,LEN($L$1474)&gt;0),$L$1474,HLOOKUP(INDIRECT(ADDRESS(2,COLUMN())),OFFSET($T$2,0,0,ROW()-1,14),ROW()-1,FALSE))</x:f>
        <x:v>0</x:v>
      </x:c>
      <x:c r="M474">
        <x:f ca="1">IF(AND($B$1012=1,LEN($M$1474)&gt;0),$M$1474,HLOOKUP(INDIRECT(ADDRESS(2,COLUMN())),OFFSET($T$2,0,0,ROW()-1,14),ROW()-1,FALSE))</x:f>
        <x:v>2.77732</x:v>
      </x:c>
      <x:c r="N474">
        <x:f ca="1">IF(AND($B$1012=1,LEN($N$1474)&gt;0),$N$1474,HLOOKUP(INDIRECT(ADDRESS(2,COLUMN())),OFFSET($T$2,0,0,ROW()-1,14),ROW()-1,FALSE))</x:f>
        <x:v>-9.2314999999999994E-2</x:v>
      </x:c>
      <x:c r="O474">
        <x:f ca="1">IF(AND($B$1012=1,LEN($O$1474)&gt;0),$O$1474,HLOOKUP(INDIRECT(ADDRESS(2,COLUMN())),OFFSET($T$2,0,0,ROW()-1,14),ROW()-1,FALSE))</x:f>
        <x:v>0</x:v>
      </x:c>
      <x:c r="P474">
        <x:f ca="1">IF(AND($B$1012=1,LEN($P$1474)&gt;0),$P$1474,HLOOKUP(INDIRECT(ADDRESS(2,COLUMN())),OFFSET($T$2,0,0,ROW()-1,14),ROW()-1,FALSE))</x:f>
        <x:v>1.470955</x:v>
      </x:c>
      <x:c r="Q474">
        <x:f ca="1">IF(AND($B$1012=1,LEN($Q$1474)&gt;0),$Q$1474,HLOOKUP(INDIRECT(ADDRESS(2,COLUMN())),OFFSET($T$2,0,0,ROW()-1,14),ROW()-1,FALSE))</x:f>
        <x:v>0</x:v>
      </x:c>
      <x:c r="R474">
        <x:f ca="1">IF(AND($B$1012=1,LEN($R$1474)&gt;0),$R$1474,HLOOKUP(INDIRECT(ADDRESS(2,COLUMN())),OFFSET($T$2,0,0,ROW()-1,14),ROW()-1,FALSE))</x:f>
        <x:v>-1.389195</x:v>
      </x:c>
      <x:c r="S474">
        <x:f ca="1">IF(AND($B$1012=1,LEN($S$1474)&gt;0),$S$1474,HLOOKUP(INDIRECT(ADDRESS(2,COLUMN())),OFFSET($T$2,0,0,ROW()-1,14),ROW()-1,FALSE))</x:f>
        <x:v>2.733295</x:v>
      </x:c>
      <x:c r="T474">
        <x:f>0</x:f>
        <x:v>0</x:v>
      </x:c>
      <x:c r="U474">
        <x:f>1.33551</x:f>
        <x:v>1.33551</x:v>
      </x:c>
      <x:c r="V474">
        <x:f>0</x:f>
        <x:v>0</x:v>
      </x:c>
      <x:c r="W474">
        <x:f>0</x:f>
        <x:v>0</x:v>
      </x:c>
      <x:c r="X474">
        <x:f>0</x:f>
        <x:v>0</x:v>
      </x:c>
      <x:c r="Y474">
        <x:f>0</x:f>
        <x:v>0</x:v>
      </x:c>
      <x:c r="Z474">
        <x:f>0</x:f>
        <x:v>0</x:v>
      </x:c>
      <x:c r="AA474">
        <x:f>2.77732</x:f>
        <x:v>2.77732</x:v>
      </x:c>
      <x:c r="AB474">
        <x:f>-0.092315</x:f>
        <x:v>-9.2314999999999994E-2</x:v>
      </x:c>
      <x:c r="AC474">
        <x:f>0</x:f>
        <x:v>0</x:v>
      </x:c>
      <x:c r="AD474">
        <x:f>1.470955</x:f>
        <x:v>1.470955</x:v>
      </x:c>
      <x:c r="AE474">
        <x:f>0</x:f>
        <x:v>0</x:v>
      </x:c>
      <x:c r="AF474">
        <x:f>-1.389195</x:f>
        <x:v>-1.389195</x:v>
      </x:c>
      <x:c r="AG474">
        <x:f>2.733295</x:f>
        <x:v>2.733295</x:v>
      </x:c>
    </x:row>
    <x:row r="475" spans="1:33" x14ac:dyDescent="0.25">
      <x:c r="A475" t="str">
        <x:f>"        JPMorgan BetaBuilders MSCI US"</x:f>
        <x:v xml:space="preserve">        JPMorgan BetaBuilders MSCI US</x:v>
      </x:c>
      <x:c r="B475" t="str">
        <x:f>"BBRE US Equity"</x:f>
        <x:v>BBRE US Equity</x:v>
      </x:c>
      <x:c r="E475" t="str">
        <x:f t="shared" si="15"/>
        <x:v>Expression</x:v>
      </x:c>
      <x:c r="F475">
        <x:f ca="1">IF(AND($B$1012=1,LEN($F$1475)&gt;0),$F$1475,HLOOKUP(INDIRECT(ADDRESS(2,COLUMN())),OFFSET($T$2,0,0,ROW()-1,14),ROW()-1,FALSE))</x:f>
        <x:v>-3.8028550000000001</x:v>
      </x:c>
      <x:c r="G475">
        <x:f ca="1">IF(AND($B$1012=1,LEN($G$1475)&gt;0),$G$1475,HLOOKUP(INDIRECT(ADDRESS(2,COLUMN())),OFFSET($T$2,0,0,ROW()-1,14),ROW()-1,FALSE))</x:f>
        <x:v>37.745113000000003</x:v>
      </x:c>
      <x:c r="H475">
        <x:f ca="1">IF(AND($B$1012=1,LEN($H$1475)&gt;0),$H$1475,HLOOKUP(INDIRECT(ADDRESS(2,COLUMN())),OFFSET($T$2,0,0,ROW()-1,14),ROW()-1,FALSE))</x:f>
        <x:v>37.542017999999999</x:v>
      </x:c>
      <x:c r="I475">
        <x:f ca="1">IF(AND($B$1012=1,LEN($I$1475)&gt;0),$I$1475,HLOOKUP(INDIRECT(ADDRESS(2,COLUMN())),OFFSET($T$2,0,0,ROW()-1,14),ROW()-1,FALSE))</x:f>
        <x:v>16.735973000000001</x:v>
      </x:c>
      <x:c r="J475">
        <x:f ca="1">IF(AND($B$1012=1,LEN($J$1475)&gt;0),$J$1475,HLOOKUP(INDIRECT(ADDRESS(2,COLUMN())),OFFSET($T$2,0,0,ROW()-1,14),ROW()-1,FALSE))</x:f>
        <x:v>-13.076916000000001</x:v>
      </x:c>
      <x:c r="K475">
        <x:f ca="1">IF(AND($B$1012=1,LEN($K$1475)&gt;0),$K$1475,HLOOKUP(INDIRECT(ADDRESS(2,COLUMN())),OFFSET($T$2,0,0,ROW()-1,14),ROW()-1,FALSE))</x:f>
        <x:v>-6.4805599999999997</x:v>
      </x:c>
      <x:c r="L475">
        <x:f ca="1">IF(AND($B$1012=1,LEN($L$1475)&gt;0),$L$1475,HLOOKUP(INDIRECT(ADDRESS(2,COLUMN())),OFFSET($T$2,0,0,ROW()-1,14),ROW()-1,FALSE))</x:f>
        <x:v>-8.193873</x:v>
      </x:c>
      <x:c r="M475">
        <x:f ca="1">IF(AND($B$1012=1,LEN($M$1475)&gt;0),$M$1475,HLOOKUP(INDIRECT(ADDRESS(2,COLUMN())),OFFSET($T$2,0,0,ROW()-1,14),ROW()-1,FALSE))</x:f>
        <x:v>-30.867652</x:v>
      </x:c>
      <x:c r="N475">
        <x:f ca="1">IF(AND($B$1012=1,LEN($N$1475)&gt;0),$N$1475,HLOOKUP(INDIRECT(ADDRESS(2,COLUMN())),OFFSET($T$2,0,0,ROW()-1,14),ROW()-1,FALSE))</x:f>
        <x:v>59.608351999999996</x:v>
      </x:c>
      <x:c r="O475">
        <x:f ca="1">IF(AND($B$1012=1,LEN($O$1475)&gt;0),$O$1475,HLOOKUP(INDIRECT(ADDRESS(2,COLUMN())),OFFSET($T$2,0,0,ROW()-1,14),ROW()-1,FALSE))</x:f>
        <x:v>-156.79729599999999</x:v>
      </x:c>
      <x:c r="P475">
        <x:f ca="1">IF(AND($B$1012=1,LEN($P$1475)&gt;0),$P$1475,HLOOKUP(INDIRECT(ADDRESS(2,COLUMN())),OFFSET($T$2,0,0,ROW()-1,14),ROW()-1,FALSE))</x:f>
        <x:v>-0.50727100000000003</x:v>
      </x:c>
      <x:c r="Q475">
        <x:f ca="1">IF(AND($B$1012=1,LEN($Q$1475)&gt;0),$Q$1475,HLOOKUP(INDIRECT(ADDRESS(2,COLUMN())),OFFSET($T$2,0,0,ROW()-1,14),ROW()-1,FALSE))</x:f>
        <x:v>-99.022784000000001</x:v>
      </x:c>
      <x:c r="R475">
        <x:f ca="1">IF(AND($B$1012=1,LEN($R$1475)&gt;0),$R$1475,HLOOKUP(INDIRECT(ADDRESS(2,COLUMN())),OFFSET($T$2,0,0,ROW()-1,14),ROW()-1,FALSE))</x:f>
        <x:v>-6.5942759999999998</x:v>
      </x:c>
      <x:c r="S475">
        <x:f ca="1">IF(AND($B$1012=1,LEN($S$1475)&gt;0),$S$1475,HLOOKUP(INDIRECT(ADDRESS(2,COLUMN())),OFFSET($T$2,0,0,ROW()-1,14),ROW()-1,FALSE))</x:f>
        <x:v>11.657446</x:v>
      </x:c>
      <x:c r="T475">
        <x:f>-3.802855</x:f>
        <x:v>-3.8028550000000001</x:v>
      </x:c>
      <x:c r="U475">
        <x:f>37.745113</x:f>
        <x:v>37.745113000000003</x:v>
      </x:c>
      <x:c r="V475">
        <x:f>37.542018</x:f>
        <x:v>37.542017999999999</x:v>
      </x:c>
      <x:c r="W475">
        <x:f>16.735973</x:f>
        <x:v>16.735973000000001</x:v>
      </x:c>
      <x:c r="X475">
        <x:f>-13.076916</x:f>
        <x:v>-13.076916000000001</x:v>
      </x:c>
      <x:c r="Y475">
        <x:f>-6.48056</x:f>
        <x:v>-6.4805599999999997</x:v>
      </x:c>
      <x:c r="Z475">
        <x:f>-8.193873</x:f>
        <x:v>-8.193873</x:v>
      </x:c>
      <x:c r="AA475">
        <x:f>-30.867652</x:f>
        <x:v>-30.867652</x:v>
      </x:c>
      <x:c r="AB475">
        <x:f>59.608352</x:f>
        <x:v>59.608351999999996</x:v>
      </x:c>
      <x:c r="AC475">
        <x:f>-156.797296</x:f>
        <x:v>-156.79729599999999</x:v>
      </x:c>
      <x:c r="AD475">
        <x:f>-0.507271</x:f>
        <x:v>-0.50727100000000003</x:v>
      </x:c>
      <x:c r="AE475">
        <x:f>-99.022784</x:f>
        <x:v>-99.022784000000001</x:v>
      </x:c>
      <x:c r="AF475">
        <x:f>-6.594276</x:f>
        <x:v>-6.5942759999999998</x:v>
      </x:c>
      <x:c r="AG475">
        <x:f>11.657446</x:f>
        <x:v>11.657446</x:v>
      </x:c>
    </x:row>
    <x:row r="476" spans="1:33" x14ac:dyDescent="0.25">
      <x:c r="A476" t="str">
        <x:f>"        Pacer Industrial Real Estate E"</x:f>
        <x:v xml:space="preserve">        Pacer Industrial Real Estate E</x:v>
      </x:c>
      <x:c r="B476" t="str">
        <x:f>"INDS US Equity"</x:f>
        <x:v>INDS US Equity</x:v>
      </x:c>
      <x:c r="E476" t="str">
        <x:f t="shared" si="15"/>
        <x:v>Expression</x:v>
      </x:c>
      <x:c r="F476">
        <x:f ca="1">IF(AND($B$1012=1,LEN($F$1476)&gt;0),$F$1476,HLOOKUP(INDIRECT(ADDRESS(2,COLUMN())),OFFSET($T$2,0,0,ROW()-1,14),ROW()-1,FALSE))</x:f>
        <x:v>0</x:v>
      </x:c>
      <x:c r="G476">
        <x:f ca="1">IF(AND($B$1012=1,LEN($G$1476)&gt;0),$G$1476,HLOOKUP(INDIRECT(ADDRESS(2,COLUMN())),OFFSET($T$2,0,0,ROW()-1,14),ROW()-1,FALSE))</x:f>
        <x:v>-1.6335949999999999</x:v>
      </x:c>
      <x:c r="H476">
        <x:f ca="1">IF(AND($B$1012=1,LEN($H$1476)&gt;0),$H$1476,HLOOKUP(INDIRECT(ADDRESS(2,COLUMN())),OFFSET($T$2,0,0,ROW()-1,14),ROW()-1,FALSE))</x:f>
        <x:v>0</x:v>
      </x:c>
      <x:c r="I476">
        <x:f ca="1">IF(AND($B$1012=1,LEN($I$1476)&gt;0),$I$1476,HLOOKUP(INDIRECT(ADDRESS(2,COLUMN())),OFFSET($T$2,0,0,ROW()-1,14),ROW()-1,FALSE))</x:f>
        <x:v>-7.6790750000000001</x:v>
      </x:c>
      <x:c r="J476">
        <x:f ca="1">IF(AND($B$1012=1,LEN($J$1476)&gt;0),$J$1476,HLOOKUP(INDIRECT(ADDRESS(2,COLUMN())),OFFSET($T$2,0,0,ROW()-1,14),ROW()-1,FALSE))</x:f>
        <x:v>0</x:v>
      </x:c>
      <x:c r="K476">
        <x:f ca="1">IF(AND($B$1012=1,LEN($K$1476)&gt;0),$K$1476,HLOOKUP(INDIRECT(ADDRESS(2,COLUMN())),OFFSET($T$2,0,0,ROW()-1,14),ROW()-1,FALSE))</x:f>
        <x:v>9.9465500000000002</x:v>
      </x:c>
      <x:c r="L476">
        <x:f ca="1">IF(AND($B$1012=1,LEN($L$1476)&gt;0),$L$1476,HLOOKUP(INDIRECT(ADDRESS(2,COLUMN())),OFFSET($T$2,0,0,ROW()-1,14),ROW()-1,FALSE))</x:f>
        <x:v>-4.1116900000000003</x:v>
      </x:c>
      <x:c r="M476">
        <x:f ca="1">IF(AND($B$1012=1,LEN($M$1476)&gt;0),$M$1476,HLOOKUP(INDIRECT(ADDRESS(2,COLUMN())),OFFSET($T$2,0,0,ROW()-1,14),ROW()-1,FALSE))</x:f>
        <x:v>2.1202399999999999</x:v>
      </x:c>
      <x:c r="N476">
        <x:f ca="1">IF(AND($B$1012=1,LEN($N$1476)&gt;0),$N$1476,HLOOKUP(INDIRECT(ADDRESS(2,COLUMN())),OFFSET($T$2,0,0,ROW()-1,14),ROW()-1,FALSE))</x:f>
        <x:v>0</x:v>
      </x:c>
      <x:c r="O476">
        <x:f ca="1">IF(AND($B$1012=1,LEN($O$1476)&gt;0),$O$1476,HLOOKUP(INDIRECT(ADDRESS(2,COLUMN())),OFFSET($T$2,0,0,ROW()-1,14),ROW()-1,FALSE))</x:f>
        <x:v>-6.0747600000000004</x:v>
      </x:c>
      <x:c r="P476">
        <x:f ca="1">IF(AND($B$1012=1,LEN($P$1476)&gt;0),$P$1476,HLOOKUP(INDIRECT(ADDRESS(2,COLUMN())),OFFSET($T$2,0,0,ROW()-1,14),ROW()-1,FALSE))</x:f>
        <x:v>-9.421735</x:v>
      </x:c>
      <x:c r="Q476">
        <x:f ca="1">IF(AND($B$1012=1,LEN($Q$1476)&gt;0),$Q$1476,HLOOKUP(INDIRECT(ADDRESS(2,COLUMN())),OFFSET($T$2,0,0,ROW()-1,14),ROW()-1,FALSE))</x:f>
        <x:v>-5.7992400000000002</x:v>
      </x:c>
      <x:c r="R476">
        <x:f ca="1">IF(AND($B$1012=1,LEN($R$1476)&gt;0),$R$1476,HLOOKUP(INDIRECT(ADDRESS(2,COLUMN())),OFFSET($T$2,0,0,ROW()-1,14),ROW()-1,FALSE))</x:f>
        <x:v>5.7885049999999998</x:v>
      </x:c>
      <x:c r="S476">
        <x:f ca="1">IF(AND($B$1012=1,LEN($S$1476)&gt;0),$S$1476,HLOOKUP(INDIRECT(ADDRESS(2,COLUMN())),OFFSET($T$2,0,0,ROW()-1,14),ROW()-1,FALSE))</x:f>
        <x:v>-18.033725</x:v>
      </x:c>
      <x:c r="T476">
        <x:f>0</x:f>
        <x:v>0</x:v>
      </x:c>
      <x:c r="U476">
        <x:f>-1.633595</x:f>
        <x:v>-1.6335949999999999</x:v>
      </x:c>
      <x:c r="V476">
        <x:f>0</x:f>
        <x:v>0</x:v>
      </x:c>
      <x:c r="W476">
        <x:f>-7.679075</x:f>
        <x:v>-7.6790750000000001</x:v>
      </x:c>
      <x:c r="X476">
        <x:f>0</x:f>
        <x:v>0</x:v>
      </x:c>
      <x:c r="Y476">
        <x:f>9.94655</x:f>
        <x:v>9.9465500000000002</x:v>
      </x:c>
      <x:c r="Z476">
        <x:f>-4.11169</x:f>
        <x:v>-4.1116900000000003</x:v>
      </x:c>
      <x:c r="AA476">
        <x:f>2.12024</x:f>
        <x:v>2.1202399999999999</x:v>
      </x:c>
      <x:c r="AB476">
        <x:f>0</x:f>
        <x:v>0</x:v>
      </x:c>
      <x:c r="AC476">
        <x:f>-6.07476</x:f>
        <x:v>-6.0747600000000004</x:v>
      </x:c>
      <x:c r="AD476">
        <x:f>-9.421735</x:f>
        <x:v>-9.421735</x:v>
      </x:c>
      <x:c r="AE476">
        <x:f>-5.79924</x:f>
        <x:v>-5.7992400000000002</x:v>
      </x:c>
      <x:c r="AF476">
        <x:f>5.788505</x:f>
        <x:v>5.7885049999999998</x:v>
      </x:c>
      <x:c r="AG476">
        <x:f>-18.033725</x:f>
        <x:v>-18.033725</x:v>
      </x:c>
    </x:row>
    <x:row r="477" spans="1:33" x14ac:dyDescent="0.25">
      <x:c r="A477" t="str">
        <x:f>"        Necessity Retail REIT Inc/The"</x:f>
        <x:v xml:space="preserve">        Necessity Retail REIT Inc/The</x:v>
      </x:c>
      <x:c r="B477" t="str">
        <x:f>"RTL US Equity"</x:f>
        <x:v>RTL US Equity</x:v>
      </x:c>
      <x:c r="E477" t="str">
        <x:f t="shared" si="15"/>
        <x:v>Expression</x:v>
      </x:c>
      <x:c r="F477" t="str">
        <x:f ca="1">IF(AND($B$1012=1,LEN($F$1477)&gt;0),$F$1477,HLOOKUP(INDIRECT(ADDRESS(2,COLUMN())),OFFSET($T$2,0,0,ROW()-1,14),ROW()-1,FALSE))</x:f>
        <x:v/>
      </x:c>
      <x:c r="G477" t="str">
        <x:f ca="1">IF(AND($B$1012=1,LEN($G$1477)&gt;0),$G$1477,HLOOKUP(INDIRECT(ADDRESS(2,COLUMN())),OFFSET($T$2,0,0,ROW()-1,14),ROW()-1,FALSE))</x:f>
        <x:v/>
      </x:c>
      <x:c r="H477" t="str">
        <x:f ca="1">IF(AND($B$1012=1,LEN($H$1477)&gt;0),$H$1477,HLOOKUP(INDIRECT(ADDRESS(2,COLUMN())),OFFSET($T$2,0,0,ROW()-1,14),ROW()-1,FALSE))</x:f>
        <x:v/>
      </x:c>
      <x:c r="I477" t="str">
        <x:f ca="1">IF(AND($B$1012=1,LEN($I$1477)&gt;0),$I$1477,HLOOKUP(INDIRECT(ADDRESS(2,COLUMN())),OFFSET($T$2,0,0,ROW()-1,14),ROW()-1,FALSE))</x:f>
        <x:v/>
      </x:c>
      <x:c r="J477" t="str">
        <x:f ca="1">IF(AND($B$1012=1,LEN($J$1477)&gt;0),$J$1477,HLOOKUP(INDIRECT(ADDRESS(2,COLUMN())),OFFSET($T$2,0,0,ROW()-1,14),ROW()-1,FALSE))</x:f>
        <x:v/>
      </x:c>
      <x:c r="K477" t="str">
        <x:f ca="1">IF(AND($B$1012=1,LEN($K$1477)&gt;0),$K$1477,HLOOKUP(INDIRECT(ADDRESS(2,COLUMN())),OFFSET($T$2,0,0,ROW()-1,14),ROW()-1,FALSE))</x:f>
        <x:v/>
      </x:c>
      <x:c r="L477" t="str">
        <x:f ca="1">IF(AND($B$1012=1,LEN($L$1477)&gt;0),$L$1477,HLOOKUP(INDIRECT(ADDRESS(2,COLUMN())),OFFSET($T$2,0,0,ROW()-1,14),ROW()-1,FALSE))</x:f>
        <x:v/>
      </x:c>
      <x:c r="M477" t="str">
        <x:f ca="1">IF(AND($B$1012=1,LEN($M$1477)&gt;0),$M$1477,HLOOKUP(INDIRECT(ADDRESS(2,COLUMN())),OFFSET($T$2,0,0,ROW()-1,14),ROW()-1,FALSE))</x:f>
        <x:v/>
      </x:c>
      <x:c r="N477" t="str">
        <x:f ca="1">IF(AND($B$1012=1,LEN($N$1477)&gt;0),$N$1477,HLOOKUP(INDIRECT(ADDRESS(2,COLUMN())),OFFSET($T$2,0,0,ROW()-1,14),ROW()-1,FALSE))</x:f>
        <x:v/>
      </x:c>
      <x:c r="O477" t="str">
        <x:f ca="1">IF(AND($B$1012=1,LEN($O$1477)&gt;0),$O$1477,HLOOKUP(INDIRECT(ADDRESS(2,COLUMN())),OFFSET($T$2,0,0,ROW()-1,14),ROW()-1,FALSE))</x:f>
        <x:v/>
      </x:c>
      <x:c r="P477" t="str">
        <x:f ca="1">IF(AND($B$1012=1,LEN($P$1477)&gt;0),$P$1477,HLOOKUP(INDIRECT(ADDRESS(2,COLUMN())),OFFSET($T$2,0,0,ROW()-1,14),ROW()-1,FALSE))</x:f>
        <x:v/>
      </x:c>
      <x:c r="Q477" t="str">
        <x:f ca="1">IF(AND($B$1012=1,LEN($Q$1477)&gt;0),$Q$1477,HLOOKUP(INDIRECT(ADDRESS(2,COLUMN())),OFFSET($T$2,0,0,ROW()-1,14),ROW()-1,FALSE))</x:f>
        <x:v/>
      </x:c>
      <x:c r="R477" t="str">
        <x:f ca="1">IF(AND($B$1012=1,LEN($R$1477)&gt;0),$R$1477,HLOOKUP(INDIRECT(ADDRESS(2,COLUMN())),OFFSET($T$2,0,0,ROW()-1,14),ROW()-1,FALSE))</x:f>
        <x:v/>
      </x:c>
      <x:c r="S477" t="str">
        <x:f ca="1">IF(AND($B$1012=1,LEN($S$1477)&gt;0),$S$1477,HLOOKUP(INDIRECT(ADDRESS(2,COLUMN())),OFFSET($T$2,0,0,ROW()-1,14),ROW()-1,FALSE))</x:f>
        <x:v/>
      </x:c>
      <x:c r="T477" t="str">
        <x:f>""</x:f>
        <x:v/>
      </x:c>
      <x:c r="U477" t="str">
        <x:f>""</x:f>
        <x:v/>
      </x:c>
      <x:c r="V477" t="str">
        <x:f>""</x:f>
        <x:v/>
      </x:c>
      <x:c r="W477" t="str">
        <x:f>""</x:f>
        <x:v/>
      </x:c>
      <x:c r="X477" t="str">
        <x:f>""</x:f>
        <x:v/>
      </x:c>
      <x:c r="Y477" t="str">
        <x:f>""</x:f>
        <x:v/>
      </x:c>
      <x:c r="Z477" t="str">
        <x:f>""</x:f>
        <x:v/>
      </x:c>
      <x:c r="AA477" t="str">
        <x:f>""</x:f>
        <x:v/>
      </x:c>
      <x:c r="AB477" t="str">
        <x:f>""</x:f>
        <x:v/>
      </x:c>
      <x:c r="AC477" t="str">
        <x:f>""</x:f>
        <x:v/>
      </x:c>
      <x:c r="AD477" t="str">
        <x:f>""</x:f>
        <x:v/>
      </x:c>
      <x:c r="AE477" t="str">
        <x:f>""</x:f>
        <x:v/>
      </x:c>
      <x:c r="AF477" t="str">
        <x:f>""</x:f>
        <x:v/>
      </x:c>
      <x:c r="AG477" t="str">
        <x:f>""</x:f>
        <x:v/>
      </x:c>
    </x:row>
    <x:row r="478" spans="1:33" x14ac:dyDescent="0.25">
      <x:c r="A478" t="str">
        <x:f>"        Pacer Data &amp; Infrastructure Re"</x:f>
        <x:v xml:space="preserve">        Pacer Data &amp; Infrastructure Re</x:v>
      </x:c>
      <x:c r="B478" t="str">
        <x:f>"SRVR US Equity"</x:f>
        <x:v>SRVR US Equity</x:v>
      </x:c>
      <x:c r="E478" t="str">
        <x:f t="shared" si="15"/>
        <x:v>Expression</x:v>
      </x:c>
      <x:c r="F478">
        <x:f ca="1">IF(AND($B$1012=1,LEN($F$1478)&gt;0),$F$1478,HLOOKUP(INDIRECT(ADDRESS(2,COLUMN())),OFFSET($T$2,0,0,ROW()-1,14),ROW()-1,FALSE))</x:f>
        <x:v>-7.8743850000000002</x:v>
      </x:c>
      <x:c r="G478">
        <x:f ca="1">IF(AND($B$1012=1,LEN($G$1478)&gt;0),$G$1478,HLOOKUP(INDIRECT(ADDRESS(2,COLUMN())),OFFSET($T$2,0,0,ROW()-1,14),ROW()-1,FALSE))</x:f>
        <x:v>-38.225630000000002</x:v>
      </x:c>
      <x:c r="H478">
        <x:f ca="1">IF(AND($B$1012=1,LEN($H$1478)&gt;0),$H$1478,HLOOKUP(INDIRECT(ADDRESS(2,COLUMN())),OFFSET($T$2,0,0,ROW()-1,14),ROW()-1,FALSE))</x:f>
        <x:v>-13.857239999999999</x:v>
      </x:c>
      <x:c r="I478">
        <x:f ca="1">IF(AND($B$1012=1,LEN($I$1478)&gt;0),$I$1478,HLOOKUP(INDIRECT(ADDRESS(2,COLUMN())),OFFSET($T$2,0,0,ROW()-1,14),ROW()-1,FALSE))</x:f>
        <x:v>-12.744475</x:v>
      </x:c>
      <x:c r="J478">
        <x:f ca="1">IF(AND($B$1012=1,LEN($J$1478)&gt;0),$J$1478,HLOOKUP(INDIRECT(ADDRESS(2,COLUMN())),OFFSET($T$2,0,0,ROW()-1,14),ROW()-1,FALSE))</x:f>
        <x:v>-11.798584999999999</x:v>
      </x:c>
      <x:c r="K478">
        <x:f ca="1">IF(AND($B$1012=1,LEN($K$1478)&gt;0),$K$1478,HLOOKUP(INDIRECT(ADDRESS(2,COLUMN())),OFFSET($T$2,0,0,ROW()-1,14),ROW()-1,FALSE))</x:f>
        <x:v>-37.391345000000001</x:v>
      </x:c>
      <x:c r="L478">
        <x:f ca="1">IF(AND($B$1012=1,LEN($L$1478)&gt;0),$L$1478,HLOOKUP(INDIRECT(ADDRESS(2,COLUMN())),OFFSET($T$2,0,0,ROW()-1,14),ROW()-1,FALSE))</x:f>
        <x:v>-48.341540000000002</x:v>
      </x:c>
      <x:c r="M478">
        <x:f ca="1">IF(AND($B$1012=1,LEN($M$1478)&gt;0),$M$1478,HLOOKUP(INDIRECT(ADDRESS(2,COLUMN())),OFFSET($T$2,0,0,ROW()-1,14),ROW()-1,FALSE))</x:f>
        <x:v>-37.294454999999999</x:v>
      </x:c>
      <x:c r="N478">
        <x:f ca="1">IF(AND($B$1012=1,LEN($N$1478)&gt;0),$N$1478,HLOOKUP(INDIRECT(ADDRESS(2,COLUMN())),OFFSET($T$2,0,0,ROW()-1,14),ROW()-1,FALSE))</x:f>
        <x:v>-21.770885</x:v>
      </x:c>
      <x:c r="O478">
        <x:f ca="1">IF(AND($B$1012=1,LEN($O$1478)&gt;0),$O$1478,HLOOKUP(INDIRECT(ADDRESS(2,COLUMN())),OFFSET($T$2,0,0,ROW()-1,14),ROW()-1,FALSE))</x:f>
        <x:v>-7.7391100000000002</x:v>
      </x:c>
      <x:c r="P478">
        <x:f ca="1">IF(AND($B$1012=1,LEN($P$1478)&gt;0),$P$1478,HLOOKUP(INDIRECT(ADDRESS(2,COLUMN())),OFFSET($T$2,0,0,ROW()-1,14),ROW()-1,FALSE))</x:f>
        <x:v>-117.02924</x:v>
      </x:c>
      <x:c r="Q478">
        <x:f ca="1">IF(AND($B$1012=1,LEN($Q$1478)&gt;0),$Q$1478,HLOOKUP(INDIRECT(ADDRESS(2,COLUMN())),OFFSET($T$2,0,0,ROW()-1,14),ROW()-1,FALSE))</x:f>
        <x:v>-40.087699999999998</x:v>
      </x:c>
      <x:c r="R478">
        <x:f ca="1">IF(AND($B$1012=1,LEN($R$1478)&gt;0),$R$1478,HLOOKUP(INDIRECT(ADDRESS(2,COLUMN())),OFFSET($T$2,0,0,ROW()-1,14),ROW()-1,FALSE))</x:f>
        <x:v>-29.373535</x:v>
      </x:c>
      <x:c r="S478">
        <x:f ca="1">IF(AND($B$1012=1,LEN($S$1478)&gt;0),$S$1478,HLOOKUP(INDIRECT(ADDRESS(2,COLUMN())),OFFSET($T$2,0,0,ROW()-1,14),ROW()-1,FALSE))</x:f>
        <x:v>-38.325209999999998</x:v>
      </x:c>
      <x:c r="T478">
        <x:f>-7.874385</x:f>
        <x:v>-7.8743850000000002</x:v>
      </x:c>
      <x:c r="U478">
        <x:f>-38.22563</x:f>
        <x:v>-38.225630000000002</x:v>
      </x:c>
      <x:c r="V478">
        <x:f>-13.85724</x:f>
        <x:v>-13.857239999999999</x:v>
      </x:c>
      <x:c r="W478">
        <x:f>-12.744475</x:f>
        <x:v>-12.744475</x:v>
      </x:c>
      <x:c r="X478">
        <x:f>-11.798585</x:f>
        <x:v>-11.798584999999999</x:v>
      </x:c>
      <x:c r="Y478">
        <x:f>-37.391345</x:f>
        <x:v>-37.391345000000001</x:v>
      </x:c>
      <x:c r="Z478">
        <x:f>-48.34154</x:f>
        <x:v>-48.341540000000002</x:v>
      </x:c>
      <x:c r="AA478">
        <x:f>-37.294455</x:f>
        <x:v>-37.294454999999999</x:v>
      </x:c>
      <x:c r="AB478">
        <x:f>-21.770885</x:f>
        <x:v>-21.770885</x:v>
      </x:c>
      <x:c r="AC478">
        <x:f>-7.73911</x:f>
        <x:v>-7.7391100000000002</x:v>
      </x:c>
      <x:c r="AD478">
        <x:f>-117.02924</x:f>
        <x:v>-117.02924</x:v>
      </x:c>
      <x:c r="AE478">
        <x:f>-40.0877</x:f>
        <x:v>-40.087699999999998</x:v>
      </x:c>
      <x:c r="AF478">
        <x:f>-29.373535</x:f>
        <x:v>-29.373535</x:v>
      </x:c>
      <x:c r="AG478">
        <x:f>-38.32521</x:f>
        <x:v>-38.325209999999998</x:v>
      </x:c>
    </x:row>
    <x:row r="479" spans="1:33" x14ac:dyDescent="0.25">
      <x:c r="A479" t="str">
        <x:f>"        Global X MSCI China Real Estat"</x:f>
        <x:v xml:space="preserve">        Global X MSCI China Real Estat</x:v>
      </x:c>
      <x:c r="B479" t="str">
        <x:f>"CHIR US Equity"</x:f>
        <x:v>CHIR US Equity</x:v>
      </x:c>
      <x:c r="E479" t="str">
        <x:f t="shared" si="15"/>
        <x:v>Expression</x:v>
      </x:c>
      <x:c r="F479">
        <x:f ca="1">IF(AND($B$1012=1,LEN($F$1479)&gt;0),$F$1479,HLOOKUP(INDIRECT(ADDRESS(2,COLUMN())),OFFSET($T$2,0,0,ROW()-1,14),ROW()-1,FALSE))</x:f>
        <x:v>0</x:v>
      </x:c>
      <x:c r="G479">
        <x:f ca="1">IF(AND($B$1012=1,LEN($G$1479)&gt;0),$G$1479,HLOOKUP(INDIRECT(ADDRESS(2,COLUMN())),OFFSET($T$2,0,0,ROW()-1,14),ROW()-1,FALSE))</x:f>
        <x:v>0.47460000000000002</x:v>
      </x:c>
      <x:c r="H479">
        <x:f ca="1">IF(AND($B$1012=1,LEN($H$1479)&gt;0),$H$1479,HLOOKUP(INDIRECT(ADDRESS(2,COLUMN())),OFFSET($T$2,0,0,ROW()-1,14),ROW()-1,FALSE))</x:f>
        <x:v>0.9002</x:v>
      </x:c>
      <x:c r="I479">
        <x:f ca="1">IF(AND($B$1012=1,LEN($I$1479)&gt;0),$I$1479,HLOOKUP(INDIRECT(ADDRESS(2,COLUMN())),OFFSET($T$2,0,0,ROW()-1,14),ROW()-1,FALSE))</x:f>
        <x:v>-2.4400000000000002E-2</x:v>
      </x:c>
      <x:c r="J479">
        <x:f ca="1">IF(AND($B$1012=1,LEN($J$1479)&gt;0),$J$1479,HLOOKUP(INDIRECT(ADDRESS(2,COLUMN())),OFFSET($T$2,0,0,ROW()-1,14),ROW()-1,FALSE))</x:f>
        <x:v>0.34379999999999999</x:v>
      </x:c>
      <x:c r="K479">
        <x:f ca="1">IF(AND($B$1012=1,LEN($K$1479)&gt;0),$K$1479,HLOOKUP(INDIRECT(ADDRESS(2,COLUMN())),OFFSET($T$2,0,0,ROW()-1,14),ROW()-1,FALSE))</x:f>
        <x:v>0.35539999999999999</x:v>
      </x:c>
      <x:c r="L479">
        <x:f ca="1">IF(AND($B$1012=1,LEN($L$1479)&gt;0),$L$1479,HLOOKUP(INDIRECT(ADDRESS(2,COLUMN())),OFFSET($T$2,0,0,ROW()-1,14),ROW()-1,FALSE))</x:f>
        <x:v>-0.18790000000000001</x:v>
      </x:c>
      <x:c r="M479">
        <x:f ca="1">IF(AND($B$1012=1,LEN($M$1479)&gt;0),$M$1479,HLOOKUP(INDIRECT(ADDRESS(2,COLUMN())),OFFSET($T$2,0,0,ROW()-1,14),ROW()-1,FALSE))</x:f>
        <x:v>0.85019999999999996</x:v>
      </x:c>
      <x:c r="N479">
        <x:f ca="1">IF(AND($B$1012=1,LEN($N$1479)&gt;0),$N$1479,HLOOKUP(INDIRECT(ADDRESS(2,COLUMN())),OFFSET($T$2,0,0,ROW()-1,14),ROW()-1,FALSE))</x:f>
        <x:v>0</x:v>
      </x:c>
      <x:c r="O479">
        <x:f ca="1">IF(AND($B$1012=1,LEN($O$1479)&gt;0),$O$1479,HLOOKUP(INDIRECT(ADDRESS(2,COLUMN())),OFFSET($T$2,0,0,ROW()-1,14),ROW()-1,FALSE))</x:f>
        <x:v>0</x:v>
      </x:c>
      <x:c r="P479">
        <x:f ca="1">IF(AND($B$1012=1,LEN($P$1479)&gt;0),$P$1479,HLOOKUP(INDIRECT(ADDRESS(2,COLUMN())),OFFSET($T$2,0,0,ROW()-1,14),ROW()-1,FALSE))</x:f>
        <x:v>-2.9269999999999999E-3</x:v>
      </x:c>
      <x:c r="Q479">
        <x:f ca="1">IF(AND($B$1012=1,LEN($Q$1479)&gt;0),$Q$1479,HLOOKUP(INDIRECT(ADDRESS(2,COLUMN())),OFFSET($T$2,0,0,ROW()-1,14),ROW()-1,FALSE))</x:f>
        <x:v>0.21610699999999999</x:v>
      </x:c>
      <x:c r="R479">
        <x:f ca="1">IF(AND($B$1012=1,LEN($R$1479)&gt;0),$R$1479,HLOOKUP(INDIRECT(ADDRESS(2,COLUMN())),OFFSET($T$2,0,0,ROW()-1,14),ROW()-1,FALSE))</x:f>
        <x:v>0</x:v>
      </x:c>
      <x:c r="S479">
        <x:f ca="1">IF(AND($B$1012=1,LEN($S$1479)&gt;0),$S$1479,HLOOKUP(INDIRECT(ADDRESS(2,COLUMN())),OFFSET($T$2,0,0,ROW()-1,14),ROW()-1,FALSE))</x:f>
        <x:v>0</x:v>
      </x:c>
      <x:c r="T479">
        <x:f>0</x:f>
        <x:v>0</x:v>
      </x:c>
      <x:c r="U479">
        <x:f>0.4746</x:f>
        <x:v>0.47460000000000002</x:v>
      </x:c>
      <x:c r="V479">
        <x:f>0.9002</x:f>
        <x:v>0.9002</x:v>
      </x:c>
      <x:c r="W479">
        <x:f>-0.0244</x:f>
        <x:v>-2.4400000000000002E-2</x:v>
      </x:c>
      <x:c r="X479">
        <x:f>0.3438</x:f>
        <x:v>0.34379999999999999</x:v>
      </x:c>
      <x:c r="Y479">
        <x:f>0.3554</x:f>
        <x:v>0.35539999999999999</x:v>
      </x:c>
      <x:c r="Z479">
        <x:f>-0.1879</x:f>
        <x:v>-0.18790000000000001</x:v>
      </x:c>
      <x:c r="AA479">
        <x:f>0.8502</x:f>
        <x:v>0.85019999999999996</x:v>
      </x:c>
      <x:c r="AB479">
        <x:f>0</x:f>
        <x:v>0</x:v>
      </x:c>
      <x:c r="AC479">
        <x:f>0</x:f>
        <x:v>0</x:v>
      </x:c>
      <x:c r="AD479">
        <x:f>-0.002927</x:f>
        <x:v>-2.9269999999999999E-3</x:v>
      </x:c>
      <x:c r="AE479">
        <x:f>0.216107</x:f>
        <x:v>0.21610699999999999</x:v>
      </x:c>
      <x:c r="AF479">
        <x:f>0</x:f>
        <x:v>0</x:v>
      </x:c>
      <x:c r="AG479">
        <x:f>0</x:f>
        <x:v>0</x:v>
      </x:c>
    </x:row>
    <x:row r="480" spans="1:33" x14ac:dyDescent="0.25">
      <x:c r="A480" t="str">
        <x:f>"        Hoya Capital Housing ETF"</x:f>
        <x:v xml:space="preserve">        Hoya Capital Housing ETF</x:v>
      </x:c>
      <x:c r="B480" t="str">
        <x:f>"HOMZ US Equity"</x:f>
        <x:v>HOMZ US Equity</x:v>
      </x:c>
      <x:c r="E480" t="str">
        <x:f t="shared" si="15"/>
        <x:v>Expression</x:v>
      </x:c>
      <x:c r="F480">
        <x:f ca="1">IF(AND($B$1012=1,LEN($F$1480)&gt;0),$F$1480,HLOOKUP(INDIRECT(ADDRESS(2,COLUMN())),OFFSET($T$2,0,0,ROW()-1,14),ROW()-1,FALSE))</x:f>
        <x:v>0</x:v>
      </x:c>
      <x:c r="G480">
        <x:f ca="1">IF(AND($B$1012=1,LEN($G$1480)&gt;0),$G$1480,HLOOKUP(INDIRECT(ADDRESS(2,COLUMN())),OFFSET($T$2,0,0,ROW()-1,14),ROW()-1,FALSE))</x:f>
        <x:v>0</x:v>
      </x:c>
      <x:c r="H480">
        <x:f ca="1">IF(AND($B$1012=1,LEN($H$1480)&gt;0),$H$1480,HLOOKUP(INDIRECT(ADDRESS(2,COLUMN())),OFFSET($T$2,0,0,ROW()-1,14),ROW()-1,FALSE))</x:f>
        <x:v>0</x:v>
      </x:c>
      <x:c r="I480">
        <x:f ca="1">IF(AND($B$1012=1,LEN($I$1480)&gt;0),$I$1480,HLOOKUP(INDIRECT(ADDRESS(2,COLUMN())),OFFSET($T$2,0,0,ROW()-1,14),ROW()-1,FALSE))</x:f>
        <x:v>0</x:v>
      </x:c>
      <x:c r="J480">
        <x:f ca="1">IF(AND($B$1012=1,LEN($J$1480)&gt;0),$J$1480,HLOOKUP(INDIRECT(ADDRESS(2,COLUMN())),OFFSET($T$2,0,0,ROW()-1,14),ROW()-1,FALSE))</x:f>
        <x:v>0</x:v>
      </x:c>
      <x:c r="K480">
        <x:f ca="1">IF(AND($B$1012=1,LEN($K$1480)&gt;0),$K$1480,HLOOKUP(INDIRECT(ADDRESS(2,COLUMN())),OFFSET($T$2,0,0,ROW()-1,14),ROW()-1,FALSE))</x:f>
        <x:v>0</x:v>
      </x:c>
      <x:c r="L480">
        <x:f ca="1">IF(AND($B$1012=1,LEN($L$1480)&gt;0),$L$1480,HLOOKUP(INDIRECT(ADDRESS(2,COLUMN())),OFFSET($T$2,0,0,ROW()-1,14),ROW()-1,FALSE))</x:f>
        <x:v>-0.88917000000000002</x:v>
      </x:c>
      <x:c r="M480">
        <x:f ca="1">IF(AND($B$1012=1,LEN($M$1480)&gt;0),$M$1480,HLOOKUP(INDIRECT(ADDRESS(2,COLUMN())),OFFSET($T$2,0,0,ROW()-1,14),ROW()-1,FALSE))</x:f>
        <x:v>0</x:v>
      </x:c>
      <x:c r="N480">
        <x:f ca="1">IF(AND($B$1012=1,LEN($N$1480)&gt;0),$N$1480,HLOOKUP(INDIRECT(ADDRESS(2,COLUMN())),OFFSET($T$2,0,0,ROW()-1,14),ROW()-1,FALSE))</x:f>
        <x:v>-0.82481300000000002</x:v>
      </x:c>
      <x:c r="O480">
        <x:f ca="1">IF(AND($B$1012=1,LEN($O$1480)&gt;0),$O$1480,HLOOKUP(INDIRECT(ADDRESS(2,COLUMN())),OFFSET($T$2,0,0,ROW()-1,14),ROW()-1,FALSE))</x:f>
        <x:v>0</x:v>
      </x:c>
      <x:c r="P480">
        <x:f ca="1">IF(AND($B$1012=1,LEN($P$1480)&gt;0),$P$1480,HLOOKUP(INDIRECT(ADDRESS(2,COLUMN())),OFFSET($T$2,0,0,ROW()-1,14),ROW()-1,FALSE))</x:f>
        <x:v>0</x:v>
      </x:c>
      <x:c r="Q480">
        <x:f ca="1">IF(AND($B$1012=1,LEN($Q$1480)&gt;0),$Q$1480,HLOOKUP(INDIRECT(ADDRESS(2,COLUMN())),OFFSET($T$2,0,0,ROW()-1,14),ROW()-1,FALSE))</x:f>
        <x:v>-1.6190599999999999</x:v>
      </x:c>
      <x:c r="R480">
        <x:f ca="1">IF(AND($B$1012=1,LEN($R$1480)&gt;0),$R$1480,HLOOKUP(INDIRECT(ADDRESS(2,COLUMN())),OFFSET($T$2,0,0,ROW()-1,14),ROW()-1,FALSE))</x:f>
        <x:v>-0.83614500000000003</x:v>
      </x:c>
      <x:c r="S480">
        <x:f ca="1">IF(AND($B$1012=1,LEN($S$1480)&gt;0),$S$1480,HLOOKUP(INDIRECT(ADDRESS(2,COLUMN())),OFFSET($T$2,0,0,ROW()-1,14),ROW()-1,FALSE))</x:f>
        <x:v>-0.78667799999999999</x:v>
      </x:c>
      <x:c r="T480">
        <x:f>0</x:f>
        <x:v>0</x:v>
      </x:c>
      <x:c r="U480">
        <x:f>0</x:f>
        <x:v>0</x:v>
      </x:c>
      <x:c r="V480">
        <x:f>0</x:f>
        <x:v>0</x:v>
      </x:c>
      <x:c r="W480">
        <x:f>0</x:f>
        <x:v>0</x:v>
      </x:c>
      <x:c r="X480">
        <x:f>0</x:f>
        <x:v>0</x:v>
      </x:c>
      <x:c r="Y480">
        <x:f>0</x:f>
        <x:v>0</x:v>
      </x:c>
      <x:c r="Z480">
        <x:f>-0.88917</x:f>
        <x:v>-0.88917000000000002</x:v>
      </x:c>
      <x:c r="AA480">
        <x:f>0</x:f>
        <x:v>0</x:v>
      </x:c>
      <x:c r="AB480">
        <x:f>-0.824813</x:f>
        <x:v>-0.82481300000000002</x:v>
      </x:c>
      <x:c r="AC480">
        <x:f>0</x:f>
        <x:v>0</x:v>
      </x:c>
      <x:c r="AD480">
        <x:f>0</x:f>
        <x:v>0</x:v>
      </x:c>
      <x:c r="AE480">
        <x:f>-1.61906</x:f>
        <x:v>-1.6190599999999999</x:v>
      </x:c>
      <x:c r="AF480">
        <x:f>-0.836145</x:f>
        <x:v>-0.83614500000000003</x:v>
      </x:c>
      <x:c r="AG480">
        <x:f>-0.786678</x:f>
        <x:v>-0.78667799999999999</x:v>
      </x:c>
    </x:row>
    <x:row r="481" spans="1:33" x14ac:dyDescent="0.25">
      <x:c r="A481" t="str">
        <x:f>"        NETLease Corporate Real Estate"</x:f>
        <x:v xml:space="preserve">        NETLease Corporate Real Estate</x:v>
      </x:c>
      <x:c r="B481" t="str">
        <x:f>"NETL US Equity"</x:f>
        <x:v>NETL US Equity</x:v>
      </x:c>
      <x:c r="E481" t="str">
        <x:f t="shared" si="15"/>
        <x:v>Expression</x:v>
      </x:c>
      <x:c r="F481">
        <x:f ca="1">IF(AND($B$1012=1,LEN($F$1481)&gt;0),$F$1481,HLOOKUP(INDIRECT(ADDRESS(2,COLUMN())),OFFSET($T$2,0,0,ROW()-1,14),ROW()-1,FALSE))</x:f>
        <x:v>-9.5602180000000008</x:v>
      </x:c>
      <x:c r="G481">
        <x:f ca="1">IF(AND($B$1012=1,LEN($G$1481)&gt;0),$G$1481,HLOOKUP(INDIRECT(ADDRESS(2,COLUMN())),OFFSET($T$2,0,0,ROW()-1,14),ROW()-1,FALSE))</x:f>
        <x:v>-2.0949300000000002</x:v>
      </x:c>
      <x:c r="H481">
        <x:f ca="1">IF(AND($B$1012=1,LEN($H$1481)&gt;0),$H$1481,HLOOKUP(INDIRECT(ADDRESS(2,COLUMN())),OFFSET($T$2,0,0,ROW()-1,14),ROW()-1,FALSE))</x:f>
        <x:v>-5.2786619999999997</x:v>
      </x:c>
      <x:c r="I481">
        <x:f ca="1">IF(AND($B$1012=1,LEN($I$1481)&gt;0),$I$1481,HLOOKUP(INDIRECT(ADDRESS(2,COLUMN())),OFFSET($T$2,0,0,ROW()-1,14),ROW()-1,FALSE))</x:f>
        <x:v>-2.324735</x:v>
      </x:c>
      <x:c r="J481">
        <x:f ca="1">IF(AND($B$1012=1,LEN($J$1481)&gt;0),$J$1481,HLOOKUP(INDIRECT(ADDRESS(2,COLUMN())),OFFSET($T$2,0,0,ROW()-1,14),ROW()-1,FALSE))</x:f>
        <x:v>-0.61880000000000002</x:v>
      </x:c>
      <x:c r="K481">
        <x:f ca="1">IF(AND($B$1012=1,LEN($K$1481)&gt;0),$K$1481,HLOOKUP(INDIRECT(ADDRESS(2,COLUMN())),OFFSET($T$2,0,0,ROW()-1,14),ROW()-1,FALSE))</x:f>
        <x:v>-5.5372380000000003</x:v>
      </x:c>
      <x:c r="L481">
        <x:f ca="1">IF(AND($B$1012=1,LEN($L$1481)&gt;0),$L$1481,HLOOKUP(INDIRECT(ADDRESS(2,COLUMN())),OFFSET($T$2,0,0,ROW()-1,14),ROW()-1,FALSE))</x:f>
        <x:v>-0.60733199999999998</x:v>
      </x:c>
      <x:c r="M481">
        <x:f ca="1">IF(AND($B$1012=1,LEN($M$1481)&gt;0),$M$1481,HLOOKUP(INDIRECT(ADDRESS(2,COLUMN())),OFFSET($T$2,0,0,ROW()-1,14),ROW()-1,FALSE))</x:f>
        <x:v>1.22472</x:v>
      </x:c>
      <x:c r="N481">
        <x:f ca="1">IF(AND($B$1012=1,LEN($N$1481)&gt;0),$N$1481,HLOOKUP(INDIRECT(ADDRESS(2,COLUMN())),OFFSET($T$2,0,0,ROW()-1,14),ROW()-1,FALSE))</x:f>
        <x:v>0.54075700000000004</x:v>
      </x:c>
      <x:c r="O481">
        <x:f ca="1">IF(AND($B$1012=1,LEN($O$1481)&gt;0),$O$1481,HLOOKUP(INDIRECT(ADDRESS(2,COLUMN())),OFFSET($T$2,0,0,ROW()-1,14),ROW()-1,FALSE))</x:f>
        <x:v>0.64688199999999996</x:v>
      </x:c>
      <x:c r="P481">
        <x:f ca="1">IF(AND($B$1012=1,LEN($P$1481)&gt;0),$P$1481,HLOOKUP(INDIRECT(ADDRESS(2,COLUMN())),OFFSET($T$2,0,0,ROW()-1,14),ROW()-1,FALSE))</x:f>
        <x:v>3.935565</x:v>
      </x:c>
      <x:c r="Q481">
        <x:f ca="1">IF(AND($B$1012=1,LEN($Q$1481)&gt;0),$Q$1481,HLOOKUP(INDIRECT(ADDRESS(2,COLUMN())),OFFSET($T$2,0,0,ROW()-1,14),ROW()-1,FALSE))</x:f>
        <x:v>-3.2291650000000001</x:v>
      </x:c>
      <x:c r="R481">
        <x:f ca="1">IF(AND($B$1012=1,LEN($R$1481)&gt;0),$R$1481,HLOOKUP(INDIRECT(ADDRESS(2,COLUMN())),OFFSET($T$2,0,0,ROW()-1,14),ROW()-1,FALSE))</x:f>
        <x:v>5.7312950000000003</x:v>
      </x:c>
      <x:c r="S481">
        <x:f ca="1">IF(AND($B$1012=1,LEN($S$1481)&gt;0),$S$1481,HLOOKUP(INDIRECT(ADDRESS(2,COLUMN())),OFFSET($T$2,0,0,ROW()-1,14),ROW()-1,FALSE))</x:f>
        <x:v>-11.150556999999999</x:v>
      </x:c>
      <x:c r="T481">
        <x:f>-9.560218</x:f>
        <x:v>-9.5602180000000008</x:v>
      </x:c>
      <x:c r="U481">
        <x:f>-2.09493</x:f>
        <x:v>-2.0949300000000002</x:v>
      </x:c>
      <x:c r="V481">
        <x:f>-5.278662</x:f>
        <x:v>-5.2786619999999997</x:v>
      </x:c>
      <x:c r="W481">
        <x:f>-2.324735</x:f>
        <x:v>-2.324735</x:v>
      </x:c>
      <x:c r="X481">
        <x:f>-0.6188</x:f>
        <x:v>-0.61880000000000002</x:v>
      </x:c>
      <x:c r="Y481">
        <x:f>-5.537238</x:f>
        <x:v>-5.5372380000000003</x:v>
      </x:c>
      <x:c r="Z481">
        <x:f>-0.607332</x:f>
        <x:v>-0.60733199999999998</x:v>
      </x:c>
      <x:c r="AA481">
        <x:f>1.22472</x:f>
        <x:v>1.22472</x:v>
      </x:c>
      <x:c r="AB481">
        <x:f>0.540757</x:f>
        <x:v>0.54075700000000004</x:v>
      </x:c>
      <x:c r="AC481">
        <x:f>0.646882</x:f>
        <x:v>0.64688199999999996</x:v>
      </x:c>
      <x:c r="AD481">
        <x:f>3.935565</x:f>
        <x:v>3.935565</x:v>
      </x:c>
      <x:c r="AE481">
        <x:f>-3.229165</x:f>
        <x:v>-3.2291650000000001</x:v>
      </x:c>
      <x:c r="AF481">
        <x:f>5.731295</x:f>
        <x:v>5.7312950000000003</x:v>
      </x:c>
      <x:c r="AG481">
        <x:f>-11.150557</x:f>
        <x:v>-11.150556999999999</x:v>
      </x:c>
    </x:row>
    <x:row r="482" spans="1:33" x14ac:dyDescent="0.25">
      <x:c r="A482" t="str">
        <x:f>"        Virtus Real Asset Income ETF"</x:f>
        <x:v xml:space="preserve">        Virtus Real Asset Income ETF</x:v>
      </x:c>
      <x:c r="B482" t="str">
        <x:f>"VRAI US Equity"</x:f>
        <x:v>VRAI US Equity</x:v>
      </x:c>
      <x:c r="E482" t="str">
        <x:f t="shared" si="15"/>
        <x:v>Expression</x:v>
      </x:c>
      <x:c r="F482">
        <x:f ca="1">IF(AND($B$1012=1,LEN($F$1482)&gt;0),$F$1482,HLOOKUP(INDIRECT(ADDRESS(2,COLUMN())),OFFSET($T$2,0,0,ROW()-1,14),ROW()-1,FALSE))</x:f>
        <x:v>0</x:v>
      </x:c>
      <x:c r="G482">
        <x:f ca="1">IF(AND($B$1012=1,LEN($G$1482)&gt;0),$G$1482,HLOOKUP(INDIRECT(ADDRESS(2,COLUMN())),OFFSET($T$2,0,0,ROW()-1,14),ROW()-1,FALSE))</x:f>
        <x:v>0</x:v>
      </x:c>
      <x:c r="H482">
        <x:f ca="1">IF(AND($B$1012=1,LEN($H$1482)&gt;0),$H$1482,HLOOKUP(INDIRECT(ADDRESS(2,COLUMN())),OFFSET($T$2,0,0,ROW()-1,14),ROW()-1,FALSE))</x:f>
        <x:v>-1.129413</x:v>
      </x:c>
      <x:c r="I482">
        <x:f ca="1">IF(AND($B$1012=1,LEN($I$1482)&gt;0),$I$1482,HLOOKUP(INDIRECT(ADDRESS(2,COLUMN())),OFFSET($T$2,0,0,ROW()-1,14),ROW()-1,FALSE))</x:f>
        <x:v>0</x:v>
      </x:c>
      <x:c r="J482">
        <x:f ca="1">IF(AND($B$1012=1,LEN($J$1482)&gt;0),$J$1482,HLOOKUP(INDIRECT(ADDRESS(2,COLUMN())),OFFSET($T$2,0,0,ROW()-1,14),ROW()-1,FALSE))</x:f>
        <x:v>-1.2040040000000001</x:v>
      </x:c>
      <x:c r="K482">
        <x:f ca="1">IF(AND($B$1012=1,LEN($K$1482)&gt;0),$K$1482,HLOOKUP(INDIRECT(ADDRESS(2,COLUMN())),OFFSET($T$2,0,0,ROW()-1,14),ROW()-1,FALSE))</x:f>
        <x:v>-1.1961390000000001</x:v>
      </x:c>
      <x:c r="L482">
        <x:f ca="1">IF(AND($B$1012=1,LEN($L$1482)&gt;0),$L$1482,HLOOKUP(INDIRECT(ADDRESS(2,COLUMN())),OFFSET($T$2,0,0,ROW()-1,14),ROW()-1,FALSE))</x:f>
        <x:v>0</x:v>
      </x:c>
      <x:c r="M482">
        <x:f ca="1">IF(AND($B$1012=1,LEN($M$1482)&gt;0),$M$1482,HLOOKUP(INDIRECT(ADDRESS(2,COLUMN())),OFFSET($T$2,0,0,ROW()-1,14),ROW()-1,FALSE))</x:f>
        <x:v>-4.7405660000000003</x:v>
      </x:c>
      <x:c r="N482">
        <x:f ca="1">IF(AND($B$1012=1,LEN($N$1482)&gt;0),$N$1482,HLOOKUP(INDIRECT(ADDRESS(2,COLUMN())),OFFSET($T$2,0,0,ROW()-1,14),ROW()-1,FALSE))</x:f>
        <x:v>0</x:v>
      </x:c>
      <x:c r="O482">
        <x:f ca="1">IF(AND($B$1012=1,LEN($O$1482)&gt;0),$O$1482,HLOOKUP(INDIRECT(ADDRESS(2,COLUMN())),OFFSET($T$2,0,0,ROW()-1,14),ROW()-1,FALSE))</x:f>
        <x:v>-9.55992</x:v>
      </x:c>
      <x:c r="P482">
        <x:f ca="1">IF(AND($B$1012=1,LEN($P$1482)&gt;0),$P$1482,HLOOKUP(INDIRECT(ADDRESS(2,COLUMN())),OFFSET($T$2,0,0,ROW()-1,14),ROW()-1,FALSE))</x:f>
        <x:v>-1.1841600000000001</x:v>
      </x:c>
      <x:c r="Q482">
        <x:f ca="1">IF(AND($B$1012=1,LEN($Q$1482)&gt;0),$Q$1482,HLOOKUP(INDIRECT(ADDRESS(2,COLUMN())),OFFSET($T$2,0,0,ROW()-1,14),ROW()-1,FALSE))</x:f>
        <x:v>-6.028797</x:v>
      </x:c>
      <x:c r="R482">
        <x:f ca="1">IF(AND($B$1012=1,LEN($R$1482)&gt;0),$R$1482,HLOOKUP(INDIRECT(ADDRESS(2,COLUMN())),OFFSET($T$2,0,0,ROW()-1,14),ROW()-1,FALSE))</x:f>
        <x:v>-2.4405730000000001</x:v>
      </x:c>
      <x:c r="S482">
        <x:f ca="1">IF(AND($B$1012=1,LEN($S$1482)&gt;0),$S$1482,HLOOKUP(INDIRECT(ADDRESS(2,COLUMN())),OFFSET($T$2,0,0,ROW()-1,14),ROW()-1,FALSE))</x:f>
        <x:v>-78.624025000000003</x:v>
      </x:c>
      <x:c r="T482">
        <x:f>0</x:f>
        <x:v>0</x:v>
      </x:c>
      <x:c r="U482">
        <x:f>0</x:f>
        <x:v>0</x:v>
      </x:c>
      <x:c r="V482">
        <x:f>-1.129413</x:f>
        <x:v>-1.129413</x:v>
      </x:c>
      <x:c r="W482">
        <x:f>0</x:f>
        <x:v>0</x:v>
      </x:c>
      <x:c r="X482">
        <x:f>-1.204004</x:f>
        <x:v>-1.2040040000000001</x:v>
      </x:c>
      <x:c r="Y482">
        <x:f>-1.196139</x:f>
        <x:v>-1.1961390000000001</x:v>
      </x:c>
      <x:c r="Z482">
        <x:f>0</x:f>
        <x:v>0</x:v>
      </x:c>
      <x:c r="AA482">
        <x:f>-4.740566</x:f>
        <x:v>-4.7405660000000003</x:v>
      </x:c>
      <x:c r="AB482">
        <x:f>0</x:f>
        <x:v>0</x:v>
      </x:c>
      <x:c r="AC482">
        <x:f>-9.55992</x:f>
        <x:v>-9.55992</x:v>
      </x:c>
      <x:c r="AD482">
        <x:f>-1.18416</x:f>
        <x:v>-1.1841600000000001</x:v>
      </x:c>
      <x:c r="AE482">
        <x:f>-6.028797</x:f>
        <x:v>-6.028797</x:v>
      </x:c>
      <x:c r="AF482">
        <x:f>-2.440573</x:f>
        <x:v>-2.4405730000000001</x:v>
      </x:c>
      <x:c r="AG482">
        <x:f>-78.624025</x:f>
        <x:v>-78.624025000000003</x:v>
      </x:c>
    </x:row>
    <x:row r="483" spans="1:33" x14ac:dyDescent="0.25">
      <x:c r="A483" t="str">
        <x:f>"        Fidelity Real Estate Investmen"</x:f>
        <x:v xml:space="preserve">        Fidelity Real Estate Investmen</x:v>
      </x:c>
      <x:c r="B483" t="str">
        <x:f>"FPRO US Equity"</x:f>
        <x:v>FPRO US Equity</x:v>
      </x:c>
      <x:c r="E483" t="str">
        <x:f t="shared" si="15"/>
        <x:v>Expression</x:v>
      </x:c>
      <x:c r="F483">
        <x:f ca="1">IF(AND($B$1012=1,LEN($F$1483)&gt;0),$F$1483,HLOOKUP(INDIRECT(ADDRESS(2,COLUMN())),OFFSET($T$2,0,0,ROW()-1,14),ROW()-1,FALSE))</x:f>
        <x:v>0</x:v>
      </x:c>
      <x:c r="G483">
        <x:f ca="1">IF(AND($B$1012=1,LEN($G$1483)&gt;0),$G$1483,HLOOKUP(INDIRECT(ADDRESS(2,COLUMN())),OFFSET($T$2,0,0,ROW()-1,14),ROW()-1,FALSE))</x:f>
        <x:v>0</x:v>
      </x:c>
      <x:c r="H483">
        <x:f ca="1">IF(AND($B$1012=1,LEN($H$1483)&gt;0),$H$1483,HLOOKUP(INDIRECT(ADDRESS(2,COLUMN())),OFFSET($T$2,0,0,ROW()-1,14),ROW()-1,FALSE))</x:f>
        <x:v>0</x:v>
      </x:c>
      <x:c r="I483">
        <x:f ca="1">IF(AND($B$1012=1,LEN($I$1483)&gt;0),$I$1483,HLOOKUP(INDIRECT(ADDRESS(2,COLUMN())),OFFSET($T$2,0,0,ROW()-1,14),ROW()-1,FALSE))</x:f>
        <x:v>-0.51185800000000004</x:v>
      </x:c>
      <x:c r="J483">
        <x:f ca="1">IF(AND($B$1012=1,LEN($J$1483)&gt;0),$J$1483,HLOOKUP(INDIRECT(ADDRESS(2,COLUMN())),OFFSET($T$2,0,0,ROW()-1,14),ROW()-1,FALSE))</x:f>
        <x:v>0</x:v>
      </x:c>
      <x:c r="K483">
        <x:f ca="1">IF(AND($B$1012=1,LEN($K$1483)&gt;0),$K$1483,HLOOKUP(INDIRECT(ADDRESS(2,COLUMN())),OFFSET($T$2,0,0,ROW()-1,14),ROW()-1,FALSE))</x:f>
        <x:v>0</x:v>
      </x:c>
      <x:c r="L483">
        <x:f ca="1">IF(AND($B$1012=1,LEN($L$1483)&gt;0),$L$1483,HLOOKUP(INDIRECT(ADDRESS(2,COLUMN())),OFFSET($T$2,0,0,ROW()-1,14),ROW()-1,FALSE))</x:f>
        <x:v>-0.51074399999999998</x:v>
      </x:c>
      <x:c r="M483">
        <x:f ca="1">IF(AND($B$1012=1,LEN($M$1483)&gt;0),$M$1483,HLOOKUP(INDIRECT(ADDRESS(2,COLUMN())),OFFSET($T$2,0,0,ROW()-1,14),ROW()-1,FALSE))</x:f>
        <x:v>0</x:v>
      </x:c>
      <x:c r="N483">
        <x:f ca="1">IF(AND($B$1012=1,LEN($N$1483)&gt;0),$N$1483,HLOOKUP(INDIRECT(ADDRESS(2,COLUMN())),OFFSET($T$2,0,0,ROW()-1,14),ROW()-1,FALSE))</x:f>
        <x:v>-0.51430200000000004</x:v>
      </x:c>
      <x:c r="O483">
        <x:f ca="1">IF(AND($B$1012=1,LEN($O$1483)&gt;0),$O$1483,HLOOKUP(INDIRECT(ADDRESS(2,COLUMN())),OFFSET($T$2,0,0,ROW()-1,14),ROW()-1,FALSE))</x:f>
        <x:v>0</x:v>
      </x:c>
      <x:c r="P483">
        <x:f ca="1">IF(AND($B$1012=1,LEN($P$1483)&gt;0),$P$1483,HLOOKUP(INDIRECT(ADDRESS(2,COLUMN())),OFFSET($T$2,0,0,ROW()-1,14),ROW()-1,FALSE))</x:f>
        <x:v>-0.51448000000000005</x:v>
      </x:c>
      <x:c r="Q483">
        <x:f ca="1">IF(AND($B$1012=1,LEN($Q$1483)&gt;0),$Q$1483,HLOOKUP(INDIRECT(ADDRESS(2,COLUMN())),OFFSET($T$2,0,0,ROW()-1,14),ROW()-1,FALSE))</x:f>
        <x:v>-0.507606</x:v>
      </x:c>
      <x:c r="R483">
        <x:f ca="1">IF(AND($B$1012=1,LEN($R$1483)&gt;0),$R$1483,HLOOKUP(INDIRECT(ADDRESS(2,COLUMN())),OFFSET($T$2,0,0,ROW()-1,14),ROW()-1,FALSE))</x:f>
        <x:v>1.7743999999999999E-2</x:v>
      </x:c>
      <x:c r="S483">
        <x:f ca="1">IF(AND($B$1012=1,LEN($S$1483)&gt;0),$S$1483,HLOOKUP(INDIRECT(ADDRESS(2,COLUMN())),OFFSET($T$2,0,0,ROW()-1,14),ROW()-1,FALSE))</x:f>
        <x:v>0</x:v>
      </x:c>
      <x:c r="T483">
        <x:f>0</x:f>
        <x:v>0</x:v>
      </x:c>
      <x:c r="U483">
        <x:f>0</x:f>
        <x:v>0</x:v>
      </x:c>
      <x:c r="V483">
        <x:f>0</x:f>
        <x:v>0</x:v>
      </x:c>
      <x:c r="W483">
        <x:f>-0.511858</x:f>
        <x:v>-0.51185800000000004</x:v>
      </x:c>
      <x:c r="X483">
        <x:f>0</x:f>
        <x:v>0</x:v>
      </x:c>
      <x:c r="Y483">
        <x:f>0</x:f>
        <x:v>0</x:v>
      </x:c>
      <x:c r="Z483">
        <x:f>-0.510744</x:f>
        <x:v>-0.51074399999999998</x:v>
      </x:c>
      <x:c r="AA483">
        <x:f>0</x:f>
        <x:v>0</x:v>
      </x:c>
      <x:c r="AB483">
        <x:f>-0.514302</x:f>
        <x:v>-0.51430200000000004</x:v>
      </x:c>
      <x:c r="AC483">
        <x:f>0</x:f>
        <x:v>0</x:v>
      </x:c>
      <x:c r="AD483">
        <x:f>-0.51448</x:f>
        <x:v>-0.51448000000000005</x:v>
      </x:c>
      <x:c r="AE483">
        <x:f>-0.507606</x:f>
        <x:v>-0.507606</x:v>
      </x:c>
      <x:c r="AF483">
        <x:f>0.017744</x:f>
        <x:v>1.7743999999999999E-2</x:v>
      </x:c>
      <x:c r="AG483">
        <x:f>0</x:f>
        <x:v>0</x:v>
      </x:c>
    </x:row>
    <x:row r="484" spans="1:33" x14ac:dyDescent="0.25">
      <x:c r="A484" t="str">
        <x:f>"        Janus Henderson U.S. Real Esta"</x:f>
        <x:v xml:space="preserve">        Janus Henderson U.S. Real Esta</x:v>
      </x:c>
      <x:c r="B484" t="str">
        <x:f>"JRE US Equity"</x:f>
        <x:v>JRE US Equity</x:v>
      </x:c>
      <x:c r="E484" t="str">
        <x:f t="shared" si="15"/>
        <x:v>Expression</x:v>
      </x:c>
      <x:c r="F484">
        <x:f ca="1">IF(AND($B$1012=1,LEN($F$1484)&gt;0),$F$1484,HLOOKUP(INDIRECT(ADDRESS(2,COLUMN())),OFFSET($T$2,0,0,ROW()-1,14),ROW()-1,FALSE))</x:f>
        <x:v>1.044</x:v>
      </x:c>
      <x:c r="G484">
        <x:f ca="1">IF(AND($B$1012=1,LEN($G$1484)&gt;0),$G$1484,HLOOKUP(INDIRECT(ADDRESS(2,COLUMN())),OFFSET($T$2,0,0,ROW()-1,14),ROW()-1,FALSE))</x:f>
        <x:v>0</x:v>
      </x:c>
      <x:c r="H484">
        <x:f ca="1">IF(AND($B$1012=1,LEN($H$1484)&gt;0),$H$1484,HLOOKUP(INDIRECT(ADDRESS(2,COLUMN())),OFFSET($T$2,0,0,ROW()-1,14),ROW()-1,FALSE))</x:f>
        <x:v>0</x:v>
      </x:c>
      <x:c r="I484">
        <x:f ca="1">IF(AND($B$1012=1,LEN($I$1484)&gt;0),$I$1484,HLOOKUP(INDIRECT(ADDRESS(2,COLUMN())),OFFSET($T$2,0,0,ROW()-1,14),ROW()-1,FALSE))</x:f>
        <x:v>0</x:v>
      </x:c>
      <x:c r="J484">
        <x:f ca="1">IF(AND($B$1012=1,LEN($J$1484)&gt;0),$J$1484,HLOOKUP(INDIRECT(ADDRESS(2,COLUMN())),OFFSET($T$2,0,0,ROW()-1,14),ROW()-1,FALSE))</x:f>
        <x:v>-0.5585</x:v>
      </x:c>
      <x:c r="K484">
        <x:f ca="1">IF(AND($B$1012=1,LEN($K$1484)&gt;0),$K$1484,HLOOKUP(INDIRECT(ADDRESS(2,COLUMN())),OFFSET($T$2,0,0,ROW()-1,14),ROW()-1,FALSE))</x:f>
        <x:v>0</x:v>
      </x:c>
      <x:c r="L484">
        <x:f ca="1">IF(AND($B$1012=1,LEN($L$1484)&gt;0),$L$1484,HLOOKUP(INDIRECT(ADDRESS(2,COLUMN())),OFFSET($T$2,0,0,ROW()-1,14),ROW()-1,FALSE))</x:f>
        <x:v>0</x:v>
      </x:c>
      <x:c r="M484">
        <x:f ca="1">IF(AND($B$1012=1,LEN($M$1484)&gt;0),$M$1484,HLOOKUP(INDIRECT(ADDRESS(2,COLUMN())),OFFSET($T$2,0,0,ROW()-1,14),ROW()-1,FALSE))</x:f>
        <x:v>0</x:v>
      </x:c>
      <x:c r="N484">
        <x:f ca="1">IF(AND($B$1012=1,LEN($N$1484)&gt;0),$N$1484,HLOOKUP(INDIRECT(ADDRESS(2,COLUMN())),OFFSET($T$2,0,0,ROW()-1,14),ROW()-1,FALSE))</x:f>
        <x:v>0</x:v>
      </x:c>
      <x:c r="O484">
        <x:f ca="1">IF(AND($B$1012=1,LEN($O$1484)&gt;0),$O$1484,HLOOKUP(INDIRECT(ADDRESS(2,COLUMN())),OFFSET($T$2,0,0,ROW()-1,14),ROW()-1,FALSE))</x:f>
        <x:v>0</x:v>
      </x:c>
      <x:c r="P484">
        <x:f ca="1">IF(AND($B$1012=1,LEN($P$1484)&gt;0),$P$1484,HLOOKUP(INDIRECT(ADDRESS(2,COLUMN())),OFFSET($T$2,0,0,ROW()-1,14),ROW()-1,FALSE))</x:f>
        <x:v>2.1890000000000001</x:v>
      </x:c>
      <x:c r="Q484">
        <x:f ca="1">IF(AND($B$1012=1,LEN($Q$1484)&gt;0),$Q$1484,HLOOKUP(INDIRECT(ADDRESS(2,COLUMN())),OFFSET($T$2,0,0,ROW()-1,14),ROW()-1,FALSE))</x:f>
        <x:v>0</x:v>
      </x:c>
      <x:c r="R484">
        <x:f ca="1">IF(AND($B$1012=1,LEN($R$1484)&gt;0),$R$1484,HLOOKUP(INDIRECT(ADDRESS(2,COLUMN())),OFFSET($T$2,0,0,ROW()-1,14),ROW()-1,FALSE))</x:f>
        <x:v>0</x:v>
      </x:c>
      <x:c r="S484">
        <x:f ca="1">IF(AND($B$1012=1,LEN($S$1484)&gt;0),$S$1484,HLOOKUP(INDIRECT(ADDRESS(2,COLUMN())),OFFSET($T$2,0,0,ROW()-1,14),ROW()-1,FALSE))</x:f>
        <x:v>0</x:v>
      </x:c>
      <x:c r="T484">
        <x:f>1.044</x:f>
        <x:v>1.044</x:v>
      </x:c>
      <x:c r="U484">
        <x:f>0</x:f>
        <x:v>0</x:v>
      </x:c>
      <x:c r="V484">
        <x:f>0</x:f>
        <x:v>0</x:v>
      </x:c>
      <x:c r="W484">
        <x:f>0</x:f>
        <x:v>0</x:v>
      </x:c>
      <x:c r="X484">
        <x:f>-0.5585</x:f>
        <x:v>-0.5585</x:v>
      </x:c>
      <x:c r="Y484">
        <x:f>0</x:f>
        <x:v>0</x:v>
      </x:c>
      <x:c r="Z484">
        <x:f>0</x:f>
        <x:v>0</x:v>
      </x:c>
      <x:c r="AA484">
        <x:f>0</x:f>
        <x:v>0</x:v>
      </x:c>
      <x:c r="AB484">
        <x:f>0</x:f>
        <x:v>0</x:v>
      </x:c>
      <x:c r="AC484">
        <x:f>0</x:f>
        <x:v>0</x:v>
      </x:c>
      <x:c r="AD484">
        <x:f>2.189</x:f>
        <x:v>2.1890000000000001</x:v>
      </x:c>
      <x:c r="AE484">
        <x:f>0</x:f>
        <x:v>0</x:v>
      </x:c>
      <x:c r="AF484">
        <x:f>0</x:f>
        <x:v>0</x:v>
      </x:c>
      <x:c r="AG484">
        <x:f>0</x:f>
        <x:v>0</x:v>
      </x:c>
    </x:row>
    <x:row r="485" spans="1:33" x14ac:dyDescent="0.25">
      <x:c r="A485" t="str">
        <x:f>"        ETRACS Monthly Pay 1.5X Levera"</x:f>
        <x:v xml:space="preserve">        ETRACS Monthly Pay 1.5X Levera</x:v>
      </x:c>
      <x:c r="B485" t="str">
        <x:f>"MVRL US Equity"</x:f>
        <x:v>MVRL US Equity</x:v>
      </x:c>
      <x:c r="E485" t="str">
        <x:f t="shared" si="15"/>
        <x:v>Expression</x:v>
      </x:c>
      <x:c r="F485">
        <x:f ca="1">IF(AND($B$1012=1,LEN($F$1485)&gt;0),$F$1485,HLOOKUP(INDIRECT(ADDRESS(2,COLUMN())),OFFSET($T$2,0,0,ROW()-1,14),ROW()-1,FALSE))</x:f>
        <x:v>0</x:v>
      </x:c>
      <x:c r="G485">
        <x:f ca="1">IF(AND($B$1012=1,LEN($G$1485)&gt;0),$G$1485,HLOOKUP(INDIRECT(ADDRESS(2,COLUMN())),OFFSET($T$2,0,0,ROW()-1,14),ROW()-1,FALSE))</x:f>
        <x:v>0</x:v>
      </x:c>
      <x:c r="H485">
        <x:f ca="1">IF(AND($B$1012=1,LEN($H$1485)&gt;0),$H$1485,HLOOKUP(INDIRECT(ADDRESS(2,COLUMN())),OFFSET($T$2,0,0,ROW()-1,14),ROW()-1,FALSE))</x:f>
        <x:v>0</x:v>
      </x:c>
      <x:c r="I485">
        <x:f ca="1">IF(AND($B$1012=1,LEN($I$1485)&gt;0),$I$1485,HLOOKUP(INDIRECT(ADDRESS(2,COLUMN())),OFFSET($T$2,0,0,ROW()-1,14),ROW()-1,FALSE))</x:f>
        <x:v>0</x:v>
      </x:c>
      <x:c r="J485">
        <x:f ca="1">IF(AND($B$1012=1,LEN($J$1485)&gt;0),$J$1485,HLOOKUP(INDIRECT(ADDRESS(2,COLUMN())),OFFSET($T$2,0,0,ROW()-1,14),ROW()-1,FALSE))</x:f>
        <x:v>0</x:v>
      </x:c>
      <x:c r="K485">
        <x:f ca="1">IF(AND($B$1012=1,LEN($K$1485)&gt;0),$K$1485,HLOOKUP(INDIRECT(ADDRESS(2,COLUMN())),OFFSET($T$2,0,0,ROW()-1,14),ROW()-1,FALSE))</x:f>
        <x:v>0</x:v>
      </x:c>
      <x:c r="L485">
        <x:f ca="1">IF(AND($B$1012=1,LEN($L$1485)&gt;0),$L$1485,HLOOKUP(INDIRECT(ADDRESS(2,COLUMN())),OFFSET($T$2,0,0,ROW()-1,14),ROW()-1,FALSE))</x:f>
        <x:v>0</x:v>
      </x:c>
      <x:c r="M485">
        <x:f ca="1">IF(AND($B$1012=1,LEN($M$1485)&gt;0),$M$1485,HLOOKUP(INDIRECT(ADDRESS(2,COLUMN())),OFFSET($T$2,0,0,ROW()-1,14),ROW()-1,FALSE))</x:f>
        <x:v>0</x:v>
      </x:c>
      <x:c r="N485">
        <x:f ca="1">IF(AND($B$1012=1,LEN($N$1485)&gt;0),$N$1485,HLOOKUP(INDIRECT(ADDRESS(2,COLUMN())),OFFSET($T$2,0,0,ROW()-1,14),ROW()-1,FALSE))</x:f>
        <x:v>0</x:v>
      </x:c>
      <x:c r="O485">
        <x:f ca="1">IF(AND($B$1012=1,LEN($O$1485)&gt;0),$O$1485,HLOOKUP(INDIRECT(ADDRESS(2,COLUMN())),OFFSET($T$2,0,0,ROW()-1,14),ROW()-1,FALSE))</x:f>
        <x:v>0</x:v>
      </x:c>
      <x:c r="P485">
        <x:f ca="1">IF(AND($B$1012=1,LEN($P$1485)&gt;0),$P$1485,HLOOKUP(INDIRECT(ADDRESS(2,COLUMN())),OFFSET($T$2,0,0,ROW()-1,14),ROW()-1,FALSE))</x:f>
        <x:v>0</x:v>
      </x:c>
      <x:c r="Q485">
        <x:f ca="1">IF(AND($B$1012=1,LEN($Q$1485)&gt;0),$Q$1485,HLOOKUP(INDIRECT(ADDRESS(2,COLUMN())),OFFSET($T$2,0,0,ROW()-1,14),ROW()-1,FALSE))</x:f>
        <x:v>0</x:v>
      </x:c>
      <x:c r="R485">
        <x:f ca="1">IF(AND($B$1012=1,LEN($R$1485)&gt;0),$R$1485,HLOOKUP(INDIRECT(ADDRESS(2,COLUMN())),OFFSET($T$2,0,0,ROW()-1,14),ROW()-1,FALSE))</x:f>
        <x:v>0</x:v>
      </x:c>
      <x:c r="S485">
        <x:f ca="1">IF(AND($B$1012=1,LEN($S$1485)&gt;0),$S$1485,HLOOKUP(INDIRECT(ADDRESS(2,COLUMN())),OFFSET($T$2,0,0,ROW()-1,14),ROW()-1,FALSE))</x:f>
        <x:v>0</x:v>
      </x:c>
      <x:c r="T485">
        <x:f>0</x:f>
        <x:v>0</x:v>
      </x:c>
      <x:c r="U485">
        <x:f>0</x:f>
        <x:v>0</x:v>
      </x:c>
      <x:c r="V485">
        <x:f>0</x:f>
        <x:v>0</x:v>
      </x:c>
      <x:c r="W485">
        <x:f>0</x:f>
        <x:v>0</x:v>
      </x:c>
      <x:c r="X485">
        <x:f>0</x:f>
        <x:v>0</x:v>
      </x:c>
      <x:c r="Y485">
        <x:f>0</x:f>
        <x:v>0</x:v>
      </x:c>
      <x:c r="Z485">
        <x:f>0</x:f>
        <x:v>0</x:v>
      </x:c>
      <x:c r="AA485">
        <x:f>0</x:f>
        <x:v>0</x:v>
      </x:c>
      <x:c r="AB485">
        <x:f>0</x:f>
        <x:v>0</x:v>
      </x:c>
      <x:c r="AC485">
        <x:f>0</x:f>
        <x:v>0</x:v>
      </x:c>
      <x:c r="AD485">
        <x:f>0</x:f>
        <x:v>0</x:v>
      </x:c>
      <x:c r="AE485">
        <x:f>0</x:f>
        <x:v>0</x:v>
      </x:c>
      <x:c r="AF485">
        <x:f>0</x:f>
        <x:v>0</x:v>
      </x:c>
      <x:c r="AG485">
        <x:f>0</x:f>
        <x:v>0</x:v>
      </x:c>
    </x:row>
    <x:row r="486" spans="1:33" x14ac:dyDescent="0.25">
      <x:c r="A486" t="str">
        <x:f>"        Emles Real Estate Credit ETF"</x:f>
        <x:v xml:space="preserve">        Emles Real Estate Credit ETF</x:v>
      </x:c>
      <x:c r="B486" t="str">
        <x:f>"REC US Equity"</x:f>
        <x:v>REC US Equity</x:v>
      </x:c>
      <x:c r="E486" t="str">
        <x:f t="shared" si="15"/>
        <x:v>Expression</x:v>
      </x:c>
      <x:c r="F486" t="str">
        <x:f ca="1">IF(AND($B$1012=1,LEN($F$1486)&gt;0),$F$1486,HLOOKUP(INDIRECT(ADDRESS(2,COLUMN())),OFFSET($T$2,0,0,ROW()-1,14),ROW()-1,FALSE))</x:f>
        <x:v/>
      </x:c>
      <x:c r="G486" t="str">
        <x:f ca="1">IF(AND($B$1012=1,LEN($G$1486)&gt;0),$G$1486,HLOOKUP(INDIRECT(ADDRESS(2,COLUMN())),OFFSET($T$2,0,0,ROW()-1,14),ROW()-1,FALSE))</x:f>
        <x:v/>
      </x:c>
      <x:c r="H486" t="str">
        <x:f ca="1">IF(AND($B$1012=1,LEN($H$1486)&gt;0),$H$1486,HLOOKUP(INDIRECT(ADDRESS(2,COLUMN())),OFFSET($T$2,0,0,ROW()-1,14),ROW()-1,FALSE))</x:f>
        <x:v/>
      </x:c>
      <x:c r="I486" t="str">
        <x:f ca="1">IF(AND($B$1012=1,LEN($I$1486)&gt;0),$I$1486,HLOOKUP(INDIRECT(ADDRESS(2,COLUMN())),OFFSET($T$2,0,0,ROW()-1,14),ROW()-1,FALSE))</x:f>
        <x:v/>
      </x:c>
      <x:c r="J486" t="str">
        <x:f ca="1">IF(AND($B$1012=1,LEN($J$1486)&gt;0),$J$1486,HLOOKUP(INDIRECT(ADDRESS(2,COLUMN())),OFFSET($T$2,0,0,ROW()-1,14),ROW()-1,FALSE))</x:f>
        <x:v/>
      </x:c>
      <x:c r="K486" t="str">
        <x:f ca="1">IF(AND($B$1012=1,LEN($K$1486)&gt;0),$K$1486,HLOOKUP(INDIRECT(ADDRESS(2,COLUMN())),OFFSET($T$2,0,0,ROW()-1,14),ROW()-1,FALSE))</x:f>
        <x:v/>
      </x:c>
      <x:c r="L486" t="str">
        <x:f ca="1">IF(AND($B$1012=1,LEN($L$1486)&gt;0),$L$1486,HLOOKUP(INDIRECT(ADDRESS(2,COLUMN())),OFFSET($T$2,0,0,ROW()-1,14),ROW()-1,FALSE))</x:f>
        <x:v/>
      </x:c>
      <x:c r="M486" t="str">
        <x:f ca="1">IF(AND($B$1012=1,LEN($M$1486)&gt;0),$M$1486,HLOOKUP(INDIRECT(ADDRESS(2,COLUMN())),OFFSET($T$2,0,0,ROW()-1,14),ROW()-1,FALSE))</x:f>
        <x:v/>
      </x:c>
      <x:c r="N486" t="str">
        <x:f ca="1">IF(AND($B$1012=1,LEN($N$1486)&gt;0),$N$1486,HLOOKUP(INDIRECT(ADDRESS(2,COLUMN())),OFFSET($T$2,0,0,ROW()-1,14),ROW()-1,FALSE))</x:f>
        <x:v/>
      </x:c>
      <x:c r="O486" t="str">
        <x:f ca="1">IF(AND($B$1012=1,LEN($O$1486)&gt;0),$O$1486,HLOOKUP(INDIRECT(ADDRESS(2,COLUMN())),OFFSET($T$2,0,0,ROW()-1,14),ROW()-1,FALSE))</x:f>
        <x:v/>
      </x:c>
      <x:c r="P486" t="str">
        <x:f ca="1">IF(AND($B$1012=1,LEN($P$1486)&gt;0),$P$1486,HLOOKUP(INDIRECT(ADDRESS(2,COLUMN())),OFFSET($T$2,0,0,ROW()-1,14),ROW()-1,FALSE))</x:f>
        <x:v/>
      </x:c>
      <x:c r="Q486" t="str">
        <x:f ca="1">IF(AND($B$1012=1,LEN($Q$1486)&gt;0),$Q$1486,HLOOKUP(INDIRECT(ADDRESS(2,COLUMN())),OFFSET($T$2,0,0,ROW()-1,14),ROW()-1,FALSE))</x:f>
        <x:v/>
      </x:c>
      <x:c r="R486" t="str">
        <x:f ca="1">IF(AND($B$1012=1,LEN($R$1486)&gt;0),$R$1486,HLOOKUP(INDIRECT(ADDRESS(2,COLUMN())),OFFSET($T$2,0,0,ROW()-1,14),ROW()-1,FALSE))</x:f>
        <x:v/>
      </x:c>
      <x:c r="S486">
        <x:f ca="1">IF(AND($B$1012=1,LEN($S$1486)&gt;0),$S$1486,HLOOKUP(INDIRECT(ADDRESS(2,COLUMN())),OFFSET($T$2,0,0,ROW()-1,14),ROW()-1,FALSE))</x:f>
        <x:v>-2.0548700000000002</x:v>
      </x:c>
      <x:c r="T486" t="str">
        <x:f>""</x:f>
        <x:v/>
      </x:c>
      <x:c r="U486" t="str">
        <x:f>""</x:f>
        <x:v/>
      </x:c>
      <x:c r="V486" t="str">
        <x:f>""</x:f>
        <x:v/>
      </x:c>
      <x:c r="W486" t="str">
        <x:f>""</x:f>
        <x:v/>
      </x:c>
      <x:c r="X486" t="str">
        <x:f>""</x:f>
        <x:v/>
      </x:c>
      <x:c r="Y486" t="str">
        <x:f>""</x:f>
        <x:v/>
      </x:c>
      <x:c r="Z486" t="str">
        <x:f>""</x:f>
        <x:v/>
      </x:c>
      <x:c r="AA486" t="str">
        <x:f>""</x:f>
        <x:v/>
      </x:c>
      <x:c r="AB486" t="str">
        <x:f>""</x:f>
        <x:v/>
      </x:c>
      <x:c r="AC486" t="str">
        <x:f>""</x:f>
        <x:v/>
      </x:c>
      <x:c r="AD486" t="str">
        <x:f>""</x:f>
        <x:v/>
      </x:c>
      <x:c r="AE486" t="str">
        <x:f>""</x:f>
        <x:v/>
      </x:c>
      <x:c r="AF486" t="str">
        <x:f>""</x:f>
        <x:v/>
      </x:c>
      <x:c r="AG486">
        <x:f>-2.05487</x:f>
        <x:v>-2.0548700000000002</x:v>
      </x:c>
    </x:row>
    <x:row r="487" spans="1:33" x14ac:dyDescent="0.25">
      <x:c r="A487" t="str">
        <x:f>"        Alps Active REIT ETF"</x:f>
        <x:v xml:space="preserve">        Alps Active REIT ETF</x:v>
      </x:c>
      <x:c r="B487" t="str">
        <x:f>"REIT US Equity"</x:f>
        <x:v>REIT US Equity</x:v>
      </x:c>
      <x:c r="E487" t="str">
        <x:f t="shared" si="15"/>
        <x:v>Expression</x:v>
      </x:c>
      <x:c r="F487">
        <x:f ca="1">IF(AND($B$1012=1,LEN($F$1487)&gt;0),$F$1487,HLOOKUP(INDIRECT(ADDRESS(2,COLUMN())),OFFSET($T$2,0,0,ROW()-1,14),ROW()-1,FALSE))</x:f>
        <x:v>0</x:v>
      </x:c>
      <x:c r="G487">
        <x:f ca="1">IF(AND($B$1012=1,LEN($G$1487)&gt;0),$G$1487,HLOOKUP(INDIRECT(ADDRESS(2,COLUMN())),OFFSET($T$2,0,0,ROW()-1,14),ROW()-1,FALSE))</x:f>
        <x:v>0</x:v>
      </x:c>
      <x:c r="H487">
        <x:f ca="1">IF(AND($B$1012=1,LEN($H$1487)&gt;0),$H$1487,HLOOKUP(INDIRECT(ADDRESS(2,COLUMN())),OFFSET($T$2,0,0,ROW()-1,14),ROW()-1,FALSE))</x:f>
        <x:v>0</x:v>
      </x:c>
      <x:c r="I487">
        <x:f ca="1">IF(AND($B$1012=1,LEN($I$1487)&gt;0),$I$1487,HLOOKUP(INDIRECT(ADDRESS(2,COLUMN())),OFFSET($T$2,0,0,ROW()-1,14),ROW()-1,FALSE))</x:f>
        <x:v>0.48333100000000001</x:v>
      </x:c>
      <x:c r="J487">
        <x:f ca="1">IF(AND($B$1012=1,LEN($J$1487)&gt;0),$J$1487,HLOOKUP(INDIRECT(ADDRESS(2,COLUMN())),OFFSET($T$2,0,0,ROW()-1,14),ROW()-1,FALSE))</x:f>
        <x:v>-0.37782199999999999</x:v>
      </x:c>
      <x:c r="K487">
        <x:f ca="1">IF(AND($B$1012=1,LEN($K$1487)&gt;0),$K$1487,HLOOKUP(INDIRECT(ADDRESS(2,COLUMN())),OFFSET($T$2,0,0,ROW()-1,14),ROW()-1,FALSE))</x:f>
        <x:v>-0.24676600000000001</x:v>
      </x:c>
      <x:c r="L487">
        <x:f ca="1">IF(AND($B$1012=1,LEN($L$1487)&gt;0),$L$1487,HLOOKUP(INDIRECT(ADDRESS(2,COLUMN())),OFFSET($T$2,0,0,ROW()-1,14),ROW()-1,FALSE))</x:f>
        <x:v>-0.36330899999999999</x:v>
      </x:c>
      <x:c r="M487">
        <x:f ca="1">IF(AND($B$1012=1,LEN($M$1487)&gt;0),$M$1487,HLOOKUP(INDIRECT(ADDRESS(2,COLUMN())),OFFSET($T$2,0,0,ROW()-1,14),ROW()-1,FALSE))</x:f>
        <x:v>0</x:v>
      </x:c>
      <x:c r="N487">
        <x:f ca="1">IF(AND($B$1012=1,LEN($N$1487)&gt;0),$N$1487,HLOOKUP(INDIRECT(ADDRESS(2,COLUMN())),OFFSET($T$2,0,0,ROW()-1,14),ROW()-1,FALSE))</x:f>
        <x:v>0.61666100000000001</x:v>
      </x:c>
      <x:c r="O487">
        <x:f ca="1">IF(AND($B$1012=1,LEN($O$1487)&gt;0),$O$1487,HLOOKUP(INDIRECT(ADDRESS(2,COLUMN())),OFFSET($T$2,0,0,ROW()-1,14),ROW()-1,FALSE))</x:f>
        <x:v>0</x:v>
      </x:c>
      <x:c r="P487">
        <x:f ca="1">IF(AND($B$1012=1,LEN($P$1487)&gt;0),$P$1487,HLOOKUP(INDIRECT(ADDRESS(2,COLUMN())),OFFSET($T$2,0,0,ROW()-1,14),ROW()-1,FALSE))</x:f>
        <x:v>0.127361</x:v>
      </x:c>
      <x:c r="Q487">
        <x:f ca="1">IF(AND($B$1012=1,LEN($Q$1487)&gt;0),$Q$1487,HLOOKUP(INDIRECT(ADDRESS(2,COLUMN())),OFFSET($T$2,0,0,ROW()-1,14),ROW()-1,FALSE))</x:f>
        <x:v>0</x:v>
      </x:c>
      <x:c r="R487">
        <x:f ca="1">IF(AND($B$1012=1,LEN($R$1487)&gt;0),$R$1487,HLOOKUP(INDIRECT(ADDRESS(2,COLUMN())),OFFSET($T$2,0,0,ROW()-1,14),ROW()-1,FALSE))</x:f>
        <x:v>0.354126</x:v>
      </x:c>
      <x:c r="S487">
        <x:f ca="1">IF(AND($B$1012=1,LEN($S$1487)&gt;0),$S$1487,HLOOKUP(INDIRECT(ADDRESS(2,COLUMN())),OFFSET($T$2,0,0,ROW()-1,14),ROW()-1,FALSE))</x:f>
        <x:v>-0.11905</x:v>
      </x:c>
      <x:c r="T487">
        <x:f>0</x:f>
        <x:v>0</x:v>
      </x:c>
      <x:c r="U487">
        <x:f>0</x:f>
        <x:v>0</x:v>
      </x:c>
      <x:c r="V487">
        <x:f>0</x:f>
        <x:v>0</x:v>
      </x:c>
      <x:c r="W487">
        <x:f>0.483331</x:f>
        <x:v>0.48333100000000001</x:v>
      </x:c>
      <x:c r="X487">
        <x:f>-0.377822</x:f>
        <x:v>-0.37782199999999999</x:v>
      </x:c>
      <x:c r="Y487">
        <x:f>-0.246766</x:f>
        <x:v>-0.24676600000000001</x:v>
      </x:c>
      <x:c r="Z487">
        <x:f>-0.363309</x:f>
        <x:v>-0.36330899999999999</x:v>
      </x:c>
      <x:c r="AA487">
        <x:f>0</x:f>
        <x:v>0</x:v>
      </x:c>
      <x:c r="AB487">
        <x:f>0.616661</x:f>
        <x:v>0.61666100000000001</x:v>
      </x:c>
      <x:c r="AC487">
        <x:f>0</x:f>
        <x:v>0</x:v>
      </x:c>
      <x:c r="AD487">
        <x:f>0.127361</x:f>
        <x:v>0.127361</x:v>
      </x:c>
      <x:c r="AE487">
        <x:f>0</x:f>
        <x:v>0</x:v>
      </x:c>
      <x:c r="AF487">
        <x:f>0.354126</x:f>
        <x:v>0.354126</x:v>
      </x:c>
      <x:c r="AG487">
        <x:f>-0.11905</x:f>
        <x:v>-0.11905</x:v>
      </x:c>
    </x:row>
    <x:row r="488" spans="1:33" x14ac:dyDescent="0.25">
      <x:c r="A488" t="str">
        <x:f>"        SP Funds S&amp;P Global Reit Shari"</x:f>
        <x:v xml:space="preserve">        SP Funds S&amp;P Global Reit Shari</x:v>
      </x:c>
      <x:c r="B488" t="str">
        <x:f>"SPRE US Equity"</x:f>
        <x:v>SPRE US Equity</x:v>
      </x:c>
      <x:c r="E488" t="str">
        <x:f t="shared" si="15"/>
        <x:v>Expression</x:v>
      </x:c>
      <x:c r="F488">
        <x:f ca="1">IF(AND($B$1012=1,LEN($F$1488)&gt;0),$F$1488,HLOOKUP(INDIRECT(ADDRESS(2,COLUMN())),OFFSET($T$2,0,0,ROW()-1,14),ROW()-1,FALSE))</x:f>
        <x:v>0.87917500000000004</x:v>
      </x:c>
      <x:c r="G488">
        <x:f ca="1">IF(AND($B$1012=1,LEN($G$1488)&gt;0),$G$1488,HLOOKUP(INDIRECT(ADDRESS(2,COLUMN())),OFFSET($T$2,0,0,ROW()-1,14),ROW()-1,FALSE))</x:f>
        <x:v>0.88360499999999997</x:v>
      </x:c>
      <x:c r="H488">
        <x:f ca="1">IF(AND($B$1012=1,LEN($H$1488)&gt;0),$H$1488,HLOOKUP(INDIRECT(ADDRESS(2,COLUMN())),OFFSET($T$2,0,0,ROW()-1,14),ROW()-1,FALSE))</x:f>
        <x:v>1.8876850000000001</x:v>
      </x:c>
      <x:c r="I488">
        <x:f ca="1">IF(AND($B$1012=1,LEN($I$1488)&gt;0),$I$1488,HLOOKUP(INDIRECT(ADDRESS(2,COLUMN())),OFFSET($T$2,0,0,ROW()-1,14),ROW()-1,FALSE))</x:f>
        <x:v>0</x:v>
      </x:c>
      <x:c r="J488">
        <x:f ca="1">IF(AND($B$1012=1,LEN($J$1488)&gt;0),$J$1488,HLOOKUP(INDIRECT(ADDRESS(2,COLUMN())),OFFSET($T$2,0,0,ROW()-1,14),ROW()-1,FALSE))</x:f>
        <x:v>-2.9051499999999999</x:v>
      </x:c>
      <x:c r="K488">
        <x:f ca="1">IF(AND($B$1012=1,LEN($K$1488)&gt;0),$K$1488,HLOOKUP(INDIRECT(ADDRESS(2,COLUMN())),OFFSET($T$2,0,0,ROW()-1,14),ROW()-1,FALSE))</x:f>
        <x:v>19.89358</x:v>
      </x:c>
      <x:c r="L488">
        <x:f ca="1">IF(AND($B$1012=1,LEN($L$1488)&gt;0),$L$1488,HLOOKUP(INDIRECT(ADDRESS(2,COLUMN())),OFFSET($T$2,0,0,ROW()-1,14),ROW()-1,FALSE))</x:f>
        <x:v>4.3373980000000003</x:v>
      </x:c>
      <x:c r="M488">
        <x:f ca="1">IF(AND($B$1012=1,LEN($M$1488)&gt;0),$M$1488,HLOOKUP(INDIRECT(ADDRESS(2,COLUMN())),OFFSET($T$2,0,0,ROW()-1,14),ROW()-1,FALSE))</x:f>
        <x:v>1.473368</x:v>
      </x:c>
      <x:c r="N488">
        <x:f ca="1">IF(AND($B$1012=1,LEN($N$1488)&gt;0),$N$1488,HLOOKUP(INDIRECT(ADDRESS(2,COLUMN())),OFFSET($T$2,0,0,ROW()-1,14),ROW()-1,FALSE))</x:f>
        <x:v>2.942752</x:v>
      </x:c>
      <x:c r="O488">
        <x:f ca="1">IF(AND($B$1012=1,LEN($O$1488)&gt;0),$O$1488,HLOOKUP(INDIRECT(ADDRESS(2,COLUMN())),OFFSET($T$2,0,0,ROW()-1,14),ROW()-1,FALSE))</x:f>
        <x:v>5.7220170000000001</x:v>
      </x:c>
      <x:c r="P488">
        <x:f ca="1">IF(AND($B$1012=1,LEN($P$1488)&gt;0),$P$1488,HLOOKUP(INDIRECT(ADDRESS(2,COLUMN())),OFFSET($T$2,0,0,ROW()-1,14),ROW()-1,FALSE))</x:f>
        <x:v>3.0737549999999998</x:v>
      </x:c>
      <x:c r="Q488">
        <x:f ca="1">IF(AND($B$1012=1,LEN($Q$1488)&gt;0),$Q$1488,HLOOKUP(INDIRECT(ADDRESS(2,COLUMN())),OFFSET($T$2,0,0,ROW()-1,14),ROW()-1,FALSE))</x:f>
        <x:v>3.0363600000000002</x:v>
      </x:c>
      <x:c r="R488">
        <x:f ca="1">IF(AND($B$1012=1,LEN($R$1488)&gt;0),$R$1488,HLOOKUP(INDIRECT(ADDRESS(2,COLUMN())),OFFSET($T$2,0,0,ROW()-1,14),ROW()-1,FALSE))</x:f>
        <x:v>5.7406800000000002</x:v>
      </x:c>
      <x:c r="S488">
        <x:f ca="1">IF(AND($B$1012=1,LEN($S$1488)&gt;0),$S$1488,HLOOKUP(INDIRECT(ADDRESS(2,COLUMN())),OFFSET($T$2,0,0,ROW()-1,14),ROW()-1,FALSE))</x:f>
        <x:v>2.7662849999999999</x:v>
      </x:c>
      <x:c r="T488">
        <x:f>0.879175</x:f>
        <x:v>0.87917500000000004</x:v>
      </x:c>
      <x:c r="U488">
        <x:f>0.883605</x:f>
        <x:v>0.88360499999999997</x:v>
      </x:c>
      <x:c r="V488">
        <x:f>1.887685</x:f>
        <x:v>1.8876850000000001</x:v>
      </x:c>
      <x:c r="W488">
        <x:f>0</x:f>
        <x:v>0</x:v>
      </x:c>
      <x:c r="X488">
        <x:f>-2.90515</x:f>
        <x:v>-2.9051499999999999</x:v>
      </x:c>
      <x:c r="Y488">
        <x:f>19.89358</x:f>
        <x:v>19.89358</x:v>
      </x:c>
      <x:c r="Z488">
        <x:f>4.337398</x:f>
        <x:v>4.3373980000000003</x:v>
      </x:c>
      <x:c r="AA488">
        <x:f>1.473368</x:f>
        <x:v>1.473368</x:v>
      </x:c>
      <x:c r="AB488">
        <x:f>2.942752</x:f>
        <x:v>2.942752</x:v>
      </x:c>
      <x:c r="AC488">
        <x:f>5.722017</x:f>
        <x:v>5.7220170000000001</x:v>
      </x:c>
      <x:c r="AD488">
        <x:f>3.073755</x:f>
        <x:v>3.0737549999999998</x:v>
      </x:c>
      <x:c r="AE488">
        <x:f>3.03636</x:f>
        <x:v>3.0363600000000002</x:v>
      </x:c>
      <x:c r="AF488">
        <x:f>5.74068</x:f>
        <x:v>5.7406800000000002</x:v>
      </x:c>
      <x:c r="AG488">
        <x:f>2.766285</x:f>
        <x:v>2.7662849999999999</x:v>
      </x:c>
    </x:row>
    <x:row r="489" spans="1:33" x14ac:dyDescent="0.25">
      <x:c r="A489" t="str">
        <x:f>"        Cambria Global Real Estate ETF"</x:f>
        <x:v xml:space="preserve">        Cambria Global Real Estate ETF</x:v>
      </x:c>
      <x:c r="B489" t="str">
        <x:f>"BLDG US Equity"</x:f>
        <x:v>BLDG US Equity</x:v>
      </x:c>
      <x:c r="E489" t="str">
        <x:f t="shared" si="15"/>
        <x:v>Expression</x:v>
      </x:c>
      <x:c r="F489">
        <x:f ca="1">IF(AND($B$1012=1,LEN($F$1489)&gt;0),$F$1489,HLOOKUP(INDIRECT(ADDRESS(2,COLUMN())),OFFSET($T$2,0,0,ROW()-1,14),ROW()-1,FALSE))</x:f>
        <x:v>0</x:v>
      </x:c>
      <x:c r="G489">
        <x:f ca="1">IF(AND($B$1012=1,LEN($G$1489)&gt;0),$G$1489,HLOOKUP(INDIRECT(ADDRESS(2,COLUMN())),OFFSET($T$2,0,0,ROW()-1,14),ROW()-1,FALSE))</x:f>
        <x:v>0</x:v>
      </x:c>
      <x:c r="H489">
        <x:f ca="1">IF(AND($B$1012=1,LEN($H$1489)&gt;0),$H$1489,HLOOKUP(INDIRECT(ADDRESS(2,COLUMN())),OFFSET($T$2,0,0,ROW()-1,14),ROW()-1,FALSE))</x:f>
        <x:v>0</x:v>
      </x:c>
      <x:c r="I489">
        <x:f ca="1">IF(AND($B$1012=1,LEN($I$1489)&gt;0),$I$1489,HLOOKUP(INDIRECT(ADDRESS(2,COLUMN())),OFFSET($T$2,0,0,ROW()-1,14),ROW()-1,FALSE))</x:f>
        <x:v>0</x:v>
      </x:c>
      <x:c r="J489">
        <x:f ca="1">IF(AND($B$1012=1,LEN($J$1489)&gt;0),$J$1489,HLOOKUP(INDIRECT(ADDRESS(2,COLUMN())),OFFSET($T$2,0,0,ROW()-1,14),ROW()-1,FALSE))</x:f>
        <x:v>0</x:v>
      </x:c>
      <x:c r="K489">
        <x:f ca="1">IF(AND($B$1012=1,LEN($K$1489)&gt;0),$K$1489,HLOOKUP(INDIRECT(ADDRESS(2,COLUMN())),OFFSET($T$2,0,0,ROW()-1,14),ROW()-1,FALSE))</x:f>
        <x:v>-3.7244999999999999</x:v>
      </x:c>
      <x:c r="L489">
        <x:f ca="1">IF(AND($B$1012=1,LEN($L$1489)&gt;0),$L$1489,HLOOKUP(INDIRECT(ADDRESS(2,COLUMN())),OFFSET($T$2,0,0,ROW()-1,14),ROW()-1,FALSE))</x:f>
        <x:v>1.1970000000000001</x:v>
      </x:c>
      <x:c r="M489">
        <x:f ca="1">IF(AND($B$1012=1,LEN($M$1489)&gt;0),$M$1489,HLOOKUP(INDIRECT(ADDRESS(2,COLUMN())),OFFSET($T$2,0,0,ROW()-1,14),ROW()-1,FALSE))</x:f>
        <x:v>0</x:v>
      </x:c>
      <x:c r="N489">
        <x:f ca="1">IF(AND($B$1012=1,LEN($N$1489)&gt;0),$N$1489,HLOOKUP(INDIRECT(ADDRESS(2,COLUMN())),OFFSET($T$2,0,0,ROW()-1,14),ROW()-1,FALSE))</x:f>
        <x:v>1.2585</x:v>
      </x:c>
      <x:c r="O489">
        <x:f ca="1">IF(AND($B$1012=1,LEN($O$1489)&gt;0),$O$1489,HLOOKUP(INDIRECT(ADDRESS(2,COLUMN())),OFFSET($T$2,0,0,ROW()-1,14),ROW()-1,FALSE))</x:f>
        <x:v>0</x:v>
      </x:c>
      <x:c r="P489">
        <x:f ca="1">IF(AND($B$1012=1,LEN($P$1489)&gt;0),$P$1489,HLOOKUP(INDIRECT(ADDRESS(2,COLUMN())),OFFSET($T$2,0,0,ROW()-1,14),ROW()-1,FALSE))</x:f>
        <x:v>2.6105</x:v>
      </x:c>
      <x:c r="Q489">
        <x:f ca="1">IF(AND($B$1012=1,LEN($Q$1489)&gt;0),$Q$1489,HLOOKUP(INDIRECT(ADDRESS(2,COLUMN())),OFFSET($T$2,0,0,ROW()-1,14),ROW()-1,FALSE))</x:f>
        <x:v>2.6</x:v>
      </x:c>
      <x:c r="R489">
        <x:f ca="1">IF(AND($B$1012=1,LEN($R$1489)&gt;0),$R$1489,HLOOKUP(INDIRECT(ADDRESS(2,COLUMN())),OFFSET($T$2,0,0,ROW()-1,14),ROW()-1,FALSE))</x:f>
        <x:v>0</x:v>
      </x:c>
      <x:c r="S489">
        <x:f ca="1">IF(AND($B$1012=1,LEN($S$1489)&gt;0),$S$1489,HLOOKUP(INDIRECT(ADDRESS(2,COLUMN())),OFFSET($T$2,0,0,ROW()-1,14),ROW()-1,FALSE))</x:f>
        <x:v>-4.6559999999999997</x:v>
      </x:c>
      <x:c r="T489">
        <x:f>0</x:f>
        <x:v>0</x:v>
      </x:c>
      <x:c r="U489">
        <x:f>0</x:f>
        <x:v>0</x:v>
      </x:c>
      <x:c r="V489">
        <x:f>0</x:f>
        <x:v>0</x:v>
      </x:c>
      <x:c r="W489">
        <x:f>0</x:f>
        <x:v>0</x:v>
      </x:c>
      <x:c r="X489">
        <x:f>0</x:f>
        <x:v>0</x:v>
      </x:c>
      <x:c r="Y489">
        <x:f>-3.7245</x:f>
        <x:v>-3.7244999999999999</x:v>
      </x:c>
      <x:c r="Z489">
        <x:f>1.197</x:f>
        <x:v>1.1970000000000001</x:v>
      </x:c>
      <x:c r="AA489">
        <x:f>0</x:f>
        <x:v>0</x:v>
      </x:c>
      <x:c r="AB489">
        <x:f>1.2585</x:f>
        <x:v>1.2585</x:v>
      </x:c>
      <x:c r="AC489">
        <x:f>0</x:f>
        <x:v>0</x:v>
      </x:c>
      <x:c r="AD489">
        <x:f>2.6105</x:f>
        <x:v>2.6105</x:v>
      </x:c>
      <x:c r="AE489">
        <x:f>2.6</x:f>
        <x:v>2.6</x:v>
      </x:c>
      <x:c r="AF489">
        <x:f>0</x:f>
        <x:v>0</x:v>
      </x:c>
      <x:c r="AG489">
        <x:f>-4.656</x:f>
        <x:v>-4.6559999999999997</x:v>
      </x:c>
    </x:row>
    <x:row r="490" spans="1:33" x14ac:dyDescent="0.25">
      <x:c r="A490" t="str">
        <x:f>"        Global X Data Center REITs &amp; D"</x:f>
        <x:v xml:space="preserve">        Global X Data Center REITs &amp; D</x:v>
      </x:c>
      <x:c r="B490" t="str">
        <x:f>"VPN US Equity"</x:f>
        <x:v>VPN US Equity</x:v>
      </x:c>
      <x:c r="E490" t="str">
        <x:f t="shared" si="15"/>
        <x:v>Expression</x:v>
      </x:c>
      <x:c r="F490">
        <x:f ca="1">IF(AND($B$1012=1,LEN($F$1490)&gt;0),$F$1490,HLOOKUP(INDIRECT(ADDRESS(2,COLUMN())),OFFSET($T$2,0,0,ROW()-1,14),ROW()-1,FALSE))</x:f>
        <x:v>0</x:v>
      </x:c>
      <x:c r="G490">
        <x:f ca="1">IF(AND($B$1012=1,LEN($G$1490)&gt;0),$G$1490,HLOOKUP(INDIRECT(ADDRESS(2,COLUMN())),OFFSET($T$2,0,0,ROW()-1,14),ROW()-1,FALSE))</x:f>
        <x:v>0.98</x:v>
      </x:c>
      <x:c r="H490">
        <x:f ca="1">IF(AND($B$1012=1,LEN($H$1490)&gt;0),$H$1490,HLOOKUP(INDIRECT(ADDRESS(2,COLUMN())),OFFSET($T$2,0,0,ROW()-1,14),ROW()-1,FALSE))</x:f>
        <x:v>0.91449999999999998</x:v>
      </x:c>
      <x:c r="I490">
        <x:f ca="1">IF(AND($B$1012=1,LEN($I$1490)&gt;0),$I$1490,HLOOKUP(INDIRECT(ADDRESS(2,COLUMN())),OFFSET($T$2,0,0,ROW()-1,14),ROW()-1,FALSE))</x:f>
        <x:v>0.51800000000000002</x:v>
      </x:c>
      <x:c r="J490">
        <x:f ca="1">IF(AND($B$1012=1,LEN($J$1490)&gt;0),$J$1490,HLOOKUP(INDIRECT(ADDRESS(2,COLUMN())),OFFSET($T$2,0,0,ROW()-1,14),ROW()-1,FALSE))</x:f>
        <x:v>0.14130000000000001</x:v>
      </x:c>
      <x:c r="K490">
        <x:f ca="1">IF(AND($B$1012=1,LEN($K$1490)&gt;0),$K$1490,HLOOKUP(INDIRECT(ADDRESS(2,COLUMN())),OFFSET($T$2,0,0,ROW()-1,14),ROW()-1,FALSE))</x:f>
        <x:v>-0.53720000000000001</x:v>
      </x:c>
      <x:c r="L490">
        <x:f ca="1">IF(AND($B$1012=1,LEN($L$1490)&gt;0),$L$1490,HLOOKUP(INDIRECT(ADDRESS(2,COLUMN())),OFFSET($T$2,0,0,ROW()-1,14),ROW()-1,FALSE))</x:f>
        <x:v>0</x:v>
      </x:c>
      <x:c r="M490">
        <x:f ca="1">IF(AND($B$1012=1,LEN($M$1490)&gt;0),$M$1490,HLOOKUP(INDIRECT(ADDRESS(2,COLUMN())),OFFSET($T$2,0,0,ROW()-1,14),ROW()-1,FALSE))</x:f>
        <x:v>-1.5696000000000001</x:v>
      </x:c>
      <x:c r="N490">
        <x:f ca="1">IF(AND($B$1012=1,LEN($N$1490)&gt;0),$N$1490,HLOOKUP(INDIRECT(ADDRESS(2,COLUMN())),OFFSET($T$2,0,0,ROW()-1,14),ROW()-1,FALSE))</x:f>
        <x:v>-13.403</x:v>
      </x:c>
      <x:c r="O490">
        <x:f ca="1">IF(AND($B$1012=1,LEN($O$1490)&gt;0),$O$1490,HLOOKUP(INDIRECT(ADDRESS(2,COLUMN())),OFFSET($T$2,0,0,ROW()-1,14),ROW()-1,FALSE))</x:f>
        <x:v>-14.4253</x:v>
      </x:c>
      <x:c r="P490">
        <x:f ca="1">IF(AND($B$1012=1,LEN($P$1490)&gt;0),$P$1490,HLOOKUP(INDIRECT(ADDRESS(2,COLUMN())),OFFSET($T$2,0,0,ROW()-1,14),ROW()-1,FALSE))</x:f>
        <x:v>-2.0695999999999999</x:v>
      </x:c>
      <x:c r="Q490">
        <x:f ca="1">IF(AND($B$1012=1,LEN($Q$1490)&gt;0),$Q$1490,HLOOKUP(INDIRECT(ADDRESS(2,COLUMN())),OFFSET($T$2,0,0,ROW()-1,14),ROW()-1,FALSE))</x:f>
        <x:v>0</x:v>
      </x:c>
      <x:c r="R490">
        <x:f ca="1">IF(AND($B$1012=1,LEN($R$1490)&gt;0),$R$1490,HLOOKUP(INDIRECT(ADDRESS(2,COLUMN())),OFFSET($T$2,0,0,ROW()-1,14),ROW()-1,FALSE))</x:f>
        <x:v>0</x:v>
      </x:c>
      <x:c r="S490">
        <x:f ca="1">IF(AND($B$1012=1,LEN($S$1490)&gt;0),$S$1490,HLOOKUP(INDIRECT(ADDRESS(2,COLUMN())),OFFSET($T$2,0,0,ROW()-1,14),ROW()-1,FALSE))</x:f>
        <x:v>-5.8056999999999999</x:v>
      </x:c>
      <x:c r="T490">
        <x:f>0</x:f>
        <x:v>0</x:v>
      </x:c>
      <x:c r="U490">
        <x:f>0.98</x:f>
        <x:v>0.98</x:v>
      </x:c>
      <x:c r="V490">
        <x:f>0.9145</x:f>
        <x:v>0.91449999999999998</x:v>
      </x:c>
      <x:c r="W490">
        <x:f>0.518</x:f>
        <x:v>0.51800000000000002</x:v>
      </x:c>
      <x:c r="X490">
        <x:f>0.1413</x:f>
        <x:v>0.14130000000000001</x:v>
      </x:c>
      <x:c r="Y490">
        <x:f>-0.5372</x:f>
        <x:v>-0.53720000000000001</x:v>
      </x:c>
      <x:c r="Z490">
        <x:f>0</x:f>
        <x:v>0</x:v>
      </x:c>
      <x:c r="AA490">
        <x:f>-1.5696</x:f>
        <x:v>-1.5696000000000001</x:v>
      </x:c>
      <x:c r="AB490">
        <x:f>-13.403</x:f>
        <x:v>-13.403</x:v>
      </x:c>
      <x:c r="AC490">
        <x:f>-14.4253</x:f>
        <x:v>-14.4253</x:v>
      </x:c>
      <x:c r="AD490">
        <x:f>-2.0696</x:f>
        <x:v>-2.0695999999999999</x:v>
      </x:c>
      <x:c r="AE490">
        <x:f>0</x:f>
        <x:v>0</x:v>
      </x:c>
      <x:c r="AF490">
        <x:f>0</x:f>
        <x:v>0</x:v>
      </x:c>
      <x:c r="AG490">
        <x:f>-5.8057</x:f>
        <x:v>-5.8056999999999999</x:v>
      </x:c>
    </x:row>
    <x:row r="491" spans="1:33" x14ac:dyDescent="0.25">
      <x:c r="A491" t="str">
        <x:f>"        ETFMG Real Estate Tech ETF"</x:f>
        <x:v xml:space="preserve">        ETFMG Real Estate Tech ETF</x:v>
      </x:c>
      <x:c r="B491" t="str">
        <x:f>"HHH US Equity"</x:f>
        <x:v>HHH US Equity</x:v>
      </x:c>
      <x:c r="E491" t="str">
        <x:f t="shared" si="15"/>
        <x:v>Expression</x:v>
      </x:c>
      <x:c r="F491" t="str">
        <x:f ca="1">IF(AND($B$1012=1,LEN($F$1491)&gt;0),$F$1491,HLOOKUP(INDIRECT(ADDRESS(2,COLUMN())),OFFSET($T$2,0,0,ROW()-1,14),ROW()-1,FALSE))</x:f>
        <x:v/>
      </x:c>
      <x:c r="G491" t="str">
        <x:f ca="1">IF(AND($B$1012=1,LEN($G$1491)&gt;0),$G$1491,HLOOKUP(INDIRECT(ADDRESS(2,COLUMN())),OFFSET($T$2,0,0,ROW()-1,14),ROW()-1,FALSE))</x:f>
        <x:v/>
      </x:c>
      <x:c r="H491" t="str">
        <x:f ca="1">IF(AND($B$1012=1,LEN($H$1491)&gt;0),$H$1491,HLOOKUP(INDIRECT(ADDRESS(2,COLUMN())),OFFSET($T$2,0,0,ROW()-1,14),ROW()-1,FALSE))</x:f>
        <x:v/>
      </x:c>
      <x:c r="I491" t="str">
        <x:f ca="1">IF(AND($B$1012=1,LEN($I$1491)&gt;0),$I$1491,HLOOKUP(INDIRECT(ADDRESS(2,COLUMN())),OFFSET($T$2,0,0,ROW()-1,14),ROW()-1,FALSE))</x:f>
        <x:v/>
      </x:c>
      <x:c r="J491" t="str">
        <x:f ca="1">IF(AND($B$1012=1,LEN($J$1491)&gt;0),$J$1491,HLOOKUP(INDIRECT(ADDRESS(2,COLUMN())),OFFSET($T$2,0,0,ROW()-1,14),ROW()-1,FALSE))</x:f>
        <x:v/>
      </x:c>
      <x:c r="K491" t="str">
        <x:f ca="1">IF(AND($B$1012=1,LEN($K$1491)&gt;0),$K$1491,HLOOKUP(INDIRECT(ADDRESS(2,COLUMN())),OFFSET($T$2,0,0,ROW()-1,14),ROW()-1,FALSE))</x:f>
        <x:v/>
      </x:c>
      <x:c r="L491" t="str">
        <x:f ca="1">IF(AND($B$1012=1,LEN($L$1491)&gt;0),$L$1491,HLOOKUP(INDIRECT(ADDRESS(2,COLUMN())),OFFSET($T$2,0,0,ROW()-1,14),ROW()-1,FALSE))</x:f>
        <x:v/>
      </x:c>
      <x:c r="M491" t="str">
        <x:f ca="1">IF(AND($B$1012=1,LEN($M$1491)&gt;0),$M$1491,HLOOKUP(INDIRECT(ADDRESS(2,COLUMN())),OFFSET($T$2,0,0,ROW()-1,14),ROW()-1,FALSE))</x:f>
        <x:v/>
      </x:c>
      <x:c r="N491" t="str">
        <x:f ca="1">IF(AND($B$1012=1,LEN($N$1491)&gt;0),$N$1491,HLOOKUP(INDIRECT(ADDRESS(2,COLUMN())),OFFSET($T$2,0,0,ROW()-1,14),ROW()-1,FALSE))</x:f>
        <x:v/>
      </x:c>
      <x:c r="O491" t="str">
        <x:f ca="1">IF(AND($B$1012=1,LEN($O$1491)&gt;0),$O$1491,HLOOKUP(INDIRECT(ADDRESS(2,COLUMN())),OFFSET($T$2,0,0,ROW()-1,14),ROW()-1,FALSE))</x:f>
        <x:v/>
      </x:c>
      <x:c r="P491" t="str">
        <x:f ca="1">IF(AND($B$1012=1,LEN($P$1491)&gt;0),$P$1491,HLOOKUP(INDIRECT(ADDRESS(2,COLUMN())),OFFSET($T$2,0,0,ROW()-1,14),ROW()-1,FALSE))</x:f>
        <x:v/>
      </x:c>
      <x:c r="Q491" t="str">
        <x:f ca="1">IF(AND($B$1012=1,LEN($Q$1491)&gt;0),$Q$1491,HLOOKUP(INDIRECT(ADDRESS(2,COLUMN())),OFFSET($T$2,0,0,ROW()-1,14),ROW()-1,FALSE))</x:f>
        <x:v/>
      </x:c>
      <x:c r="R491" t="str">
        <x:f ca="1">IF(AND($B$1012=1,LEN($R$1491)&gt;0),$R$1491,HLOOKUP(INDIRECT(ADDRESS(2,COLUMN())),OFFSET($T$2,0,0,ROW()-1,14),ROW()-1,FALSE))</x:f>
        <x:v/>
      </x:c>
      <x:c r="S491" t="str">
        <x:f ca="1">IF(AND($B$1012=1,LEN($S$1491)&gt;0),$S$1491,HLOOKUP(INDIRECT(ADDRESS(2,COLUMN())),OFFSET($T$2,0,0,ROW()-1,14),ROW()-1,FALSE))</x:f>
        <x:v/>
      </x:c>
      <x:c r="T491" t="str">
        <x:f>""</x:f>
        <x:v/>
      </x:c>
      <x:c r="U491" t="str">
        <x:f>""</x:f>
        <x:v/>
      </x:c>
      <x:c r="V491" t="str">
        <x:f>""</x:f>
        <x:v/>
      </x:c>
      <x:c r="W491" t="str">
        <x:f>""</x:f>
        <x:v/>
      </x:c>
      <x:c r="X491" t="str">
        <x:f>""</x:f>
        <x:v/>
      </x:c>
      <x:c r="Y491" t="str">
        <x:f>""</x:f>
        <x:v/>
      </x:c>
      <x:c r="Z491" t="str">
        <x:f>""</x:f>
        <x:v/>
      </x:c>
      <x:c r="AA491" t="str">
        <x:f>""</x:f>
        <x:v/>
      </x:c>
      <x:c r="AB491" t="str">
        <x:f>""</x:f>
        <x:v/>
      </x:c>
      <x:c r="AC491" t="str">
        <x:f>""</x:f>
        <x:v/>
      </x:c>
      <x:c r="AD491" t="str">
        <x:f>""</x:f>
        <x:v/>
      </x:c>
      <x:c r="AE491" t="str">
        <x:f>""</x:f>
        <x:v/>
      </x:c>
      <x:c r="AF491" t="str">
        <x:f>""</x:f>
        <x:v/>
      </x:c>
      <x:c r="AG491" t="str">
        <x:f>""</x:f>
        <x:v/>
      </x:c>
    </x:row>
    <x:row r="492" spans="1:33" x14ac:dyDescent="0.25">
      <x:c r="A492" t="str">
        <x:f>"        Goldman Sachs Future Real Esta"</x:f>
        <x:v xml:space="preserve">        Goldman Sachs Future Real Esta</x:v>
      </x:c>
      <x:c r="B492" t="str">
        <x:f>"GREI US Equity"</x:f>
        <x:v>GREI US Equity</x:v>
      </x:c>
      <x:c r="E492" t="str">
        <x:f t="shared" si="15"/>
        <x:v>Expression</x:v>
      </x:c>
      <x:c r="F492">
        <x:f ca="1">IF(AND($B$1012=1,LEN($F$1492)&gt;0),$F$1492,HLOOKUP(INDIRECT(ADDRESS(2,COLUMN())),OFFSET($T$2,0,0,ROW()-1,14),ROW()-1,FALSE))</x:f>
        <x:v>0</x:v>
      </x:c>
      <x:c r="G492">
        <x:f ca="1">IF(AND($B$1012=1,LEN($G$1492)&gt;0),$G$1492,HLOOKUP(INDIRECT(ADDRESS(2,COLUMN())),OFFSET($T$2,0,0,ROW()-1,14),ROW()-1,FALSE))</x:f>
        <x:v>-0.74622999999999995</x:v>
      </x:c>
      <x:c r="H492">
        <x:f ca="1">IF(AND($B$1012=1,LEN($H$1492)&gt;0),$H$1492,HLOOKUP(INDIRECT(ADDRESS(2,COLUMN())),OFFSET($T$2,0,0,ROW()-1,14),ROW()-1,FALSE))</x:f>
        <x:v>0</x:v>
      </x:c>
      <x:c r="I492">
        <x:f ca="1">IF(AND($B$1012=1,LEN($I$1492)&gt;0),$I$1492,HLOOKUP(INDIRECT(ADDRESS(2,COLUMN())),OFFSET($T$2,0,0,ROW()-1,14),ROW()-1,FALSE))</x:f>
        <x:v>0</x:v>
      </x:c>
      <x:c r="J492">
        <x:f ca="1">IF(AND($B$1012=1,LEN($J$1492)&gt;0),$J$1492,HLOOKUP(INDIRECT(ADDRESS(2,COLUMN())),OFFSET($T$2,0,0,ROW()-1,14),ROW()-1,FALSE))</x:f>
        <x:v>0</x:v>
      </x:c>
      <x:c r="K492">
        <x:f ca="1">IF(AND($B$1012=1,LEN($K$1492)&gt;0),$K$1492,HLOOKUP(INDIRECT(ADDRESS(2,COLUMN())),OFFSET($T$2,0,0,ROW()-1,14),ROW()-1,FALSE))</x:f>
        <x:v>0</x:v>
      </x:c>
      <x:c r="L492">
        <x:f ca="1">IF(AND($B$1012=1,LEN($L$1492)&gt;0),$L$1492,HLOOKUP(INDIRECT(ADDRESS(2,COLUMN())),OFFSET($T$2,0,0,ROW()-1,14),ROW()-1,FALSE))</x:f>
        <x:v>0</x:v>
      </x:c>
      <x:c r="M492">
        <x:f ca="1">IF(AND($B$1012=1,LEN($M$1492)&gt;0),$M$1492,HLOOKUP(INDIRECT(ADDRESS(2,COLUMN())),OFFSET($T$2,0,0,ROW()-1,14),ROW()-1,FALSE))</x:f>
        <x:v>0</x:v>
      </x:c>
      <x:c r="N492">
        <x:f ca="1">IF(AND($B$1012=1,LEN($N$1492)&gt;0),$N$1492,HLOOKUP(INDIRECT(ADDRESS(2,COLUMN())),OFFSET($T$2,0,0,ROW()-1,14),ROW()-1,FALSE))</x:f>
        <x:v>0</x:v>
      </x:c>
      <x:c r="O492">
        <x:f ca="1">IF(AND($B$1012=1,LEN($O$1492)&gt;0),$O$1492,HLOOKUP(INDIRECT(ADDRESS(2,COLUMN())),OFFSET($T$2,0,0,ROW()-1,14),ROW()-1,FALSE))</x:f>
        <x:v>0</x:v>
      </x:c>
      <x:c r="P492">
        <x:f ca="1">IF(AND($B$1012=1,LEN($P$1492)&gt;0),$P$1492,HLOOKUP(INDIRECT(ADDRESS(2,COLUMN())),OFFSET($T$2,0,0,ROW()-1,14),ROW()-1,FALSE))</x:f>
        <x:v>0</x:v>
      </x:c>
      <x:c r="Q492">
        <x:f ca="1">IF(AND($B$1012=1,LEN($Q$1492)&gt;0),$Q$1492,HLOOKUP(INDIRECT(ADDRESS(2,COLUMN())),OFFSET($T$2,0,0,ROW()-1,14),ROW()-1,FALSE))</x:f>
        <x:v>0.825515</x:v>
      </x:c>
      <x:c r="R492">
        <x:f ca="1">IF(AND($B$1012=1,LEN($R$1492)&gt;0),$R$1492,HLOOKUP(INDIRECT(ADDRESS(2,COLUMN())),OFFSET($T$2,0,0,ROW()-1,14),ROW()-1,FALSE))</x:f>
        <x:v>0.80272299999999996</x:v>
      </x:c>
      <x:c r="S492">
        <x:f ca="1">IF(AND($B$1012=1,LEN($S$1492)&gt;0),$S$1492,HLOOKUP(INDIRECT(ADDRESS(2,COLUMN())),OFFSET($T$2,0,0,ROW()-1,14),ROW()-1,FALSE))</x:f>
        <x:v>0</x:v>
      </x:c>
      <x:c r="T492">
        <x:f>0</x:f>
        <x:v>0</x:v>
      </x:c>
      <x:c r="U492">
        <x:f>-0.74623</x:f>
        <x:v>-0.74622999999999995</x:v>
      </x:c>
      <x:c r="V492">
        <x:f>0</x:f>
        <x:v>0</x:v>
      </x:c>
      <x:c r="W492">
        <x:f>0</x:f>
        <x:v>0</x:v>
      </x:c>
      <x:c r="X492">
        <x:f>0</x:f>
        <x:v>0</x:v>
      </x:c>
      <x:c r="Y492">
        <x:f>0</x:f>
        <x:v>0</x:v>
      </x:c>
      <x:c r="Z492">
        <x:f>0</x:f>
        <x:v>0</x:v>
      </x:c>
      <x:c r="AA492">
        <x:f>0</x:f>
        <x:v>0</x:v>
      </x:c>
      <x:c r="AB492">
        <x:f>0</x:f>
        <x:v>0</x:v>
      </x:c>
      <x:c r="AC492">
        <x:f>0</x:f>
        <x:v>0</x:v>
      </x:c>
      <x:c r="AD492">
        <x:f>0</x:f>
        <x:v>0</x:v>
      </x:c>
      <x:c r="AE492">
        <x:f>0.825515</x:f>
        <x:v>0.825515</x:v>
      </x:c>
      <x:c r="AF492">
        <x:f>0.802723</x:f>
        <x:v>0.80272299999999996</x:v>
      </x:c>
      <x:c r="AG492">
        <x:f>0</x:f>
        <x:v>0</x:v>
      </x:c>
    </x:row>
    <x:row r="493" spans="1:33" x14ac:dyDescent="0.25">
      <x:c r="A493" t="str">
        <x:f>"        Dimensional US Real Estate ETF"</x:f>
        <x:v xml:space="preserve">        Dimensional US Real Estate ETF</x:v>
      </x:c>
      <x:c r="B493" t="str">
        <x:f>"DFAR US Equity"</x:f>
        <x:v>DFAR US Equity</x:v>
      </x:c>
      <x:c r="E493" t="str">
        <x:f t="shared" ref="E493:E499" si="16">"Expression"</x:f>
        <x:v>Expression</x:v>
      </x:c>
      <x:c r="F493">
        <x:f ca="1">IF(AND($B$1012=1,LEN($F$1493)&gt;0),$F$1493,HLOOKUP(INDIRECT(ADDRESS(2,COLUMN())),OFFSET($T$2,0,0,ROW()-1,14),ROW()-1,FALSE))</x:f>
        <x:v>12.007975</x:v>
      </x:c>
      <x:c r="G493">
        <x:f ca="1">IF(AND($B$1012=1,LEN($G$1493)&gt;0),$G$1493,HLOOKUP(INDIRECT(ADDRESS(2,COLUMN())),OFFSET($T$2,0,0,ROW()-1,14),ROW()-1,FALSE))</x:f>
        <x:v>21.805785</x:v>
      </x:c>
      <x:c r="H493">
        <x:f ca="1">IF(AND($B$1012=1,LEN($H$1493)&gt;0),$H$1493,HLOOKUP(INDIRECT(ADDRESS(2,COLUMN())),OFFSET($T$2,0,0,ROW()-1,14),ROW()-1,FALSE))</x:f>
        <x:v>17.212070000000001</x:v>
      </x:c>
      <x:c r="I493">
        <x:f ca="1">IF(AND($B$1012=1,LEN($I$1493)&gt;0),$I$1493,HLOOKUP(INDIRECT(ADDRESS(2,COLUMN())),OFFSET($T$2,0,0,ROW()-1,14),ROW()-1,FALSE))</x:f>
        <x:v>20.113434999999999</x:v>
      </x:c>
      <x:c r="J493">
        <x:f ca="1">IF(AND($B$1012=1,LEN($J$1493)&gt;0),$J$1493,HLOOKUP(INDIRECT(ADDRESS(2,COLUMN())),OFFSET($T$2,0,0,ROW()-1,14),ROW()-1,FALSE))</x:f>
        <x:v>24.165984999999999</x:v>
      </x:c>
      <x:c r="K493">
        <x:f ca="1">IF(AND($B$1012=1,LEN($K$1493)&gt;0),$K$1493,HLOOKUP(INDIRECT(ADDRESS(2,COLUMN())),OFFSET($T$2,0,0,ROW()-1,14),ROW()-1,FALSE))</x:f>
        <x:v>16.916029999999999</x:v>
      </x:c>
      <x:c r="L493">
        <x:f ca="1">IF(AND($B$1012=1,LEN($L$1493)&gt;0),$L$1493,HLOOKUP(INDIRECT(ADDRESS(2,COLUMN())),OFFSET($T$2,0,0,ROW()-1,14),ROW()-1,FALSE))</x:f>
        <x:v>46.178604999999997</x:v>
      </x:c>
      <x:c r="M493">
        <x:f ca="1">IF(AND($B$1012=1,LEN($M$1493)&gt;0),$M$1493,HLOOKUP(INDIRECT(ADDRESS(2,COLUMN())),OFFSET($T$2,0,0,ROW()-1,14),ROW()-1,FALSE))</x:f>
        <x:v>34.977710000000002</x:v>
      </x:c>
      <x:c r="N493">
        <x:f ca="1">IF(AND($B$1012=1,LEN($N$1493)&gt;0),$N$1493,HLOOKUP(INDIRECT(ADDRESS(2,COLUMN())),OFFSET($T$2,0,0,ROW()-1,14),ROW()-1,FALSE))</x:f>
        <x:v>13.801155</x:v>
      </x:c>
      <x:c r="O493">
        <x:f ca="1">IF(AND($B$1012=1,LEN($O$1493)&gt;0),$O$1493,HLOOKUP(INDIRECT(ADDRESS(2,COLUMN())),OFFSET($T$2,0,0,ROW()-1,14),ROW()-1,FALSE))</x:f>
        <x:v>36.458055000000002</x:v>
      </x:c>
      <x:c r="P493">
        <x:f ca="1">IF(AND($B$1012=1,LEN($P$1493)&gt;0),$P$1493,HLOOKUP(INDIRECT(ADDRESS(2,COLUMN())),OFFSET($T$2,0,0,ROW()-1,14),ROW()-1,FALSE))</x:f>
        <x:v>71.006699999999995</x:v>
      </x:c>
      <x:c r="Q493">
        <x:f ca="1">IF(AND($B$1012=1,LEN($Q$1493)&gt;0),$Q$1493,HLOOKUP(INDIRECT(ADDRESS(2,COLUMN())),OFFSET($T$2,0,0,ROW()-1,14),ROW()-1,FALSE))</x:f>
        <x:v>105.68890500000001</x:v>
      </x:c>
      <x:c r="R493">
        <x:f ca="1">IF(AND($B$1012=1,LEN($R$1493)&gt;0),$R$1493,HLOOKUP(INDIRECT(ADDRESS(2,COLUMN())),OFFSET($T$2,0,0,ROW()-1,14),ROW()-1,FALSE))</x:f>
        <x:v>59.084575000000001</x:v>
      </x:c>
      <x:c r="S493">
        <x:f ca="1">IF(AND($B$1012=1,LEN($S$1493)&gt;0),$S$1493,HLOOKUP(INDIRECT(ADDRESS(2,COLUMN())),OFFSET($T$2,0,0,ROW()-1,14),ROW()-1,FALSE))</x:f>
        <x:v>50.373184999999999</x:v>
      </x:c>
      <x:c r="T493">
        <x:f>12.007975</x:f>
        <x:v>12.007975</x:v>
      </x:c>
      <x:c r="U493">
        <x:f>21.805785</x:f>
        <x:v>21.805785</x:v>
      </x:c>
      <x:c r="V493">
        <x:f>17.21207</x:f>
        <x:v>17.212070000000001</x:v>
      </x:c>
      <x:c r="W493">
        <x:f>20.113435</x:f>
        <x:v>20.113434999999999</x:v>
      </x:c>
      <x:c r="X493">
        <x:f>24.165985</x:f>
        <x:v>24.165984999999999</x:v>
      </x:c>
      <x:c r="Y493">
        <x:f>16.91603</x:f>
        <x:v>16.916029999999999</x:v>
      </x:c>
      <x:c r="Z493">
        <x:f>46.178605</x:f>
        <x:v>46.178604999999997</x:v>
      </x:c>
      <x:c r="AA493">
        <x:f>34.97771</x:f>
        <x:v>34.977710000000002</x:v>
      </x:c>
      <x:c r="AB493">
        <x:f>13.801155</x:f>
        <x:v>13.801155</x:v>
      </x:c>
      <x:c r="AC493">
        <x:f>36.458055</x:f>
        <x:v>36.458055000000002</x:v>
      </x:c>
      <x:c r="AD493">
        <x:f>71.0067</x:f>
        <x:v>71.006699999999995</x:v>
      </x:c>
      <x:c r="AE493">
        <x:f>105.688905</x:f>
        <x:v>105.68890500000001</x:v>
      </x:c>
      <x:c r="AF493">
        <x:f>59.084575</x:f>
        <x:v>59.084575000000001</x:v>
      </x:c>
      <x:c r="AG493">
        <x:f>50.373185</x:f>
        <x:v>50.373184999999999</x:v>
      </x:c>
    </x:row>
    <x:row r="494" spans="1:33" x14ac:dyDescent="0.25">
      <x:c r="A494" t="str">
        <x:f>"        Kelly Residential &amp; Apartment"</x:f>
        <x:v xml:space="preserve">        Kelly Residential &amp; Apartment</x:v>
      </x:c>
      <x:c r="B494" t="str">
        <x:f>"RESI US Equity"</x:f>
        <x:v>RESI US Equity</x:v>
      </x:c>
      <x:c r="E494" t="str">
        <x:f t="shared" si="16"/>
        <x:v>Expression</x:v>
      </x:c>
      <x:c r="F494">
        <x:f ca="1">IF(AND($B$1012=1,LEN($F$1494)&gt;0),$F$1494,HLOOKUP(INDIRECT(ADDRESS(2,COLUMN())),OFFSET($T$2,0,0,ROW()-1,14),ROW()-1,FALSE))</x:f>
        <x:v>0.24054800000000001</x:v>
      </x:c>
      <x:c r="G494">
        <x:f ca="1">IF(AND($B$1012=1,LEN($G$1494)&gt;0),$G$1494,HLOOKUP(INDIRECT(ADDRESS(2,COLUMN())),OFFSET($T$2,0,0,ROW()-1,14),ROW()-1,FALSE))</x:f>
        <x:v>0</x:v>
      </x:c>
      <x:c r="H494">
        <x:f ca="1">IF(AND($B$1012=1,LEN($H$1494)&gt;0),$H$1494,HLOOKUP(INDIRECT(ADDRESS(2,COLUMN())),OFFSET($T$2,0,0,ROW()-1,14),ROW()-1,FALSE))</x:f>
        <x:v>0</x:v>
      </x:c>
      <x:c r="I494">
        <x:f ca="1">IF(AND($B$1012=1,LEN($I$1494)&gt;0),$I$1494,HLOOKUP(INDIRECT(ADDRESS(2,COLUMN())),OFFSET($T$2,0,0,ROW()-1,14),ROW()-1,FALSE))</x:f>
        <x:v>0</x:v>
      </x:c>
      <x:c r="J494">
        <x:f ca="1">IF(AND($B$1012=1,LEN($J$1494)&gt;0),$J$1494,HLOOKUP(INDIRECT(ADDRESS(2,COLUMN())),OFFSET($T$2,0,0,ROW()-1,14),ROW()-1,FALSE))</x:f>
        <x:v>0.27463500000000002</x:v>
      </x:c>
      <x:c r="K494">
        <x:f ca="1">IF(AND($B$1012=1,LEN($K$1494)&gt;0),$K$1494,HLOOKUP(INDIRECT(ADDRESS(2,COLUMN())),OFFSET($T$2,0,0,ROW()-1,14),ROW()-1,FALSE))</x:f>
        <x:v>0</x:v>
      </x:c>
      <x:c r="L494">
        <x:f ca="1">IF(AND($B$1012=1,LEN($L$1494)&gt;0),$L$1494,HLOOKUP(INDIRECT(ADDRESS(2,COLUMN())),OFFSET($T$2,0,0,ROW()-1,14),ROW()-1,FALSE))</x:f>
        <x:v>0</x:v>
      </x:c>
      <x:c r="M494">
        <x:f ca="1">IF(AND($B$1012=1,LEN($M$1494)&gt;0),$M$1494,HLOOKUP(INDIRECT(ADDRESS(2,COLUMN())),OFFSET($T$2,0,0,ROW()-1,14),ROW()-1,FALSE))</x:f>
        <x:v>0</x:v>
      </x:c>
      <x:c r="N494">
        <x:f ca="1">IF(AND($B$1012=1,LEN($N$1494)&gt;0),$N$1494,HLOOKUP(INDIRECT(ADDRESS(2,COLUMN())),OFFSET($T$2,0,0,ROW()-1,14),ROW()-1,FALSE))</x:f>
        <x:v>0</x:v>
      </x:c>
      <x:c r="O494">
        <x:f ca="1">IF(AND($B$1012=1,LEN($O$1494)&gt;0),$O$1494,HLOOKUP(INDIRECT(ADDRESS(2,COLUMN())),OFFSET($T$2,0,0,ROW()-1,14),ROW()-1,FALSE))</x:f>
        <x:v>0</x:v>
      </x:c>
      <x:c r="P494">
        <x:f ca="1">IF(AND($B$1012=1,LEN($P$1494)&gt;0),$P$1494,HLOOKUP(INDIRECT(ADDRESS(2,COLUMN())),OFFSET($T$2,0,0,ROW()-1,14),ROW()-1,FALSE))</x:f>
        <x:v>0.27123799999999998</x:v>
      </x:c>
      <x:c r="Q494">
        <x:f ca="1">IF(AND($B$1012=1,LEN($Q$1494)&gt;0),$Q$1494,HLOOKUP(INDIRECT(ADDRESS(2,COLUMN())),OFFSET($T$2,0,0,ROW()-1,14),ROW()-1,FALSE))</x:f>
        <x:v>0</x:v>
      </x:c>
      <x:c r="R494">
        <x:f ca="1">IF(AND($B$1012=1,LEN($R$1494)&gt;0),$R$1494,HLOOKUP(INDIRECT(ADDRESS(2,COLUMN())),OFFSET($T$2,0,0,ROW()-1,14),ROW()-1,FALSE))</x:f>
        <x:v>0</x:v>
      </x:c>
      <x:c r="S494">
        <x:f ca="1">IF(AND($B$1012=1,LEN($S$1494)&gt;0),$S$1494,HLOOKUP(INDIRECT(ADDRESS(2,COLUMN())),OFFSET($T$2,0,0,ROW()-1,14),ROW()-1,FALSE))</x:f>
        <x:v>0</x:v>
      </x:c>
      <x:c r="T494">
        <x:f>0.240548</x:f>
        <x:v>0.24054800000000001</x:v>
      </x:c>
      <x:c r="U494">
        <x:f>0</x:f>
        <x:v>0</x:v>
      </x:c>
      <x:c r="V494">
        <x:f>0</x:f>
        <x:v>0</x:v>
      </x:c>
      <x:c r="W494">
        <x:f>0</x:f>
        <x:v>0</x:v>
      </x:c>
      <x:c r="X494">
        <x:f>0.274635</x:f>
        <x:v>0.27463500000000002</x:v>
      </x:c>
      <x:c r="Y494">
        <x:f>0</x:f>
        <x:v>0</x:v>
      </x:c>
      <x:c r="Z494">
        <x:f>0</x:f>
        <x:v>0</x:v>
      </x:c>
      <x:c r="AA494">
        <x:f>0</x:f>
        <x:v>0</x:v>
      </x:c>
      <x:c r="AB494">
        <x:f>0</x:f>
        <x:v>0</x:v>
      </x:c>
      <x:c r="AC494">
        <x:f>0</x:f>
        <x:v>0</x:v>
      </x:c>
      <x:c r="AD494">
        <x:f>0.271238</x:f>
        <x:v>0.27123799999999998</x:v>
      </x:c>
      <x:c r="AE494">
        <x:f>0</x:f>
        <x:v>0</x:v>
      </x:c>
      <x:c r="AF494">
        <x:f>0</x:f>
        <x:v>0</x:v>
      </x:c>
      <x:c r="AG494">
        <x:f>0</x:f>
        <x:v>0</x:v>
      </x:c>
    </x:row>
    <x:row r="495" spans="1:33" x14ac:dyDescent="0.25">
      <x:c r="A495" t="str">
        <x:f>"        Residential REIT Income ETF"</x:f>
        <x:v xml:space="preserve">        Residential REIT Income ETF</x:v>
      </x:c>
      <x:c r="B495" t="str">
        <x:f>"HAUS US Equity"</x:f>
        <x:v>HAUS US Equity</x:v>
      </x:c>
      <x:c r="E495" t="str">
        <x:f t="shared" si="16"/>
        <x:v>Expression</x:v>
      </x:c>
      <x:c r="F495">
        <x:f ca="1">IF(AND($B$1012=1,LEN($F$1495)&gt;0),$F$1495,HLOOKUP(INDIRECT(ADDRESS(2,COLUMN())),OFFSET($T$2,0,0,ROW()-1,14),ROW()-1,FALSE))</x:f>
        <x:v>0</x:v>
      </x:c>
      <x:c r="G495">
        <x:f ca="1">IF(AND($B$1012=1,LEN($G$1495)&gt;0),$G$1495,HLOOKUP(INDIRECT(ADDRESS(2,COLUMN())),OFFSET($T$2,0,0,ROW()-1,14),ROW()-1,FALSE))</x:f>
        <x:v>-1.3443830000000001</x:v>
      </x:c>
      <x:c r="H495">
        <x:f ca="1">IF(AND($B$1012=1,LEN($H$1495)&gt;0),$H$1495,HLOOKUP(INDIRECT(ADDRESS(2,COLUMN())),OFFSET($T$2,0,0,ROW()-1,14),ROW()-1,FALSE))</x:f>
        <x:v>0</x:v>
      </x:c>
      <x:c r="I495">
        <x:f ca="1">IF(AND($B$1012=1,LEN($I$1495)&gt;0),$I$1495,HLOOKUP(INDIRECT(ADDRESS(2,COLUMN())),OFFSET($T$2,0,0,ROW()-1,14),ROW()-1,FALSE))</x:f>
        <x:v>0</x:v>
      </x:c>
      <x:c r="J495">
        <x:f ca="1">IF(AND($B$1012=1,LEN($J$1495)&gt;0),$J$1495,HLOOKUP(INDIRECT(ADDRESS(2,COLUMN())),OFFSET($T$2,0,0,ROW()-1,14),ROW()-1,FALSE))</x:f>
        <x:v>0</x:v>
      </x:c>
      <x:c r="K495">
        <x:f ca="1">IF(AND($B$1012=1,LEN($K$1495)&gt;0),$K$1495,HLOOKUP(INDIRECT(ADDRESS(2,COLUMN())),OFFSET($T$2,0,0,ROW()-1,14),ROW()-1,FALSE))</x:f>
        <x:v>0.32562200000000002</x:v>
      </x:c>
      <x:c r="L495">
        <x:f ca="1">IF(AND($B$1012=1,LEN($L$1495)&gt;0),$L$1495,HLOOKUP(INDIRECT(ADDRESS(2,COLUMN())),OFFSET($T$2,0,0,ROW()-1,14),ROW()-1,FALSE))</x:f>
        <x:v>-0.464754</x:v>
      </x:c>
      <x:c r="M495">
        <x:f ca="1">IF(AND($B$1012=1,LEN($M$1495)&gt;0),$M$1495,HLOOKUP(INDIRECT(ADDRESS(2,COLUMN())),OFFSET($T$2,0,0,ROW()-1,14),ROW()-1,FALSE))</x:f>
        <x:v>0</x:v>
      </x:c>
      <x:c r="N495">
        <x:f ca="1">IF(AND($B$1012=1,LEN($N$1495)&gt;0),$N$1495,HLOOKUP(INDIRECT(ADDRESS(2,COLUMN())),OFFSET($T$2,0,0,ROW()-1,14),ROW()-1,FALSE))</x:f>
        <x:v>0.64707199999999998</x:v>
      </x:c>
      <x:c r="O495">
        <x:f ca="1">IF(AND($B$1012=1,LEN($O$1495)&gt;0),$O$1495,HLOOKUP(INDIRECT(ADDRESS(2,COLUMN())),OFFSET($T$2,0,0,ROW()-1,14),ROW()-1,FALSE))</x:f>
        <x:v>0</x:v>
      </x:c>
      <x:c r="P495">
        <x:f ca="1">IF(AND($B$1012=1,LEN($P$1495)&gt;0),$P$1495,HLOOKUP(INDIRECT(ADDRESS(2,COLUMN())),OFFSET($T$2,0,0,ROW()-1,14),ROW()-1,FALSE))</x:f>
        <x:v>0</x:v>
      </x:c>
      <x:c r="Q495">
        <x:f ca="1">IF(AND($B$1012=1,LEN($Q$1495)&gt;0),$Q$1495,HLOOKUP(INDIRECT(ADDRESS(2,COLUMN())),OFFSET($T$2,0,0,ROW()-1,14),ROW()-1,FALSE))</x:f>
        <x:v>0</x:v>
      </x:c>
      <x:c r="R495">
        <x:f ca="1">IF(AND($B$1012=1,LEN($R$1495)&gt;0),$R$1495,HLOOKUP(INDIRECT(ADDRESS(2,COLUMN())),OFFSET($T$2,0,0,ROW()-1,14),ROW()-1,FALSE))</x:f>
        <x:v>0</x:v>
      </x:c>
      <x:c r="S495">
        <x:f ca="1">IF(AND($B$1012=1,LEN($S$1495)&gt;0),$S$1495,HLOOKUP(INDIRECT(ADDRESS(2,COLUMN())),OFFSET($T$2,0,0,ROW()-1,14),ROW()-1,FALSE))</x:f>
        <x:v>0.76704000000000006</x:v>
      </x:c>
      <x:c r="T495">
        <x:f>0</x:f>
        <x:v>0</x:v>
      </x:c>
      <x:c r="U495">
        <x:f>-1.344383</x:f>
        <x:v>-1.3443830000000001</x:v>
      </x:c>
      <x:c r="V495">
        <x:f>0</x:f>
        <x:v>0</x:v>
      </x:c>
      <x:c r="W495">
        <x:f>0</x:f>
        <x:v>0</x:v>
      </x:c>
      <x:c r="X495">
        <x:f>0</x:f>
        <x:v>0</x:v>
      </x:c>
      <x:c r="Y495">
        <x:f>0.325622</x:f>
        <x:v>0.32562200000000002</x:v>
      </x:c>
      <x:c r="Z495">
        <x:f>-0.464754</x:f>
        <x:v>-0.464754</x:v>
      </x:c>
      <x:c r="AA495">
        <x:f>0</x:f>
        <x:v>0</x:v>
      </x:c>
      <x:c r="AB495">
        <x:f>0.647072</x:f>
        <x:v>0.64707199999999998</x:v>
      </x:c>
      <x:c r="AC495">
        <x:f>0</x:f>
        <x:v>0</x:v>
      </x:c>
      <x:c r="AD495">
        <x:f>0</x:f>
        <x:v>0</x:v>
      </x:c>
      <x:c r="AE495">
        <x:f>0</x:f>
        <x:v>0</x:v>
      </x:c>
      <x:c r="AF495">
        <x:f>0</x:f>
        <x:v>0</x:v>
      </x:c>
      <x:c r="AG495">
        <x:f>0.76704</x:f>
        <x:v>0.76704000000000006</x:v>
      </x:c>
    </x:row>
    <x:row r="496" spans="1:33" x14ac:dyDescent="0.25">
      <x:c r="A496" t="str">
        <x:f>"        Principal Real Estate Active O"</x:f>
        <x:v xml:space="preserve">        Principal Real Estate Active O</x:v>
      </x:c>
      <x:c r="B496" t="str">
        <x:f>"BYRE US Equity"</x:f>
        <x:v>BYRE US Equity</x:v>
      </x:c>
      <x:c r="E496" t="str">
        <x:f t="shared" si="16"/>
        <x:v>Expression</x:v>
      </x:c>
      <x:c r="F496">
        <x:f ca="1">IF(AND($B$1012=1,LEN($F$1496)&gt;0),$F$1496,HLOOKUP(INDIRECT(ADDRESS(2,COLUMN())),OFFSET($T$2,0,0,ROW()-1,14),ROW()-1,FALSE))</x:f>
        <x:v>0</x:v>
      </x:c>
      <x:c r="G496">
        <x:f ca="1">IF(AND($B$1012=1,LEN($G$1496)&gt;0),$G$1496,HLOOKUP(INDIRECT(ADDRESS(2,COLUMN())),OFFSET($T$2,0,0,ROW()-1,14),ROW()-1,FALSE))</x:f>
        <x:v>2.8808050000000001</x:v>
      </x:c>
      <x:c r="H496">
        <x:f ca="1">IF(AND($B$1012=1,LEN($H$1496)&gt;0),$H$1496,HLOOKUP(INDIRECT(ADDRESS(2,COLUMN())),OFFSET($T$2,0,0,ROW()-1,14),ROW()-1,FALSE))</x:f>
        <x:v>0</x:v>
      </x:c>
      <x:c r="I496">
        <x:f ca="1">IF(AND($B$1012=1,LEN($I$1496)&gt;0),$I$1496,HLOOKUP(INDIRECT(ADDRESS(2,COLUMN())),OFFSET($T$2,0,0,ROW()-1,14),ROW()-1,FALSE))</x:f>
        <x:v>0</x:v>
      </x:c>
      <x:c r="J496">
        <x:f ca="1">IF(AND($B$1012=1,LEN($J$1496)&gt;0),$J$1496,HLOOKUP(INDIRECT(ADDRESS(2,COLUMN())),OFFSET($T$2,0,0,ROW()-1,14),ROW()-1,FALSE))</x:f>
        <x:v>0</x:v>
      </x:c>
      <x:c r="K496">
        <x:f ca="1">IF(AND($B$1012=1,LEN($K$1496)&gt;0),$K$1496,HLOOKUP(INDIRECT(ADDRESS(2,COLUMN())),OFFSET($T$2,0,0,ROW()-1,14),ROW()-1,FALSE))</x:f>
        <x:v>0</x:v>
      </x:c>
      <x:c r="L496">
        <x:f ca="1">IF(AND($B$1012=1,LEN($L$1496)&gt;0),$L$1496,HLOOKUP(INDIRECT(ADDRESS(2,COLUMN())),OFFSET($T$2,0,0,ROW()-1,14),ROW()-1,FALSE))</x:f>
        <x:v>0.43684000000000001</x:v>
      </x:c>
      <x:c r="M496">
        <x:f ca="1">IF(AND($B$1012=1,LEN($M$1496)&gt;0),$M$1496,HLOOKUP(INDIRECT(ADDRESS(2,COLUMN())),OFFSET($T$2,0,0,ROW()-1,14),ROW()-1,FALSE))</x:f>
        <x:v>0</x:v>
      </x:c>
      <x:c r="N496">
        <x:f ca="1">IF(AND($B$1012=1,LEN($N$1496)&gt;0),$N$1496,HLOOKUP(INDIRECT(ADDRESS(2,COLUMN())),OFFSET($T$2,0,0,ROW()-1,14),ROW()-1,FALSE))</x:f>
        <x:v>0</x:v>
      </x:c>
      <x:c r="O496">
        <x:f ca="1">IF(AND($B$1012=1,LEN($O$1496)&gt;0),$O$1496,HLOOKUP(INDIRECT(ADDRESS(2,COLUMN())),OFFSET($T$2,0,0,ROW()-1,14),ROW()-1,FALSE))</x:f>
        <x:v>0</x:v>
      </x:c>
      <x:c r="P496">
        <x:f ca="1">IF(AND($B$1012=1,LEN($P$1496)&gt;0),$P$1496,HLOOKUP(INDIRECT(ADDRESS(2,COLUMN())),OFFSET($T$2,0,0,ROW()-1,14),ROW()-1,FALSE))</x:f>
        <x:v>0</x:v>
      </x:c>
      <x:c r="Q496">
        <x:f ca="1">IF(AND($B$1012=1,LEN($Q$1496)&gt;0),$Q$1496,HLOOKUP(INDIRECT(ADDRESS(2,COLUMN())),OFFSET($T$2,0,0,ROW()-1,14),ROW()-1,FALSE))</x:f>
        <x:v>0</x:v>
      </x:c>
      <x:c r="R496">
        <x:f ca="1">IF(AND($B$1012=1,LEN($R$1496)&gt;0),$R$1496,HLOOKUP(INDIRECT(ADDRESS(2,COLUMN())),OFFSET($T$2,0,0,ROW()-1,14),ROW()-1,FALSE))</x:f>
        <x:v>0</x:v>
      </x:c>
      <x:c r="S496">
        <x:f ca="1">IF(AND($B$1012=1,LEN($S$1496)&gt;0),$S$1496,HLOOKUP(INDIRECT(ADDRESS(2,COLUMN())),OFFSET($T$2,0,0,ROW()-1,14),ROW()-1,FALSE))</x:f>
        <x:v>0</x:v>
      </x:c>
      <x:c r="T496">
        <x:f>0</x:f>
        <x:v>0</x:v>
      </x:c>
      <x:c r="U496">
        <x:f>2.880805</x:f>
        <x:v>2.8808050000000001</x:v>
      </x:c>
      <x:c r="V496">
        <x:f>0</x:f>
        <x:v>0</x:v>
      </x:c>
      <x:c r="W496">
        <x:f>0</x:f>
        <x:v>0</x:v>
      </x:c>
      <x:c r="X496">
        <x:f>0</x:f>
        <x:v>0</x:v>
      </x:c>
      <x:c r="Y496">
        <x:f>0</x:f>
        <x:v>0</x:v>
      </x:c>
      <x:c r="Z496">
        <x:f>0.43684</x:f>
        <x:v>0.43684000000000001</x:v>
      </x:c>
      <x:c r="AA496">
        <x:f>0</x:f>
        <x:v>0</x:v>
      </x:c>
      <x:c r="AB496">
        <x:f>0</x:f>
        <x:v>0</x:v>
      </x:c>
      <x:c r="AC496">
        <x:f>0</x:f>
        <x:v>0</x:v>
      </x:c>
      <x:c r="AD496">
        <x:f>0</x:f>
        <x:v>0</x:v>
      </x:c>
      <x:c r="AE496">
        <x:f>0</x:f>
        <x:v>0</x:v>
      </x:c>
      <x:c r="AF496">
        <x:f>0</x:f>
        <x:v>0</x:v>
      </x:c>
      <x:c r="AG496">
        <x:f>0</x:f>
        <x:v>0</x:v>
      </x:c>
    </x:row>
    <x:row r="497" spans="1:33" x14ac:dyDescent="0.25">
      <x:c r="A497" t="str">
        <x:f>"        Dimensional Global Real Estate"</x:f>
        <x:v xml:space="preserve">        Dimensional Global Real Estate</x:v>
      </x:c>
      <x:c r="B497" t="str">
        <x:f>"DFGR US Equity"</x:f>
        <x:v>DFGR US Equity</x:v>
      </x:c>
      <x:c r="E497" t="str">
        <x:f t="shared" si="16"/>
        <x:v>Expression</x:v>
      </x:c>
      <x:c r="F497">
        <x:f ca="1">IF(AND($B$1012=1,LEN($F$1497)&gt;0),$F$1497,HLOOKUP(INDIRECT(ADDRESS(2,COLUMN())),OFFSET($T$2,0,0,ROW()-1,14),ROW()-1,FALSE))</x:f>
        <x:v>111.769425</x:v>
      </x:c>
      <x:c r="G497">
        <x:f ca="1">IF(AND($B$1012=1,LEN($G$1497)&gt;0),$G$1497,HLOOKUP(INDIRECT(ADDRESS(2,COLUMN())),OFFSET($T$2,0,0,ROW()-1,14),ROW()-1,FALSE))</x:f>
        <x:v>151.06944999999999</x:v>
      </x:c>
      <x:c r="H497">
        <x:f ca="1">IF(AND($B$1012=1,LEN($H$1497)&gt;0),$H$1497,HLOOKUP(INDIRECT(ADDRESS(2,COLUMN())),OFFSET($T$2,0,0,ROW()-1,14),ROW()-1,FALSE))</x:f>
        <x:v>72.861064999999996</x:v>
      </x:c>
      <x:c r="I497">
        <x:f ca="1">IF(AND($B$1012=1,LEN($I$1497)&gt;0),$I$1497,HLOOKUP(INDIRECT(ADDRESS(2,COLUMN())),OFFSET($T$2,0,0,ROW()-1,14),ROW()-1,FALSE))</x:f>
        <x:v>93.098115000000007</x:v>
      </x:c>
      <x:c r="J497">
        <x:f ca="1">IF(AND($B$1012=1,LEN($J$1497)&gt;0),$J$1497,HLOOKUP(INDIRECT(ADDRESS(2,COLUMN())),OFFSET($T$2,0,0,ROW()-1,14),ROW()-1,FALSE))</x:f>
        <x:v>76.263064999999997</x:v>
      </x:c>
      <x:c r="K497">
        <x:f ca="1">IF(AND($B$1012=1,LEN($K$1497)&gt;0),$K$1497,HLOOKUP(INDIRECT(ADDRESS(2,COLUMN())),OFFSET($T$2,0,0,ROW()-1,14),ROW()-1,FALSE))</x:f>
        <x:v>201.70558</x:v>
      </x:c>
      <x:c r="L497">
        <x:f ca="1">IF(AND($B$1012=1,LEN($L$1497)&gt;0),$L$1497,HLOOKUP(INDIRECT(ADDRESS(2,COLUMN())),OFFSET($T$2,0,0,ROW()-1,14),ROW()-1,FALSE))</x:f>
        <x:v>63.090060000000001</x:v>
      </x:c>
      <x:c r="M497">
        <x:f ca="1">IF(AND($B$1012=1,LEN($M$1497)&gt;0),$M$1497,HLOOKUP(INDIRECT(ADDRESS(2,COLUMN())),OFFSET($T$2,0,0,ROW()-1,14),ROW()-1,FALSE))</x:f>
        <x:v>53.948345000000003</x:v>
      </x:c>
      <x:c r="N497">
        <x:f ca="1">IF(AND($B$1012=1,LEN($N$1497)&gt;0),$N$1497,HLOOKUP(INDIRECT(ADDRESS(2,COLUMN())),OFFSET($T$2,0,0,ROW()-1,14),ROW()-1,FALSE))</x:f>
        <x:v>77.985709999999997</x:v>
      </x:c>
      <x:c r="O497">
        <x:f ca="1">IF(AND($B$1012=1,LEN($O$1497)&gt;0),$O$1497,HLOOKUP(INDIRECT(ADDRESS(2,COLUMN())),OFFSET($T$2,0,0,ROW()-1,14),ROW()-1,FALSE))</x:f>
        <x:v>35.431789999999999</x:v>
      </x:c>
      <x:c r="P497">
        <x:f ca="1">IF(AND($B$1012=1,LEN($P$1497)&gt;0),$P$1497,HLOOKUP(INDIRECT(ADDRESS(2,COLUMN())),OFFSET($T$2,0,0,ROW()-1,14),ROW()-1,FALSE))</x:f>
        <x:v>45.084294999999997</x:v>
      </x:c>
      <x:c r="Q497">
        <x:f ca="1">IF(AND($B$1012=1,LEN($Q$1497)&gt;0),$Q$1497,HLOOKUP(INDIRECT(ADDRESS(2,COLUMN())),OFFSET($T$2,0,0,ROW()-1,14),ROW()-1,FALSE))</x:f>
        <x:v>203.514375</x:v>
      </x:c>
      <x:c r="R497" t="str">
        <x:f ca="1">IF(AND($B$1012=1,LEN($R$1497)&gt;0),$R$1497,HLOOKUP(INDIRECT(ADDRESS(2,COLUMN())),OFFSET($T$2,0,0,ROW()-1,14),ROW()-1,FALSE))</x:f>
        <x:v/>
      </x:c>
      <x:c r="S497" t="str">
        <x:f ca="1">IF(AND($B$1012=1,LEN($S$1497)&gt;0),$S$1497,HLOOKUP(INDIRECT(ADDRESS(2,COLUMN())),OFFSET($T$2,0,0,ROW()-1,14),ROW()-1,FALSE))</x:f>
        <x:v/>
      </x:c>
      <x:c r="T497">
        <x:f>111.769425</x:f>
        <x:v>111.769425</x:v>
      </x:c>
      <x:c r="U497">
        <x:f>151.06945</x:f>
        <x:v>151.06944999999999</x:v>
      </x:c>
      <x:c r="V497">
        <x:f>72.861065</x:f>
        <x:v>72.861064999999996</x:v>
      </x:c>
      <x:c r="W497">
        <x:f>93.098115</x:f>
        <x:v>93.098115000000007</x:v>
      </x:c>
      <x:c r="X497">
        <x:f>76.263065</x:f>
        <x:v>76.263064999999997</x:v>
      </x:c>
      <x:c r="Y497">
        <x:f>201.70558</x:f>
        <x:v>201.70558</x:v>
      </x:c>
      <x:c r="Z497">
        <x:f>63.09006</x:f>
        <x:v>63.090060000000001</x:v>
      </x:c>
      <x:c r="AA497">
        <x:f>53.948345</x:f>
        <x:v>53.948345000000003</x:v>
      </x:c>
      <x:c r="AB497">
        <x:f>77.98571</x:f>
        <x:v>77.985709999999997</x:v>
      </x:c>
      <x:c r="AC497">
        <x:f>35.43179</x:f>
        <x:v>35.431789999999999</x:v>
      </x:c>
      <x:c r="AD497">
        <x:f>45.084295</x:f>
        <x:v>45.084294999999997</x:v>
      </x:c>
      <x:c r="AE497">
        <x:f>203.514375</x:f>
        <x:v>203.514375</x:v>
      </x:c>
      <x:c r="AF497" t="str">
        <x:f>""</x:f>
        <x:v/>
      </x:c>
      <x:c r="AG497" t="str">
        <x:f>""</x:f>
        <x:v/>
      </x:c>
    </x:row>
    <x:row r="498" spans="1:33" x14ac:dyDescent="0.25">
      <x:c r="A498" t="str">
        <x:f>"        iShares Environmentally Aware"</x:f>
        <x:v xml:space="preserve">        iShares Environmentally Aware</x:v>
      </x:c>
      <x:c r="B498" t="str">
        <x:f>"ERET US Equity"</x:f>
        <x:v>ERET US Equity</x:v>
      </x:c>
      <x:c r="E498" t="str">
        <x:f t="shared" si="16"/>
        <x:v>Expression</x:v>
      </x:c>
      <x:c r="F498">
        <x:f ca="1">IF(AND($B$1012=1,LEN($F$1498)&gt;0),$F$1498,HLOOKUP(INDIRECT(ADDRESS(2,COLUMN())),OFFSET($T$2,0,0,ROW()-1,14),ROW()-1,FALSE))</x:f>
        <x:v>0</x:v>
      </x:c>
      <x:c r="G498">
        <x:f ca="1">IF(AND($B$1012=1,LEN($G$1498)&gt;0),$G$1498,HLOOKUP(INDIRECT(ADDRESS(2,COLUMN())),OFFSET($T$2,0,0,ROW()-1,14),ROW()-1,FALSE))</x:f>
        <x:v>0</x:v>
      </x:c>
      <x:c r="H498">
        <x:f ca="1">IF(AND($B$1012=1,LEN($H$1498)&gt;0),$H$1498,HLOOKUP(INDIRECT(ADDRESS(2,COLUMN())),OFFSET($T$2,0,0,ROW()-1,14),ROW()-1,FALSE))</x:f>
        <x:v>0</x:v>
      </x:c>
      <x:c r="I498">
        <x:f ca="1">IF(AND($B$1012=1,LEN($I$1498)&gt;0),$I$1498,HLOOKUP(INDIRECT(ADDRESS(2,COLUMN())),OFFSET($T$2,0,0,ROW()-1,14),ROW()-1,FALSE))</x:f>
        <x:v>0</x:v>
      </x:c>
      <x:c r="J498">
        <x:f ca="1">IF(AND($B$1012=1,LEN($J$1498)&gt;0),$J$1498,HLOOKUP(INDIRECT(ADDRESS(2,COLUMN())),OFFSET($T$2,0,0,ROW()-1,14),ROW()-1,FALSE))</x:f>
        <x:v>0</x:v>
      </x:c>
      <x:c r="K498">
        <x:f ca="1">IF(AND($B$1012=1,LEN($K$1498)&gt;0),$K$1498,HLOOKUP(INDIRECT(ADDRESS(2,COLUMN())),OFFSET($T$2,0,0,ROW()-1,14),ROW()-1,FALSE))</x:f>
        <x:v>0</x:v>
      </x:c>
      <x:c r="L498">
        <x:f ca="1">IF(AND($B$1012=1,LEN($L$1498)&gt;0),$L$1498,HLOOKUP(INDIRECT(ADDRESS(2,COLUMN())),OFFSET($T$2,0,0,ROW()-1,14),ROW()-1,FALSE))</x:f>
        <x:v>0</x:v>
      </x:c>
      <x:c r="M498">
        <x:f ca="1">IF(AND($B$1012=1,LEN($M$1498)&gt;0),$M$1498,HLOOKUP(INDIRECT(ADDRESS(2,COLUMN())),OFFSET($T$2,0,0,ROW()-1,14),ROW()-1,FALSE))</x:f>
        <x:v>0</x:v>
      </x:c>
      <x:c r="N498">
        <x:f ca="1">IF(AND($B$1012=1,LEN($N$1498)&gt;0),$N$1498,HLOOKUP(INDIRECT(ADDRESS(2,COLUMN())),OFFSET($T$2,0,0,ROW()-1,14),ROW()-1,FALSE))</x:f>
        <x:v>0</x:v>
      </x:c>
      <x:c r="O498">
        <x:f ca="1">IF(AND($B$1012=1,LEN($O$1498)&gt;0),$O$1498,HLOOKUP(INDIRECT(ADDRESS(2,COLUMN())),OFFSET($T$2,0,0,ROW()-1,14),ROW()-1,FALSE))</x:f>
        <x:v>0</x:v>
      </x:c>
      <x:c r="P498">
        <x:f ca="1">IF(AND($B$1012=1,LEN($P$1498)&gt;0),$P$1498,HLOOKUP(INDIRECT(ADDRESS(2,COLUMN())),OFFSET($T$2,0,0,ROW()-1,14),ROW()-1,FALSE))</x:f>
        <x:v>0</x:v>
      </x:c>
      <x:c r="Q498">
        <x:f ca="1">IF(AND($B$1012=1,LEN($Q$1498)&gt;0),$Q$1498,HLOOKUP(INDIRECT(ADDRESS(2,COLUMN())),OFFSET($T$2,0,0,ROW()-1,14),ROW()-1,FALSE))</x:f>
        <x:v>0</x:v>
      </x:c>
      <x:c r="R498">
        <x:f ca="1">IF(AND($B$1012=1,LEN($R$1498)&gt;0),$R$1498,HLOOKUP(INDIRECT(ADDRESS(2,COLUMN())),OFFSET($T$2,0,0,ROW()-1,14),ROW()-1,FALSE))</x:f>
        <x:v>0</x:v>
      </x:c>
      <x:c r="S498" t="str">
        <x:f ca="1">IF(AND($B$1012=1,LEN($S$1498)&gt;0),$S$1498,HLOOKUP(INDIRECT(ADDRESS(2,COLUMN())),OFFSET($T$2,0,0,ROW()-1,14),ROW()-1,FALSE))</x:f>
        <x:v/>
      </x:c>
      <x:c r="T498">
        <x:f>0</x:f>
        <x:v>0</x:v>
      </x:c>
      <x:c r="U498">
        <x:f>0</x:f>
        <x:v>0</x:v>
      </x:c>
      <x:c r="V498">
        <x:f>0</x:f>
        <x:v>0</x:v>
      </x:c>
      <x:c r="W498">
        <x:f>0</x:f>
        <x:v>0</x:v>
      </x:c>
      <x:c r="X498">
        <x:f>0</x:f>
        <x:v>0</x:v>
      </x:c>
      <x:c r="Y498">
        <x:f>0</x:f>
        <x:v>0</x:v>
      </x:c>
      <x:c r="Z498">
        <x:f>0</x:f>
        <x:v>0</x:v>
      </x:c>
      <x:c r="AA498">
        <x:f>0</x:f>
        <x:v>0</x:v>
      </x:c>
      <x:c r="AB498">
        <x:f>0</x:f>
        <x:v>0</x:v>
      </x:c>
      <x:c r="AC498">
        <x:f>0</x:f>
        <x:v>0</x:v>
      </x:c>
      <x:c r="AD498">
        <x:f>0</x:f>
        <x:v>0</x:v>
      </x:c>
      <x:c r="AE498">
        <x:f>0</x:f>
        <x:v>0</x:v>
      </x:c>
      <x:c r="AF498">
        <x:f>0</x:f>
        <x:v>0</x:v>
      </x:c>
      <x:c r="AG498" t="str">
        <x:f>""</x:f>
        <x:v/>
      </x:c>
    </x:row>
    <x:row r="499" spans="1:33" x14ac:dyDescent="0.25">
      <x:c r="A499" t="str">
        <x:f>"        JPMorgan Realty Income ETF"</x:f>
        <x:v xml:space="preserve">        JPMorgan Realty Income ETF</x:v>
      </x:c>
      <x:c r="B499" t="str">
        <x:f>"JPRE US Equity"</x:f>
        <x:v>JPRE US Equity</x:v>
      </x:c>
      <x:c r="E499" t="str">
        <x:f t="shared" si="16"/>
        <x:v>Expression</x:v>
      </x:c>
      <x:c r="F499">
        <x:f ca="1">IF(AND($B$1012=1,LEN($F$1499)&gt;0),$F$1499,HLOOKUP(INDIRECT(ADDRESS(2,COLUMN())),OFFSET($T$2,0,0,ROW()-1,14),ROW()-1,FALSE))</x:f>
        <x:v>-2.9491239999999999</x:v>
      </x:c>
      <x:c r="G499">
        <x:f ca="1">IF(AND($B$1012=1,LEN($G$1499)&gt;0),$G$1499,HLOOKUP(INDIRECT(ADDRESS(2,COLUMN())),OFFSET($T$2,0,0,ROW()-1,14),ROW()-1,FALSE))</x:f>
        <x:v>4.7324640000000002</x:v>
      </x:c>
      <x:c r="H499">
        <x:f ca="1">IF(AND($B$1012=1,LEN($H$1499)&gt;0),$H$1499,HLOOKUP(INDIRECT(ADDRESS(2,COLUMN())),OFFSET($T$2,0,0,ROW()-1,14),ROW()-1,FALSE))</x:f>
        <x:v>-0.96873699999999996</x:v>
      </x:c>
      <x:c r="I499">
        <x:f ca="1">IF(AND($B$1012=1,LEN($I$1499)&gt;0),$I$1499,HLOOKUP(INDIRECT(ADDRESS(2,COLUMN())),OFFSET($T$2,0,0,ROW()-1,14),ROW()-1,FALSE))</x:f>
        <x:v>-1.0558339999999999</x:v>
      </x:c>
      <x:c r="J499">
        <x:f ca="1">IF(AND($B$1012=1,LEN($J$1499)&gt;0),$J$1499,HLOOKUP(INDIRECT(ADDRESS(2,COLUMN())),OFFSET($T$2,0,0,ROW()-1,14),ROW()-1,FALSE))</x:f>
        <x:v>-60.297787</x:v>
      </x:c>
      <x:c r="K499">
        <x:f ca="1">IF(AND($B$1012=1,LEN($K$1499)&gt;0),$K$1499,HLOOKUP(INDIRECT(ADDRESS(2,COLUMN())),OFFSET($T$2,0,0,ROW()-1,14),ROW()-1,FALSE))</x:f>
        <x:v>-30.196619999999999</x:v>
      </x:c>
      <x:c r="L499">
        <x:f ca="1">IF(AND($B$1012=1,LEN($L$1499)&gt;0),$L$1499,HLOOKUP(INDIRECT(ADDRESS(2,COLUMN())),OFFSET($T$2,0,0,ROW()-1,14),ROW()-1,FALSE))</x:f>
        <x:v>-11.524400999999999</x:v>
      </x:c>
      <x:c r="M499">
        <x:f ca="1">IF(AND($B$1012=1,LEN($M$1499)&gt;0),$M$1499,HLOOKUP(INDIRECT(ADDRESS(2,COLUMN())),OFFSET($T$2,0,0,ROW()-1,14),ROW()-1,FALSE))</x:f>
        <x:v>-56.664009999999998</x:v>
      </x:c>
      <x:c r="N499">
        <x:f ca="1">IF(AND($B$1012=1,LEN($N$1499)&gt;0),$N$1499,HLOOKUP(INDIRECT(ADDRESS(2,COLUMN())),OFFSET($T$2,0,0,ROW()-1,14),ROW()-1,FALSE))</x:f>
        <x:v>-1.054759</x:v>
      </x:c>
      <x:c r="O499">
        <x:f ca="1">IF(AND($B$1012=1,LEN($O$1499)&gt;0),$O$1499,HLOOKUP(INDIRECT(ADDRESS(2,COLUMN())),OFFSET($T$2,0,0,ROW()-1,14),ROW()-1,FALSE))</x:f>
        <x:v>-189.67598100000001</x:v>
      </x:c>
      <x:c r="P499">
        <x:f ca="1">IF(AND($B$1012=1,LEN($P$1499)&gt;0),$P$1499,HLOOKUP(INDIRECT(ADDRESS(2,COLUMN())),OFFSET($T$2,0,0,ROW()-1,14),ROW()-1,FALSE))</x:f>
        <x:v>5.48177</x:v>
      </x:c>
      <x:c r="Q499">
        <x:f ca="1">IF(AND($B$1012=1,LEN($Q$1499)&gt;0),$Q$1499,HLOOKUP(INDIRECT(ADDRESS(2,COLUMN())),OFFSET($T$2,0,0,ROW()-1,14),ROW()-1,FALSE))</x:f>
        <x:v>-91.748827000000006</x:v>
      </x:c>
      <x:c r="R499">
        <x:f ca="1">IF(AND($B$1012=1,LEN($R$1499)&gt;0),$R$1499,HLOOKUP(INDIRECT(ADDRESS(2,COLUMN())),OFFSET($T$2,0,0,ROW()-1,14),ROW()-1,FALSE))</x:f>
        <x:v>-21.532896999999998</x:v>
      </x:c>
      <x:c r="S499">
        <x:f ca="1">IF(AND($B$1012=1,LEN($S$1499)&gt;0),$S$1499,HLOOKUP(INDIRECT(ADDRESS(2,COLUMN())),OFFSET($T$2,0,0,ROW()-1,14),ROW()-1,FALSE))</x:f>
        <x:v>-40.038176</x:v>
      </x:c>
      <x:c r="T499">
        <x:f>-2.949124</x:f>
        <x:v>-2.9491239999999999</x:v>
      </x:c>
      <x:c r="U499">
        <x:f>4.732464</x:f>
        <x:v>4.7324640000000002</x:v>
      </x:c>
      <x:c r="V499">
        <x:f>-0.968737</x:f>
        <x:v>-0.96873699999999996</x:v>
      </x:c>
      <x:c r="W499">
        <x:f>-1.055834</x:f>
        <x:v>-1.0558339999999999</x:v>
      </x:c>
      <x:c r="X499">
        <x:f>-60.297787</x:f>
        <x:v>-60.297787</x:v>
      </x:c>
      <x:c r="Y499">
        <x:f>-30.19662</x:f>
        <x:v>-30.196619999999999</x:v>
      </x:c>
      <x:c r="Z499">
        <x:f>-11.524401</x:f>
        <x:v>-11.524400999999999</x:v>
      </x:c>
      <x:c r="AA499">
        <x:f>-56.66401</x:f>
        <x:v>-56.664009999999998</x:v>
      </x:c>
      <x:c r="AB499">
        <x:f>-1.054759</x:f>
        <x:v>-1.054759</x:v>
      </x:c>
      <x:c r="AC499">
        <x:f>-189.675981</x:f>
        <x:v>-189.67598100000001</x:v>
      </x:c>
      <x:c r="AD499">
        <x:f>5.48177</x:f>
        <x:v>5.48177</x:v>
      </x:c>
      <x:c r="AE499">
        <x:f>-91.748827</x:f>
        <x:v>-91.748827000000006</x:v>
      </x:c>
      <x:c r="AF499">
        <x:f>-21.532897</x:f>
        <x:v>-21.532896999999998</x:v>
      </x:c>
      <x:c r="AG499">
        <x:f>-40.038176</x:f>
        <x:v>-40.038176</x:v>
      </x:c>
    </x:row>
    <x:row r="500" spans="1:33" x14ac:dyDescent="0.25">
      <x:c r="A500" t="str">
        <x:f>"    Technology"</x:f>
        <x:v xml:space="preserve">    Technology</x:v>
      </x:c>
      <x:c r="B500" t="str">
        <x:f>""</x:f>
        <x:v/>
      </x:c>
      <x:c r="E500" t="str">
        <x:f>"Sum"</x:f>
        <x:v>Sum</x:v>
      </x:c>
      <x:c r="F500">
        <x:f ca="1">IF(ISERROR(IF(SUM($F$501,$F$554) = 0, "", SUM($F$501,$F$554))), "", (IF(SUM($F$501,$F$554) = 0, "", SUM($F$501,$F$554))))</x:f>
        <x:v>3320.9199069999995</x:v>
      </x:c>
      <x:c r="G500">
        <x:f ca="1">IF(ISERROR(IF(SUM($G$501,$G$554) = 0, "", SUM($G$501,$G$554))), "", (IF(SUM($G$501,$G$554) = 0, "", SUM($G$501,$G$554))))</x:f>
        <x:v>374.90881899999988</x:v>
      </x:c>
      <x:c r="H500">
        <x:f ca="1">IF(ISERROR(IF(SUM($H$501,$H$554) = 0, "", SUM($H$501,$H$554))), "", (IF(SUM($H$501,$H$554) = 0, "", SUM($H$501,$H$554))))</x:f>
        <x:v>-1414.4891690000002</x:v>
      </x:c>
      <x:c r="I500">
        <x:f ca="1">IF(ISERROR(IF(SUM($I$501,$I$554) = 0, "", SUM($I$501,$I$554))), "", (IF(SUM($I$501,$I$554) = 0, "", SUM($I$501,$I$554))))</x:f>
        <x:v>3934.4433919999997</x:v>
      </x:c>
      <x:c r="J500">
        <x:f ca="1">IF(ISERROR(IF(SUM($J$501,$J$554) = 0, "", SUM($J$501,$J$554))), "", (IF(SUM($J$501,$J$554) = 0, "", SUM($J$501,$J$554))))</x:f>
        <x:v>-1400.023005</x:v>
      </x:c>
      <x:c r="K500">
        <x:f ca="1">IF(ISERROR(IF(SUM($K$501,$K$554) = 0, "", SUM($K$501,$K$554))), "", (IF(SUM($K$501,$K$554) = 0, "", SUM($K$501,$K$554))))</x:f>
        <x:v>-6814.1153049999994</x:v>
      </x:c>
      <x:c r="L500">
        <x:f ca="1">IF(ISERROR(IF(SUM($L$501,$L$554) = 0, "", SUM($L$501,$L$554))), "", (IF(SUM($L$501,$L$554) = 0, "", SUM($L$501,$L$554))))</x:f>
        <x:v>8693.3788079999995</x:v>
      </x:c>
      <x:c r="M500">
        <x:f ca="1">IF(ISERROR(IF(SUM($M$501,$M$554) = 0, "", SUM($M$501,$M$554))), "", (IF(SUM($M$501,$M$554) = 0, "", SUM($M$501,$M$554))))</x:f>
        <x:v>-1037.1504049999996</x:v>
      </x:c>
      <x:c r="N500">
        <x:f ca="1">IF(ISERROR(IF(SUM($N$501,$N$554) = 0, "", SUM($N$501,$N$554))), "", (IF(SUM($N$501,$N$554) = 0, "", SUM($N$501,$N$554))))</x:f>
        <x:v>1127.6503279999997</x:v>
      </x:c>
      <x:c r="O500">
        <x:f ca="1">IF(ISERROR(IF(SUM($O$501,$O$554) = 0, "", SUM($O$501,$O$554))), "", (IF(SUM($O$501,$O$554) = 0, "", SUM($O$501,$O$554))))</x:f>
        <x:v>-390.31772600000011</x:v>
      </x:c>
      <x:c r="P500">
        <x:f ca="1">IF(ISERROR(IF(SUM($P$501,$P$554) = 0, "", SUM($P$501,$P$554))), "", (IF(SUM($P$501,$P$554) = 0, "", SUM($P$501,$P$554))))</x:f>
        <x:v>-886.67436899999973</x:v>
      </x:c>
      <x:c r="Q500">
        <x:f ca="1">IF(ISERROR(IF(SUM($Q$501,$Q$554) = 0, "", SUM($Q$501,$Q$554))), "", (IF(SUM($Q$501,$Q$554) = 0, "", SUM($Q$501,$Q$554))))</x:f>
        <x:v>-684.88823400000001</x:v>
      </x:c>
      <x:c r="R500">
        <x:f ca="1">IF(ISERROR(IF(SUM($R$501,$R$554) = 0, "", SUM($R$501,$R$554))), "", (IF(SUM($R$501,$R$554) = 0, "", SUM($R$501,$R$554))))</x:f>
        <x:v>370.62646899999993</x:v>
      </x:c>
      <x:c r="S500">
        <x:f ca="1">IF(ISERROR(IF(SUM($S$501,$S$554) = 0, "", SUM($S$501,$S$554))), "", (IF(SUM($S$501,$S$554) = 0, "", SUM($S$501,$S$554))))</x:f>
        <x:v>3000.4454810000007</x:v>
      </x:c>
      <x:c r="T500">
        <x:f>3320.919907</x:f>
        <x:v>3320.919907</x:v>
      </x:c>
      <x:c r="U500">
        <x:f>374.908819</x:f>
        <x:v>374.90881899999999</x:v>
      </x:c>
      <x:c r="V500">
        <x:f>-1414.489169</x:f>
        <x:v>-1414.4891689999999</x:v>
      </x:c>
      <x:c r="W500">
        <x:f>3934.443392</x:f>
        <x:v>3934.4433920000001</x:v>
      </x:c>
      <x:c r="X500">
        <x:f>-1400.023005</x:f>
        <x:v>-1400.023005</x:v>
      </x:c>
      <x:c r="Y500">
        <x:f>-6814.115305</x:f>
        <x:v>-6814.1153050000003</x:v>
      </x:c>
      <x:c r="Z500">
        <x:f>8693.378808</x:f>
        <x:v>8693.3788079999995</x:v>
      </x:c>
      <x:c r="AA500">
        <x:f>-1037.150405</x:f>
        <x:v>-1037.1504050000001</x:v>
      </x:c>
      <x:c r="AB500">
        <x:f>1127.650328</x:f>
        <x:v>1127.6503279999999</x:v>
      </x:c>
      <x:c r="AC500">
        <x:f>-390.317726</x:f>
        <x:v>-390.31772599999999</x:v>
      </x:c>
      <x:c r="AD500">
        <x:f>-886.674369</x:f>
        <x:v>-886.67436899999996</x:v>
      </x:c>
      <x:c r="AE500">
        <x:f>-684.888234</x:f>
        <x:v>-684.88823400000001</x:v>
      </x:c>
      <x:c r="AF500">
        <x:f>370.626469</x:f>
        <x:v>370.62646899999999</x:v>
      </x:c>
      <x:c r="AG500">
        <x:f>3000.445481</x:f>
        <x:v>3000.4454810000002</x:v>
      </x:c>
    </x:row>
    <x:row r="501" spans="1:33" x14ac:dyDescent="0.25">
      <x:c r="A501" t="str">
        <x:f>"        Tech Broad"</x:f>
        <x:v xml:space="preserve">        Tech Broad</x:v>
      </x:c>
      <x:c r="B501" t="str">
        <x:f>""</x:f>
        <x:v/>
      </x:c>
      <x:c r="E501" t="str">
        <x:f>"Sum"</x:f>
        <x:v>Sum</x:v>
      </x:c>
      <x:c r="F501">
        <x:f ca="1">IF(ISERROR(IF(SUM($F$502:$F$553) = 0, "", SUM($F$502:$F$553))), "", (IF(SUM($F$502:$F$553) = 0, "", SUM($F$502:$F$553))))</x:f>
        <x:v>2987.9889999999996</x:v>
      </x:c>
      <x:c r="G501">
        <x:f ca="1">IF(ISERROR(IF(SUM($G$502:$G$553) = 0, "", SUM($G$502:$G$553))), "", (IF(SUM($G$502:$G$553) = 0, "", SUM($G$502:$G$553))))</x:f>
        <x:v>-29.02271300000006</x:v>
      </x:c>
      <x:c r="H501">
        <x:f ca="1">IF(ISERROR(IF(SUM($H$502:$H$553) = 0, "", SUM($H$502:$H$553))), "", (IF(SUM($H$502:$H$553) = 0, "", SUM($H$502:$H$553))))</x:f>
        <x:v>-1393.3859970000001</x:v>
      </x:c>
      <x:c r="I501">
        <x:f ca="1">IF(ISERROR(IF(SUM($I$502:$I$553) = 0, "", SUM($I$502:$I$553))), "", (IF(SUM($I$502:$I$553) = 0, "", SUM($I$502:$I$553))))</x:f>
        <x:v>3094.4008469999994</x:v>
      </x:c>
      <x:c r="J501">
        <x:f ca="1">IF(ISERROR(IF(SUM($J$502:$J$553) = 0, "", SUM($J$502:$J$553))), "", (IF(SUM($J$502:$J$553) = 0, "", SUM($J$502:$J$553))))</x:f>
        <x:v>-1967.2812689999998</x:v>
      </x:c>
      <x:c r="K501">
        <x:f ca="1">IF(ISERROR(IF(SUM($K$502:$K$553) = 0, "", SUM($K$502:$K$553))), "", (IF(SUM($K$502:$K$553) = 0, "", SUM($K$502:$K$553))))</x:f>
        <x:v>-6222.2568919999994</x:v>
      </x:c>
      <x:c r="L501">
        <x:f ca="1">IF(ISERROR(IF(SUM($L$502:$L$553) = 0, "", SUM($L$502:$L$553))), "", (IF(SUM($L$502:$L$553) = 0, "", SUM($L$502:$L$553))))</x:f>
        <x:v>8400.0633379999999</x:v>
      </x:c>
      <x:c r="M501">
        <x:f ca="1">IF(ISERROR(IF(SUM($M$502:$M$553) = 0, "", SUM($M$502:$M$553))), "", (IF(SUM($M$502:$M$553) = 0, "", SUM($M$502:$M$553))))</x:f>
        <x:v>-956.97536099999968</x:v>
      </x:c>
      <x:c r="N501">
        <x:f ca="1">IF(ISERROR(IF(SUM($N$502:$N$553) = 0, "", SUM($N$502:$N$553))), "", (IF(SUM($N$502:$N$553) = 0, "", SUM($N$502:$N$553))))</x:f>
        <x:v>366.18275399999999</x:v>
      </x:c>
      <x:c r="O501">
        <x:f ca="1">IF(ISERROR(IF(SUM($O$502:$O$553) = 0, "", SUM($O$502:$O$553))), "", (IF(SUM($O$502:$O$553) = 0, "", SUM($O$502:$O$553))))</x:f>
        <x:v>-579.6640440000001</x:v>
      </x:c>
      <x:c r="P501">
        <x:f ca="1">IF(ISERROR(IF(SUM($P$502:$P$553) = 0, "", SUM($P$502:$P$553))), "", (IF(SUM($P$502:$P$553) = 0, "", SUM($P$502:$P$553))))</x:f>
        <x:v>-1408.1065319999998</x:v>
      </x:c>
      <x:c r="Q501">
        <x:f ca="1">IF(ISERROR(IF(SUM($Q$502:$Q$553) = 0, "", SUM($Q$502:$Q$553))), "", (IF(SUM($Q$502:$Q$553) = 0, "", SUM($Q$502:$Q$553))))</x:f>
        <x:v>-190.52051299999999</x:v>
      </x:c>
      <x:c r="R501">
        <x:f ca="1">IF(ISERROR(IF(SUM($R$502:$R$553) = 0, "", SUM($R$502:$R$553))), "", (IF(SUM($R$502:$R$553) = 0, "", SUM($R$502:$R$553))))</x:f>
        <x:v>156.29254199999997</x:v>
      </x:c>
      <x:c r="S501">
        <x:f ca="1">IF(ISERROR(IF(SUM($S$502:$S$553) = 0, "", SUM($S$502:$S$553))), "", (IF(SUM($S$502:$S$553) = 0, "", SUM($S$502:$S$553))))</x:f>
        <x:v>2459.3497340000008</x:v>
      </x:c>
      <x:c r="T501">
        <x:f>2987.989</x:f>
        <x:v>2987.989</x:v>
      </x:c>
      <x:c r="U501">
        <x:f>-29.022713</x:f>
        <x:v>-29.022713</x:v>
      </x:c>
      <x:c r="V501">
        <x:f>-1393.385997</x:f>
        <x:v>-1393.3859970000001</x:v>
      </x:c>
      <x:c r="W501">
        <x:f>3094.400847</x:f>
        <x:v>3094.4008469999999</x:v>
      </x:c>
      <x:c r="X501">
        <x:f>-1967.281269</x:f>
        <x:v>-1967.2812690000001</x:v>
      </x:c>
      <x:c r="Y501">
        <x:f>-6222.256892</x:f>
        <x:v>-6222.2568920000003</x:v>
      </x:c>
      <x:c r="Z501">
        <x:f>8400.063338</x:f>
        <x:v>8400.0633379999999</x:v>
      </x:c>
      <x:c r="AA501">
        <x:f>-956.975361</x:f>
        <x:v>-956.97536100000002</x:v>
      </x:c>
      <x:c r="AB501">
        <x:f>366.182754</x:f>
        <x:v>366.18275399999999</x:v>
      </x:c>
      <x:c r="AC501">
        <x:f>-579.664044</x:f>
        <x:v>-579.66404399999999</x:v>
      </x:c>
      <x:c r="AD501">
        <x:f>-1408.106532</x:f>
        <x:v>-1408.106532</x:v>
      </x:c>
      <x:c r="AE501">
        <x:f>-190.520513</x:f>
        <x:v>-190.52051299999999</x:v>
      </x:c>
      <x:c r="AF501">
        <x:f>156.292542</x:f>
        <x:v>156.292542</x:v>
      </x:c>
      <x:c r="AG501">
        <x:f>2459.349734</x:f>
        <x:v>2459.3497339999999</x:v>
      </x:c>
    </x:row>
    <x:row r="502" spans="1:33" x14ac:dyDescent="0.25">
      <x:c r="A502" t="str">
        <x:f>"            Technology Select Sector SPDR"</x:f>
        <x:v xml:space="preserve">            Technology Select Sector SPDR</x:v>
      </x:c>
      <x:c r="B502" t="str">
        <x:f>"XLK US Equity"</x:f>
        <x:v>XLK US Equity</x:v>
      </x:c>
      <x:c r="E502" t="str">
        <x:f t="shared" ref="E502:E533" si="17">"Expression"</x:f>
        <x:v>Expression</x:v>
      </x:c>
      <x:c r="F502">
        <x:f ca="1">IF(AND($B$1012=1,LEN($F$1500)&gt;0),$F$1500,HLOOKUP(INDIRECT(ADDRESS(2,COLUMN())),OFFSET($T$2,0,0,ROW()-1,14),ROW()-1,FALSE))</x:f>
        <x:v>1634.8931990000001</x:v>
      </x:c>
      <x:c r="G502">
        <x:f ca="1">IF(AND($B$1012=1,LEN($G$1500)&gt;0),$G$1500,HLOOKUP(INDIRECT(ADDRESS(2,COLUMN())),OFFSET($T$2,0,0,ROW()-1,14),ROW()-1,FALSE))</x:f>
        <x:v>-311.942744</x:v>
      </x:c>
      <x:c r="H502">
        <x:f ca="1">IF(AND($B$1012=1,LEN($H$1500)&gt;0),$H$1500,HLOOKUP(INDIRECT(ADDRESS(2,COLUMN())),OFFSET($T$2,0,0,ROW()-1,14),ROW()-1,FALSE))</x:f>
        <x:v>27.306643000000001</x:v>
      </x:c>
      <x:c r="I502">
        <x:f ca="1">IF(AND($B$1012=1,LEN($I$1500)&gt;0),$I$1500,HLOOKUP(INDIRECT(ADDRESS(2,COLUMN())),OFFSET($T$2,0,0,ROW()-1,14),ROW()-1,FALSE))</x:f>
        <x:v>286.64942400000001</x:v>
      </x:c>
      <x:c r="J502">
        <x:f ca="1">IF(AND($B$1012=1,LEN($J$1500)&gt;0),$J$1500,HLOOKUP(INDIRECT(ADDRESS(2,COLUMN())),OFFSET($T$2,0,0,ROW()-1,14),ROW()-1,FALSE))</x:f>
        <x:v>227.417518</x:v>
      </x:c>
      <x:c r="K502">
        <x:f ca="1">IF(AND($B$1012=1,LEN($K$1500)&gt;0),$K$1500,HLOOKUP(INDIRECT(ADDRESS(2,COLUMN())),OFFSET($T$2,0,0,ROW()-1,14),ROW()-1,FALSE))</x:f>
        <x:v>88.138509999999997</x:v>
      </x:c>
      <x:c r="L502">
        <x:f ca="1">IF(AND($B$1012=1,LEN($L$1500)&gt;0),$L$1500,HLOOKUP(INDIRECT(ADDRESS(2,COLUMN())),OFFSET($T$2,0,0,ROW()-1,14),ROW()-1,FALSE))</x:f>
        <x:v>22.059684000000001</x:v>
      </x:c>
      <x:c r="M502">
        <x:f ca="1">IF(AND($B$1012=1,LEN($M$1500)&gt;0),$M$1500,HLOOKUP(INDIRECT(ADDRESS(2,COLUMN())),OFFSET($T$2,0,0,ROW()-1,14),ROW()-1,FALSE))</x:f>
        <x:v>-243.86457999999999</x:v>
      </x:c>
      <x:c r="N502">
        <x:f ca="1">IF(AND($B$1012=1,LEN($N$1500)&gt;0),$N$1500,HLOOKUP(INDIRECT(ADDRESS(2,COLUMN())),OFFSET($T$2,0,0,ROW()-1,14),ROW()-1,FALSE))</x:f>
        <x:v>-722.94885599999998</x:v>
      </x:c>
      <x:c r="O502">
        <x:f ca="1">IF(AND($B$1012=1,LEN($O$1500)&gt;0),$O$1500,HLOOKUP(INDIRECT(ADDRESS(2,COLUMN())),OFFSET($T$2,0,0,ROW()-1,14),ROW()-1,FALSE))</x:f>
        <x:v>-806.67982800000004</x:v>
      </x:c>
      <x:c r="P502">
        <x:f ca="1">IF(AND($B$1012=1,LEN($P$1500)&gt;0),$P$1500,HLOOKUP(INDIRECT(ADDRESS(2,COLUMN())),OFFSET($T$2,0,0,ROW()-1,14),ROW()-1,FALSE))</x:f>
        <x:v>-892.26749600000005</x:v>
      </x:c>
      <x:c r="Q502">
        <x:f ca="1">IF(AND($B$1012=1,LEN($Q$1500)&gt;0),$Q$1500,HLOOKUP(INDIRECT(ADDRESS(2,COLUMN())),OFFSET($T$2,0,0,ROW()-1,14),ROW()-1,FALSE))</x:f>
        <x:v>324.33725600000002</x:v>
      </x:c>
      <x:c r="R502">
        <x:f ca="1">IF(AND($B$1012=1,LEN($R$1500)&gt;0),$R$1500,HLOOKUP(INDIRECT(ADDRESS(2,COLUMN())),OFFSET($T$2,0,0,ROW()-1,14),ROW()-1,FALSE))</x:f>
        <x:v>215.72319899999999</x:v>
      </x:c>
      <x:c r="S502">
        <x:f ca="1">IF(AND($B$1012=1,LEN($S$1500)&gt;0),$S$1500,HLOOKUP(INDIRECT(ADDRESS(2,COLUMN())),OFFSET($T$2,0,0,ROW()-1,14),ROW()-1,FALSE))</x:f>
        <x:v>196.40255500000001</x:v>
      </x:c>
      <x:c r="T502">
        <x:f>1634.893199</x:f>
        <x:v>1634.8931990000001</x:v>
      </x:c>
      <x:c r="U502">
        <x:f>-311.942744</x:f>
        <x:v>-311.942744</x:v>
      </x:c>
      <x:c r="V502">
        <x:f>27.306643</x:f>
        <x:v>27.306643000000001</x:v>
      </x:c>
      <x:c r="W502">
        <x:f>286.649424</x:f>
        <x:v>286.64942400000001</x:v>
      </x:c>
      <x:c r="X502">
        <x:f>227.417518</x:f>
        <x:v>227.417518</x:v>
      </x:c>
      <x:c r="Y502">
        <x:f>88.13851</x:f>
        <x:v>88.138509999999997</x:v>
      </x:c>
      <x:c r="Z502">
        <x:f>22.059684</x:f>
        <x:v>22.059684000000001</x:v>
      </x:c>
      <x:c r="AA502">
        <x:f>-243.86458</x:f>
        <x:v>-243.86457999999999</x:v>
      </x:c>
      <x:c r="AB502">
        <x:f>-722.948856</x:f>
        <x:v>-722.94885599999998</x:v>
      </x:c>
      <x:c r="AC502">
        <x:f>-806.679828</x:f>
        <x:v>-806.67982800000004</x:v>
      </x:c>
      <x:c r="AD502">
        <x:f>-892.267496</x:f>
        <x:v>-892.26749600000005</x:v>
      </x:c>
      <x:c r="AE502">
        <x:f>324.337256</x:f>
        <x:v>324.33725600000002</x:v>
      </x:c>
      <x:c r="AF502">
        <x:f>215.723199</x:f>
        <x:v>215.72319899999999</x:v>
      </x:c>
      <x:c r="AG502">
        <x:f>196.402555</x:f>
        <x:v>196.40255500000001</x:v>
      </x:c>
    </x:row>
    <x:row r="503" spans="1:33" x14ac:dyDescent="0.25">
      <x:c r="A503" t="str">
        <x:f>"            Vanguard Information Technolog"</x:f>
        <x:v xml:space="preserve">            Vanguard Information Technolog</x:v>
      </x:c>
      <x:c r="B503" t="str">
        <x:f>"VGT US Equity"</x:f>
        <x:v>VGT US Equity</x:v>
      </x:c>
      <x:c r="E503" t="str">
        <x:f t="shared" si="17"/>
        <x:v>Expression</x:v>
      </x:c>
      <x:c r="F503">
        <x:f ca="1">IF(AND($B$1012=1,LEN($F$1501)&gt;0),$F$1501,HLOOKUP(INDIRECT(ADDRESS(2,COLUMN())),OFFSET($T$2,0,0,ROW()-1,14),ROW()-1,FALSE))</x:f>
        <x:v>236.19236100000001</x:v>
      </x:c>
      <x:c r="G503">
        <x:f ca="1">IF(AND($B$1012=1,LEN($G$1501)&gt;0),$G$1501,HLOOKUP(INDIRECT(ADDRESS(2,COLUMN())),OFFSET($T$2,0,0,ROW()-1,14),ROW()-1,FALSE))</x:f>
        <x:v>-88.496543000000003</x:v>
      </x:c>
      <x:c r="H503">
        <x:f ca="1">IF(AND($B$1012=1,LEN($H$1501)&gt;0),$H$1501,HLOOKUP(INDIRECT(ADDRESS(2,COLUMN())),OFFSET($T$2,0,0,ROW()-1,14),ROW()-1,FALSE))</x:f>
        <x:v>-2541.7703609999999</x:v>
      </x:c>
      <x:c r="I503">
        <x:f ca="1">IF(AND($B$1012=1,LEN($I$1501)&gt;0),$I$1501,HLOOKUP(INDIRECT(ADDRESS(2,COLUMN())),OFFSET($T$2,0,0,ROW()-1,14),ROW()-1,FALSE))</x:f>
        <x:v>2908.8389160000002</x:v>
      </x:c>
      <x:c r="J503">
        <x:f ca="1">IF(AND($B$1012=1,LEN($J$1501)&gt;0),$J$1501,HLOOKUP(INDIRECT(ADDRESS(2,COLUMN())),OFFSET($T$2,0,0,ROW()-1,14),ROW()-1,FALSE))</x:f>
        <x:v>-803.59525299999996</x:v>
      </x:c>
      <x:c r="K503">
        <x:f ca="1">IF(AND($B$1012=1,LEN($K$1501)&gt;0),$K$1501,HLOOKUP(INDIRECT(ADDRESS(2,COLUMN())),OFFSET($T$2,0,0,ROW()-1,14),ROW()-1,FALSE))</x:f>
        <x:v>-6741.4647930000001</x:v>
      </x:c>
      <x:c r="L503">
        <x:f ca="1">IF(AND($B$1012=1,LEN($L$1501)&gt;0),$L$1501,HLOOKUP(INDIRECT(ADDRESS(2,COLUMN())),OFFSET($T$2,0,0,ROW()-1,14),ROW()-1,FALSE))</x:f>
        <x:v>7201.9255059999996</x:v>
      </x:c>
      <x:c r="M503">
        <x:f ca="1">IF(AND($B$1012=1,LEN($M$1501)&gt;0),$M$1501,HLOOKUP(INDIRECT(ADDRESS(2,COLUMN())),OFFSET($T$2,0,0,ROW()-1,14),ROW()-1,FALSE))</x:f>
        <x:v>-802.34894499999996</x:v>
      </x:c>
      <x:c r="N503">
        <x:f ca="1">IF(AND($B$1012=1,LEN($N$1501)&gt;0),$N$1501,HLOOKUP(INDIRECT(ADDRESS(2,COLUMN())),OFFSET($T$2,0,0,ROW()-1,14),ROW()-1,FALSE))</x:f>
        <x:v>225.840903</x:v>
      </x:c>
      <x:c r="O503">
        <x:f ca="1">IF(AND($B$1012=1,LEN($O$1501)&gt;0),$O$1501,HLOOKUP(INDIRECT(ADDRESS(2,COLUMN())),OFFSET($T$2,0,0,ROW()-1,14),ROW()-1,FALSE))</x:f>
        <x:v>-125.313463</x:v>
      </x:c>
      <x:c r="P503">
        <x:f ca="1">IF(AND($B$1012=1,LEN($P$1501)&gt;0),$P$1501,HLOOKUP(INDIRECT(ADDRESS(2,COLUMN())),OFFSET($T$2,0,0,ROW()-1,14),ROW()-1,FALSE))</x:f>
        <x:v>-538.43991600000004</x:v>
      </x:c>
      <x:c r="Q503">
        <x:f ca="1">IF(AND($B$1012=1,LEN($Q$1501)&gt;0),$Q$1501,HLOOKUP(INDIRECT(ADDRESS(2,COLUMN())),OFFSET($T$2,0,0,ROW()-1,14),ROW()-1,FALSE))</x:f>
        <x:v>-1.2408699999999999</x:v>
      </x:c>
      <x:c r="R503">
        <x:f ca="1">IF(AND($B$1012=1,LEN($R$1501)&gt;0),$R$1501,HLOOKUP(INDIRECT(ADDRESS(2,COLUMN())),OFFSET($T$2,0,0,ROW()-1,14),ROW()-1,FALSE))</x:f>
        <x:v>674.05271900000002</x:v>
      </x:c>
      <x:c r="S503">
        <x:f ca="1">IF(AND($B$1012=1,LEN($S$1501)&gt;0),$S$1501,HLOOKUP(INDIRECT(ADDRESS(2,COLUMN())),OFFSET($T$2,0,0,ROW()-1,14),ROW()-1,FALSE))</x:f>
        <x:v>40.835109000000003</x:v>
      </x:c>
      <x:c r="T503">
        <x:f>236.192361</x:f>
        <x:v>236.19236100000001</x:v>
      </x:c>
      <x:c r="U503">
        <x:f>-88.496543</x:f>
        <x:v>-88.496543000000003</x:v>
      </x:c>
      <x:c r="V503">
        <x:f>-2541.770361</x:f>
        <x:v>-2541.7703609999999</x:v>
      </x:c>
      <x:c r="W503">
        <x:f>2908.838916</x:f>
        <x:v>2908.8389160000002</x:v>
      </x:c>
      <x:c r="X503">
        <x:f>-803.595253</x:f>
        <x:v>-803.59525299999996</x:v>
      </x:c>
      <x:c r="Y503">
        <x:f>-6741.464793</x:f>
        <x:v>-6741.4647930000001</x:v>
      </x:c>
      <x:c r="Z503">
        <x:f>7201.925506</x:f>
        <x:v>7201.9255059999996</x:v>
      </x:c>
      <x:c r="AA503">
        <x:f>-802.348945</x:f>
        <x:v>-802.34894499999996</x:v>
      </x:c>
      <x:c r="AB503">
        <x:f>225.840903</x:f>
        <x:v>225.840903</x:v>
      </x:c>
      <x:c r="AC503">
        <x:f>-125.313463</x:f>
        <x:v>-125.313463</x:v>
      </x:c>
      <x:c r="AD503">
        <x:f>-538.439916</x:f>
        <x:v>-538.43991600000004</x:v>
      </x:c>
      <x:c r="AE503">
        <x:f>-1.24087</x:f>
        <x:v>-1.2408699999999999</x:v>
      </x:c>
      <x:c r="AF503">
        <x:f>674.052719</x:f>
        <x:v>674.05271900000002</x:v>
      </x:c>
      <x:c r="AG503">
        <x:f>40.835109</x:f>
        <x:v>40.835109000000003</x:v>
      </x:c>
    </x:row>
    <x:row r="504" spans="1:33" x14ac:dyDescent="0.25">
      <x:c r="A504" t="str">
        <x:f>"            iShares US Technology ETF"</x:f>
        <x:v xml:space="preserve">            iShares US Technology ETF</x:v>
      </x:c>
      <x:c r="B504" t="str">
        <x:f>"IYW US Equity"</x:f>
        <x:v>IYW US Equity</x:v>
      </x:c>
      <x:c r="E504" t="str">
        <x:f t="shared" si="17"/>
        <x:v>Expression</x:v>
      </x:c>
      <x:c r="F504">
        <x:f ca="1">IF(AND($B$1012=1,LEN($F$1502)&gt;0),$F$1502,HLOOKUP(INDIRECT(ADDRESS(2,COLUMN())),OFFSET($T$2,0,0,ROW()-1,14),ROW()-1,FALSE))</x:f>
        <x:v>171.01893699999999</x:v>
      </x:c>
      <x:c r="G504">
        <x:f ca="1">IF(AND($B$1012=1,LEN($G$1502)&gt;0),$G$1502,HLOOKUP(INDIRECT(ADDRESS(2,COLUMN())),OFFSET($T$2,0,0,ROW()-1,14),ROW()-1,FALSE))</x:f>
        <x:v>870.56003299999998</x:v>
      </x:c>
      <x:c r="H504">
        <x:f ca="1">IF(AND($B$1012=1,LEN($H$1502)&gt;0),$H$1502,HLOOKUP(INDIRECT(ADDRESS(2,COLUMN())),OFFSET($T$2,0,0,ROW()-1,14),ROW()-1,FALSE))</x:f>
        <x:v>12.437379999999999</x:v>
      </x:c>
      <x:c r="I504">
        <x:f ca="1">IF(AND($B$1012=1,LEN($I$1502)&gt;0),$I$1502,HLOOKUP(INDIRECT(ADDRESS(2,COLUMN())),OFFSET($T$2,0,0,ROW()-1,14),ROW()-1,FALSE))</x:f>
        <x:v>-24.167760000000001</x:v>
      </x:c>
      <x:c r="J504">
        <x:f ca="1">IF(AND($B$1012=1,LEN($J$1502)&gt;0),$J$1502,HLOOKUP(INDIRECT(ADDRESS(2,COLUMN())),OFFSET($T$2,0,0,ROW()-1,14),ROW()-1,FALSE))</x:f>
        <x:v>-1620.034085</x:v>
      </x:c>
      <x:c r="K504">
        <x:f ca="1">IF(AND($B$1012=1,LEN($K$1502)&gt;0),$K$1502,HLOOKUP(INDIRECT(ADDRESS(2,COLUMN())),OFFSET($T$2,0,0,ROW()-1,14),ROW()-1,FALSE))</x:f>
        <x:v>76.074155000000005</x:v>
      </x:c>
      <x:c r="L504">
        <x:f ca="1">IF(AND($B$1012=1,LEN($L$1502)&gt;0),$L$1502,HLOOKUP(INDIRECT(ADDRESS(2,COLUMN())),OFFSET($T$2,0,0,ROW()-1,14),ROW()-1,FALSE))</x:f>
        <x:v>312.223275</x:v>
      </x:c>
      <x:c r="M504">
        <x:f ca="1">IF(AND($B$1012=1,LEN($M$1502)&gt;0),$M$1502,HLOOKUP(INDIRECT(ADDRESS(2,COLUMN())),OFFSET($T$2,0,0,ROW()-1,14),ROW()-1,FALSE))</x:f>
        <x:v>22.888850000000001</x:v>
      </x:c>
      <x:c r="N504">
        <x:f ca="1">IF(AND($B$1012=1,LEN($N$1502)&gt;0),$N$1502,HLOOKUP(INDIRECT(ADDRESS(2,COLUMN())),OFFSET($T$2,0,0,ROW()-1,14),ROW()-1,FALSE))</x:f>
        <x:v>644.76810499999999</x:v>
      </x:c>
      <x:c r="O504">
        <x:f ca="1">IF(AND($B$1012=1,LEN($O$1502)&gt;0),$O$1502,HLOOKUP(INDIRECT(ADDRESS(2,COLUMN())),OFFSET($T$2,0,0,ROW()-1,14),ROW()-1,FALSE))</x:f>
        <x:v>1.063545</x:v>
      </x:c>
      <x:c r="P504">
        <x:f ca="1">IF(AND($B$1012=1,LEN($P$1502)&gt;0),$P$1502,HLOOKUP(INDIRECT(ADDRESS(2,COLUMN())),OFFSET($T$2,0,0,ROW()-1,14),ROW()-1,FALSE))</x:f>
        <x:v>65.410835000000006</x:v>
      </x:c>
      <x:c r="Q504">
        <x:f ca="1">IF(AND($B$1012=1,LEN($Q$1502)&gt;0),$Q$1502,HLOOKUP(INDIRECT(ADDRESS(2,COLUMN())),OFFSET($T$2,0,0,ROW()-1,14),ROW()-1,FALSE))</x:f>
        <x:v>-51.885925</x:v>
      </x:c>
      <x:c r="R504">
        <x:f ca="1">IF(AND($B$1012=1,LEN($R$1502)&gt;0),$R$1502,HLOOKUP(INDIRECT(ADDRESS(2,COLUMN())),OFFSET($T$2,0,0,ROW()-1,14),ROW()-1,FALSE))</x:f>
        <x:v>53.887740000000001</x:v>
      </x:c>
      <x:c r="S504">
        <x:f ca="1">IF(AND($B$1012=1,LEN($S$1502)&gt;0),$S$1502,HLOOKUP(INDIRECT(ADDRESS(2,COLUMN())),OFFSET($T$2,0,0,ROW()-1,14),ROW()-1,FALSE))</x:f>
        <x:v>2025.26983</x:v>
      </x:c>
      <x:c r="T504">
        <x:f>171.018937</x:f>
        <x:v>171.01893699999999</x:v>
      </x:c>
      <x:c r="U504">
        <x:f>870.560033</x:f>
        <x:v>870.56003299999998</x:v>
      </x:c>
      <x:c r="V504">
        <x:f>12.43738</x:f>
        <x:v>12.437379999999999</x:v>
      </x:c>
      <x:c r="W504">
        <x:f>-24.16776</x:f>
        <x:v>-24.167760000000001</x:v>
      </x:c>
      <x:c r="X504">
        <x:f>-1620.034085</x:f>
        <x:v>-1620.034085</x:v>
      </x:c>
      <x:c r="Y504">
        <x:f>76.074155</x:f>
        <x:v>76.074155000000005</x:v>
      </x:c>
      <x:c r="Z504">
        <x:f>312.223275</x:f>
        <x:v>312.223275</x:v>
      </x:c>
      <x:c r="AA504">
        <x:f>22.88885</x:f>
        <x:v>22.888850000000001</x:v>
      </x:c>
      <x:c r="AB504">
        <x:f>644.768105</x:f>
        <x:v>644.76810499999999</x:v>
      </x:c>
      <x:c r="AC504">
        <x:f>1.063545</x:f>
        <x:v>1.063545</x:v>
      </x:c>
      <x:c r="AD504">
        <x:f>65.410835</x:f>
        <x:v>65.410835000000006</x:v>
      </x:c>
      <x:c r="AE504">
        <x:f>-51.885925</x:f>
        <x:v>-51.885925</x:v>
      </x:c>
      <x:c r="AF504">
        <x:f>53.88774</x:f>
        <x:v>53.887740000000001</x:v>
      </x:c>
      <x:c r="AG504">
        <x:f>2025.26983</x:f>
        <x:v>2025.26983</x:v>
      </x:c>
    </x:row>
    <x:row r="505" spans="1:33" x14ac:dyDescent="0.25">
      <x:c r="A505" t="str">
        <x:f>"            First Trust NASDAQ-100 Technol"</x:f>
        <x:v xml:space="preserve">            First Trust NASDAQ-100 Technol</x:v>
      </x:c>
      <x:c r="B505" t="str">
        <x:f>"QTEC US Equity"</x:f>
        <x:v>QTEC US Equity</x:v>
      </x:c>
      <x:c r="E505" t="str">
        <x:f t="shared" si="17"/>
        <x:v>Expression</x:v>
      </x:c>
      <x:c r="F505">
        <x:f ca="1">IF(AND($B$1012=1,LEN($F$1503)&gt;0),$F$1503,HLOOKUP(INDIRECT(ADDRESS(2,COLUMN())),OFFSET($T$2,0,0,ROW()-1,14),ROW()-1,FALSE))</x:f>
        <x:v>-51.106603999999997</x:v>
      </x:c>
      <x:c r="G505">
        <x:f ca="1">IF(AND($B$1012=1,LEN($G$1503)&gt;0),$G$1503,HLOOKUP(INDIRECT(ADDRESS(2,COLUMN())),OFFSET($T$2,0,0,ROW()-1,14),ROW()-1,FALSE))</x:f>
        <x:v>44.674407000000002</x:v>
      </x:c>
      <x:c r="H505">
        <x:f ca="1">IF(AND($B$1012=1,LEN($H$1503)&gt;0),$H$1503,HLOOKUP(INDIRECT(ADDRESS(2,COLUMN())),OFFSET($T$2,0,0,ROW()-1,14),ROW()-1,FALSE))</x:f>
        <x:v>954.77619000000004</x:v>
      </x:c>
      <x:c r="I505">
        <x:f ca="1">IF(AND($B$1012=1,LEN($I$1503)&gt;0),$I$1503,HLOOKUP(INDIRECT(ADDRESS(2,COLUMN())),OFFSET($T$2,0,0,ROW()-1,14),ROW()-1,FALSE))</x:f>
        <x:v>-7.4726270000000001</x:v>
      </x:c>
      <x:c r="J505">
        <x:f ca="1">IF(AND($B$1012=1,LEN($J$1503)&gt;0),$J$1503,HLOOKUP(INDIRECT(ADDRESS(2,COLUMN())),OFFSET($T$2,0,0,ROW()-1,14),ROW()-1,FALSE))</x:f>
        <x:v>0.108</x:v>
      </x:c>
      <x:c r="K505">
        <x:f ca="1">IF(AND($B$1012=1,LEN($K$1503)&gt;0),$K$1503,HLOOKUP(INDIRECT(ADDRESS(2,COLUMN())),OFFSET($T$2,0,0,ROW()-1,14),ROW()-1,FALSE))</x:f>
        <x:v>51.174500000000002</x:v>
      </x:c>
      <x:c r="L505">
        <x:f ca="1">IF(AND($B$1012=1,LEN($L$1503)&gt;0),$L$1503,HLOOKUP(INDIRECT(ADDRESS(2,COLUMN())),OFFSET($T$2,0,0,ROW()-1,14),ROW()-1,FALSE))</x:f>
        <x:v>34.307499999999997</x:v>
      </x:c>
      <x:c r="M505">
        <x:f ca="1">IF(AND($B$1012=1,LEN($M$1503)&gt;0),$M$1503,HLOOKUP(INDIRECT(ADDRESS(2,COLUMN())),OFFSET($T$2,0,0,ROW()-1,14),ROW()-1,FALSE))</x:f>
        <x:v>3.2500000000000001E-2</x:v>
      </x:c>
      <x:c r="N505">
        <x:f ca="1">IF(AND($B$1012=1,LEN($N$1503)&gt;0),$N$1503,HLOOKUP(INDIRECT(ADDRESS(2,COLUMN())),OFFSET($T$2,0,0,ROW()-1,14),ROW()-1,FALSE))</x:f>
        <x:v>-18.405000000000001</x:v>
      </x:c>
      <x:c r="O505">
        <x:f ca="1">IF(AND($B$1012=1,LEN($O$1503)&gt;0),$O$1503,HLOOKUP(INDIRECT(ADDRESS(2,COLUMN())),OFFSET($T$2,0,0,ROW()-1,14),ROW()-1,FALSE))</x:f>
        <x:v>7.5499999999999998E-2</x:v>
      </x:c>
      <x:c r="P505">
        <x:f ca="1">IF(AND($B$1012=1,LEN($P$1503)&gt;0),$P$1503,HLOOKUP(INDIRECT(ADDRESS(2,COLUMN())),OFFSET($T$2,0,0,ROW()-1,14),ROW()-1,FALSE))</x:f>
        <x:v>-22.117038000000001</x:v>
      </x:c>
      <x:c r="Q505">
        <x:f ca="1">IF(AND($B$1012=1,LEN($Q$1503)&gt;0),$Q$1503,HLOOKUP(INDIRECT(ADDRESS(2,COLUMN())),OFFSET($T$2,0,0,ROW()-1,14),ROW()-1,FALSE))</x:f>
        <x:v>-47.729303999999999</x:v>
      </x:c>
      <x:c r="R505">
        <x:f ca="1">IF(AND($B$1012=1,LEN($R$1503)&gt;0),$R$1503,HLOOKUP(INDIRECT(ADDRESS(2,COLUMN())),OFFSET($T$2,0,0,ROW()-1,14),ROW()-1,FALSE))</x:f>
        <x:v>4.9627270000000001</x:v>
      </x:c>
      <x:c r="S505">
        <x:f ca="1">IF(AND($B$1012=1,LEN($S$1503)&gt;0),$S$1503,HLOOKUP(INDIRECT(ADDRESS(2,COLUMN())),OFFSET($T$2,0,0,ROW()-1,14),ROW()-1,FALSE))</x:f>
        <x:v>-31.484911</x:v>
      </x:c>
      <x:c r="T505">
        <x:f>-51.106604</x:f>
        <x:v>-51.106603999999997</x:v>
      </x:c>
      <x:c r="U505">
        <x:f>44.674407</x:f>
        <x:v>44.674407000000002</x:v>
      </x:c>
      <x:c r="V505">
        <x:f>954.77619</x:f>
        <x:v>954.77619000000004</x:v>
      </x:c>
      <x:c r="W505">
        <x:f>-7.472627</x:f>
        <x:v>-7.4726270000000001</x:v>
      </x:c>
      <x:c r="X505">
        <x:f>0.108</x:f>
        <x:v>0.108</x:v>
      </x:c>
      <x:c r="Y505">
        <x:f>51.1745</x:f>
        <x:v>51.174500000000002</x:v>
      </x:c>
      <x:c r="Z505">
        <x:f>34.3075</x:f>
        <x:v>34.307499999999997</x:v>
      </x:c>
      <x:c r="AA505">
        <x:f>0.0325</x:f>
        <x:v>3.2500000000000001E-2</x:v>
      </x:c>
      <x:c r="AB505">
        <x:f>-18.405</x:f>
        <x:v>-18.405000000000001</x:v>
      </x:c>
      <x:c r="AC505">
        <x:f>0.0755</x:f>
        <x:v>7.5499999999999998E-2</x:v>
      </x:c>
      <x:c r="AD505">
        <x:f>-22.117038</x:f>
        <x:v>-22.117038000000001</x:v>
      </x:c>
      <x:c r="AE505">
        <x:f>-47.729304</x:f>
        <x:v>-47.729303999999999</x:v>
      </x:c>
      <x:c r="AF505">
        <x:f>4.962727</x:f>
        <x:v>4.9627270000000001</x:v>
      </x:c>
      <x:c r="AG505">
        <x:f>-31.484911</x:f>
        <x:v>-31.484911</x:v>
      </x:c>
    </x:row>
    <x:row r="506" spans="1:33" x14ac:dyDescent="0.25">
      <x:c r="A506" t="str">
        <x:f>"            Invesco S&amp;P 500 Equal Weight T"</x:f>
        <x:v xml:space="preserve">            Invesco S&amp;P 500 Equal Weight T</x:v>
      </x:c>
      <x:c r="B506" t="str">
        <x:f>"RYT US Equity"</x:f>
        <x:v>RYT US Equity</x:v>
      </x:c>
      <x:c r="E506" t="str">
        <x:f t="shared" si="17"/>
        <x:v>Expression</x:v>
      </x:c>
      <x:c r="F506">
        <x:f ca="1">IF(AND($B$1012=1,LEN($F$1504)&gt;0),$F$1504,HLOOKUP(INDIRECT(ADDRESS(2,COLUMN())),OFFSET($T$2,0,0,ROW()-1,14),ROW()-1,FALSE))</x:f>
        <x:v>-0.61930499999999999</x:v>
      </x:c>
      <x:c r="G506">
        <x:f ca="1">IF(AND($B$1012=1,LEN($G$1504)&gt;0),$G$1504,HLOOKUP(INDIRECT(ADDRESS(2,COLUMN())),OFFSET($T$2,0,0,ROW()-1,14),ROW()-1,FALSE))</x:f>
        <x:v>4.7025129999999997</x:v>
      </x:c>
      <x:c r="H506">
        <x:f ca="1">IF(AND($B$1012=1,LEN($H$1504)&gt;0),$H$1504,HLOOKUP(INDIRECT(ADDRESS(2,COLUMN())),OFFSET($T$2,0,0,ROW()-1,14),ROW()-1,FALSE))</x:f>
        <x:v>116.55010799999999</x:v>
      </x:c>
      <x:c r="I506">
        <x:f ca="1">IF(AND($B$1012=1,LEN($I$1504)&gt;0),$I$1504,HLOOKUP(INDIRECT(ADDRESS(2,COLUMN())),OFFSET($T$2,0,0,ROW()-1,14),ROW()-1,FALSE))</x:f>
        <x:v>-27.301825000000001</x:v>
      </x:c>
      <x:c r="J506">
        <x:f ca="1">IF(AND($B$1012=1,LEN($J$1504)&gt;0),$J$1504,HLOOKUP(INDIRECT(ADDRESS(2,COLUMN())),OFFSET($T$2,0,0,ROW()-1,14),ROW()-1,FALSE))</x:f>
        <x:v>9.4755559999999992</x:v>
      </x:c>
      <x:c r="K506">
        <x:f ca="1">IF(AND($B$1012=1,LEN($K$1504)&gt;0),$K$1504,HLOOKUP(INDIRECT(ADDRESS(2,COLUMN())),OFFSET($T$2,0,0,ROW()-1,14),ROW()-1,FALSE))</x:f>
        <x:v>16.853297999999999</x:v>
      </x:c>
      <x:c r="L506">
        <x:f ca="1">IF(AND($B$1012=1,LEN($L$1504)&gt;0),$L$1504,HLOOKUP(INDIRECT(ADDRESS(2,COLUMN())),OFFSET($T$2,0,0,ROW()-1,14),ROW()-1,FALSE))</x:f>
        <x:v>225.81776300000001</x:v>
      </x:c>
      <x:c r="M506">
        <x:f ca="1">IF(AND($B$1012=1,LEN($M$1504)&gt;0),$M$1504,HLOOKUP(INDIRECT(ADDRESS(2,COLUMN())),OFFSET($T$2,0,0,ROW()-1,14),ROW()-1,FALSE))</x:f>
        <x:v>13.52755</x:v>
      </x:c>
      <x:c r="N506">
        <x:f ca="1">IF(AND($B$1012=1,LEN($N$1504)&gt;0),$N$1504,HLOOKUP(INDIRECT(ADDRESS(2,COLUMN())),OFFSET($T$2,0,0,ROW()-1,14),ROW()-1,FALSE))</x:f>
        <x:v>5.0385450000000001</x:v>
      </x:c>
      <x:c r="O506">
        <x:f ca="1">IF(AND($B$1012=1,LEN($O$1504)&gt;0),$O$1504,HLOOKUP(INDIRECT(ADDRESS(2,COLUMN())),OFFSET($T$2,0,0,ROW()-1,14),ROW()-1,FALSE))</x:f>
        <x:v>183.763521</x:v>
      </x:c>
      <x:c r="P506">
        <x:f ca="1">IF(AND($B$1012=1,LEN($P$1504)&gt;0),$P$1504,HLOOKUP(INDIRECT(ADDRESS(2,COLUMN())),OFFSET($T$2,0,0,ROW()-1,14),ROW()-1,FALSE))</x:f>
        <x:v>97.378480999999994</x:v>
      </x:c>
      <x:c r="Q506">
        <x:f ca="1">IF(AND($B$1012=1,LEN($Q$1504)&gt;0),$Q$1504,HLOOKUP(INDIRECT(ADDRESS(2,COLUMN())),OFFSET($T$2,0,0,ROW()-1,14),ROW()-1,FALSE))</x:f>
        <x:v>44.480471000000001</x:v>
      </x:c>
      <x:c r="R506">
        <x:f ca="1">IF(AND($B$1012=1,LEN($R$1504)&gt;0),$R$1504,HLOOKUP(INDIRECT(ADDRESS(2,COLUMN())),OFFSET($T$2,0,0,ROW()-1,14),ROW()-1,FALSE))</x:f>
        <x:v>24.397662</x:v>
      </x:c>
      <x:c r="S506">
        <x:f ca="1">IF(AND($B$1012=1,LEN($S$1504)&gt;0),$S$1504,HLOOKUP(INDIRECT(ADDRESS(2,COLUMN())),OFFSET($T$2,0,0,ROW()-1,14),ROW()-1,FALSE))</x:f>
        <x:v>51.215645000000002</x:v>
      </x:c>
      <x:c r="T506">
        <x:f>-0.619305</x:f>
        <x:v>-0.61930499999999999</x:v>
      </x:c>
      <x:c r="U506">
        <x:f>4.702513</x:f>
        <x:v>4.7025129999999997</x:v>
      </x:c>
      <x:c r="V506">
        <x:f>116.550108</x:f>
        <x:v>116.55010799999999</x:v>
      </x:c>
      <x:c r="W506">
        <x:f>-27.301825</x:f>
        <x:v>-27.301825000000001</x:v>
      </x:c>
      <x:c r="X506">
        <x:f>9.475556</x:f>
        <x:v>9.4755559999999992</x:v>
      </x:c>
      <x:c r="Y506">
        <x:f>16.853298</x:f>
        <x:v>16.853297999999999</x:v>
      </x:c>
      <x:c r="Z506">
        <x:f>225.817763</x:f>
        <x:v>225.81776300000001</x:v>
      </x:c>
      <x:c r="AA506">
        <x:f>13.52755</x:f>
        <x:v>13.52755</x:v>
      </x:c>
      <x:c r="AB506">
        <x:f>5.038545</x:f>
        <x:v>5.0385450000000001</x:v>
      </x:c>
      <x:c r="AC506">
        <x:f>183.763521</x:f>
        <x:v>183.763521</x:v>
      </x:c>
      <x:c r="AD506">
        <x:f>97.378481</x:f>
        <x:v>97.378480999999994</x:v>
      </x:c>
      <x:c r="AE506">
        <x:f>44.480471</x:f>
        <x:v>44.480471000000001</x:v>
      </x:c>
      <x:c r="AF506">
        <x:f>24.397662</x:f>
        <x:v>24.397662</x:v>
      </x:c>
      <x:c r="AG506">
        <x:f>51.215645</x:f>
        <x:v>51.215645000000002</x:v>
      </x:c>
    </x:row>
    <x:row r="507" spans="1:33" x14ac:dyDescent="0.25">
      <x:c r="A507" t="str">
        <x:f>"            iShares Expanded Tech Sector E"</x:f>
        <x:v xml:space="preserve">            iShares Expanded Tech Sector E</x:v>
      </x:c>
      <x:c r="B507" t="str">
        <x:f>"IGM US Equity"</x:f>
        <x:v>IGM US Equity</x:v>
      </x:c>
      <x:c r="E507" t="str">
        <x:f t="shared" si="17"/>
        <x:v>Expression</x:v>
      </x:c>
      <x:c r="F507">
        <x:f ca="1">IF(AND($B$1012=1,LEN($F$1505)&gt;0),$F$1505,HLOOKUP(INDIRECT(ADDRESS(2,COLUMN())),OFFSET($T$2,0,0,ROW()-1,14),ROW()-1,FALSE))</x:f>
        <x:v>17.751707</x:v>
      </x:c>
      <x:c r="G507">
        <x:f ca="1">IF(AND($B$1012=1,LEN($G$1505)&gt;0),$G$1505,HLOOKUP(INDIRECT(ADDRESS(2,COLUMN())),OFFSET($T$2,0,0,ROW()-1,14),ROW()-1,FALSE))</x:f>
        <x:v>19.331510000000002</x:v>
      </x:c>
      <x:c r="H507">
        <x:f ca="1">IF(AND($B$1012=1,LEN($H$1505)&gt;0),$H$1505,HLOOKUP(INDIRECT(ADDRESS(2,COLUMN())),OFFSET($T$2,0,0,ROW()-1,14),ROW()-1,FALSE))</x:f>
        <x:v>0</x:v>
      </x:c>
      <x:c r="I507">
        <x:f ca="1">IF(AND($B$1012=1,LEN($I$1505)&gt;0),$I$1505,HLOOKUP(INDIRECT(ADDRESS(2,COLUMN())),OFFSET($T$2,0,0,ROW()-1,14),ROW()-1,FALSE))</x:f>
        <x:v>0.25566499999999998</x:v>
      </x:c>
      <x:c r="J507">
        <x:f ca="1">IF(AND($B$1012=1,LEN($J$1505)&gt;0),$J$1505,HLOOKUP(INDIRECT(ADDRESS(2,COLUMN())),OFFSET($T$2,0,0,ROW()-1,14),ROW()-1,FALSE))</x:f>
        <x:v>20.551034999999999</x:v>
      </x:c>
      <x:c r="K507">
        <x:f ca="1">IF(AND($B$1012=1,LEN($K$1505)&gt;0),$K$1505,HLOOKUP(INDIRECT(ADDRESS(2,COLUMN())),OFFSET($T$2,0,0,ROW()-1,14),ROW()-1,FALSE))</x:f>
        <x:v>-96.624319999999997</x:v>
      </x:c>
      <x:c r="L507">
        <x:f ca="1">IF(AND($B$1012=1,LEN($L$1505)&gt;0),$L$1505,HLOOKUP(INDIRECT(ADDRESS(2,COLUMN())),OFFSET($T$2,0,0,ROW()-1,14),ROW()-1,FALSE))</x:f>
        <x:v>35.289285</x:v>
      </x:c>
      <x:c r="M507">
        <x:f ca="1">IF(AND($B$1012=1,LEN($M$1505)&gt;0),$M$1505,HLOOKUP(INDIRECT(ADDRESS(2,COLUMN())),OFFSET($T$2,0,0,ROW()-1,14),ROW()-1,FALSE))</x:f>
        <x:v>0.26861000000000002</x:v>
      </x:c>
      <x:c r="N507">
        <x:f ca="1">IF(AND($B$1012=1,LEN($N$1505)&gt;0),$N$1505,HLOOKUP(INDIRECT(ADDRESS(2,COLUMN())),OFFSET($T$2,0,0,ROW()-1,14),ROW()-1,FALSE))</x:f>
        <x:v>63.005535000000002</x:v>
      </x:c>
      <x:c r="O507">
        <x:f ca="1">IF(AND($B$1012=1,LEN($O$1505)&gt;0),$O$1505,HLOOKUP(INDIRECT(ADDRESS(2,COLUMN())),OFFSET($T$2,0,0,ROW()-1,14),ROW()-1,FALSE))</x:f>
        <x:v>-0.31858500000000001</x:v>
      </x:c>
      <x:c r="P507">
        <x:f ca="1">IF(AND($B$1012=1,LEN($P$1505)&gt;0),$P$1505,HLOOKUP(INDIRECT(ADDRESS(2,COLUMN())),OFFSET($T$2,0,0,ROW()-1,14),ROW()-1,FALSE))</x:f>
        <x:v>-43.633960000000002</x:v>
      </x:c>
      <x:c r="Q507">
        <x:f ca="1">IF(AND($B$1012=1,LEN($Q$1505)&gt;0),$Q$1505,HLOOKUP(INDIRECT(ADDRESS(2,COLUMN())),OFFSET($T$2,0,0,ROW()-1,14),ROW()-1,FALSE))</x:f>
        <x:v>-100.693505</x:v>
      </x:c>
      <x:c r="R507">
        <x:f ca="1">IF(AND($B$1012=1,LEN($R$1505)&gt;0),$R$1505,HLOOKUP(INDIRECT(ADDRESS(2,COLUMN())),OFFSET($T$2,0,0,ROW()-1,14),ROW()-1,FALSE))</x:f>
        <x:v>-410.12391500000001</x:v>
      </x:c>
      <x:c r="S507">
        <x:f ca="1">IF(AND($B$1012=1,LEN($S$1505)&gt;0),$S$1505,HLOOKUP(INDIRECT(ADDRESS(2,COLUMN())),OFFSET($T$2,0,0,ROW()-1,14),ROW()-1,FALSE))</x:f>
        <x:v>-14.113635</x:v>
      </x:c>
      <x:c r="T507">
        <x:f>17.751707</x:f>
        <x:v>17.751707</x:v>
      </x:c>
      <x:c r="U507">
        <x:f>19.33151</x:f>
        <x:v>19.331510000000002</x:v>
      </x:c>
      <x:c r="V507">
        <x:f>0</x:f>
        <x:v>0</x:v>
      </x:c>
      <x:c r="W507">
        <x:f>0.255665</x:f>
        <x:v>0.25566499999999998</x:v>
      </x:c>
      <x:c r="X507">
        <x:f>20.551035</x:f>
        <x:v>20.551034999999999</x:v>
      </x:c>
      <x:c r="Y507">
        <x:f>-96.62432</x:f>
        <x:v>-96.624319999999997</x:v>
      </x:c>
      <x:c r="Z507">
        <x:f>35.289285</x:f>
        <x:v>35.289285</x:v>
      </x:c>
      <x:c r="AA507">
        <x:f>0.26861</x:f>
        <x:v>0.26861000000000002</x:v>
      </x:c>
      <x:c r="AB507">
        <x:f>63.005535</x:f>
        <x:v>63.005535000000002</x:v>
      </x:c>
      <x:c r="AC507">
        <x:f>-0.318585</x:f>
        <x:v>-0.31858500000000001</x:v>
      </x:c>
      <x:c r="AD507">
        <x:f>-43.63396</x:f>
        <x:v>-43.633960000000002</x:v>
      </x:c>
      <x:c r="AE507">
        <x:f>-100.693505</x:f>
        <x:v>-100.693505</x:v>
      </x:c>
      <x:c r="AF507">
        <x:f>-410.123915</x:f>
        <x:v>-410.12391500000001</x:v>
      </x:c>
      <x:c r="AG507">
        <x:f>-14.113635</x:f>
        <x:v>-14.113635</x:v>
      </x:c>
    </x:row>
    <x:row r="508" spans="1:33" x14ac:dyDescent="0.25">
      <x:c r="A508" t="str">
        <x:f>"            iShares Global Tech ETF"</x:f>
        <x:v xml:space="preserve">            iShares Global Tech ETF</x:v>
      </x:c>
      <x:c r="B508" t="str">
        <x:f>"IXN US Equity"</x:f>
        <x:v>IXN US Equity</x:v>
      </x:c>
      <x:c r="E508" t="str">
        <x:f t="shared" si="17"/>
        <x:v>Expression</x:v>
      </x:c>
      <x:c r="F508">
        <x:f ca="1">IF(AND($B$1012=1,LEN($F$1506)&gt;0),$F$1506,HLOOKUP(INDIRECT(ADDRESS(2,COLUMN())),OFFSET($T$2,0,0,ROW()-1,14),ROW()-1,FALSE))</x:f>
        <x:v>3.357091</x:v>
      </x:c>
      <x:c r="G508">
        <x:f ca="1">IF(AND($B$1012=1,LEN($G$1506)&gt;0),$G$1506,HLOOKUP(INDIRECT(ADDRESS(2,COLUMN())),OFFSET($T$2,0,0,ROW()-1,14),ROW()-1,FALSE))</x:f>
        <x:v>-8.5452750000000002</x:v>
      </x:c>
      <x:c r="H508">
        <x:f ca="1">IF(AND($B$1012=1,LEN($H$1506)&gt;0),$H$1506,HLOOKUP(INDIRECT(ADDRESS(2,COLUMN())),OFFSET($T$2,0,0,ROW()-1,14),ROW()-1,FALSE))</x:f>
        <x:v>8.9892350000000008</x:v>
      </x:c>
      <x:c r="I508">
        <x:f ca="1">IF(AND($B$1012=1,LEN($I$1506)&gt;0),$I$1506,HLOOKUP(INDIRECT(ADDRESS(2,COLUMN())),OFFSET($T$2,0,0,ROW()-1,14),ROW()-1,FALSE))</x:f>
        <x:v>-49.183574999999998</x:v>
      </x:c>
      <x:c r="J508">
        <x:f ca="1">IF(AND($B$1012=1,LEN($J$1506)&gt;0),$J$1506,HLOOKUP(INDIRECT(ADDRESS(2,COLUMN())),OFFSET($T$2,0,0,ROW()-1,14),ROW()-1,FALSE))</x:f>
        <x:v>-6.0694699999999999</x:v>
      </x:c>
      <x:c r="K508">
        <x:f ca="1">IF(AND($B$1012=1,LEN($K$1506)&gt;0),$K$1506,HLOOKUP(INDIRECT(ADDRESS(2,COLUMN())),OFFSET($T$2,0,0,ROW()-1,14),ROW()-1,FALSE))</x:f>
        <x:v>109.12497500000001</x:v>
      </x:c>
      <x:c r="L508">
        <x:f ca="1">IF(AND($B$1012=1,LEN($L$1506)&gt;0),$L$1506,HLOOKUP(INDIRECT(ADDRESS(2,COLUMN())),OFFSET($T$2,0,0,ROW()-1,14),ROW()-1,FALSE))</x:f>
        <x:v>-5.4613800000000001</x:v>
      </x:c>
      <x:c r="M508">
        <x:f ca="1">IF(AND($B$1012=1,LEN($M$1506)&gt;0),$M$1506,HLOOKUP(INDIRECT(ADDRESS(2,COLUMN())),OFFSET($T$2,0,0,ROW()-1,14),ROW()-1,FALSE))</x:f>
        <x:v>-29.020019999999999</x:v>
      </x:c>
      <x:c r="N508">
        <x:f ca="1">IF(AND($B$1012=1,LEN($N$1506)&gt;0),$N$1506,HLOOKUP(INDIRECT(ADDRESS(2,COLUMN())),OFFSET($T$2,0,0,ROW()-1,14),ROW()-1,FALSE))</x:f>
        <x:v>0.28659499999999999</x:v>
      </x:c>
      <x:c r="O508">
        <x:f ca="1">IF(AND($B$1012=1,LEN($O$1506)&gt;0),$O$1506,HLOOKUP(INDIRECT(ADDRESS(2,COLUMN())),OFFSET($T$2,0,0,ROW()-1,14),ROW()-1,FALSE))</x:f>
        <x:v>-14.92371</x:v>
      </x:c>
      <x:c r="P508">
        <x:f ca="1">IF(AND($B$1012=1,LEN($P$1506)&gt;0),$P$1506,HLOOKUP(INDIRECT(ADDRESS(2,COLUMN())),OFFSET($T$2,0,0,ROW()-1,14),ROW()-1,FALSE))</x:f>
        <x:v>-78.062205000000006</x:v>
      </x:c>
      <x:c r="Q508">
        <x:f ca="1">IF(AND($B$1012=1,LEN($Q$1506)&gt;0),$Q$1506,HLOOKUP(INDIRECT(ADDRESS(2,COLUMN())),OFFSET($T$2,0,0,ROW()-1,14),ROW()-1,FALSE))</x:f>
        <x:v>-26.733844999999999</x:v>
      </x:c>
      <x:c r="R508">
        <x:f ca="1">IF(AND($B$1012=1,LEN($R$1506)&gt;0),$R$1506,HLOOKUP(INDIRECT(ADDRESS(2,COLUMN())),OFFSET($T$2,0,0,ROW()-1,14),ROW()-1,FALSE))</x:f>
        <x:v>-23.18777</x:v>
      </x:c>
      <x:c r="S508">
        <x:f ca="1">IF(AND($B$1012=1,LEN($S$1506)&gt;0),$S$1506,HLOOKUP(INDIRECT(ADDRESS(2,COLUMN())),OFFSET($T$2,0,0,ROW()-1,14),ROW()-1,FALSE))</x:f>
        <x:v>-183.665685</x:v>
      </x:c>
      <x:c r="T508">
        <x:f>3.357091</x:f>
        <x:v>3.357091</x:v>
      </x:c>
      <x:c r="U508">
        <x:f>-8.545275</x:f>
        <x:v>-8.5452750000000002</x:v>
      </x:c>
      <x:c r="V508">
        <x:f>8.989235</x:f>
        <x:v>8.9892350000000008</x:v>
      </x:c>
      <x:c r="W508">
        <x:f>-49.183575</x:f>
        <x:v>-49.183574999999998</x:v>
      </x:c>
      <x:c r="X508">
        <x:f>-6.06947</x:f>
        <x:v>-6.0694699999999999</x:v>
      </x:c>
      <x:c r="Y508">
        <x:f>109.124975</x:f>
        <x:v>109.12497500000001</x:v>
      </x:c>
      <x:c r="Z508">
        <x:f>-5.46138</x:f>
        <x:v>-5.4613800000000001</x:v>
      </x:c>
      <x:c r="AA508">
        <x:f>-29.02002</x:f>
        <x:v>-29.020019999999999</x:v>
      </x:c>
      <x:c r="AB508">
        <x:f>0.286595</x:f>
        <x:v>0.28659499999999999</x:v>
      </x:c>
      <x:c r="AC508">
        <x:f>-14.92371</x:f>
        <x:v>-14.92371</x:v>
      </x:c>
      <x:c r="AD508">
        <x:f>-78.062205</x:f>
        <x:v>-78.062205000000006</x:v>
      </x:c>
      <x:c r="AE508">
        <x:f>-26.733845</x:f>
        <x:v>-26.733844999999999</x:v>
      </x:c>
      <x:c r="AF508">
        <x:f>-23.18777</x:f>
        <x:v>-23.18777</x:v>
      </x:c>
      <x:c r="AG508">
        <x:f>-183.665685</x:f>
        <x:v>-183.665685</x:v>
      </x:c>
    </x:row>
    <x:row r="509" spans="1:33" x14ac:dyDescent="0.25">
      <x:c r="A509" t="str">
        <x:f>"            iShares Expanded Tech-Software"</x:f>
        <x:v xml:space="preserve">            iShares Expanded Tech-Software</x:v>
      </x:c>
      <x:c r="B509" t="str">
        <x:f>"IGV US Equity"</x:f>
        <x:v>IGV US Equity</x:v>
      </x:c>
      <x:c r="E509" t="str">
        <x:f t="shared" si="17"/>
        <x:v>Expression</x:v>
      </x:c>
      <x:c r="F509">
        <x:f ca="1">IF(AND($B$1012=1,LEN($F$1507)&gt;0),$F$1507,HLOOKUP(INDIRECT(ADDRESS(2,COLUMN())),OFFSET($T$2,0,0,ROW()-1,14),ROW()-1,FALSE))</x:f>
        <x:v>875.09703400000001</x:v>
      </x:c>
      <x:c r="G509">
        <x:f ca="1">IF(AND($B$1012=1,LEN($G$1507)&gt;0),$G$1507,HLOOKUP(INDIRECT(ADDRESS(2,COLUMN())),OFFSET($T$2,0,0,ROW()-1,14),ROW()-1,FALSE))</x:f>
        <x:v>-452.54424299999999</x:v>
      </x:c>
      <x:c r="H509">
        <x:f ca="1">IF(AND($B$1012=1,LEN($H$1507)&gt;0),$H$1507,HLOOKUP(INDIRECT(ADDRESS(2,COLUMN())),OFFSET($T$2,0,0,ROW()-1,14),ROW()-1,FALSE))</x:f>
        <x:v>2.3186650000000002</x:v>
      </x:c>
      <x:c r="I509">
        <x:f ca="1">IF(AND($B$1012=1,LEN($I$1507)&gt;0),$I$1507,HLOOKUP(INDIRECT(ADDRESS(2,COLUMN())),OFFSET($T$2,0,0,ROW()-1,14),ROW()-1,FALSE))</x:f>
        <x:v>-103.99834</x:v>
      </x:c>
      <x:c r="J509">
        <x:f ca="1">IF(AND($B$1012=1,LEN($J$1507)&gt;0),$J$1507,HLOOKUP(INDIRECT(ADDRESS(2,COLUMN())),OFFSET($T$2,0,0,ROW()-1,14),ROW()-1,FALSE))</x:f>
        <x:v>167.36479</x:v>
      </x:c>
      <x:c r="K509">
        <x:f ca="1">IF(AND($B$1012=1,LEN($K$1507)&gt;0),$K$1507,HLOOKUP(INDIRECT(ADDRESS(2,COLUMN())),OFFSET($T$2,0,0,ROW()-1,14),ROW()-1,FALSE))</x:f>
        <x:v>-109.69421</x:v>
      </x:c>
      <x:c r="L509">
        <x:f ca="1">IF(AND($B$1012=1,LEN($L$1507)&gt;0),$L$1507,HLOOKUP(INDIRECT(ADDRESS(2,COLUMN())),OFFSET($T$2,0,0,ROW()-1,14),ROW()-1,FALSE))</x:f>
        <x:v>440.99338499999999</x:v>
      </x:c>
      <x:c r="M509">
        <x:f ca="1">IF(AND($B$1012=1,LEN($M$1507)&gt;0),$M$1507,HLOOKUP(INDIRECT(ADDRESS(2,COLUMN())),OFFSET($T$2,0,0,ROW()-1,14),ROW()-1,FALSE))</x:f>
        <x:v>-103.08879</x:v>
      </x:c>
      <x:c r="N509">
        <x:f ca="1">IF(AND($B$1012=1,LEN($N$1507)&gt;0),$N$1507,HLOOKUP(INDIRECT(ADDRESS(2,COLUMN())),OFFSET($T$2,0,0,ROW()-1,14),ROW()-1,FALSE))</x:f>
        <x:v>213.947935</x:v>
      </x:c>
      <x:c r="O509">
        <x:f ca="1">IF(AND($B$1012=1,LEN($O$1507)&gt;0),$O$1507,HLOOKUP(INDIRECT(ADDRESS(2,COLUMN())),OFFSET($T$2,0,0,ROW()-1,14),ROW()-1,FALSE))</x:f>
        <x:v>79.713234999999997</x:v>
      </x:c>
      <x:c r="P509">
        <x:f ca="1">IF(AND($B$1012=1,LEN($P$1507)&gt;0),$P$1507,HLOOKUP(INDIRECT(ADDRESS(2,COLUMN())),OFFSET($T$2,0,0,ROW()-1,14),ROW()-1,FALSE))</x:f>
        <x:v>-91.506249999999994</x:v>
      </x:c>
      <x:c r="Q509">
        <x:f ca="1">IF(AND($B$1012=1,LEN($Q$1507)&gt;0),$Q$1507,HLOOKUP(INDIRECT(ADDRESS(2,COLUMN())),OFFSET($T$2,0,0,ROW()-1,14),ROW()-1,FALSE))</x:f>
        <x:v>-237.25222500000001</x:v>
      </x:c>
      <x:c r="R509">
        <x:f ca="1">IF(AND($B$1012=1,LEN($R$1507)&gt;0),$R$1507,HLOOKUP(INDIRECT(ADDRESS(2,COLUMN())),OFFSET($T$2,0,0,ROW()-1,14),ROW()-1,FALSE))</x:f>
        <x:v>-463.51916</x:v>
      </x:c>
      <x:c r="S509">
        <x:f ca="1">IF(AND($B$1012=1,LEN($S$1507)&gt;0),$S$1507,HLOOKUP(INDIRECT(ADDRESS(2,COLUMN())),OFFSET($T$2,0,0,ROW()-1,14),ROW()-1,FALSE))</x:f>
        <x:v>409.13799</x:v>
      </x:c>
      <x:c r="T509">
        <x:f>875.097034</x:f>
        <x:v>875.09703400000001</x:v>
      </x:c>
      <x:c r="U509">
        <x:f>-452.544243</x:f>
        <x:v>-452.54424299999999</x:v>
      </x:c>
      <x:c r="V509">
        <x:f>2.318665</x:f>
        <x:v>2.3186650000000002</x:v>
      </x:c>
      <x:c r="W509">
        <x:f>-103.99834</x:f>
        <x:v>-103.99834</x:v>
      </x:c>
      <x:c r="X509">
        <x:f>167.36479</x:f>
        <x:v>167.36479</x:v>
      </x:c>
      <x:c r="Y509">
        <x:f>-109.69421</x:f>
        <x:v>-109.69421</x:v>
      </x:c>
      <x:c r="Z509">
        <x:f>440.993385</x:f>
        <x:v>440.99338499999999</x:v>
      </x:c>
      <x:c r="AA509">
        <x:f>-103.08879</x:f>
        <x:v>-103.08879</x:v>
      </x:c>
      <x:c r="AB509">
        <x:f>213.947935</x:f>
        <x:v>213.947935</x:v>
      </x:c>
      <x:c r="AC509">
        <x:f>79.713235</x:f>
        <x:v>79.713234999999997</x:v>
      </x:c>
      <x:c r="AD509">
        <x:f>-91.50625</x:f>
        <x:v>-91.506249999999994</x:v>
      </x:c>
      <x:c r="AE509">
        <x:f>-237.252225</x:f>
        <x:v>-237.25222500000001</x:v>
      </x:c>
      <x:c r="AF509">
        <x:f>-463.51916</x:f>
        <x:v>-463.51916</x:v>
      </x:c>
      <x:c r="AG509">
        <x:f>409.13799</x:f>
        <x:v>409.13799</x:v>
      </x:c>
    </x:row>
    <x:row r="510" spans="1:33" x14ac:dyDescent="0.25">
      <x:c r="A510" t="str">
        <x:f>"            Fidelity MSCI Information Tech"</x:f>
        <x:v xml:space="preserve">            Fidelity MSCI Information Tech</x:v>
      </x:c>
      <x:c r="B510" t="str">
        <x:f>"FTEC US Equity"</x:f>
        <x:v>FTEC US Equity</x:v>
      </x:c>
      <x:c r="E510" t="str">
        <x:f t="shared" si="17"/>
        <x:v>Expression</x:v>
      </x:c>
      <x:c r="F510">
        <x:f ca="1">IF(AND($B$1012=1,LEN($F$1508)&gt;0),$F$1508,HLOOKUP(INDIRECT(ADDRESS(2,COLUMN())),OFFSET($T$2,0,0,ROW()-1,14),ROW()-1,FALSE))</x:f>
        <x:v>45.793725000000002</x:v>
      </x:c>
      <x:c r="G510">
        <x:f ca="1">IF(AND($B$1012=1,LEN($G$1508)&gt;0),$G$1508,HLOOKUP(INDIRECT(ADDRESS(2,COLUMN())),OFFSET($T$2,0,0,ROW()-1,14),ROW()-1,FALSE))</x:f>
        <x:v>31.373925</x:v>
      </x:c>
      <x:c r="H510">
        <x:f ca="1">IF(AND($B$1012=1,LEN($H$1508)&gt;0),$H$1508,HLOOKUP(INDIRECT(ADDRESS(2,COLUMN())),OFFSET($T$2,0,0,ROW()-1,14),ROW()-1,FALSE))</x:f>
        <x:v>25.818335000000001</x:v>
      </x:c>
      <x:c r="I510">
        <x:f ca="1">IF(AND($B$1012=1,LEN($I$1508)&gt;0),$I$1508,HLOOKUP(INDIRECT(ADDRESS(2,COLUMN())),OFFSET($T$2,0,0,ROW()-1,14),ROW()-1,FALSE))</x:f>
        <x:v>1.342435</x:v>
      </x:c>
      <x:c r="J510">
        <x:f ca="1">IF(AND($B$1012=1,LEN($J$1508)&gt;0),$J$1508,HLOOKUP(INDIRECT(ADDRESS(2,COLUMN())),OFFSET($T$2,0,0,ROW()-1,14),ROW()-1,FALSE))</x:f>
        <x:v>73.105545000000006</x:v>
      </x:c>
      <x:c r="K510">
        <x:f ca="1">IF(AND($B$1012=1,LEN($K$1508)&gt;0),$K$1508,HLOOKUP(INDIRECT(ADDRESS(2,COLUMN())),OFFSET($T$2,0,0,ROW()-1,14),ROW()-1,FALSE))</x:f>
        <x:v>171.08821</x:v>
      </x:c>
      <x:c r="L510">
        <x:f ca="1">IF(AND($B$1012=1,LEN($L$1508)&gt;0),$L$1508,HLOOKUP(INDIRECT(ADDRESS(2,COLUMN())),OFFSET($T$2,0,0,ROW()-1,14),ROW()-1,FALSE))</x:f>
        <x:v>107.10107499999999</x:v>
      </x:c>
      <x:c r="M510">
        <x:f ca="1">IF(AND($B$1012=1,LEN($M$1508)&gt;0),$M$1508,HLOOKUP(INDIRECT(ADDRESS(2,COLUMN())),OFFSET($T$2,0,0,ROW()-1,14),ROW()-1,FALSE))</x:f>
        <x:v>5.7442900000000003</x:v>
      </x:c>
      <x:c r="N510">
        <x:f ca="1">IF(AND($B$1012=1,LEN($N$1508)&gt;0),$N$1508,HLOOKUP(INDIRECT(ADDRESS(2,COLUMN())),OFFSET($T$2,0,0,ROW()-1,14),ROW()-1,FALSE))</x:f>
        <x:v>-24.8385</x:v>
      </x:c>
      <x:c r="O510">
        <x:f ca="1">IF(AND($B$1012=1,LEN($O$1508)&gt;0),$O$1508,HLOOKUP(INDIRECT(ADDRESS(2,COLUMN())),OFFSET($T$2,0,0,ROW()-1,14),ROW()-1,FALSE))</x:f>
        <x:v>79.945184999999995</x:v>
      </x:c>
      <x:c r="P510">
        <x:f ca="1">IF(AND($B$1012=1,LEN($P$1508)&gt;0),$P$1508,HLOOKUP(INDIRECT(ADDRESS(2,COLUMN())),OFFSET($T$2,0,0,ROW()-1,14),ROW()-1,FALSE))</x:f>
        <x:v>39.089165000000001</x:v>
      </x:c>
      <x:c r="Q510">
        <x:f ca="1">IF(AND($B$1012=1,LEN($Q$1508)&gt;0),$Q$1508,HLOOKUP(INDIRECT(ADDRESS(2,COLUMN())),OFFSET($T$2,0,0,ROW()-1,14),ROW()-1,FALSE))</x:f>
        <x:v>-14.36894</x:v>
      </x:c>
      <x:c r="R510">
        <x:f ca="1">IF(AND($B$1012=1,LEN($R$1508)&gt;0),$R$1508,HLOOKUP(INDIRECT(ADDRESS(2,COLUMN())),OFFSET($T$2,0,0,ROW()-1,14),ROW()-1,FALSE))</x:f>
        <x:v>-5.1497650000000004</x:v>
      </x:c>
      <x:c r="S510">
        <x:f ca="1">IF(AND($B$1012=1,LEN($S$1508)&gt;0),$S$1508,HLOOKUP(INDIRECT(ADDRESS(2,COLUMN())),OFFSET($T$2,0,0,ROW()-1,14),ROW()-1,FALSE))</x:f>
        <x:v>0.67564999999999997</x:v>
      </x:c>
      <x:c r="T510">
        <x:f>45.793725</x:f>
        <x:v>45.793725000000002</x:v>
      </x:c>
      <x:c r="U510">
        <x:f>31.373925</x:f>
        <x:v>31.373925</x:v>
      </x:c>
      <x:c r="V510">
        <x:f>25.818335</x:f>
        <x:v>25.818335000000001</x:v>
      </x:c>
      <x:c r="W510">
        <x:f>1.342435</x:f>
        <x:v>1.342435</x:v>
      </x:c>
      <x:c r="X510">
        <x:f>73.105545</x:f>
        <x:v>73.105545000000006</x:v>
      </x:c>
      <x:c r="Y510">
        <x:f>171.08821</x:f>
        <x:v>171.08821</x:v>
      </x:c>
      <x:c r="Z510">
        <x:f>107.101075</x:f>
        <x:v>107.10107499999999</x:v>
      </x:c>
      <x:c r="AA510">
        <x:f>5.74429</x:f>
        <x:v>5.7442900000000003</x:v>
      </x:c>
      <x:c r="AB510">
        <x:f>-24.8385</x:f>
        <x:v>-24.8385</x:v>
      </x:c>
      <x:c r="AC510">
        <x:f>79.945185</x:f>
        <x:v>79.945184999999995</x:v>
      </x:c>
      <x:c r="AD510">
        <x:f>39.089165</x:f>
        <x:v>39.089165000000001</x:v>
      </x:c>
      <x:c r="AE510">
        <x:f>-14.36894</x:f>
        <x:v>-14.36894</x:v>
      </x:c>
      <x:c r="AF510">
        <x:f>-5.149765</x:f>
        <x:v>-5.1497650000000004</x:v>
      </x:c>
      <x:c r="AG510">
        <x:f>0.67565</x:f>
        <x:v>0.67564999999999997</x:v>
      </x:c>
    </x:row>
    <x:row r="511" spans="1:33" x14ac:dyDescent="0.25">
      <x:c r="A511" t="str">
        <x:f>"            First Trust NASDAQ Technology"</x:f>
        <x:v xml:space="preserve">            First Trust NASDAQ Technology</x:v>
      </x:c>
      <x:c r="B511" t="str">
        <x:f>"TDIV US Equity"</x:f>
        <x:v>TDIV US Equity</x:v>
      </x:c>
      <x:c r="E511" t="str">
        <x:f t="shared" si="17"/>
        <x:v>Expression</x:v>
      </x:c>
      <x:c r="F511">
        <x:f ca="1">IF(AND($B$1012=1,LEN($F$1509)&gt;0),$F$1509,HLOOKUP(INDIRECT(ADDRESS(2,COLUMN())),OFFSET($T$2,0,0,ROW()-1,14),ROW()-1,FALSE))</x:f>
        <x:v>0.117494</x:v>
      </x:c>
      <x:c r="G511">
        <x:f ca="1">IF(AND($B$1012=1,LEN($G$1509)&gt;0),$G$1509,HLOOKUP(INDIRECT(ADDRESS(2,COLUMN())),OFFSET($T$2,0,0,ROW()-1,14),ROW()-1,FALSE))</x:f>
        <x:v>5.5804879999999999</x:v>
      </x:c>
      <x:c r="H511">
        <x:f ca="1">IF(AND($B$1012=1,LEN($H$1509)&gt;0),$H$1509,HLOOKUP(INDIRECT(ADDRESS(2,COLUMN())),OFFSET($T$2,0,0,ROW()-1,14),ROW()-1,FALSE))</x:f>
        <x:v>26.234172999999998</x:v>
      </x:c>
      <x:c r="I511">
        <x:f ca="1">IF(AND($B$1012=1,LEN($I$1509)&gt;0),$I$1509,HLOOKUP(INDIRECT(ADDRESS(2,COLUMN())),OFFSET($T$2,0,0,ROW()-1,14),ROW()-1,FALSE))</x:f>
        <x:v>6.0921620000000001</x:v>
      </x:c>
      <x:c r="J511">
        <x:f ca="1">IF(AND($B$1012=1,LEN($J$1509)&gt;0),$J$1509,HLOOKUP(INDIRECT(ADDRESS(2,COLUMN())),OFFSET($T$2,0,0,ROW()-1,14),ROW()-1,FALSE))</x:f>
        <x:v>26.471477</x:v>
      </x:c>
      <x:c r="K511">
        <x:f ca="1">IF(AND($B$1012=1,LEN($K$1509)&gt;0),$K$1509,HLOOKUP(INDIRECT(ADDRESS(2,COLUMN())),OFFSET($T$2,0,0,ROW()-1,14),ROW()-1,FALSE))</x:f>
        <x:v>17.32573</x:v>
      </x:c>
      <x:c r="L511">
        <x:f ca="1">IF(AND($B$1012=1,LEN($L$1509)&gt;0),$L$1509,HLOOKUP(INDIRECT(ADDRESS(2,COLUMN())),OFFSET($T$2,0,0,ROW()-1,14),ROW()-1,FALSE))</x:f>
        <x:v>8.2813940000000006</x:v>
      </x:c>
      <x:c r="M511">
        <x:f ca="1">IF(AND($B$1012=1,LEN($M$1509)&gt;0),$M$1509,HLOOKUP(INDIRECT(ADDRESS(2,COLUMN())),OFFSET($T$2,0,0,ROW()-1,14),ROW()-1,FALSE))</x:f>
        <x:v>58.841880000000003</x:v>
      </x:c>
      <x:c r="N511">
        <x:f ca="1">IF(AND($B$1012=1,LEN($N$1509)&gt;0),$N$1509,HLOOKUP(INDIRECT(ADDRESS(2,COLUMN())),OFFSET($T$2,0,0,ROW()-1,14),ROW()-1,FALSE))</x:f>
        <x:v>21.282698</x:v>
      </x:c>
      <x:c r="O511">
        <x:f ca="1">IF(AND($B$1012=1,LEN($O$1509)&gt;0),$O$1509,HLOOKUP(INDIRECT(ADDRESS(2,COLUMN())),OFFSET($T$2,0,0,ROW()-1,14),ROW()-1,FALSE))</x:f>
        <x:v>-7.7301999999999996E-2</x:v>
      </x:c>
      <x:c r="P511">
        <x:f ca="1">IF(AND($B$1012=1,LEN($P$1509)&gt;0),$P$1509,HLOOKUP(INDIRECT(ADDRESS(2,COLUMN())),OFFSET($T$2,0,0,ROW()-1,14),ROW()-1,FALSE))</x:f>
        <x:v>-11.686771999999999</x:v>
      </x:c>
      <x:c r="Q511">
        <x:f ca="1">IF(AND($B$1012=1,LEN($Q$1509)&gt;0),$Q$1509,HLOOKUP(INDIRECT(ADDRESS(2,COLUMN())),OFFSET($T$2,0,0,ROW()-1,14),ROW()-1,FALSE))</x:f>
        <x:v>-17.988748999999999</x:v>
      </x:c>
      <x:c r="R511">
        <x:f ca="1">IF(AND($B$1012=1,LEN($R$1509)&gt;0),$R$1509,HLOOKUP(INDIRECT(ADDRESS(2,COLUMN())),OFFSET($T$2,0,0,ROW()-1,14),ROW()-1,FALSE))</x:f>
        <x:v>-7.0796659999999996</x:v>
      </x:c>
      <x:c r="S511">
        <x:f ca="1">IF(AND($B$1012=1,LEN($S$1509)&gt;0),$S$1509,HLOOKUP(INDIRECT(ADDRESS(2,COLUMN())),OFFSET($T$2,0,0,ROW()-1,14),ROW()-1,FALSE))</x:f>
        <x:v>-15.935827</x:v>
      </x:c>
      <x:c r="T511">
        <x:f>0.117494</x:f>
        <x:v>0.117494</x:v>
      </x:c>
      <x:c r="U511">
        <x:f>5.580488</x:f>
        <x:v>5.5804879999999999</x:v>
      </x:c>
      <x:c r="V511">
        <x:f>26.234173</x:f>
        <x:v>26.234172999999998</x:v>
      </x:c>
      <x:c r="W511">
        <x:f>6.092162</x:f>
        <x:v>6.0921620000000001</x:v>
      </x:c>
      <x:c r="X511">
        <x:f>26.471477</x:f>
        <x:v>26.471477</x:v>
      </x:c>
      <x:c r="Y511">
        <x:f>17.32573</x:f>
        <x:v>17.32573</x:v>
      </x:c>
      <x:c r="Z511">
        <x:f>8.281394</x:f>
        <x:v>8.2813940000000006</x:v>
      </x:c>
      <x:c r="AA511">
        <x:f>58.84188</x:f>
        <x:v>58.841880000000003</x:v>
      </x:c>
      <x:c r="AB511">
        <x:f>21.282698</x:f>
        <x:v>21.282698</x:v>
      </x:c>
      <x:c r="AC511">
        <x:f>-0.077302</x:f>
        <x:v>-7.7301999999999996E-2</x:v>
      </x:c>
      <x:c r="AD511">
        <x:f>-11.686772</x:f>
        <x:v>-11.686771999999999</x:v>
      </x:c>
      <x:c r="AE511">
        <x:f>-17.988749</x:f>
        <x:v>-17.988748999999999</x:v>
      </x:c>
      <x:c r="AF511">
        <x:f>-7.079666</x:f>
        <x:v>-7.0796659999999996</x:v>
      </x:c>
      <x:c r="AG511">
        <x:f>-15.935827</x:f>
        <x:v>-15.935827</x:v>
      </x:c>
    </x:row>
    <x:row r="512" spans="1:33" x14ac:dyDescent="0.25">
      <x:c r="A512" t="str">
        <x:f>"            SPDR NYSE Technology ETF"</x:f>
        <x:v xml:space="preserve">            SPDR NYSE Technology ETF</x:v>
      </x:c>
      <x:c r="B512" t="str">
        <x:f>"XNTK US Equity"</x:f>
        <x:v>XNTK US Equity</x:v>
      </x:c>
      <x:c r="E512" t="str">
        <x:f t="shared" si="17"/>
        <x:v>Expression</x:v>
      </x:c>
      <x:c r="F512">
        <x:f ca="1">IF(AND($B$1012=1,LEN($F$1510)&gt;0),$F$1510,HLOOKUP(INDIRECT(ADDRESS(2,COLUMN())),OFFSET($T$2,0,0,ROW()-1,14),ROW()-1,FALSE))</x:f>
        <x:v>1.4618439999999999</x:v>
      </x:c>
      <x:c r="G512">
        <x:f ca="1">IF(AND($B$1012=1,LEN($G$1510)&gt;0),$G$1510,HLOOKUP(INDIRECT(ADDRESS(2,COLUMN())),OFFSET($T$2,0,0,ROW()-1,14),ROW()-1,FALSE))</x:f>
        <x:v>-2.6554479999999998</x:v>
      </x:c>
      <x:c r="H512">
        <x:f ca="1">IF(AND($B$1012=1,LEN($H$1510)&gt;0),$H$1510,HLOOKUP(INDIRECT(ADDRESS(2,COLUMN())),OFFSET($T$2,0,0,ROW()-1,14),ROW()-1,FALSE))</x:f>
        <x:v>-9.8588450000000005</x:v>
      </x:c>
      <x:c r="I512">
        <x:f ca="1">IF(AND($B$1012=1,LEN($I$1510)&gt;0),$I$1510,HLOOKUP(INDIRECT(ADDRESS(2,COLUMN())),OFFSET($T$2,0,0,ROW()-1,14),ROW()-1,FALSE))</x:f>
        <x:v>21.243511000000002</x:v>
      </x:c>
      <x:c r="J512">
        <x:f ca="1">IF(AND($B$1012=1,LEN($J$1510)&gt;0),$J$1510,HLOOKUP(INDIRECT(ADDRESS(2,COLUMN())),OFFSET($T$2,0,0,ROW()-1,14),ROW()-1,FALSE))</x:f>
        <x:v>4.3647299999999998</x:v>
      </x:c>
      <x:c r="K512">
        <x:f ca="1">IF(AND($B$1012=1,LEN($K$1510)&gt;0),$K$1510,HLOOKUP(INDIRECT(ADDRESS(2,COLUMN())),OFFSET($T$2,0,0,ROW()-1,14),ROW()-1,FALSE))</x:f>
        <x:v>16.390037</x:v>
      </x:c>
      <x:c r="L512">
        <x:f ca="1">IF(AND($B$1012=1,LEN($L$1510)&gt;0),$L$1510,HLOOKUP(INDIRECT(ADDRESS(2,COLUMN())),OFFSET($T$2,0,0,ROW()-1,14),ROW()-1,FALSE))</x:f>
        <x:v>3.7472629999999998</x:v>
      </x:c>
      <x:c r="M512">
        <x:f ca="1">IF(AND($B$1012=1,LEN($M$1510)&gt;0),$M$1510,HLOOKUP(INDIRECT(ADDRESS(2,COLUMN())),OFFSET($T$2,0,0,ROW()-1,14),ROW()-1,FALSE))</x:f>
        <x:v>-7.0821500000000004</x:v>
      </x:c>
      <x:c r="N512">
        <x:f ca="1">IF(AND($B$1012=1,LEN($N$1510)&gt;0),$N$1510,HLOOKUP(INDIRECT(ADDRESS(2,COLUMN())),OFFSET($T$2,0,0,ROW()-1,14),ROW()-1,FALSE))</x:f>
        <x:v>3.4128970000000001</x:v>
      </x:c>
      <x:c r="O512">
        <x:f ca="1">IF(AND($B$1012=1,LEN($O$1510)&gt;0),$O$1510,HLOOKUP(INDIRECT(ADDRESS(2,COLUMN())),OFFSET($T$2,0,0,ROW()-1,14),ROW()-1,FALSE))</x:f>
        <x:v>-6.9953609999999999</x:v>
      </x:c>
      <x:c r="P512">
        <x:f ca="1">IF(AND($B$1012=1,LEN($P$1510)&gt;0),$P$1510,HLOOKUP(INDIRECT(ADDRESS(2,COLUMN())),OFFSET($T$2,0,0,ROW()-1,14),ROW()-1,FALSE))</x:f>
        <x:v>-4.1774269999999998</x:v>
      </x:c>
      <x:c r="Q512">
        <x:f ca="1">IF(AND($B$1012=1,LEN($Q$1510)&gt;0),$Q$1510,HLOOKUP(INDIRECT(ADDRESS(2,COLUMN())),OFFSET($T$2,0,0,ROW()-1,14),ROW()-1,FALSE))</x:f>
        <x:v>-2.0226030000000002</x:v>
      </x:c>
      <x:c r="R512">
        <x:f ca="1">IF(AND($B$1012=1,LEN($R$1510)&gt;0),$R$1510,HLOOKUP(INDIRECT(ADDRESS(2,COLUMN())),OFFSET($T$2,0,0,ROW()-1,14),ROW()-1,FALSE))</x:f>
        <x:v>-0.28266999999999998</x:v>
      </x:c>
      <x:c r="S512">
        <x:f ca="1">IF(AND($B$1012=1,LEN($S$1510)&gt;0),$S$1510,HLOOKUP(INDIRECT(ADDRESS(2,COLUMN())),OFFSET($T$2,0,0,ROW()-1,14),ROW()-1,FALSE))</x:f>
        <x:v>7.001881</x:v>
      </x:c>
      <x:c r="T512">
        <x:f>1.461844</x:f>
        <x:v>1.4618439999999999</x:v>
      </x:c>
      <x:c r="U512">
        <x:f>-2.655448</x:f>
        <x:v>-2.6554479999999998</x:v>
      </x:c>
      <x:c r="V512">
        <x:f>-9.858845</x:f>
        <x:v>-9.8588450000000005</x:v>
      </x:c>
      <x:c r="W512">
        <x:f>21.243511</x:f>
        <x:v>21.243511000000002</x:v>
      </x:c>
      <x:c r="X512">
        <x:f>4.36473</x:f>
        <x:v>4.3647299999999998</x:v>
      </x:c>
      <x:c r="Y512">
        <x:f>16.390037</x:f>
        <x:v>16.390037</x:v>
      </x:c>
      <x:c r="Z512">
        <x:f>3.747263</x:f>
        <x:v>3.7472629999999998</x:v>
      </x:c>
      <x:c r="AA512">
        <x:f>-7.08215</x:f>
        <x:v>-7.0821500000000004</x:v>
      </x:c>
      <x:c r="AB512">
        <x:f>3.412897</x:f>
        <x:v>3.4128970000000001</x:v>
      </x:c>
      <x:c r="AC512">
        <x:f>-6.995361</x:f>
        <x:v>-6.9953609999999999</x:v>
      </x:c>
      <x:c r="AD512">
        <x:f>-4.177427</x:f>
        <x:v>-4.1774269999999998</x:v>
      </x:c>
      <x:c r="AE512">
        <x:f>-2.022603</x:f>
        <x:v>-2.0226030000000002</x:v>
      </x:c>
      <x:c r="AF512">
        <x:f>-0.28267</x:f>
        <x:v>-0.28266999999999998</x:v>
      </x:c>
      <x:c r="AG512">
        <x:f>7.001881</x:f>
        <x:v>7.001881</x:v>
      </x:c>
    </x:row>
    <x:row r="513" spans="1:33" x14ac:dyDescent="0.25">
      <x:c r="A513" t="str">
        <x:f>"            First Trust Technology AlphaDE"</x:f>
        <x:v xml:space="preserve">            First Trust Technology AlphaDE</x:v>
      </x:c>
      <x:c r="B513" t="str">
        <x:f>"FXL US Equity"</x:f>
        <x:v>FXL US Equity</x:v>
      </x:c>
      <x:c r="E513" t="str">
        <x:f t="shared" si="17"/>
        <x:v>Expression</x:v>
      </x:c>
      <x:c r="F513">
        <x:f ca="1">IF(AND($B$1012=1,LEN($F$1511)&gt;0),$F$1511,HLOOKUP(INDIRECT(ADDRESS(2,COLUMN())),OFFSET($T$2,0,0,ROW()-1,14),ROW()-1,FALSE))</x:f>
        <x:v>54.883712000000003</x:v>
      </x:c>
      <x:c r="G513">
        <x:f ca="1">IF(AND($B$1012=1,LEN($G$1511)&gt;0),$G$1511,HLOOKUP(INDIRECT(ADDRESS(2,COLUMN())),OFFSET($T$2,0,0,ROW()-1,14),ROW()-1,FALSE))</x:f>
        <x:v>-11.164937</x:v>
      </x:c>
      <x:c r="H513">
        <x:f ca="1">IF(AND($B$1012=1,LEN($H$1511)&gt;0),$H$1511,HLOOKUP(INDIRECT(ADDRESS(2,COLUMN())),OFFSET($T$2,0,0,ROW()-1,14),ROW()-1,FALSE))</x:f>
        <x:v>-5.4888320000000004</x:v>
      </x:c>
      <x:c r="I513">
        <x:f ca="1">IF(AND($B$1012=1,LEN($I$1511)&gt;0),$I$1511,HLOOKUP(INDIRECT(ADDRESS(2,COLUMN())),OFFSET($T$2,0,0,ROW()-1,14),ROW()-1,FALSE))</x:f>
        <x:v>17.235042</x:v>
      </x:c>
      <x:c r="J513">
        <x:f ca="1">IF(AND($B$1012=1,LEN($J$1511)&gt;0),$J$1511,HLOOKUP(INDIRECT(ADDRESS(2,COLUMN())),OFFSET($T$2,0,0,ROW()-1,14),ROW()-1,FALSE))</x:f>
        <x:v>0</x:v>
      </x:c>
      <x:c r="K513">
        <x:f ca="1">IF(AND($B$1012=1,LEN($K$1511)&gt;0),$K$1511,HLOOKUP(INDIRECT(ADDRESS(2,COLUMN())),OFFSET($T$2,0,0,ROW()-1,14),ROW()-1,FALSE))</x:f>
        <x:v>-5.3959999999999999</x:v>
      </x:c>
      <x:c r="L513">
        <x:f ca="1">IF(AND($B$1012=1,LEN($L$1511)&gt;0),$L$1511,HLOOKUP(INDIRECT(ADDRESS(2,COLUMN())),OFFSET($T$2,0,0,ROW()-1,14),ROW()-1,FALSE))</x:f>
        <x:v>-0.47899999999999998</x:v>
      </x:c>
      <x:c r="M513">
        <x:f ca="1">IF(AND($B$1012=1,LEN($M$1511)&gt;0),$M$1511,HLOOKUP(INDIRECT(ADDRESS(2,COLUMN())),OFFSET($T$2,0,0,ROW()-1,14),ROW()-1,FALSE))</x:f>
        <x:v>15.7645</x:v>
      </x:c>
      <x:c r="N513">
        <x:f ca="1">IF(AND($B$1012=1,LEN($N$1511)&gt;0),$N$1511,HLOOKUP(INDIRECT(ADDRESS(2,COLUMN())),OFFSET($T$2,0,0,ROW()-1,14),ROW()-1,FALSE))</x:f>
        <x:v>0.23899999999999999</x:v>
      </x:c>
      <x:c r="O513">
        <x:f ca="1">IF(AND($B$1012=1,LEN($O$1511)&gt;0),$O$1511,HLOOKUP(INDIRECT(ADDRESS(2,COLUMN())),OFFSET($T$2,0,0,ROW()-1,14),ROW()-1,FALSE))</x:f>
        <x:v>-15.701000000000001</x:v>
      </x:c>
      <x:c r="P513">
        <x:f ca="1">IF(AND($B$1012=1,LEN($P$1511)&gt;0),$P$1511,HLOOKUP(INDIRECT(ADDRESS(2,COLUMN())),OFFSET($T$2,0,0,ROW()-1,14),ROW()-1,FALSE))</x:f>
        <x:v>-24.015028999999998</x:v>
      </x:c>
      <x:c r="Q513">
        <x:f ca="1">IF(AND($B$1012=1,LEN($Q$1511)&gt;0),$Q$1511,HLOOKUP(INDIRECT(ADDRESS(2,COLUMN())),OFFSET($T$2,0,0,ROW()-1,14),ROW()-1,FALSE))</x:f>
        <x:v>-18.696413</x:v>
      </x:c>
      <x:c r="R513">
        <x:f ca="1">IF(AND($B$1012=1,LEN($R$1511)&gt;0),$R$1511,HLOOKUP(INDIRECT(ADDRESS(2,COLUMN())),OFFSET($T$2,0,0,ROW()-1,14),ROW()-1,FALSE))</x:f>
        <x:v>-18.04466</x:v>
      </x:c>
      <x:c r="S513">
        <x:f ca="1">IF(AND($B$1012=1,LEN($S$1511)&gt;0),$S$1511,HLOOKUP(INDIRECT(ADDRESS(2,COLUMN())),OFFSET($T$2,0,0,ROW()-1,14),ROW()-1,FALSE))</x:f>
        <x:v>12.872463</x:v>
      </x:c>
      <x:c r="T513">
        <x:f>54.883712</x:f>
        <x:v>54.883712000000003</x:v>
      </x:c>
      <x:c r="U513">
        <x:f>-11.164937</x:f>
        <x:v>-11.164937</x:v>
      </x:c>
      <x:c r="V513">
        <x:f>-5.488832</x:f>
        <x:v>-5.4888320000000004</x:v>
      </x:c>
      <x:c r="W513">
        <x:f>17.235042</x:f>
        <x:v>17.235042</x:v>
      </x:c>
      <x:c r="X513">
        <x:f>0</x:f>
        <x:v>0</x:v>
      </x:c>
      <x:c r="Y513">
        <x:f>-5.396</x:f>
        <x:v>-5.3959999999999999</x:v>
      </x:c>
      <x:c r="Z513">
        <x:f>-0.479</x:f>
        <x:v>-0.47899999999999998</x:v>
      </x:c>
      <x:c r="AA513">
        <x:f>15.7645</x:f>
        <x:v>15.7645</x:v>
      </x:c>
      <x:c r="AB513">
        <x:f>0.239</x:f>
        <x:v>0.23899999999999999</x:v>
      </x:c>
      <x:c r="AC513">
        <x:f>-15.701</x:f>
        <x:v>-15.701000000000001</x:v>
      </x:c>
      <x:c r="AD513">
        <x:f>-24.015029</x:f>
        <x:v>-24.015028999999998</x:v>
      </x:c>
      <x:c r="AE513">
        <x:f>-18.696413</x:f>
        <x:v>-18.696413</x:v>
      </x:c>
      <x:c r="AF513">
        <x:f>-18.04466</x:f>
        <x:v>-18.04466</x:v>
      </x:c>
      <x:c r="AG513">
        <x:f>12.872463</x:f>
        <x:v>12.872463</x:v>
      </x:c>
    </x:row>
    <x:row r="514" spans="1:33" x14ac:dyDescent="0.25">
      <x:c r="A514" t="str">
        <x:f>"            Invesco S&amp;P SmallCap Informati"</x:f>
        <x:v xml:space="preserve">            Invesco S&amp;P SmallCap Informati</x:v>
      </x:c>
      <x:c r="B514" t="str">
        <x:f>"PSCT US Equity"</x:f>
        <x:v>PSCT US Equity</x:v>
      </x:c>
      <x:c r="E514" t="str">
        <x:f t="shared" si="17"/>
        <x:v>Expression</x:v>
      </x:c>
      <x:c r="F514">
        <x:f ca="1">IF(AND($B$1012=1,LEN($F$1512)&gt;0),$F$1512,HLOOKUP(INDIRECT(ADDRESS(2,COLUMN())),OFFSET($T$2,0,0,ROW()-1,14),ROW()-1,FALSE))</x:f>
        <x:v>-1.2429939999999999</x:v>
      </x:c>
      <x:c r="G514">
        <x:f ca="1">IF(AND($B$1012=1,LEN($G$1512)&gt;0),$G$1512,HLOOKUP(INDIRECT(ADDRESS(2,COLUMN())),OFFSET($T$2,0,0,ROW()-1,14),ROW()-1,FALSE))</x:f>
        <x:v>-4.2562490000000004</x:v>
      </x:c>
      <x:c r="H514">
        <x:f ca="1">IF(AND($B$1012=1,LEN($H$1512)&gt;0),$H$1512,HLOOKUP(INDIRECT(ADDRESS(2,COLUMN())),OFFSET($T$2,0,0,ROW()-1,14),ROW()-1,FALSE))</x:f>
        <x:v>-0.87393900000000002</x:v>
      </x:c>
      <x:c r="I514">
        <x:f ca="1">IF(AND($B$1012=1,LEN($I$1512)&gt;0),$I$1512,HLOOKUP(INDIRECT(ADDRESS(2,COLUMN())),OFFSET($T$2,0,0,ROW()-1,14),ROW()-1,FALSE))</x:f>
        <x:v>1.7930000000000001E-3</x:v>
      </x:c>
      <x:c r="J514">
        <x:f ca="1">IF(AND($B$1012=1,LEN($J$1512)&gt;0),$J$1512,HLOOKUP(INDIRECT(ADDRESS(2,COLUMN())),OFFSET($T$2,0,0,ROW()-1,14),ROW()-1,FALSE))</x:f>
        <x:v>0</x:v>
      </x:c>
      <x:c r="K514">
        <x:f ca="1">IF(AND($B$1012=1,LEN($K$1512)&gt;0),$K$1512,HLOOKUP(INDIRECT(ADDRESS(2,COLUMN())),OFFSET($T$2,0,0,ROW()-1,14),ROW()-1,FALSE))</x:f>
        <x:v>0</x:v>
      </x:c>
      <x:c r="L514">
        <x:f ca="1">IF(AND($B$1012=1,LEN($L$1512)&gt;0),$L$1512,HLOOKUP(INDIRECT(ADDRESS(2,COLUMN())),OFFSET($T$2,0,0,ROW()-1,14),ROW()-1,FALSE))</x:f>
        <x:v>-3.786543</x:v>
      </x:c>
      <x:c r="M514">
        <x:f ca="1">IF(AND($B$1012=1,LEN($M$1512)&gt;0),$M$1512,HLOOKUP(INDIRECT(ADDRESS(2,COLUMN())),OFFSET($T$2,0,0,ROW()-1,14),ROW()-1,FALSE))</x:f>
        <x:v>-2.4890340000000002</x:v>
      </x:c>
      <x:c r="N514">
        <x:f ca="1">IF(AND($B$1012=1,LEN($N$1512)&gt;0),$N$1512,HLOOKUP(INDIRECT(ADDRESS(2,COLUMN())),OFFSET($T$2,0,0,ROW()-1,14),ROW()-1,FALSE))</x:f>
        <x:v>1.224234</x:v>
      </x:c>
      <x:c r="O514">
        <x:f ca="1">IF(AND($B$1012=1,LEN($O$1512)&gt;0),$O$1512,HLOOKUP(INDIRECT(ADDRESS(2,COLUMN())),OFFSET($T$2,0,0,ROW()-1,14),ROW()-1,FALSE))</x:f>
        <x:v>-2.6493910000000001</x:v>
      </x:c>
      <x:c r="P514">
        <x:f ca="1">IF(AND($B$1012=1,LEN($P$1512)&gt;0),$P$1512,HLOOKUP(INDIRECT(ADDRESS(2,COLUMN())),OFFSET($T$2,0,0,ROW()-1,14),ROW()-1,FALSE))</x:f>
        <x:v>-2.5744539999999998</x:v>
      </x:c>
      <x:c r="Q514">
        <x:f ca="1">IF(AND($B$1012=1,LEN($Q$1512)&gt;0),$Q$1512,HLOOKUP(INDIRECT(ADDRESS(2,COLUMN())),OFFSET($T$2,0,0,ROW()-1,14),ROW()-1,FALSE))</x:f>
        <x:v>-2.4537710000000001</x:v>
      </x:c>
      <x:c r="R514">
        <x:f ca="1">IF(AND($B$1012=1,LEN($R$1512)&gt;0),$R$1512,HLOOKUP(INDIRECT(ADDRESS(2,COLUMN())),OFFSET($T$2,0,0,ROW()-1,14),ROW()-1,FALSE))</x:f>
        <x:v>-1.2583040000000001</x:v>
      </x:c>
      <x:c r="S514">
        <x:f ca="1">IF(AND($B$1012=1,LEN($S$1512)&gt;0),$S$1512,HLOOKUP(INDIRECT(ADDRESS(2,COLUMN())),OFFSET($T$2,0,0,ROW()-1,14),ROW()-1,FALSE))</x:f>
        <x:v>-76.856082000000001</x:v>
      </x:c>
      <x:c r="T514">
        <x:f>-1.242994</x:f>
        <x:v>-1.2429939999999999</x:v>
      </x:c>
      <x:c r="U514">
        <x:f>-4.256249</x:f>
        <x:v>-4.2562490000000004</x:v>
      </x:c>
      <x:c r="V514">
        <x:f>-0.873939</x:f>
        <x:v>-0.87393900000000002</x:v>
      </x:c>
      <x:c r="W514">
        <x:f>0.001793</x:f>
        <x:v>1.7930000000000001E-3</x:v>
      </x:c>
      <x:c r="X514">
        <x:f>0</x:f>
        <x:v>0</x:v>
      </x:c>
      <x:c r="Y514">
        <x:f>0</x:f>
        <x:v>0</x:v>
      </x:c>
      <x:c r="Z514">
        <x:f>-3.786543</x:f>
        <x:v>-3.786543</x:v>
      </x:c>
      <x:c r="AA514">
        <x:f>-2.489034</x:f>
        <x:v>-2.4890340000000002</x:v>
      </x:c>
      <x:c r="AB514">
        <x:f>1.224234</x:f>
        <x:v>1.224234</x:v>
      </x:c>
      <x:c r="AC514">
        <x:f>-2.649391</x:f>
        <x:v>-2.6493910000000001</x:v>
      </x:c>
      <x:c r="AD514">
        <x:f>-2.574454</x:f>
        <x:v>-2.5744539999999998</x:v>
      </x:c>
      <x:c r="AE514">
        <x:f>-2.453771</x:f>
        <x:v>-2.4537710000000001</x:v>
      </x:c>
      <x:c r="AF514">
        <x:f>-1.258304</x:f>
        <x:v>-1.2583040000000001</x:v>
      </x:c>
      <x:c r="AG514">
        <x:f>-76.856082</x:f>
        <x:v>-76.856082000000001</x:v>
      </x:c>
    </x:row>
    <x:row r="515" spans="1:33" x14ac:dyDescent="0.25">
      <x:c r="A515" t="str">
        <x:f>"            Direxion Daily Technology Bull"</x:f>
        <x:v xml:space="preserve">            Direxion Daily Technology Bull</x:v>
      </x:c>
      <x:c r="B515" t="str">
        <x:f>"TECL US Equity"</x:f>
        <x:v>TECL US Equity</x:v>
      </x:c>
      <x:c r="E515" t="str">
        <x:f t="shared" si="17"/>
        <x:v>Expression</x:v>
      </x:c>
      <x:c r="F515">
        <x:f ca="1">IF(AND($B$1012=1,LEN($F$1513)&gt;0),$F$1513,HLOOKUP(INDIRECT(ADDRESS(2,COLUMN())),OFFSET($T$2,0,0,ROW()-1,14),ROW()-1,FALSE))</x:f>
        <x:v>-76.228652999999994</x:v>
      </x:c>
      <x:c r="G515">
        <x:f ca="1">IF(AND($B$1012=1,LEN($G$1513)&gt;0),$G$1513,HLOOKUP(INDIRECT(ADDRESS(2,COLUMN())),OFFSET($T$2,0,0,ROW()-1,14),ROW()-1,FALSE))</x:f>
        <x:v>-9.3710000000000004</x:v>
      </x:c>
      <x:c r="H515">
        <x:f ca="1">IF(AND($B$1012=1,LEN($H$1513)&gt;0),$H$1513,HLOOKUP(INDIRECT(ADDRESS(2,COLUMN())),OFFSET($T$2,0,0,ROW()-1,14),ROW()-1,FALSE))</x:f>
        <x:v>45.634884</x:v>
      </x:c>
      <x:c r="I515">
        <x:f ca="1">IF(AND($B$1012=1,LEN($I$1513)&gt;0),$I$1513,HLOOKUP(INDIRECT(ADDRESS(2,COLUMN())),OFFSET($T$2,0,0,ROW()-1,14),ROW()-1,FALSE))</x:f>
        <x:v>-23.680216000000001</x:v>
      </x:c>
      <x:c r="J515">
        <x:f ca="1">IF(AND($B$1012=1,LEN($J$1513)&gt;0),$J$1513,HLOOKUP(INDIRECT(ADDRESS(2,COLUMN())),OFFSET($T$2,0,0,ROW()-1,14),ROW()-1,FALSE))</x:f>
        <x:v>-31.57405</x:v>
      </x:c>
      <x:c r="K515">
        <x:f ca="1">IF(AND($B$1012=1,LEN($K$1513)&gt;0),$K$1513,HLOOKUP(INDIRECT(ADDRESS(2,COLUMN())),OFFSET($T$2,0,0,ROW()-1,14),ROW()-1,FALSE))</x:f>
        <x:v>-7.1566910000000004</x:v>
      </x:c>
      <x:c r="L515">
        <x:f ca="1">IF(AND($B$1012=1,LEN($L$1513)&gt;0),$L$1513,HLOOKUP(INDIRECT(ADDRESS(2,COLUMN())),OFFSET($T$2,0,0,ROW()-1,14),ROW()-1,FALSE))</x:f>
        <x:v>-67.492506000000006</x:v>
      </x:c>
      <x:c r="M515">
        <x:f ca="1">IF(AND($B$1012=1,LEN($M$1513)&gt;0),$M$1513,HLOOKUP(INDIRECT(ADDRESS(2,COLUMN())),OFFSET($T$2,0,0,ROW()-1,14),ROW()-1,FALSE))</x:f>
        <x:v>-12.443619</x:v>
      </x:c>
      <x:c r="N515">
        <x:f ca="1">IF(AND($B$1012=1,LEN($N$1513)&gt;0),$N$1513,HLOOKUP(INDIRECT(ADDRESS(2,COLUMN())),OFFSET($T$2,0,0,ROW()-1,14),ROW()-1,FALSE))</x:f>
        <x:v>-18.354223000000001</x:v>
      </x:c>
      <x:c r="O515">
        <x:f ca="1">IF(AND($B$1012=1,LEN($O$1513)&gt;0),$O$1513,HLOOKUP(INDIRECT(ADDRESS(2,COLUMN())),OFFSET($T$2,0,0,ROW()-1,14),ROW()-1,FALSE))</x:f>
        <x:v>-44.143169</x:v>
      </x:c>
      <x:c r="P515">
        <x:f ca="1">IF(AND($B$1012=1,LEN($P$1513)&gt;0),$P$1513,HLOOKUP(INDIRECT(ADDRESS(2,COLUMN())),OFFSET($T$2,0,0,ROW()-1,14),ROW()-1,FALSE))</x:f>
        <x:v>-22.524583</x:v>
      </x:c>
      <x:c r="Q515">
        <x:f ca="1">IF(AND($B$1012=1,LEN($Q$1513)&gt;0),$Q$1513,HLOOKUP(INDIRECT(ADDRESS(2,COLUMN())),OFFSET($T$2,0,0,ROW()-1,14),ROW()-1,FALSE))</x:f>
        <x:v>-15.954208</x:v>
      </x:c>
      <x:c r="R515">
        <x:f ca="1">IF(AND($B$1012=1,LEN($R$1513)&gt;0),$R$1513,HLOOKUP(INDIRECT(ADDRESS(2,COLUMN())),OFFSET($T$2,0,0,ROW()-1,14),ROW()-1,FALSE))</x:f>
        <x:v>11.220195</x:v>
      </x:c>
      <x:c r="S515">
        <x:f ca="1">IF(AND($B$1012=1,LEN($S$1513)&gt;0),$S$1513,HLOOKUP(INDIRECT(ADDRESS(2,COLUMN())),OFFSET($T$2,0,0,ROW()-1,14),ROW()-1,FALSE))</x:f>
        <x:v>78.190076000000005</x:v>
      </x:c>
      <x:c r="T515">
        <x:f>-76.228653</x:f>
        <x:v>-76.228652999999994</x:v>
      </x:c>
      <x:c r="U515">
        <x:f>-9.371</x:f>
        <x:v>-9.3710000000000004</x:v>
      </x:c>
      <x:c r="V515">
        <x:f>45.634884</x:f>
        <x:v>45.634884</x:v>
      </x:c>
      <x:c r="W515">
        <x:f>-23.680216</x:f>
        <x:v>-23.680216000000001</x:v>
      </x:c>
      <x:c r="X515">
        <x:f>-31.57405</x:f>
        <x:v>-31.57405</x:v>
      </x:c>
      <x:c r="Y515">
        <x:f>-7.156691</x:f>
        <x:v>-7.1566910000000004</x:v>
      </x:c>
      <x:c r="Z515">
        <x:f>-67.492506</x:f>
        <x:v>-67.492506000000006</x:v>
      </x:c>
      <x:c r="AA515">
        <x:f>-12.443619</x:f>
        <x:v>-12.443619</x:v>
      </x:c>
      <x:c r="AB515">
        <x:f>-18.354223</x:f>
        <x:v>-18.354223000000001</x:v>
      </x:c>
      <x:c r="AC515">
        <x:f>-44.143169</x:f>
        <x:v>-44.143169</x:v>
      </x:c>
      <x:c r="AD515">
        <x:f>-22.524583</x:f>
        <x:v>-22.524583</x:v>
      </x:c>
      <x:c r="AE515">
        <x:f>-15.954208</x:f>
        <x:v>-15.954208</x:v>
      </x:c>
      <x:c r="AF515">
        <x:f>11.220195</x:f>
        <x:v>11.220195</x:v>
      </x:c>
      <x:c r="AG515">
        <x:f>78.190076</x:f>
        <x:v>78.190076000000005</x:v>
      </x:c>
    </x:row>
    <x:row r="516" spans="1:33" x14ac:dyDescent="0.25">
      <x:c r="A516" t="str">
        <x:f>"            ProShares Ultra Technology"</x:f>
        <x:v xml:space="preserve">            ProShares Ultra Technology</x:v>
      </x:c>
      <x:c r="B516" t="str">
        <x:f>"ROM US Equity"</x:f>
        <x:v>ROM US Equity</x:v>
      </x:c>
      <x:c r="E516" t="str">
        <x:f t="shared" si="17"/>
        <x:v>Expression</x:v>
      </x:c>
      <x:c r="F516">
        <x:f ca="1">IF(AND($B$1012=1,LEN($F$1514)&gt;0),$F$1514,HLOOKUP(INDIRECT(ADDRESS(2,COLUMN())),OFFSET($T$2,0,0,ROW()-1,14),ROW()-1,FALSE))</x:f>
        <x:v>14.733746</x:v>
      </x:c>
      <x:c r="G516">
        <x:f ca="1">IF(AND($B$1012=1,LEN($G$1514)&gt;0),$G$1514,HLOOKUP(INDIRECT(ADDRESS(2,COLUMN())),OFFSET($T$2,0,0,ROW()-1,14),ROW()-1,FALSE))</x:f>
        <x:v>-45.341318999999999</x:v>
      </x:c>
      <x:c r="H516">
        <x:f ca="1">IF(AND($B$1012=1,LEN($H$1514)&gt;0),$H$1514,HLOOKUP(INDIRECT(ADDRESS(2,COLUMN())),OFFSET($T$2,0,0,ROW()-1,14),ROW()-1,FALSE))</x:f>
        <x:v>-4.4055999999999997</x:v>
      </x:c>
      <x:c r="I516">
        <x:f ca="1">IF(AND($B$1012=1,LEN($I$1514)&gt;0),$I$1514,HLOOKUP(INDIRECT(ADDRESS(2,COLUMN())),OFFSET($T$2,0,0,ROW()-1,14),ROW()-1,FALSE))</x:f>
        <x:v>-6.1967569999999998</x:v>
      </x:c>
      <x:c r="J516">
        <x:f ca="1">IF(AND($B$1012=1,LEN($J$1514)&gt;0),$J$1514,HLOOKUP(INDIRECT(ADDRESS(2,COLUMN())),OFFSET($T$2,0,0,ROW()-1,14),ROW()-1,FALSE))</x:f>
        <x:v>-8.4234449999999992</x:v>
      </x:c>
      <x:c r="K516">
        <x:f ca="1">IF(AND($B$1012=1,LEN($K$1514)&gt;0),$K$1514,HLOOKUP(INDIRECT(ADDRESS(2,COLUMN())),OFFSET($T$2,0,0,ROW()-1,14),ROW()-1,FALSE))</x:f>
        <x:v>-34.334406999999999</x:v>
      </x:c>
      <x:c r="L516">
        <x:f ca="1">IF(AND($B$1012=1,LEN($L$1514)&gt;0),$L$1514,HLOOKUP(INDIRECT(ADDRESS(2,COLUMN())),OFFSET($T$2,0,0,ROW()-1,14),ROW()-1,FALSE))</x:f>
        <x:v>25.078569999999999</x:v>
      </x:c>
      <x:c r="M516">
        <x:f ca="1">IF(AND($B$1012=1,LEN($M$1514)&gt;0),$M$1514,HLOOKUP(INDIRECT(ADDRESS(2,COLUMN())),OFFSET($T$2,0,0,ROW()-1,14),ROW()-1,FALSE))</x:f>
        <x:v>25.133099999999999</x:v>
      </x:c>
      <x:c r="N516">
        <x:f ca="1">IF(AND($B$1012=1,LEN($N$1514)&gt;0),$N$1514,HLOOKUP(INDIRECT(ADDRESS(2,COLUMN())),OFFSET($T$2,0,0,ROW()-1,14),ROW()-1,FALSE))</x:f>
        <x:v>21.847355</x:v>
      </x:c>
      <x:c r="O516">
        <x:f ca="1">IF(AND($B$1012=1,LEN($O$1514)&gt;0),$O$1514,HLOOKUP(INDIRECT(ADDRESS(2,COLUMN())),OFFSET($T$2,0,0,ROW()-1,14),ROW()-1,FALSE))</x:f>
        <x:v>4.9017730000000004</x:v>
      </x:c>
      <x:c r="P516">
        <x:f ca="1">IF(AND($B$1012=1,LEN($P$1514)&gt;0),$P$1514,HLOOKUP(INDIRECT(ADDRESS(2,COLUMN())),OFFSET($T$2,0,0,ROW()-1,14),ROW()-1,FALSE))</x:f>
        <x:v>-5.472982</x:v>
      </x:c>
      <x:c r="Q516">
        <x:f ca="1">IF(AND($B$1012=1,LEN($Q$1514)&gt;0),$Q$1514,HLOOKUP(INDIRECT(ADDRESS(2,COLUMN())),OFFSET($T$2,0,0,ROW()-1,14),ROW()-1,FALSE))</x:f>
        <x:v>-4.6865880000000004</x:v>
      </x:c>
      <x:c r="R516">
        <x:f ca="1">IF(AND($B$1012=1,LEN($R$1514)&gt;0),$R$1514,HLOOKUP(INDIRECT(ADDRESS(2,COLUMN())),OFFSET($T$2,0,0,ROW()-1,14),ROW()-1,FALSE))</x:f>
        <x:v>-8.6007619999999996</x:v>
      </x:c>
      <x:c r="S516">
        <x:f ca="1">IF(AND($B$1012=1,LEN($S$1514)&gt;0),$S$1514,HLOOKUP(INDIRECT(ADDRESS(2,COLUMN())),OFFSET($T$2,0,0,ROW()-1,14),ROW()-1,FALSE))</x:f>
        <x:v>-13.574192</x:v>
      </x:c>
      <x:c r="T516">
        <x:f>14.733746</x:f>
        <x:v>14.733746</x:v>
      </x:c>
      <x:c r="U516">
        <x:f>-45.341319</x:f>
        <x:v>-45.341318999999999</x:v>
      </x:c>
      <x:c r="V516">
        <x:f>-4.4056</x:f>
        <x:v>-4.4055999999999997</x:v>
      </x:c>
      <x:c r="W516">
        <x:f>-6.196757</x:f>
        <x:v>-6.1967569999999998</x:v>
      </x:c>
      <x:c r="X516">
        <x:f>-8.423445</x:f>
        <x:v>-8.4234449999999992</x:v>
      </x:c>
      <x:c r="Y516">
        <x:f>-34.334407</x:f>
        <x:v>-34.334406999999999</x:v>
      </x:c>
      <x:c r="Z516">
        <x:f>25.07857</x:f>
        <x:v>25.078569999999999</x:v>
      </x:c>
      <x:c r="AA516">
        <x:f>25.1331</x:f>
        <x:v>25.133099999999999</x:v>
      </x:c>
      <x:c r="AB516">
        <x:f>21.847355</x:f>
        <x:v>21.847355</x:v>
      </x:c>
      <x:c r="AC516">
        <x:f>4.901773</x:f>
        <x:v>4.9017730000000004</x:v>
      </x:c>
      <x:c r="AD516">
        <x:f>-5.472982</x:f>
        <x:v>-5.472982</x:v>
      </x:c>
      <x:c r="AE516">
        <x:f>-4.686588</x:f>
        <x:v>-4.6865880000000004</x:v>
      </x:c>
      <x:c r="AF516">
        <x:f>-8.600762</x:f>
        <x:v>-8.6007619999999996</x:v>
      </x:c>
      <x:c r="AG516">
        <x:f>-13.574192</x:f>
        <x:v>-13.574192</x:v>
      </x:c>
    </x:row>
    <x:row r="517" spans="1:33" x14ac:dyDescent="0.25">
      <x:c r="A517" t="str">
        <x:f>"            Invesco DWA Technology Momentu"</x:f>
        <x:v xml:space="preserve">            Invesco DWA Technology Momentu</x:v>
      </x:c>
      <x:c r="B517" t="str">
        <x:f>"PTF US Equity"</x:f>
        <x:v>PTF US Equity</x:v>
      </x:c>
      <x:c r="E517" t="str">
        <x:f t="shared" si="17"/>
        <x:v>Expression</x:v>
      </x:c>
      <x:c r="F517">
        <x:f ca="1">IF(AND($B$1012=1,LEN($F$1515)&gt;0),$F$1515,HLOOKUP(INDIRECT(ADDRESS(2,COLUMN())),OFFSET($T$2,0,0,ROW()-1,14),ROW()-1,FALSE))</x:f>
        <x:v>5.5084090000000003</x:v>
      </x:c>
      <x:c r="G517">
        <x:f ca="1">IF(AND($B$1012=1,LEN($G$1515)&gt;0),$G$1515,HLOOKUP(INDIRECT(ADDRESS(2,COLUMN())),OFFSET($T$2,0,0,ROW()-1,14),ROW()-1,FALSE))</x:f>
        <x:v>-1.7397149999999999</x:v>
      </x:c>
      <x:c r="H517">
        <x:f ca="1">IF(AND($B$1012=1,LEN($H$1515)&gt;0),$H$1515,HLOOKUP(INDIRECT(ADDRESS(2,COLUMN())),OFFSET($T$2,0,0,ROW()-1,14),ROW()-1,FALSE))</x:f>
        <x:v>-1.831494</x:v>
      </x:c>
      <x:c r="I517">
        <x:f ca="1">IF(AND($B$1012=1,LEN($I$1515)&gt;0),$I$1515,HLOOKUP(INDIRECT(ADDRESS(2,COLUMN())),OFFSET($T$2,0,0,ROW()-1,14),ROW()-1,FALSE))</x:f>
        <x:v>49.245306999999997</x:v>
      </x:c>
      <x:c r="J517">
        <x:f ca="1">IF(AND($B$1012=1,LEN($J$1515)&gt;0),$J$1515,HLOOKUP(INDIRECT(ADDRESS(2,COLUMN())),OFFSET($T$2,0,0,ROW()-1,14),ROW()-1,FALSE))</x:f>
        <x:v>11.572697</x:v>
      </x:c>
      <x:c r="K517">
        <x:f ca="1">IF(AND($B$1012=1,LEN($K$1515)&gt;0),$K$1515,HLOOKUP(INDIRECT(ADDRESS(2,COLUMN())),OFFSET($T$2,0,0,ROW()-1,14),ROW()-1,FALSE))</x:f>
        <x:v>2.7760020000000001</x:v>
      </x:c>
      <x:c r="L517">
        <x:f ca="1">IF(AND($B$1012=1,LEN($L$1515)&gt;0),$L$1515,HLOOKUP(INDIRECT(ADDRESS(2,COLUMN())),OFFSET($T$2,0,0,ROW()-1,14),ROW()-1,FALSE))</x:f>
        <x:v>-4.0411339999999996</x:v>
      </x:c>
      <x:c r="M517">
        <x:f ca="1">IF(AND($B$1012=1,LEN($M$1515)&gt;0),$M$1515,HLOOKUP(INDIRECT(ADDRESS(2,COLUMN())),OFFSET($T$2,0,0,ROW()-1,14),ROW()-1,FALSE))</x:f>
        <x:v>29.376850999999998</x:v>
      </x:c>
      <x:c r="N517">
        <x:f ca="1">IF(AND($B$1012=1,LEN($N$1515)&gt;0),$N$1515,HLOOKUP(INDIRECT(ADDRESS(2,COLUMN())),OFFSET($T$2,0,0,ROW()-1,14),ROW()-1,FALSE))</x:f>
        <x:v>-7.5178700000000003</x:v>
      </x:c>
      <x:c r="O517">
        <x:f ca="1">IF(AND($B$1012=1,LEN($O$1515)&gt;0),$O$1515,HLOOKUP(INDIRECT(ADDRESS(2,COLUMN())),OFFSET($T$2,0,0,ROW()-1,14),ROW()-1,FALSE))</x:f>
        <x:v>-2.4984250000000001</x:v>
      </x:c>
      <x:c r="P517">
        <x:f ca="1">IF(AND($B$1012=1,LEN($P$1515)&gt;0),$P$1515,HLOOKUP(INDIRECT(ADDRESS(2,COLUMN())),OFFSET($T$2,0,0,ROW()-1,14),ROW()-1,FALSE))</x:f>
        <x:v>-1.1812039999999999</x:v>
      </x:c>
      <x:c r="Q517">
        <x:f ca="1">IF(AND($B$1012=1,LEN($Q$1515)&gt;0),$Q$1515,HLOOKUP(INDIRECT(ADDRESS(2,COLUMN())),OFFSET($T$2,0,0,ROW()-1,14),ROW()-1,FALSE))</x:f>
        <x:v>-2.2989419999999998</x:v>
      </x:c>
      <x:c r="R517">
        <x:f ca="1">IF(AND($B$1012=1,LEN($R$1515)&gt;0),$R$1515,HLOOKUP(INDIRECT(ADDRESS(2,COLUMN())),OFFSET($T$2,0,0,ROW()-1,14),ROW()-1,FALSE))</x:f>
        <x:v>3.693057</x:v>
      </x:c>
      <x:c r="S517">
        <x:f ca="1">IF(AND($B$1012=1,LEN($S$1515)&gt;0),$S$1515,HLOOKUP(INDIRECT(ADDRESS(2,COLUMN())),OFFSET($T$2,0,0,ROW()-1,14),ROW()-1,FALSE))</x:f>
        <x:v>12.745934</x:v>
      </x:c>
      <x:c r="T517">
        <x:f>5.508409</x:f>
        <x:v>5.5084090000000003</x:v>
      </x:c>
      <x:c r="U517">
        <x:f>-1.739715</x:f>
        <x:v>-1.7397149999999999</x:v>
      </x:c>
      <x:c r="V517">
        <x:f>-1.831494</x:f>
        <x:v>-1.831494</x:v>
      </x:c>
      <x:c r="W517">
        <x:f>49.245307</x:f>
        <x:v>49.245306999999997</x:v>
      </x:c>
      <x:c r="X517">
        <x:f>11.572697</x:f>
        <x:v>11.572697</x:v>
      </x:c>
      <x:c r="Y517">
        <x:f>2.776002</x:f>
        <x:v>2.7760020000000001</x:v>
      </x:c>
      <x:c r="Z517">
        <x:f>-4.041134</x:f>
        <x:v>-4.0411339999999996</x:v>
      </x:c>
      <x:c r="AA517">
        <x:f>29.376851</x:f>
        <x:v>29.376850999999998</x:v>
      </x:c>
      <x:c r="AB517">
        <x:f>-7.51787</x:f>
        <x:v>-7.5178700000000003</x:v>
      </x:c>
      <x:c r="AC517">
        <x:f>-2.498425</x:f>
        <x:v>-2.4984250000000001</x:v>
      </x:c>
      <x:c r="AD517">
        <x:f>-1.181204</x:f>
        <x:v>-1.1812039999999999</x:v>
      </x:c>
      <x:c r="AE517">
        <x:f>-2.298942</x:f>
        <x:v>-2.2989419999999998</x:v>
      </x:c>
      <x:c r="AF517">
        <x:f>3.693057</x:f>
        <x:v>3.693057</x:v>
      </x:c>
      <x:c r="AG517">
        <x:f>12.745934</x:f>
        <x:v>12.745934</x:v>
      </x:c>
    </x:row>
    <x:row r="518" spans="1:33" x14ac:dyDescent="0.25">
      <x:c r="A518" t="str">
        <x:f>"            Invesco Dynamic Software ETF"</x:f>
        <x:v xml:space="preserve">            Invesco Dynamic Software ETF</x:v>
      </x:c>
      <x:c r="B518" t="str">
        <x:f>"PSJ US Equity"</x:f>
        <x:v>PSJ US Equity</x:v>
      </x:c>
      <x:c r="E518" t="str">
        <x:f t="shared" si="17"/>
        <x:v>Expression</x:v>
      </x:c>
      <x:c r="F518">
        <x:f ca="1">IF(AND($B$1012=1,LEN($F$1516)&gt;0),$F$1516,HLOOKUP(INDIRECT(ADDRESS(2,COLUMN())),OFFSET($T$2,0,0,ROW()-1,14),ROW()-1,FALSE))</x:f>
        <x:v>-2.062805</x:v>
      </x:c>
      <x:c r="G518">
        <x:f ca="1">IF(AND($B$1012=1,LEN($G$1516)&gt;0),$G$1516,HLOOKUP(INDIRECT(ADDRESS(2,COLUMN())),OFFSET($T$2,0,0,ROW()-1,14),ROW()-1,FALSE))</x:f>
        <x:v>-3.729635</x:v>
      </x:c>
      <x:c r="H518">
        <x:f ca="1">IF(AND($B$1012=1,LEN($H$1516)&gt;0),$H$1516,HLOOKUP(INDIRECT(ADDRESS(2,COLUMN())),OFFSET($T$2,0,0,ROW()-1,14),ROW()-1,FALSE))</x:f>
        <x:v>-4.3539779999999997</x:v>
      </x:c>
      <x:c r="I518">
        <x:f ca="1">IF(AND($B$1012=1,LEN($I$1516)&gt;0),$I$1516,HLOOKUP(INDIRECT(ADDRESS(2,COLUMN())),OFFSET($T$2,0,0,ROW()-1,14),ROW()-1,FALSE))</x:f>
        <x:v>-1.9767950000000001</x:v>
      </x:c>
      <x:c r="J518" t="str">
        <x:f ca="1">IF(AND($B$1012=1,LEN($J$1516)&gt;0),$J$1516,HLOOKUP(INDIRECT(ADDRESS(2,COLUMN())),OFFSET($T$2,0,0,ROW()-1,14),ROW()-1,FALSE))</x:f>
        <x:v/>
      </x:c>
      <x:c r="K518" t="str">
        <x:f ca="1">IF(AND($B$1012=1,LEN($K$1516)&gt;0),$K$1516,HLOOKUP(INDIRECT(ADDRESS(2,COLUMN())),OFFSET($T$2,0,0,ROW()-1,14),ROW()-1,FALSE))</x:f>
        <x:v/>
      </x:c>
      <x:c r="L518" t="str">
        <x:f ca="1">IF(AND($B$1012=1,LEN($L$1516)&gt;0),$L$1516,HLOOKUP(INDIRECT(ADDRESS(2,COLUMN())),OFFSET($T$2,0,0,ROW()-1,14),ROW()-1,FALSE))</x:f>
        <x:v/>
      </x:c>
      <x:c r="M518" t="str">
        <x:f ca="1">IF(AND($B$1012=1,LEN($M$1516)&gt;0),$M$1516,HLOOKUP(INDIRECT(ADDRESS(2,COLUMN())),OFFSET($T$2,0,0,ROW()-1,14),ROW()-1,FALSE))</x:f>
        <x:v/>
      </x:c>
      <x:c r="N518" t="str">
        <x:f ca="1">IF(AND($B$1012=1,LEN($N$1516)&gt;0),$N$1516,HLOOKUP(INDIRECT(ADDRESS(2,COLUMN())),OFFSET($T$2,0,0,ROW()-1,14),ROW()-1,FALSE))</x:f>
        <x:v/>
      </x:c>
      <x:c r="O518" t="str">
        <x:f ca="1">IF(AND($B$1012=1,LEN($O$1516)&gt;0),$O$1516,HLOOKUP(INDIRECT(ADDRESS(2,COLUMN())),OFFSET($T$2,0,0,ROW()-1,14),ROW()-1,FALSE))</x:f>
        <x:v/>
      </x:c>
      <x:c r="P518" t="str">
        <x:f ca="1">IF(AND($B$1012=1,LEN($P$1516)&gt;0),$P$1516,HLOOKUP(INDIRECT(ADDRESS(2,COLUMN())),OFFSET($T$2,0,0,ROW()-1,14),ROW()-1,FALSE))</x:f>
        <x:v/>
      </x:c>
      <x:c r="Q518" t="str">
        <x:f ca="1">IF(AND($B$1012=1,LEN($Q$1516)&gt;0),$Q$1516,HLOOKUP(INDIRECT(ADDRESS(2,COLUMN())),OFFSET($T$2,0,0,ROW()-1,14),ROW()-1,FALSE))</x:f>
        <x:v/>
      </x:c>
      <x:c r="R518" t="str">
        <x:f ca="1">IF(AND($B$1012=1,LEN($R$1516)&gt;0),$R$1516,HLOOKUP(INDIRECT(ADDRESS(2,COLUMN())),OFFSET($T$2,0,0,ROW()-1,14),ROW()-1,FALSE))</x:f>
        <x:v/>
      </x:c>
      <x:c r="S518" t="str">
        <x:f ca="1">IF(AND($B$1012=1,LEN($S$1516)&gt;0),$S$1516,HLOOKUP(INDIRECT(ADDRESS(2,COLUMN())),OFFSET($T$2,0,0,ROW()-1,14),ROW()-1,FALSE))</x:f>
        <x:v/>
      </x:c>
      <x:c r="T518">
        <x:f>-2.062805</x:f>
        <x:v>-2.062805</x:v>
      </x:c>
      <x:c r="U518">
        <x:f>-3.729635</x:f>
        <x:v>-3.729635</x:v>
      </x:c>
      <x:c r="V518">
        <x:f>-4.353978</x:f>
        <x:v>-4.3539779999999997</x:v>
      </x:c>
      <x:c r="W518">
        <x:f>-1.976795</x:f>
        <x:v>-1.9767950000000001</x:v>
      </x:c>
      <x:c r="X518" t="str">
        <x:f>""</x:f>
        <x:v/>
      </x:c>
      <x:c r="Y518" t="str">
        <x:f>""</x:f>
        <x:v/>
      </x:c>
      <x:c r="Z518" t="str">
        <x:f>""</x:f>
        <x:v/>
      </x:c>
      <x:c r="AA518" t="str">
        <x:f>""</x:f>
        <x:v/>
      </x:c>
      <x:c r="AB518" t="str">
        <x:f>""</x:f>
        <x:v/>
      </x:c>
      <x:c r="AC518" t="str">
        <x:f>""</x:f>
        <x:v/>
      </x:c>
      <x:c r="AD518" t="str">
        <x:f>""</x:f>
        <x:v/>
      </x:c>
      <x:c r="AE518" t="str">
        <x:f>""</x:f>
        <x:v/>
      </x:c>
      <x:c r="AF518" t="str">
        <x:f>""</x:f>
        <x:v/>
      </x:c>
      <x:c r="AG518" t="str">
        <x:f>""</x:f>
        <x:v/>
      </x:c>
    </x:row>
    <x:row r="519" spans="1:33" x14ac:dyDescent="0.25">
      <x:c r="A519" t="str">
        <x:f>"            Invesco China Technology ETF"</x:f>
        <x:v xml:space="preserve">            Invesco China Technology ETF</x:v>
      </x:c>
      <x:c r="B519" t="str">
        <x:f>"CQQQ US Equity"</x:f>
        <x:v>CQQQ US Equity</x:v>
      </x:c>
      <x:c r="E519" t="str">
        <x:f t="shared" si="17"/>
        <x:v>Expression</x:v>
      </x:c>
      <x:c r="F519">
        <x:f ca="1">IF(AND($B$1012=1,LEN($F$1517)&gt;0),$F$1517,HLOOKUP(INDIRECT(ADDRESS(2,COLUMN())),OFFSET($T$2,0,0,ROW()-1,14),ROW()-1,FALSE))</x:f>
        <x:v>-10.986741</x:v>
      </x:c>
      <x:c r="G519">
        <x:f ca="1">IF(AND($B$1012=1,LEN($G$1517)&gt;0),$G$1517,HLOOKUP(INDIRECT(ADDRESS(2,COLUMN())),OFFSET($T$2,0,0,ROW()-1,14),ROW()-1,FALSE))</x:f>
        <x:v>-26.066534999999998</x:v>
      </x:c>
      <x:c r="H519">
        <x:f ca="1">IF(AND($B$1012=1,LEN($H$1517)&gt;0),$H$1517,HLOOKUP(INDIRECT(ADDRESS(2,COLUMN())),OFFSET($T$2,0,0,ROW()-1,14),ROW()-1,FALSE))</x:f>
        <x:v>-7.3886159999999999</x:v>
      </x:c>
      <x:c r="I519">
        <x:f ca="1">IF(AND($B$1012=1,LEN($I$1517)&gt;0),$I$1517,HLOOKUP(INDIRECT(ADDRESS(2,COLUMN())),OFFSET($T$2,0,0,ROW()-1,14),ROW()-1,FALSE))</x:f>
        <x:v>-5.7300079999999998</x:v>
      </x:c>
      <x:c r="J519">
        <x:f ca="1">IF(AND($B$1012=1,LEN($J$1517)&gt;0),$J$1517,HLOOKUP(INDIRECT(ADDRESS(2,COLUMN())),OFFSET($T$2,0,0,ROW()-1,14),ROW()-1,FALSE))</x:f>
        <x:v>0</x:v>
      </x:c>
      <x:c r="K519">
        <x:f ca="1">IF(AND($B$1012=1,LEN($K$1517)&gt;0),$K$1517,HLOOKUP(INDIRECT(ADDRESS(2,COLUMN())),OFFSET($T$2,0,0,ROW()-1,14),ROW()-1,FALSE))</x:f>
        <x:v>0</x:v>
      </x:c>
      <x:c r="L519">
        <x:f ca="1">IF(AND($B$1012=1,LEN($L$1517)&gt;0),$L$1517,HLOOKUP(INDIRECT(ADDRESS(2,COLUMN())),OFFSET($T$2,0,0,ROW()-1,14),ROW()-1,FALSE))</x:f>
        <x:v>-2.075971</x:v>
      </x:c>
      <x:c r="M519">
        <x:f ca="1">IF(AND($B$1012=1,LEN($M$1517)&gt;0),$M$1517,HLOOKUP(INDIRECT(ADDRESS(2,COLUMN())),OFFSET($T$2,0,0,ROW()-1,14),ROW()-1,FALSE))</x:f>
        <x:v>-9.2597930000000002</x:v>
      </x:c>
      <x:c r="N519">
        <x:f ca="1">IF(AND($B$1012=1,LEN($N$1517)&gt;0),$N$1517,HLOOKUP(INDIRECT(ADDRESS(2,COLUMN())),OFFSET($T$2,0,0,ROW()-1,14),ROW()-1,FALSE))</x:f>
        <x:v>-35.156516000000003</x:v>
      </x:c>
      <x:c r="O519">
        <x:f ca="1">IF(AND($B$1012=1,LEN($O$1517)&gt;0),$O$1517,HLOOKUP(INDIRECT(ADDRESS(2,COLUMN())),OFFSET($T$2,0,0,ROW()-1,14),ROW()-1,FALSE))</x:f>
        <x:v>-9.4684620000000006</x:v>
      </x:c>
      <x:c r="P519">
        <x:f ca="1">IF(AND($B$1012=1,LEN($P$1517)&gt;0),$P$1517,HLOOKUP(INDIRECT(ADDRESS(2,COLUMN())),OFFSET($T$2,0,0,ROW()-1,14),ROW()-1,FALSE))</x:f>
        <x:v>46.578268999999999</x:v>
      </x:c>
      <x:c r="Q519">
        <x:f ca="1">IF(AND($B$1012=1,LEN($Q$1517)&gt;0),$Q$1517,HLOOKUP(INDIRECT(ADDRESS(2,COLUMN())),OFFSET($T$2,0,0,ROW()-1,14),ROW()-1,FALSE))</x:f>
        <x:v>24.066946000000002</x:v>
      </x:c>
      <x:c r="R519">
        <x:f ca="1">IF(AND($B$1012=1,LEN($R$1517)&gt;0),$R$1517,HLOOKUP(INDIRECT(ADDRESS(2,COLUMN())),OFFSET($T$2,0,0,ROW()-1,14),ROW()-1,FALSE))</x:f>
        <x:v>-51.572606999999998</x:v>
      </x:c>
      <x:c r="S519">
        <x:f ca="1">IF(AND($B$1012=1,LEN($S$1517)&gt;0),$S$1517,HLOOKUP(INDIRECT(ADDRESS(2,COLUMN())),OFFSET($T$2,0,0,ROW()-1,14),ROW()-1,FALSE))</x:f>
        <x:v>-20.283543000000002</x:v>
      </x:c>
      <x:c r="T519">
        <x:f>-10.986741</x:f>
        <x:v>-10.986741</x:v>
      </x:c>
      <x:c r="U519">
        <x:f>-26.066535</x:f>
        <x:v>-26.066534999999998</x:v>
      </x:c>
      <x:c r="V519">
        <x:f>-7.388616</x:f>
        <x:v>-7.3886159999999999</x:v>
      </x:c>
      <x:c r="W519">
        <x:f>-5.730008</x:f>
        <x:v>-5.7300079999999998</x:v>
      </x:c>
      <x:c r="X519">
        <x:f>0</x:f>
        <x:v>0</x:v>
      </x:c>
      <x:c r="Y519">
        <x:f>0</x:f>
        <x:v>0</x:v>
      </x:c>
      <x:c r="Z519">
        <x:f>-2.075971</x:f>
        <x:v>-2.075971</x:v>
      </x:c>
      <x:c r="AA519">
        <x:f>-9.259793</x:f>
        <x:v>-9.2597930000000002</x:v>
      </x:c>
      <x:c r="AB519">
        <x:f>-35.156516</x:f>
        <x:v>-35.156516000000003</x:v>
      </x:c>
      <x:c r="AC519">
        <x:f>-9.468462</x:f>
        <x:v>-9.4684620000000006</x:v>
      </x:c>
      <x:c r="AD519">
        <x:f>46.578269</x:f>
        <x:v>46.578268999999999</x:v>
      </x:c>
      <x:c r="AE519">
        <x:f>24.066946</x:f>
        <x:v>24.066946000000002</x:v>
      </x:c>
      <x:c r="AF519">
        <x:f>-51.572607</x:f>
        <x:v>-51.572606999999998</x:v>
      </x:c>
      <x:c r="AG519">
        <x:f>-20.283543</x:f>
        <x:v>-20.283543000000002</x:v>
      </x:c>
    </x:row>
    <x:row r="520" spans="1:33" x14ac:dyDescent="0.25">
      <x:c r="A520" t="str">
        <x:f>"            iShares North American Tech-Mu"</x:f>
        <x:v xml:space="preserve">            iShares North American Tech-Mu</x:v>
      </x:c>
      <x:c r="B520" t="str">
        <x:f>"IGN US Equity"</x:f>
        <x:v>IGN US Equity</x:v>
      </x:c>
      <x:c r="E520" t="str">
        <x:f t="shared" si="17"/>
        <x:v>Expression</x:v>
      </x:c>
      <x:c r="F520">
        <x:f ca="1">IF(AND($B$1012=1,LEN($F$1518)&gt;0),$F$1518,HLOOKUP(INDIRECT(ADDRESS(2,COLUMN())),OFFSET($T$2,0,0,ROW()-1,14),ROW()-1,FALSE))</x:f>
        <x:v>0</x:v>
      </x:c>
      <x:c r="G520">
        <x:f ca="1">IF(AND($B$1012=1,LEN($G$1518)&gt;0),$G$1518,HLOOKUP(INDIRECT(ADDRESS(2,COLUMN())),OFFSET($T$2,0,0,ROW()-1,14),ROW()-1,FALSE))</x:f>
        <x:v>-2.9587910000000002</x:v>
      </x:c>
      <x:c r="H520">
        <x:f ca="1">IF(AND($B$1012=1,LEN($H$1518)&gt;0),$H$1518,HLOOKUP(INDIRECT(ADDRESS(2,COLUMN())),OFFSET($T$2,0,0,ROW()-1,14),ROW()-1,FALSE))</x:f>
        <x:v>0</x:v>
      </x:c>
      <x:c r="I520">
        <x:f ca="1">IF(AND($B$1012=1,LEN($I$1518)&gt;0),$I$1518,HLOOKUP(INDIRECT(ADDRESS(2,COLUMN())),OFFSET($T$2,0,0,ROW()-1,14),ROW()-1,FALSE))</x:f>
        <x:v>-6.6609449999999999</x:v>
      </x:c>
      <x:c r="J520">
        <x:f ca="1">IF(AND($B$1012=1,LEN($J$1518)&gt;0),$J$1518,HLOOKUP(INDIRECT(ADDRESS(2,COLUMN())),OFFSET($T$2,0,0,ROW()-1,14),ROW()-1,FALSE))</x:f>
        <x:v>-3.4904350000000002</x:v>
      </x:c>
      <x:c r="K520">
        <x:f ca="1">IF(AND($B$1012=1,LEN($K$1518)&gt;0),$K$1518,HLOOKUP(INDIRECT(ADDRESS(2,COLUMN())),OFFSET($T$2,0,0,ROW()-1,14),ROW()-1,FALSE))</x:f>
        <x:v>-20.43207</x:v>
      </x:c>
      <x:c r="L520">
        <x:f ca="1">IF(AND($B$1012=1,LEN($L$1518)&gt;0),$L$1518,HLOOKUP(INDIRECT(ADDRESS(2,COLUMN())),OFFSET($T$2,0,0,ROW()-1,14),ROW()-1,FALSE))</x:f>
        <x:v>-6.3465749999999996</x:v>
      </x:c>
      <x:c r="M520">
        <x:f ca="1">IF(AND($B$1012=1,LEN($M$1518)&gt;0),$M$1518,HLOOKUP(INDIRECT(ADDRESS(2,COLUMN())),OFFSET($T$2,0,0,ROW()-1,14),ROW()-1,FALSE))</x:f>
        <x:v>-6.4108400000000003</x:v>
      </x:c>
      <x:c r="N520">
        <x:f ca="1">IF(AND($B$1012=1,LEN($N$1518)&gt;0),$N$1518,HLOOKUP(INDIRECT(ADDRESS(2,COLUMN())),OFFSET($T$2,0,0,ROW()-1,14),ROW()-1,FALSE))</x:f>
        <x:v>-3.49708</x:v>
      </x:c>
      <x:c r="O520">
        <x:f ca="1">IF(AND($B$1012=1,LEN($O$1518)&gt;0),$O$1518,HLOOKUP(INDIRECT(ADDRESS(2,COLUMN())),OFFSET($T$2,0,0,ROW()-1,14),ROW()-1,FALSE))</x:f>
        <x:v>-6.9539900000000001</x:v>
      </x:c>
      <x:c r="P520">
        <x:f ca="1">IF(AND($B$1012=1,LEN($P$1518)&gt;0),$P$1518,HLOOKUP(INDIRECT(ADDRESS(2,COLUMN())),OFFSET($T$2,0,0,ROW()-1,14),ROW()-1,FALSE))</x:f>
        <x:v>0</x:v>
      </x:c>
      <x:c r="Q520">
        <x:f ca="1">IF(AND($B$1012=1,LEN($Q$1518)&gt;0),$Q$1518,HLOOKUP(INDIRECT(ADDRESS(2,COLUMN())),OFFSET($T$2,0,0,ROW()-1,14),ROW()-1,FALSE))</x:f>
        <x:v>0</x:v>
      </x:c>
      <x:c r="R520">
        <x:f ca="1">IF(AND($B$1012=1,LEN($R$1518)&gt;0),$R$1518,HLOOKUP(INDIRECT(ADDRESS(2,COLUMN())),OFFSET($T$2,0,0,ROW()-1,14),ROW()-1,FALSE))</x:f>
        <x:v>10.480740000000001</x:v>
      </x:c>
      <x:c r="S520">
        <x:f ca="1">IF(AND($B$1012=1,LEN($S$1518)&gt;0),$S$1518,HLOOKUP(INDIRECT(ADDRESS(2,COLUMN())),OFFSET($T$2,0,0,ROW()-1,14),ROW()-1,FALSE))</x:f>
        <x:v>-3.2888600000000001</x:v>
      </x:c>
      <x:c r="T520">
        <x:f>0</x:f>
        <x:v>0</x:v>
      </x:c>
      <x:c r="U520">
        <x:f>-2.958791</x:f>
        <x:v>-2.9587910000000002</x:v>
      </x:c>
      <x:c r="V520">
        <x:f>0</x:f>
        <x:v>0</x:v>
      </x:c>
      <x:c r="W520">
        <x:f>-6.660945</x:f>
        <x:v>-6.6609449999999999</x:v>
      </x:c>
      <x:c r="X520">
        <x:f>-3.490435</x:f>
        <x:v>-3.4904350000000002</x:v>
      </x:c>
      <x:c r="Y520">
        <x:f>-20.43207</x:f>
        <x:v>-20.43207</x:v>
      </x:c>
      <x:c r="Z520">
        <x:f>-6.346575</x:f>
        <x:v>-6.3465749999999996</x:v>
      </x:c>
      <x:c r="AA520">
        <x:f>-6.41084</x:f>
        <x:v>-6.4108400000000003</x:v>
      </x:c>
      <x:c r="AB520">
        <x:f>-3.49708</x:f>
        <x:v>-3.49708</x:v>
      </x:c>
      <x:c r="AC520">
        <x:f>-6.95399</x:f>
        <x:v>-6.9539900000000001</x:v>
      </x:c>
      <x:c r="AD520">
        <x:f>0</x:f>
        <x:v>0</x:v>
      </x:c>
      <x:c r="AE520">
        <x:f>0</x:f>
        <x:v>0</x:v>
      </x:c>
      <x:c r="AF520">
        <x:f>10.48074</x:f>
        <x:v>10.480740000000001</x:v>
      </x:c>
      <x:c r="AG520">
        <x:f>-3.28886</x:f>
        <x:v>-3.2888600000000001</x:v>
      </x:c>
    </x:row>
    <x:row r="521" spans="1:33" x14ac:dyDescent="0.25">
      <x:c r="A521" t="str">
        <x:f>"            SPDR S&amp;P Software &amp; Services E"</x:f>
        <x:v xml:space="preserve">            SPDR S&amp;P Software &amp; Services E</x:v>
      </x:c>
      <x:c r="B521" t="str">
        <x:f>"XSW US Equity"</x:f>
        <x:v>XSW US Equity</x:v>
      </x:c>
      <x:c r="E521" t="str">
        <x:f t="shared" si="17"/>
        <x:v>Expression</x:v>
      </x:c>
      <x:c r="F521">
        <x:f ca="1">IF(AND($B$1012=1,LEN($F$1519)&gt;0),$F$1519,HLOOKUP(INDIRECT(ADDRESS(2,COLUMN())),OFFSET($T$2,0,0,ROW()-1,14),ROW()-1,FALSE))</x:f>
        <x:v>-8.1170000000000006E-2</x:v>
      </x:c>
      <x:c r="G521">
        <x:f ca="1">IF(AND($B$1012=1,LEN($G$1519)&gt;0),$G$1519,HLOOKUP(INDIRECT(ADDRESS(2,COLUMN())),OFFSET($T$2,0,0,ROW()-1,14),ROW()-1,FALSE))</x:f>
        <x:v>-2.2900179999999999</x:v>
      </x:c>
      <x:c r="H521">
        <x:f ca="1">IF(AND($B$1012=1,LEN($H$1519)&gt;0),$H$1519,HLOOKUP(INDIRECT(ADDRESS(2,COLUMN())),OFFSET($T$2,0,0,ROW()-1,14),ROW()-1,FALSE))</x:f>
        <x:v>-2.185432</x:v>
      </x:c>
      <x:c r="I521">
        <x:f ca="1">IF(AND($B$1012=1,LEN($I$1519)&gt;0),$I$1519,HLOOKUP(INDIRECT(ADDRESS(2,COLUMN())),OFFSET($T$2,0,0,ROW()-1,14),ROW()-1,FALSE))</x:f>
        <x:v>-0.89861199999999997</x:v>
      </x:c>
      <x:c r="J521">
        <x:f ca="1">IF(AND($B$1012=1,LEN($J$1519)&gt;0),$J$1519,HLOOKUP(INDIRECT(ADDRESS(2,COLUMN())),OFFSET($T$2,0,0,ROW()-1,14),ROW()-1,FALSE))</x:f>
        <x:v>5.5189190000000004</x:v>
      </x:c>
      <x:c r="K521">
        <x:f ca="1">IF(AND($B$1012=1,LEN($K$1519)&gt;0),$K$1519,HLOOKUP(INDIRECT(ADDRESS(2,COLUMN())),OFFSET($T$2,0,0,ROW()-1,14),ROW()-1,FALSE))</x:f>
        <x:v>49.285238</x:v>
      </x:c>
      <x:c r="L521">
        <x:f ca="1">IF(AND($B$1012=1,LEN($L$1519)&gt;0),$L$1519,HLOOKUP(INDIRECT(ADDRESS(2,COLUMN())),OFFSET($T$2,0,0,ROW()-1,14),ROW()-1,FALSE))</x:f>
        <x:v>5.9875999999999999E-2</x:v>
      </x:c>
      <x:c r="M521">
        <x:f ca="1">IF(AND($B$1012=1,LEN($M$1519)&gt;0),$M$1519,HLOOKUP(INDIRECT(ADDRESS(2,COLUMN())),OFFSET($T$2,0,0,ROW()-1,14),ROW()-1,FALSE))</x:f>
        <x:v>-4.5680170000000002</x:v>
      </x:c>
      <x:c r="N521">
        <x:f ca="1">IF(AND($B$1012=1,LEN($N$1519)&gt;0),$N$1519,HLOOKUP(INDIRECT(ADDRESS(2,COLUMN())),OFFSET($T$2,0,0,ROW()-1,14),ROW()-1,FALSE))</x:f>
        <x:v>10.826214999999999</x:v>
      </x:c>
      <x:c r="O521">
        <x:f ca="1">IF(AND($B$1012=1,LEN($O$1519)&gt;0),$O$1519,HLOOKUP(INDIRECT(ADDRESS(2,COLUMN())),OFFSET($T$2,0,0,ROW()-1,14),ROW()-1,FALSE))</x:f>
        <x:v>2.61551</x:v>
      </x:c>
      <x:c r="P521">
        <x:f ca="1">IF(AND($B$1012=1,LEN($P$1519)&gt;0),$P$1519,HLOOKUP(INDIRECT(ADDRESS(2,COLUMN())),OFFSET($T$2,0,0,ROW()-1,14),ROW()-1,FALSE))</x:f>
        <x:v>0</x:v>
      </x:c>
      <x:c r="Q521">
        <x:f ca="1">IF(AND($B$1012=1,LEN($Q$1519)&gt;0),$Q$1519,HLOOKUP(INDIRECT(ADDRESS(2,COLUMN())),OFFSET($T$2,0,0,ROW()-1,14),ROW()-1,FALSE))</x:f>
        <x:v>6.5917250000000003</x:v>
      </x:c>
      <x:c r="R521">
        <x:f ca="1">IF(AND($B$1012=1,LEN($R$1519)&gt;0),$R$1519,HLOOKUP(INDIRECT(ADDRESS(2,COLUMN())),OFFSET($T$2,0,0,ROW()-1,14),ROW()-1,FALSE))</x:f>
        <x:v>-6.4500190000000002</x:v>
      </x:c>
      <x:c r="S521">
        <x:f ca="1">IF(AND($B$1012=1,LEN($S$1519)&gt;0),$S$1519,HLOOKUP(INDIRECT(ADDRESS(2,COLUMN())),OFFSET($T$2,0,0,ROW()-1,14),ROW()-1,FALSE))</x:f>
        <x:v>1.1528430000000001</x:v>
      </x:c>
      <x:c r="T521">
        <x:f>-0.08117</x:f>
        <x:v>-8.1170000000000006E-2</x:v>
      </x:c>
      <x:c r="U521">
        <x:f>-2.290018</x:f>
        <x:v>-2.2900179999999999</x:v>
      </x:c>
      <x:c r="V521">
        <x:f>-2.185432</x:f>
        <x:v>-2.185432</x:v>
      </x:c>
      <x:c r="W521">
        <x:f>-0.898612</x:f>
        <x:v>-0.89861199999999997</x:v>
      </x:c>
      <x:c r="X521">
        <x:f>5.518919</x:f>
        <x:v>5.5189190000000004</x:v>
      </x:c>
      <x:c r="Y521">
        <x:f>49.285238</x:f>
        <x:v>49.285238</x:v>
      </x:c>
      <x:c r="Z521">
        <x:f>0.059876</x:f>
        <x:v>5.9875999999999999E-2</x:v>
      </x:c>
      <x:c r="AA521">
        <x:f>-4.568017</x:f>
        <x:v>-4.5680170000000002</x:v>
      </x:c>
      <x:c r="AB521">
        <x:f>10.826215</x:f>
        <x:v>10.826214999999999</x:v>
      </x:c>
      <x:c r="AC521">
        <x:f>2.61551</x:f>
        <x:v>2.61551</x:v>
      </x:c>
      <x:c r="AD521">
        <x:f>0</x:f>
        <x:v>0</x:v>
      </x:c>
      <x:c r="AE521">
        <x:f>6.591725</x:f>
        <x:v>6.5917250000000003</x:v>
      </x:c>
      <x:c r="AF521">
        <x:f>-6.450019</x:f>
        <x:v>-6.4500190000000002</x:v>
      </x:c>
      <x:c r="AG521">
        <x:f>1.152843</x:f>
        <x:v>1.1528430000000001</x:v>
      </x:c>
    </x:row>
    <x:row r="522" spans="1:33" x14ac:dyDescent="0.25">
      <x:c r="A522" t="str">
        <x:f>"            SPDR S&amp;P International Technol"</x:f>
        <x:v xml:space="preserve">            SPDR S&amp;P International Technol</x:v>
      </x:c>
      <x:c r="B522" t="str">
        <x:f>"IPK US Equity"</x:f>
        <x:v>IPK US Equity</x:v>
      </x:c>
      <x:c r="E522" t="str">
        <x:f t="shared" si="17"/>
        <x:v>Expression</x:v>
      </x:c>
      <x:c r="F522" t="str">
        <x:f ca="1">IF(AND($B$1012=1,LEN($F$1520)&gt;0),$F$1520,HLOOKUP(INDIRECT(ADDRESS(2,COLUMN())),OFFSET($T$2,0,0,ROW()-1,14),ROW()-1,FALSE))</x:f>
        <x:v/>
      </x:c>
      <x:c r="G522" t="str">
        <x:f ca="1">IF(AND($B$1012=1,LEN($G$1520)&gt;0),$G$1520,HLOOKUP(INDIRECT(ADDRESS(2,COLUMN())),OFFSET($T$2,0,0,ROW()-1,14),ROW()-1,FALSE))</x:f>
        <x:v/>
      </x:c>
      <x:c r="H522" t="str">
        <x:f ca="1">IF(AND($B$1012=1,LEN($H$1520)&gt;0),$H$1520,HLOOKUP(INDIRECT(ADDRESS(2,COLUMN())),OFFSET($T$2,0,0,ROW()-1,14),ROW()-1,FALSE))</x:f>
        <x:v/>
      </x:c>
      <x:c r="I522" t="str">
        <x:f ca="1">IF(AND($B$1012=1,LEN($I$1520)&gt;0),$I$1520,HLOOKUP(INDIRECT(ADDRESS(2,COLUMN())),OFFSET($T$2,0,0,ROW()-1,14),ROW()-1,FALSE))</x:f>
        <x:v/>
      </x:c>
      <x:c r="J522" t="str">
        <x:f ca="1">IF(AND($B$1012=1,LEN($J$1520)&gt;0),$J$1520,HLOOKUP(INDIRECT(ADDRESS(2,COLUMN())),OFFSET($T$2,0,0,ROW()-1,14),ROW()-1,FALSE))</x:f>
        <x:v/>
      </x:c>
      <x:c r="K522" t="str">
        <x:f ca="1">IF(AND($B$1012=1,LEN($K$1520)&gt;0),$K$1520,HLOOKUP(INDIRECT(ADDRESS(2,COLUMN())),OFFSET($T$2,0,0,ROW()-1,14),ROW()-1,FALSE))</x:f>
        <x:v/>
      </x:c>
      <x:c r="L522" t="str">
        <x:f ca="1">IF(AND($B$1012=1,LEN($L$1520)&gt;0),$L$1520,HLOOKUP(INDIRECT(ADDRESS(2,COLUMN())),OFFSET($T$2,0,0,ROW()-1,14),ROW()-1,FALSE))</x:f>
        <x:v/>
      </x:c>
      <x:c r="M522" t="str">
        <x:f ca="1">IF(AND($B$1012=1,LEN($M$1520)&gt;0),$M$1520,HLOOKUP(INDIRECT(ADDRESS(2,COLUMN())),OFFSET($T$2,0,0,ROW()-1,14),ROW()-1,FALSE))</x:f>
        <x:v/>
      </x:c>
      <x:c r="N522" t="str">
        <x:f ca="1">IF(AND($B$1012=1,LEN($N$1520)&gt;0),$N$1520,HLOOKUP(INDIRECT(ADDRESS(2,COLUMN())),OFFSET($T$2,0,0,ROW()-1,14),ROW()-1,FALSE))</x:f>
        <x:v/>
      </x:c>
      <x:c r="O522" t="str">
        <x:f ca="1">IF(AND($B$1012=1,LEN($O$1520)&gt;0),$O$1520,HLOOKUP(INDIRECT(ADDRESS(2,COLUMN())),OFFSET($T$2,0,0,ROW()-1,14),ROW()-1,FALSE))</x:f>
        <x:v/>
      </x:c>
      <x:c r="P522" t="str">
        <x:f ca="1">IF(AND($B$1012=1,LEN($P$1520)&gt;0),$P$1520,HLOOKUP(INDIRECT(ADDRESS(2,COLUMN())),OFFSET($T$2,0,0,ROW()-1,14),ROW()-1,FALSE))</x:f>
        <x:v/>
      </x:c>
      <x:c r="Q522" t="str">
        <x:f ca="1">IF(AND($B$1012=1,LEN($Q$1520)&gt;0),$Q$1520,HLOOKUP(INDIRECT(ADDRESS(2,COLUMN())),OFFSET($T$2,0,0,ROW()-1,14),ROW()-1,FALSE))</x:f>
        <x:v/>
      </x:c>
      <x:c r="R522" t="str">
        <x:f ca="1">IF(AND($B$1012=1,LEN($R$1520)&gt;0),$R$1520,HLOOKUP(INDIRECT(ADDRESS(2,COLUMN())),OFFSET($T$2,0,0,ROW()-1,14),ROW()-1,FALSE))</x:f>
        <x:v/>
      </x:c>
      <x:c r="S522" t="str">
        <x:f ca="1">IF(AND($B$1012=1,LEN($S$1520)&gt;0),$S$1520,HLOOKUP(INDIRECT(ADDRESS(2,COLUMN())),OFFSET($T$2,0,0,ROW()-1,14),ROW()-1,FALSE))</x:f>
        <x:v/>
      </x:c>
      <x:c r="T522" t="str">
        <x:f>""</x:f>
        <x:v/>
      </x:c>
      <x:c r="U522" t="str">
        <x:f>""</x:f>
        <x:v/>
      </x:c>
      <x:c r="V522" t="str">
        <x:f>""</x:f>
        <x:v/>
      </x:c>
      <x:c r="W522" t="str">
        <x:f>""</x:f>
        <x:v/>
      </x:c>
      <x:c r="X522" t="str">
        <x:f>""</x:f>
        <x:v/>
      </x:c>
      <x:c r="Y522" t="str">
        <x:f>""</x:f>
        <x:v/>
      </x:c>
      <x:c r="Z522" t="str">
        <x:f>""</x:f>
        <x:v/>
      </x:c>
      <x:c r="AA522" t="str">
        <x:f>""</x:f>
        <x:v/>
      </x:c>
      <x:c r="AB522" t="str">
        <x:f>""</x:f>
        <x:v/>
      </x:c>
      <x:c r="AC522" t="str">
        <x:f>""</x:f>
        <x:v/>
      </x:c>
      <x:c r="AD522" t="str">
        <x:f>""</x:f>
        <x:v/>
      </x:c>
      <x:c r="AE522" t="str">
        <x:f>""</x:f>
        <x:v/>
      </x:c>
      <x:c r="AF522" t="str">
        <x:f>""</x:f>
        <x:v/>
      </x:c>
      <x:c r="AG522" t="str">
        <x:f>""</x:f>
        <x:v/>
      </x:c>
    </x:row>
    <x:row r="523" spans="1:33" x14ac:dyDescent="0.25">
      <x:c r="A523" t="str">
        <x:f>"            John Hancock Multi-Factor Tech"</x:f>
        <x:v xml:space="preserve">            John Hancock Multi-Factor Tech</x:v>
      </x:c>
      <x:c r="B523" t="str">
        <x:f>"JHMT US Equity"</x:f>
        <x:v>JHMT US Equity</x:v>
      </x:c>
      <x:c r="E523" t="str">
        <x:f t="shared" si="17"/>
        <x:v>Expression</x:v>
      </x:c>
      <x:c r="F523" t="str">
        <x:f ca="1">IF(AND($B$1012=1,LEN($F$1521)&gt;0),$F$1521,HLOOKUP(INDIRECT(ADDRESS(2,COLUMN())),OFFSET($T$2,0,0,ROW()-1,14),ROW()-1,FALSE))</x:f>
        <x:v/>
      </x:c>
      <x:c r="G523" t="str">
        <x:f ca="1">IF(AND($B$1012=1,LEN($G$1521)&gt;0),$G$1521,HLOOKUP(INDIRECT(ADDRESS(2,COLUMN())),OFFSET($T$2,0,0,ROW()-1,14),ROW()-1,FALSE))</x:f>
        <x:v/>
      </x:c>
      <x:c r="H523" t="str">
        <x:f ca="1">IF(AND($B$1012=1,LEN($H$1521)&gt;0),$H$1521,HLOOKUP(INDIRECT(ADDRESS(2,COLUMN())),OFFSET($T$2,0,0,ROW()-1,14),ROW()-1,FALSE))</x:f>
        <x:v/>
      </x:c>
      <x:c r="I523" t="str">
        <x:f ca="1">IF(AND($B$1012=1,LEN($I$1521)&gt;0),$I$1521,HLOOKUP(INDIRECT(ADDRESS(2,COLUMN())),OFFSET($T$2,0,0,ROW()-1,14),ROW()-1,FALSE))</x:f>
        <x:v/>
      </x:c>
      <x:c r="J523" t="str">
        <x:f ca="1">IF(AND($B$1012=1,LEN($J$1521)&gt;0),$J$1521,HLOOKUP(INDIRECT(ADDRESS(2,COLUMN())),OFFSET($T$2,0,0,ROW()-1,14),ROW()-1,FALSE))</x:f>
        <x:v/>
      </x:c>
      <x:c r="K523" t="str">
        <x:f ca="1">IF(AND($B$1012=1,LEN($K$1521)&gt;0),$K$1521,HLOOKUP(INDIRECT(ADDRESS(2,COLUMN())),OFFSET($T$2,0,0,ROW()-1,14),ROW()-1,FALSE))</x:f>
        <x:v/>
      </x:c>
      <x:c r="L523" t="str">
        <x:f ca="1">IF(AND($B$1012=1,LEN($L$1521)&gt;0),$L$1521,HLOOKUP(INDIRECT(ADDRESS(2,COLUMN())),OFFSET($T$2,0,0,ROW()-1,14),ROW()-1,FALSE))</x:f>
        <x:v/>
      </x:c>
      <x:c r="M523" t="str">
        <x:f ca="1">IF(AND($B$1012=1,LEN($M$1521)&gt;0),$M$1521,HLOOKUP(INDIRECT(ADDRESS(2,COLUMN())),OFFSET($T$2,0,0,ROW()-1,14),ROW()-1,FALSE))</x:f>
        <x:v/>
      </x:c>
      <x:c r="N523" t="str">
        <x:f ca="1">IF(AND($B$1012=1,LEN($N$1521)&gt;0),$N$1521,HLOOKUP(INDIRECT(ADDRESS(2,COLUMN())),OFFSET($T$2,0,0,ROW()-1,14),ROW()-1,FALSE))</x:f>
        <x:v/>
      </x:c>
      <x:c r="O523" t="str">
        <x:f ca="1">IF(AND($B$1012=1,LEN($O$1521)&gt;0),$O$1521,HLOOKUP(INDIRECT(ADDRESS(2,COLUMN())),OFFSET($T$2,0,0,ROW()-1,14),ROW()-1,FALSE))</x:f>
        <x:v/>
      </x:c>
      <x:c r="P523" t="str">
        <x:f ca="1">IF(AND($B$1012=1,LEN($P$1521)&gt;0),$P$1521,HLOOKUP(INDIRECT(ADDRESS(2,COLUMN())),OFFSET($T$2,0,0,ROW()-1,14),ROW()-1,FALSE))</x:f>
        <x:v/>
      </x:c>
      <x:c r="Q523" t="str">
        <x:f ca="1">IF(AND($B$1012=1,LEN($Q$1521)&gt;0),$Q$1521,HLOOKUP(INDIRECT(ADDRESS(2,COLUMN())),OFFSET($T$2,0,0,ROW()-1,14),ROW()-1,FALSE))</x:f>
        <x:v/>
      </x:c>
      <x:c r="R523" t="str">
        <x:f ca="1">IF(AND($B$1012=1,LEN($R$1521)&gt;0),$R$1521,HLOOKUP(INDIRECT(ADDRESS(2,COLUMN())),OFFSET($T$2,0,0,ROW()-1,14),ROW()-1,FALSE))</x:f>
        <x:v/>
      </x:c>
      <x:c r="S523">
        <x:f ca="1">IF(AND($B$1012=1,LEN($S$1521)&gt;0),$S$1521,HLOOKUP(INDIRECT(ADDRESS(2,COLUMN())),OFFSET($T$2,0,0,ROW()-1,14),ROW()-1,FALSE))</x:f>
        <x:v>-18.831389000000001</x:v>
      </x:c>
      <x:c r="T523" t="str">
        <x:f>""</x:f>
        <x:v/>
      </x:c>
      <x:c r="U523" t="str">
        <x:f>""</x:f>
        <x:v/>
      </x:c>
      <x:c r="V523" t="str">
        <x:f>""</x:f>
        <x:v/>
      </x:c>
      <x:c r="W523" t="str">
        <x:f>""</x:f>
        <x:v/>
      </x:c>
      <x:c r="X523" t="str">
        <x:f>""</x:f>
        <x:v/>
      </x:c>
      <x:c r="Y523" t="str">
        <x:f>""</x:f>
        <x:v/>
      </x:c>
      <x:c r="Z523" t="str">
        <x:f>""</x:f>
        <x:v/>
      </x:c>
      <x:c r="AA523" t="str">
        <x:f>""</x:f>
        <x:v/>
      </x:c>
      <x:c r="AB523" t="str">
        <x:f>""</x:f>
        <x:v/>
      </x:c>
      <x:c r="AC523" t="str">
        <x:f>""</x:f>
        <x:v/>
      </x:c>
      <x:c r="AD523" t="str">
        <x:f>""</x:f>
        <x:v/>
      </x:c>
      <x:c r="AE523" t="str">
        <x:f>""</x:f>
        <x:v/>
      </x:c>
      <x:c r="AF523" t="str">
        <x:f>""</x:f>
        <x:v/>
      </x:c>
      <x:c r="AG523">
        <x:f>-18.831389</x:f>
        <x:v>-18.831389000000001</x:v>
      </x:c>
    </x:row>
    <x:row r="524" spans="1:33" x14ac:dyDescent="0.25">
      <x:c r="A524" t="str">
        <x:f>"            BlueStar Israel Technology ETF"</x:f>
        <x:v xml:space="preserve">            BlueStar Israel Technology ETF</x:v>
      </x:c>
      <x:c r="B524" t="str">
        <x:f>"ITEQ US Equity"</x:f>
        <x:v>ITEQ US Equity</x:v>
      </x:c>
      <x:c r="E524" t="str">
        <x:f t="shared" si="17"/>
        <x:v>Expression</x:v>
      </x:c>
      <x:c r="F524">
        <x:f ca="1">IF(AND($B$1012=1,LEN($F$1522)&gt;0),$F$1522,HLOOKUP(INDIRECT(ADDRESS(2,COLUMN())),OFFSET($T$2,0,0,ROW()-1,14),ROW()-1,FALSE))</x:f>
        <x:v>0</x:v>
      </x:c>
      <x:c r="G524">
        <x:f ca="1">IF(AND($B$1012=1,LEN($G$1522)&gt;0),$G$1522,HLOOKUP(INDIRECT(ADDRESS(2,COLUMN())),OFFSET($T$2,0,0,ROW()-1,14),ROW()-1,FALSE))</x:f>
        <x:v>-5.6765850000000002</x:v>
      </x:c>
      <x:c r="H524">
        <x:f ca="1">IF(AND($B$1012=1,LEN($H$1522)&gt;0),$H$1522,HLOOKUP(INDIRECT(ADDRESS(2,COLUMN())),OFFSET($T$2,0,0,ROW()-1,14),ROW()-1,FALSE))</x:f>
        <x:v>0</x:v>
      </x:c>
      <x:c r="I524">
        <x:f ca="1">IF(AND($B$1012=1,LEN($I$1522)&gt;0),$I$1522,HLOOKUP(INDIRECT(ADDRESS(2,COLUMN())),OFFSET($T$2,0,0,ROW()-1,14),ROW()-1,FALSE))</x:f>
        <x:v>0</x:v>
      </x:c>
      <x:c r="J524">
        <x:f ca="1">IF(AND($B$1012=1,LEN($J$1522)&gt;0),$J$1522,HLOOKUP(INDIRECT(ADDRESS(2,COLUMN())),OFFSET($T$2,0,0,ROW()-1,14),ROW()-1,FALSE))</x:f>
        <x:v>0</x:v>
      </x:c>
      <x:c r="K524">
        <x:f ca="1">IF(AND($B$1012=1,LEN($K$1522)&gt;0),$K$1522,HLOOKUP(INDIRECT(ADDRESS(2,COLUMN())),OFFSET($T$2,0,0,ROW()-1,14),ROW()-1,FALSE))</x:f>
        <x:v>-2.3853200000000001</x:v>
      </x:c>
      <x:c r="L524">
        <x:f ca="1">IF(AND($B$1012=1,LEN($L$1522)&gt;0),$L$1522,HLOOKUP(INDIRECT(ADDRESS(2,COLUMN())),OFFSET($T$2,0,0,ROW()-1,14),ROW()-1,FALSE))</x:f>
        <x:v>-2.2460249999999999</x:v>
      </x:c>
      <x:c r="M524">
        <x:f ca="1">IF(AND($B$1012=1,LEN($M$1522)&gt;0),$M$1522,HLOOKUP(INDIRECT(ADDRESS(2,COLUMN())),OFFSET($T$2,0,0,ROW()-1,14),ROW()-1,FALSE))</x:f>
        <x:v>0</x:v>
      </x:c>
      <x:c r="N524">
        <x:f ca="1">IF(AND($B$1012=1,LEN($N$1522)&gt;0),$N$1522,HLOOKUP(INDIRECT(ADDRESS(2,COLUMN())),OFFSET($T$2,0,0,ROW()-1,14),ROW()-1,FALSE))</x:f>
        <x:v>-6.8571150000000003</x:v>
      </x:c>
      <x:c r="O524">
        <x:f ca="1">IF(AND($B$1012=1,LEN($O$1522)&gt;0),$O$1522,HLOOKUP(INDIRECT(ADDRESS(2,COLUMN())),OFFSET($T$2,0,0,ROW()-1,14),ROW()-1,FALSE))</x:f>
        <x:v>0</x:v>
      </x:c>
      <x:c r="P524">
        <x:f ca="1">IF(AND($B$1012=1,LEN($P$1522)&gt;0),$P$1522,HLOOKUP(INDIRECT(ADDRESS(2,COLUMN())),OFFSET($T$2,0,0,ROW()-1,14),ROW()-1,FALSE))</x:f>
        <x:v>-4.5643000000000002</x:v>
      </x:c>
      <x:c r="Q524">
        <x:f ca="1">IF(AND($B$1012=1,LEN($Q$1522)&gt;0),$Q$1522,HLOOKUP(INDIRECT(ADDRESS(2,COLUMN())),OFFSET($T$2,0,0,ROW()-1,14),ROW()-1,FALSE))</x:f>
        <x:v>-4.5045349999999997</x:v>
      </x:c>
      <x:c r="R524">
        <x:f ca="1">IF(AND($B$1012=1,LEN($R$1522)&gt;0),$R$1522,HLOOKUP(INDIRECT(ADDRESS(2,COLUMN())),OFFSET($T$2,0,0,ROW()-1,14),ROW()-1,FALSE))</x:f>
        <x:v>0</x:v>
      </x:c>
      <x:c r="S524">
        <x:f ca="1">IF(AND($B$1012=1,LEN($S$1522)&gt;0),$S$1522,HLOOKUP(INDIRECT(ADDRESS(2,COLUMN())),OFFSET($T$2,0,0,ROW()-1,14),ROW()-1,FALSE))</x:f>
        <x:v>-2.1524200000000002</x:v>
      </x:c>
      <x:c r="T524">
        <x:f>0</x:f>
        <x:v>0</x:v>
      </x:c>
      <x:c r="U524">
        <x:f>-5.676585</x:f>
        <x:v>-5.6765850000000002</x:v>
      </x:c>
      <x:c r="V524">
        <x:f>0</x:f>
        <x:v>0</x:v>
      </x:c>
      <x:c r="W524">
        <x:f>0</x:f>
        <x:v>0</x:v>
      </x:c>
      <x:c r="X524">
        <x:f>0</x:f>
        <x:v>0</x:v>
      </x:c>
      <x:c r="Y524">
        <x:f>-2.38532</x:f>
        <x:v>-2.3853200000000001</x:v>
      </x:c>
      <x:c r="Z524">
        <x:f>-2.246025</x:f>
        <x:v>-2.2460249999999999</x:v>
      </x:c>
      <x:c r="AA524">
        <x:f>0</x:f>
        <x:v>0</x:v>
      </x:c>
      <x:c r="AB524">
        <x:f>-6.857115</x:f>
        <x:v>-6.8571150000000003</x:v>
      </x:c>
      <x:c r="AC524">
        <x:f>0</x:f>
        <x:v>0</x:v>
      </x:c>
      <x:c r="AD524">
        <x:f>-4.5643</x:f>
        <x:v>-4.5643000000000002</x:v>
      </x:c>
      <x:c r="AE524">
        <x:f>-4.504535</x:f>
        <x:v>-4.5045349999999997</x:v>
      </x:c>
      <x:c r="AF524">
        <x:f>0</x:f>
        <x:v>0</x:v>
      </x:c>
      <x:c r="AG524">
        <x:f>-2.15242</x:f>
        <x:v>-2.1524200000000002</x:v>
      </x:c>
    </x:row>
    <x:row r="525" spans="1:33" x14ac:dyDescent="0.25">
      <x:c r="A525" t="str">
        <x:f>"            Direxion Daily Technology Bear"</x:f>
        <x:v xml:space="preserve">            Direxion Daily Technology Bear</x:v>
      </x:c>
      <x:c r="B525" t="str">
        <x:f>"TECS US Equity"</x:f>
        <x:v>TECS US Equity</x:v>
      </x:c>
      <x:c r="E525" t="str">
        <x:f t="shared" si="17"/>
        <x:v>Expression</x:v>
      </x:c>
      <x:c r="F525">
        <x:f ca="1">IF(AND($B$1012=1,LEN($F$1523)&gt;0),$F$1523,HLOOKUP(INDIRECT(ADDRESS(2,COLUMN())),OFFSET($T$2,0,0,ROW()-1,14),ROW()-1,FALSE))</x:f>
        <x:v>38.251202999999997</x:v>
      </x:c>
      <x:c r="G525">
        <x:f ca="1">IF(AND($B$1012=1,LEN($G$1523)&gt;0),$G$1523,HLOOKUP(INDIRECT(ADDRESS(2,COLUMN())),OFFSET($T$2,0,0,ROW()-1,14),ROW()-1,FALSE))</x:f>
        <x:v>-32.722315999999999</x:v>
      </x:c>
      <x:c r="H525">
        <x:f ca="1">IF(AND($B$1012=1,LEN($H$1523)&gt;0),$H$1523,HLOOKUP(INDIRECT(ADDRESS(2,COLUMN())),OFFSET($T$2,0,0,ROW()-1,14),ROW()-1,FALSE))</x:f>
        <x:v>-36.654378000000001</x:v>
      </x:c>
      <x:c r="I525">
        <x:f ca="1">IF(AND($B$1012=1,LEN($I$1523)&gt;0),$I$1523,HLOOKUP(INDIRECT(ADDRESS(2,COLUMN())),OFFSET($T$2,0,0,ROW()-1,14),ROW()-1,FALSE))</x:f>
        <x:v>40.973920999999997</x:v>
      </x:c>
      <x:c r="J525">
        <x:f ca="1">IF(AND($B$1012=1,LEN($J$1523)&gt;0),$J$1523,HLOOKUP(INDIRECT(ADDRESS(2,COLUMN())),OFFSET($T$2,0,0,ROW()-1,14),ROW()-1,FALSE))</x:f>
        <x:v>0.176174</x:v>
      </x:c>
      <x:c r="K525">
        <x:f ca="1">IF(AND($B$1012=1,LEN($K$1523)&gt;0),$K$1523,HLOOKUP(INDIRECT(ADDRESS(2,COLUMN())),OFFSET($T$2,0,0,ROW()-1,14),ROW()-1,FALSE))</x:f>
        <x:v>11.736345999999999</x:v>
      </x:c>
      <x:c r="L525">
        <x:f ca="1">IF(AND($B$1012=1,LEN($L$1523)&gt;0),$L$1523,HLOOKUP(INDIRECT(ADDRESS(2,COLUMN())),OFFSET($T$2,0,0,ROW()-1,14),ROW()-1,FALSE))</x:f>
        <x:v>21.667608000000001</x:v>
      </x:c>
      <x:c r="M525">
        <x:f ca="1">IF(AND($B$1012=1,LEN($M$1523)&gt;0),$M$1523,HLOOKUP(INDIRECT(ADDRESS(2,COLUMN())),OFFSET($T$2,0,0,ROW()-1,14),ROW()-1,FALSE))</x:f>
        <x:v>16.866834000000001</x:v>
      </x:c>
      <x:c r="N525">
        <x:f ca="1">IF(AND($B$1012=1,LEN($N$1523)&gt;0),$N$1523,HLOOKUP(INDIRECT(ADDRESS(2,COLUMN())),OFFSET($T$2,0,0,ROW()-1,14),ROW()-1,FALSE))</x:f>
        <x:v>-10.350125999999999</x:v>
      </x:c>
      <x:c r="O525">
        <x:f ca="1">IF(AND($B$1012=1,LEN($O$1523)&gt;0),$O$1523,HLOOKUP(INDIRECT(ADDRESS(2,COLUMN())),OFFSET($T$2,0,0,ROW()-1,14),ROW()-1,FALSE))</x:f>
        <x:v>28.668574</x:v>
      </x:c>
      <x:c r="P525">
        <x:f ca="1">IF(AND($B$1012=1,LEN($P$1523)&gt;0),$P$1523,HLOOKUP(INDIRECT(ADDRESS(2,COLUMN())),OFFSET($T$2,0,0,ROW()-1,14),ROW()-1,FALSE))</x:f>
        <x:v>33.670625999999999</x:v>
      </x:c>
      <x:c r="Q525">
        <x:f ca="1">IF(AND($B$1012=1,LEN($Q$1523)&gt;0),$Q$1523,HLOOKUP(INDIRECT(ADDRESS(2,COLUMN())),OFFSET($T$2,0,0,ROW()-1,14),ROW()-1,FALSE))</x:f>
        <x:v>-14.350528000000001</x:v>
      </x:c>
      <x:c r="R525">
        <x:f ca="1">IF(AND($B$1012=1,LEN($R$1523)&gt;0),$R$1523,HLOOKUP(INDIRECT(ADDRESS(2,COLUMN())),OFFSET($T$2,0,0,ROW()-1,14),ROW()-1,FALSE))</x:f>
        <x:v>34.723477000000003</x:v>
      </x:c>
      <x:c r="S525">
        <x:f ca="1">IF(AND($B$1012=1,LEN($S$1523)&gt;0),$S$1523,HLOOKUP(INDIRECT(ADDRESS(2,COLUMN())),OFFSET($T$2,0,0,ROW()-1,14),ROW()-1,FALSE))</x:f>
        <x:v>-38.854823000000003</x:v>
      </x:c>
      <x:c r="T525">
        <x:f>38.251203</x:f>
        <x:v>38.251202999999997</x:v>
      </x:c>
      <x:c r="U525">
        <x:f>-32.722316</x:f>
        <x:v>-32.722315999999999</x:v>
      </x:c>
      <x:c r="V525">
        <x:f>-36.654378</x:f>
        <x:v>-36.654378000000001</x:v>
      </x:c>
      <x:c r="W525">
        <x:f>40.973921</x:f>
        <x:v>40.973920999999997</x:v>
      </x:c>
      <x:c r="X525">
        <x:f>0.176174</x:f>
        <x:v>0.176174</x:v>
      </x:c>
      <x:c r="Y525">
        <x:f>11.736346</x:f>
        <x:v>11.736345999999999</x:v>
      </x:c>
      <x:c r="Z525">
        <x:f>21.667608</x:f>
        <x:v>21.667608000000001</x:v>
      </x:c>
      <x:c r="AA525">
        <x:f>16.866834</x:f>
        <x:v>16.866834000000001</x:v>
      </x:c>
      <x:c r="AB525">
        <x:f>-10.350126</x:f>
        <x:v>-10.350125999999999</x:v>
      </x:c>
      <x:c r="AC525">
        <x:f>28.668574</x:f>
        <x:v>28.668574</x:v>
      </x:c>
      <x:c r="AD525">
        <x:f>33.670626</x:f>
        <x:v>33.670625999999999</x:v>
      </x:c>
      <x:c r="AE525">
        <x:f>-14.350528</x:f>
        <x:v>-14.350528000000001</x:v>
      </x:c>
      <x:c r="AF525">
        <x:f>34.723477</x:f>
        <x:v>34.723477000000003</x:v>
      </x:c>
      <x:c r="AG525">
        <x:f>-38.854823</x:f>
        <x:v>-38.854823000000003</x:v>
      </x:c>
    </x:row>
    <x:row r="526" spans="1:33" x14ac:dyDescent="0.25">
      <x:c r="A526" t="str">
        <x:f>"            iShares Edge MSCI Multifactor"</x:f>
        <x:v xml:space="preserve">            iShares Edge MSCI Multifactor</x:v>
      </x:c>
      <x:c r="B526" t="str">
        <x:f>"TCHF US Equity"</x:f>
        <x:v>TCHF US Equity</x:v>
      </x:c>
      <x:c r="E526" t="str">
        <x:f t="shared" si="17"/>
        <x:v>Expression</x:v>
      </x:c>
      <x:c r="F526" t="str">
        <x:f ca="1">IF(AND($B$1012=1,LEN($F$1524)&gt;0),$F$1524,HLOOKUP(INDIRECT(ADDRESS(2,COLUMN())),OFFSET($T$2,0,0,ROW()-1,14),ROW()-1,FALSE))</x:f>
        <x:v/>
      </x:c>
      <x:c r="G526" t="str">
        <x:f ca="1">IF(AND($B$1012=1,LEN($G$1524)&gt;0),$G$1524,HLOOKUP(INDIRECT(ADDRESS(2,COLUMN())),OFFSET($T$2,0,0,ROW()-1,14),ROW()-1,FALSE))</x:f>
        <x:v/>
      </x:c>
      <x:c r="H526" t="str">
        <x:f ca="1">IF(AND($B$1012=1,LEN($H$1524)&gt;0),$H$1524,HLOOKUP(INDIRECT(ADDRESS(2,COLUMN())),OFFSET($T$2,0,0,ROW()-1,14),ROW()-1,FALSE))</x:f>
        <x:v/>
      </x:c>
      <x:c r="I526" t="str">
        <x:f ca="1">IF(AND($B$1012=1,LEN($I$1524)&gt;0),$I$1524,HLOOKUP(INDIRECT(ADDRESS(2,COLUMN())),OFFSET($T$2,0,0,ROW()-1,14),ROW()-1,FALSE))</x:f>
        <x:v/>
      </x:c>
      <x:c r="J526" t="str">
        <x:f ca="1">IF(AND($B$1012=1,LEN($J$1524)&gt;0),$J$1524,HLOOKUP(INDIRECT(ADDRESS(2,COLUMN())),OFFSET($T$2,0,0,ROW()-1,14),ROW()-1,FALSE))</x:f>
        <x:v/>
      </x:c>
      <x:c r="K526" t="str">
        <x:f ca="1">IF(AND($B$1012=1,LEN($K$1524)&gt;0),$K$1524,HLOOKUP(INDIRECT(ADDRESS(2,COLUMN())),OFFSET($T$2,0,0,ROW()-1,14),ROW()-1,FALSE))</x:f>
        <x:v/>
      </x:c>
      <x:c r="L526" t="str">
        <x:f ca="1">IF(AND($B$1012=1,LEN($L$1524)&gt;0),$L$1524,HLOOKUP(INDIRECT(ADDRESS(2,COLUMN())),OFFSET($T$2,0,0,ROW()-1,14),ROW()-1,FALSE))</x:f>
        <x:v/>
      </x:c>
      <x:c r="M526" t="str">
        <x:f ca="1">IF(AND($B$1012=1,LEN($M$1524)&gt;0),$M$1524,HLOOKUP(INDIRECT(ADDRESS(2,COLUMN())),OFFSET($T$2,0,0,ROW()-1,14),ROW()-1,FALSE))</x:f>
        <x:v/>
      </x:c>
      <x:c r="N526" t="str">
        <x:f ca="1">IF(AND($B$1012=1,LEN($N$1524)&gt;0),$N$1524,HLOOKUP(INDIRECT(ADDRESS(2,COLUMN())),OFFSET($T$2,0,0,ROW()-1,14),ROW()-1,FALSE))</x:f>
        <x:v/>
      </x:c>
      <x:c r="O526" t="str">
        <x:f ca="1">IF(AND($B$1012=1,LEN($O$1524)&gt;0),$O$1524,HLOOKUP(INDIRECT(ADDRESS(2,COLUMN())),OFFSET($T$2,0,0,ROW()-1,14),ROW()-1,FALSE))</x:f>
        <x:v/>
      </x:c>
      <x:c r="P526" t="str">
        <x:f ca="1">IF(AND($B$1012=1,LEN($P$1524)&gt;0),$P$1524,HLOOKUP(INDIRECT(ADDRESS(2,COLUMN())),OFFSET($T$2,0,0,ROW()-1,14),ROW()-1,FALSE))</x:f>
        <x:v/>
      </x:c>
      <x:c r="Q526" t="str">
        <x:f ca="1">IF(AND($B$1012=1,LEN($Q$1524)&gt;0),$Q$1524,HLOOKUP(INDIRECT(ADDRESS(2,COLUMN())),OFFSET($T$2,0,0,ROW()-1,14),ROW()-1,FALSE))</x:f>
        <x:v/>
      </x:c>
      <x:c r="R526" t="str">
        <x:f ca="1">IF(AND($B$1012=1,LEN($R$1524)&gt;0),$R$1524,HLOOKUP(INDIRECT(ADDRESS(2,COLUMN())),OFFSET($T$2,0,0,ROW()-1,14),ROW()-1,FALSE))</x:f>
        <x:v/>
      </x:c>
      <x:c r="S526" t="str">
        <x:f ca="1">IF(AND($B$1012=1,LEN($S$1524)&gt;0),$S$1524,HLOOKUP(INDIRECT(ADDRESS(2,COLUMN())),OFFSET($T$2,0,0,ROW()-1,14),ROW()-1,FALSE))</x:f>
        <x:v/>
      </x:c>
      <x:c r="T526" t="str">
        <x:f>""</x:f>
        <x:v/>
      </x:c>
      <x:c r="U526" t="str">
        <x:f>""</x:f>
        <x:v/>
      </x:c>
      <x:c r="V526" t="str">
        <x:f>""</x:f>
        <x:v/>
      </x:c>
      <x:c r="W526" t="str">
        <x:f>""</x:f>
        <x:v/>
      </x:c>
      <x:c r="X526" t="str">
        <x:f>""</x:f>
        <x:v/>
      </x:c>
      <x:c r="Y526" t="str">
        <x:f>""</x:f>
        <x:v/>
      </x:c>
      <x:c r="Z526" t="str">
        <x:f>""</x:f>
        <x:v/>
      </x:c>
      <x:c r="AA526" t="str">
        <x:f>""</x:f>
        <x:v/>
      </x:c>
      <x:c r="AB526" t="str">
        <x:f>""</x:f>
        <x:v/>
      </x:c>
      <x:c r="AC526" t="str">
        <x:f>""</x:f>
        <x:v/>
      </x:c>
      <x:c r="AD526" t="str">
        <x:f>""</x:f>
        <x:v/>
      </x:c>
      <x:c r="AE526" t="str">
        <x:f>""</x:f>
        <x:v/>
      </x:c>
      <x:c r="AF526" t="str">
        <x:f>""</x:f>
        <x:v/>
      </x:c>
      <x:c r="AG526" t="str">
        <x:f>""</x:f>
        <x:v/>
      </x:c>
    </x:row>
    <x:row r="527" spans="1:33" x14ac:dyDescent="0.25">
      <x:c r="A527" t="str">
        <x:f>"            PureFunds ISE Big Data ETF"</x:f>
        <x:v xml:space="preserve">            PureFunds ISE Big Data ETF</x:v>
      </x:c>
      <x:c r="B527" t="str">
        <x:f>"BIGD US Equity"</x:f>
        <x:v>BIGD US Equity</x:v>
      </x:c>
      <x:c r="E527" t="str">
        <x:f t="shared" si="17"/>
        <x:v>Expression</x:v>
      </x:c>
      <x:c r="F527" t="str">
        <x:f ca="1">IF(AND($B$1012=1,LEN($F$1525)&gt;0),$F$1525,HLOOKUP(INDIRECT(ADDRESS(2,COLUMN())),OFFSET($T$2,0,0,ROW()-1,14),ROW()-1,FALSE))</x:f>
        <x:v/>
      </x:c>
      <x:c r="G527" t="str">
        <x:f ca="1">IF(AND($B$1012=1,LEN($G$1525)&gt;0),$G$1525,HLOOKUP(INDIRECT(ADDRESS(2,COLUMN())),OFFSET($T$2,0,0,ROW()-1,14),ROW()-1,FALSE))</x:f>
        <x:v/>
      </x:c>
      <x:c r="H527" t="str">
        <x:f ca="1">IF(AND($B$1012=1,LEN($H$1525)&gt;0),$H$1525,HLOOKUP(INDIRECT(ADDRESS(2,COLUMN())),OFFSET($T$2,0,0,ROW()-1,14),ROW()-1,FALSE))</x:f>
        <x:v/>
      </x:c>
      <x:c r="I527" t="str">
        <x:f ca="1">IF(AND($B$1012=1,LEN($I$1525)&gt;0),$I$1525,HLOOKUP(INDIRECT(ADDRESS(2,COLUMN())),OFFSET($T$2,0,0,ROW()-1,14),ROW()-1,FALSE))</x:f>
        <x:v/>
      </x:c>
      <x:c r="J527" t="str">
        <x:f ca="1">IF(AND($B$1012=1,LEN($J$1525)&gt;0),$J$1525,HLOOKUP(INDIRECT(ADDRESS(2,COLUMN())),OFFSET($T$2,0,0,ROW()-1,14),ROW()-1,FALSE))</x:f>
        <x:v/>
      </x:c>
      <x:c r="K527" t="str">
        <x:f ca="1">IF(AND($B$1012=1,LEN($K$1525)&gt;0),$K$1525,HLOOKUP(INDIRECT(ADDRESS(2,COLUMN())),OFFSET($T$2,0,0,ROW()-1,14),ROW()-1,FALSE))</x:f>
        <x:v/>
      </x:c>
      <x:c r="L527" t="str">
        <x:f ca="1">IF(AND($B$1012=1,LEN($L$1525)&gt;0),$L$1525,HLOOKUP(INDIRECT(ADDRESS(2,COLUMN())),OFFSET($T$2,0,0,ROW()-1,14),ROW()-1,FALSE))</x:f>
        <x:v/>
      </x:c>
      <x:c r="M527" t="str">
        <x:f ca="1">IF(AND($B$1012=1,LEN($M$1525)&gt;0),$M$1525,HLOOKUP(INDIRECT(ADDRESS(2,COLUMN())),OFFSET($T$2,0,0,ROW()-1,14),ROW()-1,FALSE))</x:f>
        <x:v/>
      </x:c>
      <x:c r="N527" t="str">
        <x:f ca="1">IF(AND($B$1012=1,LEN($N$1525)&gt;0),$N$1525,HLOOKUP(INDIRECT(ADDRESS(2,COLUMN())),OFFSET($T$2,0,0,ROW()-1,14),ROW()-1,FALSE))</x:f>
        <x:v/>
      </x:c>
      <x:c r="O527" t="str">
        <x:f ca="1">IF(AND($B$1012=1,LEN($O$1525)&gt;0),$O$1525,HLOOKUP(INDIRECT(ADDRESS(2,COLUMN())),OFFSET($T$2,0,0,ROW()-1,14),ROW()-1,FALSE))</x:f>
        <x:v/>
      </x:c>
      <x:c r="P527" t="str">
        <x:f ca="1">IF(AND($B$1012=1,LEN($P$1525)&gt;0),$P$1525,HLOOKUP(INDIRECT(ADDRESS(2,COLUMN())),OFFSET($T$2,0,0,ROW()-1,14),ROW()-1,FALSE))</x:f>
        <x:v/>
      </x:c>
      <x:c r="Q527" t="str">
        <x:f ca="1">IF(AND($B$1012=1,LEN($Q$1525)&gt;0),$Q$1525,HLOOKUP(INDIRECT(ADDRESS(2,COLUMN())),OFFSET($T$2,0,0,ROW()-1,14),ROW()-1,FALSE))</x:f>
        <x:v/>
      </x:c>
      <x:c r="R527" t="str">
        <x:f ca="1">IF(AND($B$1012=1,LEN($R$1525)&gt;0),$R$1525,HLOOKUP(INDIRECT(ADDRESS(2,COLUMN())),OFFSET($T$2,0,0,ROW()-1,14),ROW()-1,FALSE))</x:f>
        <x:v/>
      </x:c>
      <x:c r="S527" t="str">
        <x:f ca="1">IF(AND($B$1012=1,LEN($S$1525)&gt;0),$S$1525,HLOOKUP(INDIRECT(ADDRESS(2,COLUMN())),OFFSET($T$2,0,0,ROW()-1,14),ROW()-1,FALSE))</x:f>
        <x:v/>
      </x:c>
      <x:c r="T527" t="str">
        <x:f>""</x:f>
        <x:v/>
      </x:c>
      <x:c r="U527" t="str">
        <x:f>""</x:f>
        <x:v/>
      </x:c>
      <x:c r="V527" t="str">
        <x:f>""</x:f>
        <x:v/>
      </x:c>
      <x:c r="W527" t="str">
        <x:f>""</x:f>
        <x:v/>
      </x:c>
      <x:c r="X527" t="str">
        <x:f>""</x:f>
        <x:v/>
      </x:c>
      <x:c r="Y527" t="str">
        <x:f>""</x:f>
        <x:v/>
      </x:c>
      <x:c r="Z527" t="str">
        <x:f>""</x:f>
        <x:v/>
      </x:c>
      <x:c r="AA527" t="str">
        <x:f>""</x:f>
        <x:v/>
      </x:c>
      <x:c r="AB527" t="str">
        <x:f>""</x:f>
        <x:v/>
      </x:c>
      <x:c r="AC527" t="str">
        <x:f>""</x:f>
        <x:v/>
      </x:c>
      <x:c r="AD527" t="str">
        <x:f>""</x:f>
        <x:v/>
      </x:c>
      <x:c r="AE527" t="str">
        <x:f>""</x:f>
        <x:v/>
      </x:c>
      <x:c r="AF527" t="str">
        <x:f>""</x:f>
        <x:v/>
      </x:c>
      <x:c r="AG527" t="str">
        <x:f>""</x:f>
        <x:v/>
      </x:c>
    </x:row>
    <x:row r="528" spans="1:33" x14ac:dyDescent="0.25">
      <x:c r="A528" t="str">
        <x:f>"            ProShares UltraShort Technolog"</x:f>
        <x:v xml:space="preserve">            ProShares UltraShort Technolog</x:v>
      </x:c>
      <x:c r="B528" t="str">
        <x:f>"REW US Equity"</x:f>
        <x:v>REW US Equity</x:v>
      </x:c>
      <x:c r="E528" t="str">
        <x:f t="shared" si="17"/>
        <x:v>Expression</x:v>
      </x:c>
      <x:c r="F528">
        <x:f ca="1">IF(AND($B$1012=1,LEN($F$1526)&gt;0),$F$1526,HLOOKUP(INDIRECT(ADDRESS(2,COLUMN())),OFFSET($T$2,0,0,ROW()-1,14),ROW()-1,FALSE))</x:f>
        <x:v>-0.205259</x:v>
      </x:c>
      <x:c r="G528">
        <x:f ca="1">IF(AND($B$1012=1,LEN($G$1526)&gt;0),$G$1526,HLOOKUP(INDIRECT(ADDRESS(2,COLUMN())),OFFSET($T$2,0,0,ROW()-1,14),ROW()-1,FALSE))</x:f>
        <x:v>-0.35104200000000002</x:v>
      </x:c>
      <x:c r="H528">
        <x:f ca="1">IF(AND($B$1012=1,LEN($H$1526)&gt;0),$H$1526,HLOOKUP(INDIRECT(ADDRESS(2,COLUMN())),OFFSET($T$2,0,0,ROW()-1,14),ROW()-1,FALSE))</x:f>
        <x:v>1.14977</x:v>
      </x:c>
      <x:c r="I528">
        <x:f ca="1">IF(AND($B$1012=1,LEN($I$1526)&gt;0),$I$1526,HLOOKUP(INDIRECT(ADDRESS(2,COLUMN())),OFFSET($T$2,0,0,ROW()-1,14),ROW()-1,FALSE))</x:f>
        <x:v>-1.584835</x:v>
      </x:c>
      <x:c r="J528">
        <x:f ca="1">IF(AND($B$1012=1,LEN($J$1526)&gt;0),$J$1526,HLOOKUP(INDIRECT(ADDRESS(2,COLUMN())),OFFSET($T$2,0,0,ROW()-1,14),ROW()-1,FALSE))</x:f>
        <x:v>1.4798789999999999</x:v>
      </x:c>
      <x:c r="K528">
        <x:f ca="1">IF(AND($B$1012=1,LEN($K$1526)&gt;0),$K$1526,HLOOKUP(INDIRECT(ADDRESS(2,COLUMN())),OFFSET($T$2,0,0,ROW()-1,14),ROW()-1,FALSE))</x:f>
        <x:v>-0.74550099999999997</x:v>
      </x:c>
      <x:c r="L528">
        <x:f ca="1">IF(AND($B$1012=1,LEN($L$1526)&gt;0),$L$1526,HLOOKUP(INDIRECT(ADDRESS(2,COLUMN())),OFFSET($T$2,0,0,ROW()-1,14),ROW()-1,FALSE))</x:f>
        <x:v>6.0350000000000004E-3</x:v>
      </x:c>
      <x:c r="M528">
        <x:f ca="1">IF(AND($B$1012=1,LEN($M$1526)&gt;0),$M$1526,HLOOKUP(INDIRECT(ADDRESS(2,COLUMN())),OFFSET($T$2,0,0,ROW()-1,14),ROW()-1,FALSE))</x:f>
        <x:v>4.3449999999999999E-3</x:v>
      </x:c>
      <x:c r="N528">
        <x:f ca="1">IF(AND($B$1012=1,LEN($N$1526)&gt;0),$N$1526,HLOOKUP(INDIRECT(ADDRESS(2,COLUMN())),OFFSET($T$2,0,0,ROW()-1,14),ROW()-1,FALSE))</x:f>
        <x:v>-6.1770000000000002E-3</x:v>
      </x:c>
      <x:c r="O528">
        <x:f ca="1">IF(AND($B$1012=1,LEN($O$1526)&gt;0),$O$1526,HLOOKUP(INDIRECT(ADDRESS(2,COLUMN())),OFFSET($T$2,0,0,ROW()-1,14),ROW()-1,FALSE))</x:f>
        <x:v>-0.77677499999999999</x:v>
      </x:c>
      <x:c r="P528">
        <x:f ca="1">IF(AND($B$1012=1,LEN($P$1526)&gt;0),$P$1526,HLOOKUP(INDIRECT(ADDRESS(2,COLUMN())),OFFSET($T$2,0,0,ROW()-1,14),ROW()-1,FALSE))</x:f>
        <x:v>-2.6903250000000001</x:v>
      </x:c>
      <x:c r="Q528">
        <x:f ca="1">IF(AND($B$1012=1,LEN($Q$1526)&gt;0),$Q$1526,HLOOKUP(INDIRECT(ADDRESS(2,COLUMN())),OFFSET($T$2,0,0,ROW()-1,14),ROW()-1,FALSE))</x:f>
        <x:v>0.16814200000000001</x:v>
      </x:c>
      <x:c r="R528">
        <x:f ca="1">IF(AND($B$1012=1,LEN($R$1526)&gt;0),$R$1526,HLOOKUP(INDIRECT(ADDRESS(2,COLUMN())),OFFSET($T$2,0,0,ROW()-1,14),ROW()-1,FALSE))</x:f>
        <x:v>3.4977149999999999</x:v>
      </x:c>
      <x:c r="S528">
        <x:f ca="1">IF(AND($B$1012=1,LEN($S$1526)&gt;0),$S$1526,HLOOKUP(INDIRECT(ADDRESS(2,COLUMN())),OFFSET($T$2,0,0,ROW()-1,14),ROW()-1,FALSE))</x:f>
        <x:v>-5.0195670000000003</x:v>
      </x:c>
      <x:c r="T528">
        <x:f>-0.205259</x:f>
        <x:v>-0.205259</x:v>
      </x:c>
      <x:c r="U528">
        <x:f>-0.351042</x:f>
        <x:v>-0.35104200000000002</x:v>
      </x:c>
      <x:c r="V528">
        <x:f>1.14977</x:f>
        <x:v>1.14977</x:v>
      </x:c>
      <x:c r="W528">
        <x:f>-1.584835</x:f>
        <x:v>-1.584835</x:v>
      </x:c>
      <x:c r="X528">
        <x:f>1.479879</x:f>
        <x:v>1.4798789999999999</x:v>
      </x:c>
      <x:c r="Y528">
        <x:f>-0.745501</x:f>
        <x:v>-0.74550099999999997</x:v>
      </x:c>
      <x:c r="Z528">
        <x:f>0.006035</x:f>
        <x:v>6.0350000000000004E-3</x:v>
      </x:c>
      <x:c r="AA528">
        <x:f>0.004345</x:f>
        <x:v>4.3449999999999999E-3</x:v>
      </x:c>
      <x:c r="AB528">
        <x:f>-0.006177</x:f>
        <x:v>-6.1770000000000002E-3</x:v>
      </x:c>
      <x:c r="AC528">
        <x:f>-0.776775</x:f>
        <x:v>-0.77677499999999999</x:v>
      </x:c>
      <x:c r="AD528">
        <x:f>-2.690325</x:f>
        <x:v>-2.6903250000000001</x:v>
      </x:c>
      <x:c r="AE528">
        <x:f>0.168142</x:f>
        <x:v>0.16814200000000001</x:v>
      </x:c>
      <x:c r="AF528">
        <x:f>3.497715</x:f>
        <x:v>3.4977149999999999</x:v>
      </x:c>
      <x:c r="AG528">
        <x:f>-5.019567</x:f>
        <x:v>-5.0195670000000003</x:v>
      </x:c>
    </x:row>
    <x:row r="529" spans="1:33" x14ac:dyDescent="0.25">
      <x:c r="A529" t="str">
        <x:f>"            First Trust Indxx Metaverse ET"</x:f>
        <x:v xml:space="preserve">            First Trust Indxx Metaverse ET</x:v>
      </x:c>
      <x:c r="B529" t="str">
        <x:f>"ARVR US Equity"</x:f>
        <x:v>ARVR US Equity</x:v>
      </x:c>
      <x:c r="E529" t="str">
        <x:f t="shared" si="17"/>
        <x:v>Expression</x:v>
      </x:c>
      <x:c r="F529">
        <x:f ca="1">IF(AND($B$1012=1,LEN($F$1964)&gt;0),$F$1964,HLOOKUP(INDIRECT(ADDRESS(2,COLUMN())),OFFSET($T$2,0,0,ROW()-1,14),ROW()-1,FALSE))</x:f>
        <x:v>0</x:v>
      </x:c>
      <x:c r="G529">
        <x:f ca="1">IF(AND($B$1012=1,LEN($G$1964)&gt;0),$G$1964,HLOOKUP(INDIRECT(ADDRESS(2,COLUMN())),OFFSET($T$2,0,0,ROW()-1,14),ROW()-1,FALSE))</x:f>
        <x:v>0</x:v>
      </x:c>
      <x:c r="H529">
        <x:f ca="1">IF(AND($B$1012=1,LEN($H$1964)&gt;0),$H$1964,HLOOKUP(INDIRECT(ADDRESS(2,COLUMN())),OFFSET($T$2,0,0,ROW()-1,14),ROW()-1,FALSE))</x:f>
        <x:v>0</x:v>
      </x:c>
      <x:c r="I529">
        <x:f ca="1">IF(AND($B$1012=1,LEN($I$1964)&gt;0),$I$1964,HLOOKUP(INDIRECT(ADDRESS(2,COLUMN())),OFFSET($T$2,0,0,ROW()-1,14),ROW()-1,FALSE))</x:f>
        <x:v>0</x:v>
      </x:c>
      <x:c r="J529">
        <x:f ca="1">IF(AND($B$1012=1,LEN($J$1964)&gt;0),$J$1964,HLOOKUP(INDIRECT(ADDRESS(2,COLUMN())),OFFSET($T$2,0,0,ROW()-1,14),ROW()-1,FALSE))</x:f>
        <x:v>0</x:v>
      </x:c>
      <x:c r="K529">
        <x:f ca="1">IF(AND($B$1012=1,LEN($K$1964)&gt;0),$K$1964,HLOOKUP(INDIRECT(ADDRESS(2,COLUMN())),OFFSET($T$2,0,0,ROW()-1,14),ROW()-1,FALSE))</x:f>
        <x:v>0</x:v>
      </x:c>
      <x:c r="L529">
        <x:f ca="1">IF(AND($B$1012=1,LEN($L$1964)&gt;0),$L$1964,HLOOKUP(INDIRECT(ADDRESS(2,COLUMN())),OFFSET($T$2,0,0,ROW()-1,14),ROW()-1,FALSE))</x:f>
        <x:v>0</x:v>
      </x:c>
      <x:c r="M529">
        <x:f ca="1">IF(AND($B$1012=1,LEN($M$1964)&gt;0),$M$1964,HLOOKUP(INDIRECT(ADDRESS(2,COLUMN())),OFFSET($T$2,0,0,ROW()-1,14),ROW()-1,FALSE))</x:f>
        <x:v>0</x:v>
      </x:c>
      <x:c r="N529">
        <x:f ca="1">IF(AND($B$1012=1,LEN($N$1964)&gt;0),$N$1964,HLOOKUP(INDIRECT(ADDRESS(2,COLUMN())),OFFSET($T$2,0,0,ROW()-1,14),ROW()-1,FALSE))</x:f>
        <x:v>0</x:v>
      </x:c>
      <x:c r="O529">
        <x:f ca="1">IF(AND($B$1012=1,LEN($O$1964)&gt;0),$O$1964,HLOOKUP(INDIRECT(ADDRESS(2,COLUMN())),OFFSET($T$2,0,0,ROW()-1,14),ROW()-1,FALSE))</x:f>
        <x:v>0</x:v>
      </x:c>
      <x:c r="P529">
        <x:f ca="1">IF(AND($B$1012=1,LEN($P$1964)&gt;0),$P$1964,HLOOKUP(INDIRECT(ADDRESS(2,COLUMN())),OFFSET($T$2,0,0,ROW()-1,14),ROW()-1,FALSE))</x:f>
        <x:v>0</x:v>
      </x:c>
      <x:c r="Q529">
        <x:f ca="1">IF(AND($B$1012=1,LEN($Q$1964)&gt;0),$Q$1964,HLOOKUP(INDIRECT(ADDRESS(2,COLUMN())),OFFSET($T$2,0,0,ROW()-1,14),ROW()-1,FALSE))</x:f>
        <x:v>0</x:v>
      </x:c>
      <x:c r="R529">
        <x:f ca="1">IF(AND($B$1012=1,LEN($R$1964)&gt;0),$R$1964,HLOOKUP(INDIRECT(ADDRESS(2,COLUMN())),OFFSET($T$2,0,0,ROW()-1,14),ROW()-1,FALSE))</x:f>
        <x:v>0</x:v>
      </x:c>
      <x:c r="S529">
        <x:f ca="1">IF(AND($B$1012=1,LEN($S$1964)&gt;0),$S$1964,HLOOKUP(INDIRECT(ADDRESS(2,COLUMN())),OFFSET($T$2,0,0,ROW()-1,14),ROW()-1,FALSE))</x:f>
        <x:v>0</x:v>
      </x:c>
      <x:c r="T529">
        <x:f>0</x:f>
        <x:v>0</x:v>
      </x:c>
      <x:c r="U529">
        <x:f>0</x:f>
        <x:v>0</x:v>
      </x:c>
      <x:c r="V529">
        <x:f>0</x:f>
        <x:v>0</x:v>
      </x:c>
      <x:c r="W529">
        <x:f>0</x:f>
        <x:v>0</x:v>
      </x:c>
      <x:c r="X529">
        <x:f>0</x:f>
        <x:v>0</x:v>
      </x:c>
      <x:c r="Y529">
        <x:f>0</x:f>
        <x:v>0</x:v>
      </x:c>
      <x:c r="Z529">
        <x:f>0</x:f>
        <x:v>0</x:v>
      </x:c>
      <x:c r="AA529">
        <x:f>0</x:f>
        <x:v>0</x:v>
      </x:c>
      <x:c r="AB529">
        <x:f>0</x:f>
        <x:v>0</x:v>
      </x:c>
      <x:c r="AC529">
        <x:f>0</x:f>
        <x:v>0</x:v>
      </x:c>
      <x:c r="AD529">
        <x:f>0</x:f>
        <x:v>0</x:v>
      </x:c>
      <x:c r="AE529">
        <x:f>0</x:f>
        <x:v>0</x:v>
      </x:c>
      <x:c r="AF529">
        <x:f>0</x:f>
        <x:v>0</x:v>
      </x:c>
      <x:c r="AG529">
        <x:f>0</x:f>
        <x:v>0</x:v>
      </x:c>
    </x:row>
    <x:row r="530" spans="1:33" x14ac:dyDescent="0.25">
      <x:c r="A530" t="str">
        <x:f>"            Elkhorn S&amp;P MidCap Information"</x:f>
        <x:v xml:space="preserve">            Elkhorn S&amp;P MidCap Information</x:v>
      </x:c>
      <x:c r="B530" t="str">
        <x:f>"XK US Equity"</x:f>
        <x:v>XK US Equity</x:v>
      </x:c>
      <x:c r="E530" t="str">
        <x:f t="shared" si="17"/>
        <x:v>Expression</x:v>
      </x:c>
      <x:c r="F530" t="str">
        <x:f ca="1">IF(AND($B$1012=1,LEN($F$1528)&gt;0),$F$1528,HLOOKUP(INDIRECT(ADDRESS(2,COLUMN())),OFFSET($T$2,0,0,ROW()-1,14),ROW()-1,FALSE))</x:f>
        <x:v/>
      </x:c>
      <x:c r="G530" t="str">
        <x:f ca="1">IF(AND($B$1012=1,LEN($G$1528)&gt;0),$G$1528,HLOOKUP(INDIRECT(ADDRESS(2,COLUMN())),OFFSET($T$2,0,0,ROW()-1,14),ROW()-1,FALSE))</x:f>
        <x:v/>
      </x:c>
      <x:c r="H530" t="str">
        <x:f ca="1">IF(AND($B$1012=1,LEN($H$1528)&gt;0),$H$1528,HLOOKUP(INDIRECT(ADDRESS(2,COLUMN())),OFFSET($T$2,0,0,ROW()-1,14),ROW()-1,FALSE))</x:f>
        <x:v/>
      </x:c>
      <x:c r="I530" t="str">
        <x:f ca="1">IF(AND($B$1012=1,LEN($I$1528)&gt;0),$I$1528,HLOOKUP(INDIRECT(ADDRESS(2,COLUMN())),OFFSET($T$2,0,0,ROW()-1,14),ROW()-1,FALSE))</x:f>
        <x:v/>
      </x:c>
      <x:c r="J530" t="str">
        <x:f ca="1">IF(AND($B$1012=1,LEN($J$1528)&gt;0),$J$1528,HLOOKUP(INDIRECT(ADDRESS(2,COLUMN())),OFFSET($T$2,0,0,ROW()-1,14),ROW()-1,FALSE))</x:f>
        <x:v/>
      </x:c>
      <x:c r="K530" t="str">
        <x:f ca="1">IF(AND($B$1012=1,LEN($K$1528)&gt;0),$K$1528,HLOOKUP(INDIRECT(ADDRESS(2,COLUMN())),OFFSET($T$2,0,0,ROW()-1,14),ROW()-1,FALSE))</x:f>
        <x:v/>
      </x:c>
      <x:c r="L530" t="str">
        <x:f ca="1">IF(AND($B$1012=1,LEN($L$1528)&gt;0),$L$1528,HLOOKUP(INDIRECT(ADDRESS(2,COLUMN())),OFFSET($T$2,0,0,ROW()-1,14),ROW()-1,FALSE))</x:f>
        <x:v/>
      </x:c>
      <x:c r="M530" t="str">
        <x:f ca="1">IF(AND($B$1012=1,LEN($M$1528)&gt;0),$M$1528,HLOOKUP(INDIRECT(ADDRESS(2,COLUMN())),OFFSET($T$2,0,0,ROW()-1,14),ROW()-1,FALSE))</x:f>
        <x:v/>
      </x:c>
      <x:c r="N530" t="str">
        <x:f ca="1">IF(AND($B$1012=1,LEN($N$1528)&gt;0),$N$1528,HLOOKUP(INDIRECT(ADDRESS(2,COLUMN())),OFFSET($T$2,0,0,ROW()-1,14),ROW()-1,FALSE))</x:f>
        <x:v/>
      </x:c>
      <x:c r="O530" t="str">
        <x:f ca="1">IF(AND($B$1012=1,LEN($O$1528)&gt;0),$O$1528,HLOOKUP(INDIRECT(ADDRESS(2,COLUMN())),OFFSET($T$2,0,0,ROW()-1,14),ROW()-1,FALSE))</x:f>
        <x:v/>
      </x:c>
      <x:c r="P530" t="str">
        <x:f ca="1">IF(AND($B$1012=1,LEN($P$1528)&gt;0),$P$1528,HLOOKUP(INDIRECT(ADDRESS(2,COLUMN())),OFFSET($T$2,0,0,ROW()-1,14),ROW()-1,FALSE))</x:f>
        <x:v/>
      </x:c>
      <x:c r="Q530" t="str">
        <x:f ca="1">IF(AND($B$1012=1,LEN($Q$1528)&gt;0),$Q$1528,HLOOKUP(INDIRECT(ADDRESS(2,COLUMN())),OFFSET($T$2,0,0,ROW()-1,14),ROW()-1,FALSE))</x:f>
        <x:v/>
      </x:c>
      <x:c r="R530" t="str">
        <x:f ca="1">IF(AND($B$1012=1,LEN($R$1528)&gt;0),$R$1528,HLOOKUP(INDIRECT(ADDRESS(2,COLUMN())),OFFSET($T$2,0,0,ROW()-1,14),ROW()-1,FALSE))</x:f>
        <x:v/>
      </x:c>
      <x:c r="S530" t="str">
        <x:f ca="1">IF(AND($B$1012=1,LEN($S$1528)&gt;0),$S$1528,HLOOKUP(INDIRECT(ADDRESS(2,COLUMN())),OFFSET($T$2,0,0,ROW()-1,14),ROW()-1,FALSE))</x:f>
        <x:v/>
      </x:c>
      <x:c r="T530" t="str">
        <x:f>""</x:f>
        <x:v/>
      </x:c>
      <x:c r="U530" t="str">
        <x:f>""</x:f>
        <x:v/>
      </x:c>
      <x:c r="V530" t="str">
        <x:f>""</x:f>
        <x:v/>
      </x:c>
      <x:c r="W530" t="str">
        <x:f>""</x:f>
        <x:v/>
      </x:c>
      <x:c r="X530" t="str">
        <x:f>""</x:f>
        <x:v/>
      </x:c>
      <x:c r="Y530" t="str">
        <x:f>""</x:f>
        <x:v/>
      </x:c>
      <x:c r="Z530" t="str">
        <x:f>""</x:f>
        <x:v/>
      </x:c>
      <x:c r="AA530" t="str">
        <x:f>""</x:f>
        <x:v/>
      </x:c>
      <x:c r="AB530" t="str">
        <x:f>""</x:f>
        <x:v/>
      </x:c>
      <x:c r="AC530" t="str">
        <x:f>""</x:f>
        <x:v/>
      </x:c>
      <x:c r="AD530" t="str">
        <x:f>""</x:f>
        <x:v/>
      </x:c>
      <x:c r="AE530" t="str">
        <x:f>""</x:f>
        <x:v/>
      </x:c>
      <x:c r="AF530" t="str">
        <x:f>""</x:f>
        <x:v/>
      </x:c>
      <x:c r="AG530" t="str">
        <x:f>""</x:f>
        <x:v/>
      </x:c>
    </x:row>
    <x:row r="531" spans="1:33" x14ac:dyDescent="0.25">
      <x:c r="A531" t="str">
        <x:f>"            Direxion Shares Etf Trust-Dire"</x:f>
        <x:v xml:space="preserve">            Direxion Shares Etf Trust-Dire</x:v>
      </x:c>
      <x:c r="B531" t="str">
        <x:f>"TECZ US Equity"</x:f>
        <x:v>TECZ US Equity</x:v>
      </x:c>
      <x:c r="E531" t="str">
        <x:f t="shared" si="17"/>
        <x:v>Expression</x:v>
      </x:c>
      <x:c r="F531" t="str">
        <x:f ca="1">IF(AND($B$1012=1,LEN($F$1529)&gt;0),$F$1529,HLOOKUP(INDIRECT(ADDRESS(2,COLUMN())),OFFSET($T$2,0,0,ROW()-1,14),ROW()-1,FALSE))</x:f>
        <x:v/>
      </x:c>
      <x:c r="G531" t="str">
        <x:f ca="1">IF(AND($B$1012=1,LEN($G$1529)&gt;0),$G$1529,HLOOKUP(INDIRECT(ADDRESS(2,COLUMN())),OFFSET($T$2,0,0,ROW()-1,14),ROW()-1,FALSE))</x:f>
        <x:v/>
      </x:c>
      <x:c r="H531" t="str">
        <x:f ca="1">IF(AND($B$1012=1,LEN($H$1529)&gt;0),$H$1529,HLOOKUP(INDIRECT(ADDRESS(2,COLUMN())),OFFSET($T$2,0,0,ROW()-1,14),ROW()-1,FALSE))</x:f>
        <x:v/>
      </x:c>
      <x:c r="I531" t="str">
        <x:f ca="1">IF(AND($B$1012=1,LEN($I$1529)&gt;0),$I$1529,HLOOKUP(INDIRECT(ADDRESS(2,COLUMN())),OFFSET($T$2,0,0,ROW()-1,14),ROW()-1,FALSE))</x:f>
        <x:v/>
      </x:c>
      <x:c r="J531" t="str">
        <x:f ca="1">IF(AND($B$1012=1,LEN($J$1529)&gt;0),$J$1529,HLOOKUP(INDIRECT(ADDRESS(2,COLUMN())),OFFSET($T$2,0,0,ROW()-1,14),ROW()-1,FALSE))</x:f>
        <x:v/>
      </x:c>
      <x:c r="K531" t="str">
        <x:f ca="1">IF(AND($B$1012=1,LEN($K$1529)&gt;0),$K$1529,HLOOKUP(INDIRECT(ADDRESS(2,COLUMN())),OFFSET($T$2,0,0,ROW()-1,14),ROW()-1,FALSE))</x:f>
        <x:v/>
      </x:c>
      <x:c r="L531" t="str">
        <x:f ca="1">IF(AND($B$1012=1,LEN($L$1529)&gt;0),$L$1529,HLOOKUP(INDIRECT(ADDRESS(2,COLUMN())),OFFSET($T$2,0,0,ROW()-1,14),ROW()-1,FALSE))</x:f>
        <x:v/>
      </x:c>
      <x:c r="M531" t="str">
        <x:f ca="1">IF(AND($B$1012=1,LEN($M$1529)&gt;0),$M$1529,HLOOKUP(INDIRECT(ADDRESS(2,COLUMN())),OFFSET($T$2,0,0,ROW()-1,14),ROW()-1,FALSE))</x:f>
        <x:v/>
      </x:c>
      <x:c r="N531" t="str">
        <x:f ca="1">IF(AND($B$1012=1,LEN($N$1529)&gt;0),$N$1529,HLOOKUP(INDIRECT(ADDRESS(2,COLUMN())),OFFSET($T$2,0,0,ROW()-1,14),ROW()-1,FALSE))</x:f>
        <x:v/>
      </x:c>
      <x:c r="O531" t="str">
        <x:f ca="1">IF(AND($B$1012=1,LEN($O$1529)&gt;0),$O$1529,HLOOKUP(INDIRECT(ADDRESS(2,COLUMN())),OFFSET($T$2,0,0,ROW()-1,14),ROW()-1,FALSE))</x:f>
        <x:v/>
      </x:c>
      <x:c r="P531" t="str">
        <x:f ca="1">IF(AND($B$1012=1,LEN($P$1529)&gt;0),$P$1529,HLOOKUP(INDIRECT(ADDRESS(2,COLUMN())),OFFSET($T$2,0,0,ROW()-1,14),ROW()-1,FALSE))</x:f>
        <x:v/>
      </x:c>
      <x:c r="Q531" t="str">
        <x:f ca="1">IF(AND($B$1012=1,LEN($Q$1529)&gt;0),$Q$1529,HLOOKUP(INDIRECT(ADDRESS(2,COLUMN())),OFFSET($T$2,0,0,ROW()-1,14),ROW()-1,FALSE))</x:f>
        <x:v/>
      </x:c>
      <x:c r="R531" t="str">
        <x:f ca="1">IF(AND($B$1012=1,LEN($R$1529)&gt;0),$R$1529,HLOOKUP(INDIRECT(ADDRESS(2,COLUMN())),OFFSET($T$2,0,0,ROW()-1,14),ROW()-1,FALSE))</x:f>
        <x:v/>
      </x:c>
      <x:c r="S531" t="str">
        <x:f ca="1">IF(AND($B$1012=1,LEN($S$1529)&gt;0),$S$1529,HLOOKUP(INDIRECT(ADDRESS(2,COLUMN())),OFFSET($T$2,0,0,ROW()-1,14),ROW()-1,FALSE))</x:f>
        <x:v/>
      </x:c>
      <x:c r="T531" t="str">
        <x:f>""</x:f>
        <x:v/>
      </x:c>
      <x:c r="U531" t="str">
        <x:f>""</x:f>
        <x:v/>
      </x:c>
      <x:c r="V531" t="str">
        <x:f>""</x:f>
        <x:v/>
      </x:c>
      <x:c r="W531" t="str">
        <x:f>""</x:f>
        <x:v/>
      </x:c>
      <x:c r="X531" t="str">
        <x:f>""</x:f>
        <x:v/>
      </x:c>
      <x:c r="Y531" t="str">
        <x:f>""</x:f>
        <x:v/>
      </x:c>
      <x:c r="Z531" t="str">
        <x:f>""</x:f>
        <x:v/>
      </x:c>
      <x:c r="AA531" t="str">
        <x:f>""</x:f>
        <x:v/>
      </x:c>
      <x:c r="AB531" t="str">
        <x:f>""</x:f>
        <x:v/>
      </x:c>
      <x:c r="AC531" t="str">
        <x:f>""</x:f>
        <x:v/>
      </x:c>
      <x:c r="AD531" t="str">
        <x:f>""</x:f>
        <x:v/>
      </x:c>
      <x:c r="AE531" t="str">
        <x:f>""</x:f>
        <x:v/>
      </x:c>
      <x:c r="AF531" t="str">
        <x:f>""</x:f>
        <x:v/>
      </x:c>
      <x:c r="AG531" t="str">
        <x:f>""</x:f>
        <x:v/>
      </x:c>
    </x:row>
    <x:row r="532" spans="1:33" x14ac:dyDescent="0.25">
      <x:c r="A532" t="str">
        <x:f>"            KraneShares Emerging Markets C"</x:f>
        <x:v xml:space="preserve">            KraneShares Emerging Markets C</x:v>
      </x:c>
      <x:c r="B532" t="str">
        <x:f>"KEMQ US Equity"</x:f>
        <x:v>KEMQ US Equity</x:v>
      </x:c>
      <x:c r="E532" t="str">
        <x:f t="shared" si="17"/>
        <x:v>Expression</x:v>
      </x:c>
      <x:c r="F532">
        <x:f ca="1">IF(AND($B$1012=1,LEN($F$1530)&gt;0),$F$1530,HLOOKUP(INDIRECT(ADDRESS(2,COLUMN())),OFFSET($T$2,0,0,ROW()-1,14),ROW()-1,FALSE))</x:f>
        <x:v>-0.68500000000000005</x:v>
      </x:c>
      <x:c r="G532">
        <x:f ca="1">IF(AND($B$1012=1,LEN($G$1530)&gt;0),$G$1530,HLOOKUP(INDIRECT(ADDRESS(2,COLUMN())),OFFSET($T$2,0,0,ROW()-1,14),ROW()-1,FALSE))</x:f>
        <x:v>0</x:v>
      </x:c>
      <x:c r="H532">
        <x:f ca="1">IF(AND($B$1012=1,LEN($H$1530)&gt;0),$H$1530,HLOOKUP(INDIRECT(ADDRESS(2,COLUMN())),OFFSET($T$2,0,0,ROW()-1,14),ROW()-1,FALSE))</x:f>
        <x:v>0</x:v>
      </x:c>
      <x:c r="I532">
        <x:f ca="1">IF(AND($B$1012=1,LEN($I$1530)&gt;0),$I$1530,HLOOKUP(INDIRECT(ADDRESS(2,COLUMN())),OFFSET($T$2,0,0,ROW()-1,14),ROW()-1,FALSE))</x:f>
        <x:v>0</x:v>
      </x:c>
      <x:c r="J532">
        <x:f ca="1">IF(AND($B$1012=1,LEN($J$1530)&gt;0),$J$1530,HLOOKUP(INDIRECT(ADDRESS(2,COLUMN())),OFFSET($T$2,0,0,ROW()-1,14),ROW()-1,FALSE))</x:f>
        <x:v>-1.597</x:v>
      </x:c>
      <x:c r="K532">
        <x:f ca="1">IF(AND($B$1012=1,LEN($K$1530)&gt;0),$K$1530,HLOOKUP(INDIRECT(ADDRESS(2,COLUMN())),OFFSET($T$2,0,0,ROW()-1,14),ROW()-1,FALSE))</x:f>
        <x:v>0</x:v>
      </x:c>
      <x:c r="L532">
        <x:f ca="1">IF(AND($B$1012=1,LEN($L$1530)&gt;0),$L$1530,HLOOKUP(INDIRECT(ADDRESS(2,COLUMN())),OFFSET($T$2,0,0,ROW()-1,14),ROW()-1,FALSE))</x:f>
        <x:v>-16.061</x:v>
      </x:c>
      <x:c r="M532">
        <x:f ca="1">IF(AND($B$1012=1,LEN($M$1530)&gt;0),$M$1530,HLOOKUP(INDIRECT(ADDRESS(2,COLUMN())),OFFSET($T$2,0,0,ROW()-1,14),ROW()-1,FALSE))</x:f>
        <x:v>0</x:v>
      </x:c>
      <x:c r="N532">
        <x:f ca="1">IF(AND($B$1012=1,LEN($N$1530)&gt;0),$N$1530,HLOOKUP(INDIRECT(ADDRESS(2,COLUMN())),OFFSET($T$2,0,0,ROW()-1,14),ROW()-1,FALSE))</x:f>
        <x:v>0</x:v>
      </x:c>
      <x:c r="O532">
        <x:f ca="1">IF(AND($B$1012=1,LEN($O$1530)&gt;0),$O$1530,HLOOKUP(INDIRECT(ADDRESS(2,COLUMN())),OFFSET($T$2,0,0,ROW()-1,14),ROW()-1,FALSE))</x:f>
        <x:v>0</x:v>
      </x:c>
      <x:c r="P532">
        <x:f ca="1">IF(AND($B$1012=1,LEN($P$1530)&gt;0),$P$1530,HLOOKUP(INDIRECT(ADDRESS(2,COLUMN())),OFFSET($T$2,0,0,ROW()-1,14),ROW()-1,FALSE))</x:f>
        <x:v>-1.591</x:v>
      </x:c>
      <x:c r="Q532">
        <x:f ca="1">IF(AND($B$1012=1,LEN($Q$1530)&gt;0),$Q$1530,HLOOKUP(INDIRECT(ADDRESS(2,COLUMN())),OFFSET($T$2,0,0,ROW()-1,14),ROW()-1,FALSE))</x:f>
        <x:v>-2.2334999999999998</x:v>
      </x:c>
      <x:c r="R532">
        <x:f ca="1">IF(AND($B$1012=1,LEN($R$1530)&gt;0),$R$1530,HLOOKUP(INDIRECT(ADDRESS(2,COLUMN())),OFFSET($T$2,0,0,ROW()-1,14),ROW()-1,FALSE))</x:f>
        <x:v>-0.61399999999999999</x:v>
      </x:c>
      <x:c r="S532">
        <x:f ca="1">IF(AND($B$1012=1,LEN($S$1530)&gt;0),$S$1530,HLOOKUP(INDIRECT(ADDRESS(2,COLUMN())),OFFSET($T$2,0,0,ROW()-1,14),ROW()-1,FALSE))</x:f>
        <x:v>0</x:v>
      </x:c>
      <x:c r="T532">
        <x:f>-0.685</x:f>
        <x:v>-0.68500000000000005</x:v>
      </x:c>
      <x:c r="U532">
        <x:f>0</x:f>
        <x:v>0</x:v>
      </x:c>
      <x:c r="V532">
        <x:f>0</x:f>
        <x:v>0</x:v>
      </x:c>
      <x:c r="W532">
        <x:f>0</x:f>
        <x:v>0</x:v>
      </x:c>
      <x:c r="X532">
        <x:f>-1.597</x:f>
        <x:v>-1.597</x:v>
      </x:c>
      <x:c r="Y532">
        <x:f>0</x:f>
        <x:v>0</x:v>
      </x:c>
      <x:c r="Z532">
        <x:f>-16.061</x:f>
        <x:v>-16.061</x:v>
      </x:c>
      <x:c r="AA532">
        <x:f>0</x:f>
        <x:v>0</x:v>
      </x:c>
      <x:c r="AB532">
        <x:f>0</x:f>
        <x:v>0</x:v>
      </x:c>
      <x:c r="AC532">
        <x:f>0</x:f>
        <x:v>0</x:v>
      </x:c>
      <x:c r="AD532">
        <x:f>-1.591</x:f>
        <x:v>-1.591</x:v>
      </x:c>
      <x:c r="AE532">
        <x:f>-2.2335</x:f>
        <x:v>-2.2334999999999998</x:v>
      </x:c>
      <x:c r="AF532">
        <x:f>-0.614</x:f>
        <x:v>-0.61399999999999999</x:v>
      </x:c>
      <x:c r="AG532">
        <x:f>0</x:f>
        <x:v>0</x:v>
      </x:c>
    </x:row>
    <x:row r="533" spans="1:33" x14ac:dyDescent="0.25">
      <x:c r="A533" t="str">
        <x:f>"            iShares U.S. Tech Independence"</x:f>
        <x:v xml:space="preserve">            iShares U.S. Tech Independence</x:v>
      </x:c>
      <x:c r="B533" t="str">
        <x:f>"IETC US Equity"</x:f>
        <x:v>IETC US Equity</x:v>
      </x:c>
      <x:c r="E533" t="str">
        <x:f t="shared" si="17"/>
        <x:v>Expression</x:v>
      </x:c>
      <x:c r="F533">
        <x:f ca="1">IF(AND($B$1012=1,LEN($F$1531)&gt;0),$F$1531,HLOOKUP(INDIRECT(ADDRESS(2,COLUMN())),OFFSET($T$2,0,0,ROW()-1,14),ROW()-1,FALSE))</x:f>
        <x:v>0</x:v>
      </x:c>
      <x:c r="G533">
        <x:f ca="1">IF(AND($B$1012=1,LEN($G$1531)&gt;0),$G$1531,HLOOKUP(INDIRECT(ADDRESS(2,COLUMN())),OFFSET($T$2,0,0,ROW()-1,14),ROW()-1,FALSE))</x:f>
        <x:v>2.6763750000000002</x:v>
      </x:c>
      <x:c r="H533">
        <x:f ca="1">IF(AND($B$1012=1,LEN($H$1531)&gt;0),$H$1531,HLOOKUP(INDIRECT(ADDRESS(2,COLUMN())),OFFSET($T$2,0,0,ROW()-1,14),ROW()-1,FALSE))</x:f>
        <x:v>-2.803105</x:v>
      </x:c>
      <x:c r="I533">
        <x:f ca="1">IF(AND($B$1012=1,LEN($I$1531)&gt;0),$I$1531,HLOOKUP(INDIRECT(ADDRESS(2,COLUMN())),OFFSET($T$2,0,0,ROW()-1,14),ROW()-1,FALSE))</x:f>
        <x:v>2.7266849999999998</x:v>
      </x:c>
      <x:c r="J533">
        <x:f ca="1">IF(AND($B$1012=1,LEN($J$1531)&gt;0),$J$1531,HLOOKUP(INDIRECT(ADDRESS(2,COLUMN())),OFFSET($T$2,0,0,ROW()-1,14),ROW()-1,FALSE))</x:f>
        <x:v>0</x:v>
      </x:c>
      <x:c r="K533">
        <x:f ca="1">IF(AND($B$1012=1,LEN($K$1531)&gt;0),$K$1531,HLOOKUP(INDIRECT(ADDRESS(2,COLUMN())),OFFSET($T$2,0,0,ROW()-1,14),ROW()-1,FALSE))</x:f>
        <x:v>2.5979199999999998</x:v>
      </x:c>
      <x:c r="L533">
        <x:f ca="1">IF(AND($B$1012=1,LEN($L$1531)&gt;0),$L$1531,HLOOKUP(INDIRECT(ADDRESS(2,COLUMN())),OFFSET($T$2,0,0,ROW()-1,14),ROW()-1,FALSE))</x:f>
        <x:v>0</x:v>
      </x:c>
      <x:c r="M533">
        <x:f ca="1">IF(AND($B$1012=1,LEN($M$1531)&gt;0),$M$1531,HLOOKUP(INDIRECT(ADDRESS(2,COLUMN())),OFFSET($T$2,0,0,ROW()-1,14),ROW()-1,FALSE))</x:f>
        <x:v>0</x:v>
      </x:c>
      <x:c r="N533">
        <x:f ca="1">IF(AND($B$1012=1,LEN($N$1531)&gt;0),$N$1531,HLOOKUP(INDIRECT(ADDRESS(2,COLUMN())),OFFSET($T$2,0,0,ROW()-1,14),ROW()-1,FALSE))</x:f>
        <x:v>0</x:v>
      </x:c>
      <x:c r="O533">
        <x:f ca="1">IF(AND($B$1012=1,LEN($O$1531)&gt;0),$O$1531,HLOOKUP(INDIRECT(ADDRESS(2,COLUMN())),OFFSET($T$2,0,0,ROW()-1,14),ROW()-1,FALSE))</x:f>
        <x:v>-2.2662849999999999</x:v>
      </x:c>
      <x:c r="P533">
        <x:f ca="1">IF(AND($B$1012=1,LEN($P$1531)&gt;0),$P$1531,HLOOKUP(INDIRECT(ADDRESS(2,COLUMN())),OFFSET($T$2,0,0,ROW()-1,14),ROW()-1,FALSE))</x:f>
        <x:v>0</x:v>
      </x:c>
      <x:c r="Q533">
        <x:f ca="1">IF(AND($B$1012=1,LEN($Q$1531)&gt;0),$Q$1531,HLOOKUP(INDIRECT(ADDRESS(2,COLUMN())),OFFSET($T$2,0,0,ROW()-1,14),ROW()-1,FALSE))</x:f>
        <x:v>-15.36436</x:v>
      </x:c>
      <x:c r="R533">
        <x:f ca="1">IF(AND($B$1012=1,LEN($R$1531)&gt;0),$R$1531,HLOOKUP(INDIRECT(ADDRESS(2,COLUMN())),OFFSET($T$2,0,0,ROW()-1,14),ROW()-1,FALSE))</x:f>
        <x:v>36.430495000000001</x:v>
      </x:c>
      <x:c r="S533">
        <x:f ca="1">IF(AND($B$1012=1,LEN($S$1531)&gt;0),$S$1531,HLOOKUP(INDIRECT(ADDRESS(2,COLUMN())),OFFSET($T$2,0,0,ROW()-1,14),ROW()-1,FALSE))</x:f>
        <x:v>-5.9204049999999997</x:v>
      </x:c>
      <x:c r="T533">
        <x:f>0</x:f>
        <x:v>0</x:v>
      </x:c>
      <x:c r="U533">
        <x:f>2.676375</x:f>
        <x:v>2.6763750000000002</x:v>
      </x:c>
      <x:c r="V533">
        <x:f>-2.803105</x:f>
        <x:v>-2.803105</x:v>
      </x:c>
      <x:c r="W533">
        <x:f>2.726685</x:f>
        <x:v>2.7266849999999998</x:v>
      </x:c>
      <x:c r="X533">
        <x:f>0</x:f>
        <x:v>0</x:v>
      </x:c>
      <x:c r="Y533">
        <x:f>2.59792</x:f>
        <x:v>2.5979199999999998</x:v>
      </x:c>
      <x:c r="Z533">
        <x:f>0</x:f>
        <x:v>0</x:v>
      </x:c>
      <x:c r="AA533">
        <x:f>0</x:f>
        <x:v>0</x:v>
      </x:c>
      <x:c r="AB533">
        <x:f>0</x:f>
        <x:v>0</x:v>
      </x:c>
      <x:c r="AC533">
        <x:f>-2.266285</x:f>
        <x:v>-2.2662849999999999</x:v>
      </x:c>
      <x:c r="AD533">
        <x:f>0</x:f>
        <x:v>0</x:v>
      </x:c>
      <x:c r="AE533">
        <x:f>-15.36436</x:f>
        <x:v>-15.36436</x:v>
      </x:c>
      <x:c r="AF533">
        <x:f>36.430495</x:f>
        <x:v>36.430495000000001</x:v>
      </x:c>
      <x:c r="AG533">
        <x:f>-5.920405</x:f>
        <x:v>-5.9204049999999997</x:v>
      </x:c>
    </x:row>
    <x:row r="534" spans="1:33" x14ac:dyDescent="0.25">
      <x:c r="A534" t="str">
        <x:f>"            MicroSectors FANG+ Index 3X Le"</x:f>
        <x:v xml:space="preserve">            MicroSectors FANG+ Index 3X Le</x:v>
      </x:c>
      <x:c r="B534" t="str">
        <x:f>"FNGU US Equity"</x:f>
        <x:v>FNGU US Equity</x:v>
      </x:c>
      <x:c r="E534" t="str">
        <x:f t="shared" ref="E534:E553" si="18">"Expression"</x:f>
        <x:v>Expression</x:v>
      </x:c>
      <x:c r="F534">
        <x:f ca="1">IF(AND($B$1012=1,LEN($F$1532)&gt;0),$F$1532,HLOOKUP(INDIRECT(ADDRESS(2,COLUMN())),OFFSET($T$2,0,0,ROW()-1,14),ROW()-1,FALSE))</x:f>
        <x:v>0</x:v>
      </x:c>
      <x:c r="G534">
        <x:f ca="1">IF(AND($B$1012=1,LEN($G$1532)&gt;0),$G$1532,HLOOKUP(INDIRECT(ADDRESS(2,COLUMN())),OFFSET($T$2,0,0,ROW()-1,14),ROW()-1,FALSE))</x:f>
        <x:v>0</x:v>
      </x:c>
      <x:c r="H534">
        <x:f ca="1">IF(AND($B$1012=1,LEN($H$1532)&gt;0),$H$1532,HLOOKUP(INDIRECT(ADDRESS(2,COLUMN())),OFFSET($T$2,0,0,ROW()-1,14),ROW()-1,FALSE))</x:f>
        <x:v>0</x:v>
      </x:c>
      <x:c r="I534">
        <x:f ca="1">IF(AND($B$1012=1,LEN($I$1532)&gt;0),$I$1532,HLOOKUP(INDIRECT(ADDRESS(2,COLUMN())),OFFSET($T$2,0,0,ROW()-1,14),ROW()-1,FALSE))</x:f>
        <x:v>0</x:v>
      </x:c>
      <x:c r="J534">
        <x:f ca="1">IF(AND($B$1012=1,LEN($J$1532)&gt;0),$J$1532,HLOOKUP(INDIRECT(ADDRESS(2,COLUMN())),OFFSET($T$2,0,0,ROW()-1,14),ROW()-1,FALSE))</x:f>
        <x:v>0</x:v>
      </x:c>
      <x:c r="K534">
        <x:f ca="1">IF(AND($B$1012=1,LEN($K$1532)&gt;0),$K$1532,HLOOKUP(INDIRECT(ADDRESS(2,COLUMN())),OFFSET($T$2,0,0,ROW()-1,14),ROW()-1,FALSE))</x:f>
        <x:v>0</x:v>
      </x:c>
      <x:c r="L534">
        <x:f ca="1">IF(AND($B$1012=1,LEN($L$1532)&gt;0),$L$1532,HLOOKUP(INDIRECT(ADDRESS(2,COLUMN())),OFFSET($T$2,0,0,ROW()-1,14),ROW()-1,FALSE))</x:f>
        <x:v>0</x:v>
      </x:c>
      <x:c r="M534">
        <x:f ca="1">IF(AND($B$1012=1,LEN($M$1532)&gt;0),$M$1532,HLOOKUP(INDIRECT(ADDRESS(2,COLUMN())),OFFSET($T$2,0,0,ROW()-1,14),ROW()-1,FALSE))</x:f>
        <x:v>0</x:v>
      </x:c>
      <x:c r="N534">
        <x:f ca="1">IF(AND($B$1012=1,LEN($N$1532)&gt;0),$N$1532,HLOOKUP(INDIRECT(ADDRESS(2,COLUMN())),OFFSET($T$2,0,0,ROW()-1,14),ROW()-1,FALSE))</x:f>
        <x:v>0</x:v>
      </x:c>
      <x:c r="O534">
        <x:f ca="1">IF(AND($B$1012=1,LEN($O$1532)&gt;0),$O$1532,HLOOKUP(INDIRECT(ADDRESS(2,COLUMN())),OFFSET($T$2,0,0,ROW()-1,14),ROW()-1,FALSE))</x:f>
        <x:v>0</x:v>
      </x:c>
      <x:c r="P534">
        <x:f ca="1">IF(AND($B$1012=1,LEN($P$1532)&gt;0),$P$1532,HLOOKUP(INDIRECT(ADDRESS(2,COLUMN())),OFFSET($T$2,0,0,ROW()-1,14),ROW()-1,FALSE))</x:f>
        <x:v>49.917281000000003</x:v>
      </x:c>
      <x:c r="Q534">
        <x:f ca="1">IF(AND($B$1012=1,LEN($Q$1532)&gt;0),$Q$1532,HLOOKUP(INDIRECT(ADDRESS(2,COLUMN())),OFFSET($T$2,0,0,ROW()-1,14),ROW()-1,FALSE))</x:f>
        <x:v>0</x:v>
      </x:c>
      <x:c r="R534">
        <x:f ca="1">IF(AND($B$1012=1,LEN($R$1532)&gt;0),$R$1532,HLOOKUP(INDIRECT(ADDRESS(2,COLUMN())),OFFSET($T$2,0,0,ROW()-1,14),ROW()-1,FALSE))</x:f>
        <x:v>79.425095999999996</x:v>
      </x:c>
      <x:c r="S534">
        <x:f ca="1">IF(AND($B$1012=1,LEN($S$1532)&gt;0),$S$1532,HLOOKUP(INDIRECT(ADDRESS(2,COLUMN())),OFFSET($T$2,0,0,ROW()-1,14),ROW()-1,FALSE))</x:f>
        <x:v>56.804434000000001</x:v>
      </x:c>
      <x:c r="T534">
        <x:f>0</x:f>
        <x:v>0</x:v>
      </x:c>
      <x:c r="U534">
        <x:f>0</x:f>
        <x:v>0</x:v>
      </x:c>
      <x:c r="V534">
        <x:f>0</x:f>
        <x:v>0</x:v>
      </x:c>
      <x:c r="W534">
        <x:f>0</x:f>
        <x:v>0</x:v>
      </x:c>
      <x:c r="X534">
        <x:f>0</x:f>
        <x:v>0</x:v>
      </x:c>
      <x:c r="Y534">
        <x:f>0</x:f>
        <x:v>0</x:v>
      </x:c>
      <x:c r="Z534">
        <x:f>0</x:f>
        <x:v>0</x:v>
      </x:c>
      <x:c r="AA534">
        <x:f>0</x:f>
        <x:v>0</x:v>
      </x:c>
      <x:c r="AB534">
        <x:f>0</x:f>
        <x:v>0</x:v>
      </x:c>
      <x:c r="AC534">
        <x:f>0</x:f>
        <x:v>0</x:v>
      </x:c>
      <x:c r="AD534">
        <x:f>49.917281</x:f>
        <x:v>49.917281000000003</x:v>
      </x:c>
      <x:c r="AE534">
        <x:f>0</x:f>
        <x:v>0</x:v>
      </x:c>
      <x:c r="AF534">
        <x:f>79.425096</x:f>
        <x:v>79.425095999999996</x:v>
      </x:c>
      <x:c r="AG534">
        <x:f>56.804434</x:f>
        <x:v>56.804434000000001</x:v>
      </x:c>
    </x:row>
    <x:row r="535" spans="1:33" x14ac:dyDescent="0.25">
      <x:c r="A535" t="str">
        <x:f>"            MicroSectors FANG+ Index -3X I"</x:f>
        <x:v xml:space="preserve">            MicroSectors FANG+ Index -3X I</x:v>
      </x:c>
      <x:c r="B535" t="str">
        <x:f>"FNGD US Equity"</x:f>
        <x:v>FNGD US Equity</x:v>
      </x:c>
      <x:c r="E535" t="str">
        <x:f t="shared" si="18"/>
        <x:v>Expression</x:v>
      </x:c>
      <x:c r="F535">
        <x:f ca="1">IF(AND($B$1012=1,LEN($F$1533)&gt;0),$F$1533,HLOOKUP(INDIRECT(ADDRESS(2,COLUMN())),OFFSET($T$2,0,0,ROW()-1,14),ROW()-1,FALSE))</x:f>
        <x:v>0</x:v>
      </x:c>
      <x:c r="G535">
        <x:f ca="1">IF(AND($B$1012=1,LEN($G$1533)&gt;0),$G$1533,HLOOKUP(INDIRECT(ADDRESS(2,COLUMN())),OFFSET($T$2,0,0,ROW()-1,14),ROW()-1,FALSE))</x:f>
        <x:v>0</x:v>
      </x:c>
      <x:c r="H535">
        <x:f ca="1">IF(AND($B$1012=1,LEN($H$1533)&gt;0),$H$1533,HLOOKUP(INDIRECT(ADDRESS(2,COLUMN())),OFFSET($T$2,0,0,ROW()-1,14),ROW()-1,FALSE))</x:f>
        <x:v>0</x:v>
      </x:c>
      <x:c r="I535">
        <x:f ca="1">IF(AND($B$1012=1,LEN($I$1533)&gt;0),$I$1533,HLOOKUP(INDIRECT(ADDRESS(2,COLUMN())),OFFSET($T$2,0,0,ROW()-1,14),ROW()-1,FALSE))</x:f>
        <x:v>0</x:v>
      </x:c>
      <x:c r="J535">
        <x:f ca="1">IF(AND($B$1012=1,LEN($J$1533)&gt;0),$J$1533,HLOOKUP(INDIRECT(ADDRESS(2,COLUMN())),OFFSET($T$2,0,0,ROW()-1,14),ROW()-1,FALSE))</x:f>
        <x:v>36.812835</x:v>
      </x:c>
      <x:c r="K535">
        <x:f ca="1">IF(AND($B$1012=1,LEN($K$1533)&gt;0),$K$1533,HLOOKUP(INDIRECT(ADDRESS(2,COLUMN())),OFFSET($T$2,0,0,ROW()-1,14),ROW()-1,FALSE))</x:f>
        <x:v>68.453247000000005</x:v>
      </x:c>
      <x:c r="L535">
        <x:f ca="1">IF(AND($B$1012=1,LEN($L$1533)&gt;0),$L$1533,HLOOKUP(INDIRECT(ADDRESS(2,COLUMN())),OFFSET($T$2,0,0,ROW()-1,14),ROW()-1,FALSE))</x:f>
        <x:v>71.547945999999996</x:v>
      </x:c>
      <x:c r="M535">
        <x:f ca="1">IF(AND($B$1012=1,LEN($M$1533)&gt;0),$M$1533,HLOOKUP(INDIRECT(ADDRESS(2,COLUMN())),OFFSET($T$2,0,0,ROW()-1,14),ROW()-1,FALSE))</x:f>
        <x:v>58.001727000000002</x:v>
      </x:c>
      <x:c r="N535">
        <x:f ca="1">IF(AND($B$1012=1,LEN($N$1533)&gt;0),$N$1533,HLOOKUP(INDIRECT(ADDRESS(2,COLUMN())),OFFSET($T$2,0,0,ROW()-1,14),ROW()-1,FALSE))</x:f>
        <x:v>0</x:v>
      </x:c>
      <x:c r="O535">
        <x:f ca="1">IF(AND($B$1012=1,LEN($O$1533)&gt;0),$O$1533,HLOOKUP(INDIRECT(ADDRESS(2,COLUMN())),OFFSET($T$2,0,0,ROW()-1,14),ROW()-1,FALSE))</x:f>
        <x:v>71.877253999999994</x:v>
      </x:c>
      <x:c r="P535">
        <x:f ca="1">IF(AND($B$1012=1,LEN($P$1533)&gt;0),$P$1533,HLOOKUP(INDIRECT(ADDRESS(2,COLUMN())),OFFSET($T$2,0,0,ROW()-1,14),ROW()-1,FALSE))</x:f>
        <x:v>17.792748</x:v>
      </x:c>
      <x:c r="Q535">
        <x:f ca="1">IF(AND($B$1012=1,LEN($Q$1533)&gt;0),$Q$1533,HLOOKUP(INDIRECT(ADDRESS(2,COLUMN())),OFFSET($T$2,0,0,ROW()-1,14),ROW()-1,FALSE))</x:f>
        <x:v>0</x:v>
      </x:c>
      <x:c r="R535">
        <x:f ca="1">IF(AND($B$1012=1,LEN($R$1533)&gt;0),$R$1533,HLOOKUP(INDIRECT(ADDRESS(2,COLUMN())),OFFSET($T$2,0,0,ROW()-1,14),ROW()-1,FALSE))</x:f>
        <x:v>0</x:v>
      </x:c>
      <x:c r="S535">
        <x:f ca="1">IF(AND($B$1012=1,LEN($S$1533)&gt;0),$S$1533,HLOOKUP(INDIRECT(ADDRESS(2,COLUMN())),OFFSET($T$2,0,0,ROW()-1,14),ROW()-1,FALSE))</x:f>
        <x:v>0</x:v>
      </x:c>
      <x:c r="T535">
        <x:f>0</x:f>
        <x:v>0</x:v>
      </x:c>
      <x:c r="U535">
        <x:f>0</x:f>
        <x:v>0</x:v>
      </x:c>
      <x:c r="V535">
        <x:f>0</x:f>
        <x:v>0</x:v>
      </x:c>
      <x:c r="W535">
        <x:f>0</x:f>
        <x:v>0</x:v>
      </x:c>
      <x:c r="X535">
        <x:f>36.812835</x:f>
        <x:v>36.812835</x:v>
      </x:c>
      <x:c r="Y535">
        <x:f>68.453247</x:f>
        <x:v>68.453247000000005</x:v>
      </x:c>
      <x:c r="Z535">
        <x:f>71.547946</x:f>
        <x:v>71.547945999999996</x:v>
      </x:c>
      <x:c r="AA535">
        <x:f>58.001727</x:f>
        <x:v>58.001727000000002</x:v>
      </x:c>
      <x:c r="AB535">
        <x:f>0</x:f>
        <x:v>0</x:v>
      </x:c>
      <x:c r="AC535">
        <x:f>71.877254</x:f>
        <x:v>71.877253999999994</x:v>
      </x:c>
      <x:c r="AD535">
        <x:f>17.792748</x:f>
        <x:v>17.792748</x:v>
      </x:c>
      <x:c r="AE535">
        <x:f>0</x:f>
        <x:v>0</x:v>
      </x:c>
      <x:c r="AF535">
        <x:f>0</x:f>
        <x:v>0</x:v>
      </x:c>
      <x:c r="AG535">
        <x:f>0</x:f>
        <x:v>0</x:v>
      </x:c>
    </x:row>
    <x:row r="536" spans="1:33" x14ac:dyDescent="0.25">
      <x:c r="A536" t="str">
        <x:f>"            MicroSectors FANG Index 2X Lev"</x:f>
        <x:v xml:space="preserve">            MicroSectors FANG Index 2X Lev</x:v>
      </x:c>
      <x:c r="B536" t="str">
        <x:f>"FNGO US Equity"</x:f>
        <x:v>FNGO US Equity</x:v>
      </x:c>
      <x:c r="E536" t="str">
        <x:f t="shared" si="18"/>
        <x:v>Expression</x:v>
      </x:c>
      <x:c r="F536">
        <x:f ca="1">IF(AND($B$1012=1,LEN($F$1534)&gt;0),$F$1534,HLOOKUP(INDIRECT(ADDRESS(2,COLUMN())),OFFSET($T$2,0,0,ROW()-1,14),ROW()-1,FALSE))</x:f>
        <x:v>0</x:v>
      </x:c>
      <x:c r="G536">
        <x:f ca="1">IF(AND($B$1012=1,LEN($G$1534)&gt;0),$G$1534,HLOOKUP(INDIRECT(ADDRESS(2,COLUMN())),OFFSET($T$2,0,0,ROW()-1,14),ROW()-1,FALSE))</x:f>
        <x:v>0</x:v>
      </x:c>
      <x:c r="H536">
        <x:f ca="1">IF(AND($B$1012=1,LEN($H$1534)&gt;0),$H$1534,HLOOKUP(INDIRECT(ADDRESS(2,COLUMN())),OFFSET($T$2,0,0,ROW()-1,14),ROW()-1,FALSE))</x:f>
        <x:v>0</x:v>
      </x:c>
      <x:c r="I536">
        <x:f ca="1">IF(AND($B$1012=1,LEN($I$1534)&gt;0),$I$1534,HLOOKUP(INDIRECT(ADDRESS(2,COLUMN())),OFFSET($T$2,0,0,ROW()-1,14),ROW()-1,FALSE))</x:f>
        <x:v>0</x:v>
      </x:c>
      <x:c r="J536">
        <x:f ca="1">IF(AND($B$1012=1,LEN($J$1534)&gt;0),$J$1534,HLOOKUP(INDIRECT(ADDRESS(2,COLUMN())),OFFSET($T$2,0,0,ROW()-1,14),ROW()-1,FALSE))</x:f>
        <x:v>0</x:v>
      </x:c>
      <x:c r="K536">
        <x:f ca="1">IF(AND($B$1012=1,LEN($K$1534)&gt;0),$K$1534,HLOOKUP(INDIRECT(ADDRESS(2,COLUMN())),OFFSET($T$2,0,0,ROW()-1,14),ROW()-1,FALSE))</x:f>
        <x:v>0</x:v>
      </x:c>
      <x:c r="L536">
        <x:f ca="1">IF(AND($B$1012=1,LEN($L$1534)&gt;0),$L$1534,HLOOKUP(INDIRECT(ADDRESS(2,COLUMN())),OFFSET($T$2,0,0,ROW()-1,14),ROW()-1,FALSE))</x:f>
        <x:v>0</x:v>
      </x:c>
      <x:c r="M536">
        <x:f ca="1">IF(AND($B$1012=1,LEN($M$1534)&gt;0),$M$1534,HLOOKUP(INDIRECT(ADDRESS(2,COLUMN())),OFFSET($T$2,0,0,ROW()-1,14),ROW()-1,FALSE))</x:f>
        <x:v>0</x:v>
      </x:c>
      <x:c r="N536">
        <x:f ca="1">IF(AND($B$1012=1,LEN($N$1534)&gt;0),$N$1534,HLOOKUP(INDIRECT(ADDRESS(2,COLUMN())),OFFSET($T$2,0,0,ROW()-1,14),ROW()-1,FALSE))</x:f>
        <x:v>0</x:v>
      </x:c>
      <x:c r="O536">
        <x:f ca="1">IF(AND($B$1012=1,LEN($O$1534)&gt;0),$O$1534,HLOOKUP(INDIRECT(ADDRESS(2,COLUMN())),OFFSET($T$2,0,0,ROW()-1,14),ROW()-1,FALSE))</x:f>
        <x:v>0</x:v>
      </x:c>
      <x:c r="P536">
        <x:f ca="1">IF(AND($B$1012=1,LEN($P$1534)&gt;0),$P$1534,HLOOKUP(INDIRECT(ADDRESS(2,COLUMN())),OFFSET($T$2,0,0,ROW()-1,14),ROW()-1,FALSE))</x:f>
        <x:v>0</x:v>
      </x:c>
      <x:c r="Q536">
        <x:f ca="1">IF(AND($B$1012=1,LEN($Q$1534)&gt;0),$Q$1534,HLOOKUP(INDIRECT(ADDRESS(2,COLUMN())),OFFSET($T$2,0,0,ROW()-1,14),ROW()-1,FALSE))</x:f>
        <x:v>0</x:v>
      </x:c>
      <x:c r="R536">
        <x:f ca="1">IF(AND($B$1012=1,LEN($R$1534)&gt;0),$R$1534,HLOOKUP(INDIRECT(ADDRESS(2,COLUMN())),OFFSET($T$2,0,0,ROW()-1,14),ROW()-1,FALSE))</x:f>
        <x:v>0</x:v>
      </x:c>
      <x:c r="S536">
        <x:f ca="1">IF(AND($B$1012=1,LEN($S$1534)&gt;0),$S$1534,HLOOKUP(INDIRECT(ADDRESS(2,COLUMN())),OFFSET($T$2,0,0,ROW()-1,14),ROW()-1,FALSE))</x:f>
        <x:v>0</x:v>
      </x:c>
      <x:c r="T536">
        <x:f>0</x:f>
        <x:v>0</x:v>
      </x:c>
      <x:c r="U536">
        <x:f>0</x:f>
        <x:v>0</x:v>
      </x:c>
      <x:c r="V536">
        <x:f>0</x:f>
        <x:v>0</x:v>
      </x:c>
      <x:c r="W536">
        <x:f>0</x:f>
        <x:v>0</x:v>
      </x:c>
      <x:c r="X536">
        <x:f>0</x:f>
        <x:v>0</x:v>
      </x:c>
      <x:c r="Y536">
        <x:f>0</x:f>
        <x:v>0</x:v>
      </x:c>
      <x:c r="Z536">
        <x:f>0</x:f>
        <x:v>0</x:v>
      </x:c>
      <x:c r="AA536">
        <x:f>0</x:f>
        <x:v>0</x:v>
      </x:c>
      <x:c r="AB536">
        <x:f>0</x:f>
        <x:v>0</x:v>
      </x:c>
      <x:c r="AC536">
        <x:f>0</x:f>
        <x:v>0</x:v>
      </x:c>
      <x:c r="AD536">
        <x:f>0</x:f>
        <x:v>0</x:v>
      </x:c>
      <x:c r="AE536">
        <x:f>0</x:f>
        <x:v>0</x:v>
      </x:c>
      <x:c r="AF536">
        <x:f>0</x:f>
        <x:v>0</x:v>
      </x:c>
      <x:c r="AG536">
        <x:f>0</x:f>
        <x:v>0</x:v>
      </x:c>
    </x:row>
    <x:row r="537" spans="1:33" x14ac:dyDescent="0.25">
      <x:c r="A537" t="str">
        <x:f>"            MicroSectors FANG Index 2X Inv"</x:f>
        <x:v xml:space="preserve">            MicroSectors FANG Index 2X Inv</x:v>
      </x:c>
      <x:c r="B537" t="str">
        <x:f>"FNGZ US Equity"</x:f>
        <x:v>FNGZ US Equity</x:v>
      </x:c>
      <x:c r="E537" t="str">
        <x:f t="shared" si="18"/>
        <x:v>Expression</x:v>
      </x:c>
      <x:c r="F537" t="str">
        <x:f ca="1">IF(AND($B$1012=1,LEN($F$1535)&gt;0),$F$1535,HLOOKUP(INDIRECT(ADDRESS(2,COLUMN())),OFFSET($T$2,0,0,ROW()-1,14),ROW()-1,FALSE))</x:f>
        <x:v/>
      </x:c>
      <x:c r="G537" t="str">
        <x:f ca="1">IF(AND($B$1012=1,LEN($G$1535)&gt;0),$G$1535,HLOOKUP(INDIRECT(ADDRESS(2,COLUMN())),OFFSET($T$2,0,0,ROW()-1,14),ROW()-1,FALSE))</x:f>
        <x:v/>
      </x:c>
      <x:c r="H537" t="str">
        <x:f ca="1">IF(AND($B$1012=1,LEN($H$1535)&gt;0),$H$1535,HLOOKUP(INDIRECT(ADDRESS(2,COLUMN())),OFFSET($T$2,0,0,ROW()-1,14),ROW()-1,FALSE))</x:f>
        <x:v/>
      </x:c>
      <x:c r="I537" t="str">
        <x:f ca="1">IF(AND($B$1012=1,LEN($I$1535)&gt;0),$I$1535,HLOOKUP(INDIRECT(ADDRESS(2,COLUMN())),OFFSET($T$2,0,0,ROW()-1,14),ROW()-1,FALSE))</x:f>
        <x:v/>
      </x:c>
      <x:c r="J537" t="str">
        <x:f ca="1">IF(AND($B$1012=1,LEN($J$1535)&gt;0),$J$1535,HLOOKUP(INDIRECT(ADDRESS(2,COLUMN())),OFFSET($T$2,0,0,ROW()-1,14),ROW()-1,FALSE))</x:f>
        <x:v/>
      </x:c>
      <x:c r="K537" t="str">
        <x:f ca="1">IF(AND($B$1012=1,LEN($K$1535)&gt;0),$K$1535,HLOOKUP(INDIRECT(ADDRESS(2,COLUMN())),OFFSET($T$2,0,0,ROW()-1,14),ROW()-1,FALSE))</x:f>
        <x:v/>
      </x:c>
      <x:c r="L537" t="str">
        <x:f ca="1">IF(AND($B$1012=1,LEN($L$1535)&gt;0),$L$1535,HLOOKUP(INDIRECT(ADDRESS(2,COLUMN())),OFFSET($T$2,0,0,ROW()-1,14),ROW()-1,FALSE))</x:f>
        <x:v/>
      </x:c>
      <x:c r="M537" t="str">
        <x:f ca="1">IF(AND($B$1012=1,LEN($M$1535)&gt;0),$M$1535,HLOOKUP(INDIRECT(ADDRESS(2,COLUMN())),OFFSET($T$2,0,0,ROW()-1,14),ROW()-1,FALSE))</x:f>
        <x:v/>
      </x:c>
      <x:c r="N537" t="str">
        <x:f ca="1">IF(AND($B$1012=1,LEN($N$1535)&gt;0),$N$1535,HLOOKUP(INDIRECT(ADDRESS(2,COLUMN())),OFFSET($T$2,0,0,ROW()-1,14),ROW()-1,FALSE))</x:f>
        <x:v/>
      </x:c>
      <x:c r="O537" t="str">
        <x:f ca="1">IF(AND($B$1012=1,LEN($O$1535)&gt;0),$O$1535,HLOOKUP(INDIRECT(ADDRESS(2,COLUMN())),OFFSET($T$2,0,0,ROW()-1,14),ROW()-1,FALSE))</x:f>
        <x:v/>
      </x:c>
      <x:c r="P537" t="str">
        <x:f ca="1">IF(AND($B$1012=1,LEN($P$1535)&gt;0),$P$1535,HLOOKUP(INDIRECT(ADDRESS(2,COLUMN())),OFFSET($T$2,0,0,ROW()-1,14),ROW()-1,FALSE))</x:f>
        <x:v/>
      </x:c>
      <x:c r="Q537" t="str">
        <x:f ca="1">IF(AND($B$1012=1,LEN($Q$1535)&gt;0),$Q$1535,HLOOKUP(INDIRECT(ADDRESS(2,COLUMN())),OFFSET($T$2,0,0,ROW()-1,14),ROW()-1,FALSE))</x:f>
        <x:v/>
      </x:c>
      <x:c r="R537" t="str">
        <x:f ca="1">IF(AND($B$1012=1,LEN($R$1535)&gt;0),$R$1535,HLOOKUP(INDIRECT(ADDRESS(2,COLUMN())),OFFSET($T$2,0,0,ROW()-1,14),ROW()-1,FALSE))</x:f>
        <x:v/>
      </x:c>
      <x:c r="S537" t="str">
        <x:f ca="1">IF(AND($B$1012=1,LEN($S$1535)&gt;0),$S$1535,HLOOKUP(INDIRECT(ADDRESS(2,COLUMN())),OFFSET($T$2,0,0,ROW()-1,14),ROW()-1,FALSE))</x:f>
        <x:v/>
      </x:c>
      <x:c r="T537" t="str">
        <x:f>""</x:f>
        <x:v/>
      </x:c>
      <x:c r="U537" t="str">
        <x:f>""</x:f>
        <x:v/>
      </x:c>
      <x:c r="V537" t="str">
        <x:f>""</x:f>
        <x:v/>
      </x:c>
      <x:c r="W537" t="str">
        <x:f>""</x:f>
        <x:v/>
      </x:c>
      <x:c r="X537" t="str">
        <x:f>""</x:f>
        <x:v/>
      </x:c>
      <x:c r="Y537" t="str">
        <x:f>""</x:f>
        <x:v/>
      </x:c>
      <x:c r="Z537" t="str">
        <x:f>""</x:f>
        <x:v/>
      </x:c>
      <x:c r="AA537" t="str">
        <x:f>""</x:f>
        <x:v/>
      </x:c>
      <x:c r="AB537" t="str">
        <x:f>""</x:f>
        <x:v/>
      </x:c>
      <x:c r="AC537" t="str">
        <x:f>""</x:f>
        <x:v/>
      </x:c>
      <x:c r="AD537" t="str">
        <x:f>""</x:f>
        <x:v/>
      </x:c>
      <x:c r="AE537" t="str">
        <x:f>""</x:f>
        <x:v/>
      </x:c>
      <x:c r="AF537" t="str">
        <x:f>""</x:f>
        <x:v/>
      </x:c>
      <x:c r="AG537" t="str">
        <x:f>""</x:f>
        <x:v/>
      </x:c>
    </x:row>
    <x:row r="538" spans="1:33" x14ac:dyDescent="0.25">
      <x:c r="A538" t="str">
        <x:f>"            MicroSectors FANG Index Invers"</x:f>
        <x:v xml:space="preserve">            MicroSectors FANG Index Invers</x:v>
      </x:c>
      <x:c r="B538" t="str">
        <x:f>"GNAF US Equity"</x:f>
        <x:v>GNAF US Equity</x:v>
      </x:c>
      <x:c r="E538" t="str">
        <x:f t="shared" si="18"/>
        <x:v>Expression</x:v>
      </x:c>
      <x:c r="F538" t="str">
        <x:f ca="1">IF(AND($B$1012=1,LEN($F$1536)&gt;0),$F$1536,HLOOKUP(INDIRECT(ADDRESS(2,COLUMN())),OFFSET($T$2,0,0,ROW()-1,14),ROW()-1,FALSE))</x:f>
        <x:v/>
      </x:c>
      <x:c r="G538" t="str">
        <x:f ca="1">IF(AND($B$1012=1,LEN($G$1536)&gt;0),$G$1536,HLOOKUP(INDIRECT(ADDRESS(2,COLUMN())),OFFSET($T$2,0,0,ROW()-1,14),ROW()-1,FALSE))</x:f>
        <x:v/>
      </x:c>
      <x:c r="H538" t="str">
        <x:f ca="1">IF(AND($B$1012=1,LEN($H$1536)&gt;0),$H$1536,HLOOKUP(INDIRECT(ADDRESS(2,COLUMN())),OFFSET($T$2,0,0,ROW()-1,14),ROW()-1,FALSE))</x:f>
        <x:v/>
      </x:c>
      <x:c r="I538" t="str">
        <x:f ca="1">IF(AND($B$1012=1,LEN($I$1536)&gt;0),$I$1536,HLOOKUP(INDIRECT(ADDRESS(2,COLUMN())),OFFSET($T$2,0,0,ROW()-1,14),ROW()-1,FALSE))</x:f>
        <x:v/>
      </x:c>
      <x:c r="J538" t="str">
        <x:f ca="1">IF(AND($B$1012=1,LEN($J$1536)&gt;0),$J$1536,HLOOKUP(INDIRECT(ADDRESS(2,COLUMN())),OFFSET($T$2,0,0,ROW()-1,14),ROW()-1,FALSE))</x:f>
        <x:v/>
      </x:c>
      <x:c r="K538" t="str">
        <x:f ca="1">IF(AND($B$1012=1,LEN($K$1536)&gt;0),$K$1536,HLOOKUP(INDIRECT(ADDRESS(2,COLUMN())),OFFSET($T$2,0,0,ROW()-1,14),ROW()-1,FALSE))</x:f>
        <x:v/>
      </x:c>
      <x:c r="L538" t="str">
        <x:f ca="1">IF(AND($B$1012=1,LEN($L$1536)&gt;0),$L$1536,HLOOKUP(INDIRECT(ADDRESS(2,COLUMN())),OFFSET($T$2,0,0,ROW()-1,14),ROW()-1,FALSE))</x:f>
        <x:v/>
      </x:c>
      <x:c r="M538" t="str">
        <x:f ca="1">IF(AND($B$1012=1,LEN($M$1536)&gt;0),$M$1536,HLOOKUP(INDIRECT(ADDRESS(2,COLUMN())),OFFSET($T$2,0,0,ROW()-1,14),ROW()-1,FALSE))</x:f>
        <x:v/>
      </x:c>
      <x:c r="N538" t="str">
        <x:f ca="1">IF(AND($B$1012=1,LEN($N$1536)&gt;0),$N$1536,HLOOKUP(INDIRECT(ADDRESS(2,COLUMN())),OFFSET($T$2,0,0,ROW()-1,14),ROW()-1,FALSE))</x:f>
        <x:v/>
      </x:c>
      <x:c r="O538" t="str">
        <x:f ca="1">IF(AND($B$1012=1,LEN($O$1536)&gt;0),$O$1536,HLOOKUP(INDIRECT(ADDRESS(2,COLUMN())),OFFSET($T$2,0,0,ROW()-1,14),ROW()-1,FALSE))</x:f>
        <x:v/>
      </x:c>
      <x:c r="P538" t="str">
        <x:f ca="1">IF(AND($B$1012=1,LEN($P$1536)&gt;0),$P$1536,HLOOKUP(INDIRECT(ADDRESS(2,COLUMN())),OFFSET($T$2,0,0,ROW()-1,14),ROW()-1,FALSE))</x:f>
        <x:v/>
      </x:c>
      <x:c r="Q538" t="str">
        <x:f ca="1">IF(AND($B$1012=1,LEN($Q$1536)&gt;0),$Q$1536,HLOOKUP(INDIRECT(ADDRESS(2,COLUMN())),OFFSET($T$2,0,0,ROW()-1,14),ROW()-1,FALSE))</x:f>
        <x:v/>
      </x:c>
      <x:c r="R538" t="str">
        <x:f ca="1">IF(AND($B$1012=1,LEN($R$1536)&gt;0),$R$1536,HLOOKUP(INDIRECT(ADDRESS(2,COLUMN())),OFFSET($T$2,0,0,ROW()-1,14),ROW()-1,FALSE))</x:f>
        <x:v/>
      </x:c>
      <x:c r="S538" t="str">
        <x:f ca="1">IF(AND($B$1012=1,LEN($S$1536)&gt;0),$S$1536,HLOOKUP(INDIRECT(ADDRESS(2,COLUMN())),OFFSET($T$2,0,0,ROW()-1,14),ROW()-1,FALSE))</x:f>
        <x:v/>
      </x:c>
      <x:c r="T538" t="str">
        <x:f>""</x:f>
        <x:v/>
      </x:c>
      <x:c r="U538" t="str">
        <x:f>""</x:f>
        <x:v/>
      </x:c>
      <x:c r="V538" t="str">
        <x:f>""</x:f>
        <x:v/>
      </x:c>
      <x:c r="W538" t="str">
        <x:f>""</x:f>
        <x:v/>
      </x:c>
      <x:c r="X538" t="str">
        <x:f>""</x:f>
        <x:v/>
      </x:c>
      <x:c r="Y538" t="str">
        <x:f>""</x:f>
        <x:v/>
      </x:c>
      <x:c r="Z538" t="str">
        <x:f>""</x:f>
        <x:v/>
      </x:c>
      <x:c r="AA538" t="str">
        <x:f>""</x:f>
        <x:v/>
      </x:c>
      <x:c r="AB538" t="str">
        <x:f>""</x:f>
        <x:v/>
      </x:c>
      <x:c r="AC538" t="str">
        <x:f>""</x:f>
        <x:v/>
      </x:c>
      <x:c r="AD538" t="str">
        <x:f>""</x:f>
        <x:v/>
      </x:c>
      <x:c r="AE538" t="str">
        <x:f>""</x:f>
        <x:v/>
      </x:c>
      <x:c r="AF538" t="str">
        <x:f>""</x:f>
        <x:v/>
      </x:c>
      <x:c r="AG538" t="str">
        <x:f>""</x:f>
        <x:v/>
      </x:c>
    </x:row>
    <x:row r="539" spans="1:33" x14ac:dyDescent="0.25">
      <x:c r="A539" t="str">
        <x:f>"            ProShares S&amp;P Technology Divid"</x:f>
        <x:v xml:space="preserve">            ProShares S&amp;P Technology Divid</x:v>
      </x:c>
      <x:c r="B539" t="str">
        <x:f>"TDV US Equity"</x:f>
        <x:v>TDV US Equity</x:v>
      </x:c>
      <x:c r="E539" t="str">
        <x:f t="shared" si="18"/>
        <x:v>Expression</x:v>
      </x:c>
      <x:c r="F539">
        <x:f ca="1">IF(AND($B$1012=1,LEN($F$1537)&gt;0),$F$1537,HLOOKUP(INDIRECT(ADDRESS(2,COLUMN())),OFFSET($T$2,0,0,ROW()-1,14),ROW()-1,FALSE))</x:f>
        <x:v>3.7261299999999999</x:v>
      </x:c>
      <x:c r="G539">
        <x:f ca="1">IF(AND($B$1012=1,LEN($G$1537)&gt;0),$G$1537,HLOOKUP(INDIRECT(ADDRESS(2,COLUMN())),OFFSET($T$2,0,0,ROW()-1,14),ROW()-1,FALSE))</x:f>
        <x:v>7.4143100000000004</x:v>
      </x:c>
      <x:c r="H539">
        <x:f ca="1">IF(AND($B$1012=1,LEN($H$1537)&gt;0),$H$1537,HLOOKUP(INDIRECT(ADDRESS(2,COLUMN())),OFFSET($T$2,0,0,ROW()-1,14),ROW()-1,FALSE))</x:f>
        <x:v>2.5844550000000002</x:v>
      </x:c>
      <x:c r="I539">
        <x:f ca="1">IF(AND($B$1012=1,LEN($I$1537)&gt;0),$I$1537,HLOOKUP(INDIRECT(ADDRESS(2,COLUMN())),OFFSET($T$2,0,0,ROW()-1,14),ROW()-1,FALSE))</x:f>
        <x:v>14.437315999999999</x:v>
      </x:c>
      <x:c r="J539">
        <x:f ca="1">IF(AND($B$1012=1,LEN($J$1537)&gt;0),$J$1537,HLOOKUP(INDIRECT(ADDRESS(2,COLUMN())),OFFSET($T$2,0,0,ROW()-1,14),ROW()-1,FALSE))</x:f>
        <x:v>12.095122</x:v>
      </x:c>
      <x:c r="K539">
        <x:f ca="1">IF(AND($B$1012=1,LEN($K$1537)&gt;0),$K$1537,HLOOKUP(INDIRECT(ADDRESS(2,COLUMN())),OFFSET($T$2,0,0,ROW()-1,14),ROW()-1,FALSE))</x:f>
        <x:v>2.6740430000000002</x:v>
      </x:c>
      <x:c r="L539">
        <x:f ca="1">IF(AND($B$1012=1,LEN($L$1537)&gt;0),$L$1537,HLOOKUP(INDIRECT(ADDRESS(2,COLUMN())),OFFSET($T$2,0,0,ROW()-1,14),ROW()-1,FALSE))</x:f>
        <x:v>16.36768</x:v>
      </x:c>
      <x:c r="M539">
        <x:f ca="1">IF(AND($B$1012=1,LEN($M$1537)&gt;0),$M$1537,HLOOKUP(INDIRECT(ADDRESS(2,COLUMN())),OFFSET($T$2,0,0,ROW()-1,14),ROW()-1,FALSE))</x:f>
        <x:v>16.186178000000002</x:v>
      </x:c>
      <x:c r="N539">
        <x:f ca="1">IF(AND($B$1012=1,LEN($N$1537)&gt;0),$N$1537,HLOOKUP(INDIRECT(ADDRESS(2,COLUMN())),OFFSET($T$2,0,0,ROW()-1,14),ROW()-1,FALSE))</x:f>
        <x:v>7.5765849999999997</x:v>
      </x:c>
      <x:c r="O539">
        <x:f ca="1">IF(AND($B$1012=1,LEN($O$1537)&gt;0),$O$1537,HLOOKUP(INDIRECT(ADDRESS(2,COLUMN())),OFFSET($T$2,0,0,ROW()-1,14),ROW()-1,FALSE))</x:f>
        <x:v>6.5948440000000002</x:v>
      </x:c>
      <x:c r="P539">
        <x:f ca="1">IF(AND($B$1012=1,LEN($P$1537)&gt;0),$P$1537,HLOOKUP(INDIRECT(ADDRESS(2,COLUMN())),OFFSET($T$2,0,0,ROW()-1,14),ROW()-1,FALSE))</x:f>
        <x:v>2.335753</x:v>
      </x:c>
      <x:c r="Q539">
        <x:f ca="1">IF(AND($B$1012=1,LEN($Q$1537)&gt;0),$Q$1537,HLOOKUP(INDIRECT(ADDRESS(2,COLUMN())),OFFSET($T$2,0,0,ROW()-1,14),ROW()-1,FALSE))</x:f>
        <x:v>-5.9512289999999997</x:v>
      </x:c>
      <x:c r="R539">
        <x:f ca="1">IF(AND($B$1012=1,LEN($R$1537)&gt;0),$R$1537,HLOOKUP(INDIRECT(ADDRESS(2,COLUMN())),OFFSET($T$2,0,0,ROW()-1,14),ROW()-1,FALSE))</x:f>
        <x:v>2.2673179999999999</x:v>
      </x:c>
      <x:c r="S539">
        <x:f ca="1">IF(AND($B$1012=1,LEN($S$1537)&gt;0),$S$1537,HLOOKUP(INDIRECT(ADDRESS(2,COLUMN())),OFFSET($T$2,0,0,ROW()-1,14),ROW()-1,FALSE))</x:f>
        <x:v>4.6841080000000002</x:v>
      </x:c>
      <x:c r="T539">
        <x:f>3.72613</x:f>
        <x:v>3.7261299999999999</x:v>
      </x:c>
      <x:c r="U539">
        <x:f>7.41431</x:f>
        <x:v>7.4143100000000004</x:v>
      </x:c>
      <x:c r="V539">
        <x:f>2.584455</x:f>
        <x:v>2.5844550000000002</x:v>
      </x:c>
      <x:c r="W539">
        <x:f>14.437316</x:f>
        <x:v>14.437315999999999</x:v>
      </x:c>
      <x:c r="X539">
        <x:f>12.095122</x:f>
        <x:v>12.095122</x:v>
      </x:c>
      <x:c r="Y539">
        <x:f>2.674043</x:f>
        <x:v>2.6740430000000002</x:v>
      </x:c>
      <x:c r="Z539">
        <x:f>16.36768</x:f>
        <x:v>16.36768</x:v>
      </x:c>
      <x:c r="AA539">
        <x:f>16.186178</x:f>
        <x:v>16.186178000000002</x:v>
      </x:c>
      <x:c r="AB539">
        <x:f>7.576585</x:f>
        <x:v>7.5765849999999997</x:v>
      </x:c>
      <x:c r="AC539">
        <x:f>6.594844</x:f>
        <x:v>6.5948440000000002</x:v>
      </x:c>
      <x:c r="AD539">
        <x:f>2.335753</x:f>
        <x:v>2.335753</x:v>
      </x:c>
      <x:c r="AE539">
        <x:f>-5.951229</x:f>
        <x:v>-5.9512289999999997</x:v>
      </x:c>
      <x:c r="AF539">
        <x:f>2.267318</x:f>
        <x:v>2.2673179999999999</x:v>
      </x:c>
      <x:c r="AG539">
        <x:f>4.684108</x:f>
        <x:v>4.6841080000000002</x:v>
      </x:c>
    </x:row>
    <x:row r="540" spans="1:33" x14ac:dyDescent="0.25">
      <x:c r="A540" t="str">
        <x:f>"            WisdomTree Growth Leaders Fund"</x:f>
        <x:v xml:space="preserve">            WisdomTree Growth Leaders Fund</x:v>
      </x:c>
      <x:c r="B540" t="str">
        <x:f>"PLAT US Equity"</x:f>
        <x:v>PLAT US Equity</x:v>
      </x:c>
      <x:c r="E540" t="str">
        <x:f t="shared" si="18"/>
        <x:v>Expression</x:v>
      </x:c>
      <x:c r="F540" t="str">
        <x:f ca="1">IF(AND($B$1012=1,LEN($F$1538)&gt;0),$F$1538,HLOOKUP(INDIRECT(ADDRESS(2,COLUMN())),OFFSET($T$2,0,0,ROW()-1,14),ROW()-1,FALSE))</x:f>
        <x:v/>
      </x:c>
      <x:c r="G540">
        <x:f ca="1">IF(AND($B$1012=1,LEN($G$1538)&gt;0),$G$1538,HLOOKUP(INDIRECT(ADDRESS(2,COLUMN())),OFFSET($T$2,0,0,ROW()-1,14),ROW()-1,FALSE))</x:f>
        <x:v>-2.1903009999999998</x:v>
      </x:c>
      <x:c r="H540">
        <x:f ca="1">IF(AND($B$1012=1,LEN($H$1538)&gt;0),$H$1538,HLOOKUP(INDIRECT(ADDRESS(2,COLUMN())),OFFSET($T$2,0,0,ROW()-1,14),ROW()-1,FALSE))</x:f>
        <x:v>-1.3223910000000001</x:v>
      </x:c>
      <x:c r="I540">
        <x:f ca="1">IF(AND($B$1012=1,LEN($I$1538)&gt;0),$I$1538,HLOOKUP(INDIRECT(ADDRESS(2,COLUMN())),OFFSET($T$2,0,0,ROW()-1,14),ROW()-1,FALSE))</x:f>
        <x:v>0</x:v>
      </x:c>
      <x:c r="J540">
        <x:f ca="1">IF(AND($B$1012=1,LEN($J$1538)&gt;0),$J$1538,HLOOKUP(INDIRECT(ADDRESS(2,COLUMN())),OFFSET($T$2,0,0,ROW()-1,14),ROW()-1,FALSE))</x:f>
        <x:v>0</x:v>
      </x:c>
      <x:c r="K540">
        <x:f ca="1">IF(AND($B$1012=1,LEN($K$1538)&gt;0),$K$1538,HLOOKUP(INDIRECT(ADDRESS(2,COLUMN())),OFFSET($T$2,0,0,ROW()-1,14),ROW()-1,FALSE))</x:f>
        <x:v>0</x:v>
      </x:c>
      <x:c r="L540">
        <x:f ca="1">IF(AND($B$1012=1,LEN($L$1538)&gt;0),$L$1538,HLOOKUP(INDIRECT(ADDRESS(2,COLUMN())),OFFSET($T$2,0,0,ROW()-1,14),ROW()-1,FALSE))</x:f>
        <x:v>0</x:v>
      </x:c>
      <x:c r="M540">
        <x:f ca="1">IF(AND($B$1012=1,LEN($M$1538)&gt;0),$M$1538,HLOOKUP(INDIRECT(ADDRESS(2,COLUMN())),OFFSET($T$2,0,0,ROW()-1,14),ROW()-1,FALSE))</x:f>
        <x:v>0</x:v>
      </x:c>
      <x:c r="N540">
        <x:f ca="1">IF(AND($B$1012=1,LEN($N$1538)&gt;0),$N$1538,HLOOKUP(INDIRECT(ADDRESS(2,COLUMN())),OFFSET($T$2,0,0,ROW()-1,14),ROW()-1,FALSE))</x:f>
        <x:v>0</x:v>
      </x:c>
      <x:c r="O540">
        <x:f ca="1">IF(AND($B$1012=1,LEN($O$1538)&gt;0),$O$1538,HLOOKUP(INDIRECT(ADDRESS(2,COLUMN())),OFFSET($T$2,0,0,ROW()-1,14),ROW()-1,FALSE))</x:f>
        <x:v>0.81361600000000001</x:v>
      </x:c>
      <x:c r="P540">
        <x:f ca="1">IF(AND($B$1012=1,LEN($P$1538)&gt;0),$P$1538,HLOOKUP(INDIRECT(ADDRESS(2,COLUMN())),OFFSET($T$2,0,0,ROW()-1,14),ROW()-1,FALSE))</x:f>
        <x:v>0</x:v>
      </x:c>
      <x:c r="Q540">
        <x:f ca="1">IF(AND($B$1012=1,LEN($Q$1538)&gt;0),$Q$1538,HLOOKUP(INDIRECT(ADDRESS(2,COLUMN())),OFFSET($T$2,0,0,ROW()-1,14),ROW()-1,FALSE))</x:f>
        <x:v>-0.98200200000000004</x:v>
      </x:c>
      <x:c r="R540">
        <x:f ca="1">IF(AND($B$1012=1,LEN($R$1538)&gt;0),$R$1538,HLOOKUP(INDIRECT(ADDRESS(2,COLUMN())),OFFSET($T$2,0,0,ROW()-1,14),ROW()-1,FALSE))</x:f>
        <x:v>0</x:v>
      </x:c>
      <x:c r="S540">
        <x:f ca="1">IF(AND($B$1012=1,LEN($S$1538)&gt;0),$S$1538,HLOOKUP(INDIRECT(ADDRESS(2,COLUMN())),OFFSET($T$2,0,0,ROW()-1,14),ROW()-1,FALSE))</x:f>
        <x:v>0</x:v>
      </x:c>
      <x:c r="T540" t="str">
        <x:f>""</x:f>
        <x:v/>
      </x:c>
      <x:c r="U540">
        <x:f>-2.190301</x:f>
        <x:v>-2.1903009999999998</x:v>
      </x:c>
      <x:c r="V540">
        <x:f>-1.322391</x:f>
        <x:v>-1.3223910000000001</x:v>
      </x:c>
      <x:c r="W540">
        <x:f>0</x:f>
        <x:v>0</x:v>
      </x:c>
      <x:c r="X540">
        <x:f>0</x:f>
        <x:v>0</x:v>
      </x:c>
      <x:c r="Y540">
        <x:f>0</x:f>
        <x:v>0</x:v>
      </x:c>
      <x:c r="Z540">
        <x:f>0</x:f>
        <x:v>0</x:v>
      </x:c>
      <x:c r="AA540">
        <x:f>0</x:f>
        <x:v>0</x:v>
      </x:c>
      <x:c r="AB540">
        <x:f>0</x:f>
        <x:v>0</x:v>
      </x:c>
      <x:c r="AC540">
        <x:f>0.813616</x:f>
        <x:v>0.81361600000000001</x:v>
      </x:c>
      <x:c r="AD540">
        <x:f>0</x:f>
        <x:v>0</x:v>
      </x:c>
      <x:c r="AE540">
        <x:f>-0.982002</x:f>
        <x:v>-0.98200200000000004</x:v>
      </x:c>
      <x:c r="AF540">
        <x:f>0</x:f>
        <x:v>0</x:v>
      </x:c>
      <x:c r="AG540">
        <x:f>0</x:f>
        <x:v>0</x:v>
      </x:c>
    </x:row>
    <x:row r="541" spans="1:33" x14ac:dyDescent="0.25">
      <x:c r="A541" t="str">
        <x:f>"            iShares US Tech Breakthrough M"</x:f>
        <x:v xml:space="preserve">            iShares US Tech Breakthrough M</x:v>
      </x:c>
      <x:c r="B541" t="str">
        <x:f>"TECB US Equity"</x:f>
        <x:v>TECB US Equity</x:v>
      </x:c>
      <x:c r="E541" t="str">
        <x:f t="shared" si="18"/>
        <x:v>Expression</x:v>
      </x:c>
      <x:c r="F541">
        <x:f ca="1">IF(AND($B$1012=1,LEN($F$1606)&gt;0),$F$1606,HLOOKUP(INDIRECT(ADDRESS(2,COLUMN())),OFFSET($T$2,0,0,ROW()-1,14),ROW()-1,FALSE))</x:f>
        <x:v>-9.0779870000000003</x:v>
      </x:c>
      <x:c r="G541">
        <x:f ca="1">IF(AND($B$1012=1,LEN($G$1606)&gt;0),$G$1606,HLOOKUP(INDIRECT(ADDRESS(2,COLUMN())),OFFSET($T$2,0,0,ROW()-1,14),ROW()-1,FALSE))</x:f>
        <x:v>-3.6692779999999998</x:v>
      </x:c>
      <x:c r="H541">
        <x:f ca="1">IF(AND($B$1012=1,LEN($H$1606)&gt;0),$H$1606,HLOOKUP(INDIRECT(ADDRESS(2,COLUMN())),OFFSET($T$2,0,0,ROW()-1,14),ROW()-1,FALSE))</x:f>
        <x:v>0</x:v>
      </x:c>
      <x:c r="I541">
        <x:f ca="1">IF(AND($B$1012=1,LEN($I$1606)&gt;0),$I$1606,HLOOKUP(INDIRECT(ADDRESS(2,COLUMN())),OFFSET($T$2,0,0,ROW()-1,14),ROW()-1,FALSE))</x:f>
        <x:v>1.886865</x:v>
      </x:c>
      <x:c r="J541">
        <x:f ca="1">IF(AND($B$1012=1,LEN($J$1606)&gt;0),$J$1606,HLOOKUP(INDIRECT(ADDRESS(2,COLUMN())),OFFSET($T$2,0,0,ROW()-1,14),ROW()-1,FALSE))</x:f>
        <x:v>-90.692570000000003</x:v>
      </x:c>
      <x:c r="K541">
        <x:f ca="1">IF(AND($B$1012=1,LEN($K$1606)&gt;0),$K$1606,HLOOKUP(INDIRECT(ADDRESS(2,COLUMN())),OFFSET($T$2,0,0,ROW()-1,14),ROW()-1,FALSE))</x:f>
        <x:v>5.3154450000000004</x:v>
      </x:c>
      <x:c r="L541">
        <x:f ca="1">IF(AND($B$1012=1,LEN($L$1606)&gt;0),$L$1606,HLOOKUP(INDIRECT(ADDRESS(2,COLUMN())),OFFSET($T$2,0,0,ROW()-1,14),ROW()-1,FALSE))</x:f>
        <x:v>-20.38607</x:v>
      </x:c>
      <x:c r="M541">
        <x:f ca="1">IF(AND($B$1012=1,LEN($M$1606)&gt;0),$M$1606,HLOOKUP(INDIRECT(ADDRESS(2,COLUMN())),OFFSET($T$2,0,0,ROW()-1,14),ROW()-1,FALSE))</x:f>
        <x:v>0</x:v>
      </x:c>
      <x:c r="N541">
        <x:f ca="1">IF(AND($B$1012=1,LEN($N$1606)&gt;0),$N$1606,HLOOKUP(INDIRECT(ADDRESS(2,COLUMN())),OFFSET($T$2,0,0,ROW()-1,14),ROW()-1,FALSE))</x:f>
        <x:v>-4.7341850000000001</x:v>
      </x:c>
      <x:c r="O541">
        <x:f ca="1">IF(AND($B$1012=1,LEN($O$1606)&gt;0),$O$1606,HLOOKUP(INDIRECT(ADDRESS(2,COLUMN())),OFFSET($T$2,0,0,ROW()-1,14),ROW()-1,FALSE))</x:f>
        <x:v>0</x:v>
      </x:c>
      <x:c r="P541">
        <x:f ca="1">IF(AND($B$1012=1,LEN($P$1606)&gt;0),$P$1606,HLOOKUP(INDIRECT(ADDRESS(2,COLUMN())),OFFSET($T$2,0,0,ROW()-1,14),ROW()-1,FALSE))</x:f>
        <x:v>-1.51258</x:v>
      </x:c>
      <x:c r="Q541">
        <x:f ca="1">IF(AND($B$1012=1,LEN($Q$1606)&gt;0),$Q$1606,HLOOKUP(INDIRECT(ADDRESS(2,COLUMN())),OFFSET($T$2,0,0,ROW()-1,14),ROW()-1,FALSE))</x:f>
        <x:v>-1.4620599999999999</x:v>
      </x:c>
      <x:c r="R541">
        <x:f ca="1">IF(AND($B$1012=1,LEN($R$1606)&gt;0),$R$1606,HLOOKUP(INDIRECT(ADDRESS(2,COLUMN())),OFFSET($T$2,0,0,ROW()-1,14),ROW()-1,FALSE))</x:f>
        <x:v>0</x:v>
      </x:c>
      <x:c r="S541">
        <x:f ca="1">IF(AND($B$1012=1,LEN($S$1606)&gt;0),$S$1606,HLOOKUP(INDIRECT(ADDRESS(2,COLUMN())),OFFSET($T$2,0,0,ROW()-1,14),ROW()-1,FALSE))</x:f>
        <x:v>-2.6249600000000002</x:v>
      </x:c>
      <x:c r="T541">
        <x:f>-9.077987</x:f>
        <x:v>-9.0779870000000003</x:v>
      </x:c>
      <x:c r="U541">
        <x:f>-3.669278</x:f>
        <x:v>-3.6692779999999998</x:v>
      </x:c>
      <x:c r="V541">
        <x:f>0</x:f>
        <x:v>0</x:v>
      </x:c>
      <x:c r="W541">
        <x:f>1.886865</x:f>
        <x:v>1.886865</x:v>
      </x:c>
      <x:c r="X541">
        <x:f>-90.69257</x:f>
        <x:v>-90.692570000000003</x:v>
      </x:c>
      <x:c r="Y541">
        <x:f>5.315445</x:f>
        <x:v>5.3154450000000004</x:v>
      </x:c>
      <x:c r="Z541">
        <x:f>-20.38607</x:f>
        <x:v>-20.38607</x:v>
      </x:c>
      <x:c r="AA541">
        <x:f>0</x:f>
        <x:v>0</x:v>
      </x:c>
      <x:c r="AB541">
        <x:f>-4.734185</x:f>
        <x:v>-4.7341850000000001</x:v>
      </x:c>
      <x:c r="AC541">
        <x:f>0</x:f>
        <x:v>0</x:v>
      </x:c>
      <x:c r="AD541">
        <x:f>-1.51258</x:f>
        <x:v>-1.51258</x:v>
      </x:c>
      <x:c r="AE541">
        <x:f>-1.46206</x:f>
        <x:v>-1.4620599999999999</x:v>
      </x:c>
      <x:c r="AF541">
        <x:f>0</x:f>
        <x:v>0</x:v>
      </x:c>
      <x:c r="AG541">
        <x:f>-2.62496</x:f>
        <x:v>-2.6249600000000002</x:v>
      </x:c>
    </x:row>
    <x:row r="542" spans="1:33" x14ac:dyDescent="0.25">
      <x:c r="A542" t="str">
        <x:f>"            MicroSectors FANG+ ETNs"</x:f>
        <x:v xml:space="preserve">            MicroSectors FANG+ ETNs</x:v>
      </x:c>
      <x:c r="B542" t="str">
        <x:f>"FNGS US Equity"</x:f>
        <x:v>FNGS US Equity</x:v>
      </x:c>
      <x:c r="E542" t="str">
        <x:f t="shared" si="18"/>
        <x:v>Expression</x:v>
      </x:c>
      <x:c r="F542">
        <x:f ca="1">IF(AND($B$1012=1,LEN($F$1544)&gt;0),$F$1544,HLOOKUP(INDIRECT(ADDRESS(2,COLUMN())),OFFSET($T$2,0,0,ROW()-1,14),ROW()-1,FALSE))</x:f>
        <x:v>17.714295</x:v>
      </x:c>
      <x:c r="G542">
        <x:f ca="1">IF(AND($B$1012=1,LEN($G$1544)&gt;0),$G$1544,HLOOKUP(INDIRECT(ADDRESS(2,COLUMN())),OFFSET($T$2,0,0,ROW()-1,14),ROW()-1,FALSE))</x:f>
        <x:v>0</x:v>
      </x:c>
      <x:c r="H542">
        <x:f ca="1">IF(AND($B$1012=1,LEN($H$1544)&gt;0),$H$1544,HLOOKUP(INDIRECT(ADDRESS(2,COLUMN())),OFFSET($T$2,0,0,ROW()-1,14),ROW()-1,FALSE))</x:f>
        <x:v>0</x:v>
      </x:c>
      <x:c r="I542">
        <x:f ca="1">IF(AND($B$1012=1,LEN($I$1544)&gt;0),$I$1544,HLOOKUP(INDIRECT(ADDRESS(2,COLUMN())),OFFSET($T$2,0,0,ROW()-1,14),ROW()-1,FALSE))</x:f>
        <x:v>0</x:v>
      </x:c>
      <x:c r="J542">
        <x:f ca="1">IF(AND($B$1012=1,LEN($J$1544)&gt;0),$J$1544,HLOOKUP(INDIRECT(ADDRESS(2,COLUMN())),OFFSET($T$2,0,0,ROW()-1,14),ROW()-1,FALSE))</x:f>
        <x:v>0</x:v>
      </x:c>
      <x:c r="K542">
        <x:f ca="1">IF(AND($B$1012=1,LEN($K$1544)&gt;0),$K$1544,HLOOKUP(INDIRECT(ADDRESS(2,COLUMN())),OFFSET($T$2,0,0,ROW()-1,14),ROW()-1,FALSE))</x:f>
        <x:v>52.669012000000002</x:v>
      </x:c>
      <x:c r="L542">
        <x:f ca="1">IF(AND($B$1012=1,LEN($L$1544)&gt;0),$L$1544,HLOOKUP(INDIRECT(ADDRESS(2,COLUMN())),OFFSET($T$2,0,0,ROW()-1,14),ROW()-1,FALSE))</x:f>
        <x:v>0</x:v>
      </x:c>
      <x:c r="M542">
        <x:f ca="1">IF(AND($B$1012=1,LEN($M$1544)&gt;0),$M$1544,HLOOKUP(INDIRECT(ADDRESS(2,COLUMN())),OFFSET($T$2,0,0,ROW()-1,14),ROW()-1,FALSE))</x:f>
        <x:v>0</x:v>
      </x:c>
      <x:c r="N542">
        <x:f ca="1">IF(AND($B$1012=1,LEN($N$1544)&gt;0),$N$1544,HLOOKUP(INDIRECT(ADDRESS(2,COLUMN())),OFFSET($T$2,0,0,ROW()-1,14),ROW()-1,FALSE))</x:f>
        <x:v>0</x:v>
      </x:c>
      <x:c r="O542">
        <x:f ca="1">IF(AND($B$1012=1,LEN($O$1544)&gt;0),$O$1544,HLOOKUP(INDIRECT(ADDRESS(2,COLUMN())),OFFSET($T$2,0,0,ROW()-1,14),ROW()-1,FALSE))</x:f>
        <x:v>0</x:v>
      </x:c>
      <x:c r="P542">
        <x:f ca="1">IF(AND($B$1012=1,LEN($P$1544)&gt;0),$P$1544,HLOOKUP(INDIRECT(ADDRESS(2,COLUMN())),OFFSET($T$2,0,0,ROW()-1,14),ROW()-1,FALSE))</x:f>
        <x:v>0</x:v>
      </x:c>
      <x:c r="Q542">
        <x:f ca="1">IF(AND($B$1012=1,LEN($Q$1544)&gt;0),$Q$1544,HLOOKUP(INDIRECT(ADDRESS(2,COLUMN())),OFFSET($T$2,0,0,ROW()-1,14),ROW()-1,FALSE))</x:f>
        <x:v>0</x:v>
      </x:c>
      <x:c r="R542">
        <x:f ca="1">IF(AND($B$1012=1,LEN($R$1544)&gt;0),$R$1544,HLOOKUP(INDIRECT(ADDRESS(2,COLUMN())),OFFSET($T$2,0,0,ROW()-1,14),ROW()-1,FALSE))</x:f>
        <x:v>0</x:v>
      </x:c>
      <x:c r="S542">
        <x:f ca="1">IF(AND($B$1012=1,LEN($S$1544)&gt;0),$S$1544,HLOOKUP(INDIRECT(ADDRESS(2,COLUMN())),OFFSET($T$2,0,0,ROW()-1,14),ROW()-1,FALSE))</x:f>
        <x:v>0</x:v>
      </x:c>
      <x:c r="T542">
        <x:f>17.714295</x:f>
        <x:v>17.714295</x:v>
      </x:c>
      <x:c r="U542">
        <x:f>0</x:f>
        <x:v>0</x:v>
      </x:c>
      <x:c r="V542">
        <x:f>0</x:f>
        <x:v>0</x:v>
      </x:c>
      <x:c r="W542">
        <x:f>0</x:f>
        <x:v>0</x:v>
      </x:c>
      <x:c r="X542">
        <x:f>0</x:f>
        <x:v>0</x:v>
      </x:c>
      <x:c r="Y542">
        <x:f>52.669012</x:f>
        <x:v>52.669012000000002</x:v>
      </x:c>
      <x:c r="Z542">
        <x:f>0</x:f>
        <x:v>0</x:v>
      </x:c>
      <x:c r="AA542">
        <x:f>0</x:f>
        <x:v>0</x:v>
      </x:c>
      <x:c r="AB542">
        <x:f>0</x:f>
        <x:v>0</x:v>
      </x:c>
      <x:c r="AC542">
        <x:f>0</x:f>
        <x:v>0</x:v>
      </x:c>
      <x:c r="AD542">
        <x:f>0</x:f>
        <x:v>0</x:v>
      </x:c>
      <x:c r="AE542">
        <x:f>0</x:f>
        <x:v>0</x:v>
      </x:c>
      <x:c r="AF542">
        <x:f>0</x:f>
        <x:v>0</x:v>
      </x:c>
      <x:c r="AG542">
        <x:f>0</x:f>
        <x:v>0</x:v>
      </x:c>
    </x:row>
    <x:row r="543" spans="1:33" x14ac:dyDescent="0.25">
      <x:c r="A543" t="str">
        <x:f>"            First Trust Expanded Technolog"</x:f>
        <x:v xml:space="preserve">            First Trust Expanded Technolog</x:v>
      </x:c>
      <x:c r="B543" t="str">
        <x:f>"XPND US Equity"</x:f>
        <x:v>XPND US Equity</x:v>
      </x:c>
      <x:c r="E543" t="str">
        <x:f t="shared" si="18"/>
        <x:v>Expression</x:v>
      </x:c>
      <x:c r="F543">
        <x:f ca="1">IF(AND($B$1012=1,LEN($F$1541)&gt;0),$F$1541,HLOOKUP(INDIRECT(ADDRESS(2,COLUMN())),OFFSET($T$2,0,0,ROW()-1,14),ROW()-1,FALSE))</x:f>
        <x:v>3.3811200000000001</x:v>
      </x:c>
      <x:c r="G543">
        <x:f ca="1">IF(AND($B$1012=1,LEN($G$1541)&gt;0),$G$1541,HLOOKUP(INDIRECT(ADDRESS(2,COLUMN())),OFFSET($T$2,0,0,ROW()-1,14),ROW()-1,FALSE))</x:f>
        <x:v>0</x:v>
      </x:c>
      <x:c r="H543">
        <x:f ca="1">IF(AND($B$1012=1,LEN($H$1541)&gt;0),$H$1541,HLOOKUP(INDIRECT(ADDRESS(2,COLUMN())),OFFSET($T$2,0,0,ROW()-1,14),ROW()-1,FALSE))</x:f>
        <x:v>0</x:v>
      </x:c>
      <x:c r="I543">
        <x:f ca="1">IF(AND($B$1012=1,LEN($I$1541)&gt;0),$I$1541,HLOOKUP(INDIRECT(ADDRESS(2,COLUMN())),OFFSET($T$2,0,0,ROW()-1,14),ROW()-1,FALSE))</x:f>
        <x:v>0</x:v>
      </x:c>
      <x:c r="J543">
        <x:f ca="1">IF(AND($B$1012=1,LEN($J$1541)&gt;0),$J$1541,HLOOKUP(INDIRECT(ADDRESS(2,COLUMN())),OFFSET($T$2,0,0,ROW()-1,14),ROW()-1,FALSE))</x:f>
        <x:v>0</x:v>
      </x:c>
      <x:c r="K543">
        <x:f ca="1">IF(AND($B$1012=1,LEN($K$1541)&gt;0),$K$1541,HLOOKUP(INDIRECT(ADDRESS(2,COLUMN())),OFFSET($T$2,0,0,ROW()-1,14),ROW()-1,FALSE))</x:f>
        <x:v>-2.0234999999999999</x:v>
      </x:c>
      <x:c r="L543">
        <x:f ca="1">IF(AND($B$1012=1,LEN($L$1541)&gt;0),$L$1541,HLOOKUP(INDIRECT(ADDRESS(2,COLUMN())),OFFSET($T$2,0,0,ROW()-1,14),ROW()-1,FALSE))</x:f>
        <x:v>0.98499999999999999</x:v>
      </x:c>
      <x:c r="M543">
        <x:f ca="1">IF(AND($B$1012=1,LEN($M$1541)&gt;0),$M$1541,HLOOKUP(INDIRECT(ADDRESS(2,COLUMN())),OFFSET($T$2,0,0,ROW()-1,14),ROW()-1,FALSE))</x:f>
        <x:v>0</x:v>
      </x:c>
      <x:c r="N543">
        <x:f ca="1">IF(AND($B$1012=1,LEN($N$1541)&gt;0),$N$1541,HLOOKUP(INDIRECT(ADDRESS(2,COLUMN())),OFFSET($T$2,0,0,ROW()-1,14),ROW()-1,FALSE))</x:f>
        <x:v>0</x:v>
      </x:c>
      <x:c r="O543">
        <x:f ca="1">IF(AND($B$1012=1,LEN($O$1541)&gt;0),$O$1541,HLOOKUP(INDIRECT(ADDRESS(2,COLUMN())),OFFSET($T$2,0,0,ROW()-1,14),ROW()-1,FALSE))</x:f>
        <x:v>0</x:v>
      </x:c>
      <x:c r="P543">
        <x:f ca="1">IF(AND($B$1012=1,LEN($P$1541)&gt;0),$P$1541,HLOOKUP(INDIRECT(ADDRESS(2,COLUMN())),OFFSET($T$2,0,0,ROW()-1,14),ROW()-1,FALSE))</x:f>
        <x:v>-11.323</x:v>
      </x:c>
      <x:c r="Q543">
        <x:f ca="1">IF(AND($B$1012=1,LEN($Q$1541)&gt;0),$Q$1541,HLOOKUP(INDIRECT(ADDRESS(2,COLUMN())),OFFSET($T$2,0,0,ROW()-1,14),ROW()-1,FALSE))</x:f>
        <x:v>-0.80355100000000002</x:v>
      </x:c>
      <x:c r="R543">
        <x:f ca="1">IF(AND($B$1012=1,LEN($R$1541)&gt;0),$R$1541,HLOOKUP(INDIRECT(ADDRESS(2,COLUMN())),OFFSET($T$2,0,0,ROW()-1,14),ROW()-1,FALSE))</x:f>
        <x:v>0</x:v>
      </x:c>
      <x:c r="S543">
        <x:f ca="1">IF(AND($B$1012=1,LEN($S$1541)&gt;0),$S$1541,HLOOKUP(INDIRECT(ADDRESS(2,COLUMN())),OFFSET($T$2,0,0,ROW()-1,14),ROW()-1,FALSE))</x:f>
        <x:v>2.3462350000000001</x:v>
      </x:c>
      <x:c r="T543">
        <x:f>3.38112</x:f>
        <x:v>3.3811200000000001</x:v>
      </x:c>
      <x:c r="U543">
        <x:f>0</x:f>
        <x:v>0</x:v>
      </x:c>
      <x:c r="V543">
        <x:f>0</x:f>
        <x:v>0</x:v>
      </x:c>
      <x:c r="W543">
        <x:f>0</x:f>
        <x:v>0</x:v>
      </x:c>
      <x:c r="X543">
        <x:f>0</x:f>
        <x:v>0</x:v>
      </x:c>
      <x:c r="Y543">
        <x:f>-2.0235</x:f>
        <x:v>-2.0234999999999999</x:v>
      </x:c>
      <x:c r="Z543">
        <x:f>0.985</x:f>
        <x:v>0.98499999999999999</x:v>
      </x:c>
      <x:c r="AA543">
        <x:f>0</x:f>
        <x:v>0</x:v>
      </x:c>
      <x:c r="AB543">
        <x:f>0</x:f>
        <x:v>0</x:v>
      </x:c>
      <x:c r="AC543">
        <x:f>0</x:f>
        <x:v>0</x:v>
      </x:c>
      <x:c r="AD543">
        <x:f>-11.323</x:f>
        <x:v>-11.323</x:v>
      </x:c>
      <x:c r="AE543">
        <x:f>-0.803551</x:f>
        <x:v>-0.80355100000000002</x:v>
      </x:c>
      <x:c r="AF543">
        <x:f>0</x:f>
        <x:v>0</x:v>
      </x:c>
      <x:c r="AG543">
        <x:f>2.346235</x:f>
        <x:v>2.3462350000000001</x:v>
      </x:c>
    </x:row>
    <x:row r="544" spans="1:33" x14ac:dyDescent="0.25">
      <x:c r="A544" t="str">
        <x:f>"            KraneShares Hang Seng TECH Ind"</x:f>
        <x:v xml:space="preserve">            KraneShares Hang Seng TECH Ind</x:v>
      </x:c>
      <x:c r="B544" t="str">
        <x:f>"KTEC US Equity"</x:f>
        <x:v>KTEC US Equity</x:v>
      </x:c>
      <x:c r="E544" t="str">
        <x:f t="shared" si="18"/>
        <x:v>Expression</x:v>
      </x:c>
      <x:c r="F544">
        <x:f ca="1">IF(AND($B$1012=1,LEN($F$1542)&gt;0),$F$1542,HLOOKUP(INDIRECT(ADDRESS(2,COLUMN())),OFFSET($T$2,0,0,ROW()-1,14),ROW()-1,FALSE))</x:f>
        <x:v>0</x:v>
      </x:c>
      <x:c r="G544">
        <x:f ca="1">IF(AND($B$1012=1,LEN($G$1542)&gt;0),$G$1542,HLOOKUP(INDIRECT(ADDRESS(2,COLUMN())),OFFSET($T$2,0,0,ROW()-1,14),ROW()-1,FALSE))</x:f>
        <x:v>-0.59</x:v>
      </x:c>
      <x:c r="H544">
        <x:f ca="1">IF(AND($B$1012=1,LEN($H$1542)&gt;0),$H$1542,HLOOKUP(INDIRECT(ADDRESS(2,COLUMN())),OFFSET($T$2,0,0,ROW()-1,14),ROW()-1,FALSE))</x:f>
        <x:v>0</x:v>
      </x:c>
      <x:c r="I544">
        <x:f ca="1">IF(AND($B$1012=1,LEN($I$1542)&gt;0),$I$1542,HLOOKUP(INDIRECT(ADDRESS(2,COLUMN())),OFFSET($T$2,0,0,ROW()-1,14),ROW()-1,FALSE))</x:f>
        <x:v>0</x:v>
      </x:c>
      <x:c r="J544">
        <x:f ca="1">IF(AND($B$1012=1,LEN($J$1542)&gt;0),$J$1542,HLOOKUP(INDIRECT(ADDRESS(2,COLUMN())),OFFSET($T$2,0,0,ROW()-1,14),ROW()-1,FALSE))</x:f>
        <x:v>0</x:v>
      </x:c>
      <x:c r="K544">
        <x:f ca="1">IF(AND($B$1012=1,LEN($K$1542)&gt;0),$K$1542,HLOOKUP(INDIRECT(ADDRESS(2,COLUMN())),OFFSET($T$2,0,0,ROW()-1,14),ROW()-1,FALSE))</x:f>
        <x:v>0</x:v>
      </x:c>
      <x:c r="L544">
        <x:f ca="1">IF(AND($B$1012=1,LEN($L$1542)&gt;0),$L$1542,HLOOKUP(INDIRECT(ADDRESS(2,COLUMN())),OFFSET($T$2,0,0,ROW()-1,14),ROW()-1,FALSE))</x:f>
        <x:v>0</x:v>
      </x:c>
      <x:c r="M544">
        <x:f ca="1">IF(AND($B$1012=1,LEN($M$1542)&gt;0),$M$1542,HLOOKUP(INDIRECT(ADDRESS(2,COLUMN())),OFFSET($T$2,0,0,ROW()-1,14),ROW()-1,FALSE))</x:f>
        <x:v>0</x:v>
      </x:c>
      <x:c r="N544">
        <x:f ca="1">IF(AND($B$1012=1,LEN($N$1542)&gt;0),$N$1542,HLOOKUP(INDIRECT(ADDRESS(2,COLUMN())),OFFSET($T$2,0,0,ROW()-1,14),ROW()-1,FALSE))</x:f>
        <x:v>0</x:v>
      </x:c>
      <x:c r="O544">
        <x:f ca="1">IF(AND($B$1012=1,LEN($O$1542)&gt;0),$O$1542,HLOOKUP(INDIRECT(ADDRESS(2,COLUMN())),OFFSET($T$2,0,0,ROW()-1,14),ROW()-1,FALSE))</x:f>
        <x:v>0</x:v>
      </x:c>
      <x:c r="P544">
        <x:f ca="1">IF(AND($B$1012=1,LEN($P$1542)&gt;0),$P$1542,HLOOKUP(INDIRECT(ADDRESS(2,COLUMN())),OFFSET($T$2,0,0,ROW()-1,14),ROW()-1,FALSE))</x:f>
        <x:v>0</x:v>
      </x:c>
      <x:c r="Q544">
        <x:f ca="1">IF(AND($B$1012=1,LEN($Q$1542)&gt;0),$Q$1542,HLOOKUP(INDIRECT(ADDRESS(2,COLUMN())),OFFSET($T$2,0,0,ROW()-1,14),ROW()-1,FALSE))</x:f>
        <x:v>0</x:v>
      </x:c>
      <x:c r="R544">
        <x:f ca="1">IF(AND($B$1012=1,LEN($R$1542)&gt;0),$R$1542,HLOOKUP(INDIRECT(ADDRESS(2,COLUMN())),OFFSET($T$2,0,0,ROW()-1,14),ROW()-1,FALSE))</x:f>
        <x:v>-2.0489999999999999</x:v>
      </x:c>
      <x:c r="S544">
        <x:f ca="1">IF(AND($B$1012=1,LEN($S$1542)&gt;0),$S$1542,HLOOKUP(INDIRECT(ADDRESS(2,COLUMN())),OFFSET($T$2,0,0,ROW()-1,14),ROW()-1,FALSE))</x:f>
        <x:v>-1.9419999999999999</x:v>
      </x:c>
      <x:c r="T544">
        <x:f>0</x:f>
        <x:v>0</x:v>
      </x:c>
      <x:c r="U544">
        <x:f>-0.59</x:f>
        <x:v>-0.59</x:v>
      </x:c>
      <x:c r="V544">
        <x:f>0</x:f>
        <x:v>0</x:v>
      </x:c>
      <x:c r="W544">
        <x:f>0</x:f>
        <x:v>0</x:v>
      </x:c>
      <x:c r="X544">
        <x:f>0</x:f>
        <x:v>0</x:v>
      </x:c>
      <x:c r="Y544">
        <x:f>0</x:f>
        <x:v>0</x:v>
      </x:c>
      <x:c r="Z544">
        <x:f>0</x:f>
        <x:v>0</x:v>
      </x:c>
      <x:c r="AA544">
        <x:f>0</x:f>
        <x:v>0</x:v>
      </x:c>
      <x:c r="AB544">
        <x:f>0</x:f>
        <x:v>0</x:v>
      </x:c>
      <x:c r="AC544">
        <x:f>0</x:f>
        <x:v>0</x:v>
      </x:c>
      <x:c r="AD544">
        <x:f>0</x:f>
        <x:v>0</x:v>
      </x:c>
      <x:c r="AE544">
        <x:f>0</x:f>
        <x:v>0</x:v>
      </x:c>
      <x:c r="AF544">
        <x:f>-2.049</x:f>
        <x:v>-2.0489999999999999</x:v>
      </x:c>
      <x:c r="AG544">
        <x:f>-1.942</x:f>
        <x:v>-1.9419999999999999</x:v>
      </x:c>
    </x:row>
    <x:row r="545" spans="1:33" x14ac:dyDescent="0.25">
      <x:c r="A545" t="str">
        <x:f>"            Global X NASDAQ 100 Collar 95-"</x:f>
        <x:v xml:space="preserve">            Global X NASDAQ 100 Collar 95-</x:v>
      </x:c>
      <x:c r="B545" t="str">
        <x:f>"QCLR US Equity"</x:f>
        <x:v>QCLR US Equity</x:v>
      </x:c>
      <x:c r="E545" t="str">
        <x:f t="shared" si="18"/>
        <x:v>Expression</x:v>
      </x:c>
      <x:c r="F545">
        <x:f ca="1">IF(AND($B$1012=1,LEN($F$1543)&gt;0),$F$1543,HLOOKUP(INDIRECT(ADDRESS(2,COLUMN())),OFFSET($T$2,0,0,ROW()-1,14),ROW()-1,FALSE))</x:f>
        <x:v>0</x:v>
      </x:c>
      <x:c r="G545">
        <x:f ca="1">IF(AND($B$1012=1,LEN($G$1543)&gt;0),$G$1543,HLOOKUP(INDIRECT(ADDRESS(2,COLUMN())),OFFSET($T$2,0,0,ROW()-1,14),ROW()-1,FALSE))</x:f>
        <x:v>-0.23949999999999999</x:v>
      </x:c>
      <x:c r="H545">
        <x:f ca="1">IF(AND($B$1012=1,LEN($H$1543)&gt;0),$H$1543,HLOOKUP(INDIRECT(ADDRESS(2,COLUMN())),OFFSET($T$2,0,0,ROW()-1,14),ROW()-1,FALSE))</x:f>
        <x:v>0</x:v>
      </x:c>
      <x:c r="I545">
        <x:f ca="1">IF(AND($B$1012=1,LEN($I$1543)&gt;0),$I$1543,HLOOKUP(INDIRECT(ADDRESS(2,COLUMN())),OFFSET($T$2,0,0,ROW()-1,14),ROW()-1,FALSE))</x:f>
        <x:v>0</x:v>
      </x:c>
      <x:c r="J545">
        <x:f ca="1">IF(AND($B$1012=1,LEN($J$1543)&gt;0),$J$1543,HLOOKUP(INDIRECT(ADDRESS(2,COLUMN())),OFFSET($T$2,0,0,ROW()-1,14),ROW()-1,FALSE))</x:f>
        <x:v>-0.4924</x:v>
      </x:c>
      <x:c r="K545">
        <x:f ca="1">IF(AND($B$1012=1,LEN($K$1543)&gt;0),$K$1543,HLOOKUP(INDIRECT(ADDRESS(2,COLUMN())),OFFSET($T$2,0,0,ROW()-1,14),ROW()-1,FALSE))</x:f>
        <x:v>0</x:v>
      </x:c>
      <x:c r="L545">
        <x:f ca="1">IF(AND($B$1012=1,LEN($L$1543)&gt;0),$L$1543,HLOOKUP(INDIRECT(ADDRESS(2,COLUMN())),OFFSET($T$2,0,0,ROW()-1,14),ROW()-1,FALSE))</x:f>
        <x:v>0</x:v>
      </x:c>
      <x:c r="M545">
        <x:f ca="1">IF(AND($B$1012=1,LEN($M$1543)&gt;0),$M$1543,HLOOKUP(INDIRECT(ADDRESS(2,COLUMN())),OFFSET($T$2,0,0,ROW()-1,14),ROW()-1,FALSE))</x:f>
        <x:v>0</x:v>
      </x:c>
      <x:c r="N545">
        <x:f ca="1">IF(AND($B$1012=1,LEN($N$1543)&gt;0),$N$1543,HLOOKUP(INDIRECT(ADDRESS(2,COLUMN())),OFFSET($T$2,0,0,ROW()-1,14),ROW()-1,FALSE))</x:f>
        <x:v>-0.44819999999999999</x:v>
      </x:c>
      <x:c r="O545">
        <x:f ca="1">IF(AND($B$1012=1,LEN($O$1543)&gt;0),$O$1543,HLOOKUP(INDIRECT(ADDRESS(2,COLUMN())),OFFSET($T$2,0,0,ROW()-1,14),ROW()-1,FALSE))</x:f>
        <x:v>0</x:v>
      </x:c>
      <x:c r="P545">
        <x:f ca="1">IF(AND($B$1012=1,LEN($P$1543)&gt;0),$P$1543,HLOOKUP(INDIRECT(ADDRESS(2,COLUMN())),OFFSET($T$2,0,0,ROW()-1,14),ROW()-1,FALSE))</x:f>
        <x:v>0</x:v>
      </x:c>
      <x:c r="Q545">
        <x:f ca="1">IF(AND($B$1012=1,LEN($Q$1543)&gt;0),$Q$1543,HLOOKUP(INDIRECT(ADDRESS(2,COLUMN())),OFFSET($T$2,0,0,ROW()-1,14),ROW()-1,FALSE))</x:f>
        <x:v>0</x:v>
      </x:c>
      <x:c r="R545">
        <x:f ca="1">IF(AND($B$1012=1,LEN($R$1543)&gt;0),$R$1543,HLOOKUP(INDIRECT(ADDRESS(2,COLUMN())),OFFSET($T$2,0,0,ROW()-1,14),ROW()-1,FALSE))</x:f>
        <x:v>0</x:v>
      </x:c>
      <x:c r="S545">
        <x:f ca="1">IF(AND($B$1012=1,LEN($S$1543)&gt;0),$S$1543,HLOOKUP(INDIRECT(ADDRESS(2,COLUMN())),OFFSET($T$2,0,0,ROW()-1,14),ROW()-1,FALSE))</x:f>
        <x:v>-0.87480000000000002</x:v>
      </x:c>
      <x:c r="T545">
        <x:f>0</x:f>
        <x:v>0</x:v>
      </x:c>
      <x:c r="U545">
        <x:f>-0.2395</x:f>
        <x:v>-0.23949999999999999</x:v>
      </x:c>
      <x:c r="V545">
        <x:f>0</x:f>
        <x:v>0</x:v>
      </x:c>
      <x:c r="W545">
        <x:f>0</x:f>
        <x:v>0</x:v>
      </x:c>
      <x:c r="X545">
        <x:f>-0.4924</x:f>
        <x:v>-0.4924</x:v>
      </x:c>
      <x:c r="Y545">
        <x:f>0</x:f>
        <x:v>0</x:v>
      </x:c>
      <x:c r="Z545">
        <x:f>0</x:f>
        <x:v>0</x:v>
      </x:c>
      <x:c r="AA545">
        <x:f>0</x:f>
        <x:v>0</x:v>
      </x:c>
      <x:c r="AB545">
        <x:f>-0.4482</x:f>
        <x:v>-0.44819999999999999</x:v>
      </x:c>
      <x:c r="AC545">
        <x:f>0</x:f>
        <x:v>0</x:v>
      </x:c>
      <x:c r="AD545">
        <x:f>0</x:f>
        <x:v>0</x:v>
      </x:c>
      <x:c r="AE545">
        <x:f>0</x:f>
        <x:v>0</x:v>
      </x:c>
      <x:c r="AF545">
        <x:f>0</x:f>
        <x:v>0</x:v>
      </x:c>
      <x:c r="AG545">
        <x:f>-0.8748</x:f>
        <x:v>-0.87480000000000002</x:v>
      </x:c>
    </x:row>
    <x:row r="546" spans="1:33" x14ac:dyDescent="0.25">
      <x:c r="A546" t="str">
        <x:f>"            MicroSectors FANG+ ETNs"</x:f>
        <x:v xml:space="preserve">            MicroSectors FANG+ ETNs</x:v>
      </x:c>
      <x:c r="B546" t="str">
        <x:f>"FNGS US Equity"</x:f>
        <x:v>FNGS US Equity</x:v>
      </x:c>
      <x:c r="E546" t="str">
        <x:f t="shared" si="18"/>
        <x:v>Expression</x:v>
      </x:c>
      <x:c r="F546">
        <x:f ca="1">IF(AND($B$1012=1,LEN($F$1544)&gt;0),$F$1544,HLOOKUP(INDIRECT(ADDRESS(2,COLUMN())),OFFSET($T$2,0,0,ROW()-1,14),ROW()-1,FALSE))</x:f>
        <x:v>17.714295</x:v>
      </x:c>
      <x:c r="G546">
        <x:f ca="1">IF(AND($B$1012=1,LEN($G$1544)&gt;0),$G$1544,HLOOKUP(INDIRECT(ADDRESS(2,COLUMN())),OFFSET($T$2,0,0,ROW()-1,14),ROW()-1,FALSE))</x:f>
        <x:v>0</x:v>
      </x:c>
      <x:c r="H546">
        <x:f ca="1">IF(AND($B$1012=1,LEN($H$1544)&gt;0),$H$1544,HLOOKUP(INDIRECT(ADDRESS(2,COLUMN())),OFFSET($T$2,0,0,ROW()-1,14),ROW()-1,FALSE))</x:f>
        <x:v>0</x:v>
      </x:c>
      <x:c r="I546">
        <x:f ca="1">IF(AND($B$1012=1,LEN($I$1544)&gt;0),$I$1544,HLOOKUP(INDIRECT(ADDRESS(2,COLUMN())),OFFSET($T$2,0,0,ROW()-1,14),ROW()-1,FALSE))</x:f>
        <x:v>0</x:v>
      </x:c>
      <x:c r="J546">
        <x:f ca="1">IF(AND($B$1012=1,LEN($J$1544)&gt;0),$J$1544,HLOOKUP(INDIRECT(ADDRESS(2,COLUMN())),OFFSET($T$2,0,0,ROW()-1,14),ROW()-1,FALSE))</x:f>
        <x:v>0</x:v>
      </x:c>
      <x:c r="K546">
        <x:f ca="1">IF(AND($B$1012=1,LEN($K$1544)&gt;0),$K$1544,HLOOKUP(INDIRECT(ADDRESS(2,COLUMN())),OFFSET($T$2,0,0,ROW()-1,14),ROW()-1,FALSE))</x:f>
        <x:v>52.669012000000002</x:v>
      </x:c>
      <x:c r="L546">
        <x:f ca="1">IF(AND($B$1012=1,LEN($L$1544)&gt;0),$L$1544,HLOOKUP(INDIRECT(ADDRESS(2,COLUMN())),OFFSET($T$2,0,0,ROW()-1,14),ROW()-1,FALSE))</x:f>
        <x:v>0</x:v>
      </x:c>
      <x:c r="M546">
        <x:f ca="1">IF(AND($B$1012=1,LEN($M$1544)&gt;0),$M$1544,HLOOKUP(INDIRECT(ADDRESS(2,COLUMN())),OFFSET($T$2,0,0,ROW()-1,14),ROW()-1,FALSE))</x:f>
        <x:v>0</x:v>
      </x:c>
      <x:c r="N546">
        <x:f ca="1">IF(AND($B$1012=1,LEN($N$1544)&gt;0),$N$1544,HLOOKUP(INDIRECT(ADDRESS(2,COLUMN())),OFFSET($T$2,0,0,ROW()-1,14),ROW()-1,FALSE))</x:f>
        <x:v>0</x:v>
      </x:c>
      <x:c r="O546">
        <x:f ca="1">IF(AND($B$1012=1,LEN($O$1544)&gt;0),$O$1544,HLOOKUP(INDIRECT(ADDRESS(2,COLUMN())),OFFSET($T$2,0,0,ROW()-1,14),ROW()-1,FALSE))</x:f>
        <x:v>0</x:v>
      </x:c>
      <x:c r="P546">
        <x:f ca="1">IF(AND($B$1012=1,LEN($P$1544)&gt;0),$P$1544,HLOOKUP(INDIRECT(ADDRESS(2,COLUMN())),OFFSET($T$2,0,0,ROW()-1,14),ROW()-1,FALSE))</x:f>
        <x:v>0</x:v>
      </x:c>
      <x:c r="Q546">
        <x:f ca="1">IF(AND($B$1012=1,LEN($Q$1544)&gt;0),$Q$1544,HLOOKUP(INDIRECT(ADDRESS(2,COLUMN())),OFFSET($T$2,0,0,ROW()-1,14),ROW()-1,FALSE))</x:f>
        <x:v>0</x:v>
      </x:c>
      <x:c r="R546">
        <x:f ca="1">IF(AND($B$1012=1,LEN($R$1544)&gt;0),$R$1544,HLOOKUP(INDIRECT(ADDRESS(2,COLUMN())),OFFSET($T$2,0,0,ROW()-1,14),ROW()-1,FALSE))</x:f>
        <x:v>0</x:v>
      </x:c>
      <x:c r="S546">
        <x:f ca="1">IF(AND($B$1012=1,LEN($S$1544)&gt;0),$S$1544,HLOOKUP(INDIRECT(ADDRESS(2,COLUMN())),OFFSET($T$2,0,0,ROW()-1,14),ROW()-1,FALSE))</x:f>
        <x:v>0</x:v>
      </x:c>
      <x:c r="T546">
        <x:f>17.714295</x:f>
        <x:v>17.714295</x:v>
      </x:c>
      <x:c r="U546">
        <x:f>0</x:f>
        <x:v>0</x:v>
      </x:c>
      <x:c r="V546">
        <x:f>0</x:f>
        <x:v>0</x:v>
      </x:c>
      <x:c r="W546">
        <x:f>0</x:f>
        <x:v>0</x:v>
      </x:c>
      <x:c r="X546">
        <x:f>0</x:f>
        <x:v>0</x:v>
      </x:c>
      <x:c r="Y546">
        <x:f>52.669012</x:f>
        <x:v>52.669012000000002</x:v>
      </x:c>
      <x:c r="Z546">
        <x:f>0</x:f>
        <x:v>0</x:v>
      </x:c>
      <x:c r="AA546">
        <x:f>0</x:f>
        <x:v>0</x:v>
      </x:c>
      <x:c r="AB546">
        <x:f>0</x:f>
        <x:v>0</x:v>
      </x:c>
      <x:c r="AC546">
        <x:f>0</x:f>
        <x:v>0</x:v>
      </x:c>
      <x:c r="AD546">
        <x:f>0</x:f>
        <x:v>0</x:v>
      </x:c>
      <x:c r="AE546">
        <x:f>0</x:f>
        <x:v>0</x:v>
      </x:c>
      <x:c r="AF546">
        <x:f>0</x:f>
        <x:v>0</x:v>
      </x:c>
      <x:c r="AG546">
        <x:f>0</x:f>
        <x:v>0</x:v>
      </x:c>
    </x:row>
    <x:row r="547" spans="1:33" x14ac:dyDescent="0.25">
      <x:c r="A547" t="str">
        <x:f>"            Global X Nasdaq 100 Risk Manag"</x:f>
        <x:v xml:space="preserve">            Global X Nasdaq 100 Risk Manag</x:v>
      </x:c>
      <x:c r="B547" t="str">
        <x:f>"QRMI US Equity"</x:f>
        <x:v>QRMI US Equity</x:v>
      </x:c>
      <x:c r="E547" t="str">
        <x:f t="shared" si="18"/>
        <x:v>Expression</x:v>
      </x:c>
      <x:c r="F547">
        <x:f ca="1">IF(AND($B$1012=1,LEN($F$1545)&gt;0),$F$1545,HLOOKUP(INDIRECT(ADDRESS(2,COLUMN())),OFFSET($T$2,0,0,ROW()-1,14),ROW()-1,FALSE))</x:f>
        <x:v>-0.50880000000000003</x:v>
      </x:c>
      <x:c r="G547">
        <x:f ca="1">IF(AND($B$1012=1,LEN($G$1545)&gt;0),$G$1545,HLOOKUP(INDIRECT(ADDRESS(2,COLUMN())),OFFSET($T$2,0,0,ROW()-1,14),ROW()-1,FALSE))</x:f>
        <x:v>1.2052</x:v>
      </x:c>
      <x:c r="H547">
        <x:f ca="1">IF(AND($B$1012=1,LEN($H$1545)&gt;0),$H$1545,HLOOKUP(INDIRECT(ADDRESS(2,COLUMN())),OFFSET($T$2,0,0,ROW()-1,14),ROW()-1,FALSE))</x:f>
        <x:v>0</x:v>
      </x:c>
      <x:c r="I547">
        <x:f ca="1">IF(AND($B$1012=1,LEN($I$1545)&gt;0),$I$1545,HLOOKUP(INDIRECT(ADDRESS(2,COLUMN())),OFFSET($T$2,0,0,ROW()-1,14),ROW()-1,FALSE))</x:f>
        <x:v>0.71060000000000001</x:v>
      </x:c>
      <x:c r="J547">
        <x:f ca="1">IF(AND($B$1012=1,LEN($J$1545)&gt;0),$J$1545,HLOOKUP(INDIRECT(ADDRESS(2,COLUMN())),OFFSET($T$2,0,0,ROW()-1,14),ROW()-1,FALSE))</x:f>
        <x:v>0.54910000000000003</x:v>
      </x:c>
      <x:c r="K547">
        <x:f ca="1">IF(AND($B$1012=1,LEN($K$1545)&gt;0),$K$1545,HLOOKUP(INDIRECT(ADDRESS(2,COLUMN())),OFFSET($T$2,0,0,ROW()-1,14),ROW()-1,FALSE))</x:f>
        <x:v>0.72540000000000004</x:v>
      </x:c>
      <x:c r="L547">
        <x:f ca="1">IF(AND($B$1012=1,LEN($L$1545)&gt;0),$L$1545,HLOOKUP(INDIRECT(ADDRESS(2,COLUMN())),OFFSET($T$2,0,0,ROW()-1,14),ROW()-1,FALSE))</x:f>
        <x:v>0.36230000000000001</x:v>
      </x:c>
      <x:c r="M547">
        <x:f ca="1">IF(AND($B$1012=1,LEN($M$1545)&gt;0),$M$1545,HLOOKUP(INDIRECT(ADDRESS(2,COLUMN())),OFFSET($T$2,0,0,ROW()-1,14),ROW()-1,FALSE))</x:f>
        <x:v>0.3609</x:v>
      </x:c>
      <x:c r="N547">
        <x:f ca="1">IF(AND($B$1012=1,LEN($N$1545)&gt;0),$N$1545,HLOOKUP(INDIRECT(ADDRESS(2,COLUMN())),OFFSET($T$2,0,0,ROW()-1,14),ROW()-1,FALSE))</x:f>
        <x:v>0</x:v>
      </x:c>
      <x:c r="O547">
        <x:f ca="1">IF(AND($B$1012=1,LEN($O$1545)&gt;0),$O$1545,HLOOKUP(INDIRECT(ADDRESS(2,COLUMN())),OFFSET($T$2,0,0,ROW()-1,14),ROW()-1,FALSE))</x:f>
        <x:v>0</x:v>
      </x:c>
      <x:c r="P547">
        <x:f ca="1">IF(AND($B$1012=1,LEN($P$1545)&gt;0),$P$1545,HLOOKUP(INDIRECT(ADDRESS(2,COLUMN())),OFFSET($T$2,0,0,ROW()-1,14),ROW()-1,FALSE))</x:f>
        <x:v>-0.1729</x:v>
      </x:c>
      <x:c r="Q547">
        <x:f ca="1">IF(AND($B$1012=1,LEN($Q$1545)&gt;0),$Q$1545,HLOOKUP(INDIRECT(ADDRESS(2,COLUMN())),OFFSET($T$2,0,0,ROW()-1,14),ROW()-1,FALSE))</x:f>
        <x:v>-1.0575000000000001</x:v>
      </x:c>
      <x:c r="R547">
        <x:f ca="1">IF(AND($B$1012=1,LEN($R$1545)&gt;0),$R$1545,HLOOKUP(INDIRECT(ADDRESS(2,COLUMN())),OFFSET($T$2,0,0,ROW()-1,14),ROW()-1,FALSE))</x:f>
        <x:v>-0.5373</x:v>
      </x:c>
      <x:c r="S547">
        <x:f ca="1">IF(AND($B$1012=1,LEN($S$1545)&gt;0),$S$1545,HLOOKUP(INDIRECT(ADDRESS(2,COLUMN())),OFFSET($T$2,0,0,ROW()-1,14),ROW()-1,FALSE))</x:f>
        <x:v>1.46</x:v>
      </x:c>
      <x:c r="T547">
        <x:f>-0.5088</x:f>
        <x:v>-0.50880000000000003</x:v>
      </x:c>
      <x:c r="U547">
        <x:f>1.2052</x:f>
        <x:v>1.2052</x:v>
      </x:c>
      <x:c r="V547">
        <x:f>0</x:f>
        <x:v>0</x:v>
      </x:c>
      <x:c r="W547">
        <x:f>0.7106</x:f>
        <x:v>0.71060000000000001</x:v>
      </x:c>
      <x:c r="X547">
        <x:f>0.5491</x:f>
        <x:v>0.54910000000000003</x:v>
      </x:c>
      <x:c r="Y547">
        <x:f>0.7254</x:f>
        <x:v>0.72540000000000004</x:v>
      </x:c>
      <x:c r="Z547">
        <x:f>0.3623</x:f>
        <x:v>0.36230000000000001</x:v>
      </x:c>
      <x:c r="AA547">
        <x:f>0.3609</x:f>
        <x:v>0.3609</x:v>
      </x:c>
      <x:c r="AB547">
        <x:f>0</x:f>
        <x:v>0</x:v>
      </x:c>
      <x:c r="AC547">
        <x:f>0</x:f>
        <x:v>0</x:v>
      </x:c>
      <x:c r="AD547">
        <x:f>-0.1729</x:f>
        <x:v>-0.1729</x:v>
      </x:c>
      <x:c r="AE547">
        <x:f>-1.0575</x:f>
        <x:v>-1.0575000000000001</x:v>
      </x:c>
      <x:c r="AF547">
        <x:f>-0.5373</x:f>
        <x:v>-0.5373</x:v>
      </x:c>
      <x:c r="AG547">
        <x:f>1.46</x:f>
        <x:v>1.46</x:v>
      </x:c>
    </x:row>
    <x:row r="548" spans="1:33" x14ac:dyDescent="0.25">
      <x:c r="A548" t="str">
        <x:f>"            Pacer BlueStar Engineering the"</x:f>
        <x:v xml:space="preserve">            Pacer BlueStar Engineering the</x:v>
      </x:c>
      <x:c r="B548" t="str">
        <x:f>"BULD US Equity"</x:f>
        <x:v>BULD US Equity</x:v>
      </x:c>
      <x:c r="E548" t="str">
        <x:f t="shared" si="18"/>
        <x:v>Expression</x:v>
      </x:c>
      <x:c r="F548">
        <x:f ca="1">IF(AND($B$1012=1,LEN($F$1546)&gt;0),$F$1546,HLOOKUP(INDIRECT(ADDRESS(2,COLUMN())),OFFSET($T$2,0,0,ROW()-1,14),ROW()-1,FALSE))</x:f>
        <x:v>-0.80198400000000003</x:v>
      </x:c>
      <x:c r="G548">
        <x:f ca="1">IF(AND($B$1012=1,LEN($G$1546)&gt;0),$G$1546,HLOOKUP(INDIRECT(ADDRESS(2,COLUMN())),OFFSET($T$2,0,0,ROW()-1,14),ROW()-1,FALSE))</x:f>
        <x:v>0</x:v>
      </x:c>
      <x:c r="H548">
        <x:f ca="1">IF(AND($B$1012=1,LEN($H$1546)&gt;0),$H$1546,HLOOKUP(INDIRECT(ADDRESS(2,COLUMN())),OFFSET($T$2,0,0,ROW()-1,14),ROW()-1,FALSE))</x:f>
        <x:v>0</x:v>
      </x:c>
      <x:c r="I548">
        <x:f ca="1">IF(AND($B$1012=1,LEN($I$1546)&gt;0),$I$1546,HLOOKUP(INDIRECT(ADDRESS(2,COLUMN())),OFFSET($T$2,0,0,ROW()-1,14),ROW()-1,FALSE))</x:f>
        <x:v>0</x:v>
      </x:c>
      <x:c r="J548">
        <x:f ca="1">IF(AND($B$1012=1,LEN($J$1546)&gt;0),$J$1546,HLOOKUP(INDIRECT(ADDRESS(2,COLUMN())),OFFSET($T$2,0,0,ROW()-1,14),ROW()-1,FALSE))</x:f>
        <x:v>0</x:v>
      </x:c>
      <x:c r="K548">
        <x:f ca="1">IF(AND($B$1012=1,LEN($K$1546)&gt;0),$K$1546,HLOOKUP(INDIRECT(ADDRESS(2,COLUMN())),OFFSET($T$2,0,0,ROW()-1,14),ROW()-1,FALSE))</x:f>
        <x:v>0</x:v>
      </x:c>
      <x:c r="L548">
        <x:f ca="1">IF(AND($B$1012=1,LEN($L$1546)&gt;0),$L$1546,HLOOKUP(INDIRECT(ADDRESS(2,COLUMN())),OFFSET($T$2,0,0,ROW()-1,14),ROW()-1,FALSE))</x:f>
        <x:v>0</x:v>
      </x:c>
      <x:c r="M548">
        <x:f ca="1">IF(AND($B$1012=1,LEN($M$1546)&gt;0),$M$1546,HLOOKUP(INDIRECT(ADDRESS(2,COLUMN())),OFFSET($T$2,0,0,ROW()-1,14),ROW()-1,FALSE))</x:f>
        <x:v>0</x:v>
      </x:c>
      <x:c r="N548">
        <x:f ca="1">IF(AND($B$1012=1,LEN($N$1546)&gt;0),$N$1546,HLOOKUP(INDIRECT(ADDRESS(2,COLUMN())),OFFSET($T$2,0,0,ROW()-1,14),ROW()-1,FALSE))</x:f>
        <x:v>0</x:v>
      </x:c>
      <x:c r="O548">
        <x:f ca="1">IF(AND($B$1012=1,LEN($O$1546)&gt;0),$O$1546,HLOOKUP(INDIRECT(ADDRESS(2,COLUMN())),OFFSET($T$2,0,0,ROW()-1,14),ROW()-1,FALSE))</x:f>
        <x:v>0</x:v>
      </x:c>
      <x:c r="P548">
        <x:f ca="1">IF(AND($B$1012=1,LEN($P$1546)&gt;0),$P$1546,HLOOKUP(INDIRECT(ADDRESS(2,COLUMN())),OFFSET($T$2,0,0,ROW()-1,14),ROW()-1,FALSE))</x:f>
        <x:v>0</x:v>
      </x:c>
      <x:c r="Q548">
        <x:f ca="1">IF(AND($B$1012=1,LEN($Q$1546)&gt;0),$Q$1546,HLOOKUP(INDIRECT(ADDRESS(2,COLUMN())),OFFSET($T$2,0,0,ROW()-1,14),ROW()-1,FALSE))</x:f>
        <x:v>0</x:v>
      </x:c>
      <x:c r="R548">
        <x:f ca="1">IF(AND($B$1012=1,LEN($R$1546)&gt;0),$R$1546,HLOOKUP(INDIRECT(ADDRESS(2,COLUMN())),OFFSET($T$2,0,0,ROW()-1,14),ROW()-1,FALSE))</x:f>
        <x:v>0</x:v>
      </x:c>
      <x:c r="S548">
        <x:f ca="1">IF(AND($B$1012=1,LEN($S$1546)&gt;0),$S$1546,HLOOKUP(INDIRECT(ADDRESS(2,COLUMN())),OFFSET($T$2,0,0,ROW()-1,14),ROW()-1,FALSE))</x:f>
        <x:v>0</x:v>
      </x:c>
      <x:c r="T548">
        <x:f>-0.801984</x:f>
        <x:v>-0.80198400000000003</x:v>
      </x:c>
      <x:c r="U548">
        <x:f>0</x:f>
        <x:v>0</x:v>
      </x:c>
      <x:c r="V548">
        <x:f>0</x:f>
        <x:v>0</x:v>
      </x:c>
      <x:c r="W548">
        <x:f>0</x:f>
        <x:v>0</x:v>
      </x:c>
      <x:c r="X548">
        <x:f>0</x:f>
        <x:v>0</x:v>
      </x:c>
      <x:c r="Y548">
        <x:f>0</x:f>
        <x:v>0</x:v>
      </x:c>
      <x:c r="Z548">
        <x:f>0</x:f>
        <x:v>0</x:v>
      </x:c>
      <x:c r="AA548">
        <x:f>0</x:f>
        <x:v>0</x:v>
      </x:c>
      <x:c r="AB548">
        <x:f>0</x:f>
        <x:v>0</x:v>
      </x:c>
      <x:c r="AC548">
        <x:f>0</x:f>
        <x:v>0</x:v>
      </x:c>
      <x:c r="AD548">
        <x:f>0</x:f>
        <x:v>0</x:v>
      </x:c>
      <x:c r="AE548">
        <x:f>0</x:f>
        <x:v>0</x:v>
      </x:c>
      <x:c r="AF548">
        <x:f>0</x:f>
        <x:v>0</x:v>
      </x:c>
      <x:c r="AG548">
        <x:f>0</x:f>
        <x:v>0</x:v>
      </x:c>
    </x:row>
    <x:row r="549" spans="1:33" x14ac:dyDescent="0.25">
      <x:c r="A549" t="str">
        <x:f>"            Bitwise Web3 ETF"</x:f>
        <x:v xml:space="preserve">            Bitwise Web3 ETF</x:v>
      </x:c>
      <x:c r="B549" t="str">
        <x:f>"BWEB US Equity"</x:f>
        <x:v>BWEB US Equity</x:v>
      </x:c>
      <x:c r="E549" t="str">
        <x:f t="shared" si="18"/>
        <x:v>Expression</x:v>
      </x:c>
      <x:c r="F549">
        <x:f ca="1">IF(AND($B$1012=1,LEN($F$1930)&gt;0),$F$1930,HLOOKUP(INDIRECT(ADDRESS(2,COLUMN())),OFFSET($T$2,0,0,ROW()-1,14),ROW()-1,FALSE))</x:f>
        <x:v>0</x:v>
      </x:c>
      <x:c r="G549">
        <x:f ca="1">IF(AND($B$1012=1,LEN($G$1930)&gt;0),$G$1930,HLOOKUP(INDIRECT(ADDRESS(2,COLUMN())),OFFSET($T$2,0,0,ROW()-1,14),ROW()-1,FALSE))</x:f>
        <x:v>0</x:v>
      </x:c>
      <x:c r="H549">
        <x:f ca="1">IF(AND($B$1012=1,LEN($H$1930)&gt;0),$H$1930,HLOOKUP(INDIRECT(ADDRESS(2,COLUMN())),OFFSET($T$2,0,0,ROW()-1,14),ROW()-1,FALSE))</x:f>
        <x:v>0</x:v>
      </x:c>
      <x:c r="I549">
        <x:f ca="1">IF(AND($B$1012=1,LEN($I$1930)&gt;0),$I$1930,HLOOKUP(INDIRECT(ADDRESS(2,COLUMN())),OFFSET($T$2,0,0,ROW()-1,14),ROW()-1,FALSE))</x:f>
        <x:v>0</x:v>
      </x:c>
      <x:c r="J549">
        <x:f ca="1">IF(AND($B$1012=1,LEN($J$1930)&gt;0),$J$1930,HLOOKUP(INDIRECT(ADDRESS(2,COLUMN())),OFFSET($T$2,0,0,ROW()-1,14),ROW()-1,FALSE))</x:f>
        <x:v>0</x:v>
      </x:c>
      <x:c r="K549">
        <x:f ca="1">IF(AND($B$1012=1,LEN($K$1930)&gt;0),$K$1930,HLOOKUP(INDIRECT(ADDRESS(2,COLUMN())),OFFSET($T$2,0,0,ROW()-1,14),ROW()-1,FALSE))</x:f>
        <x:v>-4.8599999999999997E-3</x:v>
      </x:c>
      <x:c r="L549">
        <x:f ca="1">IF(AND($B$1012=1,LEN($L$1930)&gt;0),$L$1930,HLOOKUP(INDIRECT(ADDRESS(2,COLUMN())),OFFSET($T$2,0,0,ROW()-1,14),ROW()-1,FALSE))</x:f>
        <x:v>0</x:v>
      </x:c>
      <x:c r="M549">
        <x:f ca="1">IF(AND($B$1012=1,LEN($M$1930)&gt;0),$M$1930,HLOOKUP(INDIRECT(ADDRESS(2,COLUMN())),OFFSET($T$2,0,0,ROW()-1,14),ROW()-1,FALSE))</x:f>
        <x:v>0</x:v>
      </x:c>
      <x:c r="N549">
        <x:f ca="1">IF(AND($B$1012=1,LEN($N$1930)&gt;0),$N$1930,HLOOKUP(INDIRECT(ADDRESS(2,COLUMN())),OFFSET($T$2,0,0,ROW()-1,14),ROW()-1,FALSE))</x:f>
        <x:v>0</x:v>
      </x:c>
      <x:c r="O549">
        <x:f ca="1">IF(AND($B$1012=1,LEN($O$1930)&gt;0),$O$1930,HLOOKUP(INDIRECT(ADDRESS(2,COLUMN())),OFFSET($T$2,0,0,ROW()-1,14),ROW()-1,FALSE))</x:f>
        <x:v>-1.2309600000000001</x:v>
      </x:c>
      <x:c r="P549">
        <x:f ca="1">IF(AND($B$1012=1,LEN($P$1930)&gt;0),$P$1930,HLOOKUP(INDIRECT(ADDRESS(2,COLUMN())),OFFSET($T$2,0,0,ROW()-1,14),ROW()-1,FALSE))</x:f>
        <x:v>0</x:v>
      </x:c>
      <x:c r="Q549">
        <x:f ca="1">IF(AND($B$1012=1,LEN($Q$1930)&gt;0),$Q$1930,HLOOKUP(INDIRECT(ADDRESS(2,COLUMN())),OFFSET($T$2,0,0,ROW()-1,14),ROW()-1,FALSE))</x:f>
        <x:v>-6.1000000000000004E-3</x:v>
      </x:c>
      <x:c r="R549">
        <x:f ca="1">IF(AND($B$1012=1,LEN($R$1930)&gt;0),$R$1930,HLOOKUP(INDIRECT(ADDRESS(2,COLUMN())),OFFSET($T$2,0,0,ROW()-1,14),ROW()-1,FALSE))</x:f>
        <x:v>0</x:v>
      </x:c>
      <x:c r="S549">
        <x:f ca="1">IF(AND($B$1012=1,LEN($S$1930)&gt;0),$S$1930,HLOOKUP(INDIRECT(ADDRESS(2,COLUMN())),OFFSET($T$2,0,0,ROW()-1,14),ROW()-1,FALSE))</x:f>
        <x:v>0</x:v>
      </x:c>
      <x:c r="T549">
        <x:f>0</x:f>
        <x:v>0</x:v>
      </x:c>
      <x:c r="U549">
        <x:f>0</x:f>
        <x:v>0</x:v>
      </x:c>
      <x:c r="V549">
        <x:f>0</x:f>
        <x:v>0</x:v>
      </x:c>
      <x:c r="W549">
        <x:f>0</x:f>
        <x:v>0</x:v>
      </x:c>
      <x:c r="X549">
        <x:f>0</x:f>
        <x:v>0</x:v>
      </x:c>
      <x:c r="Y549">
        <x:f>-0.00486</x:f>
        <x:v>-4.8599999999999997E-3</x:v>
      </x:c>
      <x:c r="Z549">
        <x:f>0</x:f>
        <x:v>0</x:v>
      </x:c>
      <x:c r="AA549">
        <x:f>0</x:f>
        <x:v>0</x:v>
      </x:c>
      <x:c r="AB549">
        <x:f>0</x:f>
        <x:v>0</x:v>
      </x:c>
      <x:c r="AC549">
        <x:f>-1.23096</x:f>
        <x:v>-1.2309600000000001</x:v>
      </x:c>
      <x:c r="AD549">
        <x:f>0</x:f>
        <x:v>0</x:v>
      </x:c>
      <x:c r="AE549">
        <x:f>-0.0061</x:f>
        <x:v>-6.1000000000000004E-3</x:v>
      </x:c>
      <x:c r="AF549">
        <x:f>0</x:f>
        <x:v>0</x:v>
      </x:c>
      <x:c r="AG549">
        <x:f>0</x:f>
        <x:v>0</x:v>
      </x:c>
    </x:row>
    <x:row r="550" spans="1:33" x14ac:dyDescent="0.25">
      <x:c r="A550" t="str">
        <x:f>"            INQQ The India Internet &amp; Ecom"</x:f>
        <x:v xml:space="preserve">            INQQ The India Internet &amp; Ecom</x:v>
      </x:c>
      <x:c r="B550" t="str">
        <x:f>"INQQ US Equity"</x:f>
        <x:v>INQQ US Equity</x:v>
      </x:c>
      <x:c r="E550" t="str">
        <x:f t="shared" si="18"/>
        <x:v>Expression</x:v>
      </x:c>
      <x:c r="F550">
        <x:f ca="1">IF(AND($B$1012=1,LEN($F$1762)&gt;0),$F$1762,HLOOKUP(INDIRECT(ADDRESS(2,COLUMN())),OFFSET($T$2,0,0,ROW()-1,14),ROW()-1,FALSE))</x:f>
        <x:v>0</x:v>
      </x:c>
      <x:c r="G550">
        <x:f ca="1">IF(AND($B$1012=1,LEN($G$1762)&gt;0),$G$1762,HLOOKUP(INDIRECT(ADDRESS(2,COLUMN())),OFFSET($T$2,0,0,ROW()-1,14),ROW()-1,FALSE))</x:f>
        <x:v>0</x:v>
      </x:c>
      <x:c r="H550">
        <x:f ca="1">IF(AND($B$1012=1,LEN($H$1762)&gt;0),$H$1762,HLOOKUP(INDIRECT(ADDRESS(2,COLUMN())),OFFSET($T$2,0,0,ROW()-1,14),ROW()-1,FALSE))</x:f>
        <x:v>1.3866000000000001</x:v>
      </x:c>
      <x:c r="I550">
        <x:f ca="1">IF(AND($B$1012=1,LEN($I$1762)&gt;0),$I$1762,HLOOKUP(INDIRECT(ADDRESS(2,COLUMN())),OFFSET($T$2,0,0,ROW()-1,14),ROW()-1,FALSE))</x:f>
        <x:v>1.6134999999999999</x:v>
      </x:c>
      <x:c r="J550">
        <x:f ca="1">IF(AND($B$1012=1,LEN($J$1762)&gt;0),$J$1762,HLOOKUP(INDIRECT(ADDRESS(2,COLUMN())),OFFSET($T$2,0,0,ROW()-1,14),ROW()-1,FALSE))</x:f>
        <x:v>1.327</x:v>
      </x:c>
      <x:c r="K550">
        <x:f ca="1">IF(AND($B$1012=1,LEN($K$1762)&gt;0),$K$1762,HLOOKUP(INDIRECT(ADDRESS(2,COLUMN())),OFFSET($T$2,0,0,ROW()-1,14),ROW()-1,FALSE))</x:f>
        <x:v>2.6389999999999998</x:v>
      </x:c>
      <x:c r="L550">
        <x:f ca="1">IF(AND($B$1012=1,LEN($L$1762)&gt;0),$L$1762,HLOOKUP(INDIRECT(ADDRESS(2,COLUMN())),OFFSET($T$2,0,0,ROW()-1,14),ROW()-1,FALSE))</x:f>
        <x:v>0.30809999999999998</x:v>
      </x:c>
      <x:c r="M550">
        <x:f ca="1">IF(AND($B$1012=1,LEN($M$1762)&gt;0),$M$1762,HLOOKUP(INDIRECT(ADDRESS(2,COLUMN())),OFFSET($T$2,0,0,ROW()-1,14),ROW()-1,FALSE))</x:f>
        <x:v>0.20100000000000001</x:v>
      </x:c>
      <x:c r="N550">
        <x:f ca="1">IF(AND($B$1012=1,LEN($N$1762)&gt;0),$N$1762,HLOOKUP(INDIRECT(ADDRESS(2,COLUMN())),OFFSET($T$2,0,0,ROW()-1,14),ROW()-1,FALSE))</x:f>
        <x:v>0</x:v>
      </x:c>
      <x:c r="O550">
        <x:f ca="1">IF(AND($B$1012=1,LEN($O$1762)&gt;0),$O$1762,HLOOKUP(INDIRECT(ADDRESS(2,COLUMN())),OFFSET($T$2,0,0,ROW()-1,14),ROW()-1,FALSE))</x:f>
        <x:v>0.20699999999999999</x:v>
      </x:c>
      <x:c r="P550">
        <x:f ca="1">IF(AND($B$1012=1,LEN($P$1762)&gt;0),$P$1762,HLOOKUP(INDIRECT(ADDRESS(2,COLUMN())),OFFSET($T$2,0,0,ROW()-1,14),ROW()-1,FALSE))</x:f>
        <x:v>0</x:v>
      </x:c>
      <x:c r="Q550">
        <x:f ca="1">IF(AND($B$1012=1,LEN($Q$1762)&gt;0),$Q$1762,HLOOKUP(INDIRECT(ADDRESS(2,COLUMN())),OFFSET($T$2,0,0,ROW()-1,14),ROW()-1,FALSE))</x:f>
        <x:v>0.55620000000000003</x:v>
      </x:c>
      <x:c r="R550">
        <x:f ca="1">IF(AND($B$1012=1,LEN($R$1762)&gt;0),$R$1762,HLOOKUP(INDIRECT(ADDRESS(2,COLUMN())),OFFSET($T$2,0,0,ROW()-1,14),ROW()-1,FALSE))</x:f>
        <x:v>0</x:v>
      </x:c>
      <x:c r="S550">
        <x:f ca="1">IF(AND($B$1012=1,LEN($S$1762)&gt;0),$S$1762,HLOOKUP(INDIRECT(ADDRESS(2,COLUMN())),OFFSET($T$2,0,0,ROW()-1,14),ROW()-1,FALSE))</x:f>
        <x:v>0</x:v>
      </x:c>
      <x:c r="T550">
        <x:f>0</x:f>
        <x:v>0</x:v>
      </x:c>
      <x:c r="U550">
        <x:f>0</x:f>
        <x:v>0</x:v>
      </x:c>
      <x:c r="V550">
        <x:f>1.3866</x:f>
        <x:v>1.3866000000000001</x:v>
      </x:c>
      <x:c r="W550">
        <x:f>1.6135</x:f>
        <x:v>1.6134999999999999</x:v>
      </x:c>
      <x:c r="X550">
        <x:f>1.327</x:f>
        <x:v>1.327</x:v>
      </x:c>
      <x:c r="Y550">
        <x:f>2.639</x:f>
        <x:v>2.6389999999999998</x:v>
      </x:c>
      <x:c r="Z550">
        <x:f>0.3081</x:f>
        <x:v>0.30809999999999998</x:v>
      </x:c>
      <x:c r="AA550">
        <x:f>0.201</x:f>
        <x:v>0.20100000000000001</x:v>
      </x:c>
      <x:c r="AB550">
        <x:f>0</x:f>
        <x:v>0</x:v>
      </x:c>
      <x:c r="AC550">
        <x:f>0.207</x:f>
        <x:v>0.20699999999999999</x:v>
      </x:c>
      <x:c r="AD550">
        <x:f>0</x:f>
        <x:v>0</x:v>
      </x:c>
      <x:c r="AE550">
        <x:f>0.5562</x:f>
        <x:v>0.55620000000000003</x:v>
      </x:c>
      <x:c r="AF550">
        <x:f>0</x:f>
        <x:v>0</x:v>
      </x:c>
      <x:c r="AG550">
        <x:f>0</x:f>
        <x:v>0</x:v>
      </x:c>
    </x:row>
    <x:row r="551" spans="1:33" x14ac:dyDescent="0.25">
      <x:c r="A551" t="str">
        <x:f>"            AXS Short China Internet ETF"</x:f>
        <x:v xml:space="preserve">            AXS Short China Internet ETF</x:v>
      </x:c>
      <x:c r="B551" t="str">
        <x:f>"SWEB US Equity"</x:f>
        <x:v>SWEB US Equity</x:v>
      </x:c>
      <x:c r="E551" t="str">
        <x:f t="shared" si="18"/>
        <x:v>Expression</x:v>
      </x:c>
      <x:c r="F551" t="str">
        <x:f ca="1">IF(AND($B$1012=1,LEN($F$1549)&gt;0),$F$1549,HLOOKUP(INDIRECT(ADDRESS(2,COLUMN())),OFFSET($T$2,0,0,ROW()-1,14),ROW()-1,FALSE))</x:f>
        <x:v/>
      </x:c>
      <x:c r="G551" t="str">
        <x:f ca="1">IF(AND($B$1012=1,LEN($G$1549)&gt;0),$G$1549,HLOOKUP(INDIRECT(ADDRESS(2,COLUMN())),OFFSET($T$2,0,0,ROW()-1,14),ROW()-1,FALSE))</x:f>
        <x:v/>
      </x:c>
      <x:c r="H551" t="str">
        <x:f ca="1">IF(AND($B$1012=1,LEN($H$1549)&gt;0),$H$1549,HLOOKUP(INDIRECT(ADDRESS(2,COLUMN())),OFFSET($T$2,0,0,ROW()-1,14),ROW()-1,FALSE))</x:f>
        <x:v/>
      </x:c>
      <x:c r="I551" t="str">
        <x:f ca="1">IF(AND($B$1012=1,LEN($I$1549)&gt;0),$I$1549,HLOOKUP(INDIRECT(ADDRESS(2,COLUMN())),OFFSET($T$2,0,0,ROW()-1,14),ROW()-1,FALSE))</x:f>
        <x:v/>
      </x:c>
      <x:c r="J551" t="str">
        <x:f ca="1">IF(AND($B$1012=1,LEN($J$1549)&gt;0),$J$1549,HLOOKUP(INDIRECT(ADDRESS(2,COLUMN())),OFFSET($T$2,0,0,ROW()-1,14),ROW()-1,FALSE))</x:f>
        <x:v/>
      </x:c>
      <x:c r="K551">
        <x:f ca="1">IF(AND($B$1012=1,LEN($K$1549)&gt;0),$K$1549,HLOOKUP(INDIRECT(ADDRESS(2,COLUMN())),OFFSET($T$2,0,0,ROW()-1,14),ROW()-1,FALSE))</x:f>
        <x:v>0</x:v>
      </x:c>
      <x:c r="L551">
        <x:f ca="1">IF(AND($B$1012=1,LEN($L$1549)&gt;0),$L$1549,HLOOKUP(INDIRECT(ADDRESS(2,COLUMN())),OFFSET($T$2,0,0,ROW()-1,14),ROW()-1,FALSE))</x:f>
        <x:v>0.31029699999999999</x:v>
      </x:c>
      <x:c r="M551">
        <x:f ca="1">IF(AND($B$1012=1,LEN($M$1549)&gt;0),$M$1549,HLOOKUP(INDIRECT(ADDRESS(2,COLUMN())),OFFSET($T$2,0,0,ROW()-1,14),ROW()-1,FALSE))</x:f>
        <x:v>0</x:v>
      </x:c>
      <x:c r="N551">
        <x:f ca="1">IF(AND($B$1012=1,LEN($N$1549)&gt;0),$N$1549,HLOOKUP(INDIRECT(ADDRESS(2,COLUMN())),OFFSET($T$2,0,0,ROW()-1,14),ROW()-1,FALSE))</x:f>
        <x:v>0</x:v>
      </x:c>
      <x:c r="O551">
        <x:f ca="1">IF(AND($B$1012=1,LEN($O$1549)&gt;0),$O$1549,HLOOKUP(INDIRECT(ADDRESS(2,COLUMN())),OFFSET($T$2,0,0,ROW()-1,14),ROW()-1,FALSE))</x:f>
        <x:v>9.3104999999999993E-2</x:v>
      </x:c>
      <x:c r="P551">
        <x:f ca="1">IF(AND($B$1012=1,LEN($P$1549)&gt;0),$P$1549,HLOOKUP(INDIRECT(ADDRESS(2,COLUMN())),OFFSET($T$2,0,0,ROW()-1,14),ROW()-1,FALSE))</x:f>
        <x:v>-0.76626899999999998</x:v>
      </x:c>
      <x:c r="Q551">
        <x:f ca="1">IF(AND($B$1012=1,LEN($Q$1549)&gt;0),$Q$1549,HLOOKUP(INDIRECT(ADDRESS(2,COLUMN())),OFFSET($T$2,0,0,ROW()-1,14),ROW()-1,FALSE))</x:f>
        <x:v>0</x:v>
      </x:c>
      <x:c r="R551">
        <x:f ca="1">IF(AND($B$1012=1,LEN($R$1549)&gt;0),$R$1549,HLOOKUP(INDIRECT(ADDRESS(2,COLUMN())),OFFSET($T$2,0,0,ROW()-1,14),ROW()-1,FALSE))</x:f>
        <x:v>0</x:v>
      </x:c>
      <x:c r="S551">
        <x:f ca="1">IF(AND($B$1012=1,LEN($S$1549)&gt;0),$S$1549,HLOOKUP(INDIRECT(ADDRESS(2,COLUMN())),OFFSET($T$2,0,0,ROW()-1,14),ROW()-1,FALSE))</x:f>
        <x:v>0</x:v>
      </x:c>
      <x:c r="T551" t="str">
        <x:f>""</x:f>
        <x:v/>
      </x:c>
      <x:c r="U551" t="str">
        <x:f>""</x:f>
        <x:v/>
      </x:c>
      <x:c r="V551" t="str">
        <x:f>""</x:f>
        <x:v/>
      </x:c>
      <x:c r="W551" t="str">
        <x:f>""</x:f>
        <x:v/>
      </x:c>
      <x:c r="X551" t="str">
        <x:f>""</x:f>
        <x:v/>
      </x:c>
      <x:c r="Y551">
        <x:f>0</x:f>
        <x:v>0</x:v>
      </x:c>
      <x:c r="Z551">
        <x:f>0.310297</x:f>
        <x:v>0.31029699999999999</x:v>
      </x:c>
      <x:c r="AA551">
        <x:f>0</x:f>
        <x:v>0</x:v>
      </x:c>
      <x:c r="AB551">
        <x:f>0</x:f>
        <x:v>0</x:v>
      </x:c>
      <x:c r="AC551">
        <x:f>0.093105</x:f>
        <x:v>9.3104999999999993E-2</x:v>
      </x:c>
      <x:c r="AD551">
        <x:f>-0.766269</x:f>
        <x:v>-0.76626899999999998</x:v>
      </x:c>
      <x:c r="AE551">
        <x:f>0</x:f>
        <x:v>0</x:v>
      </x:c>
      <x:c r="AF551">
        <x:f>0</x:f>
        <x:v>0</x:v>
      </x:c>
      <x:c r="AG551">
        <x:f>0</x:f>
        <x:v>0</x:v>
      </x:c>
    </x:row>
    <x:row r="552" spans="1:33" x14ac:dyDescent="0.25">
      <x:c r="A552" t="str">
        <x:f>"            SoFi Web 3 ETF"</x:f>
        <x:v xml:space="preserve">            SoFi Web 3 ETF</x:v>
      </x:c>
      <x:c r="B552" t="str">
        <x:f>"TWEB US Equity"</x:f>
        <x:v>TWEB US Equity</x:v>
      </x:c>
      <x:c r="E552" t="str">
        <x:f t="shared" si="18"/>
        <x:v>Expression</x:v>
      </x:c>
      <x:c r="F552">
        <x:f ca="1">IF(AND($B$1012=1,LEN($F$1550)&gt;0),$F$1550,HLOOKUP(INDIRECT(ADDRESS(2,COLUMN())),OFFSET($T$2,0,0,ROW()-1,14),ROW()-1,FALSE))</x:f>
        <x:v>0</x:v>
      </x:c>
      <x:c r="G552">
        <x:f ca="1">IF(AND($B$1012=1,LEN($G$1550)&gt;0),$G$1550,HLOOKUP(INDIRECT(ADDRESS(2,COLUMN())),OFFSET($T$2,0,0,ROW()-1,14),ROW()-1,FALSE))</x:f>
        <x:v>0</x:v>
      </x:c>
      <x:c r="H552">
        <x:f ca="1">IF(AND($B$1012=1,LEN($H$1550)&gt;0),$H$1550,HLOOKUP(INDIRECT(ADDRESS(2,COLUMN())),OFFSET($T$2,0,0,ROW()-1,14),ROW()-1,FALSE))</x:f>
        <x:v>0.36453600000000003</x:v>
      </x:c>
      <x:c r="I552">
        <x:f ca="1">IF(AND($B$1012=1,LEN($I$1550)&gt;0),$I$1550,HLOOKUP(INDIRECT(ADDRESS(2,COLUMN())),OFFSET($T$2,0,0,ROW()-1,14),ROW()-1,FALSE))</x:f>
        <x:v>0</x:v>
      </x:c>
      <x:c r="J552">
        <x:f ca="1">IF(AND($B$1012=1,LEN($J$1550)&gt;0),$J$1550,HLOOKUP(INDIRECT(ADDRESS(2,COLUMN())),OFFSET($T$2,0,0,ROW()-1,14),ROW()-1,FALSE))</x:f>
        <x:v>-1.1238E-2</x:v>
      </x:c>
      <x:c r="K552">
        <x:f ca="1">IF(AND($B$1012=1,LEN($K$1550)&gt;0),$K$1550,HLOOKUP(INDIRECT(ADDRESS(2,COLUMN())),OFFSET($T$2,0,0,ROW()-1,14),ROW()-1,FALSE))</x:f>
        <x:v>0</x:v>
      </x:c>
      <x:c r="L552">
        <x:f ca="1">IF(AND($B$1012=1,LEN($L$1550)&gt;0),$L$1550,HLOOKUP(INDIRECT(ADDRESS(2,COLUMN())),OFFSET($T$2,0,0,ROW()-1,14),ROW()-1,FALSE))</x:f>
        <x:v>0</x:v>
      </x:c>
      <x:c r="M552">
        <x:f ca="1">IF(AND($B$1012=1,LEN($M$1550)&gt;0),$M$1550,HLOOKUP(INDIRECT(ADDRESS(2,COLUMN())),OFFSET($T$2,0,0,ROW()-1,14),ROW()-1,FALSE))</x:f>
        <x:v>0.401312</x:v>
      </x:c>
      <x:c r="N552">
        <x:f ca="1">IF(AND($B$1012=1,LEN($N$1550)&gt;0),$N$1550,HLOOKUP(INDIRECT(ADDRESS(2,COLUMN())),OFFSET($T$2,0,0,ROW()-1,14),ROW()-1,FALSE))</x:f>
        <x:v>0</x:v>
      </x:c>
      <x:c r="O552">
        <x:f ca="1">IF(AND($B$1012=1,LEN($O$1550)&gt;0),$O$1550,HLOOKUP(INDIRECT(ADDRESS(2,COLUMN())),OFFSET($T$2,0,0,ROW()-1,14),ROW()-1,FALSE))</x:f>
        <x:v>0</x:v>
      </x:c>
      <x:c r="P552">
        <x:f ca="1">IF(AND($B$1012=1,LEN($P$1550)&gt;0),$P$1550,HLOOKUP(INDIRECT(ADDRESS(2,COLUMN())),OFFSET($T$2,0,0,ROW()-1,14),ROW()-1,FALSE))</x:f>
        <x:v>0</x:v>
      </x:c>
      <x:c r="Q552">
        <x:f ca="1">IF(AND($B$1012=1,LEN($Q$1550)&gt;0),$Q$1550,HLOOKUP(INDIRECT(ADDRESS(2,COLUMN())),OFFSET($T$2,0,0,ROW()-1,14),ROW()-1,FALSE))</x:f>
        <x:v>0</x:v>
      </x:c>
      <x:c r="R552">
        <x:f ca="1">IF(AND($B$1012=1,LEN($R$1550)&gt;0),$R$1550,HLOOKUP(INDIRECT(ADDRESS(2,COLUMN())),OFFSET($T$2,0,0,ROW()-1,14),ROW()-1,FALSE))</x:f>
        <x:v>0</x:v>
      </x:c>
      <x:c r="S552">
        <x:f ca="1">IF(AND($B$1012=1,LEN($S$1550)&gt;0),$S$1550,HLOOKUP(INDIRECT(ADDRESS(2,COLUMN())),OFFSET($T$2,0,0,ROW()-1,14),ROW()-1,FALSE))</x:f>
        <x:v>-6.0219199999999997</x:v>
      </x:c>
      <x:c r="T552">
        <x:f>0</x:f>
        <x:v>0</x:v>
      </x:c>
      <x:c r="U552">
        <x:f>0</x:f>
        <x:v>0</x:v>
      </x:c>
      <x:c r="V552">
        <x:f>0.364536</x:f>
        <x:v>0.36453600000000003</x:v>
      </x:c>
      <x:c r="W552">
        <x:f>0</x:f>
        <x:v>0</x:v>
      </x:c>
      <x:c r="X552">
        <x:f>-0.011238</x:f>
        <x:v>-1.1238E-2</x:v>
      </x:c>
      <x:c r="Y552">
        <x:f>0</x:f>
        <x:v>0</x:v>
      </x:c>
      <x:c r="Z552">
        <x:f>0</x:f>
        <x:v>0</x:v>
      </x:c>
      <x:c r="AA552">
        <x:f>0.401312</x:f>
        <x:v>0.401312</x:v>
      </x:c>
      <x:c r="AB552">
        <x:f>0</x:f>
        <x:v>0</x:v>
      </x:c>
      <x:c r="AC552">
        <x:f>0</x:f>
        <x:v>0</x:v>
      </x:c>
      <x:c r="AD552">
        <x:f>0</x:f>
        <x:v>0</x:v>
      </x:c>
      <x:c r="AE552">
        <x:f>0</x:f>
        <x:v>0</x:v>
      </x:c>
      <x:c r="AF552">
        <x:f>0</x:f>
        <x:v>0</x:v>
      </x:c>
      <x:c r="AG552">
        <x:f>-6.02192</x:f>
        <x:v>-6.0219199999999997</x:v>
      </x:c>
    </x:row>
    <x:row r="553" spans="1:33" x14ac:dyDescent="0.25">
      <x:c r="A553" t="str">
        <x:f>"            Global X Information Technolog"</x:f>
        <x:v xml:space="preserve">            Global X Information Technolog</x:v>
      </x:c>
      <x:c r="B553" t="str">
        <x:f>"TYLG US Equity"</x:f>
        <x:v>TYLG US Equity</x:v>
      </x:c>
      <x:c r="E553" t="str">
        <x:f t="shared" si="18"/>
        <x:v>Expression</x:v>
      </x:c>
      <x:c r="F553">
        <x:f ca="1">IF(AND($B$1012=1,LEN($F$1551)&gt;0),$F$1551,HLOOKUP(INDIRECT(ADDRESS(2,COLUMN())),OFFSET($T$2,0,0,ROW()-1,14),ROW()-1,FALSE))</x:f>
        <x:v>0</x:v>
      </x:c>
      <x:c r="G553">
        <x:f ca="1">IF(AND($B$1012=1,LEN($G$1551)&gt;0),$G$1551,HLOOKUP(INDIRECT(ADDRESS(2,COLUMN())),OFFSET($T$2,0,0,ROW()-1,14),ROW()-1,FALSE))</x:f>
        <x:v>0</x:v>
      </x:c>
      <x:c r="H553">
        <x:f ca="1">IF(AND($B$1012=1,LEN($H$1551)&gt;0),$H$1551,HLOOKUP(INDIRECT(ADDRESS(2,COLUMN())),OFFSET($T$2,0,0,ROW()-1,14),ROW()-1,FALSE))</x:f>
        <x:v>0</x:v>
      </x:c>
      <x:c r="I553">
        <x:f ca="1">IF(AND($B$1012=1,LEN($I$1551)&gt;0),$I$1551,HLOOKUP(INDIRECT(ADDRESS(2,COLUMN())),OFFSET($T$2,0,0,ROW()-1,14),ROW()-1,FALSE))</x:f>
        <x:v>0</x:v>
      </x:c>
      <x:c r="J553">
        <x:f ca="1">IF(AND($B$1012=1,LEN($J$1551)&gt;0),$J$1551,HLOOKUP(INDIRECT(ADDRESS(2,COLUMN())),OFFSET($T$2,0,0,ROW()-1,14),ROW()-1,FALSE))</x:f>
        <x:v>0.30830000000000002</x:v>
      </x:c>
      <x:c r="K553">
        <x:f ca="1">IF(AND($B$1012=1,LEN($K$1551)&gt;0),$K$1551,HLOOKUP(INDIRECT(ADDRESS(2,COLUMN())),OFFSET($T$2,0,0,ROW()-1,14),ROW()-1,FALSE))</x:f>
        <x:v>0.29470000000000002</x:v>
      </x:c>
      <x:c r="L553">
        <x:f ca="1">IF(AND($B$1012=1,LEN($L$1551)&gt;0),$L$1551,HLOOKUP(INDIRECT(ADDRESS(2,COLUMN())),OFFSET($T$2,0,0,ROW()-1,14),ROW()-1,FALSE))</x:f>
        <x:v>0</x:v>
      </x:c>
      <x:c r="M553">
        <x:f ca="1">IF(AND($B$1012=1,LEN($M$1551)&gt;0),$M$1551,HLOOKUP(INDIRECT(ADDRESS(2,COLUMN())),OFFSET($T$2,0,0,ROW()-1,14),ROW()-1,FALSE))</x:f>
        <x:v>0</x:v>
      </x:c>
      <x:c r="N553">
        <x:f ca="1">IF(AND($B$1012=1,LEN($N$1551)&gt;0),$N$1551,HLOOKUP(INDIRECT(ADDRESS(2,COLUMN())),OFFSET($T$2,0,0,ROW()-1,14),ROW()-1,FALSE))</x:f>
        <x:v>0</x:v>
      </x:c>
      <x:c r="O553">
        <x:f ca="1">IF(AND($B$1012=1,LEN($O$1551)&gt;0),$O$1551,HLOOKUP(INDIRECT(ADDRESS(2,COLUMN())),OFFSET($T$2,0,0,ROW()-1,14),ROW()-1,FALSE))</x:f>
        <x:v>0</x:v>
      </x:c>
      <x:c r="P553">
        <x:f ca="1">IF(AND($B$1012=1,LEN($P$1551)&gt;0),$P$1551,HLOOKUP(INDIRECT(ADDRESS(2,COLUMN())),OFFSET($T$2,0,0,ROW()-1,14),ROW()-1,FALSE))</x:f>
        <x:v>0</x:v>
      </x:c>
      <x:c r="Q553">
        <x:f ca="1">IF(AND($B$1012=1,LEN($Q$1551)&gt;0),$Q$1551,HLOOKUP(INDIRECT(ADDRESS(2,COLUMN())),OFFSET($T$2,0,0,ROW()-1,14),ROW()-1,FALSE))</x:f>
        <x:v>0</x:v>
      </x:c>
      <x:c r="R553">
        <x:f ca="1">IF(AND($B$1012=1,LEN($R$1551)&gt;0),$R$1551,HLOOKUP(INDIRECT(ADDRESS(2,COLUMN())),OFFSET($T$2,0,0,ROW()-1,14),ROW()-1,FALSE))</x:f>
        <x:v>0</x:v>
      </x:c>
      <x:c r="S553" t="str">
        <x:f ca="1">IF(AND($B$1012=1,LEN($S$1551)&gt;0),$S$1551,HLOOKUP(INDIRECT(ADDRESS(2,COLUMN())),OFFSET($T$2,0,0,ROW()-1,14),ROW()-1,FALSE))</x:f>
        <x:v/>
      </x:c>
      <x:c r="T553">
        <x:f>0</x:f>
        <x:v>0</x:v>
      </x:c>
      <x:c r="U553">
        <x:f>0</x:f>
        <x:v>0</x:v>
      </x:c>
      <x:c r="V553">
        <x:f>0</x:f>
        <x:v>0</x:v>
      </x:c>
      <x:c r="W553">
        <x:f>0</x:f>
        <x:v>0</x:v>
      </x:c>
      <x:c r="X553">
        <x:f>0.3083</x:f>
        <x:v>0.30830000000000002</x:v>
      </x:c>
      <x:c r="Y553">
        <x:f>0.2947</x:f>
        <x:v>0.29470000000000002</x:v>
      </x:c>
      <x:c r="Z553">
        <x:f>0</x:f>
        <x:v>0</x:v>
      </x:c>
      <x:c r="AA553">
        <x:f>0</x:f>
        <x:v>0</x:v>
      </x:c>
      <x:c r="AB553">
        <x:f>0</x:f>
        <x:v>0</x:v>
      </x:c>
      <x:c r="AC553">
        <x:f>0</x:f>
        <x:v>0</x:v>
      </x:c>
      <x:c r="AD553">
        <x:f>0</x:f>
        <x:v>0</x:v>
      </x:c>
      <x:c r="AE553">
        <x:f>0</x:f>
        <x:v>0</x:v>
      </x:c>
      <x:c r="AF553">
        <x:f>0</x:f>
        <x:v>0</x:v>
      </x:c>
      <x:c r="AG553" t="str">
        <x:f>""</x:f>
        <x:v/>
      </x:c>
    </x:row>
    <x:row r="554" spans="1:33" x14ac:dyDescent="0.25">
      <x:c r="A554" t="str">
        <x:f>"        Semiconductors"</x:f>
        <x:v xml:space="preserve">        Semiconductors</x:v>
      </x:c>
      <x:c r="B554" t="str">
        <x:f>""</x:f>
        <x:v/>
      </x:c>
      <x:c r="E554" t="str">
        <x:f>"Sum"</x:f>
        <x:v>Sum</x:v>
      </x:c>
      <x:c r="F554">
        <x:f ca="1">IF(ISERROR(IF(SUM($F$555:$F$565) = 0, "", SUM($F$555:$F$565))), "", (IF(SUM($F$555:$F$565) = 0, "", SUM($F$555:$F$565))))</x:f>
        <x:v>332.93090700000005</x:v>
      </x:c>
      <x:c r="G554">
        <x:f ca="1">IF(ISERROR(IF(SUM($G$555:$G$565) = 0, "", SUM($G$555:$G$565))), "", (IF(SUM($G$555:$G$565) = 0, "", SUM($G$555:$G$565))))</x:f>
        <x:v>403.93153199999995</x:v>
      </x:c>
      <x:c r="H554">
        <x:f ca="1">IF(ISERROR(IF(SUM($H$555:$H$565) = 0, "", SUM($H$555:$H$565))), "", (IF(SUM($H$555:$H$565) = 0, "", SUM($H$555:$H$565))))</x:f>
        <x:v>-21.10317199999999</x:v>
      </x:c>
      <x:c r="I554">
        <x:f ca="1">IF(ISERROR(IF(SUM($I$555:$I$565) = 0, "", SUM($I$555:$I$565))), "", (IF(SUM($I$555:$I$565) = 0, "", SUM($I$555:$I$565))))</x:f>
        <x:v>840.04254500000013</x:v>
      </x:c>
      <x:c r="J554">
        <x:f ca="1">IF(ISERROR(IF(SUM($J$555:$J$565) = 0, "", SUM($J$555:$J$565))), "", (IF(SUM($J$555:$J$565) = 0, "", SUM($J$555:$J$565))))</x:f>
        <x:v>567.25826399999994</x:v>
      </x:c>
      <x:c r="K554">
        <x:f ca="1">IF(ISERROR(IF(SUM($K$555:$K$565) = 0, "", SUM($K$555:$K$565))), "", (IF(SUM($K$555:$K$565) = 0, "", SUM($K$555:$K$565))))</x:f>
        <x:v>-591.85841299999993</x:v>
      </x:c>
      <x:c r="L554">
        <x:f ca="1">IF(ISERROR(IF(SUM($L$555:$L$565) = 0, "", SUM($L$555:$L$565))), "", (IF(SUM($L$555:$L$565) = 0, "", SUM($L$555:$L$565))))</x:f>
        <x:v>293.31547</x:v>
      </x:c>
      <x:c r="M554">
        <x:f ca="1">IF(ISERROR(IF(SUM($M$555:$M$565) = 0, "", SUM($M$555:$M$565))), "", (IF(SUM($M$555:$M$565) = 0, "", SUM($M$555:$M$565))))</x:f>
        <x:v>-80.175043999999929</x:v>
      </x:c>
      <x:c r="N554">
        <x:f ca="1">IF(ISERROR(IF(SUM($N$555:$N$565) = 0, "", SUM($N$555:$N$565))), "", (IF(SUM($N$555:$N$565) = 0, "", SUM($N$555:$N$565))))</x:f>
        <x:v>761.46757399999979</x:v>
      </x:c>
      <x:c r="O554">
        <x:f ca="1">IF(ISERROR(IF(SUM($O$555:$O$565) = 0, "", SUM($O$555:$O$565))), "", (IF(SUM($O$555:$O$565) = 0, "", SUM($O$555:$O$565))))</x:f>
        <x:v>189.346318</x:v>
      </x:c>
      <x:c r="P554">
        <x:f ca="1">IF(ISERROR(IF(SUM($P$555:$P$565) = 0, "", SUM($P$555:$P$565))), "", (IF(SUM($P$555:$P$565) = 0, "", SUM($P$555:$P$565))))</x:f>
        <x:v>521.43216300000006</x:v>
      </x:c>
      <x:c r="Q554">
        <x:f ca="1">IF(ISERROR(IF(SUM($Q$555:$Q$565) = 0, "", SUM($Q$555:$Q$565))), "", (IF(SUM($Q$555:$Q$565) = 0, "", SUM($Q$555:$Q$565))))</x:f>
        <x:v>-494.36772100000002</x:v>
      </x:c>
      <x:c r="R554">
        <x:f ca="1">IF(ISERROR(IF(SUM($R$555:$R$565) = 0, "", SUM($R$555:$R$565))), "", (IF(SUM($R$555:$R$565) = 0, "", SUM($R$555:$R$565))))</x:f>
        <x:v>214.33392699999993</x:v>
      </x:c>
      <x:c r="S554">
        <x:f ca="1">IF(ISERROR(IF(SUM($S$555:$S$565) = 0, "", SUM($S$555:$S$565))), "", (IF(SUM($S$555:$S$565) = 0, "", SUM($S$555:$S$565))))</x:f>
        <x:v>541.09574699999996</x:v>
      </x:c>
      <x:c r="T554">
        <x:f>332.930907</x:f>
        <x:v>332.93090699999999</x:v>
      </x:c>
      <x:c r="U554">
        <x:f>403.931532</x:f>
        <x:v>403.931532</x:v>
      </x:c>
      <x:c r="V554">
        <x:f>-21.103172</x:f>
        <x:v>-21.103172000000001</x:v>
      </x:c>
      <x:c r="W554">
        <x:f>840.042545</x:f>
        <x:v>840.04254500000002</x:v>
      </x:c>
      <x:c r="X554">
        <x:f>567.258264</x:f>
        <x:v>567.25826400000005</x:v>
      </x:c>
      <x:c r="Y554">
        <x:f>-591.858413</x:f>
        <x:v>-591.85841300000004</x:v>
      </x:c>
      <x:c r="Z554">
        <x:f>293.31547</x:f>
        <x:v>293.31547</x:v>
      </x:c>
      <x:c r="AA554">
        <x:f>-80.175044</x:f>
        <x:v>-80.175044</x:v>
      </x:c>
      <x:c r="AB554">
        <x:f>761.467574</x:f>
        <x:v>761.46757400000001</x:v>
      </x:c>
      <x:c r="AC554">
        <x:f>189.346318</x:f>
        <x:v>189.346318</x:v>
      </x:c>
      <x:c r="AD554">
        <x:f>521.432163</x:f>
        <x:v>521.43216299999995</x:v>
      </x:c>
      <x:c r="AE554">
        <x:f>-494.367721</x:f>
        <x:v>-494.36772100000002</x:v>
      </x:c>
      <x:c r="AF554">
        <x:f>214.333927</x:f>
        <x:v>214.33392699999999</x:v>
      </x:c>
      <x:c r="AG554">
        <x:f>541.095747</x:f>
        <x:v>541.09574699999996</x:v>
      </x:c>
    </x:row>
    <x:row r="555" spans="1:33" x14ac:dyDescent="0.25">
      <x:c r="A555" t="str">
        <x:f>"            ProShares Ultra Semiconductors"</x:f>
        <x:v xml:space="preserve">            ProShares Ultra Semiconductors</x:v>
      </x:c>
      <x:c r="B555" t="str">
        <x:f>"USD US Equity"</x:f>
        <x:v>USD US Equity</x:v>
      </x:c>
      <x:c r="E555" t="str">
        <x:f t="shared" ref="E555:E565" si="19">"Expression"</x:f>
        <x:v>Expression</x:v>
      </x:c>
      <x:c r="F555">
        <x:f ca="1">IF(AND($B$1012=1,LEN($F$1552)&gt;0),$F$1552,HLOOKUP(INDIRECT(ADDRESS(2,COLUMN())),OFFSET($T$2,0,0,ROW()-1,14),ROW()-1,FALSE))</x:f>
        <x:v>1.9954080000000001</x:v>
      </x:c>
      <x:c r="G555">
        <x:f ca="1">IF(AND($B$1012=1,LEN($G$1552)&gt;0),$G$1552,HLOOKUP(INDIRECT(ADDRESS(2,COLUMN())),OFFSET($T$2,0,0,ROW()-1,14),ROW()-1,FALSE))</x:f>
        <x:v>-3.8140350000000001</x:v>
      </x:c>
      <x:c r="H555">
        <x:f ca="1">IF(AND($B$1012=1,LEN($H$1552)&gt;0),$H$1552,HLOOKUP(INDIRECT(ADDRESS(2,COLUMN())),OFFSET($T$2,0,0,ROW()-1,14),ROW()-1,FALSE))</x:f>
        <x:v>19.378437000000002</x:v>
      </x:c>
      <x:c r="I555">
        <x:f ca="1">IF(AND($B$1012=1,LEN($I$1552)&gt;0),$I$1552,HLOOKUP(INDIRECT(ADDRESS(2,COLUMN())),OFFSET($T$2,0,0,ROW()-1,14),ROW()-1,FALSE))</x:f>
        <x:v>4.7206830000000002</x:v>
      </x:c>
      <x:c r="J555">
        <x:f ca="1">IF(AND($B$1012=1,LEN($J$1552)&gt;0),$J$1552,HLOOKUP(INDIRECT(ADDRESS(2,COLUMN())),OFFSET($T$2,0,0,ROW()-1,14),ROW()-1,FALSE))</x:f>
        <x:v>-5.4312529999999999</x:v>
      </x:c>
      <x:c r="K555">
        <x:f ca="1">IF(AND($B$1012=1,LEN($K$1552)&gt;0),$K$1552,HLOOKUP(INDIRECT(ADDRESS(2,COLUMN())),OFFSET($T$2,0,0,ROW()-1,14),ROW()-1,FALSE))</x:f>
        <x:v>0.41950100000000001</x:v>
      </x:c>
      <x:c r="L555">
        <x:f ca="1">IF(AND($B$1012=1,LEN($L$1552)&gt;0),$L$1552,HLOOKUP(INDIRECT(ADDRESS(2,COLUMN())),OFFSET($T$2,0,0,ROW()-1,14),ROW()-1,FALSE))</x:f>
        <x:v>-6.4802770000000001</x:v>
      </x:c>
      <x:c r="M555">
        <x:f ca="1">IF(AND($B$1012=1,LEN($M$1552)&gt;0),$M$1552,HLOOKUP(INDIRECT(ADDRESS(2,COLUMN())),OFFSET($T$2,0,0,ROW()-1,14),ROW()-1,FALSE))</x:f>
        <x:v>-6.2214549999999997</x:v>
      </x:c>
      <x:c r="N555">
        <x:f ca="1">IF(AND($B$1012=1,LEN($N$1552)&gt;0),$N$1552,HLOOKUP(INDIRECT(ADDRESS(2,COLUMN())),OFFSET($T$2,0,0,ROW()-1,14),ROW()-1,FALSE))</x:f>
        <x:v>-0.86645499999999998</x:v>
      </x:c>
      <x:c r="O555">
        <x:f ca="1">IF(AND($B$1012=1,LEN($O$1552)&gt;0),$O$1552,HLOOKUP(INDIRECT(ADDRESS(2,COLUMN())),OFFSET($T$2,0,0,ROW()-1,14),ROW()-1,FALSE))</x:f>
        <x:v>-1.465055</x:v>
      </x:c>
      <x:c r="P555">
        <x:f ca="1">IF(AND($B$1012=1,LEN($P$1552)&gt;0),$P$1552,HLOOKUP(INDIRECT(ADDRESS(2,COLUMN())),OFFSET($T$2,0,0,ROW()-1,14),ROW()-1,FALSE))</x:f>
        <x:v>1.3750420000000001</x:v>
      </x:c>
      <x:c r="Q555">
        <x:f ca="1">IF(AND($B$1012=1,LEN($Q$1552)&gt;0),$Q$1552,HLOOKUP(INDIRECT(ADDRESS(2,COLUMN())),OFFSET($T$2,0,0,ROW()-1,14),ROW()-1,FALSE))</x:f>
        <x:v>-2.2537850000000001</x:v>
      </x:c>
      <x:c r="R555">
        <x:f ca="1">IF(AND($B$1012=1,LEN($R$1552)&gt;0),$R$1552,HLOOKUP(INDIRECT(ADDRESS(2,COLUMN())),OFFSET($T$2,0,0,ROW()-1,14),ROW()-1,FALSE))</x:f>
        <x:v>-5.0839499999999997</x:v>
      </x:c>
      <x:c r="S555">
        <x:f ca="1">IF(AND($B$1012=1,LEN($S$1552)&gt;0),$S$1552,HLOOKUP(INDIRECT(ADDRESS(2,COLUMN())),OFFSET($T$2,0,0,ROW()-1,14),ROW()-1,FALSE))</x:f>
        <x:v>1.032437</x:v>
      </x:c>
      <x:c r="T555">
        <x:f>1.995408</x:f>
        <x:v>1.9954080000000001</x:v>
      </x:c>
      <x:c r="U555">
        <x:f>-3.814035</x:f>
        <x:v>-3.8140350000000001</x:v>
      </x:c>
      <x:c r="V555">
        <x:f>19.378437</x:f>
        <x:v>19.378437000000002</x:v>
      </x:c>
      <x:c r="W555">
        <x:f>4.720683</x:f>
        <x:v>4.7206830000000002</x:v>
      </x:c>
      <x:c r="X555">
        <x:f>-5.431253</x:f>
        <x:v>-5.4312529999999999</x:v>
      </x:c>
      <x:c r="Y555">
        <x:f>0.419501</x:f>
        <x:v>0.41950100000000001</x:v>
      </x:c>
      <x:c r="Z555">
        <x:f>-6.480277</x:f>
        <x:v>-6.4802770000000001</x:v>
      </x:c>
      <x:c r="AA555">
        <x:f>-6.221455</x:f>
        <x:v>-6.2214549999999997</x:v>
      </x:c>
      <x:c r="AB555">
        <x:f>-0.866455</x:f>
        <x:v>-0.86645499999999998</x:v>
      </x:c>
      <x:c r="AC555">
        <x:f>-1.465055</x:f>
        <x:v>-1.465055</x:v>
      </x:c>
      <x:c r="AD555">
        <x:f>1.375042</x:f>
        <x:v>1.3750420000000001</x:v>
      </x:c>
      <x:c r="AE555">
        <x:f>-2.253785</x:f>
        <x:v>-2.2537850000000001</x:v>
      </x:c>
      <x:c r="AF555">
        <x:f>-5.08395</x:f>
        <x:v>-5.0839499999999997</x:v>
      </x:c>
      <x:c r="AG555">
        <x:f>1.032437</x:f>
        <x:v>1.032437</x:v>
      </x:c>
    </x:row>
    <x:row r="556" spans="1:33" x14ac:dyDescent="0.25">
      <x:c r="A556" t="str">
        <x:f>"            First Trust Nasdaq Semiconduct"</x:f>
        <x:v xml:space="preserve">            First Trust Nasdaq Semiconduct</x:v>
      </x:c>
      <x:c r="B556" t="str">
        <x:f>"FTXL US Equity"</x:f>
        <x:v>FTXL US Equity</x:v>
      </x:c>
      <x:c r="E556" t="str">
        <x:f t="shared" si="19"/>
        <x:v>Expression</x:v>
      </x:c>
      <x:c r="F556">
        <x:f ca="1">IF(AND($B$1012=1,LEN($F$1553)&gt;0),$F$1553,HLOOKUP(INDIRECT(ADDRESS(2,COLUMN())),OFFSET($T$2,0,0,ROW()-1,14),ROW()-1,FALSE))</x:f>
        <x:v>-38.031804000000001</x:v>
      </x:c>
      <x:c r="G556">
        <x:f ca="1">IF(AND($B$1012=1,LEN($G$1553)&gt;0),$G$1553,HLOOKUP(INDIRECT(ADDRESS(2,COLUMN())),OFFSET($T$2,0,0,ROW()-1,14),ROW()-1,FALSE))</x:f>
        <x:v>-67.528841999999997</x:v>
      </x:c>
      <x:c r="H556">
        <x:f ca="1">IF(AND($B$1012=1,LEN($H$1553)&gt;0),$H$1553,HLOOKUP(INDIRECT(ADDRESS(2,COLUMN())),OFFSET($T$2,0,0,ROW()-1,14),ROW()-1,FALSE))</x:f>
        <x:v>-34.476762000000001</x:v>
      </x:c>
      <x:c r="I556">
        <x:f ca="1">IF(AND($B$1012=1,LEN($I$1553)&gt;0),$I$1553,HLOOKUP(INDIRECT(ADDRESS(2,COLUMN())),OFFSET($T$2,0,0,ROW()-1,14),ROW()-1,FALSE))</x:f>
        <x:v>37.996000000000002</x:v>
      </x:c>
      <x:c r="J556">
        <x:f ca="1">IF(AND($B$1012=1,LEN($J$1553)&gt;0),$J$1553,HLOOKUP(INDIRECT(ADDRESS(2,COLUMN())),OFFSET($T$2,0,0,ROW()-1,14),ROW()-1,FALSE))</x:f>
        <x:v>22.100999999999999</x:v>
      </x:c>
      <x:c r="K556">
        <x:f ca="1">IF(AND($B$1012=1,LEN($K$1553)&gt;0),$K$1553,HLOOKUP(INDIRECT(ADDRESS(2,COLUMN())),OFFSET($T$2,0,0,ROW()-1,14),ROW()-1,FALSE))</x:f>
        <x:v>34.984000000000002</x:v>
      </x:c>
      <x:c r="L556">
        <x:f ca="1">IF(AND($B$1012=1,LEN($L$1553)&gt;0),$L$1553,HLOOKUP(INDIRECT(ADDRESS(2,COLUMN())),OFFSET($T$2,0,0,ROW()-1,14),ROW()-1,FALSE))</x:f>
        <x:v>19.137217</x:v>
      </x:c>
      <x:c r="M556">
        <x:f ca="1">IF(AND($B$1012=1,LEN($M$1553)&gt;0),$M$1553,HLOOKUP(INDIRECT(ADDRESS(2,COLUMN())),OFFSET($T$2,0,0,ROW()-1,14),ROW()-1,FALSE))</x:f>
        <x:v>25.702221000000002</x:v>
      </x:c>
      <x:c r="N556">
        <x:f ca="1">IF(AND($B$1012=1,LEN($N$1553)&gt;0),$N$1553,HLOOKUP(INDIRECT(ADDRESS(2,COLUMN())),OFFSET($T$2,0,0,ROW()-1,14),ROW()-1,FALSE))</x:f>
        <x:v>840.42607699999996</x:v>
      </x:c>
      <x:c r="O556">
        <x:f ca="1">IF(AND($B$1012=1,LEN($O$1553)&gt;0),$O$1553,HLOOKUP(INDIRECT(ADDRESS(2,COLUMN())),OFFSET($T$2,0,0,ROW()-1,14),ROW()-1,FALSE))</x:f>
        <x:v>14.903865</x:v>
      </x:c>
      <x:c r="P556">
        <x:f ca="1">IF(AND($B$1012=1,LEN($P$1553)&gt;0),$P$1553,HLOOKUP(INDIRECT(ADDRESS(2,COLUMN())),OFFSET($T$2,0,0,ROW()-1,14),ROW()-1,FALSE))</x:f>
        <x:v>-2.99885</x:v>
      </x:c>
      <x:c r="Q556">
        <x:f ca="1">IF(AND($B$1012=1,LEN($Q$1553)&gt;0),$Q$1553,HLOOKUP(INDIRECT(ADDRESS(2,COLUMN())),OFFSET($T$2,0,0,ROW()-1,14),ROW()-1,FALSE))</x:f>
        <x:v>2.6610550000000002</x:v>
      </x:c>
      <x:c r="R556">
        <x:f ca="1">IF(AND($B$1012=1,LEN($R$1553)&gt;0),$R$1553,HLOOKUP(INDIRECT(ADDRESS(2,COLUMN())),OFFSET($T$2,0,0,ROW()-1,14),ROW()-1,FALSE))</x:f>
        <x:v>2.7681170000000002</x:v>
      </x:c>
      <x:c r="S556">
        <x:f ca="1">IF(AND($B$1012=1,LEN($S$1553)&gt;0),$S$1553,HLOOKUP(INDIRECT(ADDRESS(2,COLUMN())),OFFSET($T$2,0,0,ROW()-1,14),ROW()-1,FALSE))</x:f>
        <x:v>2.3996119999999999</x:v>
      </x:c>
      <x:c r="T556">
        <x:f>-38.031804</x:f>
        <x:v>-38.031804000000001</x:v>
      </x:c>
      <x:c r="U556">
        <x:f>-67.528842</x:f>
        <x:v>-67.528841999999997</x:v>
      </x:c>
      <x:c r="V556">
        <x:f>-34.476762</x:f>
        <x:v>-34.476762000000001</x:v>
      </x:c>
      <x:c r="W556">
        <x:f>37.996</x:f>
        <x:v>37.996000000000002</x:v>
      </x:c>
      <x:c r="X556">
        <x:f>22.101</x:f>
        <x:v>22.100999999999999</x:v>
      </x:c>
      <x:c r="Y556">
        <x:f>34.984</x:f>
        <x:v>34.984000000000002</x:v>
      </x:c>
      <x:c r="Z556">
        <x:f>19.137217</x:f>
        <x:v>19.137217</x:v>
      </x:c>
      <x:c r="AA556">
        <x:f>25.702221</x:f>
        <x:v>25.702221000000002</x:v>
      </x:c>
      <x:c r="AB556">
        <x:f>840.426077</x:f>
        <x:v>840.42607699999996</x:v>
      </x:c>
      <x:c r="AC556">
        <x:f>14.903865</x:f>
        <x:v>14.903865</x:v>
      </x:c>
      <x:c r="AD556">
        <x:f>-2.99885</x:f>
        <x:v>-2.99885</x:v>
      </x:c>
      <x:c r="AE556">
        <x:f>2.661055</x:f>
        <x:v>2.6610550000000002</x:v>
      </x:c>
      <x:c r="AF556">
        <x:f>2.768117</x:f>
        <x:v>2.7681170000000002</x:v>
      </x:c>
      <x:c r="AG556">
        <x:f>2.399612</x:f>
        <x:v>2.3996119999999999</x:v>
      </x:c>
    </x:row>
    <x:row r="557" spans="1:33" x14ac:dyDescent="0.25">
      <x:c r="A557" t="str">
        <x:f>"            iShares Semiconductor ETF"</x:f>
        <x:v xml:space="preserve">            iShares Semiconductor ETF</x:v>
      </x:c>
      <x:c r="B557" t="str">
        <x:f>"SOXX US Equity"</x:f>
        <x:v>SOXX US Equity</x:v>
      </x:c>
      <x:c r="E557" t="str">
        <x:f t="shared" si="19"/>
        <x:v>Expression</x:v>
      </x:c>
      <x:c r="F557">
        <x:f ca="1">IF(AND($B$1012=1,LEN($F$1554)&gt;0),$F$1554,HLOOKUP(INDIRECT(ADDRESS(2,COLUMN())),OFFSET($T$2,0,0,ROW()-1,14),ROW()-1,FALSE))</x:f>
        <x:v>140.95515900000001</x:v>
      </x:c>
      <x:c r="G557">
        <x:f ca="1">IF(AND($B$1012=1,LEN($G$1554)&gt;0),$G$1554,HLOOKUP(INDIRECT(ADDRESS(2,COLUMN())),OFFSET($T$2,0,0,ROW()-1,14),ROW()-1,FALSE))</x:f>
        <x:v>60.009717000000002</x:v>
      </x:c>
      <x:c r="H557">
        <x:f ca="1">IF(AND($B$1012=1,LEN($H$1554)&gt;0),$H$1554,HLOOKUP(INDIRECT(ADDRESS(2,COLUMN())),OFFSET($T$2,0,0,ROW()-1,14),ROW()-1,FALSE))</x:f>
        <x:v>-200.30193199999999</x:v>
      </x:c>
      <x:c r="I557">
        <x:f ca="1">IF(AND($B$1012=1,LEN($I$1554)&gt;0),$I$1554,HLOOKUP(INDIRECT(ADDRESS(2,COLUMN())),OFFSET($T$2,0,0,ROW()-1,14),ROW()-1,FALSE))</x:f>
        <x:v>512.78744500000005</x:v>
      </x:c>
      <x:c r="J557">
        <x:f ca="1">IF(AND($B$1012=1,LEN($J$1554)&gt;0),$J$1554,HLOOKUP(INDIRECT(ADDRESS(2,COLUMN())),OFFSET($T$2,0,0,ROW()-1,14),ROW()-1,FALSE))</x:f>
        <x:v>-180.25806</x:v>
      </x:c>
      <x:c r="K557">
        <x:f ca="1">IF(AND($B$1012=1,LEN($K$1554)&gt;0),$K$1554,HLOOKUP(INDIRECT(ADDRESS(2,COLUMN())),OFFSET($T$2,0,0,ROW()-1,14),ROW()-1,FALSE))</x:f>
        <x:v>120.77016</x:v>
      </x:c>
      <x:c r="L557">
        <x:f ca="1">IF(AND($B$1012=1,LEN($L$1554)&gt;0),$L$1554,HLOOKUP(INDIRECT(ADDRESS(2,COLUMN())),OFFSET($T$2,0,0,ROW()-1,14),ROW()-1,FALSE))</x:f>
        <x:v>-173.40679499999999</x:v>
      </x:c>
      <x:c r="M557">
        <x:f ca="1">IF(AND($B$1012=1,LEN($M$1554)&gt;0),$M$1554,HLOOKUP(INDIRECT(ADDRESS(2,COLUMN())),OFFSET($T$2,0,0,ROW()-1,14),ROW()-1,FALSE))</x:f>
        <x:v>28.333144999999998</x:v>
      </x:c>
      <x:c r="N557">
        <x:f ca="1">IF(AND($B$1012=1,LEN($N$1554)&gt;0),$N$1554,HLOOKUP(INDIRECT(ADDRESS(2,COLUMN())),OFFSET($T$2,0,0,ROW()-1,14),ROW()-1,FALSE))</x:f>
        <x:v>255.71725000000001</x:v>
      </x:c>
      <x:c r="O557">
        <x:f ca="1">IF(AND($B$1012=1,LEN($O$1554)&gt;0),$O$1554,HLOOKUP(INDIRECT(ADDRESS(2,COLUMN())),OFFSET($T$2,0,0,ROW()-1,14),ROW()-1,FALSE))</x:f>
        <x:v>-43.566009999999999</x:v>
      </x:c>
      <x:c r="P557">
        <x:f ca="1">IF(AND($B$1012=1,LEN($P$1554)&gt;0),$P$1554,HLOOKUP(INDIRECT(ADDRESS(2,COLUMN())),OFFSET($T$2,0,0,ROW()-1,14),ROW()-1,FALSE))</x:f>
        <x:v>63.960684999999998</x:v>
      </x:c>
      <x:c r="Q557">
        <x:f ca="1">IF(AND($B$1012=1,LEN($Q$1554)&gt;0),$Q$1554,HLOOKUP(INDIRECT(ADDRESS(2,COLUMN())),OFFSET($T$2,0,0,ROW()-1,14),ROW()-1,FALSE))</x:f>
        <x:v>-13.12229</x:v>
      </x:c>
      <x:c r="R557">
        <x:f ca="1">IF(AND($B$1012=1,LEN($R$1554)&gt;0),$R$1554,HLOOKUP(INDIRECT(ADDRESS(2,COLUMN())),OFFSET($T$2,0,0,ROW()-1,14),ROW()-1,FALSE))</x:f>
        <x:v>-116.977805</x:v>
      </x:c>
      <x:c r="S557">
        <x:f ca="1">IF(AND($B$1012=1,LEN($S$1554)&gt;0),$S$1554,HLOOKUP(INDIRECT(ADDRESS(2,COLUMN())),OFFSET($T$2,0,0,ROW()-1,14),ROW()-1,FALSE))</x:f>
        <x:v>-42.034179999999999</x:v>
      </x:c>
      <x:c r="T557">
        <x:f>140.955159</x:f>
        <x:v>140.95515900000001</x:v>
      </x:c>
      <x:c r="U557">
        <x:f>60.009717</x:f>
        <x:v>60.009717000000002</x:v>
      </x:c>
      <x:c r="V557">
        <x:f>-200.301932</x:f>
        <x:v>-200.30193199999999</x:v>
      </x:c>
      <x:c r="W557">
        <x:f>512.787445</x:f>
        <x:v>512.78744500000005</x:v>
      </x:c>
      <x:c r="X557">
        <x:f>-180.25806</x:f>
        <x:v>-180.25806</x:v>
      </x:c>
      <x:c r="Y557">
        <x:f>120.77016</x:f>
        <x:v>120.77016</x:v>
      </x:c>
      <x:c r="Z557">
        <x:f>-173.406795</x:f>
        <x:v>-173.40679499999999</x:v>
      </x:c>
      <x:c r="AA557">
        <x:f>28.333145</x:f>
        <x:v>28.333144999999998</x:v>
      </x:c>
      <x:c r="AB557">
        <x:f>255.71725</x:f>
        <x:v>255.71725000000001</x:v>
      </x:c>
      <x:c r="AC557">
        <x:f>-43.56601</x:f>
        <x:v>-43.566009999999999</x:v>
      </x:c>
      <x:c r="AD557">
        <x:f>63.960685</x:f>
        <x:v>63.960684999999998</x:v>
      </x:c>
      <x:c r="AE557">
        <x:f>-13.12229</x:f>
        <x:v>-13.12229</x:v>
      </x:c>
      <x:c r="AF557">
        <x:f>-116.977805</x:f>
        <x:v>-116.977805</x:v>
      </x:c>
      <x:c r="AG557">
        <x:f>-42.03418</x:f>
        <x:v>-42.034179999999999</x:v>
      </x:c>
    </x:row>
    <x:row r="558" spans="1:33" x14ac:dyDescent="0.25">
      <x:c r="A558" t="str">
        <x:f>"            VanEck Semiconductor ETF"</x:f>
        <x:v xml:space="preserve">            VanEck Semiconductor ETF</x:v>
      </x:c>
      <x:c r="B558" t="str">
        <x:f>"SMH US Equity"</x:f>
        <x:v>SMH US Equity</x:v>
      </x:c>
      <x:c r="E558" t="str">
        <x:f t="shared" si="19"/>
        <x:v>Expression</x:v>
      </x:c>
      <x:c r="F558">
        <x:f ca="1">IF(AND($B$1012=1,LEN($F$1555)&gt;0),$F$1555,HLOOKUP(INDIRECT(ADDRESS(2,COLUMN())),OFFSET($T$2,0,0,ROW()-1,14),ROW()-1,FALSE))</x:f>
        <x:v>213.94626400000001</x:v>
      </x:c>
      <x:c r="G558">
        <x:f ca="1">IF(AND($B$1012=1,LEN($G$1555)&gt;0),$G$1555,HLOOKUP(INDIRECT(ADDRESS(2,COLUMN())),OFFSET($T$2,0,0,ROW()-1,14),ROW()-1,FALSE))</x:f>
        <x:v>300.87933900000002</x:v>
      </x:c>
      <x:c r="H558">
        <x:f ca="1">IF(AND($B$1012=1,LEN($H$1555)&gt;0),$H$1555,HLOOKUP(INDIRECT(ADDRESS(2,COLUMN())),OFFSET($T$2,0,0,ROW()-1,14),ROW()-1,FALSE))</x:f>
        <x:v>-73.989470999999995</x:v>
      </x:c>
      <x:c r="I558">
        <x:f ca="1">IF(AND($B$1012=1,LEN($I$1555)&gt;0),$I$1555,HLOOKUP(INDIRECT(ADDRESS(2,COLUMN())),OFFSET($T$2,0,0,ROW()-1,14),ROW()-1,FALSE))</x:f>
        <x:v>-119.104288</x:v>
      </x:c>
      <x:c r="J558">
        <x:f ca="1">IF(AND($B$1012=1,LEN($J$1555)&gt;0),$J$1555,HLOOKUP(INDIRECT(ADDRESS(2,COLUMN())),OFFSET($T$2,0,0,ROW()-1,14),ROW()-1,FALSE))</x:f>
        <x:v>889.67233799999997</x:v>
      </x:c>
      <x:c r="K558">
        <x:f ca="1">IF(AND($B$1012=1,LEN($K$1555)&gt;0),$K$1555,HLOOKUP(INDIRECT(ADDRESS(2,COLUMN())),OFFSET($T$2,0,0,ROW()-1,14),ROW()-1,FALSE))</x:f>
        <x:v>-488.853115</x:v>
      </x:c>
      <x:c r="L558">
        <x:f ca="1">IF(AND($B$1012=1,LEN($L$1555)&gt;0),$L$1555,HLOOKUP(INDIRECT(ADDRESS(2,COLUMN())),OFFSET($T$2,0,0,ROW()-1,14),ROW()-1,FALSE))</x:f>
        <x:v>818.05861200000004</x:v>
      </x:c>
      <x:c r="M558">
        <x:f ca="1">IF(AND($B$1012=1,LEN($M$1555)&gt;0),$M$1555,HLOOKUP(INDIRECT(ADDRESS(2,COLUMN())),OFFSET($T$2,0,0,ROW()-1,14),ROW()-1,FALSE))</x:f>
        <x:v>-399.19874199999998</x:v>
      </x:c>
      <x:c r="N558">
        <x:f ca="1">IF(AND($B$1012=1,LEN($N$1555)&gt;0),$N$1555,HLOOKUP(INDIRECT(ADDRESS(2,COLUMN())),OFFSET($T$2,0,0,ROW()-1,14),ROW()-1,FALSE))</x:f>
        <x:v>-22.550077000000002</x:v>
      </x:c>
      <x:c r="O558">
        <x:f ca="1">IF(AND($B$1012=1,LEN($O$1555)&gt;0),$O$1555,HLOOKUP(INDIRECT(ADDRESS(2,COLUMN())),OFFSET($T$2,0,0,ROW()-1,14),ROW()-1,FALSE))</x:f>
        <x:v>122.39621699999999</x:v>
      </x:c>
      <x:c r="P558">
        <x:f ca="1">IF(AND($B$1012=1,LEN($P$1555)&gt;0),$P$1555,HLOOKUP(INDIRECT(ADDRESS(2,COLUMN())),OFFSET($T$2,0,0,ROW()-1,14),ROW()-1,FALSE))</x:f>
        <x:v>-121.28693699999999</x:v>
      </x:c>
      <x:c r="Q558">
        <x:f ca="1">IF(AND($B$1012=1,LEN($Q$1555)&gt;0),$Q$1555,HLOOKUP(INDIRECT(ADDRESS(2,COLUMN())),OFFSET($T$2,0,0,ROW()-1,14),ROW()-1,FALSE))</x:f>
        <x:v>-552.935744</x:v>
      </x:c>
      <x:c r="R558">
        <x:f ca="1">IF(AND($B$1012=1,LEN($R$1555)&gt;0),$R$1555,HLOOKUP(INDIRECT(ADDRESS(2,COLUMN())),OFFSET($T$2,0,0,ROW()-1,14),ROW()-1,FALSE))</x:f>
        <x:v>-69.275751</x:v>
      </x:c>
      <x:c r="S558">
        <x:f ca="1">IF(AND($B$1012=1,LEN($S$1555)&gt;0),$S$1555,HLOOKUP(INDIRECT(ADDRESS(2,COLUMN())),OFFSET($T$2,0,0,ROW()-1,14),ROW()-1,FALSE))</x:f>
        <x:v>541.73414600000001</x:v>
      </x:c>
      <x:c r="T558">
        <x:f>213.946264</x:f>
        <x:v>213.94626400000001</x:v>
      </x:c>
      <x:c r="U558">
        <x:f>300.879339</x:f>
        <x:v>300.87933900000002</x:v>
      </x:c>
      <x:c r="V558">
        <x:f>-73.989471</x:f>
        <x:v>-73.989470999999995</x:v>
      </x:c>
      <x:c r="W558">
        <x:f>-119.104288</x:f>
        <x:v>-119.104288</x:v>
      </x:c>
      <x:c r="X558">
        <x:f>889.672338</x:f>
        <x:v>889.67233799999997</x:v>
      </x:c>
      <x:c r="Y558">
        <x:f>-488.853115</x:f>
        <x:v>-488.853115</x:v>
      </x:c>
      <x:c r="Z558">
        <x:f>818.058612</x:f>
        <x:v>818.05861200000004</x:v>
      </x:c>
      <x:c r="AA558">
        <x:f>-399.198742</x:f>
        <x:v>-399.19874199999998</x:v>
      </x:c>
      <x:c r="AB558">
        <x:f>-22.550077</x:f>
        <x:v>-22.550077000000002</x:v>
      </x:c>
      <x:c r="AC558">
        <x:f>122.396217</x:f>
        <x:v>122.39621699999999</x:v>
      </x:c>
      <x:c r="AD558">
        <x:f>-121.286937</x:f>
        <x:v>-121.28693699999999</x:v>
      </x:c>
      <x:c r="AE558">
        <x:f>-552.935744</x:f>
        <x:v>-552.935744</x:v>
      </x:c>
      <x:c r="AF558">
        <x:f>-69.275751</x:f>
        <x:v>-69.275751</x:v>
      </x:c>
      <x:c r="AG558">
        <x:f>541.734146</x:f>
        <x:v>541.73414600000001</x:v>
      </x:c>
    </x:row>
    <x:row r="559" spans="1:33" x14ac:dyDescent="0.25">
      <x:c r="A559" t="str">
        <x:f>"            Direxion Daily Semiconductors"</x:f>
        <x:v xml:space="preserve">            Direxion Daily Semiconductors</x:v>
      </x:c>
      <x:c r="B559" t="str">
        <x:f>"SOXL US Equity"</x:f>
        <x:v>SOXL US Equity</x:v>
      </x:c>
      <x:c r="E559" t="str">
        <x:f t="shared" si="19"/>
        <x:v>Expression</x:v>
      </x:c>
      <x:c r="F559">
        <x:f ca="1">IF(AND($B$1012=1,LEN($F$1556)&gt;0),$F$1556,HLOOKUP(INDIRECT(ADDRESS(2,COLUMN())),OFFSET($T$2,0,0,ROW()-1,14),ROW()-1,FALSE))</x:f>
        <x:v>-602.19498799999997</x:v>
      </x:c>
      <x:c r="G559">
        <x:f ca="1">IF(AND($B$1012=1,LEN($G$1556)&gt;0),$G$1556,HLOOKUP(INDIRECT(ADDRESS(2,COLUMN())),OFFSET($T$2,0,0,ROW()-1,14),ROW()-1,FALSE))</x:f>
        <x:v>516.26810399999999</x:v>
      </x:c>
      <x:c r="H559">
        <x:f ca="1">IF(AND($B$1012=1,LEN($H$1556)&gt;0),$H$1556,HLOOKUP(INDIRECT(ADDRESS(2,COLUMN())),OFFSET($T$2,0,0,ROW()-1,14),ROW()-1,FALSE))</x:f>
        <x:v>685.29377099999999</x:v>
      </x:c>
      <x:c r="I559">
        <x:f ca="1">IF(AND($B$1012=1,LEN($I$1556)&gt;0),$I$1556,HLOOKUP(INDIRECT(ADDRESS(2,COLUMN())),OFFSET($T$2,0,0,ROW()-1,14),ROW()-1,FALSE))</x:f>
        <x:v>491.50197400000002</x:v>
      </x:c>
      <x:c r="J559">
        <x:f ca="1">IF(AND($B$1012=1,LEN($J$1556)&gt;0),$J$1556,HLOOKUP(INDIRECT(ADDRESS(2,COLUMN())),OFFSET($T$2,0,0,ROW()-1,14),ROW()-1,FALSE))</x:f>
        <x:v>-286.21804100000003</x:v>
      </x:c>
      <x:c r="K559">
        <x:f ca="1">IF(AND($B$1012=1,LEN($K$1556)&gt;0),$K$1556,HLOOKUP(INDIRECT(ADDRESS(2,COLUMN())),OFFSET($T$2,0,0,ROW()-1,14),ROW()-1,FALSE))</x:f>
        <x:v>-374.02453800000001</x:v>
      </x:c>
      <x:c r="L559">
        <x:f ca="1">IF(AND($B$1012=1,LEN($L$1556)&gt;0),$L$1556,HLOOKUP(INDIRECT(ADDRESS(2,COLUMN())),OFFSET($T$2,0,0,ROW()-1,14),ROW()-1,FALSE))</x:f>
        <x:v>-965.45742299999995</x:v>
      </x:c>
      <x:c r="M559">
        <x:f ca="1">IF(AND($B$1012=1,LEN($M$1556)&gt;0),$M$1556,HLOOKUP(INDIRECT(ADDRESS(2,COLUMN())),OFFSET($T$2,0,0,ROW()-1,14),ROW()-1,FALSE))</x:f>
        <x:v>616.92093499999999</x:v>
      </x:c>
      <x:c r="N559">
        <x:f ca="1">IF(AND($B$1012=1,LEN($N$1556)&gt;0),$N$1556,HLOOKUP(INDIRECT(ADDRESS(2,COLUMN())),OFFSET($T$2,0,0,ROW()-1,14),ROW()-1,FALSE))</x:f>
        <x:v>-390.37497100000002</x:v>
      </x:c>
      <x:c r="O559">
        <x:f ca="1">IF(AND($B$1012=1,LEN($O$1556)&gt;0),$O$1556,HLOOKUP(INDIRECT(ADDRESS(2,COLUMN())),OFFSET($T$2,0,0,ROW()-1,14),ROW()-1,FALSE))</x:f>
        <x:v>-120.077736</x:v>
      </x:c>
      <x:c r="P559">
        <x:f ca="1">IF(AND($B$1012=1,LEN($P$1556)&gt;0),$P$1556,HLOOKUP(INDIRECT(ADDRESS(2,COLUMN())),OFFSET($T$2,0,0,ROW()-1,14),ROW()-1,FALSE))</x:f>
        <x:v>-601.84658999999999</x:v>
      </x:c>
      <x:c r="Q559">
        <x:f ca="1">IF(AND($B$1012=1,LEN($Q$1556)&gt;0),$Q$1556,HLOOKUP(INDIRECT(ADDRESS(2,COLUMN())),OFFSET($T$2,0,0,ROW()-1,14),ROW()-1,FALSE))</x:f>
        <x:v>93.059117000000001</x:v>
      </x:c>
      <x:c r="R559">
        <x:f ca="1">IF(AND($B$1012=1,LEN($R$1556)&gt;0),$R$1556,HLOOKUP(INDIRECT(ADDRESS(2,COLUMN())),OFFSET($T$2,0,0,ROW()-1,14),ROW()-1,FALSE))</x:f>
        <x:v>-292.04730599999999</x:v>
      </x:c>
      <x:c r="S559">
        <x:f ca="1">IF(AND($B$1012=1,LEN($S$1556)&gt;0),$S$1556,HLOOKUP(INDIRECT(ADDRESS(2,COLUMN())),OFFSET($T$2,0,0,ROW()-1,14),ROW()-1,FALSE))</x:f>
        <x:v>82.352952999999999</x:v>
      </x:c>
      <x:c r="T559">
        <x:f>-602.194988</x:f>
        <x:v>-602.19498799999997</x:v>
      </x:c>
      <x:c r="U559">
        <x:f>516.268104</x:f>
        <x:v>516.26810399999999</x:v>
      </x:c>
      <x:c r="V559">
        <x:f>685.293771</x:f>
        <x:v>685.29377099999999</x:v>
      </x:c>
      <x:c r="W559">
        <x:f>491.501974</x:f>
        <x:v>491.50197400000002</x:v>
      </x:c>
      <x:c r="X559">
        <x:f>-286.218041</x:f>
        <x:v>-286.21804100000003</x:v>
      </x:c>
      <x:c r="Y559">
        <x:f>-374.024538</x:f>
        <x:v>-374.02453800000001</x:v>
      </x:c>
      <x:c r="Z559">
        <x:f>-965.457423</x:f>
        <x:v>-965.45742299999995</x:v>
      </x:c>
      <x:c r="AA559">
        <x:f>616.920935</x:f>
        <x:v>616.92093499999999</x:v>
      </x:c>
      <x:c r="AB559">
        <x:f>-390.374971</x:f>
        <x:v>-390.37497100000002</x:v>
      </x:c>
      <x:c r="AC559">
        <x:f>-120.077736</x:f>
        <x:v>-120.077736</x:v>
      </x:c>
      <x:c r="AD559">
        <x:f>-601.84659</x:f>
        <x:v>-601.84658999999999</x:v>
      </x:c>
      <x:c r="AE559">
        <x:f>93.059117</x:f>
        <x:v>93.059117000000001</x:v>
      </x:c>
      <x:c r="AF559">
        <x:f>-292.047306</x:f>
        <x:v>-292.04730599999999</x:v>
      </x:c>
      <x:c r="AG559">
        <x:f>82.352953</x:f>
        <x:v>82.352952999999999</x:v>
      </x:c>
    </x:row>
    <x:row r="560" spans="1:33" x14ac:dyDescent="0.25">
      <x:c r="A560" t="str">
        <x:f>"            SPDR S&amp;P Semiconductor ETF"</x:f>
        <x:v xml:space="preserve">            SPDR S&amp;P Semiconductor ETF</x:v>
      </x:c>
      <x:c r="B560" t="str">
        <x:f>"XSD US Equity"</x:f>
        <x:v>XSD US Equity</x:v>
      </x:c>
      <x:c r="E560" t="str">
        <x:f t="shared" si="19"/>
        <x:v>Expression</x:v>
      </x:c>
      <x:c r="F560">
        <x:f ca="1">IF(AND($B$1012=1,LEN($F$1557)&gt;0),$F$1557,HLOOKUP(INDIRECT(ADDRESS(2,COLUMN())),OFFSET($T$2,0,0,ROW()-1,14),ROW()-1,FALSE))</x:f>
        <x:v>-14.771032999999999</x:v>
      </x:c>
      <x:c r="G560">
        <x:f ca="1">IF(AND($B$1012=1,LEN($G$1557)&gt;0),$G$1557,HLOOKUP(INDIRECT(ADDRESS(2,COLUMN())),OFFSET($T$2,0,0,ROW()-1,14),ROW()-1,FALSE))</x:f>
        <x:v>-24.103318000000002</x:v>
      </x:c>
      <x:c r="H560">
        <x:f ca="1">IF(AND($B$1012=1,LEN($H$1557)&gt;0),$H$1557,HLOOKUP(INDIRECT(ADDRESS(2,COLUMN())),OFFSET($T$2,0,0,ROW()-1,14),ROW()-1,FALSE))</x:f>
        <x:v>-49.779285999999999</x:v>
      </x:c>
      <x:c r="I560">
        <x:f ca="1">IF(AND($B$1012=1,LEN($I$1557)&gt;0),$I$1557,HLOOKUP(INDIRECT(ADDRESS(2,COLUMN())),OFFSET($T$2,0,0,ROW()-1,14),ROW()-1,FALSE))</x:f>
        <x:v>5.7941539999999998</x:v>
      </x:c>
      <x:c r="J560">
        <x:f ca="1">IF(AND($B$1012=1,LEN($J$1557)&gt;0),$J$1557,HLOOKUP(INDIRECT(ADDRESS(2,COLUMN())),OFFSET($T$2,0,0,ROW()-1,14),ROW()-1,FALSE))</x:f>
        <x:v>22.063542999999999</x:v>
      </x:c>
      <x:c r="K560">
        <x:f ca="1">IF(AND($B$1012=1,LEN($K$1557)&gt;0),$K$1557,HLOOKUP(INDIRECT(ADDRESS(2,COLUMN())),OFFSET($T$2,0,0,ROW()-1,14),ROW()-1,FALSE))</x:f>
        <x:v>2.5254539999999999</x:v>
      </x:c>
      <x:c r="L560">
        <x:f ca="1">IF(AND($B$1012=1,LEN($L$1557)&gt;0),$L$1557,HLOOKUP(INDIRECT(ADDRESS(2,COLUMN())),OFFSET($T$2,0,0,ROW()-1,14),ROW()-1,FALSE))</x:f>
        <x:v>-87.414733999999996</x:v>
      </x:c>
      <x:c r="M560">
        <x:f ca="1">IF(AND($B$1012=1,LEN($M$1557)&gt;0),$M$1557,HLOOKUP(INDIRECT(ADDRESS(2,COLUMN())),OFFSET($T$2,0,0,ROW()-1,14),ROW()-1,FALSE))</x:f>
        <x:v>104.895016</x:v>
      </x:c>
      <x:c r="N560">
        <x:f ca="1">IF(AND($B$1012=1,LEN($N$1557)&gt;0),$N$1557,HLOOKUP(INDIRECT(ADDRESS(2,COLUMN())),OFFSET($T$2,0,0,ROW()-1,14),ROW()-1,FALSE))</x:f>
        <x:v>104.44824199999999</x:v>
      </x:c>
      <x:c r="O560">
        <x:f ca="1">IF(AND($B$1012=1,LEN($O$1557)&gt;0),$O$1557,HLOOKUP(INDIRECT(ADDRESS(2,COLUMN())),OFFSET($T$2,0,0,ROW()-1,14),ROW()-1,FALSE))</x:f>
        <x:v>72.438642999999999</x:v>
      </x:c>
      <x:c r="P560">
        <x:f ca="1">IF(AND($B$1012=1,LEN($P$1557)&gt;0),$P$1557,HLOOKUP(INDIRECT(ADDRESS(2,COLUMN())),OFFSET($T$2,0,0,ROW()-1,14),ROW()-1,FALSE))</x:f>
        <x:v>18.807417000000001</x:v>
      </x:c>
      <x:c r="Q560">
        <x:f ca="1">IF(AND($B$1012=1,LEN($Q$1557)&gt;0),$Q$1557,HLOOKUP(INDIRECT(ADDRESS(2,COLUMN())),OFFSET($T$2,0,0,ROW()-1,14),ROW()-1,FALSE))</x:f>
        <x:v>18.025969</x:v>
      </x:c>
      <x:c r="R560">
        <x:f ca="1">IF(AND($B$1012=1,LEN($R$1557)&gt;0),$R$1557,HLOOKUP(INDIRECT(ADDRESS(2,COLUMN())),OFFSET($T$2,0,0,ROW()-1,14),ROW()-1,FALSE))</x:f>
        <x:v>-0.13350600000000001</x:v>
      </x:c>
      <x:c r="S560">
        <x:f ca="1">IF(AND($B$1012=1,LEN($S$1557)&gt;0),$S$1557,HLOOKUP(INDIRECT(ADDRESS(2,COLUMN())),OFFSET($T$2,0,0,ROW()-1,14),ROW()-1,FALSE))</x:f>
        <x:v>-41.173833000000002</x:v>
      </x:c>
      <x:c r="T560">
        <x:f>-14.771033</x:f>
        <x:v>-14.771032999999999</x:v>
      </x:c>
      <x:c r="U560">
        <x:f>-24.103318</x:f>
        <x:v>-24.103318000000002</x:v>
      </x:c>
      <x:c r="V560">
        <x:f>-49.779286</x:f>
        <x:v>-49.779285999999999</x:v>
      </x:c>
      <x:c r="W560">
        <x:f>5.794154</x:f>
        <x:v>5.7941539999999998</x:v>
      </x:c>
      <x:c r="X560">
        <x:f>22.063543</x:f>
        <x:v>22.063542999999999</x:v>
      </x:c>
      <x:c r="Y560">
        <x:f>2.525454</x:f>
        <x:v>2.5254539999999999</x:v>
      </x:c>
      <x:c r="Z560">
        <x:f>-87.414734</x:f>
        <x:v>-87.414733999999996</x:v>
      </x:c>
      <x:c r="AA560">
        <x:f>104.895016</x:f>
        <x:v>104.895016</x:v>
      </x:c>
      <x:c r="AB560">
        <x:f>104.448242</x:f>
        <x:v>104.44824199999999</x:v>
      </x:c>
      <x:c r="AC560">
        <x:f>72.438643</x:f>
        <x:v>72.438642999999999</x:v>
      </x:c>
      <x:c r="AD560">
        <x:f>18.807417</x:f>
        <x:v>18.807417000000001</x:v>
      </x:c>
      <x:c r="AE560">
        <x:f>18.025969</x:f>
        <x:v>18.025969</x:v>
      </x:c>
      <x:c r="AF560">
        <x:f>-0.133506</x:f>
        <x:v>-0.13350600000000001</x:v>
      </x:c>
      <x:c r="AG560">
        <x:f>-41.173833</x:f>
        <x:v>-41.173833000000002</x:v>
      </x:c>
    </x:row>
    <x:row r="561" spans="1:33" x14ac:dyDescent="0.25">
      <x:c r="A561" t="str">
        <x:f>"            ProShares UltraShort Semicondu"</x:f>
        <x:v xml:space="preserve">            ProShares UltraShort Semicondu</x:v>
      </x:c>
      <x:c r="B561" t="str">
        <x:f>"SSG US Equity"</x:f>
        <x:v>SSG US Equity</x:v>
      </x:c>
      <x:c r="E561" t="str">
        <x:f t="shared" si="19"/>
        <x:v>Expression</x:v>
      </x:c>
      <x:c r="F561">
        <x:f ca="1">IF(AND($B$1012=1,LEN($F$1558)&gt;0),$F$1558,HLOOKUP(INDIRECT(ADDRESS(2,COLUMN())),OFFSET($T$2,0,0,ROW()-1,14),ROW()-1,FALSE))</x:f>
        <x:v>-0.59589999999999999</x:v>
      </x:c>
      <x:c r="G561">
        <x:f ca="1">IF(AND($B$1012=1,LEN($G$1558)&gt;0),$G$1558,HLOOKUP(INDIRECT(ADDRESS(2,COLUMN())),OFFSET($T$2,0,0,ROW()-1,14),ROW()-1,FALSE))</x:f>
        <x:v>-0.56784400000000002</x:v>
      </x:c>
      <x:c r="H561">
        <x:f ca="1">IF(AND($B$1012=1,LEN($H$1558)&gt;0),$H$1558,HLOOKUP(INDIRECT(ADDRESS(2,COLUMN())),OFFSET($T$2,0,0,ROW()-1,14),ROW()-1,FALSE))</x:f>
        <x:v>1.463136</x:v>
      </x:c>
      <x:c r="I561">
        <x:f ca="1">IF(AND($B$1012=1,LEN($I$1558)&gt;0),$I$1558,HLOOKUP(INDIRECT(ADDRESS(2,COLUMN())),OFFSET($T$2,0,0,ROW()-1,14),ROW()-1,FALSE))</x:f>
        <x:v>0.69414100000000001</x:v>
      </x:c>
      <x:c r="J561">
        <x:f ca="1">IF(AND($B$1012=1,LEN($J$1558)&gt;0),$J$1558,HLOOKUP(INDIRECT(ADDRESS(2,COLUMN())),OFFSET($T$2,0,0,ROW()-1,14),ROW()-1,FALSE))</x:f>
        <x:v>0</x:v>
      </x:c>
      <x:c r="K561">
        <x:f ca="1">IF(AND($B$1012=1,LEN($K$1558)&gt;0),$K$1558,HLOOKUP(INDIRECT(ADDRESS(2,COLUMN())),OFFSET($T$2,0,0,ROW()-1,14),ROW()-1,FALSE))</x:f>
        <x:v>1.129408</x:v>
      </x:c>
      <x:c r="L561">
        <x:f ca="1">IF(AND($B$1012=1,LEN($L$1558)&gt;0),$L$1558,HLOOKUP(INDIRECT(ADDRESS(2,COLUMN())),OFFSET($T$2,0,0,ROW()-1,14),ROW()-1,FALSE))</x:f>
        <x:v>-0.34624300000000002</x:v>
      </x:c>
      <x:c r="M561">
        <x:f ca="1">IF(AND($B$1012=1,LEN($M$1558)&gt;0),$M$1558,HLOOKUP(INDIRECT(ADDRESS(2,COLUMN())),OFFSET($T$2,0,0,ROW()-1,14),ROW()-1,FALSE))</x:f>
        <x:v>3.0785420000000001</x:v>
      </x:c>
      <x:c r="N561">
        <x:f ca="1">IF(AND($B$1012=1,LEN($N$1558)&gt;0),$N$1558,HLOOKUP(INDIRECT(ADDRESS(2,COLUMN())),OFFSET($T$2,0,0,ROW()-1,14),ROW()-1,FALSE))</x:f>
        <x:v>1.849248</x:v>
      </x:c>
      <x:c r="O561">
        <x:f ca="1">IF(AND($B$1012=1,LEN($O$1558)&gt;0),$O$1558,HLOOKUP(INDIRECT(ADDRESS(2,COLUMN())),OFFSET($T$2,0,0,ROW()-1,14),ROW()-1,FALSE))</x:f>
        <x:v>1.2762249999999999</x:v>
      </x:c>
      <x:c r="P561">
        <x:f ca="1">IF(AND($B$1012=1,LEN($P$1558)&gt;0),$P$1558,HLOOKUP(INDIRECT(ADDRESS(2,COLUMN())),OFFSET($T$2,0,0,ROW()-1,14),ROW()-1,FALSE))</x:f>
        <x:v>-2.69625</x:v>
      </x:c>
      <x:c r="Q561">
        <x:f ca="1">IF(AND($B$1012=1,LEN($Q$1558)&gt;0),$Q$1558,HLOOKUP(INDIRECT(ADDRESS(2,COLUMN())),OFFSET($T$2,0,0,ROW()-1,14),ROW()-1,FALSE))</x:f>
        <x:v>2.8788130000000001</x:v>
      </x:c>
      <x:c r="R561">
        <x:f ca="1">IF(AND($B$1012=1,LEN($R$1558)&gt;0),$R$1558,HLOOKUP(INDIRECT(ADDRESS(2,COLUMN())),OFFSET($T$2,0,0,ROW()-1,14),ROW()-1,FALSE))</x:f>
        <x:v>-5.8854999999999998E-2</x:v>
      </x:c>
      <x:c r="S561">
        <x:f ca="1">IF(AND($B$1012=1,LEN($S$1558)&gt;0),$S$1558,HLOOKUP(INDIRECT(ADDRESS(2,COLUMN())),OFFSET($T$2,0,0,ROW()-1,14),ROW()-1,FALSE))</x:f>
        <x:v>4.0219519999999997</x:v>
      </x:c>
      <x:c r="T561">
        <x:f>-0.5959</x:f>
        <x:v>-0.59589999999999999</x:v>
      </x:c>
      <x:c r="U561">
        <x:f>-0.567844</x:f>
        <x:v>-0.56784400000000002</x:v>
      </x:c>
      <x:c r="V561">
        <x:f>1.463136</x:f>
        <x:v>1.463136</x:v>
      </x:c>
      <x:c r="W561">
        <x:f>0.694141</x:f>
        <x:v>0.69414100000000001</x:v>
      </x:c>
      <x:c r="X561">
        <x:f>0</x:f>
        <x:v>0</x:v>
      </x:c>
      <x:c r="Y561">
        <x:f>1.129408</x:f>
        <x:v>1.129408</x:v>
      </x:c>
      <x:c r="Z561">
        <x:f>-0.346243</x:f>
        <x:v>-0.34624300000000002</x:v>
      </x:c>
      <x:c r="AA561">
        <x:f>3.078542</x:f>
        <x:v>3.0785420000000001</x:v>
      </x:c>
      <x:c r="AB561">
        <x:f>1.849248</x:f>
        <x:v>1.849248</x:v>
      </x:c>
      <x:c r="AC561">
        <x:f>1.276225</x:f>
        <x:v>1.2762249999999999</x:v>
      </x:c>
      <x:c r="AD561">
        <x:f>-2.69625</x:f>
        <x:v>-2.69625</x:v>
      </x:c>
      <x:c r="AE561">
        <x:f>2.878813</x:f>
        <x:v>2.8788130000000001</x:v>
      </x:c>
      <x:c r="AF561">
        <x:f>-0.058855</x:f>
        <x:v>-5.8854999999999998E-2</x:v>
      </x:c>
      <x:c r="AG561">
        <x:f>4.021952</x:f>
        <x:v>4.0219519999999997</x:v>
      </x:c>
    </x:row>
    <x:row r="562" spans="1:33" x14ac:dyDescent="0.25">
      <x:c r="A562" t="str">
        <x:f>"            Direxion Daily Semiconductors"</x:f>
        <x:v xml:space="preserve">            Direxion Daily Semiconductors</x:v>
      </x:c>
      <x:c r="B562" t="str">
        <x:f>"SOXS US Equity"</x:f>
        <x:v>SOXS US Equity</x:v>
      </x:c>
      <x:c r="E562" t="str">
        <x:f t="shared" si="19"/>
        <x:v>Expression</x:v>
      </x:c>
      <x:c r="F562">
        <x:f ca="1">IF(AND($B$1012=1,LEN($F$1559)&gt;0),$F$1559,HLOOKUP(INDIRECT(ADDRESS(2,COLUMN())),OFFSET($T$2,0,0,ROW()-1,14),ROW()-1,FALSE))</x:f>
        <x:v>642.78067999999996</x:v>
      </x:c>
      <x:c r="G562">
        <x:f ca="1">IF(AND($B$1012=1,LEN($G$1559)&gt;0),$G$1559,HLOOKUP(INDIRECT(ADDRESS(2,COLUMN())),OFFSET($T$2,0,0,ROW()-1,14),ROW()-1,FALSE))</x:f>
        <x:v>-375.89719400000001</x:v>
      </x:c>
      <x:c r="H562">
        <x:f ca="1">IF(AND($B$1012=1,LEN($H$1559)&gt;0),$H$1559,HLOOKUP(INDIRECT(ADDRESS(2,COLUMN())),OFFSET($T$2,0,0,ROW()-1,14),ROW()-1,FALSE))</x:f>
        <x:v>-369.032197</x:v>
      </x:c>
      <x:c r="I562">
        <x:f ca="1">IF(AND($B$1012=1,LEN($I$1559)&gt;0),$I$1559,HLOOKUP(INDIRECT(ADDRESS(2,COLUMN())),OFFSET($T$2,0,0,ROW()-1,14),ROW()-1,FALSE))</x:f>
        <x:v>-108.076154</x:v>
      </x:c>
      <x:c r="J562">
        <x:f ca="1">IF(AND($B$1012=1,LEN($J$1559)&gt;0),$J$1559,HLOOKUP(INDIRECT(ADDRESS(2,COLUMN())),OFFSET($T$2,0,0,ROW()-1,14),ROW()-1,FALSE))</x:f>
        <x:v>88.948944999999995</x:v>
      </x:c>
      <x:c r="K562">
        <x:f ca="1">IF(AND($B$1012=1,LEN($K$1559)&gt;0),$K$1559,HLOOKUP(INDIRECT(ADDRESS(2,COLUMN())),OFFSET($T$2,0,0,ROW()-1,14),ROW()-1,FALSE))</x:f>
        <x:v>115.927739</x:v>
      </x:c>
      <x:c r="L562">
        <x:f ca="1">IF(AND($B$1012=1,LEN($L$1559)&gt;0),$L$1559,HLOOKUP(INDIRECT(ADDRESS(2,COLUMN())),OFFSET($T$2,0,0,ROW()-1,14),ROW()-1,FALSE))</x:f>
        <x:v>649.17277999999999</x:v>
      </x:c>
      <x:c r="M562">
        <x:f ca="1">IF(AND($B$1012=1,LEN($M$1559)&gt;0),$M$1559,HLOOKUP(INDIRECT(ADDRESS(2,COLUMN())),OFFSET($T$2,0,0,ROW()-1,14),ROW()-1,FALSE))</x:f>
        <x:v>-462.57671499999998</x:v>
      </x:c>
      <x:c r="N562">
        <x:f ca="1">IF(AND($B$1012=1,LEN($N$1559)&gt;0),$N$1559,HLOOKUP(INDIRECT(ADDRESS(2,COLUMN())),OFFSET($T$2,0,0,ROW()-1,14),ROW()-1,FALSE))</x:f>
        <x:v>-9.3454289999999993</x:v>
      </x:c>
      <x:c r="O562">
        <x:f ca="1">IF(AND($B$1012=1,LEN($O$1559)&gt;0),$O$1559,HLOOKUP(INDIRECT(ADDRESS(2,COLUMN())),OFFSET($T$2,0,0,ROW()-1,14),ROW()-1,FALSE))</x:f>
        <x:v>122.36606500000001</x:v>
      </x:c>
      <x:c r="P562">
        <x:f ca="1">IF(AND($B$1012=1,LEN($P$1559)&gt;0),$P$1559,HLOOKUP(INDIRECT(ADDRESS(2,COLUMN())),OFFSET($T$2,0,0,ROW()-1,14),ROW()-1,FALSE))</x:f>
        <x:v>1170.4574110000001</x:v>
      </x:c>
      <x:c r="Q562">
        <x:f ca="1">IF(AND($B$1012=1,LEN($Q$1559)&gt;0),$Q$1559,HLOOKUP(INDIRECT(ADDRESS(2,COLUMN())),OFFSET($T$2,0,0,ROW()-1,14),ROW()-1,FALSE))</x:f>
        <x:v>-50.840096000000003</x:v>
      </x:c>
      <x:c r="R562">
        <x:f ca="1">IF(AND($B$1012=1,LEN($R$1559)&gt;0),$R$1559,HLOOKUP(INDIRECT(ADDRESS(2,COLUMN())),OFFSET($T$2,0,0,ROW()-1,14),ROW()-1,FALSE))</x:f>
        <x:v>693.03433099999995</x:v>
      </x:c>
      <x:c r="S562">
        <x:f ca="1">IF(AND($B$1012=1,LEN($S$1559)&gt;0),$S$1559,HLOOKUP(INDIRECT(ADDRESS(2,COLUMN())),OFFSET($T$2,0,0,ROW()-1,14),ROW()-1,FALSE))</x:f>
        <x:v>-6.9906740000000003</x:v>
      </x:c>
      <x:c r="T562">
        <x:f>642.78068</x:f>
        <x:v>642.78067999999996</x:v>
      </x:c>
      <x:c r="U562">
        <x:f>-375.897194</x:f>
        <x:v>-375.89719400000001</x:v>
      </x:c>
      <x:c r="V562">
        <x:f>-369.032197</x:f>
        <x:v>-369.032197</x:v>
      </x:c>
      <x:c r="W562">
        <x:f>-108.076154</x:f>
        <x:v>-108.076154</x:v>
      </x:c>
      <x:c r="X562">
        <x:f>88.948945</x:f>
        <x:v>88.948944999999995</x:v>
      </x:c>
      <x:c r="Y562">
        <x:f>115.927739</x:f>
        <x:v>115.927739</x:v>
      </x:c>
      <x:c r="Z562">
        <x:f>649.17278</x:f>
        <x:v>649.17277999999999</x:v>
      </x:c>
      <x:c r="AA562">
        <x:f>-462.576715</x:f>
        <x:v>-462.57671499999998</x:v>
      </x:c>
      <x:c r="AB562">
        <x:f>-9.345429</x:f>
        <x:v>-9.3454289999999993</x:v>
      </x:c>
      <x:c r="AC562">
        <x:f>122.366065</x:f>
        <x:v>122.36606500000001</x:v>
      </x:c>
      <x:c r="AD562">
        <x:f>1170.457411</x:f>
        <x:v>1170.4574110000001</x:v>
      </x:c>
      <x:c r="AE562">
        <x:f>-50.840096</x:f>
        <x:v>-50.840096000000003</x:v>
      </x:c>
      <x:c r="AF562">
        <x:f>693.034331</x:f>
        <x:v>693.03433099999995</x:v>
      </x:c>
      <x:c r="AG562">
        <x:f>-6.990674</x:f>
        <x:v>-6.9906740000000003</x:v>
      </x:c>
    </x:row>
    <x:row r="563" spans="1:33" x14ac:dyDescent="0.25">
      <x:c r="A563" t="str">
        <x:f>"            Invesco Dynamic Semiconductors"</x:f>
        <x:v xml:space="preserve">            Invesco Dynamic Semiconductors</x:v>
      </x:c>
      <x:c r="B563" t="str">
        <x:f>"PSI US Equity"</x:f>
        <x:v>PSI US Equity</x:v>
      </x:c>
      <x:c r="E563" t="str">
        <x:f t="shared" si="19"/>
        <x:v>Expression</x:v>
      </x:c>
      <x:c r="F563">
        <x:f ca="1">IF(AND($B$1012=1,LEN($F$1560)&gt;0),$F$1560,HLOOKUP(INDIRECT(ADDRESS(2,COLUMN())),OFFSET($T$2,0,0,ROW()-1,14),ROW()-1,FALSE))</x:f>
        <x:v>-9.9788739999999994</x:v>
      </x:c>
      <x:c r="G563">
        <x:f ca="1">IF(AND($B$1012=1,LEN($G$1560)&gt;0),$G$1560,HLOOKUP(INDIRECT(ADDRESS(2,COLUMN())),OFFSET($T$2,0,0,ROW()-1,14),ROW()-1,FALSE))</x:f>
        <x:v>-8.8398590000000006</x:v>
      </x:c>
      <x:c r="H563">
        <x:f ca="1">IF(AND($B$1012=1,LEN($H$1560)&gt;0),$H$1560,HLOOKUP(INDIRECT(ADDRESS(2,COLUMN())),OFFSET($T$2,0,0,ROW()-1,14),ROW()-1,FALSE))</x:f>
        <x:v>-2.769666</x:v>
      </x:c>
      <x:c r="I563">
        <x:f ca="1">IF(AND($B$1012=1,LEN($I$1560)&gt;0),$I$1560,HLOOKUP(INDIRECT(ADDRESS(2,COLUMN())),OFFSET($T$2,0,0,ROW()-1,14),ROW()-1,FALSE))</x:f>
        <x:v>1.420731</x:v>
      </x:c>
      <x:c r="J563">
        <x:f ca="1">IF(AND($B$1012=1,LEN($J$1560)&gt;0),$J$1560,HLOOKUP(INDIRECT(ADDRESS(2,COLUMN())),OFFSET($T$2,0,0,ROW()-1,14),ROW()-1,FALSE))</x:f>
        <x:v>7.1365480000000003</x:v>
      </x:c>
      <x:c r="K563">
        <x:f ca="1">IF(AND($B$1012=1,LEN($K$1560)&gt;0),$K$1560,HLOOKUP(INDIRECT(ADDRESS(2,COLUMN())),OFFSET($T$2,0,0,ROW()-1,14),ROW()-1,FALSE))</x:f>
        <x:v>0.14741599999999999</x:v>
      </x:c>
      <x:c r="L563">
        <x:f ca="1">IF(AND($B$1012=1,LEN($L$1560)&gt;0),$L$1560,HLOOKUP(INDIRECT(ADDRESS(2,COLUMN())),OFFSET($T$2,0,0,ROW()-1,14),ROW()-1,FALSE))</x:f>
        <x:v>21.618362000000001</x:v>
      </x:c>
      <x:c r="M563">
        <x:f ca="1">IF(AND($B$1012=1,LEN($M$1560)&gt;0),$M$1560,HLOOKUP(INDIRECT(ADDRESS(2,COLUMN())),OFFSET($T$2,0,0,ROW()-1,14),ROW()-1,FALSE))</x:f>
        <x:v>4.6707999999999998</x:v>
      </x:c>
      <x:c r="N563">
        <x:f ca="1">IF(AND($B$1012=1,LEN($N$1560)&gt;0),$N$1560,HLOOKUP(INDIRECT(ADDRESS(2,COLUMN())),OFFSET($T$2,0,0,ROW()-1,14),ROW()-1,FALSE))</x:f>
        <x:v>-16.391926999999999</x:v>
      </x:c>
      <x:c r="O563">
        <x:f ca="1">IF(AND($B$1012=1,LEN($O$1560)&gt;0),$O$1560,HLOOKUP(INDIRECT(ADDRESS(2,COLUMN())),OFFSET($T$2,0,0,ROW()-1,14),ROW()-1,FALSE))</x:f>
        <x:v>19.456932999999999</x:v>
      </x:c>
      <x:c r="P563">
        <x:f ca="1">IF(AND($B$1012=1,LEN($P$1560)&gt;0),$P$1560,HLOOKUP(INDIRECT(ADDRESS(2,COLUMN())),OFFSET($T$2,0,0,ROW()-1,14),ROW()-1,FALSE))</x:f>
        <x:v>-13.020089</x:v>
      </x:c>
      <x:c r="Q563">
        <x:f ca="1">IF(AND($B$1012=1,LEN($Q$1560)&gt;0),$Q$1560,HLOOKUP(INDIRECT(ADDRESS(2,COLUMN())),OFFSET($T$2,0,0,ROW()-1,14),ROW()-1,FALSE))</x:f>
        <x:v>1.142245</x:v>
      </x:c>
      <x:c r="R563">
        <x:f ca="1">IF(AND($B$1012=1,LEN($R$1560)&gt;0),$R$1560,HLOOKUP(INDIRECT(ADDRESS(2,COLUMN())),OFFSET($T$2,0,0,ROW()-1,14),ROW()-1,FALSE))</x:f>
        <x:v>-11.500931</x:v>
      </x:c>
      <x:c r="S563">
        <x:f ca="1">IF(AND($B$1012=1,LEN($S$1560)&gt;0),$S$1560,HLOOKUP(INDIRECT(ADDRESS(2,COLUMN())),OFFSET($T$2,0,0,ROW()-1,14),ROW()-1,FALSE))</x:f>
        <x:v>-11.510899999999999</x:v>
      </x:c>
      <x:c r="T563">
        <x:f>-9.978874</x:f>
        <x:v>-9.9788739999999994</x:v>
      </x:c>
      <x:c r="U563">
        <x:f>-8.839859</x:f>
        <x:v>-8.8398590000000006</x:v>
      </x:c>
      <x:c r="V563">
        <x:f>-2.769666</x:f>
        <x:v>-2.769666</x:v>
      </x:c>
      <x:c r="W563">
        <x:f>1.420731</x:f>
        <x:v>1.420731</x:v>
      </x:c>
      <x:c r="X563">
        <x:f>7.136548</x:f>
        <x:v>7.1365480000000003</x:v>
      </x:c>
      <x:c r="Y563">
        <x:f>0.147416</x:f>
        <x:v>0.14741599999999999</x:v>
      </x:c>
      <x:c r="Z563">
        <x:f>21.618362</x:f>
        <x:v>21.618362000000001</x:v>
      </x:c>
      <x:c r="AA563">
        <x:f>4.6708</x:f>
        <x:v>4.6707999999999998</x:v>
      </x:c>
      <x:c r="AB563">
        <x:f>-16.391927</x:f>
        <x:v>-16.391926999999999</x:v>
      </x:c>
      <x:c r="AC563">
        <x:f>19.456933</x:f>
        <x:v>19.456932999999999</x:v>
      </x:c>
      <x:c r="AD563">
        <x:f>-13.020089</x:f>
        <x:v>-13.020089</x:v>
      </x:c>
      <x:c r="AE563">
        <x:f>1.142245</x:f>
        <x:v>1.142245</x:v>
      </x:c>
      <x:c r="AF563">
        <x:f>-11.500931</x:f>
        <x:v>-11.500931</x:v>
      </x:c>
      <x:c r="AG563">
        <x:f>-11.5109</x:f>
        <x:v>-11.510899999999999</x:v>
      </x:c>
    </x:row>
    <x:row r="564" spans="1:33" x14ac:dyDescent="0.25">
      <x:c r="A564" t="str">
        <x:f>"            Invesco PHLX Semiconductor ETF"</x:f>
        <x:v xml:space="preserve">            Invesco PHLX Semiconductor ETF</x:v>
      </x:c>
      <x:c r="B564" t="str">
        <x:f>"SOXQ US Equity"</x:f>
        <x:v>SOXQ US Equity</x:v>
      </x:c>
      <x:c r="E564" t="str">
        <x:f t="shared" si="19"/>
        <x:v>Expression</x:v>
      </x:c>
      <x:c r="F564">
        <x:f ca="1">IF(AND($B$1012=1,LEN($F$1561)&gt;0),$F$1561,HLOOKUP(INDIRECT(ADDRESS(2,COLUMN())),OFFSET($T$2,0,0,ROW()-1,14),ROW()-1,FALSE))</x:f>
        <x:v>-1.174005</x:v>
      </x:c>
      <x:c r="G564">
        <x:f ca="1">IF(AND($B$1012=1,LEN($G$1561)&gt;0),$G$1561,HLOOKUP(INDIRECT(ADDRESS(2,COLUMN())),OFFSET($T$2,0,0,ROW()-1,14),ROW()-1,FALSE))</x:f>
        <x:v>6.8776120000000001</x:v>
      </x:c>
      <x:c r="H564">
        <x:f ca="1">IF(AND($B$1012=1,LEN($H$1561)&gt;0),$H$1561,HLOOKUP(INDIRECT(ADDRESS(2,COLUMN())),OFFSET($T$2,0,0,ROW()-1,14),ROW()-1,FALSE))</x:f>
        <x:v>2.786883</x:v>
      </x:c>
      <x:c r="I564">
        <x:f ca="1">IF(AND($B$1012=1,LEN($I$1561)&gt;0),$I$1561,HLOOKUP(INDIRECT(ADDRESS(2,COLUMN())),OFFSET($T$2,0,0,ROW()-1,14),ROW()-1,FALSE))</x:f>
        <x:v>9.1854659999999999</x:v>
      </x:c>
      <x:c r="J564">
        <x:f ca="1">IF(AND($B$1012=1,LEN($J$1561)&gt;0),$J$1561,HLOOKUP(INDIRECT(ADDRESS(2,COLUMN())),OFFSET($T$2,0,0,ROW()-1,14),ROW()-1,FALSE))</x:f>
        <x:v>7.1201340000000002</x:v>
      </x:c>
      <x:c r="K564">
        <x:f ca="1">IF(AND($B$1012=1,LEN($K$1561)&gt;0),$K$1561,HLOOKUP(INDIRECT(ADDRESS(2,COLUMN())),OFFSET($T$2,0,0,ROW()-1,14),ROW()-1,FALSE))</x:f>
        <x:v>-7.940709</x:v>
      </x:c>
      <x:c r="L564">
        <x:f ca="1">IF(AND($B$1012=1,LEN($L$1561)&gt;0),$L$1561,HLOOKUP(INDIRECT(ADDRESS(2,COLUMN())),OFFSET($T$2,0,0,ROW()-1,14),ROW()-1,FALSE))</x:f>
        <x:v>17.219449999999998</x:v>
      </x:c>
      <x:c r="M564">
        <x:f ca="1">IF(AND($B$1012=1,LEN($M$1561)&gt;0),$M$1561,HLOOKUP(INDIRECT(ADDRESS(2,COLUMN())),OFFSET($T$2,0,0,ROW()-1,14),ROW()-1,FALSE))</x:f>
        <x:v>2.4815149999999999</x:v>
      </x:c>
      <x:c r="N564">
        <x:f ca="1">IF(AND($B$1012=1,LEN($N$1561)&gt;0),$N$1561,HLOOKUP(INDIRECT(ADDRESS(2,COLUMN())),OFFSET($T$2,0,0,ROW()-1,14),ROW()-1,FALSE))</x:f>
        <x:v>-3.7632189999999999</x:v>
      </x:c>
      <x:c r="O564">
        <x:f ca="1">IF(AND($B$1012=1,LEN($O$1561)&gt;0),$O$1561,HLOOKUP(INDIRECT(ADDRESS(2,COLUMN())),OFFSET($T$2,0,0,ROW()-1,14),ROW()-1,FALSE))</x:f>
        <x:v>0.47381299999999998</x:v>
      </x:c>
      <x:c r="P564">
        <x:f ca="1">IF(AND($B$1012=1,LEN($P$1561)&gt;0),$P$1561,HLOOKUP(INDIRECT(ADDRESS(2,COLUMN())),OFFSET($T$2,0,0,ROW()-1,14),ROW()-1,FALSE))</x:f>
        <x:v>7.0359850000000002</x:v>
      </x:c>
      <x:c r="Q564">
        <x:f ca="1">IF(AND($B$1012=1,LEN($Q$1561)&gt;0),$Q$1561,HLOOKUP(INDIRECT(ADDRESS(2,COLUMN())),OFFSET($T$2,0,0,ROW()-1,14),ROW()-1,FALSE))</x:f>
        <x:v>3.1286960000000001</x:v>
      </x:c>
      <x:c r="R564">
        <x:f ca="1">IF(AND($B$1012=1,LEN($R$1561)&gt;0),$R$1561,HLOOKUP(INDIRECT(ADDRESS(2,COLUMN())),OFFSET($T$2,0,0,ROW()-1,14),ROW()-1,FALSE))</x:f>
        <x:v>10.162398</x:v>
      </x:c>
      <x:c r="S564">
        <x:f ca="1">IF(AND($B$1012=1,LEN($S$1561)&gt;0),$S$1561,HLOOKUP(INDIRECT(ADDRESS(2,COLUMN())),OFFSET($T$2,0,0,ROW()-1,14),ROW()-1,FALSE))</x:f>
        <x:v>5.4075540000000002</x:v>
      </x:c>
      <x:c r="T564">
        <x:f>-1.174005</x:f>
        <x:v>-1.174005</x:v>
      </x:c>
      <x:c r="U564">
        <x:f>6.877612</x:f>
        <x:v>6.8776120000000001</x:v>
      </x:c>
      <x:c r="V564">
        <x:f>2.786883</x:f>
        <x:v>2.786883</x:v>
      </x:c>
      <x:c r="W564">
        <x:f>9.185466</x:f>
        <x:v>9.1854659999999999</x:v>
      </x:c>
      <x:c r="X564">
        <x:f>7.120134</x:f>
        <x:v>7.1201340000000002</x:v>
      </x:c>
      <x:c r="Y564">
        <x:f>-7.940709</x:f>
        <x:v>-7.940709</x:v>
      </x:c>
      <x:c r="Z564">
        <x:f>17.21945</x:f>
        <x:v>17.219449999999998</x:v>
      </x:c>
      <x:c r="AA564">
        <x:f>2.481515</x:f>
        <x:v>2.4815149999999999</x:v>
      </x:c>
      <x:c r="AB564">
        <x:f>-3.763219</x:f>
        <x:v>-3.7632189999999999</x:v>
      </x:c>
      <x:c r="AC564">
        <x:f>0.473813</x:f>
        <x:v>0.47381299999999998</x:v>
      </x:c>
      <x:c r="AD564">
        <x:f>7.035985</x:f>
        <x:v>7.0359850000000002</x:v>
      </x:c>
      <x:c r="AE564">
        <x:f>3.128696</x:f>
        <x:v>3.1286960000000001</x:v>
      </x:c>
      <x:c r="AF564">
        <x:f>10.162398</x:f>
        <x:v>10.162398</x:v>
      </x:c>
      <x:c r="AG564">
        <x:f>5.407554</x:f>
        <x:v>5.4075540000000002</x:v>
      </x:c>
    </x:row>
    <x:row r="565" spans="1:33" x14ac:dyDescent="0.25">
      <x:c r="A565" t="str">
        <x:f>"            Strive US Semiconductor ETF"</x:f>
        <x:v xml:space="preserve">            Strive US Semiconductor ETF</x:v>
      </x:c>
      <x:c r="B565" t="str">
        <x:f>"SHOC US Equity"</x:f>
        <x:v>SHOC US Equity</x:v>
      </x:c>
      <x:c r="E565" t="str">
        <x:f t="shared" si="19"/>
        <x:v>Expression</x:v>
      </x:c>
      <x:c r="F565">
        <x:f ca="1">IF(AND($B$1012=1,LEN($F$1562)&gt;0),$F$1562,HLOOKUP(INDIRECT(ADDRESS(2,COLUMN())),OFFSET($T$2,0,0,ROW()-1,14),ROW()-1,FALSE))</x:f>
        <x:v>0</x:v>
      </x:c>
      <x:c r="G565">
        <x:f ca="1">IF(AND($B$1012=1,LEN($G$1562)&gt;0),$G$1562,HLOOKUP(INDIRECT(ADDRESS(2,COLUMN())),OFFSET($T$2,0,0,ROW()-1,14),ROW()-1,FALSE))</x:f>
        <x:v>0.64785199999999998</x:v>
      </x:c>
      <x:c r="H565">
        <x:f ca="1">IF(AND($B$1012=1,LEN($H$1562)&gt;0),$H$1562,HLOOKUP(INDIRECT(ADDRESS(2,COLUMN())),OFFSET($T$2,0,0,ROW()-1,14),ROW()-1,FALSE))</x:f>
        <x:v>0.32391500000000001</x:v>
      </x:c>
      <x:c r="I565">
        <x:f ca="1">IF(AND($B$1012=1,LEN($I$1562)&gt;0),$I$1562,HLOOKUP(INDIRECT(ADDRESS(2,COLUMN())),OFFSET($T$2,0,0,ROW()-1,14),ROW()-1,FALSE))</x:f>
        <x:v>3.1223930000000002</x:v>
      </x:c>
      <x:c r="J565">
        <x:f ca="1">IF(AND($B$1012=1,LEN($J$1562)&gt;0),$J$1562,HLOOKUP(INDIRECT(ADDRESS(2,COLUMN())),OFFSET($T$2,0,0,ROW()-1,14),ROW()-1,FALSE))</x:f>
        <x:v>2.1231100000000001</x:v>
      </x:c>
      <x:c r="K565">
        <x:f ca="1">IF(AND($B$1012=1,LEN($K$1562)&gt;0),$K$1562,HLOOKUP(INDIRECT(ADDRESS(2,COLUMN())),OFFSET($T$2,0,0,ROW()-1,14),ROW()-1,FALSE))</x:f>
        <x:v>3.0562710000000002</x:v>
      </x:c>
      <x:c r="L565">
        <x:f ca="1">IF(AND($B$1012=1,LEN($L$1562)&gt;0),$L$1562,HLOOKUP(INDIRECT(ADDRESS(2,COLUMN())),OFFSET($T$2,0,0,ROW()-1,14),ROW()-1,FALSE))</x:f>
        <x:v>1.214521</x:v>
      </x:c>
      <x:c r="M565">
        <x:f ca="1">IF(AND($B$1012=1,LEN($M$1562)&gt;0),$M$1562,HLOOKUP(INDIRECT(ADDRESS(2,COLUMN())),OFFSET($T$2,0,0,ROW()-1,14),ROW()-1,FALSE))</x:f>
        <x:v>1.7396940000000001</x:v>
      </x:c>
      <x:c r="N565">
        <x:f ca="1">IF(AND($B$1012=1,LEN($N$1562)&gt;0),$N$1562,HLOOKUP(INDIRECT(ADDRESS(2,COLUMN())),OFFSET($T$2,0,0,ROW()-1,14),ROW()-1,FALSE))</x:f>
        <x:v>2.318835</x:v>
      </x:c>
      <x:c r="O565">
        <x:f ca="1">IF(AND($B$1012=1,LEN($O$1562)&gt;0),$O$1562,HLOOKUP(INDIRECT(ADDRESS(2,COLUMN())),OFFSET($T$2,0,0,ROW()-1,14),ROW()-1,FALSE))</x:f>
        <x:v>1.1433580000000001</x:v>
      </x:c>
      <x:c r="P565">
        <x:f ca="1">IF(AND($B$1012=1,LEN($P$1562)&gt;0),$P$1562,HLOOKUP(INDIRECT(ADDRESS(2,COLUMN())),OFFSET($T$2,0,0,ROW()-1,14),ROW()-1,FALSE))</x:f>
        <x:v>1.644339</x:v>
      </x:c>
      <x:c r="Q565">
        <x:f ca="1">IF(AND($B$1012=1,LEN($Q$1562)&gt;0),$Q$1562,HLOOKUP(INDIRECT(ADDRESS(2,COLUMN())),OFFSET($T$2,0,0,ROW()-1,14),ROW()-1,FALSE))</x:f>
        <x:v>3.8882989999999999</x:v>
      </x:c>
      <x:c r="R565">
        <x:f ca="1">IF(AND($B$1012=1,LEN($R$1562)&gt;0),$R$1562,HLOOKUP(INDIRECT(ADDRESS(2,COLUMN())),OFFSET($T$2,0,0,ROW()-1,14),ROW()-1,FALSE))</x:f>
        <x:v>3.4471850000000002</x:v>
      </x:c>
      <x:c r="S565">
        <x:f ca="1">IF(AND($B$1012=1,LEN($S$1562)&gt;0),$S$1562,HLOOKUP(INDIRECT(ADDRESS(2,COLUMN())),OFFSET($T$2,0,0,ROW()-1,14),ROW()-1,FALSE))</x:f>
        <x:v>5.8566799999999999</x:v>
      </x:c>
      <x:c r="T565">
        <x:f>0</x:f>
        <x:v>0</x:v>
      </x:c>
      <x:c r="U565">
        <x:f>0.647852</x:f>
        <x:v>0.64785199999999998</x:v>
      </x:c>
      <x:c r="V565">
        <x:f>0.323915</x:f>
        <x:v>0.32391500000000001</x:v>
      </x:c>
      <x:c r="W565">
        <x:f>3.122393</x:f>
        <x:v>3.1223930000000002</x:v>
      </x:c>
      <x:c r="X565">
        <x:f>2.12311</x:f>
        <x:v>2.1231100000000001</x:v>
      </x:c>
      <x:c r="Y565">
        <x:f>3.056271</x:f>
        <x:v>3.0562710000000002</x:v>
      </x:c>
      <x:c r="Z565">
        <x:f>1.214521</x:f>
        <x:v>1.214521</x:v>
      </x:c>
      <x:c r="AA565">
        <x:f>1.739694</x:f>
        <x:v>1.7396940000000001</x:v>
      </x:c>
      <x:c r="AB565">
        <x:f>2.318835</x:f>
        <x:v>2.318835</x:v>
      </x:c>
      <x:c r="AC565">
        <x:f>1.143358</x:f>
        <x:v>1.1433580000000001</x:v>
      </x:c>
      <x:c r="AD565">
        <x:f>1.644339</x:f>
        <x:v>1.644339</x:v>
      </x:c>
      <x:c r="AE565">
        <x:f>3.888299</x:f>
        <x:v>3.8882989999999999</x:v>
      </x:c>
      <x:c r="AF565">
        <x:f>3.447185</x:f>
        <x:v>3.4471850000000002</x:v>
      </x:c>
      <x:c r="AG565">
        <x:f>5.85668</x:f>
        <x:v>5.8566799999999999</x:v>
      </x:c>
    </x:row>
    <x:row r="566" spans="1:33" x14ac:dyDescent="0.25">
      <x:c r="A566" t="str">
        <x:f>"    Utilities"</x:f>
        <x:v xml:space="preserve">    Utilities</x:v>
      </x:c>
      <x:c r="B566" t="str">
        <x:f>""</x:f>
        <x:v/>
      </x:c>
      <x:c r="E566" t="str">
        <x:f>"Sum"</x:f>
        <x:v>Sum</x:v>
      </x:c>
      <x:c r="F566">
        <x:f ca="1">IF(ISERROR(IF(SUM($F$567:$F$587) = 0, "", SUM($F$567:$F$587))), "", (IF(SUM($F$567:$F$587) = 0, "", SUM($F$567:$F$587))))</x:f>
        <x:v>-405.75595700000002</x:v>
      </x:c>
      <x:c r="G566">
        <x:f ca="1">IF(ISERROR(IF(SUM($G$567:$G$587) = 0, "", SUM($G$567:$G$587))), "", (IF(SUM($G$567:$G$587) = 0, "", SUM($G$567:$G$587))))</x:f>
        <x:v>-581.73250399999995</x:v>
      </x:c>
      <x:c r="H566">
        <x:f ca="1">IF(ISERROR(IF(SUM($H$567:$H$587) = 0, "", SUM($H$567:$H$587))), "", (IF(SUM($H$567:$H$587) = 0, "", SUM($H$567:$H$587))))</x:f>
        <x:v>-473.67159899999996</x:v>
      </x:c>
      <x:c r="I566">
        <x:f ca="1">IF(ISERROR(IF(SUM($I$567:$I$587) = 0, "", SUM($I$567:$I$587))), "", (IF(SUM($I$567:$I$587) = 0, "", SUM($I$567:$I$587))))</x:f>
        <x:v>-207.743235</x:v>
      </x:c>
      <x:c r="J566">
        <x:f ca="1">IF(ISERROR(IF(SUM($J$567:$J$587) = 0, "", SUM($J$567:$J$587))), "", (IF(SUM($J$567:$J$587) = 0, "", SUM($J$567:$J$587))))</x:f>
        <x:v>-198.927336</x:v>
      </x:c>
      <x:c r="K566">
        <x:f ca="1">IF(ISERROR(IF(SUM($K$567:$K$587) = 0, "", SUM($K$567:$K$587))), "", (IF(SUM($K$567:$K$587) = 0, "", SUM($K$567:$K$587))))</x:f>
        <x:v>-525.40577299999995</x:v>
      </x:c>
      <x:c r="L566">
        <x:f ca="1">IF(ISERROR(IF(SUM($L$567:$L$587) = 0, "", SUM($L$567:$L$587))), "", (IF(SUM($L$567:$L$587) = 0, "", SUM($L$567:$L$587))))</x:f>
        <x:v>455.88221699999997</x:v>
      </x:c>
      <x:c r="M566">
        <x:f ca="1">IF(ISERROR(IF(SUM($M$567:$M$587) = 0, "", SUM($M$567:$M$587))), "", (IF(SUM($M$567:$M$587) = 0, "", SUM($M$567:$M$587))))</x:f>
        <x:v>292.75787099999997</x:v>
      </x:c>
      <x:c r="N566">
        <x:f ca="1">IF(ISERROR(IF(SUM($N$567:$N$587) = 0, "", SUM($N$567:$N$587))), "", (IF(SUM($N$567:$N$587) = 0, "", SUM($N$567:$N$587))))</x:f>
        <x:v>472.15704400000004</x:v>
      </x:c>
      <x:c r="O566">
        <x:f ca="1">IF(ISERROR(IF(SUM($O$567:$O$587) = 0, "", SUM($O$567:$O$587))), "", (IF(SUM($O$567:$O$587) = 0, "", SUM($O$567:$O$587))))</x:f>
        <x:v>-799.90323799999987</x:v>
      </x:c>
      <x:c r="P566">
        <x:f ca="1">IF(ISERROR(IF(SUM($P$567:$P$587) = 0, "", SUM($P$567:$P$587))), "", (IF(SUM($P$567:$P$587) = 0, "", SUM($P$567:$P$587))))</x:f>
        <x:v>114.44808</x:v>
      </x:c>
      <x:c r="Q566">
        <x:f ca="1">IF(ISERROR(IF(SUM($Q$567:$Q$587) = 0, "", SUM($Q$567:$Q$587))), "", (IF(SUM($Q$567:$Q$587) = 0, "", SUM($Q$567:$Q$587))))</x:f>
        <x:v>-541.94843100000003</x:v>
      </x:c>
      <x:c r="R566">
        <x:f ca="1">IF(ISERROR(IF(SUM($R$567:$R$587) = 0, "", SUM($R$567:$R$587))), "", (IF(SUM($R$567:$R$587) = 0, "", SUM($R$567:$R$587))))</x:f>
        <x:v>337.159696</x:v>
      </x:c>
      <x:c r="S566">
        <x:f ca="1">IF(ISERROR(IF(SUM($S$567:$S$587) = 0, "", SUM($S$567:$S$587))), "", (IF(SUM($S$567:$S$587) = 0, "", SUM($S$567:$S$587))))</x:f>
        <x:v>-1066.1843490000001</x:v>
      </x:c>
      <x:c r="T566">
        <x:f>-405.755957</x:f>
        <x:v>-405.75595700000002</x:v>
      </x:c>
      <x:c r="U566">
        <x:f>-581.732504</x:f>
        <x:v>-581.73250399999995</x:v>
      </x:c>
      <x:c r="V566">
        <x:f>-473.671599</x:f>
        <x:v>-473.67159900000001</x:v>
      </x:c>
      <x:c r="W566">
        <x:f>-207.743235</x:f>
        <x:v>-207.743235</x:v>
      </x:c>
      <x:c r="X566">
        <x:f>-198.927336</x:f>
        <x:v>-198.927336</x:v>
      </x:c>
      <x:c r="Y566">
        <x:f>-525.405773</x:f>
        <x:v>-525.40577299999995</x:v>
      </x:c>
      <x:c r="Z566">
        <x:f>455.882217</x:f>
        <x:v>455.88221700000003</x:v>
      </x:c>
      <x:c r="AA566">
        <x:f>292.757871</x:f>
        <x:v>292.75787100000002</x:v>
      </x:c>
      <x:c r="AB566">
        <x:f>472.157044</x:f>
        <x:v>472.15704399999998</x:v>
      </x:c>
      <x:c r="AC566">
        <x:f>-799.903238</x:f>
        <x:v>-799.90323799999999</x:v>
      </x:c>
      <x:c r="AD566">
        <x:f>114.44808</x:f>
        <x:v>114.44808</x:v>
      </x:c>
      <x:c r="AE566">
        <x:f>-541.948431</x:f>
        <x:v>-541.94843100000003</x:v>
      </x:c>
      <x:c r="AF566">
        <x:f>337.159696</x:f>
        <x:v>337.159696</x:v>
      </x:c>
      <x:c r="AG566">
        <x:f>-1066.184349</x:f>
        <x:v>-1066.1843490000001</x:v>
      </x:c>
    </x:row>
    <x:row r="567" spans="1:33" x14ac:dyDescent="0.25">
      <x:c r="A567" t="str">
        <x:f>"        Utilities Select Sector SPDR F"</x:f>
        <x:v xml:space="preserve">        Utilities Select Sector SPDR F</x:v>
      </x:c>
      <x:c r="B567" t="str">
        <x:f>"XLU US Equity"</x:f>
        <x:v>XLU US Equity</x:v>
      </x:c>
      <x:c r="E567" t="str">
        <x:f t="shared" ref="E567:E587" si="20">"Expression"</x:f>
        <x:v>Expression</x:v>
      </x:c>
      <x:c r="F567">
        <x:f ca="1">IF(AND($B$1012=1,LEN($F$1563)&gt;0),$F$1563,HLOOKUP(INDIRECT(ADDRESS(2,COLUMN())),OFFSET($T$2,0,0,ROW()-1,14),ROW()-1,FALSE))</x:f>
        <x:v>-301.83604500000001</x:v>
      </x:c>
      <x:c r="G567">
        <x:f ca="1">IF(AND($B$1012=1,LEN($G$1563)&gt;0),$G$1563,HLOOKUP(INDIRECT(ADDRESS(2,COLUMN())),OFFSET($T$2,0,0,ROW()-1,14),ROW()-1,FALSE))</x:f>
        <x:v>-84.544511</x:v>
      </x:c>
      <x:c r="H567">
        <x:f ca="1">IF(AND($B$1012=1,LEN($H$1563)&gt;0),$H$1563,HLOOKUP(INDIRECT(ADDRESS(2,COLUMN())),OFFSET($T$2,0,0,ROW()-1,14),ROW()-1,FALSE))</x:f>
        <x:v>-372.02594800000003</x:v>
      </x:c>
      <x:c r="I567">
        <x:f ca="1">IF(AND($B$1012=1,LEN($I$1563)&gt;0),$I$1563,HLOOKUP(INDIRECT(ADDRESS(2,COLUMN())),OFFSET($T$2,0,0,ROW()-1,14),ROW()-1,FALSE))</x:f>
        <x:v>-47.042388000000003</x:v>
      </x:c>
      <x:c r="J567">
        <x:f ca="1">IF(AND($B$1012=1,LEN($J$1563)&gt;0),$J$1563,HLOOKUP(INDIRECT(ADDRESS(2,COLUMN())),OFFSET($T$2,0,0,ROW()-1,14),ROW()-1,FALSE))</x:f>
        <x:v>-221.24214699999999</x:v>
      </x:c>
      <x:c r="K567">
        <x:f ca="1">IF(AND($B$1012=1,LEN($K$1563)&gt;0),$K$1563,HLOOKUP(INDIRECT(ADDRESS(2,COLUMN())),OFFSET($T$2,0,0,ROW()-1,14),ROW()-1,FALSE))</x:f>
        <x:v>-488.51845700000001</x:v>
      </x:c>
      <x:c r="L567">
        <x:f ca="1">IF(AND($B$1012=1,LEN($L$1563)&gt;0),$L$1563,HLOOKUP(INDIRECT(ADDRESS(2,COLUMN())),OFFSET($T$2,0,0,ROW()-1,14),ROW()-1,FALSE))</x:f>
        <x:v>470.06926800000002</x:v>
      </x:c>
      <x:c r="M567">
        <x:f ca="1">IF(AND($B$1012=1,LEN($M$1563)&gt;0),$M$1563,HLOOKUP(INDIRECT(ADDRESS(2,COLUMN())),OFFSET($T$2,0,0,ROW()-1,14),ROW()-1,FALSE))</x:f>
        <x:v>414.21866999999997</x:v>
      </x:c>
      <x:c r="N567">
        <x:f ca="1">IF(AND($B$1012=1,LEN($N$1563)&gt;0),$N$1563,HLOOKUP(INDIRECT(ADDRESS(2,COLUMN())),OFFSET($T$2,0,0,ROW()-1,14),ROW()-1,FALSE))</x:f>
        <x:v>586.07838100000004</x:v>
      </x:c>
      <x:c r="O567">
        <x:f ca="1">IF(AND($B$1012=1,LEN($O$1563)&gt;0),$O$1563,HLOOKUP(INDIRECT(ADDRESS(2,COLUMN())),OFFSET($T$2,0,0,ROW()-1,14),ROW()-1,FALSE))</x:f>
        <x:v>-662.54980499999999</x:v>
      </x:c>
      <x:c r="P567">
        <x:f ca="1">IF(AND($B$1012=1,LEN($P$1563)&gt;0),$P$1563,HLOOKUP(INDIRECT(ADDRESS(2,COLUMN())),OFFSET($T$2,0,0,ROW()-1,14),ROW()-1,FALSE))</x:f>
        <x:v>-85.840243999999998</x:v>
      </x:c>
      <x:c r="Q567">
        <x:f ca="1">IF(AND($B$1012=1,LEN($Q$1563)&gt;0),$Q$1563,HLOOKUP(INDIRECT(ADDRESS(2,COLUMN())),OFFSET($T$2,0,0,ROW()-1,14),ROW()-1,FALSE))</x:f>
        <x:v>-586.57489199999998</x:v>
      </x:c>
      <x:c r="R567">
        <x:f ca="1">IF(AND($B$1012=1,LEN($R$1563)&gt;0),$R$1563,HLOOKUP(INDIRECT(ADDRESS(2,COLUMN())),OFFSET($T$2,0,0,ROW()-1,14),ROW()-1,FALSE))</x:f>
        <x:v>538.40714600000001</x:v>
      </x:c>
      <x:c r="S567">
        <x:f ca="1">IF(AND($B$1012=1,LEN($S$1563)&gt;0),$S$1563,HLOOKUP(INDIRECT(ADDRESS(2,COLUMN())),OFFSET($T$2,0,0,ROW()-1,14),ROW()-1,FALSE))</x:f>
        <x:v>-972.83969999999999</x:v>
      </x:c>
      <x:c r="T567">
        <x:f>-301.836045</x:f>
        <x:v>-301.83604500000001</x:v>
      </x:c>
      <x:c r="U567">
        <x:f>-84.544511</x:f>
        <x:v>-84.544511</x:v>
      </x:c>
      <x:c r="V567">
        <x:f>-372.025948</x:f>
        <x:v>-372.02594800000003</x:v>
      </x:c>
      <x:c r="W567">
        <x:f>-47.042388</x:f>
        <x:v>-47.042388000000003</x:v>
      </x:c>
      <x:c r="X567">
        <x:f>-221.242147</x:f>
        <x:v>-221.24214699999999</x:v>
      </x:c>
      <x:c r="Y567">
        <x:f>-488.518457</x:f>
        <x:v>-488.51845700000001</x:v>
      </x:c>
      <x:c r="Z567">
        <x:f>470.069268</x:f>
        <x:v>470.06926800000002</x:v>
      </x:c>
      <x:c r="AA567">
        <x:f>414.21867</x:f>
        <x:v>414.21866999999997</x:v>
      </x:c>
      <x:c r="AB567">
        <x:f>586.078381</x:f>
        <x:v>586.07838100000004</x:v>
      </x:c>
      <x:c r="AC567">
        <x:f>-662.549805</x:f>
        <x:v>-662.54980499999999</x:v>
      </x:c>
      <x:c r="AD567">
        <x:f>-85.840244</x:f>
        <x:v>-85.840243999999998</x:v>
      </x:c>
      <x:c r="AE567">
        <x:f>-586.574892</x:f>
        <x:v>-586.57489199999998</x:v>
      </x:c>
      <x:c r="AF567">
        <x:f>538.407146</x:f>
        <x:v>538.40714600000001</x:v>
      </x:c>
      <x:c r="AG567">
        <x:f>-972.8397</x:f>
        <x:v>-972.83969999999999</x:v>
      </x:c>
    </x:row>
    <x:row r="568" spans="1:33" x14ac:dyDescent="0.25">
      <x:c r="A568" t="str">
        <x:f>"        Vanguard Utilities ETF"</x:f>
        <x:v xml:space="preserve">        Vanguard Utilities ETF</x:v>
      </x:c>
      <x:c r="B568" t="str">
        <x:f>"VPU US Equity"</x:f>
        <x:v>VPU US Equity</x:v>
      </x:c>
      <x:c r="E568" t="str">
        <x:f t="shared" si="20"/>
        <x:v>Expression</x:v>
      </x:c>
      <x:c r="F568">
        <x:f ca="1">IF(AND($B$1012=1,LEN($F$1564)&gt;0),$F$1564,HLOOKUP(INDIRECT(ADDRESS(2,COLUMN())),OFFSET($T$2,0,0,ROW()-1,14),ROW()-1,FALSE))</x:f>
        <x:v>-72.958250000000007</x:v>
      </x:c>
      <x:c r="G568">
        <x:f ca="1">IF(AND($B$1012=1,LEN($G$1564)&gt;0),$G$1564,HLOOKUP(INDIRECT(ADDRESS(2,COLUMN())),OFFSET($T$2,0,0,ROW()-1,14),ROW()-1,FALSE))</x:f>
        <x:v>-195.66567599999999</x:v>
      </x:c>
      <x:c r="H568">
        <x:f ca="1">IF(AND($B$1012=1,LEN($H$1564)&gt;0),$H$1564,HLOOKUP(INDIRECT(ADDRESS(2,COLUMN())),OFFSET($T$2,0,0,ROW()-1,14),ROW()-1,FALSE))</x:f>
        <x:v>-28.375029999999999</x:v>
      </x:c>
      <x:c r="I568">
        <x:f ca="1">IF(AND($B$1012=1,LEN($I$1564)&gt;0),$I$1564,HLOOKUP(INDIRECT(ADDRESS(2,COLUMN())),OFFSET($T$2,0,0,ROW()-1,14),ROW()-1,FALSE))</x:f>
        <x:v>-68.847170000000006</x:v>
      </x:c>
      <x:c r="J568">
        <x:f ca="1">IF(AND($B$1012=1,LEN($J$1564)&gt;0),$J$1564,HLOOKUP(INDIRECT(ADDRESS(2,COLUMN())),OFFSET($T$2,0,0,ROW()-1,14),ROW()-1,FALSE))</x:f>
        <x:v>236.11345900000001</x:v>
      </x:c>
      <x:c r="K568">
        <x:f ca="1">IF(AND($B$1012=1,LEN($K$1564)&gt;0),$K$1564,HLOOKUP(INDIRECT(ADDRESS(2,COLUMN())),OFFSET($T$2,0,0,ROW()-1,14),ROW()-1,FALSE))</x:f>
        <x:v>0.29749300000000001</x:v>
      </x:c>
      <x:c r="L568">
        <x:f ca="1">IF(AND($B$1012=1,LEN($L$1564)&gt;0),$L$1564,HLOOKUP(INDIRECT(ADDRESS(2,COLUMN())),OFFSET($T$2,0,0,ROW()-1,14),ROW()-1,FALSE))</x:f>
        <x:v>-14.201928000000001</x:v>
      </x:c>
      <x:c r="M568">
        <x:f ca="1">IF(AND($B$1012=1,LEN($M$1564)&gt;0),$M$1564,HLOOKUP(INDIRECT(ADDRESS(2,COLUMN())),OFFSET($T$2,0,0,ROW()-1,14),ROW()-1,FALSE))</x:f>
        <x:v>-26.369499999999999</x:v>
      </x:c>
      <x:c r="N568">
        <x:f ca="1">IF(AND($B$1012=1,LEN($N$1564)&gt;0),$N$1564,HLOOKUP(INDIRECT(ADDRESS(2,COLUMN())),OFFSET($T$2,0,0,ROW()-1,14),ROW()-1,FALSE))</x:f>
        <x:v>-60.001252999999998</x:v>
      </x:c>
      <x:c r="O568">
        <x:f ca="1">IF(AND($B$1012=1,LEN($O$1564)&gt;0),$O$1564,HLOOKUP(INDIRECT(ADDRESS(2,COLUMN())),OFFSET($T$2,0,0,ROW()-1,14),ROW()-1,FALSE))</x:f>
        <x:v>-97.030249999999995</x:v>
      </x:c>
      <x:c r="P568">
        <x:f ca="1">IF(AND($B$1012=1,LEN($P$1564)&gt;0),$P$1564,HLOOKUP(INDIRECT(ADDRESS(2,COLUMN())),OFFSET($T$2,0,0,ROW()-1,14),ROW()-1,FALSE))</x:f>
        <x:v>42.284981000000002</x:v>
      </x:c>
      <x:c r="Q568">
        <x:f ca="1">IF(AND($B$1012=1,LEN($Q$1564)&gt;0),$Q$1564,HLOOKUP(INDIRECT(ADDRESS(2,COLUMN())),OFFSET($T$2,0,0,ROW()-1,14),ROW()-1,FALSE))</x:f>
        <x:v>46.938183000000002</x:v>
      </x:c>
      <x:c r="R568">
        <x:f ca="1">IF(AND($B$1012=1,LEN($R$1564)&gt;0),$R$1564,HLOOKUP(INDIRECT(ADDRESS(2,COLUMN())),OFFSET($T$2,0,0,ROW()-1,14),ROW()-1,FALSE))</x:f>
        <x:v>-66.511499999999998</x:v>
      </x:c>
      <x:c r="S568">
        <x:f ca="1">IF(AND($B$1012=1,LEN($S$1564)&gt;0),$S$1564,HLOOKUP(INDIRECT(ADDRESS(2,COLUMN())),OFFSET($T$2,0,0,ROW()-1,14),ROW()-1,FALSE))</x:f>
        <x:v>-66.301771000000002</x:v>
      </x:c>
      <x:c r="T568">
        <x:f>-72.95825</x:f>
        <x:v>-72.958250000000007</x:v>
      </x:c>
      <x:c r="U568">
        <x:f>-195.665676</x:f>
        <x:v>-195.66567599999999</x:v>
      </x:c>
      <x:c r="V568">
        <x:f>-28.37503</x:f>
        <x:v>-28.375029999999999</x:v>
      </x:c>
      <x:c r="W568">
        <x:f>-68.84717</x:f>
        <x:v>-68.847170000000006</x:v>
      </x:c>
      <x:c r="X568">
        <x:f>236.113459</x:f>
        <x:v>236.11345900000001</x:v>
      </x:c>
      <x:c r="Y568">
        <x:f>0.297493</x:f>
        <x:v>0.29749300000000001</x:v>
      </x:c>
      <x:c r="Z568">
        <x:f>-14.201928</x:f>
        <x:v>-14.201928000000001</x:v>
      </x:c>
      <x:c r="AA568">
        <x:f>-26.3695</x:f>
        <x:v>-26.369499999999999</x:v>
      </x:c>
      <x:c r="AB568">
        <x:f>-60.001253</x:f>
        <x:v>-60.001252999999998</x:v>
      </x:c>
      <x:c r="AC568">
        <x:f>-97.03025</x:f>
        <x:v>-97.030249999999995</x:v>
      </x:c>
      <x:c r="AD568">
        <x:f>42.284981</x:f>
        <x:v>42.284981000000002</x:v>
      </x:c>
      <x:c r="AE568">
        <x:f>46.938183</x:f>
        <x:v>46.938183000000002</x:v>
      </x:c>
      <x:c r="AF568">
        <x:f>-66.5115</x:f>
        <x:v>-66.511499999999998</x:v>
      </x:c>
      <x:c r="AG568">
        <x:f>-66.301771</x:f>
        <x:v>-66.301771000000002</x:v>
      </x:c>
    </x:row>
    <x:row r="569" spans="1:33" x14ac:dyDescent="0.25">
      <x:c r="A569" t="str">
        <x:f>"        First Trust Utilities AlphaDEX"</x:f>
        <x:v xml:space="preserve">        First Trust Utilities AlphaDEX</x:v>
      </x:c>
      <x:c r="B569" t="str">
        <x:f>"FXU US Equity"</x:f>
        <x:v>FXU US Equity</x:v>
      </x:c>
      <x:c r="E569" t="str">
        <x:f t="shared" si="20"/>
        <x:v>Expression</x:v>
      </x:c>
      <x:c r="F569">
        <x:f ca="1">IF(AND($B$1012=1,LEN($F$1565)&gt;0),$F$1565,HLOOKUP(INDIRECT(ADDRESS(2,COLUMN())),OFFSET($T$2,0,0,ROW()-1,14),ROW()-1,FALSE))</x:f>
        <x:v>-5.9894970000000001</x:v>
      </x:c>
      <x:c r="G569">
        <x:f ca="1">IF(AND($B$1012=1,LEN($G$1565)&gt;0),$G$1565,HLOOKUP(INDIRECT(ADDRESS(2,COLUMN())),OFFSET($T$2,0,0,ROW()-1,14),ROW()-1,FALSE))</x:f>
        <x:v>8.4512599999999996</x:v>
      </x:c>
      <x:c r="H569">
        <x:f ca="1">IF(AND($B$1012=1,LEN($H$1565)&gt;0),$H$1565,HLOOKUP(INDIRECT(ADDRESS(2,COLUMN())),OFFSET($T$2,0,0,ROW()-1,14),ROW()-1,FALSE))</x:f>
        <x:v>-11.476842</x:v>
      </x:c>
      <x:c r="I569">
        <x:f ca="1">IF(AND($B$1012=1,LEN($I$1565)&gt;0),$I$1565,HLOOKUP(INDIRECT(ADDRESS(2,COLUMN())),OFFSET($T$2,0,0,ROW()-1,14),ROW()-1,FALSE))</x:f>
        <x:v>-44.674649000000002</x:v>
      </x:c>
      <x:c r="J569">
        <x:f ca="1">IF(AND($B$1012=1,LEN($J$1565)&gt;0),$J$1565,HLOOKUP(INDIRECT(ADDRESS(2,COLUMN())),OFFSET($T$2,0,0,ROW()-1,14),ROW()-1,FALSE))</x:f>
        <x:v>-25.979500000000002</x:v>
      </x:c>
      <x:c r="K569">
        <x:f ca="1">IF(AND($B$1012=1,LEN($K$1565)&gt;0),$K$1565,HLOOKUP(INDIRECT(ADDRESS(2,COLUMN())),OFFSET($T$2,0,0,ROW()-1,14),ROW()-1,FALSE))</x:f>
        <x:v>9.8574999999999999</x:v>
      </x:c>
      <x:c r="L569">
        <x:f ca="1">IF(AND($B$1012=1,LEN($L$1565)&gt;0),$L$1565,HLOOKUP(INDIRECT(ADDRESS(2,COLUMN())),OFFSET($T$2,0,0,ROW()-1,14),ROW()-1,FALSE))</x:f>
        <x:v>11.0985</x:v>
      </x:c>
      <x:c r="M569">
        <x:f ca="1">IF(AND($B$1012=1,LEN($M$1565)&gt;0),$M$1565,HLOOKUP(INDIRECT(ADDRESS(2,COLUMN())),OFFSET($T$2,0,0,ROW()-1,14),ROW()-1,FALSE))</x:f>
        <x:v>-14.778499999999999</x:v>
      </x:c>
      <x:c r="N569">
        <x:f ca="1">IF(AND($B$1012=1,LEN($N$1565)&gt;0),$N$1565,HLOOKUP(INDIRECT(ADDRESS(2,COLUMN())),OFFSET($T$2,0,0,ROW()-1,14),ROW()-1,FALSE))</x:f>
        <x:v>-7.899</x:v>
      </x:c>
      <x:c r="O569">
        <x:f ca="1">IF(AND($B$1012=1,LEN($O$1565)&gt;0),$O$1565,HLOOKUP(INDIRECT(ADDRESS(2,COLUMN())),OFFSET($T$2,0,0,ROW()-1,14),ROW()-1,FALSE))</x:f>
        <x:v>-30.033000000000001</x:v>
      </x:c>
      <x:c r="P569">
        <x:f ca="1">IF(AND($B$1012=1,LEN($P$1565)&gt;0),$P$1565,HLOOKUP(INDIRECT(ADDRESS(2,COLUMN())),OFFSET($T$2,0,0,ROW()-1,14),ROW()-1,FALSE))</x:f>
        <x:v>-1.673</x:v>
      </x:c>
      <x:c r="Q569">
        <x:f ca="1">IF(AND($B$1012=1,LEN($Q$1565)&gt;0),$Q$1565,HLOOKUP(INDIRECT(ADDRESS(2,COLUMN())),OFFSET($T$2,0,0,ROW()-1,14),ROW()-1,FALSE))</x:f>
        <x:v>3.3272780000000002</x:v>
      </x:c>
      <x:c r="R569">
        <x:f ca="1">IF(AND($B$1012=1,LEN($R$1565)&gt;0),$R$1565,HLOOKUP(INDIRECT(ADDRESS(2,COLUMN())),OFFSET($T$2,0,0,ROW()-1,14),ROW()-1,FALSE))</x:f>
        <x:v>-78.849129000000005</x:v>
      </x:c>
      <x:c r="S569">
        <x:f ca="1">IF(AND($B$1012=1,LEN($S$1565)&gt;0),$S$1565,HLOOKUP(INDIRECT(ADDRESS(2,COLUMN())),OFFSET($T$2,0,0,ROW()-1,14),ROW()-1,FALSE))</x:f>
        <x:v>-8.8102140000000002</x:v>
      </x:c>
      <x:c r="T569">
        <x:f>-5.989497</x:f>
        <x:v>-5.9894970000000001</x:v>
      </x:c>
      <x:c r="U569">
        <x:f>8.45126</x:f>
        <x:v>8.4512599999999996</x:v>
      </x:c>
      <x:c r="V569">
        <x:f>-11.476842</x:f>
        <x:v>-11.476842</x:v>
      </x:c>
      <x:c r="W569">
        <x:f>-44.674649</x:f>
        <x:v>-44.674649000000002</x:v>
      </x:c>
      <x:c r="X569">
        <x:f>-25.9795</x:f>
        <x:v>-25.979500000000002</x:v>
      </x:c>
      <x:c r="Y569">
        <x:f>9.8575</x:f>
        <x:v>9.8574999999999999</x:v>
      </x:c>
      <x:c r="Z569">
        <x:f>11.0985</x:f>
        <x:v>11.0985</x:v>
      </x:c>
      <x:c r="AA569">
        <x:f>-14.7785</x:f>
        <x:v>-14.778499999999999</x:v>
      </x:c>
      <x:c r="AB569">
        <x:f>-7.899</x:f>
        <x:v>-7.899</x:v>
      </x:c>
      <x:c r="AC569">
        <x:f>-30.033</x:f>
        <x:v>-30.033000000000001</x:v>
      </x:c>
      <x:c r="AD569">
        <x:f>-1.673</x:f>
        <x:v>-1.673</x:v>
      </x:c>
      <x:c r="AE569">
        <x:f>3.327278</x:f>
        <x:v>3.3272780000000002</x:v>
      </x:c>
      <x:c r="AF569">
        <x:f>-78.849129</x:f>
        <x:v>-78.849129000000005</x:v>
      </x:c>
      <x:c r="AG569">
        <x:f>-8.810214</x:f>
        <x:v>-8.8102140000000002</x:v>
      </x:c>
    </x:row>
    <x:row r="570" spans="1:33" x14ac:dyDescent="0.25">
      <x:c r="A570" t="str">
        <x:f>"        iShares US Utilities ETF"</x:f>
        <x:v xml:space="preserve">        iShares US Utilities ETF</x:v>
      </x:c>
      <x:c r="B570" t="str">
        <x:f>"IDU US Equity"</x:f>
        <x:v>IDU US Equity</x:v>
      </x:c>
      <x:c r="E570" t="str">
        <x:f t="shared" si="20"/>
        <x:v>Expression</x:v>
      </x:c>
      <x:c r="F570">
        <x:f ca="1">IF(AND($B$1012=1,LEN($F$1566)&gt;0),$F$1566,HLOOKUP(INDIRECT(ADDRESS(2,COLUMN())),OFFSET($T$2,0,0,ROW()-1,14),ROW()-1,FALSE))</x:f>
        <x:v>-7.6492370000000003</x:v>
      </x:c>
      <x:c r="G570">
        <x:f ca="1">IF(AND($B$1012=1,LEN($G$1566)&gt;0),$G$1566,HLOOKUP(INDIRECT(ADDRESS(2,COLUMN())),OFFSET($T$2,0,0,ROW()-1,14),ROW()-1,FALSE))</x:f>
        <x:v>13.778352999999999</x:v>
      </x:c>
      <x:c r="H570">
        <x:f ca="1">IF(AND($B$1012=1,LEN($H$1566)&gt;0),$H$1566,HLOOKUP(INDIRECT(ADDRESS(2,COLUMN())),OFFSET($T$2,0,0,ROW()-1,14),ROW()-1,FALSE))</x:f>
        <x:v>-11.580826</x:v>
      </x:c>
      <x:c r="I570">
        <x:f ca="1">IF(AND($B$1012=1,LEN($I$1566)&gt;0),$I$1566,HLOOKUP(INDIRECT(ADDRESS(2,COLUMN())),OFFSET($T$2,0,0,ROW()-1,14),ROW()-1,FALSE))</x:f>
        <x:v>-24.242570000000001</x:v>
      </x:c>
      <x:c r="J570">
        <x:f ca="1">IF(AND($B$1012=1,LEN($J$1566)&gt;0),$J$1566,HLOOKUP(INDIRECT(ADDRESS(2,COLUMN())),OFFSET($T$2,0,0,ROW()-1,14),ROW()-1,FALSE))</x:f>
        <x:v>-12.333575</x:v>
      </x:c>
      <x:c r="K570">
        <x:f ca="1">IF(AND($B$1012=1,LEN($K$1566)&gt;0),$K$1566,HLOOKUP(INDIRECT(ADDRESS(2,COLUMN())),OFFSET($T$2,0,0,ROW()-1,14),ROW()-1,FALSE))</x:f>
        <x:v>-65.337635000000006</x:v>
      </x:c>
      <x:c r="L570">
        <x:f ca="1">IF(AND($B$1012=1,LEN($L$1566)&gt;0),$L$1566,HLOOKUP(INDIRECT(ADDRESS(2,COLUMN())),OFFSET($T$2,0,0,ROW()-1,14),ROW()-1,FALSE))</x:f>
        <x:v>-3.8439000000000001</x:v>
      </x:c>
      <x:c r="M570">
        <x:f ca="1">IF(AND($B$1012=1,LEN($M$1566)&gt;0),$M$1566,HLOOKUP(INDIRECT(ADDRESS(2,COLUMN())),OFFSET($T$2,0,0,ROW()-1,14),ROW()-1,FALSE))</x:f>
        <x:v>-8.4987200000000005</x:v>
      </x:c>
      <x:c r="N570">
        <x:f ca="1">IF(AND($B$1012=1,LEN($N$1566)&gt;0),$N$1566,HLOOKUP(INDIRECT(ADDRESS(2,COLUMN())),OFFSET($T$2,0,0,ROW()-1,14),ROW()-1,FALSE))</x:f>
        <x:v>20.717424999999999</x:v>
      </x:c>
      <x:c r="O570">
        <x:f ca="1">IF(AND($B$1012=1,LEN($O$1566)&gt;0),$O$1566,HLOOKUP(INDIRECT(ADDRESS(2,COLUMN())),OFFSET($T$2,0,0,ROW()-1,14),ROW()-1,FALSE))</x:f>
        <x:v>12.312305</x:v>
      </x:c>
      <x:c r="P570">
        <x:f ca="1">IF(AND($B$1012=1,LEN($P$1566)&gt;0),$P$1566,HLOOKUP(INDIRECT(ADDRESS(2,COLUMN())),OFFSET($T$2,0,0,ROW()-1,14),ROW()-1,FALSE))</x:f>
        <x:v>-30.344284999999999</x:v>
      </x:c>
      <x:c r="Q570">
        <x:f ca="1">IF(AND($B$1012=1,LEN($Q$1566)&gt;0),$Q$1566,HLOOKUP(INDIRECT(ADDRESS(2,COLUMN())),OFFSET($T$2,0,0,ROW()-1,14),ROW()-1,FALSE))</x:f>
        <x:v>-13.05524</x:v>
      </x:c>
      <x:c r="R570">
        <x:f ca="1">IF(AND($B$1012=1,LEN($R$1566)&gt;0),$R$1566,HLOOKUP(INDIRECT(ADDRESS(2,COLUMN())),OFFSET($T$2,0,0,ROW()-1,14),ROW()-1,FALSE))</x:f>
        <x:v>-0.26517499999999999</x:v>
      </x:c>
      <x:c r="S570">
        <x:f ca="1">IF(AND($B$1012=1,LEN($S$1566)&gt;0),$S$1566,HLOOKUP(INDIRECT(ADDRESS(2,COLUMN())),OFFSET($T$2,0,0,ROW()-1,14),ROW()-1,FALSE))</x:f>
        <x:v>7.7119350000000004</x:v>
      </x:c>
      <x:c r="T570">
        <x:f>-7.649237</x:f>
        <x:v>-7.6492370000000003</x:v>
      </x:c>
      <x:c r="U570">
        <x:f>13.778353</x:f>
        <x:v>13.778352999999999</x:v>
      </x:c>
      <x:c r="V570">
        <x:f>-11.580826</x:f>
        <x:v>-11.580826</x:v>
      </x:c>
      <x:c r="W570">
        <x:f>-24.24257</x:f>
        <x:v>-24.242570000000001</x:v>
      </x:c>
      <x:c r="X570">
        <x:f>-12.333575</x:f>
        <x:v>-12.333575</x:v>
      </x:c>
      <x:c r="Y570">
        <x:f>-65.337635</x:f>
        <x:v>-65.337635000000006</x:v>
      </x:c>
      <x:c r="Z570">
        <x:f>-3.8439</x:f>
        <x:v>-3.8439000000000001</x:v>
      </x:c>
      <x:c r="AA570">
        <x:f>-8.49872</x:f>
        <x:v>-8.4987200000000005</x:v>
      </x:c>
      <x:c r="AB570">
        <x:f>20.717425</x:f>
        <x:v>20.717424999999999</x:v>
      </x:c>
      <x:c r="AC570">
        <x:f>12.312305</x:f>
        <x:v>12.312305</x:v>
      </x:c>
      <x:c r="AD570">
        <x:f>-30.344285</x:f>
        <x:v>-30.344284999999999</x:v>
      </x:c>
      <x:c r="AE570">
        <x:f>-13.05524</x:f>
        <x:v>-13.05524</x:v>
      </x:c>
      <x:c r="AF570">
        <x:f>-0.265175</x:f>
        <x:v>-0.26517499999999999</x:v>
      </x:c>
      <x:c r="AG570">
        <x:f>7.711935</x:f>
        <x:v>7.7119350000000004</x:v>
      </x:c>
    </x:row>
    <x:row r="571" spans="1:33" x14ac:dyDescent="0.25">
      <x:c r="A571" t="str">
        <x:f>"        Fidelity MSCI Utilities Index"</x:f>
        <x:v xml:space="preserve">        Fidelity MSCI Utilities Index</x:v>
      </x:c>
      <x:c r="B571" t="str">
        <x:f>"FUTY US Equity"</x:f>
        <x:v>FUTY US Equity</x:v>
      </x:c>
      <x:c r="E571" t="str">
        <x:f t="shared" si="20"/>
        <x:v>Expression</x:v>
      </x:c>
      <x:c r="F571">
        <x:f ca="1">IF(AND($B$1012=1,LEN($F$1567)&gt;0),$F$1567,HLOOKUP(INDIRECT(ADDRESS(2,COLUMN())),OFFSET($T$2,0,0,ROW()-1,14),ROW()-1,FALSE))</x:f>
        <x:v>-11.7164</x:v>
      </x:c>
      <x:c r="G571">
        <x:f ca="1">IF(AND($B$1012=1,LEN($G$1567)&gt;0),$G$1567,HLOOKUP(INDIRECT(ADDRESS(2,COLUMN())),OFFSET($T$2,0,0,ROW()-1,14),ROW()-1,FALSE))</x:f>
        <x:v>-290.51206000000002</x:v>
      </x:c>
      <x:c r="H571">
        <x:f ca="1">IF(AND($B$1012=1,LEN($H$1567)&gt;0),$H$1567,HLOOKUP(INDIRECT(ADDRESS(2,COLUMN())),OFFSET($T$2,0,0,ROW()-1,14),ROW()-1,FALSE))</x:f>
        <x:v>-50.262565000000002</x:v>
      </x:c>
      <x:c r="I571">
        <x:f ca="1">IF(AND($B$1012=1,LEN($I$1567)&gt;0),$I$1567,HLOOKUP(INDIRECT(ADDRESS(2,COLUMN())),OFFSET($T$2,0,0,ROW()-1,14),ROW()-1,FALSE))</x:f>
        <x:v>-16.552109999999999</x:v>
      </x:c>
      <x:c r="J571">
        <x:f ca="1">IF(AND($B$1012=1,LEN($J$1567)&gt;0),$J$1567,HLOOKUP(INDIRECT(ADDRESS(2,COLUMN())),OFFSET($T$2,0,0,ROW()-1,14),ROW()-1,FALSE))</x:f>
        <x:v>-155.82207500000001</x:v>
      </x:c>
      <x:c r="K571">
        <x:f ca="1">IF(AND($B$1012=1,LEN($K$1567)&gt;0),$K$1567,HLOOKUP(INDIRECT(ADDRESS(2,COLUMN())),OFFSET($T$2,0,0,ROW()-1,14),ROW()-1,FALSE))</x:f>
        <x:v>36.370725</x:v>
      </x:c>
      <x:c r="L571">
        <x:f ca="1">IF(AND($B$1012=1,LEN($L$1567)&gt;0),$L$1567,HLOOKUP(INDIRECT(ADDRESS(2,COLUMN())),OFFSET($T$2,0,0,ROW()-1,14),ROW()-1,FALSE))</x:f>
        <x:v>-16.985230000000001</x:v>
      </x:c>
      <x:c r="M571">
        <x:f ca="1">IF(AND($B$1012=1,LEN($M$1567)&gt;0),$M$1567,HLOOKUP(INDIRECT(ADDRESS(2,COLUMN())),OFFSET($T$2,0,0,ROW()-1,14),ROW()-1,FALSE))</x:f>
        <x:v>-69.889544999999998</x:v>
      </x:c>
      <x:c r="N571">
        <x:f ca="1">IF(AND($B$1012=1,LEN($N$1567)&gt;0),$N$1567,HLOOKUP(INDIRECT(ADDRESS(2,COLUMN())),OFFSET($T$2,0,0,ROW()-1,14),ROW()-1,FALSE))</x:f>
        <x:v>-67.793965</x:v>
      </x:c>
      <x:c r="O571">
        <x:f ca="1">IF(AND($B$1012=1,LEN($O$1567)&gt;0),$O$1567,HLOOKUP(INDIRECT(ADDRESS(2,COLUMN())),OFFSET($T$2,0,0,ROW()-1,14),ROW()-1,FALSE))</x:f>
        <x:v>-8.6646850000000004</x:v>
      </x:c>
      <x:c r="P571">
        <x:f ca="1">IF(AND($B$1012=1,LEN($P$1567)&gt;0),$P$1567,HLOOKUP(INDIRECT(ADDRESS(2,COLUMN())),OFFSET($T$2,0,0,ROW()-1,14),ROW()-1,FALSE))</x:f>
        <x:v>188.98788500000001</x:v>
      </x:c>
      <x:c r="Q571">
        <x:f ca="1">IF(AND($B$1012=1,LEN($Q$1567)&gt;0),$Q$1567,HLOOKUP(INDIRECT(ADDRESS(2,COLUMN())),OFFSET($T$2,0,0,ROW()-1,14),ROW()-1,FALSE))</x:f>
        <x:v>20.585415000000001</x:v>
      </x:c>
      <x:c r="R571">
        <x:f ca="1">IF(AND($B$1012=1,LEN($R$1567)&gt;0),$R$1567,HLOOKUP(INDIRECT(ADDRESS(2,COLUMN())),OFFSET($T$2,0,0,ROW()-1,14),ROW()-1,FALSE))</x:f>
        <x:v>-25.956904999999999</x:v>
      </x:c>
      <x:c r="S571">
        <x:f ca="1">IF(AND($B$1012=1,LEN($S$1567)&gt;0),$S$1567,HLOOKUP(INDIRECT(ADDRESS(2,COLUMN())),OFFSET($T$2,0,0,ROW()-1,14),ROW()-1,FALSE))</x:f>
        <x:v>-16.368289999999998</x:v>
      </x:c>
      <x:c r="T571">
        <x:f>-11.7164</x:f>
        <x:v>-11.7164</x:v>
      </x:c>
      <x:c r="U571">
        <x:f>-290.51206</x:f>
        <x:v>-290.51206000000002</x:v>
      </x:c>
      <x:c r="V571">
        <x:f>-50.262565</x:f>
        <x:v>-50.262565000000002</x:v>
      </x:c>
      <x:c r="W571">
        <x:f>-16.55211</x:f>
        <x:v>-16.552109999999999</x:v>
      </x:c>
      <x:c r="X571">
        <x:f>-155.822075</x:f>
        <x:v>-155.82207500000001</x:v>
      </x:c>
      <x:c r="Y571">
        <x:f>36.370725</x:f>
        <x:v>36.370725</x:v>
      </x:c>
      <x:c r="Z571">
        <x:f>-16.98523</x:f>
        <x:v>-16.985230000000001</x:v>
      </x:c>
      <x:c r="AA571">
        <x:f>-69.889545</x:f>
        <x:v>-69.889544999999998</x:v>
      </x:c>
      <x:c r="AB571">
        <x:f>-67.793965</x:f>
        <x:v>-67.793965</x:v>
      </x:c>
      <x:c r="AC571">
        <x:f>-8.664685</x:f>
        <x:v>-8.6646850000000004</x:v>
      </x:c>
      <x:c r="AD571">
        <x:f>188.987885</x:f>
        <x:v>188.98788500000001</x:v>
      </x:c>
      <x:c r="AE571">
        <x:f>20.585415</x:f>
        <x:v>20.585415000000001</x:v>
      </x:c>
      <x:c r="AF571">
        <x:f>-25.956905</x:f>
        <x:v>-25.956904999999999</x:v>
      </x:c>
      <x:c r="AG571">
        <x:f>-16.36829</x:f>
        <x:v>-16.368289999999998</x:v>
      </x:c>
    </x:row>
    <x:row r="572" spans="1:33" x14ac:dyDescent="0.25">
      <x:c r="A572" t="str">
        <x:f>"        Invesco S&amp;P 500 Equal Weight U"</x:f>
        <x:v xml:space="preserve">        Invesco S&amp;P 500 Equal Weight U</x:v>
      </x:c>
      <x:c r="B572" t="str">
        <x:f>"RYU US Equity"</x:f>
        <x:v>RYU US Equity</x:v>
      </x:c>
      <x:c r="E572" t="str">
        <x:f t="shared" si="20"/>
        <x:v>Expression</x:v>
      </x:c>
      <x:c r="F572">
        <x:f ca="1">IF(AND($B$1012=1,LEN($F$1568)&gt;0),$F$1568,HLOOKUP(INDIRECT(ADDRESS(2,COLUMN())),OFFSET($T$2,0,0,ROW()-1,14),ROW()-1,FALSE))</x:f>
        <x:v>-4.1962190000000001</x:v>
      </x:c>
      <x:c r="G572">
        <x:f ca="1">IF(AND($B$1012=1,LEN($G$1568)&gt;0),$G$1568,HLOOKUP(INDIRECT(ADDRESS(2,COLUMN())),OFFSET($T$2,0,0,ROW()-1,14),ROW()-1,FALSE))</x:f>
        <x:v>-31.594635</x:v>
      </x:c>
      <x:c r="H572">
        <x:f ca="1">IF(AND($B$1012=1,LEN($H$1568)&gt;0),$H$1568,HLOOKUP(INDIRECT(ADDRESS(2,COLUMN())),OFFSET($T$2,0,0,ROW()-1,14),ROW()-1,FALSE))</x:f>
        <x:v>-8.4940379999999998</x:v>
      </x:c>
      <x:c r="I572">
        <x:f ca="1">IF(AND($B$1012=1,LEN($I$1568)&gt;0),$I$1568,HLOOKUP(INDIRECT(ADDRESS(2,COLUMN())),OFFSET($T$2,0,0,ROW()-1,14),ROW()-1,FALSE))</x:f>
        <x:v>-9.8702529999999999</x:v>
      </x:c>
      <x:c r="J572">
        <x:f ca="1">IF(AND($B$1012=1,LEN($J$1568)&gt;0),$J$1568,HLOOKUP(INDIRECT(ADDRESS(2,COLUMN())),OFFSET($T$2,0,0,ROW()-1,14),ROW()-1,FALSE))</x:f>
        <x:v>-17.534648000000001</x:v>
      </x:c>
      <x:c r="K572">
        <x:f ca="1">IF(AND($B$1012=1,LEN($K$1568)&gt;0),$K$1568,HLOOKUP(INDIRECT(ADDRESS(2,COLUMN())),OFFSET($T$2,0,0,ROW()-1,14),ROW()-1,FALSE))</x:f>
        <x:v>-25.642402000000001</x:v>
      </x:c>
      <x:c r="L572" t="str">
        <x:f ca="1">IF(AND($B$1012=1,LEN($L$1568)&gt;0),$L$1568,HLOOKUP(INDIRECT(ADDRESS(2,COLUMN())),OFFSET($T$2,0,0,ROW()-1,14),ROW()-1,FALSE))</x:f>
        <x:v/>
      </x:c>
      <x:c r="M572" t="str">
        <x:f ca="1">IF(AND($B$1012=1,LEN($M$1568)&gt;0),$M$1568,HLOOKUP(INDIRECT(ADDRESS(2,COLUMN())),OFFSET($T$2,0,0,ROW()-1,14),ROW()-1,FALSE))</x:f>
        <x:v/>
      </x:c>
      <x:c r="N572" t="str">
        <x:f ca="1">IF(AND($B$1012=1,LEN($N$1568)&gt;0),$N$1568,HLOOKUP(INDIRECT(ADDRESS(2,COLUMN())),OFFSET($T$2,0,0,ROW()-1,14),ROW()-1,FALSE))</x:f>
        <x:v/>
      </x:c>
      <x:c r="O572" t="str">
        <x:f ca="1">IF(AND($B$1012=1,LEN($O$1568)&gt;0),$O$1568,HLOOKUP(INDIRECT(ADDRESS(2,COLUMN())),OFFSET($T$2,0,0,ROW()-1,14),ROW()-1,FALSE))</x:f>
        <x:v/>
      </x:c>
      <x:c r="P572" t="str">
        <x:f ca="1">IF(AND($B$1012=1,LEN($P$1568)&gt;0),$P$1568,HLOOKUP(INDIRECT(ADDRESS(2,COLUMN())),OFFSET($T$2,0,0,ROW()-1,14),ROW()-1,FALSE))</x:f>
        <x:v/>
      </x:c>
      <x:c r="Q572" t="str">
        <x:f ca="1">IF(AND($B$1012=1,LEN($Q$1568)&gt;0),$Q$1568,HLOOKUP(INDIRECT(ADDRESS(2,COLUMN())),OFFSET($T$2,0,0,ROW()-1,14),ROW()-1,FALSE))</x:f>
        <x:v/>
      </x:c>
      <x:c r="R572" t="str">
        <x:f ca="1">IF(AND($B$1012=1,LEN($R$1568)&gt;0),$R$1568,HLOOKUP(INDIRECT(ADDRESS(2,COLUMN())),OFFSET($T$2,0,0,ROW()-1,14),ROW()-1,FALSE))</x:f>
        <x:v/>
      </x:c>
      <x:c r="S572" t="str">
        <x:f ca="1">IF(AND($B$1012=1,LEN($S$1568)&gt;0),$S$1568,HLOOKUP(INDIRECT(ADDRESS(2,COLUMN())),OFFSET($T$2,0,0,ROW()-1,14),ROW()-1,FALSE))</x:f>
        <x:v/>
      </x:c>
      <x:c r="T572">
        <x:f>-4.196219</x:f>
        <x:v>-4.1962190000000001</x:v>
      </x:c>
      <x:c r="U572">
        <x:f>-31.594635</x:f>
        <x:v>-31.594635</x:v>
      </x:c>
      <x:c r="V572">
        <x:f>-8.494038</x:f>
        <x:v>-8.4940379999999998</x:v>
      </x:c>
      <x:c r="W572">
        <x:f>-9.870253</x:f>
        <x:v>-9.8702529999999999</x:v>
      </x:c>
      <x:c r="X572">
        <x:f>-17.534648</x:f>
        <x:v>-17.534648000000001</x:v>
      </x:c>
      <x:c r="Y572">
        <x:f>-25.642402</x:f>
        <x:v>-25.642402000000001</x:v>
      </x:c>
      <x:c r="Z572" t="str">
        <x:f>""</x:f>
        <x:v/>
      </x:c>
      <x:c r="AA572" t="str">
        <x:f>""</x:f>
        <x:v/>
      </x:c>
      <x:c r="AB572" t="str">
        <x:f>""</x:f>
        <x:v/>
      </x:c>
      <x:c r="AC572" t="str">
        <x:f>""</x:f>
        <x:v/>
      </x:c>
      <x:c r="AD572" t="str">
        <x:f>""</x:f>
        <x:v/>
      </x:c>
      <x:c r="AE572" t="str">
        <x:f>""</x:f>
        <x:v/>
      </x:c>
      <x:c r="AF572" t="str">
        <x:f>""</x:f>
        <x:v/>
      </x:c>
      <x:c r="AG572" t="str">
        <x:f>""</x:f>
        <x:v/>
      </x:c>
    </x:row>
    <x:row r="573" spans="1:33" x14ac:dyDescent="0.25">
      <x:c r="A573" t="str">
        <x:f>"        iShares Global Utilities ETF"</x:f>
        <x:v xml:space="preserve">        iShares Global Utilities ETF</x:v>
      </x:c>
      <x:c r="B573" t="str">
        <x:f>"JXI US Equity"</x:f>
        <x:v>JXI US Equity</x:v>
      </x:c>
      <x:c r="E573" t="str">
        <x:f t="shared" si="20"/>
        <x:v>Expression</x:v>
      </x:c>
      <x:c r="F573">
        <x:f ca="1">IF(AND($B$1012=1,LEN($F$1569)&gt;0),$F$1569,HLOOKUP(INDIRECT(ADDRESS(2,COLUMN())),OFFSET($T$2,0,0,ROW()-1,14),ROW()-1,FALSE))</x:f>
        <x:v>0</x:v>
      </x:c>
      <x:c r="G573">
        <x:f ca="1">IF(AND($B$1012=1,LEN($G$1569)&gt;0),$G$1569,HLOOKUP(INDIRECT(ADDRESS(2,COLUMN())),OFFSET($T$2,0,0,ROW()-1,14),ROW()-1,FALSE))</x:f>
        <x:v>-8.1435860000000009</x:v>
      </x:c>
      <x:c r="H573">
        <x:f ca="1">IF(AND($B$1012=1,LEN($H$1569)&gt;0),$H$1569,HLOOKUP(INDIRECT(ADDRESS(2,COLUMN())),OFFSET($T$2,0,0,ROW()-1,14),ROW()-1,FALSE))</x:f>
        <x:v>5.8476239999999997</x:v>
      </x:c>
      <x:c r="I573">
        <x:f ca="1">IF(AND($B$1012=1,LEN($I$1569)&gt;0),$I$1569,HLOOKUP(INDIRECT(ADDRESS(2,COLUMN())),OFFSET($T$2,0,0,ROW()-1,14),ROW()-1,FALSE))</x:f>
        <x:v>-5.8462350000000001</x:v>
      </x:c>
      <x:c r="J573">
        <x:f ca="1">IF(AND($B$1012=1,LEN($J$1569)&gt;0),$J$1569,HLOOKUP(INDIRECT(ADDRESS(2,COLUMN())),OFFSET($T$2,0,0,ROW()-1,14),ROW()-1,FALSE))</x:f>
        <x:v>-3.0542250000000002</x:v>
      </x:c>
      <x:c r="K573">
        <x:f ca="1">IF(AND($B$1012=1,LEN($K$1569)&gt;0),$K$1569,HLOOKUP(INDIRECT(ADDRESS(2,COLUMN())),OFFSET($T$2,0,0,ROW()-1,14),ROW()-1,FALSE))</x:f>
        <x:v>5.9032999999999998</x:v>
      </x:c>
      <x:c r="L573">
        <x:f ca="1">IF(AND($B$1012=1,LEN($L$1569)&gt;0),$L$1569,HLOOKUP(INDIRECT(ADDRESS(2,COLUMN())),OFFSET($T$2,0,0,ROW()-1,14),ROW()-1,FALSE))</x:f>
        <x:v>3.0948549999999999</x:v>
      </x:c>
      <x:c r="M573">
        <x:f ca="1">IF(AND($B$1012=1,LEN($M$1569)&gt;0),$M$1569,HLOOKUP(INDIRECT(ADDRESS(2,COLUMN())),OFFSET($T$2,0,0,ROW()-1,14),ROW()-1,FALSE))</x:f>
        <x:v>0</x:v>
      </x:c>
      <x:c r="N573">
        <x:f ca="1">IF(AND($B$1012=1,LEN($N$1569)&gt;0),$N$1569,HLOOKUP(INDIRECT(ADDRESS(2,COLUMN())),OFFSET($T$2,0,0,ROW()-1,14),ROW()-1,FALSE))</x:f>
        <x:v>-2.9175200000000001</x:v>
      </x:c>
      <x:c r="O573">
        <x:f ca="1">IF(AND($B$1012=1,LEN($O$1569)&gt;0),$O$1569,HLOOKUP(INDIRECT(ADDRESS(2,COLUMN())),OFFSET($T$2,0,0,ROW()-1,14),ROW()-1,FALSE))</x:f>
        <x:v>-5.9120299999999997</x:v>
      </x:c>
      <x:c r="P573">
        <x:f ca="1">IF(AND($B$1012=1,LEN($P$1569)&gt;0),$P$1569,HLOOKUP(INDIRECT(ADDRESS(2,COLUMN())),OFFSET($T$2,0,0,ROW()-1,14),ROW()-1,FALSE))</x:f>
        <x:v>-3.0742349999999998</x:v>
      </x:c>
      <x:c r="Q573">
        <x:f ca="1">IF(AND($B$1012=1,LEN($Q$1569)&gt;0),$Q$1569,HLOOKUP(INDIRECT(ADDRESS(2,COLUMN())),OFFSET($T$2,0,0,ROW()-1,14),ROW()-1,FALSE))</x:f>
        <x:v>0</x:v>
      </x:c>
      <x:c r="R573">
        <x:f ca="1">IF(AND($B$1012=1,LEN($R$1569)&gt;0),$R$1569,HLOOKUP(INDIRECT(ADDRESS(2,COLUMN())),OFFSET($T$2,0,0,ROW()-1,14),ROW()-1,FALSE))</x:f>
        <x:v>0</x:v>
      </x:c>
      <x:c r="S573">
        <x:f ca="1">IF(AND($B$1012=1,LEN($S$1569)&gt;0),$S$1569,HLOOKUP(INDIRECT(ADDRESS(2,COLUMN())),OFFSET($T$2,0,0,ROW()-1,14),ROW()-1,FALSE))</x:f>
        <x:v>-10.770625000000001</x:v>
      </x:c>
      <x:c r="T573">
        <x:f>0</x:f>
        <x:v>0</x:v>
      </x:c>
      <x:c r="U573">
        <x:f>-8.143586</x:f>
        <x:v>-8.1435860000000009</x:v>
      </x:c>
      <x:c r="V573">
        <x:f>5.847624</x:f>
        <x:v>5.8476239999999997</x:v>
      </x:c>
      <x:c r="W573">
        <x:f>-5.846235</x:f>
        <x:v>-5.8462350000000001</x:v>
      </x:c>
      <x:c r="X573">
        <x:f>-3.054225</x:f>
        <x:v>-3.0542250000000002</x:v>
      </x:c>
      <x:c r="Y573">
        <x:f>5.9033</x:f>
        <x:v>5.9032999999999998</x:v>
      </x:c>
      <x:c r="Z573">
        <x:f>3.094855</x:f>
        <x:v>3.0948549999999999</x:v>
      </x:c>
      <x:c r="AA573">
        <x:f>0</x:f>
        <x:v>0</x:v>
      </x:c>
      <x:c r="AB573">
        <x:f>-2.91752</x:f>
        <x:v>-2.9175200000000001</x:v>
      </x:c>
      <x:c r="AC573">
        <x:f>-5.91203</x:f>
        <x:v>-5.9120299999999997</x:v>
      </x:c>
      <x:c r="AD573">
        <x:f>-3.074235</x:f>
        <x:v>-3.0742349999999998</x:v>
      </x:c>
      <x:c r="AE573">
        <x:f>0</x:f>
        <x:v>0</x:v>
      </x:c>
      <x:c r="AF573">
        <x:f>0</x:f>
        <x:v>0</x:v>
      </x:c>
      <x:c r="AG573">
        <x:f>-10.770625</x:f>
        <x:v>-10.770625000000001</x:v>
      </x:c>
    </x:row>
    <x:row r="574" spans="1:33" x14ac:dyDescent="0.25">
      <x:c r="A574" t="str">
        <x:f>"        Invesco DWA Utilities Momentum"</x:f>
        <x:v xml:space="preserve">        Invesco DWA Utilities Momentum</x:v>
      </x:c>
      <x:c r="B574" t="str">
        <x:f>"PUI US Equity"</x:f>
        <x:v>PUI US Equity</x:v>
      </x:c>
      <x:c r="E574" t="str">
        <x:f t="shared" si="20"/>
        <x:v>Expression</x:v>
      </x:c>
      <x:c r="F574">
        <x:f ca="1">IF(AND($B$1012=1,LEN($F$1570)&gt;0),$F$1570,HLOOKUP(INDIRECT(ADDRESS(2,COLUMN())),OFFSET($T$2,0,0,ROW()-1,14),ROW()-1,FALSE))</x:f>
        <x:v>-0.91112199999999999</x:v>
      </x:c>
      <x:c r="G574">
        <x:f ca="1">IF(AND($B$1012=1,LEN($G$1570)&gt;0),$G$1570,HLOOKUP(INDIRECT(ADDRESS(2,COLUMN())),OFFSET($T$2,0,0,ROW()-1,14),ROW()-1,FALSE))</x:f>
        <x:v>-0.30441400000000002</x:v>
      </x:c>
      <x:c r="H574">
        <x:f ca="1">IF(AND($B$1012=1,LEN($H$1570)&gt;0),$H$1570,HLOOKUP(INDIRECT(ADDRESS(2,COLUMN())),OFFSET($T$2,0,0,ROW()-1,14),ROW()-1,FALSE))</x:f>
        <x:v>-0.62854399999999999</x:v>
      </x:c>
      <x:c r="I574">
        <x:f ca="1">IF(AND($B$1012=1,LEN($I$1570)&gt;0),$I$1570,HLOOKUP(INDIRECT(ADDRESS(2,COLUMN())),OFFSET($T$2,0,0,ROW()-1,14),ROW()-1,FALSE))</x:f>
        <x:v>-0.31764300000000001</x:v>
      </x:c>
      <x:c r="J574">
        <x:f ca="1">IF(AND($B$1012=1,LEN($J$1570)&gt;0),$J$1570,HLOOKUP(INDIRECT(ADDRESS(2,COLUMN())),OFFSET($T$2,0,0,ROW()-1,14),ROW()-1,FALSE))</x:f>
        <x:v>-0.98416099999999995</x:v>
      </x:c>
      <x:c r="K574">
        <x:f ca="1">IF(AND($B$1012=1,LEN($K$1570)&gt;0),$K$1570,HLOOKUP(INDIRECT(ADDRESS(2,COLUMN())),OFFSET($T$2,0,0,ROW()-1,14),ROW()-1,FALSE))</x:f>
        <x:v>-1.6358969999999999</x:v>
      </x:c>
      <x:c r="L574">
        <x:f ca="1">IF(AND($B$1012=1,LEN($L$1570)&gt;0),$L$1570,HLOOKUP(INDIRECT(ADDRESS(2,COLUMN())),OFFSET($T$2,0,0,ROW()-1,14),ROW()-1,FALSE))</x:f>
        <x:v>-0.63762600000000003</x:v>
      </x:c>
      <x:c r="M574">
        <x:f ca="1">IF(AND($B$1012=1,LEN($M$1570)&gt;0),$M$1570,HLOOKUP(INDIRECT(ADDRESS(2,COLUMN())),OFFSET($T$2,0,0,ROW()-1,14),ROW()-1,FALSE))</x:f>
        <x:v>-0.33040000000000003</x:v>
      </x:c>
      <x:c r="N574">
        <x:f ca="1">IF(AND($B$1012=1,LEN($N$1570)&gt;0),$N$1570,HLOOKUP(INDIRECT(ADDRESS(2,COLUMN())),OFFSET($T$2,0,0,ROW()-1,14),ROW()-1,FALSE))</x:f>
        <x:v>-0.95184299999999999</x:v>
      </x:c>
      <x:c r="O574">
        <x:f ca="1">IF(AND($B$1012=1,LEN($O$1570)&gt;0),$O$1570,HLOOKUP(INDIRECT(ADDRESS(2,COLUMN())),OFFSET($T$2,0,0,ROW()-1,14),ROW()-1,FALSE))</x:f>
        <x:v>-0.99986399999999998</x:v>
      </x:c>
      <x:c r="P574">
        <x:f ca="1">IF(AND($B$1012=1,LEN($P$1570)&gt;0),$P$1570,HLOOKUP(INDIRECT(ADDRESS(2,COLUMN())),OFFSET($T$2,0,0,ROW()-1,14),ROW()-1,FALSE))</x:f>
        <x:v>0</x:v>
      </x:c>
      <x:c r="Q574">
        <x:f ca="1">IF(AND($B$1012=1,LEN($Q$1570)&gt;0),$Q$1570,HLOOKUP(INDIRECT(ADDRESS(2,COLUMN())),OFFSET($T$2,0,0,ROW()-1,14),ROW()-1,FALSE))</x:f>
        <x:v>-4.8829599999999997</x:v>
      </x:c>
      <x:c r="R574">
        <x:f ca="1">IF(AND($B$1012=1,LEN($R$1570)&gt;0),$R$1570,HLOOKUP(INDIRECT(ADDRESS(2,COLUMN())),OFFSET($T$2,0,0,ROW()-1,14),ROW()-1,FALSE))</x:f>
        <x:v>-25.850556999999998</x:v>
      </x:c>
      <x:c r="S574">
        <x:f ca="1">IF(AND($B$1012=1,LEN($S$1570)&gt;0),$S$1570,HLOOKUP(INDIRECT(ADDRESS(2,COLUMN())),OFFSET($T$2,0,0,ROW()-1,14),ROW()-1,FALSE))</x:f>
        <x:v>-2.26837</x:v>
      </x:c>
      <x:c r="T574">
        <x:f>-0.911122</x:f>
        <x:v>-0.91112199999999999</x:v>
      </x:c>
      <x:c r="U574">
        <x:f>-0.304414</x:f>
        <x:v>-0.30441400000000002</x:v>
      </x:c>
      <x:c r="V574">
        <x:f>-0.628544</x:f>
        <x:v>-0.62854399999999999</x:v>
      </x:c>
      <x:c r="W574">
        <x:f>-0.317643</x:f>
        <x:v>-0.31764300000000001</x:v>
      </x:c>
      <x:c r="X574">
        <x:f>-0.984161</x:f>
        <x:v>-0.98416099999999995</x:v>
      </x:c>
      <x:c r="Y574">
        <x:f>-1.635897</x:f>
        <x:v>-1.6358969999999999</x:v>
      </x:c>
      <x:c r="Z574">
        <x:f>-0.637626</x:f>
        <x:v>-0.63762600000000003</x:v>
      </x:c>
      <x:c r="AA574">
        <x:f>-0.3304</x:f>
        <x:v>-0.33040000000000003</x:v>
      </x:c>
      <x:c r="AB574">
        <x:f>-0.951843</x:f>
        <x:v>-0.95184299999999999</x:v>
      </x:c>
      <x:c r="AC574">
        <x:f>-0.999864</x:f>
        <x:v>-0.99986399999999998</x:v>
      </x:c>
      <x:c r="AD574">
        <x:f>0</x:f>
        <x:v>0</x:v>
      </x:c>
      <x:c r="AE574">
        <x:f>-4.88296</x:f>
        <x:v>-4.8829599999999997</x:v>
      </x:c>
      <x:c r="AF574">
        <x:f>-25.850557</x:f>
        <x:v>-25.850556999999998</x:v>
      </x:c>
      <x:c r="AG574">
        <x:f>-2.26837</x:f>
        <x:v>-2.26837</x:v>
      </x:c>
    </x:row>
    <x:row r="575" spans="1:33" x14ac:dyDescent="0.25">
      <x:c r="A575" t="str">
        <x:f>"        Invesco S&amp;P SmallCap Utilities"</x:f>
        <x:v xml:space="preserve">        Invesco S&amp;P SmallCap Utilities</x:v>
      </x:c>
      <x:c r="B575" t="str">
        <x:f>"PSCU US Equity"</x:f>
        <x:v>PSCU US Equity</x:v>
      </x:c>
      <x:c r="E575" t="str">
        <x:f t="shared" si="20"/>
        <x:v>Expression</x:v>
      </x:c>
      <x:c r="F575">
        <x:f ca="1">IF(AND($B$1012=1,LEN($F$1571)&gt;0),$F$1571,HLOOKUP(INDIRECT(ADDRESS(2,COLUMN())),OFFSET($T$2,0,0,ROW()-1,14),ROW()-1,FALSE))</x:f>
        <x:v>-0.96043000000000001</x:v>
      </x:c>
      <x:c r="G575">
        <x:f ca="1">IF(AND($B$1012=1,LEN($G$1571)&gt;0),$G$1571,HLOOKUP(INDIRECT(ADDRESS(2,COLUMN())),OFFSET($T$2,0,0,ROW()-1,14),ROW()-1,FALSE))</x:f>
        <x:v>0</x:v>
      </x:c>
      <x:c r="H575">
        <x:f ca="1">IF(AND($B$1012=1,LEN($H$1571)&gt;0),$H$1571,HLOOKUP(INDIRECT(ADDRESS(2,COLUMN())),OFFSET($T$2,0,0,ROW()-1,14),ROW()-1,FALSE))</x:f>
        <x:v>-0.50848800000000005</x:v>
      </x:c>
      <x:c r="I575">
        <x:f ca="1">IF(AND($B$1012=1,LEN($I$1571)&gt;0),$I$1571,HLOOKUP(INDIRECT(ADDRESS(2,COLUMN())),OFFSET($T$2,0,0,ROW()-1,14),ROW()-1,FALSE))</x:f>
        <x:v>-0.54434499999999997</x:v>
      </x:c>
      <x:c r="J575">
        <x:f ca="1">IF(AND($B$1012=1,LEN($J$1571)&gt;0),$J$1571,HLOOKUP(INDIRECT(ADDRESS(2,COLUMN())),OFFSET($T$2,0,0,ROW()-1,14),ROW()-1,FALSE))</x:f>
        <x:v>0</x:v>
      </x:c>
      <x:c r="K575">
        <x:f ca="1">IF(AND($B$1012=1,LEN($K$1571)&gt;0),$K$1571,HLOOKUP(INDIRECT(ADDRESS(2,COLUMN())),OFFSET($T$2,0,0,ROW()-1,14),ROW()-1,FALSE))</x:f>
        <x:v>0</x:v>
      </x:c>
      <x:c r="L575">
        <x:f ca="1">IF(AND($B$1012=1,LEN($L$1571)&gt;0),$L$1571,HLOOKUP(INDIRECT(ADDRESS(2,COLUMN())),OFFSET($T$2,0,0,ROW()-1,14),ROW()-1,FALSE))</x:f>
        <x:v>0</x:v>
      </x:c>
      <x:c r="M575">
        <x:f ca="1">IF(AND($B$1012=1,LEN($M$1571)&gt;0),$M$1571,HLOOKUP(INDIRECT(ADDRESS(2,COLUMN())),OFFSET($T$2,0,0,ROW()-1,14),ROW()-1,FALSE))</x:f>
        <x:v>0</x:v>
      </x:c>
      <x:c r="N575">
        <x:f ca="1">IF(AND($B$1012=1,LEN($N$1571)&gt;0),$N$1571,HLOOKUP(INDIRECT(ADDRESS(2,COLUMN())),OFFSET($T$2,0,0,ROW()-1,14),ROW()-1,FALSE))</x:f>
        <x:v>0</x:v>
      </x:c>
      <x:c r="O575">
        <x:f ca="1">IF(AND($B$1012=1,LEN($O$1571)&gt;0),$O$1571,HLOOKUP(INDIRECT(ADDRESS(2,COLUMN())),OFFSET($T$2,0,0,ROW()-1,14),ROW()-1,FALSE))</x:f>
        <x:v>-2.3890880000000001</x:v>
      </x:c>
      <x:c r="P575">
        <x:f ca="1">IF(AND($B$1012=1,LEN($P$1571)&gt;0),$P$1571,HLOOKUP(INDIRECT(ADDRESS(2,COLUMN())),OFFSET($T$2,0,0,ROW()-1,14),ROW()-1,FALSE))</x:f>
        <x:v>2.2979240000000001</x:v>
      </x:c>
      <x:c r="Q575">
        <x:f ca="1">IF(AND($B$1012=1,LEN($Q$1571)&gt;0),$Q$1571,HLOOKUP(INDIRECT(ADDRESS(2,COLUMN())),OFFSET($T$2,0,0,ROW()-1,14),ROW()-1,FALSE))</x:f>
        <x:v>0</x:v>
      </x:c>
      <x:c r="R575">
        <x:f ca="1">IF(AND($B$1012=1,LEN($R$1571)&gt;0),$R$1571,HLOOKUP(INDIRECT(ADDRESS(2,COLUMN())),OFFSET($T$2,0,0,ROW()-1,14),ROW()-1,FALSE))</x:f>
        <x:v>0</x:v>
      </x:c>
      <x:c r="S575">
        <x:f ca="1">IF(AND($B$1012=1,LEN($S$1571)&gt;0),$S$1571,HLOOKUP(INDIRECT(ADDRESS(2,COLUMN())),OFFSET($T$2,0,0,ROW()-1,14),ROW()-1,FALSE))</x:f>
        <x:v>-0.53922199999999998</x:v>
      </x:c>
      <x:c r="T575">
        <x:f>-0.96043</x:f>
        <x:v>-0.96043000000000001</x:v>
      </x:c>
      <x:c r="U575">
        <x:f>0</x:f>
        <x:v>0</x:v>
      </x:c>
      <x:c r="V575">
        <x:f>-0.508488</x:f>
        <x:v>-0.50848800000000005</x:v>
      </x:c>
      <x:c r="W575">
        <x:f>-0.544345</x:f>
        <x:v>-0.54434499999999997</x:v>
      </x:c>
      <x:c r="X575">
        <x:f>0</x:f>
        <x:v>0</x:v>
      </x:c>
      <x:c r="Y575">
        <x:f>0</x:f>
        <x:v>0</x:v>
      </x:c>
      <x:c r="Z575">
        <x:f>0</x:f>
        <x:v>0</x:v>
      </x:c>
      <x:c r="AA575">
        <x:f>0</x:f>
        <x:v>0</x:v>
      </x:c>
      <x:c r="AB575">
        <x:f>0</x:f>
        <x:v>0</x:v>
      </x:c>
      <x:c r="AC575">
        <x:f>-2.389088</x:f>
        <x:v>-2.3890880000000001</x:v>
      </x:c>
      <x:c r="AD575">
        <x:f>2.297924</x:f>
        <x:v>2.2979240000000001</x:v>
      </x:c>
      <x:c r="AE575">
        <x:f>0</x:f>
        <x:v>0</x:v>
      </x:c>
      <x:c r="AF575">
        <x:f>0</x:f>
        <x:v>0</x:v>
      </x:c>
      <x:c r="AG575">
        <x:f>-0.539222</x:f>
        <x:v>-0.53922199999999998</x:v>
      </x:c>
    </x:row>
    <x:row r="576" spans="1:33" x14ac:dyDescent="0.25">
      <x:c r="A576" t="str">
        <x:f>"        SPDR S&amp;P International Utiliti"</x:f>
        <x:v xml:space="preserve">        SPDR S&amp;P International Utiliti</x:v>
      </x:c>
      <x:c r="B576" t="str">
        <x:f>"IPU US Equity"</x:f>
        <x:v>IPU US Equity</x:v>
      </x:c>
      <x:c r="E576" t="str">
        <x:f t="shared" si="20"/>
        <x:v>Expression</x:v>
      </x:c>
      <x:c r="F576" t="str">
        <x:f ca="1">IF(AND($B$1012=1,LEN($F$1572)&gt;0),$F$1572,HLOOKUP(INDIRECT(ADDRESS(2,COLUMN())),OFFSET($T$2,0,0,ROW()-1,14),ROW()-1,FALSE))</x:f>
        <x:v/>
      </x:c>
      <x:c r="G576" t="str">
        <x:f ca="1">IF(AND($B$1012=1,LEN($G$1572)&gt;0),$G$1572,HLOOKUP(INDIRECT(ADDRESS(2,COLUMN())),OFFSET($T$2,0,0,ROW()-1,14),ROW()-1,FALSE))</x:f>
        <x:v/>
      </x:c>
      <x:c r="H576" t="str">
        <x:f ca="1">IF(AND($B$1012=1,LEN($H$1572)&gt;0),$H$1572,HLOOKUP(INDIRECT(ADDRESS(2,COLUMN())),OFFSET($T$2,0,0,ROW()-1,14),ROW()-1,FALSE))</x:f>
        <x:v/>
      </x:c>
      <x:c r="I576" t="str">
        <x:f ca="1">IF(AND($B$1012=1,LEN($I$1572)&gt;0),$I$1572,HLOOKUP(INDIRECT(ADDRESS(2,COLUMN())),OFFSET($T$2,0,0,ROW()-1,14),ROW()-1,FALSE))</x:f>
        <x:v/>
      </x:c>
      <x:c r="J576" t="str">
        <x:f ca="1">IF(AND($B$1012=1,LEN($J$1572)&gt;0),$J$1572,HLOOKUP(INDIRECT(ADDRESS(2,COLUMN())),OFFSET($T$2,0,0,ROW()-1,14),ROW()-1,FALSE))</x:f>
        <x:v/>
      </x:c>
      <x:c r="K576" t="str">
        <x:f ca="1">IF(AND($B$1012=1,LEN($K$1572)&gt;0),$K$1572,HLOOKUP(INDIRECT(ADDRESS(2,COLUMN())),OFFSET($T$2,0,0,ROW()-1,14),ROW()-1,FALSE))</x:f>
        <x:v/>
      </x:c>
      <x:c r="L576" t="str">
        <x:f ca="1">IF(AND($B$1012=1,LEN($L$1572)&gt;0),$L$1572,HLOOKUP(INDIRECT(ADDRESS(2,COLUMN())),OFFSET($T$2,0,0,ROW()-1,14),ROW()-1,FALSE))</x:f>
        <x:v/>
      </x:c>
      <x:c r="M576" t="str">
        <x:f ca="1">IF(AND($B$1012=1,LEN($M$1572)&gt;0),$M$1572,HLOOKUP(INDIRECT(ADDRESS(2,COLUMN())),OFFSET($T$2,0,0,ROW()-1,14),ROW()-1,FALSE))</x:f>
        <x:v/>
      </x:c>
      <x:c r="N576" t="str">
        <x:f ca="1">IF(AND($B$1012=1,LEN($N$1572)&gt;0),$N$1572,HLOOKUP(INDIRECT(ADDRESS(2,COLUMN())),OFFSET($T$2,0,0,ROW()-1,14),ROW()-1,FALSE))</x:f>
        <x:v/>
      </x:c>
      <x:c r="O576" t="str">
        <x:f ca="1">IF(AND($B$1012=1,LEN($O$1572)&gt;0),$O$1572,HLOOKUP(INDIRECT(ADDRESS(2,COLUMN())),OFFSET($T$2,0,0,ROW()-1,14),ROW()-1,FALSE))</x:f>
        <x:v/>
      </x:c>
      <x:c r="P576" t="str">
        <x:f ca="1">IF(AND($B$1012=1,LEN($P$1572)&gt;0),$P$1572,HLOOKUP(INDIRECT(ADDRESS(2,COLUMN())),OFFSET($T$2,0,0,ROW()-1,14),ROW()-1,FALSE))</x:f>
        <x:v/>
      </x:c>
      <x:c r="Q576" t="str">
        <x:f ca="1">IF(AND($B$1012=1,LEN($Q$1572)&gt;0),$Q$1572,HLOOKUP(INDIRECT(ADDRESS(2,COLUMN())),OFFSET($T$2,0,0,ROW()-1,14),ROW()-1,FALSE))</x:f>
        <x:v/>
      </x:c>
      <x:c r="R576" t="str">
        <x:f ca="1">IF(AND($B$1012=1,LEN($R$1572)&gt;0),$R$1572,HLOOKUP(INDIRECT(ADDRESS(2,COLUMN())),OFFSET($T$2,0,0,ROW()-1,14),ROW()-1,FALSE))</x:f>
        <x:v/>
      </x:c>
      <x:c r="S576" t="str">
        <x:f ca="1">IF(AND($B$1012=1,LEN($S$1572)&gt;0),$S$1572,HLOOKUP(INDIRECT(ADDRESS(2,COLUMN())),OFFSET($T$2,0,0,ROW()-1,14),ROW()-1,FALSE))</x:f>
        <x:v/>
      </x:c>
      <x:c r="T576" t="str">
        <x:f>""</x:f>
        <x:v/>
      </x:c>
      <x:c r="U576" t="str">
        <x:f>""</x:f>
        <x:v/>
      </x:c>
      <x:c r="V576" t="str">
        <x:f>""</x:f>
        <x:v/>
      </x:c>
      <x:c r="W576" t="str">
        <x:f>""</x:f>
        <x:v/>
      </x:c>
      <x:c r="X576" t="str">
        <x:f>""</x:f>
        <x:v/>
      </x:c>
      <x:c r="Y576" t="str">
        <x:f>""</x:f>
        <x:v/>
      </x:c>
      <x:c r="Z576" t="str">
        <x:f>""</x:f>
        <x:v/>
      </x:c>
      <x:c r="AA576" t="str">
        <x:f>""</x:f>
        <x:v/>
      </x:c>
      <x:c r="AB576" t="str">
        <x:f>""</x:f>
        <x:v/>
      </x:c>
      <x:c r="AC576" t="str">
        <x:f>""</x:f>
        <x:v/>
      </x:c>
      <x:c r="AD576" t="str">
        <x:f>""</x:f>
        <x:v/>
      </x:c>
      <x:c r="AE576" t="str">
        <x:f>""</x:f>
        <x:v/>
      </x:c>
      <x:c r="AF576" t="str">
        <x:f>""</x:f>
        <x:v/>
      </x:c>
      <x:c r="AG576" t="str">
        <x:f>""</x:f>
        <x:v/>
      </x:c>
    </x:row>
    <x:row r="577" spans="1:33" x14ac:dyDescent="0.25">
      <x:c r="A577" t="str">
        <x:f>"        John Hancock Multifactor Utili"</x:f>
        <x:v xml:space="preserve">        John Hancock Multifactor Utili</x:v>
      </x:c>
      <x:c r="B577" t="str">
        <x:f>"JHMU US Equity"</x:f>
        <x:v>JHMU US Equity</x:v>
      </x:c>
      <x:c r="E577" t="str">
        <x:f t="shared" si="20"/>
        <x:v>Expression</x:v>
      </x:c>
      <x:c r="F577">
        <x:f ca="1">IF(AND($B$1012=1,LEN($F$1573)&gt;0),$F$1573,HLOOKUP(INDIRECT(ADDRESS(2,COLUMN())),OFFSET($T$2,0,0,ROW()-1,14),ROW()-1,FALSE))</x:f>
        <x:v>0</x:v>
      </x:c>
      <x:c r="G577" t="str">
        <x:f ca="1">IF(AND($B$1012=1,LEN($G$1573)&gt;0),$G$1573,HLOOKUP(INDIRECT(ADDRESS(2,COLUMN())),OFFSET($T$2,0,0,ROW()-1,14),ROW()-1,FALSE))</x:f>
        <x:v/>
      </x:c>
      <x:c r="H577" t="str">
        <x:f ca="1">IF(AND($B$1012=1,LEN($H$1573)&gt;0),$H$1573,HLOOKUP(INDIRECT(ADDRESS(2,COLUMN())),OFFSET($T$2,0,0,ROW()-1,14),ROW()-1,FALSE))</x:f>
        <x:v/>
      </x:c>
      <x:c r="I577" t="str">
        <x:f ca="1">IF(AND($B$1012=1,LEN($I$1573)&gt;0),$I$1573,HLOOKUP(INDIRECT(ADDRESS(2,COLUMN())),OFFSET($T$2,0,0,ROW()-1,14),ROW()-1,FALSE))</x:f>
        <x:v/>
      </x:c>
      <x:c r="J577" t="str">
        <x:f ca="1">IF(AND($B$1012=1,LEN($J$1573)&gt;0),$J$1573,HLOOKUP(INDIRECT(ADDRESS(2,COLUMN())),OFFSET($T$2,0,0,ROW()-1,14),ROW()-1,FALSE))</x:f>
        <x:v/>
      </x:c>
      <x:c r="K577" t="str">
        <x:f ca="1">IF(AND($B$1012=1,LEN($K$1573)&gt;0),$K$1573,HLOOKUP(INDIRECT(ADDRESS(2,COLUMN())),OFFSET($T$2,0,0,ROW()-1,14),ROW()-1,FALSE))</x:f>
        <x:v/>
      </x:c>
      <x:c r="L577" t="str">
        <x:f ca="1">IF(AND($B$1012=1,LEN($L$1573)&gt;0),$L$1573,HLOOKUP(INDIRECT(ADDRESS(2,COLUMN())),OFFSET($T$2,0,0,ROW()-1,14),ROW()-1,FALSE))</x:f>
        <x:v/>
      </x:c>
      <x:c r="M577" t="str">
        <x:f ca="1">IF(AND($B$1012=1,LEN($M$1573)&gt;0),$M$1573,HLOOKUP(INDIRECT(ADDRESS(2,COLUMN())),OFFSET($T$2,0,0,ROW()-1,14),ROW()-1,FALSE))</x:f>
        <x:v/>
      </x:c>
      <x:c r="N577" t="str">
        <x:f ca="1">IF(AND($B$1012=1,LEN($N$1573)&gt;0),$N$1573,HLOOKUP(INDIRECT(ADDRESS(2,COLUMN())),OFFSET($T$2,0,0,ROW()-1,14),ROW()-1,FALSE))</x:f>
        <x:v/>
      </x:c>
      <x:c r="O577" t="str">
        <x:f ca="1">IF(AND($B$1012=1,LEN($O$1573)&gt;0),$O$1573,HLOOKUP(INDIRECT(ADDRESS(2,COLUMN())),OFFSET($T$2,0,0,ROW()-1,14),ROW()-1,FALSE))</x:f>
        <x:v/>
      </x:c>
      <x:c r="P577" t="str">
        <x:f ca="1">IF(AND($B$1012=1,LEN($P$1573)&gt;0),$P$1573,HLOOKUP(INDIRECT(ADDRESS(2,COLUMN())),OFFSET($T$2,0,0,ROW()-1,14),ROW()-1,FALSE))</x:f>
        <x:v/>
      </x:c>
      <x:c r="Q577" t="str">
        <x:f ca="1">IF(AND($B$1012=1,LEN($Q$1573)&gt;0),$Q$1573,HLOOKUP(INDIRECT(ADDRESS(2,COLUMN())),OFFSET($T$2,0,0,ROW()-1,14),ROW()-1,FALSE))</x:f>
        <x:v/>
      </x:c>
      <x:c r="R577" t="str">
        <x:f ca="1">IF(AND($B$1012=1,LEN($R$1573)&gt;0),$R$1573,HLOOKUP(INDIRECT(ADDRESS(2,COLUMN())),OFFSET($T$2,0,0,ROW()-1,14),ROW()-1,FALSE))</x:f>
        <x:v/>
      </x:c>
      <x:c r="S577">
        <x:f ca="1">IF(AND($B$1012=1,LEN($S$1573)&gt;0),$S$1573,HLOOKUP(INDIRECT(ADDRESS(2,COLUMN())),OFFSET($T$2,0,0,ROW()-1,14),ROW()-1,FALSE))</x:f>
        <x:v>-0.63062099999999999</x:v>
      </x:c>
      <x:c r="T577">
        <x:f>0</x:f>
        <x:v>0</x:v>
      </x:c>
      <x:c r="U577" t="str">
        <x:f>""</x:f>
        <x:v/>
      </x:c>
      <x:c r="V577" t="str">
        <x:f>""</x:f>
        <x:v/>
      </x:c>
      <x:c r="W577" t="str">
        <x:f>""</x:f>
        <x:v/>
      </x:c>
      <x:c r="X577" t="str">
        <x:f>""</x:f>
        <x:v/>
      </x:c>
      <x:c r="Y577" t="str">
        <x:f>""</x:f>
        <x:v/>
      </x:c>
      <x:c r="Z577" t="str">
        <x:f>""</x:f>
        <x:v/>
      </x:c>
      <x:c r="AA577" t="str">
        <x:f>""</x:f>
        <x:v/>
      </x:c>
      <x:c r="AB577" t="str">
        <x:f>""</x:f>
        <x:v/>
      </x:c>
      <x:c r="AC577" t="str">
        <x:f>""</x:f>
        <x:v/>
      </x:c>
      <x:c r="AD577" t="str">
        <x:f>""</x:f>
        <x:v/>
      </x:c>
      <x:c r="AE577" t="str">
        <x:f>""</x:f>
        <x:v/>
      </x:c>
      <x:c r="AF577" t="str">
        <x:f>""</x:f>
        <x:v/>
      </x:c>
      <x:c r="AG577">
        <x:f>-0.630621</x:f>
        <x:v>-0.63062099999999999</x:v>
      </x:c>
    </x:row>
    <x:row r="578" spans="1:33" x14ac:dyDescent="0.25">
      <x:c r="A578" t="str">
        <x:f>"        ProShares Ultra Utilities"</x:f>
        <x:v xml:space="preserve">        ProShares Ultra Utilities</x:v>
      </x:c>
      <x:c r="B578" t="str">
        <x:f>"UPW US Equity"</x:f>
        <x:v>UPW US Equity</x:v>
      </x:c>
      <x:c r="E578" t="str">
        <x:f t="shared" si="20"/>
        <x:v>Expression</x:v>
      </x:c>
      <x:c r="F578">
        <x:f ca="1">IF(AND($B$1012=1,LEN($F$1574)&gt;0),$F$1574,HLOOKUP(INDIRECT(ADDRESS(2,COLUMN())),OFFSET($T$2,0,0,ROW()-1,14),ROW()-1,FALSE))</x:f>
        <x:v>0</x:v>
      </x:c>
      <x:c r="G578">
        <x:f ca="1">IF(AND($B$1012=1,LEN($G$1574)&gt;0),$G$1574,HLOOKUP(INDIRECT(ADDRESS(2,COLUMN())),OFFSET($T$2,0,0,ROW()-1,14),ROW()-1,FALSE))</x:f>
        <x:v>0.43257400000000001</x:v>
      </x:c>
      <x:c r="H578">
        <x:f ca="1">IF(AND($B$1012=1,LEN($H$1574)&gt;0),$H$1574,HLOOKUP(INDIRECT(ADDRESS(2,COLUMN())),OFFSET($T$2,0,0,ROW()-1,14),ROW()-1,FALSE))</x:f>
        <x:v>0</x:v>
      </x:c>
      <x:c r="I578">
        <x:f ca="1">IF(AND($B$1012=1,LEN($I$1574)&gt;0),$I$1574,HLOOKUP(INDIRECT(ADDRESS(2,COLUMN())),OFFSET($T$2,0,0,ROW()-1,14),ROW()-1,FALSE))</x:f>
        <x:v>-1.6764479999999999</x:v>
      </x:c>
      <x:c r="J578">
        <x:f ca="1">IF(AND($B$1012=1,LEN($J$1574)&gt;0),$J$1574,HLOOKUP(INDIRECT(ADDRESS(2,COLUMN())),OFFSET($T$2,0,0,ROW()-1,14),ROW()-1,FALSE))</x:f>
        <x:v>1.9078919999999999</x:v>
      </x:c>
      <x:c r="K578">
        <x:f ca="1">IF(AND($B$1012=1,LEN($K$1574)&gt;0),$K$1574,HLOOKUP(INDIRECT(ADDRESS(2,COLUMN())),OFFSET($T$2,0,0,ROW()-1,14),ROW()-1,FALSE))</x:f>
        <x:v>-0.58327300000000004</x:v>
      </x:c>
      <x:c r="L578">
        <x:f ca="1">IF(AND($B$1012=1,LEN($L$1574)&gt;0),$L$1574,HLOOKUP(INDIRECT(ADDRESS(2,COLUMN())),OFFSET($T$2,0,0,ROW()-1,14),ROW()-1,FALSE))</x:f>
        <x:v>-0.96304699999999999</x:v>
      </x:c>
      <x:c r="M578">
        <x:f ca="1">IF(AND($B$1012=1,LEN($M$1574)&gt;0),$M$1574,HLOOKUP(INDIRECT(ADDRESS(2,COLUMN())),OFFSET($T$2,0,0,ROW()-1,14),ROW()-1,FALSE))</x:f>
        <x:v>1.31111</x:v>
      </x:c>
      <x:c r="N578">
        <x:f ca="1">IF(AND($B$1012=1,LEN($N$1574)&gt;0),$N$1574,HLOOKUP(INDIRECT(ADDRESS(2,COLUMN())),OFFSET($T$2,0,0,ROW()-1,14),ROW()-1,FALSE))</x:f>
        <x:v>0</x:v>
      </x:c>
      <x:c r="O578">
        <x:f ca="1">IF(AND($B$1012=1,LEN($O$1574)&gt;0),$O$1574,HLOOKUP(INDIRECT(ADDRESS(2,COLUMN())),OFFSET($T$2,0,0,ROW()-1,14),ROW()-1,FALSE))</x:f>
        <x:v>-3.7529460000000001</x:v>
      </x:c>
      <x:c r="P578">
        <x:f ca="1">IF(AND($B$1012=1,LEN($P$1574)&gt;0),$P$1574,HLOOKUP(INDIRECT(ADDRESS(2,COLUMN())),OFFSET($T$2,0,0,ROW()-1,14),ROW()-1,FALSE))</x:f>
        <x:v>2.0318909999999999</x:v>
      </x:c>
      <x:c r="Q578">
        <x:f ca="1">IF(AND($B$1012=1,LEN($Q$1574)&gt;0),$Q$1574,HLOOKUP(INDIRECT(ADDRESS(2,COLUMN())),OFFSET($T$2,0,0,ROW()-1,14),ROW()-1,FALSE))</x:f>
        <x:v>-2.121664</x:v>
      </x:c>
      <x:c r="R578">
        <x:f ca="1">IF(AND($B$1012=1,LEN($R$1574)&gt;0),$R$1574,HLOOKUP(INDIRECT(ADDRESS(2,COLUMN())),OFFSET($T$2,0,0,ROW()-1,14),ROW()-1,FALSE))</x:f>
        <x:v>0</x:v>
      </x:c>
      <x:c r="S578">
        <x:f ca="1">IF(AND($B$1012=1,LEN($S$1574)&gt;0),$S$1574,HLOOKUP(INDIRECT(ADDRESS(2,COLUMN())),OFFSET($T$2,0,0,ROW()-1,14),ROW()-1,FALSE))</x:f>
        <x:v>-1.443562</x:v>
      </x:c>
      <x:c r="T578">
        <x:f>0</x:f>
        <x:v>0</x:v>
      </x:c>
      <x:c r="U578">
        <x:f>0.432574</x:f>
        <x:v>0.43257400000000001</x:v>
      </x:c>
      <x:c r="V578">
        <x:f>0</x:f>
        <x:v>0</x:v>
      </x:c>
      <x:c r="W578">
        <x:f>-1.676448</x:f>
        <x:v>-1.6764479999999999</x:v>
      </x:c>
      <x:c r="X578">
        <x:f>1.907892</x:f>
        <x:v>1.9078919999999999</x:v>
      </x:c>
      <x:c r="Y578">
        <x:f>-0.583273</x:f>
        <x:v>-0.58327300000000004</x:v>
      </x:c>
      <x:c r="Z578">
        <x:f>-0.963047</x:f>
        <x:v>-0.96304699999999999</x:v>
      </x:c>
      <x:c r="AA578">
        <x:f>1.31111</x:f>
        <x:v>1.31111</x:v>
      </x:c>
      <x:c r="AB578">
        <x:f>0</x:f>
        <x:v>0</x:v>
      </x:c>
      <x:c r="AC578">
        <x:f>-3.752946</x:f>
        <x:v>-3.7529460000000001</x:v>
      </x:c>
      <x:c r="AD578">
        <x:f>2.031891</x:f>
        <x:v>2.0318909999999999</x:v>
      </x:c>
      <x:c r="AE578">
        <x:f>-2.121664</x:f>
        <x:v>-2.121664</x:v>
      </x:c>
      <x:c r="AF578">
        <x:f>0</x:f>
        <x:v>0</x:v>
      </x:c>
      <x:c r="AG578">
        <x:f>-1.443562</x:f>
        <x:v>-1.443562</x:v>
      </x:c>
    </x:row>
    <x:row r="579" spans="1:33" x14ac:dyDescent="0.25">
      <x:c r="A579" t="str">
        <x:f>"        Virtus Reaves Utilities ETF"</x:f>
        <x:v xml:space="preserve">        Virtus Reaves Utilities ETF</x:v>
      </x:c>
      <x:c r="B579" t="str">
        <x:f>"UTES US Equity"</x:f>
        <x:v>UTES US Equity</x:v>
      </x:c>
      <x:c r="E579" t="str">
        <x:f t="shared" si="20"/>
        <x:v>Expression</x:v>
      </x:c>
      <x:c r="F579">
        <x:f ca="1">IF(AND($B$1012=1,LEN($F$1575)&gt;0),$F$1575,HLOOKUP(INDIRECT(ADDRESS(2,COLUMN())),OFFSET($T$2,0,0,ROW()-1,14),ROW()-1,FALSE))</x:f>
        <x:v>2.1948810000000001</x:v>
      </x:c>
      <x:c r="G579">
        <x:f ca="1">IF(AND($B$1012=1,LEN($G$1575)&gt;0),$G$1575,HLOOKUP(INDIRECT(ADDRESS(2,COLUMN())),OFFSET($T$2,0,0,ROW()-1,14),ROW()-1,FALSE))</x:f>
        <x:v>0</x:v>
      </x:c>
      <x:c r="H579">
        <x:f ca="1">IF(AND($B$1012=1,LEN($H$1575)&gt;0),$H$1575,HLOOKUP(INDIRECT(ADDRESS(2,COLUMN())),OFFSET($T$2,0,0,ROW()-1,14),ROW()-1,FALSE))</x:f>
        <x:v>2.2382110000000002</x:v>
      </x:c>
      <x:c r="I579">
        <x:f ca="1">IF(AND($B$1012=1,LEN($I$1575)&gt;0),$I$1575,HLOOKUP(INDIRECT(ADDRESS(2,COLUMN())),OFFSET($T$2,0,0,ROW()-1,14),ROW()-1,FALSE))</x:f>
        <x:v>0</x:v>
      </x:c>
      <x:c r="J579">
        <x:f ca="1">IF(AND($B$1012=1,LEN($J$1575)&gt;0),$J$1575,HLOOKUP(INDIRECT(ADDRESS(2,COLUMN())),OFFSET($T$2,0,0,ROW()-1,14),ROW()-1,FALSE))</x:f>
        <x:v>0</x:v>
      </x:c>
      <x:c r="K579">
        <x:f ca="1">IF(AND($B$1012=1,LEN($K$1575)&gt;0),$K$1575,HLOOKUP(INDIRECT(ADDRESS(2,COLUMN())),OFFSET($T$2,0,0,ROW()-1,14),ROW()-1,FALSE))</x:f>
        <x:v>0</x:v>
      </x:c>
      <x:c r="L579">
        <x:f ca="1">IF(AND($B$1012=1,LEN($L$1575)&gt;0),$L$1575,HLOOKUP(INDIRECT(ADDRESS(2,COLUMN())),OFFSET($T$2,0,0,ROW()-1,14),ROW()-1,FALSE))</x:f>
        <x:v>0</x:v>
      </x:c>
      <x:c r="M579">
        <x:f ca="1">IF(AND($B$1012=1,LEN($M$1575)&gt;0),$M$1575,HLOOKUP(INDIRECT(ADDRESS(2,COLUMN())),OFFSET($T$2,0,0,ROW()-1,14),ROW()-1,FALSE))</x:f>
        <x:v>0</x:v>
      </x:c>
      <x:c r="N579">
        <x:f ca="1">IF(AND($B$1012=1,LEN($N$1575)&gt;0),$N$1575,HLOOKUP(INDIRECT(ADDRESS(2,COLUMN())),OFFSET($T$2,0,0,ROW()-1,14),ROW()-1,FALSE))</x:f>
        <x:v>0</x:v>
      </x:c>
      <x:c r="O579">
        <x:f ca="1">IF(AND($B$1012=1,LEN($O$1575)&gt;0),$O$1575,HLOOKUP(INDIRECT(ADDRESS(2,COLUMN())),OFFSET($T$2,0,0,ROW()-1,14),ROW()-1,FALSE))</x:f>
        <x:v>0</x:v>
      </x:c>
      <x:c r="P579">
        <x:f ca="1">IF(AND($B$1012=1,LEN($P$1575)&gt;0),$P$1575,HLOOKUP(INDIRECT(ADDRESS(2,COLUMN())),OFFSET($T$2,0,0,ROW()-1,14),ROW()-1,FALSE))</x:f>
        <x:v>0</x:v>
      </x:c>
      <x:c r="Q579">
        <x:f ca="1">IF(AND($B$1012=1,LEN($Q$1575)&gt;0),$Q$1575,HLOOKUP(INDIRECT(ADDRESS(2,COLUMN())),OFFSET($T$2,0,0,ROW()-1,14),ROW()-1,FALSE))</x:f>
        <x:v>0</x:v>
      </x:c>
      <x:c r="R579">
        <x:f ca="1">IF(AND($B$1012=1,LEN($R$1575)&gt;0),$R$1575,HLOOKUP(INDIRECT(ADDRESS(2,COLUMN())),OFFSET($T$2,0,0,ROW()-1,14),ROW()-1,FALSE))</x:f>
        <x:v>0</x:v>
      </x:c>
      <x:c r="S579">
        <x:f ca="1">IF(AND($B$1012=1,LEN($S$1575)&gt;0),$S$1575,HLOOKUP(INDIRECT(ADDRESS(2,COLUMN())),OFFSET($T$2,0,0,ROW()-1,14),ROW()-1,FALSE))</x:f>
        <x:v>-2.1827589999999999</x:v>
      </x:c>
      <x:c r="T579">
        <x:f>2.194881</x:f>
        <x:v>2.1948810000000001</x:v>
      </x:c>
      <x:c r="U579">
        <x:f>0</x:f>
        <x:v>0</x:v>
      </x:c>
      <x:c r="V579">
        <x:f>2.238211</x:f>
        <x:v>2.2382110000000002</x:v>
      </x:c>
      <x:c r="W579">
        <x:f>0</x:f>
        <x:v>0</x:v>
      </x:c>
      <x:c r="X579">
        <x:f>0</x:f>
        <x:v>0</x:v>
      </x:c>
      <x:c r="Y579">
        <x:f>0</x:f>
        <x:v>0</x:v>
      </x:c>
      <x:c r="Z579">
        <x:f>0</x:f>
        <x:v>0</x:v>
      </x:c>
      <x:c r="AA579">
        <x:f>0</x:f>
        <x:v>0</x:v>
      </x:c>
      <x:c r="AB579">
        <x:f>0</x:f>
        <x:v>0</x:v>
      </x:c>
      <x:c r="AC579">
        <x:f>0</x:f>
        <x:v>0</x:v>
      </x:c>
      <x:c r="AD579">
        <x:f>0</x:f>
        <x:v>0</x:v>
      </x:c>
      <x:c r="AE579">
        <x:f>0</x:f>
        <x:v>0</x:v>
      </x:c>
      <x:c r="AF579">
        <x:f>0</x:f>
        <x:v>0</x:v>
      </x:c>
      <x:c r="AG579">
        <x:f>-2.182759</x:f>
        <x:v>-2.1827589999999999</x:v>
      </x:c>
    </x:row>
    <x:row r="580" spans="1:33" x14ac:dyDescent="0.25">
      <x:c r="A580" t="str">
        <x:f>"        ProShares UltraShort Utilities"</x:f>
        <x:v xml:space="preserve">        ProShares UltraShort Utilities</x:v>
      </x:c>
      <x:c r="B580" t="str">
        <x:f>"SDP US Equity"</x:f>
        <x:v>SDP US Equity</x:v>
      </x:c>
      <x:c r="E580" t="str">
        <x:f t="shared" si="20"/>
        <x:v>Expression</x:v>
      </x:c>
      <x:c r="F580">
        <x:f ca="1">IF(AND($B$1012=1,LEN($F$1576)&gt;0),$F$1576,HLOOKUP(INDIRECT(ADDRESS(2,COLUMN())),OFFSET($T$2,0,0,ROW()-1,14),ROW()-1,FALSE))</x:f>
        <x:v>0.15845500000000001</x:v>
      </x:c>
      <x:c r="G580">
        <x:f ca="1">IF(AND($B$1012=1,LEN($G$1576)&gt;0),$G$1576,HLOOKUP(INDIRECT(ADDRESS(2,COLUMN())),OFFSET($T$2,0,0,ROW()-1,14),ROW()-1,FALSE))</x:f>
        <x:v>-1.4426479999999999</x:v>
      </x:c>
      <x:c r="H580">
        <x:f ca="1">IF(AND($B$1012=1,LEN($H$1576)&gt;0),$H$1576,HLOOKUP(INDIRECT(ADDRESS(2,COLUMN())),OFFSET($T$2,0,0,ROW()-1,14),ROW()-1,FALSE))</x:f>
        <x:v>0.668875</x:v>
      </x:c>
      <x:c r="I580">
        <x:f ca="1">IF(AND($B$1012=1,LEN($I$1576)&gt;0),$I$1576,HLOOKUP(INDIRECT(ADDRESS(2,COLUMN())),OFFSET($T$2,0,0,ROW()-1,14),ROW()-1,FALSE))</x:f>
        <x:v>1.296341</x:v>
      </x:c>
      <x:c r="J580">
        <x:f ca="1">IF(AND($B$1012=1,LEN($J$1576)&gt;0),$J$1576,HLOOKUP(INDIRECT(ADDRESS(2,COLUMN())),OFFSET($T$2,0,0,ROW()-1,14),ROW()-1,FALSE))</x:f>
        <x:v>0.11113199999999999</x:v>
      </x:c>
      <x:c r="K580">
        <x:f ca="1">IF(AND($B$1012=1,LEN($K$1576)&gt;0),$K$1576,HLOOKUP(INDIRECT(ADDRESS(2,COLUMN())),OFFSET($T$2,0,0,ROW()-1,14),ROW()-1,FALSE))</x:f>
        <x:v>0</x:v>
      </x:c>
      <x:c r="L580">
        <x:f ca="1">IF(AND($B$1012=1,LEN($L$1576)&gt;0),$L$1576,HLOOKUP(INDIRECT(ADDRESS(2,COLUMN())),OFFSET($T$2,0,0,ROW()-1,14),ROW()-1,FALSE))</x:f>
        <x:v>-0.31797500000000001</x:v>
      </x:c>
      <x:c r="M580">
        <x:f ca="1">IF(AND($B$1012=1,LEN($M$1576)&gt;0),$M$1576,HLOOKUP(INDIRECT(ADDRESS(2,COLUMN())),OFFSET($T$2,0,0,ROW()-1,14),ROW()-1,FALSE))</x:f>
        <x:v>-1.4062699999999999</x:v>
      </x:c>
      <x:c r="N580">
        <x:f ca="1">IF(AND($B$1012=1,LEN($N$1576)&gt;0),$N$1576,HLOOKUP(INDIRECT(ADDRESS(2,COLUMN())),OFFSET($T$2,0,0,ROW()-1,14),ROW()-1,FALSE))</x:f>
        <x:v>1.8249999999999999E-2</x:v>
      </x:c>
      <x:c r="O580">
        <x:f ca="1">IF(AND($B$1012=1,LEN($O$1576)&gt;0),$O$1576,HLOOKUP(INDIRECT(ADDRESS(2,COLUMN())),OFFSET($T$2,0,0,ROW()-1,14),ROW()-1,FALSE))</x:f>
        <x:v>-0.58467499999999994</x:v>
      </x:c>
      <x:c r="P580">
        <x:f ca="1">IF(AND($B$1012=1,LEN($P$1576)&gt;0),$P$1576,HLOOKUP(INDIRECT(ADDRESS(2,COLUMN())),OFFSET($T$2,0,0,ROW()-1,14),ROW()-1,FALSE))</x:f>
        <x:v>1.3844799999999999</x:v>
      </x:c>
      <x:c r="Q580">
        <x:f ca="1">IF(AND($B$1012=1,LEN($Q$1576)&gt;0),$Q$1576,HLOOKUP(INDIRECT(ADDRESS(2,COLUMN())),OFFSET($T$2,0,0,ROW()-1,14),ROW()-1,FALSE))</x:f>
        <x:v>-1.099388</x:v>
      </x:c>
      <x:c r="R580">
        <x:f ca="1">IF(AND($B$1012=1,LEN($R$1576)&gt;0),$R$1576,HLOOKUP(INDIRECT(ADDRESS(2,COLUMN())),OFFSET($T$2,0,0,ROW()-1,14),ROW()-1,FALSE))</x:f>
        <x:v>-0.55029499999999998</x:v>
      </x:c>
      <x:c r="S580">
        <x:f ca="1">IF(AND($B$1012=1,LEN($S$1576)&gt;0),$S$1576,HLOOKUP(INDIRECT(ADDRESS(2,COLUMN())),OFFSET($T$2,0,0,ROW()-1,14),ROW()-1,FALSE))</x:f>
        <x:v>-0.75556999999999996</x:v>
      </x:c>
      <x:c r="T580">
        <x:f>0.158455</x:f>
        <x:v>0.15845500000000001</x:v>
      </x:c>
      <x:c r="U580">
        <x:f>-1.442648</x:f>
        <x:v>-1.4426479999999999</x:v>
      </x:c>
      <x:c r="V580">
        <x:f>0.668875</x:f>
        <x:v>0.668875</x:v>
      </x:c>
      <x:c r="W580">
        <x:f>1.296341</x:f>
        <x:v>1.296341</x:v>
      </x:c>
      <x:c r="X580">
        <x:f>0.111132</x:f>
        <x:v>0.11113199999999999</x:v>
      </x:c>
      <x:c r="Y580">
        <x:f>0</x:f>
        <x:v>0</x:v>
      </x:c>
      <x:c r="Z580">
        <x:f>-0.317975</x:f>
        <x:v>-0.31797500000000001</x:v>
      </x:c>
      <x:c r="AA580">
        <x:f>-1.40627</x:f>
        <x:v>-1.4062699999999999</x:v>
      </x:c>
      <x:c r="AB580">
        <x:f>0.01825</x:f>
        <x:v>1.8249999999999999E-2</x:v>
      </x:c>
      <x:c r="AC580">
        <x:f>-0.584675</x:f>
        <x:v>-0.58467499999999994</x:v>
      </x:c>
      <x:c r="AD580">
        <x:f>1.38448</x:f>
        <x:v>1.3844799999999999</x:v>
      </x:c>
      <x:c r="AE580">
        <x:f>-1.099388</x:f>
        <x:v>-1.099388</x:v>
      </x:c>
      <x:c r="AF580">
        <x:f>-0.550295</x:f>
        <x:v>-0.55029499999999998</x:v>
      </x:c>
      <x:c r="AG580">
        <x:f>-0.75557</x:f>
        <x:v>-0.75556999999999996</x:v>
      </x:c>
    </x:row>
    <x:row r="581" spans="1:33" x14ac:dyDescent="0.25">
      <x:c r="A581" t="str">
        <x:f>"        iShares Edge MSCI Multifactor"</x:f>
        <x:v xml:space="preserve">        iShares Edge MSCI Multifactor</x:v>
      </x:c>
      <x:c r="B581" t="str">
        <x:f>"UTLF US Equity"</x:f>
        <x:v>UTLF US Equity</x:v>
      </x:c>
      <x:c r="E581" t="str">
        <x:f t="shared" si="20"/>
        <x:v>Expression</x:v>
      </x:c>
      <x:c r="F581" t="str">
        <x:f ca="1">IF(AND($B$1012=1,LEN($F$1577)&gt;0),$F$1577,HLOOKUP(INDIRECT(ADDRESS(2,COLUMN())),OFFSET($T$2,0,0,ROW()-1,14),ROW()-1,FALSE))</x:f>
        <x:v/>
      </x:c>
      <x:c r="G581" t="str">
        <x:f ca="1">IF(AND($B$1012=1,LEN($G$1577)&gt;0),$G$1577,HLOOKUP(INDIRECT(ADDRESS(2,COLUMN())),OFFSET($T$2,0,0,ROW()-1,14),ROW()-1,FALSE))</x:f>
        <x:v/>
      </x:c>
      <x:c r="H581" t="str">
        <x:f ca="1">IF(AND($B$1012=1,LEN($H$1577)&gt;0),$H$1577,HLOOKUP(INDIRECT(ADDRESS(2,COLUMN())),OFFSET($T$2,0,0,ROW()-1,14),ROW()-1,FALSE))</x:f>
        <x:v/>
      </x:c>
      <x:c r="I581" t="str">
        <x:f ca="1">IF(AND($B$1012=1,LEN($I$1577)&gt;0),$I$1577,HLOOKUP(INDIRECT(ADDRESS(2,COLUMN())),OFFSET($T$2,0,0,ROW()-1,14),ROW()-1,FALSE))</x:f>
        <x:v/>
      </x:c>
      <x:c r="J581" t="str">
        <x:f ca="1">IF(AND($B$1012=1,LEN($J$1577)&gt;0),$J$1577,HLOOKUP(INDIRECT(ADDRESS(2,COLUMN())),OFFSET($T$2,0,0,ROW()-1,14),ROW()-1,FALSE))</x:f>
        <x:v/>
      </x:c>
      <x:c r="K581" t="str">
        <x:f ca="1">IF(AND($B$1012=1,LEN($K$1577)&gt;0),$K$1577,HLOOKUP(INDIRECT(ADDRESS(2,COLUMN())),OFFSET($T$2,0,0,ROW()-1,14),ROW()-1,FALSE))</x:f>
        <x:v/>
      </x:c>
      <x:c r="L581" t="str">
        <x:f ca="1">IF(AND($B$1012=1,LEN($L$1577)&gt;0),$L$1577,HLOOKUP(INDIRECT(ADDRESS(2,COLUMN())),OFFSET($T$2,0,0,ROW()-1,14),ROW()-1,FALSE))</x:f>
        <x:v/>
      </x:c>
      <x:c r="M581" t="str">
        <x:f ca="1">IF(AND($B$1012=1,LEN($M$1577)&gt;0),$M$1577,HLOOKUP(INDIRECT(ADDRESS(2,COLUMN())),OFFSET($T$2,0,0,ROW()-1,14),ROW()-1,FALSE))</x:f>
        <x:v/>
      </x:c>
      <x:c r="N581" t="str">
        <x:f ca="1">IF(AND($B$1012=1,LEN($N$1577)&gt;0),$N$1577,HLOOKUP(INDIRECT(ADDRESS(2,COLUMN())),OFFSET($T$2,0,0,ROW()-1,14),ROW()-1,FALSE))</x:f>
        <x:v/>
      </x:c>
      <x:c r="O581" t="str">
        <x:f ca="1">IF(AND($B$1012=1,LEN($O$1577)&gt;0),$O$1577,HLOOKUP(INDIRECT(ADDRESS(2,COLUMN())),OFFSET($T$2,0,0,ROW()-1,14),ROW()-1,FALSE))</x:f>
        <x:v/>
      </x:c>
      <x:c r="P581" t="str">
        <x:f ca="1">IF(AND($B$1012=1,LEN($P$1577)&gt;0),$P$1577,HLOOKUP(INDIRECT(ADDRESS(2,COLUMN())),OFFSET($T$2,0,0,ROW()-1,14),ROW()-1,FALSE))</x:f>
        <x:v/>
      </x:c>
      <x:c r="Q581" t="str">
        <x:f ca="1">IF(AND($B$1012=1,LEN($Q$1577)&gt;0),$Q$1577,HLOOKUP(INDIRECT(ADDRESS(2,COLUMN())),OFFSET($T$2,0,0,ROW()-1,14),ROW()-1,FALSE))</x:f>
        <x:v/>
      </x:c>
      <x:c r="R581" t="str">
        <x:f ca="1">IF(AND($B$1012=1,LEN($R$1577)&gt;0),$R$1577,HLOOKUP(INDIRECT(ADDRESS(2,COLUMN())),OFFSET($T$2,0,0,ROW()-1,14),ROW()-1,FALSE))</x:f>
        <x:v/>
      </x:c>
      <x:c r="S581" t="str">
        <x:f ca="1">IF(AND($B$1012=1,LEN($S$1577)&gt;0),$S$1577,HLOOKUP(INDIRECT(ADDRESS(2,COLUMN())),OFFSET($T$2,0,0,ROW()-1,14),ROW()-1,FALSE))</x:f>
        <x:v/>
      </x:c>
      <x:c r="T581" t="str">
        <x:f>""</x:f>
        <x:v/>
      </x:c>
      <x:c r="U581" t="str">
        <x:f>""</x:f>
        <x:v/>
      </x:c>
      <x:c r="V581" t="str">
        <x:f>""</x:f>
        <x:v/>
      </x:c>
      <x:c r="W581" t="str">
        <x:f>""</x:f>
        <x:v/>
      </x:c>
      <x:c r="X581" t="str">
        <x:f>""</x:f>
        <x:v/>
      </x:c>
      <x:c r="Y581" t="str">
        <x:f>""</x:f>
        <x:v/>
      </x:c>
      <x:c r="Z581" t="str">
        <x:f>""</x:f>
        <x:v/>
      </x:c>
      <x:c r="AA581" t="str">
        <x:f>""</x:f>
        <x:v/>
      </x:c>
      <x:c r="AB581" t="str">
        <x:f>""</x:f>
        <x:v/>
      </x:c>
      <x:c r="AC581" t="str">
        <x:f>""</x:f>
        <x:v/>
      </x:c>
      <x:c r="AD581" t="str">
        <x:f>""</x:f>
        <x:v/>
      </x:c>
      <x:c r="AE581" t="str">
        <x:f>""</x:f>
        <x:v/>
      </x:c>
      <x:c r="AF581" t="str">
        <x:f>""</x:f>
        <x:v/>
      </x:c>
      <x:c r="AG581" t="str">
        <x:f>""</x:f>
        <x:v/>
      </x:c>
    </x:row>
    <x:row r="582" spans="1:33" x14ac:dyDescent="0.25">
      <x:c r="A582" t="str">
        <x:f>"        Direxion Daily Utilities Bull"</x:f>
        <x:v xml:space="preserve">        Direxion Daily Utilities Bull</x:v>
      </x:c>
      <x:c r="B582" t="str">
        <x:f>"UTSL US Equity"</x:f>
        <x:v>UTSL US Equity</x:v>
      </x:c>
      <x:c r="E582" t="str">
        <x:f t="shared" si="20"/>
        <x:v>Expression</x:v>
      </x:c>
      <x:c r="F582">
        <x:f ca="1">IF(AND($B$1012=1,LEN($F$1578)&gt;0),$F$1578,HLOOKUP(INDIRECT(ADDRESS(2,COLUMN())),OFFSET($T$2,0,0,ROW()-1,14),ROW()-1,FALSE))</x:f>
        <x:v>-1.892093</x:v>
      </x:c>
      <x:c r="G582">
        <x:f ca="1">IF(AND($B$1012=1,LEN($G$1578)&gt;0),$G$1578,HLOOKUP(INDIRECT(ADDRESS(2,COLUMN())),OFFSET($T$2,0,0,ROW()-1,14),ROW()-1,FALSE))</x:f>
        <x:v>7.8128390000000003</x:v>
      </x:c>
      <x:c r="H582">
        <x:f ca="1">IF(AND($B$1012=1,LEN($H$1578)&gt;0),$H$1578,HLOOKUP(INDIRECT(ADDRESS(2,COLUMN())),OFFSET($T$2,0,0,ROW()-1,14),ROW()-1,FALSE))</x:f>
        <x:v>0.92597200000000002</x:v>
      </x:c>
      <x:c r="I582">
        <x:f ca="1">IF(AND($B$1012=1,LEN($I$1578)&gt;0),$I$1578,HLOOKUP(INDIRECT(ADDRESS(2,COLUMN())),OFFSET($T$2,0,0,ROW()-1,14),ROW()-1,FALSE))</x:f>
        <x:v>10.574235</x:v>
      </x:c>
      <x:c r="J582">
        <x:f ca="1">IF(AND($B$1012=1,LEN($J$1578)&gt;0),$J$1578,HLOOKUP(INDIRECT(ADDRESS(2,COLUMN())),OFFSET($T$2,0,0,ROW()-1,14),ROW()-1,FALSE))</x:f>
        <x:v>-0.109488</x:v>
      </x:c>
      <x:c r="K582">
        <x:f ca="1">IF(AND($B$1012=1,LEN($K$1578)&gt;0),$K$1578,HLOOKUP(INDIRECT(ADDRESS(2,COLUMN())),OFFSET($T$2,0,0,ROW()-1,14),ROW()-1,FALSE))</x:f>
        <x:v>3.882873</x:v>
      </x:c>
      <x:c r="L582">
        <x:f ca="1">IF(AND($B$1012=1,LEN($L$1578)&gt;0),$L$1578,HLOOKUP(INDIRECT(ADDRESS(2,COLUMN())),OFFSET($T$2,0,0,ROW()-1,14),ROW()-1,FALSE))</x:f>
        <x:v>8.5693000000000001</x:v>
      </x:c>
      <x:c r="M582">
        <x:f ca="1">IF(AND($B$1012=1,LEN($M$1578)&gt;0),$M$1578,HLOOKUP(INDIRECT(ADDRESS(2,COLUMN())),OFFSET($T$2,0,0,ROW()-1,14),ROW()-1,FALSE))</x:f>
        <x:v>-1.498974</x:v>
      </x:c>
      <x:c r="N582">
        <x:f ca="1">IF(AND($B$1012=1,LEN($N$1578)&gt;0),$N$1578,HLOOKUP(INDIRECT(ADDRESS(2,COLUMN())),OFFSET($T$2,0,0,ROW()-1,14),ROW()-1,FALSE))</x:f>
        <x:v>4.9065690000000002</x:v>
      </x:c>
      <x:c r="O582">
        <x:f ca="1">IF(AND($B$1012=1,LEN($O$1578)&gt;0),$O$1578,HLOOKUP(INDIRECT(ADDRESS(2,COLUMN())),OFFSET($T$2,0,0,ROW()-1,14),ROW()-1,FALSE))</x:f>
        <x:v>0</x:v>
      </x:c>
      <x:c r="P582">
        <x:f ca="1">IF(AND($B$1012=1,LEN($P$1578)&gt;0),$P$1578,HLOOKUP(INDIRECT(ADDRESS(2,COLUMN())),OFFSET($T$2,0,0,ROW()-1,14),ROW()-1,FALSE))</x:f>
        <x:v>-1.6073170000000001</x:v>
      </x:c>
      <x:c r="Q582">
        <x:f ca="1">IF(AND($B$1012=1,LEN($Q$1578)&gt;0),$Q$1578,HLOOKUP(INDIRECT(ADDRESS(2,COLUMN())),OFFSET($T$2,0,0,ROW()-1,14),ROW()-1,FALSE))</x:f>
        <x:v>-5.0651630000000001</x:v>
      </x:c>
      <x:c r="R582">
        <x:f ca="1">IF(AND($B$1012=1,LEN($R$1578)&gt;0),$R$1578,HLOOKUP(INDIRECT(ADDRESS(2,COLUMN())),OFFSET($T$2,0,0,ROW()-1,14),ROW()-1,FALSE))</x:f>
        <x:v>-2.9930889999999999</x:v>
      </x:c>
      <x:c r="S582">
        <x:f ca="1">IF(AND($B$1012=1,LEN($S$1578)&gt;0),$S$1578,HLOOKUP(INDIRECT(ADDRESS(2,COLUMN())),OFFSET($T$2,0,0,ROW()-1,14),ROW()-1,FALSE))</x:f>
        <x:v>9.0144199999999994</x:v>
      </x:c>
      <x:c r="T582">
        <x:f>-1.892093</x:f>
        <x:v>-1.892093</x:v>
      </x:c>
      <x:c r="U582">
        <x:f>7.812839</x:f>
        <x:v>7.8128390000000003</x:v>
      </x:c>
      <x:c r="V582">
        <x:f>0.925972</x:f>
        <x:v>0.92597200000000002</x:v>
      </x:c>
      <x:c r="W582">
        <x:f>10.574235</x:f>
        <x:v>10.574235</x:v>
      </x:c>
      <x:c r="X582">
        <x:f>-0.109488</x:f>
        <x:v>-0.109488</x:v>
      </x:c>
      <x:c r="Y582">
        <x:f>3.882873</x:f>
        <x:v>3.882873</x:v>
      </x:c>
      <x:c r="Z582">
        <x:f>8.5693</x:f>
        <x:v>8.5693000000000001</x:v>
      </x:c>
      <x:c r="AA582">
        <x:f>-1.498974</x:f>
        <x:v>-1.498974</x:v>
      </x:c>
      <x:c r="AB582">
        <x:f>4.906569</x:f>
        <x:v>4.9065690000000002</x:v>
      </x:c>
      <x:c r="AC582">
        <x:f>0</x:f>
        <x:v>0</x:v>
      </x:c>
      <x:c r="AD582">
        <x:f>-1.607317</x:f>
        <x:v>-1.6073170000000001</x:v>
      </x:c>
      <x:c r="AE582">
        <x:f>-5.065163</x:f>
        <x:v>-5.0651630000000001</x:v>
      </x:c>
      <x:c r="AF582">
        <x:f>-2.993089</x:f>
        <x:v>-2.9930889999999999</x:v>
      </x:c>
      <x:c r="AG582">
        <x:f>9.01442</x:f>
        <x:v>9.0144199999999994</x:v>
      </x:c>
    </x:row>
    <x:row r="583" spans="1:33" x14ac:dyDescent="0.25">
      <x:c r="A583" t="str">
        <x:f>"        Direxion Daily Utilities Bear"</x:f>
        <x:v xml:space="preserve">        Direxion Daily Utilities Bear</x:v>
      </x:c>
      <x:c r="B583" t="str">
        <x:f>"UTLZ US Equity"</x:f>
        <x:v>UTLZ US Equity</x:v>
      </x:c>
      <x:c r="E583" t="str">
        <x:f t="shared" si="20"/>
        <x:v>Expression</x:v>
      </x:c>
      <x:c r="F583" t="str">
        <x:f ca="1">IF(AND($B$1012=1,LEN($F$1579)&gt;0),$F$1579,HLOOKUP(INDIRECT(ADDRESS(2,COLUMN())),OFFSET($T$2,0,0,ROW()-1,14),ROW()-1,FALSE))</x:f>
        <x:v/>
      </x:c>
      <x:c r="G583" t="str">
        <x:f ca="1">IF(AND($B$1012=1,LEN($G$1579)&gt;0),$G$1579,HLOOKUP(INDIRECT(ADDRESS(2,COLUMN())),OFFSET($T$2,0,0,ROW()-1,14),ROW()-1,FALSE))</x:f>
        <x:v/>
      </x:c>
      <x:c r="H583" t="str">
        <x:f ca="1">IF(AND($B$1012=1,LEN($H$1579)&gt;0),$H$1579,HLOOKUP(INDIRECT(ADDRESS(2,COLUMN())),OFFSET($T$2,0,0,ROW()-1,14),ROW()-1,FALSE))</x:f>
        <x:v/>
      </x:c>
      <x:c r="I583" t="str">
        <x:f ca="1">IF(AND($B$1012=1,LEN($I$1579)&gt;0),$I$1579,HLOOKUP(INDIRECT(ADDRESS(2,COLUMN())),OFFSET($T$2,0,0,ROW()-1,14),ROW()-1,FALSE))</x:f>
        <x:v/>
      </x:c>
      <x:c r="J583" t="str">
        <x:f ca="1">IF(AND($B$1012=1,LEN($J$1579)&gt;0),$J$1579,HLOOKUP(INDIRECT(ADDRESS(2,COLUMN())),OFFSET($T$2,0,0,ROW()-1,14),ROW()-1,FALSE))</x:f>
        <x:v/>
      </x:c>
      <x:c r="K583" t="str">
        <x:f ca="1">IF(AND($B$1012=1,LEN($K$1579)&gt;0),$K$1579,HLOOKUP(INDIRECT(ADDRESS(2,COLUMN())),OFFSET($T$2,0,0,ROW()-1,14),ROW()-1,FALSE))</x:f>
        <x:v/>
      </x:c>
      <x:c r="L583" t="str">
        <x:f ca="1">IF(AND($B$1012=1,LEN($L$1579)&gt;0),$L$1579,HLOOKUP(INDIRECT(ADDRESS(2,COLUMN())),OFFSET($T$2,0,0,ROW()-1,14),ROW()-1,FALSE))</x:f>
        <x:v/>
      </x:c>
      <x:c r="M583" t="str">
        <x:f ca="1">IF(AND($B$1012=1,LEN($M$1579)&gt;0),$M$1579,HLOOKUP(INDIRECT(ADDRESS(2,COLUMN())),OFFSET($T$2,0,0,ROW()-1,14),ROW()-1,FALSE))</x:f>
        <x:v/>
      </x:c>
      <x:c r="N583" t="str">
        <x:f ca="1">IF(AND($B$1012=1,LEN($N$1579)&gt;0),$N$1579,HLOOKUP(INDIRECT(ADDRESS(2,COLUMN())),OFFSET($T$2,0,0,ROW()-1,14),ROW()-1,FALSE))</x:f>
        <x:v/>
      </x:c>
      <x:c r="O583" t="str">
        <x:f ca="1">IF(AND($B$1012=1,LEN($O$1579)&gt;0),$O$1579,HLOOKUP(INDIRECT(ADDRESS(2,COLUMN())),OFFSET($T$2,0,0,ROW()-1,14),ROW()-1,FALSE))</x:f>
        <x:v/>
      </x:c>
      <x:c r="P583" t="str">
        <x:f ca="1">IF(AND($B$1012=1,LEN($P$1579)&gt;0),$P$1579,HLOOKUP(INDIRECT(ADDRESS(2,COLUMN())),OFFSET($T$2,0,0,ROW()-1,14),ROW()-1,FALSE))</x:f>
        <x:v/>
      </x:c>
      <x:c r="Q583" t="str">
        <x:f ca="1">IF(AND($B$1012=1,LEN($Q$1579)&gt;0),$Q$1579,HLOOKUP(INDIRECT(ADDRESS(2,COLUMN())),OFFSET($T$2,0,0,ROW()-1,14),ROW()-1,FALSE))</x:f>
        <x:v/>
      </x:c>
      <x:c r="R583" t="str">
        <x:f ca="1">IF(AND($B$1012=1,LEN($R$1579)&gt;0),$R$1579,HLOOKUP(INDIRECT(ADDRESS(2,COLUMN())),OFFSET($T$2,0,0,ROW()-1,14),ROW()-1,FALSE))</x:f>
        <x:v/>
      </x:c>
      <x:c r="S583" t="str">
        <x:f ca="1">IF(AND($B$1012=1,LEN($S$1579)&gt;0),$S$1579,HLOOKUP(INDIRECT(ADDRESS(2,COLUMN())),OFFSET($T$2,0,0,ROW()-1,14),ROW()-1,FALSE))</x:f>
        <x:v/>
      </x:c>
      <x:c r="T583" t="str">
        <x:f>""</x:f>
        <x:v/>
      </x:c>
      <x:c r="U583" t="str">
        <x:f>""</x:f>
        <x:v/>
      </x:c>
      <x:c r="V583" t="str">
        <x:f>""</x:f>
        <x:v/>
      </x:c>
      <x:c r="W583" t="str">
        <x:f>""</x:f>
        <x:v/>
      </x:c>
      <x:c r="X583" t="str">
        <x:f>""</x:f>
        <x:v/>
      </x:c>
      <x:c r="Y583" t="str">
        <x:f>""</x:f>
        <x:v/>
      </x:c>
      <x:c r="Z583" t="str">
        <x:f>""</x:f>
        <x:v/>
      </x:c>
      <x:c r="AA583" t="str">
        <x:f>""</x:f>
        <x:v/>
      </x:c>
      <x:c r="AB583" t="str">
        <x:f>""</x:f>
        <x:v/>
      </x:c>
      <x:c r="AC583" t="str">
        <x:f>""</x:f>
        <x:v/>
      </x:c>
      <x:c r="AD583" t="str">
        <x:f>""</x:f>
        <x:v/>
      </x:c>
      <x:c r="AE583" t="str">
        <x:f>""</x:f>
        <x:v/>
      </x:c>
      <x:c r="AF583" t="str">
        <x:f>""</x:f>
        <x:v/>
      </x:c>
      <x:c r="AG583" t="str">
        <x:f>""</x:f>
        <x:v/>
      </x:c>
    </x:row>
    <x:row r="584" spans="1:33" x14ac:dyDescent="0.25">
      <x:c r="A584" t="str">
        <x:f>"        Elkhorn S&amp;P MidCap Utilities P"</x:f>
        <x:v xml:space="preserve">        Elkhorn S&amp;P MidCap Utilities P</x:v>
      </x:c>
      <x:c r="B584" t="str">
        <x:f>"XU US Equity"</x:f>
        <x:v>XU US Equity</x:v>
      </x:c>
      <x:c r="E584" t="str">
        <x:f t="shared" si="20"/>
        <x:v>Expression</x:v>
      </x:c>
      <x:c r="F584" t="str">
        <x:f ca="1">IF(AND($B$1012=1,LEN($F$1580)&gt;0),$F$1580,HLOOKUP(INDIRECT(ADDRESS(2,COLUMN())),OFFSET($T$2,0,0,ROW()-1,14),ROW()-1,FALSE))</x:f>
        <x:v/>
      </x:c>
      <x:c r="G584" t="str">
        <x:f ca="1">IF(AND($B$1012=1,LEN($G$1580)&gt;0),$G$1580,HLOOKUP(INDIRECT(ADDRESS(2,COLUMN())),OFFSET($T$2,0,0,ROW()-1,14),ROW()-1,FALSE))</x:f>
        <x:v/>
      </x:c>
      <x:c r="H584" t="str">
        <x:f ca="1">IF(AND($B$1012=1,LEN($H$1580)&gt;0),$H$1580,HLOOKUP(INDIRECT(ADDRESS(2,COLUMN())),OFFSET($T$2,0,0,ROW()-1,14),ROW()-1,FALSE))</x:f>
        <x:v/>
      </x:c>
      <x:c r="I584" t="str">
        <x:f ca="1">IF(AND($B$1012=1,LEN($I$1580)&gt;0),$I$1580,HLOOKUP(INDIRECT(ADDRESS(2,COLUMN())),OFFSET($T$2,0,0,ROW()-1,14),ROW()-1,FALSE))</x:f>
        <x:v/>
      </x:c>
      <x:c r="J584" t="str">
        <x:f ca="1">IF(AND($B$1012=1,LEN($J$1580)&gt;0),$J$1580,HLOOKUP(INDIRECT(ADDRESS(2,COLUMN())),OFFSET($T$2,0,0,ROW()-1,14),ROW()-1,FALSE))</x:f>
        <x:v/>
      </x:c>
      <x:c r="K584" t="str">
        <x:f ca="1">IF(AND($B$1012=1,LEN($K$1580)&gt;0),$K$1580,HLOOKUP(INDIRECT(ADDRESS(2,COLUMN())),OFFSET($T$2,0,0,ROW()-1,14),ROW()-1,FALSE))</x:f>
        <x:v/>
      </x:c>
      <x:c r="L584" t="str">
        <x:f ca="1">IF(AND($B$1012=1,LEN($L$1580)&gt;0),$L$1580,HLOOKUP(INDIRECT(ADDRESS(2,COLUMN())),OFFSET($T$2,0,0,ROW()-1,14),ROW()-1,FALSE))</x:f>
        <x:v/>
      </x:c>
      <x:c r="M584" t="str">
        <x:f ca="1">IF(AND($B$1012=1,LEN($M$1580)&gt;0),$M$1580,HLOOKUP(INDIRECT(ADDRESS(2,COLUMN())),OFFSET($T$2,0,0,ROW()-1,14),ROW()-1,FALSE))</x:f>
        <x:v/>
      </x:c>
      <x:c r="N584" t="str">
        <x:f ca="1">IF(AND($B$1012=1,LEN($N$1580)&gt;0),$N$1580,HLOOKUP(INDIRECT(ADDRESS(2,COLUMN())),OFFSET($T$2,0,0,ROW()-1,14),ROW()-1,FALSE))</x:f>
        <x:v/>
      </x:c>
      <x:c r="O584" t="str">
        <x:f ca="1">IF(AND($B$1012=1,LEN($O$1580)&gt;0),$O$1580,HLOOKUP(INDIRECT(ADDRESS(2,COLUMN())),OFFSET($T$2,0,0,ROW()-1,14),ROW()-1,FALSE))</x:f>
        <x:v/>
      </x:c>
      <x:c r="P584" t="str">
        <x:f ca="1">IF(AND($B$1012=1,LEN($P$1580)&gt;0),$P$1580,HLOOKUP(INDIRECT(ADDRESS(2,COLUMN())),OFFSET($T$2,0,0,ROW()-1,14),ROW()-1,FALSE))</x:f>
        <x:v/>
      </x:c>
      <x:c r="Q584" t="str">
        <x:f ca="1">IF(AND($B$1012=1,LEN($Q$1580)&gt;0),$Q$1580,HLOOKUP(INDIRECT(ADDRESS(2,COLUMN())),OFFSET($T$2,0,0,ROW()-1,14),ROW()-1,FALSE))</x:f>
        <x:v/>
      </x:c>
      <x:c r="R584" t="str">
        <x:f ca="1">IF(AND($B$1012=1,LEN($R$1580)&gt;0),$R$1580,HLOOKUP(INDIRECT(ADDRESS(2,COLUMN())),OFFSET($T$2,0,0,ROW()-1,14),ROW()-1,FALSE))</x:f>
        <x:v/>
      </x:c>
      <x:c r="S584" t="str">
        <x:f ca="1">IF(AND($B$1012=1,LEN($S$1580)&gt;0),$S$1580,HLOOKUP(INDIRECT(ADDRESS(2,COLUMN())),OFFSET($T$2,0,0,ROW()-1,14),ROW()-1,FALSE))</x:f>
        <x:v/>
      </x:c>
      <x:c r="T584" t="str">
        <x:f>""</x:f>
        <x:v/>
      </x:c>
      <x:c r="U584" t="str">
        <x:f>""</x:f>
        <x:v/>
      </x:c>
      <x:c r="V584" t="str">
        <x:f>""</x:f>
        <x:v/>
      </x:c>
      <x:c r="W584" t="str">
        <x:f>""</x:f>
        <x:v/>
      </x:c>
      <x:c r="X584" t="str">
        <x:f>""</x:f>
        <x:v/>
      </x:c>
      <x:c r="Y584" t="str">
        <x:f>""</x:f>
        <x:v/>
      </x:c>
      <x:c r="Z584" t="str">
        <x:f>""</x:f>
        <x:v/>
      </x:c>
      <x:c r="AA584" t="str">
        <x:f>""</x:f>
        <x:v/>
      </x:c>
      <x:c r="AB584" t="str">
        <x:f>""</x:f>
        <x:v/>
      </x:c>
      <x:c r="AC584" t="str">
        <x:f>""</x:f>
        <x:v/>
      </x:c>
      <x:c r="AD584" t="str">
        <x:f>""</x:f>
        <x:v/>
      </x:c>
      <x:c r="AE584" t="str">
        <x:f>""</x:f>
        <x:v/>
      </x:c>
      <x:c r="AF584" t="str">
        <x:f>""</x:f>
        <x:v/>
      </x:c>
      <x:c r="AG584" t="str">
        <x:f>""</x:f>
        <x:v/>
      </x:c>
    </x:row>
    <x:row r="585" spans="1:33" x14ac:dyDescent="0.25">
      <x:c r="A585" t="str">
        <x:f>"        PowerShares Japan Currency Hed"</x:f>
        <x:v xml:space="preserve">        PowerShares Japan Currency Hed</x:v>
      </x:c>
      <x:c r="B585" t="str">
        <x:f>"FXJP US Equity"</x:f>
        <x:v>FXJP US Equity</x:v>
      </x:c>
      <x:c r="E585" t="str">
        <x:f t="shared" si="20"/>
        <x:v>Expression</x:v>
      </x:c>
      <x:c r="F585" t="str">
        <x:f ca="1">IF(AND($B$1012=1,LEN($F$1581)&gt;0),$F$1581,HLOOKUP(INDIRECT(ADDRESS(2,COLUMN())),OFFSET($T$2,0,0,ROW()-1,14),ROW()-1,FALSE))</x:f>
        <x:v/>
      </x:c>
      <x:c r="G585" t="str">
        <x:f ca="1">IF(AND($B$1012=1,LEN($G$1581)&gt;0),$G$1581,HLOOKUP(INDIRECT(ADDRESS(2,COLUMN())),OFFSET($T$2,0,0,ROW()-1,14),ROW()-1,FALSE))</x:f>
        <x:v/>
      </x:c>
      <x:c r="H585" t="str">
        <x:f ca="1">IF(AND($B$1012=1,LEN($H$1581)&gt;0),$H$1581,HLOOKUP(INDIRECT(ADDRESS(2,COLUMN())),OFFSET($T$2,0,0,ROW()-1,14),ROW()-1,FALSE))</x:f>
        <x:v/>
      </x:c>
      <x:c r="I585" t="str">
        <x:f ca="1">IF(AND($B$1012=1,LEN($I$1581)&gt;0),$I$1581,HLOOKUP(INDIRECT(ADDRESS(2,COLUMN())),OFFSET($T$2,0,0,ROW()-1,14),ROW()-1,FALSE))</x:f>
        <x:v/>
      </x:c>
      <x:c r="J585" t="str">
        <x:f ca="1">IF(AND($B$1012=1,LEN($J$1581)&gt;0),$J$1581,HLOOKUP(INDIRECT(ADDRESS(2,COLUMN())),OFFSET($T$2,0,0,ROW()-1,14),ROW()-1,FALSE))</x:f>
        <x:v/>
      </x:c>
      <x:c r="K585" t="str">
        <x:f ca="1">IF(AND($B$1012=1,LEN($K$1581)&gt;0),$K$1581,HLOOKUP(INDIRECT(ADDRESS(2,COLUMN())),OFFSET($T$2,0,0,ROW()-1,14),ROW()-1,FALSE))</x:f>
        <x:v/>
      </x:c>
      <x:c r="L585" t="str">
        <x:f ca="1">IF(AND($B$1012=1,LEN($L$1581)&gt;0),$L$1581,HLOOKUP(INDIRECT(ADDRESS(2,COLUMN())),OFFSET($T$2,0,0,ROW()-1,14),ROW()-1,FALSE))</x:f>
        <x:v/>
      </x:c>
      <x:c r="M585" t="str">
        <x:f ca="1">IF(AND($B$1012=1,LEN($M$1581)&gt;0),$M$1581,HLOOKUP(INDIRECT(ADDRESS(2,COLUMN())),OFFSET($T$2,0,0,ROW()-1,14),ROW()-1,FALSE))</x:f>
        <x:v/>
      </x:c>
      <x:c r="N585" t="str">
        <x:f ca="1">IF(AND($B$1012=1,LEN($N$1581)&gt;0),$N$1581,HLOOKUP(INDIRECT(ADDRESS(2,COLUMN())),OFFSET($T$2,0,0,ROW()-1,14),ROW()-1,FALSE))</x:f>
        <x:v/>
      </x:c>
      <x:c r="O585" t="str">
        <x:f ca="1">IF(AND($B$1012=1,LEN($O$1581)&gt;0),$O$1581,HLOOKUP(INDIRECT(ADDRESS(2,COLUMN())),OFFSET($T$2,0,0,ROW()-1,14),ROW()-1,FALSE))</x:f>
        <x:v/>
      </x:c>
      <x:c r="P585" t="str">
        <x:f ca="1">IF(AND($B$1012=1,LEN($P$1581)&gt;0),$P$1581,HLOOKUP(INDIRECT(ADDRESS(2,COLUMN())),OFFSET($T$2,0,0,ROW()-1,14),ROW()-1,FALSE))</x:f>
        <x:v/>
      </x:c>
      <x:c r="Q585" t="str">
        <x:f ca="1">IF(AND($B$1012=1,LEN($Q$1581)&gt;0),$Q$1581,HLOOKUP(INDIRECT(ADDRESS(2,COLUMN())),OFFSET($T$2,0,0,ROW()-1,14),ROW()-1,FALSE))</x:f>
        <x:v/>
      </x:c>
      <x:c r="R585" t="str">
        <x:f ca="1">IF(AND($B$1012=1,LEN($R$1581)&gt;0),$R$1581,HLOOKUP(INDIRECT(ADDRESS(2,COLUMN())),OFFSET($T$2,0,0,ROW()-1,14),ROW()-1,FALSE))</x:f>
        <x:v/>
      </x:c>
      <x:c r="S585" t="str">
        <x:f ca="1">IF(AND($B$1012=1,LEN($S$1581)&gt;0),$S$1581,HLOOKUP(INDIRECT(ADDRESS(2,COLUMN())),OFFSET($T$2,0,0,ROW()-1,14),ROW()-1,FALSE))</x:f>
        <x:v/>
      </x:c>
      <x:c r="T585" t="str">
        <x:f>""</x:f>
        <x:v/>
      </x:c>
      <x:c r="U585" t="str">
        <x:f>""</x:f>
        <x:v/>
      </x:c>
      <x:c r="V585" t="str">
        <x:f>""</x:f>
        <x:v/>
      </x:c>
      <x:c r="W585" t="str">
        <x:f>""</x:f>
        <x:v/>
      </x:c>
      <x:c r="X585" t="str">
        <x:f>""</x:f>
        <x:v/>
      </x:c>
      <x:c r="Y585" t="str">
        <x:f>""</x:f>
        <x:v/>
      </x:c>
      <x:c r="Z585" t="str">
        <x:f>""</x:f>
        <x:v/>
      </x:c>
      <x:c r="AA585" t="str">
        <x:f>""</x:f>
        <x:v/>
      </x:c>
      <x:c r="AB585" t="str">
        <x:f>""</x:f>
        <x:v/>
      </x:c>
      <x:c r="AC585" t="str">
        <x:f>""</x:f>
        <x:v/>
      </x:c>
      <x:c r="AD585" t="str">
        <x:f>""</x:f>
        <x:v/>
      </x:c>
      <x:c r="AE585" t="str">
        <x:f>""</x:f>
        <x:v/>
      </x:c>
      <x:c r="AF585" t="str">
        <x:f>""</x:f>
        <x:v/>
      </x:c>
      <x:c r="AG585" t="str">
        <x:f>""</x:f>
        <x:v/>
      </x:c>
    </x:row>
    <x:row r="586" spans="1:33" x14ac:dyDescent="0.25">
      <x:c r="A586" t="str">
        <x:f>"        Global X MSCI China Utilities"</x:f>
        <x:v xml:space="preserve">        Global X MSCI China Utilities</x:v>
      </x:c>
      <x:c r="B586" t="str">
        <x:f>"CHIU US Equity"</x:f>
        <x:v>CHIU US Equity</x:v>
      </x:c>
      <x:c r="E586" t="str">
        <x:f t="shared" si="20"/>
        <x:v>Expression</x:v>
      </x:c>
      <x:c r="F586">
        <x:f ca="1">IF(AND($B$1012=1,LEN($F$1582)&gt;0),$F$1582,HLOOKUP(INDIRECT(ADDRESS(2,COLUMN())),OFFSET($T$2,0,0,ROW()-1,14),ROW()-1,FALSE))</x:f>
        <x:v>0</x:v>
      </x:c>
      <x:c r="G586">
        <x:f ca="1">IF(AND($B$1012=1,LEN($G$1582)&gt;0),$G$1582,HLOOKUP(INDIRECT(ADDRESS(2,COLUMN())),OFFSET($T$2,0,0,ROW()-1,14),ROW()-1,FALSE))</x:f>
        <x:v>0</x:v>
      </x:c>
      <x:c r="H586">
        <x:f ca="1">IF(AND($B$1012=1,LEN($H$1582)&gt;0),$H$1582,HLOOKUP(INDIRECT(ADDRESS(2,COLUMN())),OFFSET($T$2,0,0,ROW()-1,14),ROW()-1,FALSE))</x:f>
        <x:v>0</x:v>
      </x:c>
      <x:c r="I586">
        <x:f ca="1">IF(AND($B$1012=1,LEN($I$1582)&gt;0),$I$1582,HLOOKUP(INDIRECT(ADDRESS(2,COLUMN())),OFFSET($T$2,0,0,ROW()-1,14),ROW()-1,FALSE))</x:f>
        <x:v>0</x:v>
      </x:c>
      <x:c r="J586">
        <x:f ca="1">IF(AND($B$1012=1,LEN($J$1582)&gt;0),$J$1582,HLOOKUP(INDIRECT(ADDRESS(2,COLUMN())),OFFSET($T$2,0,0,ROW()-1,14),ROW()-1,FALSE))</x:f>
        <x:v>0</x:v>
      </x:c>
      <x:c r="K586">
        <x:f ca="1">IF(AND($B$1012=1,LEN($K$1582)&gt;0),$K$1582,HLOOKUP(INDIRECT(ADDRESS(2,COLUMN())),OFFSET($T$2,0,0,ROW()-1,14),ROW()-1,FALSE))</x:f>
        <x:v>0</x:v>
      </x:c>
      <x:c r="L586">
        <x:f ca="1">IF(AND($B$1012=1,LEN($L$1582)&gt;0),$L$1582,HLOOKUP(INDIRECT(ADDRESS(2,COLUMN())),OFFSET($T$2,0,0,ROW()-1,14),ROW()-1,FALSE))</x:f>
        <x:v>0</x:v>
      </x:c>
      <x:c r="M586">
        <x:f ca="1">IF(AND($B$1012=1,LEN($M$1582)&gt;0),$M$1582,HLOOKUP(INDIRECT(ADDRESS(2,COLUMN())),OFFSET($T$2,0,0,ROW()-1,14),ROW()-1,FALSE))</x:f>
        <x:v>0</x:v>
      </x:c>
      <x:c r="N586">
        <x:f ca="1">IF(AND($B$1012=1,LEN($N$1582)&gt;0),$N$1582,HLOOKUP(INDIRECT(ADDRESS(2,COLUMN())),OFFSET($T$2,0,0,ROW()-1,14),ROW()-1,FALSE))</x:f>
        <x:v>0</x:v>
      </x:c>
      <x:c r="O586">
        <x:f ca="1">IF(AND($B$1012=1,LEN($O$1582)&gt;0),$O$1582,HLOOKUP(INDIRECT(ADDRESS(2,COLUMN())),OFFSET($T$2,0,0,ROW()-1,14),ROW()-1,FALSE))</x:f>
        <x:v>-0.29920000000000002</x:v>
      </x:c>
      <x:c r="P586">
        <x:f ca="1">IF(AND($B$1012=1,LEN($P$1582)&gt;0),$P$1582,HLOOKUP(INDIRECT(ADDRESS(2,COLUMN())),OFFSET($T$2,0,0,ROW()-1,14),ROW()-1,FALSE))</x:f>
        <x:v>0</x:v>
      </x:c>
      <x:c r="Q586">
        <x:f ca="1">IF(AND($B$1012=1,LEN($Q$1582)&gt;0),$Q$1582,HLOOKUP(INDIRECT(ADDRESS(2,COLUMN())),OFFSET($T$2,0,0,ROW()-1,14),ROW()-1,FALSE))</x:f>
        <x:v>0</x:v>
      </x:c>
      <x:c r="R586">
        <x:f ca="1">IF(AND($B$1012=1,LEN($R$1582)&gt;0),$R$1582,HLOOKUP(INDIRECT(ADDRESS(2,COLUMN())),OFFSET($T$2,0,0,ROW()-1,14),ROW()-1,FALSE))</x:f>
        <x:v>-0.27079999999999999</x:v>
      </x:c>
      <x:c r="S586">
        <x:f ca="1">IF(AND($B$1012=1,LEN($S$1582)&gt;0),$S$1582,HLOOKUP(INDIRECT(ADDRESS(2,COLUMN())),OFFSET($T$2,0,0,ROW()-1,14),ROW()-1,FALSE))</x:f>
        <x:v>0</x:v>
      </x:c>
      <x:c r="T586">
        <x:f>0</x:f>
        <x:v>0</x:v>
      </x:c>
      <x:c r="U586">
        <x:f>0</x:f>
        <x:v>0</x:v>
      </x:c>
      <x:c r="V586">
        <x:f>0</x:f>
        <x:v>0</x:v>
      </x:c>
      <x:c r="W586">
        <x:f>0</x:f>
        <x:v>0</x:v>
      </x:c>
      <x:c r="X586">
        <x:f>0</x:f>
        <x:v>0</x:v>
      </x:c>
      <x:c r="Y586">
        <x:f>0</x:f>
        <x:v>0</x:v>
      </x:c>
      <x:c r="Z586">
        <x:f>0</x:f>
        <x:v>0</x:v>
      </x:c>
      <x:c r="AA586">
        <x:f>0</x:f>
        <x:v>0</x:v>
      </x:c>
      <x:c r="AB586">
        <x:f>0</x:f>
        <x:v>0</x:v>
      </x:c>
      <x:c r="AC586">
        <x:f>-0.2992</x:f>
        <x:v>-0.29920000000000002</x:v>
      </x:c>
      <x:c r="AD586">
        <x:f>0</x:f>
        <x:v>0</x:v>
      </x:c>
      <x:c r="AE586">
        <x:f>0</x:f>
        <x:v>0</x:v>
      </x:c>
      <x:c r="AF586">
        <x:f>-0.2708</x:f>
        <x:v>-0.27079999999999999</x:v>
      </x:c>
      <x:c r="AG586">
        <x:f>0</x:f>
        <x:v>0</x:v>
      </x:c>
    </x:row>
    <x:row r="587" spans="1:33" x14ac:dyDescent="0.25">
      <x:c r="A587" t="str">
        <x:f>"        Cushing Utility &amp; MLP ETF"</x:f>
        <x:v xml:space="preserve">        Cushing Utility &amp; MLP ETF</x:v>
      </x:c>
      <x:c r="B587" t="str">
        <x:f>"XLUY US Equity"</x:f>
        <x:v>XLUY US Equity</x:v>
      </x:c>
      <x:c r="E587" t="str">
        <x:f t="shared" si="20"/>
        <x:v>Expression</x:v>
      </x:c>
      <x:c r="F587" t="str">
        <x:f ca="1">IF(AND($B$1012=1,LEN($F$1583)&gt;0),$F$1583,HLOOKUP(INDIRECT(ADDRESS(2,COLUMN())),OFFSET($T$2,0,0,ROW()-1,14),ROW()-1,FALSE))</x:f>
        <x:v/>
      </x:c>
      <x:c r="G587" t="str">
        <x:f ca="1">IF(AND($B$1012=1,LEN($G$1583)&gt;0),$G$1583,HLOOKUP(INDIRECT(ADDRESS(2,COLUMN())),OFFSET($T$2,0,0,ROW()-1,14),ROW()-1,FALSE))</x:f>
        <x:v/>
      </x:c>
      <x:c r="H587" t="str">
        <x:f ca="1">IF(AND($B$1012=1,LEN($H$1583)&gt;0),$H$1583,HLOOKUP(INDIRECT(ADDRESS(2,COLUMN())),OFFSET($T$2,0,0,ROW()-1,14),ROW()-1,FALSE))</x:f>
        <x:v/>
      </x:c>
      <x:c r="I587" t="str">
        <x:f ca="1">IF(AND($B$1012=1,LEN($I$1583)&gt;0),$I$1583,HLOOKUP(INDIRECT(ADDRESS(2,COLUMN())),OFFSET($T$2,0,0,ROW()-1,14),ROW()-1,FALSE))</x:f>
        <x:v/>
      </x:c>
      <x:c r="J587" t="str">
        <x:f ca="1">IF(AND($B$1012=1,LEN($J$1583)&gt;0),$J$1583,HLOOKUP(INDIRECT(ADDRESS(2,COLUMN())),OFFSET($T$2,0,0,ROW()-1,14),ROW()-1,FALSE))</x:f>
        <x:v/>
      </x:c>
      <x:c r="K587" t="str">
        <x:f ca="1">IF(AND($B$1012=1,LEN($K$1583)&gt;0),$K$1583,HLOOKUP(INDIRECT(ADDRESS(2,COLUMN())),OFFSET($T$2,0,0,ROW()-1,14),ROW()-1,FALSE))</x:f>
        <x:v/>
      </x:c>
      <x:c r="L587" t="str">
        <x:f ca="1">IF(AND($B$1012=1,LEN($L$1583)&gt;0),$L$1583,HLOOKUP(INDIRECT(ADDRESS(2,COLUMN())),OFFSET($T$2,0,0,ROW()-1,14),ROW()-1,FALSE))</x:f>
        <x:v/>
      </x:c>
      <x:c r="M587" t="str">
        <x:f ca="1">IF(AND($B$1012=1,LEN($M$1583)&gt;0),$M$1583,HLOOKUP(INDIRECT(ADDRESS(2,COLUMN())),OFFSET($T$2,0,0,ROW()-1,14),ROW()-1,FALSE))</x:f>
        <x:v/>
      </x:c>
      <x:c r="N587" t="str">
        <x:f ca="1">IF(AND($B$1012=1,LEN($N$1583)&gt;0),$N$1583,HLOOKUP(INDIRECT(ADDRESS(2,COLUMN())),OFFSET($T$2,0,0,ROW()-1,14),ROW()-1,FALSE))</x:f>
        <x:v/>
      </x:c>
      <x:c r="O587" t="str">
        <x:f ca="1">IF(AND($B$1012=1,LEN($O$1583)&gt;0),$O$1583,HLOOKUP(INDIRECT(ADDRESS(2,COLUMN())),OFFSET($T$2,0,0,ROW()-1,14),ROW()-1,FALSE))</x:f>
        <x:v/>
      </x:c>
      <x:c r="P587" t="str">
        <x:f ca="1">IF(AND($B$1012=1,LEN($P$1583)&gt;0),$P$1583,HLOOKUP(INDIRECT(ADDRESS(2,COLUMN())),OFFSET($T$2,0,0,ROW()-1,14),ROW()-1,FALSE))</x:f>
        <x:v/>
      </x:c>
      <x:c r="Q587" t="str">
        <x:f ca="1">IF(AND($B$1012=1,LEN($Q$1583)&gt;0),$Q$1583,HLOOKUP(INDIRECT(ADDRESS(2,COLUMN())),OFFSET($T$2,0,0,ROW()-1,14),ROW()-1,FALSE))</x:f>
        <x:v/>
      </x:c>
      <x:c r="R587" t="str">
        <x:f ca="1">IF(AND($B$1012=1,LEN($R$1583)&gt;0),$R$1583,HLOOKUP(INDIRECT(ADDRESS(2,COLUMN())),OFFSET($T$2,0,0,ROW()-1,14),ROW()-1,FALSE))</x:f>
        <x:v/>
      </x:c>
      <x:c r="S587" t="str">
        <x:f ca="1">IF(AND($B$1012=1,LEN($S$1583)&gt;0),$S$1583,HLOOKUP(INDIRECT(ADDRESS(2,COLUMN())),OFFSET($T$2,0,0,ROW()-1,14),ROW()-1,FALSE))</x:f>
        <x:v/>
      </x:c>
      <x:c r="T587" t="str">
        <x:f>""</x:f>
        <x:v/>
      </x:c>
      <x:c r="U587" t="str">
        <x:f>""</x:f>
        <x:v/>
      </x:c>
      <x:c r="V587" t="str">
        <x:f>""</x:f>
        <x:v/>
      </x:c>
      <x:c r="W587" t="str">
        <x:f>""</x:f>
        <x:v/>
      </x:c>
      <x:c r="X587" t="str">
        <x:f>""</x:f>
        <x:v/>
      </x:c>
      <x:c r="Y587" t="str">
        <x:f>""</x:f>
        <x:v/>
      </x:c>
      <x:c r="Z587" t="str">
        <x:f>""</x:f>
        <x:v/>
      </x:c>
      <x:c r="AA587" t="str">
        <x:f>""</x:f>
        <x:v/>
      </x:c>
      <x:c r="AB587" t="str">
        <x:f>""</x:f>
        <x:v/>
      </x:c>
      <x:c r="AC587" t="str">
        <x:f>""</x:f>
        <x:v/>
      </x:c>
      <x:c r="AD587" t="str">
        <x:f>""</x:f>
        <x:v/>
      </x:c>
      <x:c r="AE587" t="str">
        <x:f>""</x:f>
        <x:v/>
      </x:c>
      <x:c r="AF587" t="str">
        <x:f>""</x:f>
        <x:v/>
      </x:c>
      <x:c r="AG587" t="str">
        <x:f>""</x:f>
        <x:v/>
      </x:c>
    </x:row>
    <x:row r="588" spans="1:33" x14ac:dyDescent="0.25">
      <x:c r="A588" t="str">
        <x:f>"    Thematic"</x:f>
        <x:v xml:space="preserve">    Thematic</x:v>
      </x:c>
      <x:c r="B588" t="str">
        <x:f>""</x:f>
        <x:v/>
      </x:c>
      <x:c r="E588" t="str">
        <x:f>"Sum"</x:f>
        <x:v>Sum</x:v>
      </x:c>
      <x:c r="F588">
        <x:f ca="1">IF(ISERROR(IF(SUM($F$589,$F$614,$F$641,$F$665,$F$701,$F$711,$F$727,$F$744,$F$766,$F$777,$F$791,$F$799,$F$815,$F$827,$F$849,$F$867,$F$918,$F$930,$F$954,$F$958,$F$962,$F$974,$F$982) = 0, "", SUM($F$589,$F$614,$F$641,$F$665,$F$701,$F$711,$F$727,$F$744,$F$766,$F$777,$F$791,$F$799,$F$815,$F$827,$F$849,$F$867,$F$918,$F$930,$F$954,$F$958,$F$962,$F$974,$F$982))), "", (IF(SUM($F$589,$F$614,$F$641,$F$665,$F$701,$F$711,$F$727,$F$744,$F$766,$F$777,$F$791,$F$799,$F$815,$F$827,$F$849,$F$867,$F$918,$F$930,$F$954,$F$958,$F$962,$F$974,$F$982) = 0, "", SUM($F$589,$F$614,$F$641,$F$665,$F$701,$F$711,$F$727,$F$744,$F$766,$F$777,$F$791,$F$799,$F$815,$F$827,$F$849,$F$867,$F$918,$F$930,$F$954,$F$958,$F$962,$F$974,$F$982))))</x:f>
        <x:v>-173.61963599999996</x:v>
      </x:c>
      <x:c r="G588">
        <x:f ca="1">IF(ISERROR(IF(SUM($G$589,$G$614,$G$641,$G$665,$G$701,$G$711,$G$727,$G$744,$G$766,$G$777,$G$791,$G$799,$G$815,$G$827,$G$849,$G$867,$G$918,$G$930,$G$954,$G$958,$G$962,$G$974,$G$982) = 0, "", SUM($G$589,$G$614,$G$641,$G$665,$G$701,$G$711,$G$727,$G$744,$G$766,$G$777,$G$791,$G$799,$G$815,$G$827,$G$849,$G$867,$G$918,$G$930,$G$954,$G$958,$G$962,$G$974,$G$982))), "", (IF(SUM($G$589,$G$614,$G$641,$G$665,$G$701,$G$711,$G$727,$G$744,$G$766,$G$777,$G$791,$G$799,$G$815,$G$827,$G$849,$G$867,$G$918,$G$930,$G$954,$G$958,$G$962,$G$974,$G$982) = 0, "", SUM($G$589,$G$614,$G$641,$G$665,$G$701,$G$711,$G$727,$G$744,$G$766,$G$777,$G$791,$G$799,$G$815,$G$827,$G$849,$G$867,$G$918,$G$930,$G$954,$G$958,$G$962,$G$974,$G$982))))</x:f>
        <x:v>-1207.6387009999996</x:v>
      </x:c>
      <x:c r="H588">
        <x:f ca="1">IF(ISERROR(IF(SUM($H$589,$H$614,$H$641,$H$665,$H$701,$H$711,$H$727,$H$744,$H$766,$H$777,$H$791,$H$799,$H$815,$H$827,$H$849,$H$867,$H$918,$H$930,$H$954,$H$958,$H$962,$H$974,$H$982) = 0, "", SUM($H$589,$H$614,$H$641,$H$665,$H$701,$H$711,$H$727,$H$744,$H$766,$H$777,$H$791,$H$799,$H$815,$H$827,$H$849,$H$867,$H$918,$H$930,$H$954,$H$958,$H$962,$H$974,$H$982))), "", (IF(SUM($H$589,$H$614,$H$641,$H$665,$H$701,$H$711,$H$727,$H$744,$H$766,$H$777,$H$791,$H$799,$H$815,$H$827,$H$849,$H$867,$H$918,$H$930,$H$954,$H$958,$H$962,$H$974,$H$982) = 0, "", SUM($H$589,$H$614,$H$641,$H$665,$H$701,$H$711,$H$727,$H$744,$H$766,$H$777,$H$791,$H$799,$H$815,$H$827,$H$849,$H$867,$H$918,$H$930,$H$954,$H$958,$H$962,$H$974,$H$982))))</x:f>
        <x:v>-679.84620599999994</x:v>
      </x:c>
      <x:c r="I588">
        <x:f ca="1">IF(ISERROR(IF(SUM($I$589,$I$614,$I$641,$I$665,$I$701,$I$711,$I$727,$I$744,$I$766,$I$777,$I$791,$I$799,$I$815,$I$827,$I$849,$I$867,$I$918,$I$930,$I$954,$I$958,$I$962,$I$974,$I$982) = 0, "", SUM($I$589,$I$614,$I$641,$I$665,$I$701,$I$711,$I$727,$I$744,$I$766,$I$777,$I$791,$I$799,$I$815,$I$827,$I$849,$I$867,$I$918,$I$930,$I$954,$I$958,$I$962,$I$974,$I$982))), "", (IF(SUM($I$589,$I$614,$I$641,$I$665,$I$701,$I$711,$I$727,$I$744,$I$766,$I$777,$I$791,$I$799,$I$815,$I$827,$I$849,$I$867,$I$918,$I$930,$I$954,$I$958,$I$962,$I$974,$I$982) = 0, "", SUM($I$589,$I$614,$I$641,$I$665,$I$701,$I$711,$I$727,$I$744,$I$766,$I$777,$I$791,$I$799,$I$815,$I$827,$I$849,$I$867,$I$918,$I$930,$I$954,$I$958,$I$962,$I$974,$I$982))))</x:f>
        <x:v>-625.61263699999995</x:v>
      </x:c>
      <x:c r="J588">
        <x:f ca="1">IF(ISERROR(IF(SUM($J$589,$J$614,$J$641,$J$665,$J$701,$J$711,$J$727,$J$744,$J$766,$J$777,$J$791,$J$799,$J$815,$J$827,$J$849,$J$867,$J$918,$J$930,$J$954,$J$958,$J$962,$J$974,$J$982) = 0, "", SUM($J$589,$J$614,$J$641,$J$665,$J$701,$J$711,$J$727,$J$744,$J$766,$J$777,$J$791,$J$799,$J$815,$J$827,$J$849,$J$867,$J$918,$J$930,$J$954,$J$958,$J$962,$J$974,$J$982))), "", (IF(SUM($J$589,$J$614,$J$641,$J$665,$J$701,$J$711,$J$727,$J$744,$J$766,$J$777,$J$791,$J$799,$J$815,$J$827,$J$849,$J$867,$J$918,$J$930,$J$954,$J$958,$J$962,$J$974,$J$982) = 0, "", SUM($J$589,$J$614,$J$641,$J$665,$J$701,$J$711,$J$727,$J$744,$J$766,$J$777,$J$791,$J$799,$J$815,$J$827,$J$849,$J$867,$J$918,$J$930,$J$954,$J$958,$J$962,$J$974,$J$982))))</x:f>
        <x:v>1477.4906800000001</x:v>
      </x:c>
      <x:c r="K588">
        <x:f ca="1">IF(ISERROR(IF(SUM($K$589,$K$614,$K$641,$K$665,$K$701,$K$711,$K$727,$K$744,$K$766,$K$777,$K$791,$K$799,$K$815,$K$827,$K$849,$K$867,$K$918,$K$930,$K$954,$K$958,$K$962,$K$974,$K$982) = 0, "", SUM($K$589,$K$614,$K$641,$K$665,$K$701,$K$711,$K$727,$K$744,$K$766,$K$777,$K$791,$K$799,$K$815,$K$827,$K$849,$K$867,$K$918,$K$930,$K$954,$K$958,$K$962,$K$974,$K$982))), "", (IF(SUM($K$589,$K$614,$K$641,$K$665,$K$701,$K$711,$K$727,$K$744,$K$766,$K$777,$K$791,$K$799,$K$815,$K$827,$K$849,$K$867,$K$918,$K$930,$K$954,$K$958,$K$962,$K$974,$K$982) = 0, "", SUM($K$589,$K$614,$K$641,$K$665,$K$701,$K$711,$K$727,$K$744,$K$766,$K$777,$K$791,$K$799,$K$815,$K$827,$K$849,$K$867,$K$918,$K$930,$K$954,$K$958,$K$962,$K$974,$K$982))))</x:f>
        <x:v>806.26246700000013</x:v>
      </x:c>
      <x:c r="L588">
        <x:f ca="1">IF(ISERROR(IF(SUM($L$589,$L$614,$L$641,$L$665,$L$701,$L$711,$L$727,$L$744,$L$766,$L$777,$L$791,$L$799,$L$815,$L$827,$L$849,$L$867,$L$918,$L$930,$L$954,$L$958,$L$962,$L$974,$L$982) = 0, "", SUM($L$589,$L$614,$L$641,$L$665,$L$701,$L$711,$L$727,$L$744,$L$766,$L$777,$L$791,$L$799,$L$815,$L$827,$L$849,$L$867,$L$918,$L$930,$L$954,$L$958,$L$962,$L$974,$L$982))), "", (IF(SUM($L$589,$L$614,$L$641,$L$665,$L$701,$L$711,$L$727,$L$744,$L$766,$L$777,$L$791,$L$799,$L$815,$L$827,$L$849,$L$867,$L$918,$L$930,$L$954,$L$958,$L$962,$L$974,$L$982) = 0, "", SUM($L$589,$L$614,$L$641,$L$665,$L$701,$L$711,$L$727,$L$744,$L$766,$L$777,$L$791,$L$799,$L$815,$L$827,$L$849,$L$867,$L$918,$L$930,$L$954,$L$958,$L$962,$L$974,$L$982))))</x:f>
        <x:v>-820.2598409999996</x:v>
      </x:c>
      <x:c r="M588">
        <x:f ca="1">IF(ISERROR(IF(SUM($M$589,$M$614,$M$641,$M$665,$M$701,$M$711,$M$727,$M$744,$M$766,$M$777,$M$791,$M$799,$M$815,$M$827,$M$849,$M$867,$M$918,$M$930,$M$954,$M$958,$M$962,$M$974,$M$982) = 0, "", SUM($M$589,$M$614,$M$641,$M$665,$M$701,$M$711,$M$727,$M$744,$M$766,$M$777,$M$791,$M$799,$M$815,$M$827,$M$849,$M$867,$M$918,$M$930,$M$954,$M$958,$M$962,$M$974,$M$982))), "", (IF(SUM($M$589,$M$614,$M$641,$M$665,$M$701,$M$711,$M$727,$M$744,$M$766,$M$777,$M$791,$M$799,$M$815,$M$827,$M$849,$M$867,$M$918,$M$930,$M$954,$M$958,$M$962,$M$974,$M$982) = 0, "", SUM($M$589,$M$614,$M$641,$M$665,$M$701,$M$711,$M$727,$M$744,$M$766,$M$777,$M$791,$M$799,$M$815,$M$827,$M$849,$M$867,$M$918,$M$930,$M$954,$M$958,$M$962,$M$974,$M$982))))</x:f>
        <x:v>-823.52689200000009</x:v>
      </x:c>
      <x:c r="N588">
        <x:f ca="1">IF(ISERROR(IF(SUM($N$589,$N$614,$N$641,$N$665,$N$701,$N$711,$N$727,$N$744,$N$766,$N$777,$N$791,$N$799,$N$815,$N$827,$N$849,$N$867,$N$918,$N$930,$N$954,$N$958,$N$962,$N$974,$N$982) = 0, "", SUM($N$589,$N$614,$N$641,$N$665,$N$701,$N$711,$N$727,$N$744,$N$766,$N$777,$N$791,$N$799,$N$815,$N$827,$N$849,$N$867,$N$918,$N$930,$N$954,$N$958,$N$962,$N$974,$N$982))), "", (IF(SUM($N$589,$N$614,$N$641,$N$665,$N$701,$N$711,$N$727,$N$744,$N$766,$N$777,$N$791,$N$799,$N$815,$N$827,$N$849,$N$867,$N$918,$N$930,$N$954,$N$958,$N$962,$N$974,$N$982) = 0, "", SUM($N$589,$N$614,$N$641,$N$665,$N$701,$N$711,$N$727,$N$744,$N$766,$N$777,$N$791,$N$799,$N$815,$N$827,$N$849,$N$867,$N$918,$N$930,$N$954,$N$958,$N$962,$N$974,$N$982))))</x:f>
        <x:v>-629.89405299999999</x:v>
      </x:c>
      <x:c r="O588">
        <x:f ca="1">IF(ISERROR(IF(SUM($O$589,$O$614,$O$641,$O$665,$O$701,$O$711,$O$727,$O$744,$O$766,$O$777,$O$791,$O$799,$O$815,$O$827,$O$849,$O$867,$O$918,$O$930,$O$954,$O$958,$O$962,$O$974,$O$982) = 0, "", SUM($O$589,$O$614,$O$641,$O$665,$O$701,$O$711,$O$727,$O$744,$O$766,$O$777,$O$791,$O$799,$O$815,$O$827,$O$849,$O$867,$O$918,$O$930,$O$954,$O$958,$O$962,$O$974,$O$982))), "", (IF(SUM($O$589,$O$614,$O$641,$O$665,$O$701,$O$711,$O$727,$O$744,$O$766,$O$777,$O$791,$O$799,$O$815,$O$827,$O$849,$O$867,$O$918,$O$930,$O$954,$O$958,$O$962,$O$974,$O$982) = 0, "", SUM($O$589,$O$614,$O$641,$O$665,$O$701,$O$711,$O$727,$O$744,$O$766,$O$777,$O$791,$O$799,$O$815,$O$827,$O$849,$O$867,$O$918,$O$930,$O$954,$O$958,$O$962,$O$974,$O$982))))</x:f>
        <x:v>-1262.5671380000001</x:v>
      </x:c>
      <x:c r="P588">
        <x:f ca="1">IF(ISERROR(IF(SUM($P$589,$P$614,$P$641,$P$665,$P$701,$P$711,$P$727,$P$744,$P$766,$P$777,$P$791,$P$799,$P$815,$P$827,$P$849,$P$867,$P$918,$P$930,$P$954,$P$958,$P$962,$P$974,$P$982) = 0, "", SUM($P$589,$P$614,$P$641,$P$665,$P$701,$P$711,$P$727,$P$744,$P$766,$P$777,$P$791,$P$799,$P$815,$P$827,$P$849,$P$867,$P$918,$P$930,$P$954,$P$958,$P$962,$P$974,$P$982))), "", (IF(SUM($P$589,$P$614,$P$641,$P$665,$P$701,$P$711,$P$727,$P$744,$P$766,$P$777,$P$791,$P$799,$P$815,$P$827,$P$849,$P$867,$P$918,$P$930,$P$954,$P$958,$P$962,$P$974,$P$982) = 0, "", SUM($P$589,$P$614,$P$641,$P$665,$P$701,$P$711,$P$727,$P$744,$P$766,$P$777,$P$791,$P$799,$P$815,$P$827,$P$849,$P$867,$P$918,$P$930,$P$954,$P$958,$P$962,$P$974,$P$982))))</x:f>
        <x:v>-753.13937699999985</x:v>
      </x:c>
      <x:c r="Q588">
        <x:f ca="1">IF(ISERROR(IF(SUM($Q$589,$Q$614,$Q$641,$Q$665,$Q$701,$Q$711,$Q$727,$Q$744,$Q$766,$Q$777,$Q$791,$Q$799,$Q$815,$Q$827,$Q$849,$Q$867,$Q$918,$Q$930,$Q$954,$Q$958,$Q$962,$Q$974,$Q$982) = 0, "", SUM($Q$589,$Q$614,$Q$641,$Q$665,$Q$701,$Q$711,$Q$727,$Q$744,$Q$766,$Q$777,$Q$791,$Q$799,$Q$815,$Q$827,$Q$849,$Q$867,$Q$918,$Q$930,$Q$954,$Q$958,$Q$962,$Q$974,$Q$982))), "", (IF(SUM($Q$589,$Q$614,$Q$641,$Q$665,$Q$701,$Q$711,$Q$727,$Q$744,$Q$766,$Q$777,$Q$791,$Q$799,$Q$815,$Q$827,$Q$849,$Q$867,$Q$918,$Q$930,$Q$954,$Q$958,$Q$962,$Q$974,$Q$982) = 0, "", SUM($Q$589,$Q$614,$Q$641,$Q$665,$Q$701,$Q$711,$Q$727,$Q$744,$Q$766,$Q$777,$Q$791,$Q$799,$Q$815,$Q$827,$Q$849,$Q$867,$Q$918,$Q$930,$Q$954,$Q$958,$Q$962,$Q$974,$Q$982))))</x:f>
        <x:v>-1645.8153239999997</x:v>
      </x:c>
      <x:c r="R588">
        <x:f ca="1">IF(ISERROR(IF(SUM($R$589,$R$614,$R$641,$R$665,$R$701,$R$711,$R$727,$R$744,$R$766,$R$777,$R$791,$R$799,$R$815,$R$827,$R$849,$R$867,$R$918,$R$930,$R$954,$R$958,$R$962,$R$974,$R$982) = 0, "", SUM($R$589,$R$614,$R$641,$R$665,$R$701,$R$711,$R$727,$R$744,$R$766,$R$777,$R$791,$R$799,$R$815,$R$827,$R$849,$R$867,$R$918,$R$930,$R$954,$R$958,$R$962,$R$974,$R$982))), "", (IF(SUM($R$589,$R$614,$R$641,$R$665,$R$701,$R$711,$R$727,$R$744,$R$766,$R$777,$R$791,$R$799,$R$815,$R$827,$R$849,$R$867,$R$918,$R$930,$R$954,$R$958,$R$962,$R$974,$R$982) = 0, "", SUM($R$589,$R$614,$R$641,$R$665,$R$701,$R$711,$R$727,$R$744,$R$766,$R$777,$R$791,$R$799,$R$815,$R$827,$R$849,$R$867,$R$918,$R$930,$R$954,$R$958,$R$962,$R$974,$R$982))))</x:f>
        <x:v>-25.073780999999983</x:v>
      </x:c>
      <x:c r="S588">
        <x:f ca="1">IF(ISERROR(IF(SUM($S$589,$S$614,$S$641,$S$665,$S$701,$S$711,$S$727,$S$744,$S$766,$S$777,$S$791,$S$799,$S$815,$S$827,$S$849,$S$867,$S$918,$S$930,$S$954,$S$958,$S$962,$S$974,$S$982) = 0, "", SUM($S$589,$S$614,$S$641,$S$665,$S$701,$S$711,$S$727,$S$744,$S$766,$S$777,$S$791,$S$799,$S$815,$S$827,$S$849,$S$867,$S$918,$S$930,$S$954,$S$958,$S$962,$S$974,$S$982))), "", (IF(SUM($S$589,$S$614,$S$641,$S$665,$S$701,$S$711,$S$727,$S$744,$S$766,$S$777,$S$791,$S$799,$S$815,$S$827,$S$849,$S$867,$S$918,$S$930,$S$954,$S$958,$S$962,$S$974,$S$982) = 0, "", SUM($S$589,$S$614,$S$641,$S$665,$S$701,$S$711,$S$727,$S$744,$S$766,$S$777,$S$791,$S$799,$S$815,$S$827,$S$849,$S$867,$S$918,$S$930,$S$954,$S$958,$S$962,$S$974,$S$982))))</x:f>
        <x:v>-674.47669199999984</x:v>
      </x:c>
      <x:c r="T588">
        <x:f>-173.619636</x:f>
        <x:v>-173.61963600000001</x:v>
      </x:c>
      <x:c r="U588">
        <x:f>-1207.638701</x:f>
        <x:v>-1207.6387010000001</x:v>
      </x:c>
      <x:c r="V588">
        <x:f>-679.846206</x:f>
        <x:v>-679.84620600000005</x:v>
      </x:c>
      <x:c r="W588">
        <x:f>-625.612637</x:f>
        <x:v>-625.61263699999995</x:v>
      </x:c>
      <x:c r="X588">
        <x:f>1477.49068</x:f>
        <x:v>1477.4906800000001</x:v>
      </x:c>
      <x:c r="Y588">
        <x:f>806.262467</x:f>
        <x:v>806.26246700000002</x:v>
      </x:c>
      <x:c r="Z588">
        <x:f>-820.259841</x:f>
        <x:v>-820.25984100000005</x:v>
      </x:c>
      <x:c r="AA588">
        <x:f>-823.526892</x:f>
        <x:v>-823.52689199999998</x:v>
      </x:c>
      <x:c r="AB588">
        <x:f>-629.894053</x:f>
        <x:v>-629.89405299999999</x:v>
      </x:c>
      <x:c r="AC588">
        <x:f>-1262.567138</x:f>
        <x:v>-1262.5671380000001</x:v>
      </x:c>
      <x:c r="AD588">
        <x:f>-753.139377</x:f>
        <x:v>-753.13937699999997</x:v>
      </x:c>
      <x:c r="AE588">
        <x:f>-1645.815324</x:f>
        <x:v>-1645.8153239999999</x:v>
      </x:c>
      <x:c r="AF588">
        <x:f>-25.073781</x:f>
        <x:v>-25.073781</x:v>
      </x:c>
      <x:c r="AG588">
        <x:f>-674.476692</x:f>
        <x:v>-674.47669199999996</x:v>
      </x:c>
    </x:row>
    <x:row r="589" spans="1:33" x14ac:dyDescent="0.25">
      <x:c r="A589" t="str">
        <x:f>"        Innovation"</x:f>
        <x:v xml:space="preserve">        Innovation</x:v>
      </x:c>
      <x:c r="B589" t="str">
        <x:f>""</x:f>
        <x:v/>
      </x:c>
      <x:c r="E589" t="str">
        <x:f>"Sum"</x:f>
        <x:v>Sum</x:v>
      </x:c>
      <x:c r="F589">
        <x:f ca="1">IF(ISERROR(IF(SUM($F$590:$F$613) = 0, "", SUM($F$590:$F$613))), "", (IF(SUM($F$590:$F$613) = 0, "", SUM($F$590:$F$613))))</x:f>
        <x:v>-119.494247</x:v>
      </x:c>
      <x:c r="G589">
        <x:f ca="1">IF(ISERROR(IF(SUM($G$590:$G$613) = 0, "", SUM($G$590:$G$613))), "", (IF(SUM($G$590:$G$613) = 0, "", SUM($G$590:$G$613))))</x:f>
        <x:v>4.3874300000000002</x:v>
      </x:c>
      <x:c r="H589">
        <x:f ca="1">IF(ISERROR(IF(SUM($H$590:$H$613) = 0, "", SUM($H$590:$H$613))), "", (IF(SUM($H$590:$H$613) = 0, "", SUM($H$590:$H$613))))</x:f>
        <x:v>-344.65380199999993</x:v>
      </x:c>
      <x:c r="I589">
        <x:f ca="1">IF(ISERROR(IF(SUM($I$590:$I$613) = 0, "", SUM($I$590:$I$613))), "", (IF(SUM($I$590:$I$613) = 0, "", SUM($I$590:$I$613))))</x:f>
        <x:v>-114.808502</x:v>
      </x:c>
      <x:c r="J589">
        <x:f ca="1">IF(ISERROR(IF(SUM($J$590:$J$613) = 0, "", SUM($J$590:$J$613))), "", (IF(SUM($J$590:$J$613) = 0, "", SUM($J$590:$J$613))))</x:f>
        <x:v>107.69222499999999</x:v>
      </x:c>
      <x:c r="K589">
        <x:f ca="1">IF(ISERROR(IF(SUM($K$590:$K$613) = 0, "", SUM($K$590:$K$613))), "", (IF(SUM($K$590:$K$613) = 0, "", SUM($K$590:$K$613))))</x:f>
        <x:v>-466.19692200000003</x:v>
      </x:c>
      <x:c r="L589">
        <x:f ca="1">IF(ISERROR(IF(SUM($L$590:$L$613) = 0, "", SUM($L$590:$L$613))), "", (IF(SUM($L$590:$L$613) = 0, "", SUM($L$590:$L$613))))</x:f>
        <x:v>128.76693100000006</x:v>
      </x:c>
      <x:c r="M589">
        <x:f ca="1">IF(ISERROR(IF(SUM($M$590:$M$613) = 0, "", SUM($M$590:$M$613))), "", (IF(SUM($M$590:$M$613) = 0, "", SUM($M$590:$M$613))))</x:f>
        <x:v>-392.43741499999999</x:v>
      </x:c>
      <x:c r="N589">
        <x:f ca="1">IF(ISERROR(IF(SUM($N$590:$N$613) = 0, "", SUM($N$590:$N$613))), "", (IF(SUM($N$590:$N$613) = 0, "", SUM($N$590:$N$613))))</x:f>
        <x:v>192.71395000000001</x:v>
      </x:c>
      <x:c r="O589">
        <x:f ca="1">IF(ISERROR(IF(SUM($O$590:$O$613) = 0, "", SUM($O$590:$O$613))), "", (IF(SUM($O$590:$O$613) = 0, "", SUM($O$590:$O$613))))</x:f>
        <x:v>-4.8045120000000026</x:v>
      </x:c>
      <x:c r="P589">
        <x:f ca="1">IF(ISERROR(IF(SUM($P$590:$P$613) = 0, "", SUM($P$590:$P$613))), "", (IF(SUM($P$590:$P$613) = 0, "", SUM($P$590:$P$613))))</x:f>
        <x:v>47.891721000000004</x:v>
      </x:c>
      <x:c r="Q589">
        <x:f ca="1">IF(ISERROR(IF(SUM($Q$590:$Q$613) = 0, "", SUM($Q$590:$Q$613))), "", (IF(SUM($Q$590:$Q$613) = 0, "", SUM($Q$590:$Q$613))))</x:f>
        <x:v>-304.24829800000003</x:v>
      </x:c>
      <x:c r="R589">
        <x:f ca="1">IF(ISERROR(IF(SUM($R$590:$R$613) = 0, "", SUM($R$590:$R$613))), "", (IF(SUM($R$590:$R$613) = 0, "", SUM($R$590:$R$613))))</x:f>
        <x:v>118.46945799999999</x:v>
      </x:c>
      <x:c r="S589">
        <x:f ca="1">IF(ISERROR(IF(SUM($S$590:$S$613) = 0, "", SUM($S$590:$S$613))), "", (IF(SUM($S$590:$S$613) = 0, "", SUM($S$590:$S$613))))</x:f>
        <x:v>-46.249356000000006</x:v>
      </x:c>
      <x:c r="T589">
        <x:f>-119.494247</x:f>
        <x:v>-119.494247</x:v>
      </x:c>
      <x:c r="U589">
        <x:f>4.38743</x:f>
        <x:v>4.3874300000000002</x:v>
      </x:c>
      <x:c r="V589">
        <x:f>-344.653802</x:f>
        <x:v>-344.65380199999998</x:v>
      </x:c>
      <x:c r="W589">
        <x:f>-114.808502</x:f>
        <x:v>-114.808502</x:v>
      </x:c>
      <x:c r="X589">
        <x:f>107.692225</x:f>
        <x:v>107.69222499999999</x:v>
      </x:c>
      <x:c r="Y589">
        <x:f>-466.196922</x:f>
        <x:v>-466.19692199999997</x:v>
      </x:c>
      <x:c r="Z589">
        <x:f>128.766931</x:f>
        <x:v>128.766931</x:v>
      </x:c>
      <x:c r="AA589">
        <x:f>-392.437415</x:f>
        <x:v>-392.43741499999999</x:v>
      </x:c>
      <x:c r="AB589">
        <x:f>192.71395</x:f>
        <x:v>192.71395000000001</x:v>
      </x:c>
      <x:c r="AC589">
        <x:f>-4.804512</x:f>
        <x:v>-4.8045119999999999</x:v>
      </x:c>
      <x:c r="AD589">
        <x:f>47.891721</x:f>
        <x:v>47.891720999999997</x:v>
      </x:c>
      <x:c r="AE589">
        <x:f>-304.248298</x:f>
        <x:v>-304.24829799999998</x:v>
      </x:c>
      <x:c r="AF589">
        <x:f>118.469458</x:f>
        <x:v>118.469458</x:v>
      </x:c>
      <x:c r="AG589">
        <x:f>-46.249356</x:f>
        <x:v>-46.249355999999999</x:v>
      </x:c>
    </x:row>
    <x:row r="590" spans="1:33" x14ac:dyDescent="0.25">
      <x:c r="A590" t="str">
        <x:f>"            ARK Innovation ETF"</x:f>
        <x:v xml:space="preserve">            ARK Innovation ETF</x:v>
      </x:c>
      <x:c r="B590" t="str">
        <x:f>"ARKK US Equity"</x:f>
        <x:v>ARKK US Equity</x:v>
      </x:c>
      <x:c r="E590" t="str">
        <x:f t="shared" ref="E590:E613" si="21">"Expression"</x:f>
        <x:v>Expression</x:v>
      </x:c>
      <x:c r="F590">
        <x:f ca="1">IF(AND($B$1012=1,LEN($F$1584)&gt;0),$F$1584,HLOOKUP(INDIRECT(ADDRESS(2,COLUMN())),OFFSET($T$2,0,0,ROW()-1,14),ROW()-1,FALSE))</x:f>
        <x:v>0.50616899999999998</x:v>
      </x:c>
      <x:c r="G590">
        <x:f ca="1">IF(AND($B$1012=1,LEN($G$1584)&gt;0),$G$1584,HLOOKUP(INDIRECT(ADDRESS(2,COLUMN())),OFFSET($T$2,0,0,ROW()-1,14),ROW()-1,FALSE))</x:f>
        <x:v>13.672124</x:v>
      </x:c>
      <x:c r="H590">
        <x:f ca="1">IF(AND($B$1012=1,LEN($H$1584)&gt;0),$H$1584,HLOOKUP(INDIRECT(ADDRESS(2,COLUMN())),OFFSET($T$2,0,0,ROW()-1,14),ROW()-1,FALSE))</x:f>
        <x:v>-388.89700399999998</x:v>
      </x:c>
      <x:c r="I590">
        <x:f ca="1">IF(AND($B$1012=1,LEN($I$1584)&gt;0),$I$1584,HLOOKUP(INDIRECT(ADDRESS(2,COLUMN())),OFFSET($T$2,0,0,ROW()-1,14),ROW()-1,FALSE))</x:f>
        <x:v>-162.055589</x:v>
      </x:c>
      <x:c r="J590">
        <x:f ca="1">IF(AND($B$1012=1,LEN($J$1584)&gt;0),$J$1584,HLOOKUP(INDIRECT(ADDRESS(2,COLUMN())),OFFSET($T$2,0,0,ROW()-1,14),ROW()-1,FALSE))</x:f>
        <x:v>223.801975</x:v>
      </x:c>
      <x:c r="K590">
        <x:f ca="1">IF(AND($B$1012=1,LEN($K$1584)&gt;0),$K$1584,HLOOKUP(INDIRECT(ADDRESS(2,COLUMN())),OFFSET($T$2,0,0,ROW()-1,14),ROW()-1,FALSE))</x:f>
        <x:v>-455.01640700000002</x:v>
      </x:c>
      <x:c r="L590">
        <x:f ca="1">IF(AND($B$1012=1,LEN($L$1584)&gt;0),$L$1584,HLOOKUP(INDIRECT(ADDRESS(2,COLUMN())),OFFSET($T$2,0,0,ROW()-1,14),ROW()-1,FALSE))</x:f>
        <x:v>133.68004400000001</x:v>
      </x:c>
      <x:c r="M590">
        <x:f ca="1">IF(AND($B$1012=1,LEN($M$1584)&gt;0),$M$1584,HLOOKUP(INDIRECT(ADDRESS(2,COLUMN())),OFFSET($T$2,0,0,ROW()-1,14),ROW()-1,FALSE))</x:f>
        <x:v>-399.35855500000002</x:v>
      </x:c>
      <x:c r="N590">
        <x:f ca="1">IF(AND($B$1012=1,LEN($N$1584)&gt;0),$N$1584,HLOOKUP(INDIRECT(ADDRESS(2,COLUMN())),OFFSET($T$2,0,0,ROW()-1,14),ROW()-1,FALSE))</x:f>
        <x:v>182.74765199999999</x:v>
      </x:c>
      <x:c r="O590">
        <x:f ca="1">IF(AND($B$1012=1,LEN($O$1584)&gt;0),$O$1584,HLOOKUP(INDIRECT(ADDRESS(2,COLUMN())),OFFSET($T$2,0,0,ROW()-1,14),ROW()-1,FALSE))</x:f>
        <x:v>17.214905999999999</x:v>
      </x:c>
      <x:c r="P590">
        <x:f ca="1">IF(AND($B$1012=1,LEN($P$1584)&gt;0),$P$1584,HLOOKUP(INDIRECT(ADDRESS(2,COLUMN())),OFFSET($T$2,0,0,ROW()-1,14),ROW()-1,FALSE))</x:f>
        <x:v>-0.80704100000000001</x:v>
      </x:c>
      <x:c r="Q590">
        <x:f ca="1">IF(AND($B$1012=1,LEN($Q$1584)&gt;0),$Q$1584,HLOOKUP(INDIRECT(ADDRESS(2,COLUMN())),OFFSET($T$2,0,0,ROW()-1,14),ROW()-1,FALSE))</x:f>
        <x:v>-292.99554999999998</x:v>
      </x:c>
      <x:c r="R590">
        <x:f ca="1">IF(AND($B$1012=1,LEN($R$1584)&gt;0),$R$1584,HLOOKUP(INDIRECT(ADDRESS(2,COLUMN())),OFFSET($T$2,0,0,ROW()-1,14),ROW()-1,FALSE))</x:f>
        <x:v>69.312742</x:v>
      </x:c>
      <x:c r="S590">
        <x:f ca="1">IF(AND($B$1012=1,LEN($S$1584)&gt;0),$S$1584,HLOOKUP(INDIRECT(ADDRESS(2,COLUMN())),OFFSET($T$2,0,0,ROW()-1,14),ROW()-1,FALSE))</x:f>
        <x:v>-57.107751</x:v>
      </x:c>
      <x:c r="T590">
        <x:f>0.506169</x:f>
        <x:v>0.50616899999999998</x:v>
      </x:c>
      <x:c r="U590">
        <x:f>13.672124</x:f>
        <x:v>13.672124</x:v>
      </x:c>
      <x:c r="V590">
        <x:f>-388.897004</x:f>
        <x:v>-388.89700399999998</x:v>
      </x:c>
      <x:c r="W590">
        <x:f>-162.055589</x:f>
        <x:v>-162.055589</x:v>
      </x:c>
      <x:c r="X590">
        <x:f>223.801975</x:f>
        <x:v>223.801975</x:v>
      </x:c>
      <x:c r="Y590">
        <x:f>-455.016407</x:f>
        <x:v>-455.01640700000002</x:v>
      </x:c>
      <x:c r="Z590">
        <x:f>133.680044</x:f>
        <x:v>133.68004400000001</x:v>
      </x:c>
      <x:c r="AA590">
        <x:f>-399.358555</x:f>
        <x:v>-399.35855500000002</x:v>
      </x:c>
      <x:c r="AB590">
        <x:f>182.747652</x:f>
        <x:v>182.74765199999999</x:v>
      </x:c>
      <x:c r="AC590">
        <x:f>17.214906</x:f>
        <x:v>17.214905999999999</x:v>
      </x:c>
      <x:c r="AD590">
        <x:f>-0.807041</x:f>
        <x:v>-0.80704100000000001</x:v>
      </x:c>
      <x:c r="AE590">
        <x:f>-292.99555</x:f>
        <x:v>-292.99554999999998</x:v>
      </x:c>
      <x:c r="AF590">
        <x:f>69.312742</x:f>
        <x:v>69.312742</x:v>
      </x:c>
      <x:c r="AG590">
        <x:f>-57.107751</x:f>
        <x:v>-57.107751</x:v>
      </x:c>
    </x:row>
    <x:row r="591" spans="1:33" x14ac:dyDescent="0.25">
      <x:c r="A591" t="str">
        <x:f>"            iShares Exponential Technologi"</x:f>
        <x:v xml:space="preserve">            iShares Exponential Technologi</x:v>
      </x:c>
      <x:c r="B591" t="str">
        <x:f>"XT US Equity"</x:f>
        <x:v>XT US Equity</x:v>
      </x:c>
      <x:c r="E591" t="str">
        <x:f t="shared" si="21"/>
        <x:v>Expression</x:v>
      </x:c>
      <x:c r="F591">
        <x:f ca="1">IF(AND($B$1012=1,LEN($F$1585)&gt;0),$F$1585,HLOOKUP(INDIRECT(ADDRESS(2,COLUMN())),OFFSET($T$2,0,0,ROW()-1,14),ROW()-1,FALSE))</x:f>
        <x:v>0</x:v>
      </x:c>
      <x:c r="G591">
        <x:f ca="1">IF(AND($B$1012=1,LEN($G$1585)&gt;0),$G$1585,HLOOKUP(INDIRECT(ADDRESS(2,COLUMN())),OFFSET($T$2,0,0,ROW()-1,14),ROW()-1,FALSE))</x:f>
        <x:v>-30.837333999999998</x:v>
      </x:c>
      <x:c r="H591">
        <x:f ca="1">IF(AND($B$1012=1,LEN($H$1585)&gt;0),$H$1585,HLOOKUP(INDIRECT(ADDRESS(2,COLUMN())),OFFSET($T$2,0,0,ROW()-1,14),ROW()-1,FALSE))</x:f>
        <x:v>16.141563000000001</x:v>
      </x:c>
      <x:c r="I591">
        <x:f ca="1">IF(AND($B$1012=1,LEN($I$1585)&gt;0),$I$1585,HLOOKUP(INDIRECT(ADDRESS(2,COLUMN())),OFFSET($T$2,0,0,ROW()-1,14),ROW()-1,FALSE))</x:f>
        <x:v>0</x:v>
      </x:c>
      <x:c r="J591">
        <x:f ca="1">IF(AND($B$1012=1,LEN($J$1585)&gt;0),$J$1585,HLOOKUP(INDIRECT(ADDRESS(2,COLUMN())),OFFSET($T$2,0,0,ROW()-1,14),ROW()-1,FALSE))</x:f>
        <x:v>-31.227135000000001</x:v>
      </x:c>
      <x:c r="K591">
        <x:f ca="1">IF(AND($B$1012=1,LEN($K$1585)&gt;0),$K$1585,HLOOKUP(INDIRECT(ADDRESS(2,COLUMN())),OFFSET($T$2,0,0,ROW()-1,14),ROW()-1,FALSE))</x:f>
        <x:v>-35.247515</x:v>
      </x:c>
      <x:c r="L591">
        <x:f ca="1">IF(AND($B$1012=1,LEN($L$1585)&gt;0),$L$1585,HLOOKUP(INDIRECT(ADDRESS(2,COLUMN())),OFFSET($T$2,0,0,ROW()-1,14),ROW()-1,FALSE))</x:f>
        <x:v>0</x:v>
      </x:c>
      <x:c r="M591">
        <x:f ca="1">IF(AND($B$1012=1,LEN($M$1585)&gt;0),$M$1585,HLOOKUP(INDIRECT(ADDRESS(2,COLUMN())),OFFSET($T$2,0,0,ROW()-1,14),ROW()-1,FALSE))</x:f>
        <x:v>0</x:v>
      </x:c>
      <x:c r="N591">
        <x:f ca="1">IF(AND($B$1012=1,LEN($N$1585)&gt;0),$N$1585,HLOOKUP(INDIRECT(ADDRESS(2,COLUMN())),OFFSET($T$2,0,0,ROW()-1,14),ROW()-1,FALSE))</x:f>
        <x:v>-22.802849999999999</x:v>
      </x:c>
      <x:c r="O591">
        <x:f ca="1">IF(AND($B$1012=1,LEN($O$1585)&gt;0),$O$1585,HLOOKUP(INDIRECT(ADDRESS(2,COLUMN())),OFFSET($T$2,0,0,ROW()-1,14),ROW()-1,FALSE))</x:f>
        <x:v>-5.1255699999999997</x:v>
      </x:c>
      <x:c r="P591">
        <x:f ca="1">IF(AND($B$1012=1,LEN($P$1585)&gt;0),$P$1585,HLOOKUP(INDIRECT(ADDRESS(2,COLUMN())),OFFSET($T$2,0,0,ROW()-1,14),ROW()-1,FALSE))</x:f>
        <x:v>25.950489999999999</x:v>
      </x:c>
      <x:c r="Q591">
        <x:f ca="1">IF(AND($B$1012=1,LEN($Q$1585)&gt;0),$Q$1585,HLOOKUP(INDIRECT(ADDRESS(2,COLUMN())),OFFSET($T$2,0,0,ROW()-1,14),ROW()-1,FALSE))</x:f>
        <x:v>7.6218750000000002</x:v>
      </x:c>
      <x:c r="R591">
        <x:f ca="1">IF(AND($B$1012=1,LEN($R$1585)&gt;0),$R$1585,HLOOKUP(INDIRECT(ADDRESS(2,COLUMN())),OFFSET($T$2,0,0,ROW()-1,14),ROW()-1,FALSE))</x:f>
        <x:v>39.690795000000001</x:v>
      </x:c>
      <x:c r="S591">
        <x:f ca="1">IF(AND($B$1012=1,LEN($S$1585)&gt;0),$S$1585,HLOOKUP(INDIRECT(ADDRESS(2,COLUMN())),OFFSET($T$2,0,0,ROW()-1,14),ROW()-1,FALSE))</x:f>
        <x:v>-4.8761200000000002</x:v>
      </x:c>
      <x:c r="T591">
        <x:f>0</x:f>
        <x:v>0</x:v>
      </x:c>
      <x:c r="U591">
        <x:f>-30.837334</x:f>
        <x:v>-30.837333999999998</x:v>
      </x:c>
      <x:c r="V591">
        <x:f>16.141563</x:f>
        <x:v>16.141563000000001</x:v>
      </x:c>
      <x:c r="W591">
        <x:f>0</x:f>
        <x:v>0</x:v>
      </x:c>
      <x:c r="X591">
        <x:f>-31.227135</x:f>
        <x:v>-31.227135000000001</x:v>
      </x:c>
      <x:c r="Y591">
        <x:f>-35.247515</x:f>
        <x:v>-35.247515</x:v>
      </x:c>
      <x:c r="Z591">
        <x:f>0</x:f>
        <x:v>0</x:v>
      </x:c>
      <x:c r="AA591">
        <x:f>0</x:f>
        <x:v>0</x:v>
      </x:c>
      <x:c r="AB591">
        <x:f>-22.80285</x:f>
        <x:v>-22.802849999999999</x:v>
      </x:c>
      <x:c r="AC591">
        <x:f>-5.12557</x:f>
        <x:v>-5.1255699999999997</x:v>
      </x:c>
      <x:c r="AD591">
        <x:f>25.95049</x:f>
        <x:v>25.950489999999999</x:v>
      </x:c>
      <x:c r="AE591">
        <x:f>7.621875</x:f>
        <x:v>7.6218750000000002</x:v>
      </x:c>
      <x:c r="AF591">
        <x:f>39.690795</x:f>
        <x:v>39.690795000000001</x:v>
      </x:c>
      <x:c r="AG591">
        <x:f>-4.87612</x:f>
        <x:v>-4.8761200000000002</x:v>
      </x:c>
    </x:row>
    <x:row r="592" spans="1:33" x14ac:dyDescent="0.25">
      <x:c r="A592" t="str">
        <x:f>"            SPDR S&amp;P Kensho New Economies"</x:f>
        <x:v xml:space="preserve">            SPDR S&amp;P Kensho New Economies</x:v>
      </x:c>
      <x:c r="B592" t="str">
        <x:f>"KOMP US Equity"</x:f>
        <x:v>KOMP US Equity</x:v>
      </x:c>
      <x:c r="E592" t="str">
        <x:f t="shared" si="21"/>
        <x:v>Expression</x:v>
      </x:c>
      <x:c r="F592">
        <x:f ca="1">IF(AND($B$1012=1,LEN($F$1586)&gt;0),$F$1586,HLOOKUP(INDIRECT(ADDRESS(2,COLUMN())),OFFSET($T$2,0,0,ROW()-1,14),ROW()-1,FALSE))</x:f>
        <x:v>-4.3970560000000001</x:v>
      </x:c>
      <x:c r="G592">
        <x:f ca="1">IF(AND($B$1012=1,LEN($G$1586)&gt;0),$G$1586,HLOOKUP(INDIRECT(ADDRESS(2,COLUMN())),OFFSET($T$2,0,0,ROW()-1,14),ROW()-1,FALSE))</x:f>
        <x:v>2.293631</x:v>
      </x:c>
      <x:c r="H592">
        <x:f ca="1">IF(AND($B$1012=1,LEN($H$1586)&gt;0),$H$1586,HLOOKUP(INDIRECT(ADDRESS(2,COLUMN())),OFFSET($T$2,0,0,ROW()-1,14),ROW()-1,FALSE))</x:f>
        <x:v>17.883178000000001</x:v>
      </x:c>
      <x:c r="I592">
        <x:f ca="1">IF(AND($B$1012=1,LEN($I$1586)&gt;0),$I$1586,HLOOKUP(INDIRECT(ADDRESS(2,COLUMN())),OFFSET($T$2,0,0,ROW()-1,14),ROW()-1,FALSE))</x:f>
        <x:v>5.8703890000000003</x:v>
      </x:c>
      <x:c r="J592">
        <x:f ca="1">IF(AND($B$1012=1,LEN($J$1586)&gt;0),$J$1586,HLOOKUP(INDIRECT(ADDRESS(2,COLUMN())),OFFSET($T$2,0,0,ROW()-1,14),ROW()-1,FALSE))</x:f>
        <x:v>-2.7715109999999998</x:v>
      </x:c>
      <x:c r="K592">
        <x:f ca="1">IF(AND($B$1012=1,LEN($K$1586)&gt;0),$K$1586,HLOOKUP(INDIRECT(ADDRESS(2,COLUMN())),OFFSET($T$2,0,0,ROW()-1,14),ROW()-1,FALSE))</x:f>
        <x:v>12.215216</x:v>
      </x:c>
      <x:c r="L592">
        <x:f ca="1">IF(AND($B$1012=1,LEN($L$1586)&gt;0),$L$1586,HLOOKUP(INDIRECT(ADDRESS(2,COLUMN())),OFFSET($T$2,0,0,ROW()-1,14),ROW()-1,FALSE))</x:f>
        <x:v>19.134311</x:v>
      </x:c>
      <x:c r="M592">
        <x:f ca="1">IF(AND($B$1012=1,LEN($M$1586)&gt;0),$M$1586,HLOOKUP(INDIRECT(ADDRESS(2,COLUMN())),OFFSET($T$2,0,0,ROW()-1,14),ROW()-1,FALSE))</x:f>
        <x:v>5.8301100000000003</x:v>
      </x:c>
      <x:c r="N592">
        <x:f ca="1">IF(AND($B$1012=1,LEN($N$1586)&gt;0),$N$1586,HLOOKUP(INDIRECT(ADDRESS(2,COLUMN())),OFFSET($T$2,0,0,ROW()-1,14),ROW()-1,FALSE))</x:f>
        <x:v>7.9877789999999997</x:v>
      </x:c>
      <x:c r="O592">
        <x:f ca="1">IF(AND($B$1012=1,LEN($O$1586)&gt;0),$O$1586,HLOOKUP(INDIRECT(ADDRESS(2,COLUMN())),OFFSET($T$2,0,0,ROW()-1,14),ROW()-1,FALSE))</x:f>
        <x:v>5.544842</x:v>
      </x:c>
      <x:c r="P592">
        <x:f ca="1">IF(AND($B$1012=1,LEN($P$1586)&gt;0),$P$1586,HLOOKUP(INDIRECT(ADDRESS(2,COLUMN())),OFFSET($T$2,0,0,ROW()-1,14),ROW()-1,FALSE))</x:f>
        <x:v>25.486613999999999</x:v>
      </x:c>
      <x:c r="Q592">
        <x:f ca="1">IF(AND($B$1012=1,LEN($Q$1586)&gt;0),$Q$1586,HLOOKUP(INDIRECT(ADDRESS(2,COLUMN())),OFFSET($T$2,0,0,ROW()-1,14),ROW()-1,FALSE))</x:f>
        <x:v>-36.916474000000001</x:v>
      </x:c>
      <x:c r="R592">
        <x:f ca="1">IF(AND($B$1012=1,LEN($R$1586)&gt;0),$R$1586,HLOOKUP(INDIRECT(ADDRESS(2,COLUMN())),OFFSET($T$2,0,0,ROW()-1,14),ROW()-1,FALSE))</x:f>
        <x:v>3.4776060000000002</x:v>
      </x:c>
      <x:c r="S592">
        <x:f ca="1">IF(AND($B$1012=1,LEN($S$1586)&gt;0),$S$1586,HLOOKUP(INDIRECT(ADDRESS(2,COLUMN())),OFFSET($T$2,0,0,ROW()-1,14),ROW()-1,FALSE))</x:f>
        <x:v>18.007932</x:v>
      </x:c>
      <x:c r="T592">
        <x:f>-4.397056</x:f>
        <x:v>-4.3970560000000001</x:v>
      </x:c>
      <x:c r="U592">
        <x:f>2.293631</x:f>
        <x:v>2.293631</x:v>
      </x:c>
      <x:c r="V592">
        <x:f>17.883178</x:f>
        <x:v>17.883178000000001</x:v>
      </x:c>
      <x:c r="W592">
        <x:f>5.870389</x:f>
        <x:v>5.8703890000000003</x:v>
      </x:c>
      <x:c r="X592">
        <x:f>-2.771511</x:f>
        <x:v>-2.7715109999999998</x:v>
      </x:c>
      <x:c r="Y592">
        <x:f>12.215216</x:f>
        <x:v>12.215216</x:v>
      </x:c>
      <x:c r="Z592">
        <x:f>19.134311</x:f>
        <x:v>19.134311</x:v>
      </x:c>
      <x:c r="AA592">
        <x:f>5.83011</x:f>
        <x:v>5.8301100000000003</x:v>
      </x:c>
      <x:c r="AB592">
        <x:f>7.987779</x:f>
        <x:v>7.9877789999999997</x:v>
      </x:c>
      <x:c r="AC592">
        <x:f>5.544842</x:f>
        <x:v>5.544842</x:v>
      </x:c>
      <x:c r="AD592">
        <x:f>25.486614</x:f>
        <x:v>25.486613999999999</x:v>
      </x:c>
      <x:c r="AE592">
        <x:f>-36.916474</x:f>
        <x:v>-36.916474000000001</x:v>
      </x:c>
      <x:c r="AF592">
        <x:f>3.477606</x:f>
        <x:v>3.4776060000000002</x:v>
      </x:c>
      <x:c r="AG592">
        <x:f>18.007932</x:f>
        <x:v>18.007932</x:v>
      </x:c>
    </x:row>
    <x:row r="593" spans="1:33" x14ac:dyDescent="0.25">
      <x:c r="A593" t="str">
        <x:f>"            Global X Thematic Growth ETF"</x:f>
        <x:v xml:space="preserve">            Global X Thematic Growth ETF</x:v>
      </x:c>
      <x:c r="B593" t="str">
        <x:f>"GXTG US Equity"</x:f>
        <x:v>GXTG US Equity</x:v>
      </x:c>
      <x:c r="E593" t="str">
        <x:f t="shared" si="21"/>
        <x:v>Expression</x:v>
      </x:c>
      <x:c r="F593">
        <x:f ca="1">IF(AND($B$1012=1,LEN($F$1587)&gt;0),$F$1587,HLOOKUP(INDIRECT(ADDRESS(2,COLUMN())),OFFSET($T$2,0,0,ROW()-1,14),ROW()-1,FALSE))</x:f>
        <x:v>0</x:v>
      </x:c>
      <x:c r="G593">
        <x:f ca="1">IF(AND($B$1012=1,LEN($G$1587)&gt;0),$G$1587,HLOOKUP(INDIRECT(ADDRESS(2,COLUMN())),OFFSET($T$2,0,0,ROW()-1,14),ROW()-1,FALSE))</x:f>
        <x:v>1.1445000000000001</x:v>
      </x:c>
      <x:c r="H593">
        <x:f ca="1">IF(AND($B$1012=1,LEN($H$1587)&gt;0),$H$1587,HLOOKUP(INDIRECT(ADDRESS(2,COLUMN())),OFFSET($T$2,0,0,ROW()-1,14),ROW()-1,FALSE))</x:f>
        <x:v>-0.23430000000000001</x:v>
      </x:c>
      <x:c r="I593">
        <x:f ca="1">IF(AND($B$1012=1,LEN($I$1587)&gt;0),$I$1587,HLOOKUP(INDIRECT(ADDRESS(2,COLUMN())),OFFSET($T$2,0,0,ROW()-1,14),ROW()-1,FALSE))</x:f>
        <x:v>0.49340000000000001</x:v>
      </x:c>
      <x:c r="J593">
        <x:f ca="1">IF(AND($B$1012=1,LEN($J$1587)&gt;0),$J$1587,HLOOKUP(INDIRECT(ADDRESS(2,COLUMN())),OFFSET($T$2,0,0,ROW()-1,14),ROW()-1,FALSE))</x:f>
        <x:v>-2.5823999999999998</x:v>
      </x:c>
      <x:c r="K593">
        <x:f ca="1">IF(AND($B$1012=1,LEN($K$1587)&gt;0),$K$1587,HLOOKUP(INDIRECT(ADDRESS(2,COLUMN())),OFFSET($T$2,0,0,ROW()-1,14),ROW()-1,FALSE))</x:f>
        <x:v>-2.5590000000000002</x:v>
      </x:c>
      <x:c r="L593">
        <x:f ca="1">IF(AND($B$1012=1,LEN($L$1587)&gt;0),$L$1587,HLOOKUP(INDIRECT(ADDRESS(2,COLUMN())),OFFSET($T$2,0,0,ROW()-1,14),ROW()-1,FALSE))</x:f>
        <x:v>-1.4936</x:v>
      </x:c>
      <x:c r="M593">
        <x:f ca="1">IF(AND($B$1012=1,LEN($M$1587)&gt;0),$M$1587,HLOOKUP(INDIRECT(ADDRESS(2,COLUMN())),OFFSET($T$2,0,0,ROW()-1,14),ROW()-1,FALSE))</x:f>
        <x:v>0</x:v>
      </x:c>
      <x:c r="N593">
        <x:f ca="1">IF(AND($B$1012=1,LEN($N$1587)&gt;0),$N$1587,HLOOKUP(INDIRECT(ADDRESS(2,COLUMN())),OFFSET($T$2,0,0,ROW()-1,14),ROW()-1,FALSE))</x:f>
        <x:v>-1.7059</x:v>
      </x:c>
      <x:c r="O593">
        <x:f ca="1">IF(AND($B$1012=1,LEN($O$1587)&gt;0),$O$1587,HLOOKUP(INDIRECT(ADDRESS(2,COLUMN())),OFFSET($T$2,0,0,ROW()-1,14),ROW()-1,FALSE))</x:f>
        <x:v>-4.4025999999999996</x:v>
      </x:c>
      <x:c r="P593">
        <x:f ca="1">IF(AND($B$1012=1,LEN($P$1587)&gt;0),$P$1587,HLOOKUP(INDIRECT(ADDRESS(2,COLUMN())),OFFSET($T$2,0,0,ROW()-1,14),ROW()-1,FALSE))</x:f>
        <x:v>1.0761000000000001</x:v>
      </x:c>
      <x:c r="Q593">
        <x:f ca="1">IF(AND($B$1012=1,LEN($Q$1587)&gt;0),$Q$1587,HLOOKUP(INDIRECT(ADDRESS(2,COLUMN())),OFFSET($T$2,0,0,ROW()-1,14),ROW()-1,FALSE))</x:f>
        <x:v>-0.2928</x:v>
      </x:c>
      <x:c r="R593">
        <x:f ca="1">IF(AND($B$1012=1,LEN($R$1587)&gt;0),$R$1587,HLOOKUP(INDIRECT(ADDRESS(2,COLUMN())),OFFSET($T$2,0,0,ROW()-1,14),ROW()-1,FALSE))</x:f>
        <x:v>-3.3929999999999998</x:v>
      </x:c>
      <x:c r="S593">
        <x:f ca="1">IF(AND($B$1012=1,LEN($S$1587)&gt;0),$S$1587,HLOOKUP(INDIRECT(ADDRESS(2,COLUMN())),OFFSET($T$2,0,0,ROW()-1,14),ROW()-1,FALSE))</x:f>
        <x:v>-3.3948999999999998</x:v>
      </x:c>
      <x:c r="T593">
        <x:f>0</x:f>
        <x:v>0</x:v>
      </x:c>
      <x:c r="U593">
        <x:f>1.1445</x:f>
        <x:v>1.1445000000000001</x:v>
      </x:c>
      <x:c r="V593">
        <x:f>-0.2343</x:f>
        <x:v>-0.23430000000000001</x:v>
      </x:c>
      <x:c r="W593">
        <x:f>0.4934</x:f>
        <x:v>0.49340000000000001</x:v>
      </x:c>
      <x:c r="X593">
        <x:f>-2.5824</x:f>
        <x:v>-2.5823999999999998</x:v>
      </x:c>
      <x:c r="Y593">
        <x:f>-2.559</x:f>
        <x:v>-2.5590000000000002</x:v>
      </x:c>
      <x:c r="Z593">
        <x:f>-1.4936</x:f>
        <x:v>-1.4936</x:v>
      </x:c>
      <x:c r="AA593">
        <x:f>0</x:f>
        <x:v>0</x:v>
      </x:c>
      <x:c r="AB593">
        <x:f>-1.7059</x:f>
        <x:v>-1.7059</x:v>
      </x:c>
      <x:c r="AC593">
        <x:f>-4.4026</x:f>
        <x:v>-4.4025999999999996</x:v>
      </x:c>
      <x:c r="AD593">
        <x:f>1.0761</x:f>
        <x:v>1.0761000000000001</x:v>
      </x:c>
      <x:c r="AE593">
        <x:f>-0.2928</x:f>
        <x:v>-0.2928</x:v>
      </x:c>
      <x:c r="AF593">
        <x:f>-3.393</x:f>
        <x:v>-3.3929999999999998</x:v>
      </x:c>
      <x:c r="AG593">
        <x:f>-3.3949</x:f>
        <x:v>-3.3948999999999998</x:v>
      </x:c>
    </x:row>
    <x:row r="594" spans="1:33" x14ac:dyDescent="0.25">
      <x:c r="A594" t="str">
        <x:f>"            ALPS Disruptive Technologies E"</x:f>
        <x:v xml:space="preserve">            ALPS Disruptive Technologies E</x:v>
      </x:c>
      <x:c r="B594" t="str">
        <x:f>"DTEC US Equity"</x:f>
        <x:v>DTEC US Equity</x:v>
      </x:c>
      <x:c r="E594" t="str">
        <x:f t="shared" si="21"/>
        <x:v>Expression</x:v>
      </x:c>
      <x:c r="F594">
        <x:f ca="1">IF(AND($B$1012=1,LEN($F$1588)&gt;0),$F$1588,HLOOKUP(INDIRECT(ADDRESS(2,COLUMN())),OFFSET($T$2,0,0,ROW()-1,14),ROW()-1,FALSE))</x:f>
        <x:v>-5.2795529999999999</x:v>
      </x:c>
      <x:c r="G594">
        <x:f ca="1">IF(AND($B$1012=1,LEN($G$1588)&gt;0),$G$1588,HLOOKUP(INDIRECT(ADDRESS(2,COLUMN())),OFFSET($T$2,0,0,ROW()-1,14),ROW()-1,FALSE))</x:f>
        <x:v>0</x:v>
      </x:c>
      <x:c r="H594">
        <x:f ca="1">IF(AND($B$1012=1,LEN($H$1588)&gt;0),$H$1588,HLOOKUP(INDIRECT(ADDRESS(2,COLUMN())),OFFSET($T$2,0,0,ROW()-1,14),ROW()-1,FALSE))</x:f>
        <x:v>-1.772268</x:v>
      </x:c>
      <x:c r="I594">
        <x:f ca="1">IF(AND($B$1012=1,LEN($I$1588)&gt;0),$I$1588,HLOOKUP(INDIRECT(ADDRESS(2,COLUMN())),OFFSET($T$2,0,0,ROW()-1,14),ROW()-1,FALSE))</x:f>
        <x:v>-2.8072490000000001</x:v>
      </x:c>
      <x:c r="J594">
        <x:f ca="1">IF(AND($B$1012=1,LEN($J$1588)&gt;0),$J$1588,HLOOKUP(INDIRECT(ADDRESS(2,COLUMN())),OFFSET($T$2,0,0,ROW()-1,14),ROW()-1,FALSE))</x:f>
        <x:v>0</x:v>
      </x:c>
      <x:c r="K594">
        <x:f ca="1">IF(AND($B$1012=1,LEN($K$1588)&gt;0),$K$1588,HLOOKUP(INDIRECT(ADDRESS(2,COLUMN())),OFFSET($T$2,0,0,ROW()-1,14),ROW()-1,FALSE))</x:f>
        <x:v>-9.5196839999999998</x:v>
      </x:c>
      <x:c r="L594">
        <x:f ca="1">IF(AND($B$1012=1,LEN($L$1588)&gt;0),$L$1588,HLOOKUP(INDIRECT(ADDRESS(2,COLUMN())),OFFSET($T$2,0,0,ROW()-1,14),ROW()-1,FALSE))</x:f>
        <x:v>-1.8240400000000001</x:v>
      </x:c>
      <x:c r="M594">
        <x:f ca="1">IF(AND($B$1012=1,LEN($M$1588)&gt;0),$M$1588,HLOOKUP(INDIRECT(ADDRESS(2,COLUMN())),OFFSET($T$2,0,0,ROW()-1,14),ROW()-1,FALSE))</x:f>
        <x:v>-2.725447</x:v>
      </x:c>
      <x:c r="N594">
        <x:f ca="1">IF(AND($B$1012=1,LEN($N$1588)&gt;0),$N$1588,HLOOKUP(INDIRECT(ADDRESS(2,COLUMN())),OFFSET($T$2,0,0,ROW()-1,14),ROW()-1,FALSE))</x:f>
        <x:v>-0.89238499999999998</x:v>
      </x:c>
      <x:c r="O594">
        <x:f ca="1">IF(AND($B$1012=1,LEN($O$1588)&gt;0),$O$1588,HLOOKUP(INDIRECT(ADDRESS(2,COLUMN())),OFFSET($T$2,0,0,ROW()-1,14),ROW()-1,FALSE))</x:f>
        <x:v>0</x:v>
      </x:c>
      <x:c r="P594">
        <x:f ca="1">IF(AND($B$1012=1,LEN($P$1588)&gt;0),$P$1588,HLOOKUP(INDIRECT(ADDRESS(2,COLUMN())),OFFSET($T$2,0,0,ROW()-1,14),ROW()-1,FALSE))</x:f>
        <x:v>-0.90507099999999996</x:v>
      </x:c>
      <x:c r="Q594">
        <x:f ca="1">IF(AND($B$1012=1,LEN($Q$1588)&gt;0),$Q$1588,HLOOKUP(INDIRECT(ADDRESS(2,COLUMN())),OFFSET($T$2,0,0,ROW()-1,14),ROW()-1,FALSE))</x:f>
        <x:v>-9.4121140000000008</x:v>
      </x:c>
      <x:c r="R594">
        <x:f ca="1">IF(AND($B$1012=1,LEN($R$1588)&gt;0),$R$1588,HLOOKUP(INDIRECT(ADDRESS(2,COLUMN())),OFFSET($T$2,0,0,ROW()-1,14),ROW()-1,FALSE))</x:f>
        <x:v>0</x:v>
      </x:c>
      <x:c r="S594">
        <x:f ca="1">IF(AND($B$1012=1,LEN($S$1588)&gt;0),$S$1588,HLOOKUP(INDIRECT(ADDRESS(2,COLUMN())),OFFSET($T$2,0,0,ROW()-1,14),ROW()-1,FALSE))</x:f>
        <x:v>-3.230791</x:v>
      </x:c>
      <x:c r="T594">
        <x:f>-5.279553</x:f>
        <x:v>-5.2795529999999999</x:v>
      </x:c>
      <x:c r="U594">
        <x:f>0</x:f>
        <x:v>0</x:v>
      </x:c>
      <x:c r="V594">
        <x:f>-1.772268</x:f>
        <x:v>-1.772268</x:v>
      </x:c>
      <x:c r="W594">
        <x:f>-2.807249</x:f>
        <x:v>-2.8072490000000001</x:v>
      </x:c>
      <x:c r="X594">
        <x:f>0</x:f>
        <x:v>0</x:v>
      </x:c>
      <x:c r="Y594">
        <x:f>-9.519684</x:f>
        <x:v>-9.5196839999999998</x:v>
      </x:c>
      <x:c r="Z594">
        <x:f>-1.82404</x:f>
        <x:v>-1.8240400000000001</x:v>
      </x:c>
      <x:c r="AA594">
        <x:f>-2.725447</x:f>
        <x:v>-2.725447</x:v>
      </x:c>
      <x:c r="AB594">
        <x:f>-0.892385</x:f>
        <x:v>-0.89238499999999998</x:v>
      </x:c>
      <x:c r="AC594">
        <x:f>0</x:f>
        <x:v>0</x:v>
      </x:c>
      <x:c r="AD594">
        <x:f>-0.905071</x:f>
        <x:v>-0.90507099999999996</x:v>
      </x:c>
      <x:c r="AE594">
        <x:f>-9.412114</x:f>
        <x:v>-9.4121140000000008</x:v>
      </x:c>
      <x:c r="AF594">
        <x:f>0</x:f>
        <x:v>0</x:v>
      </x:c>
      <x:c r="AG594">
        <x:f>-3.230791</x:f>
        <x:v>-3.230791</x:v>
      </x:c>
    </x:row>
    <x:row r="595" spans="1:33" x14ac:dyDescent="0.25">
      <x:c r="A595" t="str">
        <x:f>"            ProShares MSCI Transformationa"</x:f>
        <x:v xml:space="preserve">            ProShares MSCI Transformationa</x:v>
      </x:c>
      <x:c r="B595" t="str">
        <x:f>"ANEW US Equity"</x:f>
        <x:v>ANEW US Equity</x:v>
      </x:c>
      <x:c r="E595" t="str">
        <x:f t="shared" si="21"/>
        <x:v>Expression</x:v>
      </x:c>
      <x:c r="F595">
        <x:f ca="1">IF(AND($B$1012=1,LEN($F$1589)&gt;0),$F$1589,HLOOKUP(INDIRECT(ADDRESS(2,COLUMN())),OFFSET($T$2,0,0,ROW()-1,14),ROW()-1,FALSE))</x:f>
        <x:v>0</x:v>
      </x:c>
      <x:c r="G595">
        <x:f ca="1">IF(AND($B$1012=1,LEN($G$1589)&gt;0),$G$1589,HLOOKUP(INDIRECT(ADDRESS(2,COLUMN())),OFFSET($T$2,0,0,ROW()-1,14),ROW()-1,FALSE))</x:f>
        <x:v>0</x:v>
      </x:c>
      <x:c r="H595">
        <x:f ca="1">IF(AND($B$1012=1,LEN($H$1589)&gt;0),$H$1589,HLOOKUP(INDIRECT(ADDRESS(2,COLUMN())),OFFSET($T$2,0,0,ROW()-1,14),ROW()-1,FALSE))</x:f>
        <x:v>0</x:v>
      </x:c>
      <x:c r="I595">
        <x:f ca="1">IF(AND($B$1012=1,LEN($I$1589)&gt;0),$I$1589,HLOOKUP(INDIRECT(ADDRESS(2,COLUMN())),OFFSET($T$2,0,0,ROW()-1,14),ROW()-1,FALSE))</x:f>
        <x:v>0</x:v>
      </x:c>
      <x:c r="J595">
        <x:f ca="1">IF(AND($B$1012=1,LEN($J$1589)&gt;0),$J$1589,HLOOKUP(INDIRECT(ADDRESS(2,COLUMN())),OFFSET($T$2,0,0,ROW()-1,14),ROW()-1,FALSE))</x:f>
        <x:v>-0.95162199999999997</x:v>
      </x:c>
      <x:c r="K595">
        <x:f ca="1">IF(AND($B$1012=1,LEN($K$1589)&gt;0),$K$1589,HLOOKUP(INDIRECT(ADDRESS(2,COLUMN())),OFFSET($T$2,0,0,ROW()-1,14),ROW()-1,FALSE))</x:f>
        <x:v>-1.82477</x:v>
      </x:c>
      <x:c r="L595">
        <x:f ca="1">IF(AND($B$1012=1,LEN($L$1589)&gt;0),$L$1589,HLOOKUP(INDIRECT(ADDRESS(2,COLUMN())),OFFSET($T$2,0,0,ROW()-1,14),ROW()-1,FALSE))</x:f>
        <x:v>-3.46319</x:v>
      </x:c>
      <x:c r="M595">
        <x:f ca="1">IF(AND($B$1012=1,LEN($M$1589)&gt;0),$M$1589,HLOOKUP(INDIRECT(ADDRESS(2,COLUMN())),OFFSET($T$2,0,0,ROW()-1,14),ROW()-1,FALSE))</x:f>
        <x:v>-0.87296300000000004</x:v>
      </x:c>
      <x:c r="N595">
        <x:f ca="1">IF(AND($B$1012=1,LEN($N$1589)&gt;0),$N$1589,HLOOKUP(INDIRECT(ADDRESS(2,COLUMN())),OFFSET($T$2,0,0,ROW()-1,14),ROW()-1,FALSE))</x:f>
        <x:v>0</x:v>
      </x:c>
      <x:c r="O595">
        <x:f ca="1">IF(AND($B$1012=1,LEN($O$1589)&gt;0),$O$1589,HLOOKUP(INDIRECT(ADDRESS(2,COLUMN())),OFFSET($T$2,0,0,ROW()-1,14),ROW()-1,FALSE))</x:f>
        <x:v>0</x:v>
      </x:c>
      <x:c r="P595">
        <x:f ca="1">IF(AND($B$1012=1,LEN($P$1589)&gt;0),$P$1589,HLOOKUP(INDIRECT(ADDRESS(2,COLUMN())),OFFSET($T$2,0,0,ROW()-1,14),ROW()-1,FALSE))</x:f>
        <x:v>0</x:v>
      </x:c>
      <x:c r="Q595">
        <x:f ca="1">IF(AND($B$1012=1,LEN($Q$1589)&gt;0),$Q$1589,HLOOKUP(INDIRECT(ADDRESS(2,COLUMN())),OFFSET($T$2,0,0,ROW()-1,14),ROW()-1,FALSE))</x:f>
        <x:v>-3.2315100000000001</x:v>
      </x:c>
      <x:c r="R595">
        <x:f ca="1">IF(AND($B$1012=1,LEN($R$1589)&gt;0),$R$1589,HLOOKUP(INDIRECT(ADDRESS(2,COLUMN())),OFFSET($T$2,0,0,ROW()-1,14),ROW()-1,FALSE))</x:f>
        <x:v>-7.2027599999999996</x:v>
      </x:c>
      <x:c r="S595">
        <x:f ca="1">IF(AND($B$1012=1,LEN($S$1589)&gt;0),$S$1589,HLOOKUP(INDIRECT(ADDRESS(2,COLUMN())),OFFSET($T$2,0,0,ROW()-1,14),ROW()-1,FALSE))</x:f>
        <x:v>0</x:v>
      </x:c>
      <x:c r="T595">
        <x:f>0</x:f>
        <x:v>0</x:v>
      </x:c>
      <x:c r="U595">
        <x:f>0</x:f>
        <x:v>0</x:v>
      </x:c>
      <x:c r="V595">
        <x:f>0</x:f>
        <x:v>0</x:v>
      </x:c>
      <x:c r="W595">
        <x:f>0</x:f>
        <x:v>0</x:v>
      </x:c>
      <x:c r="X595">
        <x:f>-0.951622</x:f>
        <x:v>-0.95162199999999997</x:v>
      </x:c>
      <x:c r="Y595">
        <x:f>-1.82477</x:f>
        <x:v>-1.82477</x:v>
      </x:c>
      <x:c r="Z595">
        <x:f>-3.46319</x:f>
        <x:v>-3.46319</x:v>
      </x:c>
      <x:c r="AA595">
        <x:f>-0.872963</x:f>
        <x:v>-0.87296300000000004</x:v>
      </x:c>
      <x:c r="AB595">
        <x:f>0</x:f>
        <x:v>0</x:v>
      </x:c>
      <x:c r="AC595">
        <x:f>0</x:f>
        <x:v>0</x:v>
      </x:c>
      <x:c r="AD595">
        <x:f>0</x:f>
        <x:v>0</x:v>
      </x:c>
      <x:c r="AE595">
        <x:f>-3.23151</x:f>
        <x:v>-3.2315100000000001</x:v>
      </x:c>
      <x:c r="AF595">
        <x:f>-7.20276</x:f>
        <x:v>-7.2027599999999996</x:v>
      </x:c>
      <x:c r="AG595">
        <x:f>0</x:f>
        <x:v>0</x:v>
      </x:c>
    </x:row>
    <x:row r="596" spans="1:33" x14ac:dyDescent="0.25">
      <x:c r="A596" t="str">
        <x:f>"            Goldman Sachs Innovate Equity"</x:f>
        <x:v xml:space="preserve">            Goldman Sachs Innovate Equity</x:v>
      </x:c>
      <x:c r="B596" t="str">
        <x:f>"GINN US Equity"</x:f>
        <x:v>GINN US Equity</x:v>
      </x:c>
      <x:c r="E596" t="str">
        <x:f t="shared" si="21"/>
        <x:v>Expression</x:v>
      </x:c>
      <x:c r="F596">
        <x:f ca="1">IF(AND($B$1012=1,LEN($F$1590)&gt;0),$F$1590,HLOOKUP(INDIRECT(ADDRESS(2,COLUMN())),OFFSET($T$2,0,0,ROW()-1,14),ROW()-1,FALSE))</x:f>
        <x:v>0</x:v>
      </x:c>
      <x:c r="G596">
        <x:f ca="1">IF(AND($B$1012=1,LEN($G$1590)&gt;0),$G$1590,HLOOKUP(INDIRECT(ADDRESS(2,COLUMN())),OFFSET($T$2,0,0,ROW()-1,14),ROW()-1,FALSE))</x:f>
        <x:v>0</x:v>
      </x:c>
      <x:c r="H596">
        <x:f ca="1">IF(AND($B$1012=1,LEN($H$1590)&gt;0),$H$1590,HLOOKUP(INDIRECT(ADDRESS(2,COLUMN())),OFFSET($T$2,0,0,ROW()-1,14),ROW()-1,FALSE))</x:f>
        <x:v>0</x:v>
      </x:c>
      <x:c r="I596">
        <x:f ca="1">IF(AND($B$1012=1,LEN($I$1590)&gt;0),$I$1590,HLOOKUP(INDIRECT(ADDRESS(2,COLUMN())),OFFSET($T$2,0,0,ROW()-1,14),ROW()-1,FALSE))</x:f>
        <x:v>-2.6359240000000002</x:v>
      </x:c>
      <x:c r="J596">
        <x:f ca="1">IF(AND($B$1012=1,LEN($J$1590)&gt;0),$J$1590,HLOOKUP(INDIRECT(ADDRESS(2,COLUMN())),OFFSET($T$2,0,0,ROW()-1,14),ROW()-1,FALSE))</x:f>
        <x:v>-2.5797279999999998</x:v>
      </x:c>
      <x:c r="K596">
        <x:f ca="1">IF(AND($B$1012=1,LEN($K$1590)&gt;0),$K$1590,HLOOKUP(INDIRECT(ADDRESS(2,COLUMN())),OFFSET($T$2,0,0,ROW()-1,14),ROW()-1,FALSE))</x:f>
        <x:v>-4.8105580000000003</x:v>
      </x:c>
      <x:c r="L596">
        <x:f ca="1">IF(AND($B$1012=1,LEN($L$1590)&gt;0),$L$1590,HLOOKUP(INDIRECT(ADDRESS(2,COLUMN())),OFFSET($T$2,0,0,ROW()-1,14),ROW()-1,FALSE))</x:f>
        <x:v>0</x:v>
      </x:c>
      <x:c r="M596">
        <x:f ca="1">IF(AND($B$1012=1,LEN($M$1590)&gt;0),$M$1590,HLOOKUP(INDIRECT(ADDRESS(2,COLUMN())),OFFSET($T$2,0,0,ROW()-1,14),ROW()-1,FALSE))</x:f>
        <x:v>-2.2909630000000001</x:v>
      </x:c>
      <x:c r="N596">
        <x:f ca="1">IF(AND($B$1012=1,LEN($N$1590)&gt;0),$N$1590,HLOOKUP(INDIRECT(ADDRESS(2,COLUMN())),OFFSET($T$2,0,0,ROW()-1,14),ROW()-1,FALSE))</x:f>
        <x:v>-4.3165849999999999</x:v>
      </x:c>
      <x:c r="O596">
        <x:f ca="1">IF(AND($B$1012=1,LEN($O$1590)&gt;0),$O$1590,HLOOKUP(INDIRECT(ADDRESS(2,COLUMN())),OFFSET($T$2,0,0,ROW()-1,14),ROW()-1,FALSE))</x:f>
        <x:v>-9.0714400000000008</x:v>
      </x:c>
      <x:c r="P596">
        <x:f ca="1">IF(AND($B$1012=1,LEN($P$1590)&gt;0),$P$1590,HLOOKUP(INDIRECT(ADDRESS(2,COLUMN())),OFFSET($T$2,0,0,ROW()-1,14),ROW()-1,FALSE))</x:f>
        <x:v>0.11509999999999999</x:v>
      </x:c>
      <x:c r="Q596">
        <x:f ca="1">IF(AND($B$1012=1,LEN($Q$1590)&gt;0),$Q$1590,HLOOKUP(INDIRECT(ADDRESS(2,COLUMN())),OFFSET($T$2,0,0,ROW()-1,14),ROW()-1,FALSE))</x:f>
        <x:v>-18.171395</x:v>
      </x:c>
      <x:c r="R596">
        <x:f ca="1">IF(AND($B$1012=1,LEN($R$1590)&gt;0),$R$1590,HLOOKUP(INDIRECT(ADDRESS(2,COLUMN())),OFFSET($T$2,0,0,ROW()-1,14),ROW()-1,FALSE))</x:f>
        <x:v>14.956547</x:v>
      </x:c>
      <x:c r="S596">
        <x:f ca="1">IF(AND($B$1012=1,LEN($S$1590)&gt;0),$S$1590,HLOOKUP(INDIRECT(ADDRESS(2,COLUMN())),OFFSET($T$2,0,0,ROW()-1,14),ROW()-1,FALSE))</x:f>
        <x:v>-1.9779949999999999</x:v>
      </x:c>
      <x:c r="T596">
        <x:f>0</x:f>
        <x:v>0</x:v>
      </x:c>
      <x:c r="U596">
        <x:f>0</x:f>
        <x:v>0</x:v>
      </x:c>
      <x:c r="V596">
        <x:f>0</x:f>
        <x:v>0</x:v>
      </x:c>
      <x:c r="W596">
        <x:f>-2.635924</x:f>
        <x:v>-2.6359240000000002</x:v>
      </x:c>
      <x:c r="X596">
        <x:f>-2.579728</x:f>
        <x:v>-2.5797279999999998</x:v>
      </x:c>
      <x:c r="Y596">
        <x:f>-4.810558</x:f>
        <x:v>-4.8105580000000003</x:v>
      </x:c>
      <x:c r="Z596">
        <x:f>0</x:f>
        <x:v>0</x:v>
      </x:c>
      <x:c r="AA596">
        <x:f>-2.290963</x:f>
        <x:v>-2.2909630000000001</x:v>
      </x:c>
      <x:c r="AB596">
        <x:f>-4.316585</x:f>
        <x:v>-4.3165849999999999</x:v>
      </x:c>
      <x:c r="AC596">
        <x:f>-9.07144</x:f>
        <x:v>-9.0714400000000008</x:v>
      </x:c>
      <x:c r="AD596">
        <x:f>0.1151</x:f>
        <x:v>0.11509999999999999</x:v>
      </x:c>
      <x:c r="AE596">
        <x:f>-18.171395</x:f>
        <x:v>-18.171395</x:v>
      </x:c>
      <x:c r="AF596">
        <x:f>14.956547</x:f>
        <x:v>14.956547</x:v>
      </x:c>
      <x:c r="AG596">
        <x:f>-1.977995</x:f>
        <x:v>-1.9779949999999999</x:v>
      </x:c>
    </x:row>
    <x:row r="597" spans="1:33" x14ac:dyDescent="0.25">
      <x:c r="A597" t="str">
        <x:f>"            Direxion Moonshot Innovators E"</x:f>
        <x:v xml:space="preserve">            Direxion Moonshot Innovators E</x:v>
      </x:c>
      <x:c r="B597" t="str">
        <x:f>"MOON US Equity"</x:f>
        <x:v>MOON US Equity</x:v>
      </x:c>
      <x:c r="E597" t="str">
        <x:f t="shared" si="21"/>
        <x:v>Expression</x:v>
      </x:c>
      <x:c r="F597">
        <x:f ca="1">IF(AND($B$1012=1,LEN($F$1591)&gt;0),$F$1591,HLOOKUP(INDIRECT(ADDRESS(2,COLUMN())),OFFSET($T$2,0,0,ROW()-1,14),ROW()-1,FALSE))</x:f>
        <x:v>-5.9490000000000003E-3</x:v>
      </x:c>
      <x:c r="G597">
        <x:f ca="1">IF(AND($B$1012=1,LEN($G$1591)&gt;0),$G$1591,HLOOKUP(INDIRECT(ADDRESS(2,COLUMN())),OFFSET($T$2,0,0,ROW()-1,14),ROW()-1,FALSE))</x:f>
        <x:v>0.19064800000000001</x:v>
      </x:c>
      <x:c r="H597">
        <x:f ca="1">IF(AND($B$1012=1,LEN($H$1591)&gt;0),$H$1591,HLOOKUP(INDIRECT(ADDRESS(2,COLUMN())),OFFSET($T$2,0,0,ROW()-1,14),ROW()-1,FALSE))</x:f>
        <x:v>0</x:v>
      </x:c>
      <x:c r="I597">
        <x:f ca="1">IF(AND($B$1012=1,LEN($I$1591)&gt;0),$I$1591,HLOOKUP(INDIRECT(ADDRESS(2,COLUMN())),OFFSET($T$2,0,0,ROW()-1,14),ROW()-1,FALSE))</x:f>
        <x:v>-0.37604199999999999</x:v>
      </x:c>
      <x:c r="J597">
        <x:f ca="1">IF(AND($B$1012=1,LEN($J$1591)&gt;0),$J$1591,HLOOKUP(INDIRECT(ADDRESS(2,COLUMN())),OFFSET($T$2,0,0,ROW()-1,14),ROW()-1,FALSE))</x:f>
        <x:v>-0.57683200000000001</x:v>
      </x:c>
      <x:c r="K597">
        <x:f ca="1">IF(AND($B$1012=1,LEN($K$1591)&gt;0),$K$1591,HLOOKUP(INDIRECT(ADDRESS(2,COLUMN())),OFFSET($T$2,0,0,ROW()-1,14),ROW()-1,FALSE))</x:f>
        <x:v>-0.33640599999999998</x:v>
      </x:c>
      <x:c r="L597">
        <x:f ca="1">IF(AND($B$1012=1,LEN($L$1591)&gt;0),$L$1591,HLOOKUP(INDIRECT(ADDRESS(2,COLUMN())),OFFSET($T$2,0,0,ROW()-1,14),ROW()-1,FALSE))</x:f>
        <x:v>0</x:v>
      </x:c>
      <x:c r="M597">
        <x:f ca="1">IF(AND($B$1012=1,LEN($M$1591)&gt;0),$M$1591,HLOOKUP(INDIRECT(ADDRESS(2,COLUMN())),OFFSET($T$2,0,0,ROW()-1,14),ROW()-1,FALSE))</x:f>
        <x:v>0.255191</x:v>
      </x:c>
      <x:c r="N597">
        <x:f ca="1">IF(AND($B$1012=1,LEN($N$1591)&gt;0),$N$1591,HLOOKUP(INDIRECT(ADDRESS(2,COLUMN())),OFFSET($T$2,0,0,ROW()-1,14),ROW()-1,FALSE))</x:f>
        <x:v>-1.1439490000000001</x:v>
      </x:c>
      <x:c r="O597">
        <x:f ca="1">IF(AND($B$1012=1,LEN($O$1591)&gt;0),$O$1591,HLOOKUP(INDIRECT(ADDRESS(2,COLUMN())),OFFSET($T$2,0,0,ROW()-1,14),ROW()-1,FALSE))</x:f>
        <x:v>-6.2628700000000004</x:v>
      </x:c>
      <x:c r="P597">
        <x:f ca="1">IF(AND($B$1012=1,LEN($P$1591)&gt;0),$P$1591,HLOOKUP(INDIRECT(ADDRESS(2,COLUMN())),OFFSET($T$2,0,0,ROW()-1,14),ROW()-1,FALSE))</x:f>
        <x:v>7.6558510000000002</x:v>
      </x:c>
      <x:c r="Q597">
        <x:f ca="1">IF(AND($B$1012=1,LEN($Q$1591)&gt;0),$Q$1591,HLOOKUP(INDIRECT(ADDRESS(2,COLUMN())),OFFSET($T$2,0,0,ROW()-1,14),ROW()-1,FALSE))</x:f>
        <x:v>-0.26663199999999998</x:v>
      </x:c>
      <x:c r="R597">
        <x:f ca="1">IF(AND($B$1012=1,LEN($R$1591)&gt;0),$R$1591,HLOOKUP(INDIRECT(ADDRESS(2,COLUMN())),OFFSET($T$2,0,0,ROW()-1,14),ROW()-1,FALSE))</x:f>
        <x:v>-0.63570400000000005</x:v>
      </x:c>
      <x:c r="S597">
        <x:f ca="1">IF(AND($B$1012=1,LEN($S$1591)&gt;0),$S$1591,HLOOKUP(INDIRECT(ADDRESS(2,COLUMN())),OFFSET($T$2,0,0,ROW()-1,14),ROW()-1,FALSE))</x:f>
        <x:v>-1.8996219999999999</x:v>
      </x:c>
      <x:c r="T597">
        <x:f>-0.005949</x:f>
        <x:v>-5.9490000000000003E-3</x:v>
      </x:c>
      <x:c r="U597">
        <x:f>0.190648</x:f>
        <x:v>0.19064800000000001</x:v>
      </x:c>
      <x:c r="V597">
        <x:f>0</x:f>
        <x:v>0</x:v>
      </x:c>
      <x:c r="W597">
        <x:f>-0.376042</x:f>
        <x:v>-0.37604199999999999</x:v>
      </x:c>
      <x:c r="X597">
        <x:f>-0.576832</x:f>
        <x:v>-0.57683200000000001</x:v>
      </x:c>
      <x:c r="Y597">
        <x:f>-0.336406</x:f>
        <x:v>-0.33640599999999998</x:v>
      </x:c>
      <x:c r="Z597">
        <x:f>0</x:f>
        <x:v>0</x:v>
      </x:c>
      <x:c r="AA597">
        <x:f>0.255191</x:f>
        <x:v>0.255191</x:v>
      </x:c>
      <x:c r="AB597">
        <x:f>-1.143949</x:f>
        <x:v>-1.1439490000000001</x:v>
      </x:c>
      <x:c r="AC597">
        <x:f>-6.26287</x:f>
        <x:v>-6.2628700000000004</x:v>
      </x:c>
      <x:c r="AD597">
        <x:f>7.655851</x:f>
        <x:v>7.6558510000000002</x:v>
      </x:c>
      <x:c r="AE597">
        <x:f>-0.266632</x:f>
        <x:v>-0.26663199999999998</x:v>
      </x:c>
      <x:c r="AF597">
        <x:f>-0.635704</x:f>
        <x:v>-0.63570400000000005</x:v>
      </x:c>
      <x:c r="AG597">
        <x:f>-1.899622</x:f>
        <x:v>-1.8996219999999999</x:v>
      </x:c>
    </x:row>
    <x:row r="598" spans="1:33" x14ac:dyDescent="0.25">
      <x:c r="A598" t="str">
        <x:f>"            Main Thematic Innovation ETF"</x:f>
        <x:v xml:space="preserve">            Main Thematic Innovation ETF</x:v>
      </x:c>
      <x:c r="B598" t="str">
        <x:f>"TMAT US Equity"</x:f>
        <x:v>TMAT US Equity</x:v>
      </x:c>
      <x:c r="E598" t="str">
        <x:f t="shared" si="21"/>
        <x:v>Expression</x:v>
      </x:c>
      <x:c r="F598">
        <x:f ca="1">IF(AND($B$1012=1,LEN($F$1592)&gt;0),$F$1592,HLOOKUP(INDIRECT(ADDRESS(2,COLUMN())),OFFSET($T$2,0,0,ROW()-1,14),ROW()-1,FALSE))</x:f>
        <x:v>15.3299</x:v>
      </x:c>
      <x:c r="G598">
        <x:f ca="1">IF(AND($B$1012=1,LEN($G$1592)&gt;0),$G$1592,HLOOKUP(INDIRECT(ADDRESS(2,COLUMN())),OFFSET($T$2,0,0,ROW()-1,14),ROW()-1,FALSE))</x:f>
        <x:v>-0.41399999999999998</x:v>
      </x:c>
      <x:c r="H598">
        <x:f ca="1">IF(AND($B$1012=1,LEN($H$1592)&gt;0),$H$1592,HLOOKUP(INDIRECT(ADDRESS(2,COLUMN())),OFFSET($T$2,0,0,ROW()-1,14),ROW()-1,FALSE))</x:f>
        <x:v>1.2811999999999999</x:v>
      </x:c>
      <x:c r="I598">
        <x:f ca="1">IF(AND($B$1012=1,LEN($I$1592)&gt;0),$I$1592,HLOOKUP(INDIRECT(ADDRESS(2,COLUMN())),OFFSET($T$2,0,0,ROW()-1,14),ROW()-1,FALSE))</x:f>
        <x:v>1.1653</x:v>
      </x:c>
      <x:c r="J598">
        <x:f ca="1">IF(AND($B$1012=1,LEN($J$1592)&gt;0),$J$1592,HLOOKUP(INDIRECT(ADDRESS(2,COLUMN())),OFFSET($T$2,0,0,ROW()-1,14),ROW()-1,FALSE))</x:f>
        <x:v>1.2873000000000001</x:v>
      </x:c>
      <x:c r="K598">
        <x:f ca="1">IF(AND($B$1012=1,LEN($K$1592)&gt;0),$K$1592,HLOOKUP(INDIRECT(ADDRESS(2,COLUMN())),OFFSET($T$2,0,0,ROW()-1,14),ROW()-1,FALSE))</x:f>
        <x:v>2.7544</x:v>
      </x:c>
      <x:c r="L598">
        <x:f ca="1">IF(AND($B$1012=1,LEN($L$1592)&gt;0),$L$1592,HLOOKUP(INDIRECT(ADDRESS(2,COLUMN())),OFFSET($T$2,0,0,ROW()-1,14),ROW()-1,FALSE))</x:f>
        <x:v>2.1627999999999998</x:v>
      </x:c>
      <x:c r="M598">
        <x:f ca="1">IF(AND($B$1012=1,LEN($M$1592)&gt;0),$M$1592,HLOOKUP(INDIRECT(ADDRESS(2,COLUMN())),OFFSET($T$2,0,0,ROW()-1,14),ROW()-1,FALSE))</x:f>
        <x:v>2.2161</x:v>
      </x:c>
      <x:c r="N598">
        <x:f ca="1">IF(AND($B$1012=1,LEN($N$1592)&gt;0),$N$1592,HLOOKUP(INDIRECT(ADDRESS(2,COLUMN())),OFFSET($T$2,0,0,ROW()-1,14),ROW()-1,FALSE))</x:f>
        <x:v>1.3461000000000001</x:v>
      </x:c>
      <x:c r="O598">
        <x:f ca="1">IF(AND($B$1012=1,LEN($O$1592)&gt;0),$O$1592,HLOOKUP(INDIRECT(ADDRESS(2,COLUMN())),OFFSET($T$2,0,0,ROW()-1,14),ROW()-1,FALSE))</x:f>
        <x:v>3.6212</x:v>
      </x:c>
      <x:c r="P598">
        <x:f ca="1">IF(AND($B$1012=1,LEN($P$1592)&gt;0),$P$1592,HLOOKUP(INDIRECT(ADDRESS(2,COLUMN())),OFFSET($T$2,0,0,ROW()-1,14),ROW()-1,FALSE))</x:f>
        <x:v>10.0532</x:v>
      </x:c>
      <x:c r="Q598">
        <x:f ca="1">IF(AND($B$1012=1,LEN($Q$1592)&gt;0),$Q$1592,HLOOKUP(INDIRECT(ADDRESS(2,COLUMN())),OFFSET($T$2,0,0,ROW()-1,14),ROW()-1,FALSE))</x:f>
        <x:v>9.5494000000000003</x:v>
      </x:c>
      <x:c r="R598">
        <x:f ca="1">IF(AND($B$1012=1,LEN($R$1592)&gt;0),$R$1592,HLOOKUP(INDIRECT(ADDRESS(2,COLUMN())),OFFSET($T$2,0,0,ROW()-1,14),ROW()-1,FALSE))</x:f>
        <x:v>-4.9732000000000003</x:v>
      </x:c>
      <x:c r="S598">
        <x:f ca="1">IF(AND($B$1012=1,LEN($S$1592)&gt;0),$S$1592,HLOOKUP(INDIRECT(ADDRESS(2,COLUMN())),OFFSET($T$2,0,0,ROW()-1,14),ROW()-1,FALSE))</x:f>
        <x:v>-2.3996</x:v>
      </x:c>
      <x:c r="T598">
        <x:f>15.3299</x:f>
        <x:v>15.3299</x:v>
      </x:c>
      <x:c r="U598">
        <x:f>-0.414</x:f>
        <x:v>-0.41399999999999998</x:v>
      </x:c>
      <x:c r="V598">
        <x:f>1.2812</x:f>
        <x:v>1.2811999999999999</x:v>
      </x:c>
      <x:c r="W598">
        <x:f>1.1653</x:f>
        <x:v>1.1653</x:v>
      </x:c>
      <x:c r="X598">
        <x:f>1.2873</x:f>
        <x:v>1.2873000000000001</x:v>
      </x:c>
      <x:c r="Y598">
        <x:f>2.7544</x:f>
        <x:v>2.7544</x:v>
      </x:c>
      <x:c r="Z598">
        <x:f>2.1628</x:f>
        <x:v>2.1627999999999998</x:v>
      </x:c>
      <x:c r="AA598">
        <x:f>2.2161</x:f>
        <x:v>2.2161</x:v>
      </x:c>
      <x:c r="AB598">
        <x:f>1.3461</x:f>
        <x:v>1.3461000000000001</x:v>
      </x:c>
      <x:c r="AC598">
        <x:f>3.6212</x:f>
        <x:v>3.6212</x:v>
      </x:c>
      <x:c r="AD598">
        <x:f>10.0532</x:f>
        <x:v>10.0532</x:v>
      </x:c>
      <x:c r="AE598">
        <x:f>9.5494</x:f>
        <x:v>9.5494000000000003</x:v>
      </x:c>
      <x:c r="AF598">
        <x:f>-4.9732</x:f>
        <x:v>-4.9732000000000003</x:v>
      </x:c>
      <x:c r="AG598">
        <x:f>-2.3996</x:f>
        <x:v>-2.3996</x:v>
      </x:c>
    </x:row>
    <x:row r="599" spans="1:33" x14ac:dyDescent="0.25">
      <x:c r="A599" t="str">
        <x:f>"            BlackRock Future Innovators ET"</x:f>
        <x:v xml:space="preserve">            BlackRock Future Innovators ET</x:v>
      </x:c>
      <x:c r="B599" t="str">
        <x:f>"BFTR US Equity"</x:f>
        <x:v>BFTR US Equity</x:v>
      </x:c>
      <x:c r="E599" t="str">
        <x:f t="shared" si="21"/>
        <x:v>Expression</x:v>
      </x:c>
      <x:c r="F599" t="str">
        <x:f ca="1">IF(AND($B$1012=1,LEN($F$1593)&gt;0),$F$1593,HLOOKUP(INDIRECT(ADDRESS(2,COLUMN())),OFFSET($T$2,0,0,ROW()-1,14),ROW()-1,FALSE))</x:f>
        <x:v/>
      </x:c>
      <x:c r="G599">
        <x:f ca="1">IF(AND($B$1012=1,LEN($G$1593)&gt;0),$G$1593,HLOOKUP(INDIRECT(ADDRESS(2,COLUMN())),OFFSET($T$2,0,0,ROW()-1,14),ROW()-1,FALSE))</x:f>
        <x:v>0</x:v>
      </x:c>
      <x:c r="H599">
        <x:f ca="1">IF(AND($B$1012=1,LEN($H$1593)&gt;0),$H$1593,HLOOKUP(INDIRECT(ADDRESS(2,COLUMN())),OFFSET($T$2,0,0,ROW()-1,14),ROW()-1,FALSE))</x:f>
        <x:v>0</x:v>
      </x:c>
      <x:c r="I599">
        <x:f ca="1">IF(AND($B$1012=1,LEN($I$1593)&gt;0),$I$1593,HLOOKUP(INDIRECT(ADDRESS(2,COLUMN())),OFFSET($T$2,0,0,ROW()-1,14),ROW()-1,FALSE))</x:f>
        <x:v>0</x:v>
      </x:c>
      <x:c r="J599">
        <x:f ca="1">IF(AND($B$1012=1,LEN($J$1593)&gt;0),$J$1593,HLOOKUP(INDIRECT(ADDRESS(2,COLUMN())),OFFSET($T$2,0,0,ROW()-1,14),ROW()-1,FALSE))</x:f>
        <x:v>0</x:v>
      </x:c>
      <x:c r="K599">
        <x:f ca="1">IF(AND($B$1012=1,LEN($K$1593)&gt;0),$K$1593,HLOOKUP(INDIRECT(ADDRESS(2,COLUMN())),OFFSET($T$2,0,0,ROW()-1,14),ROW()-1,FALSE))</x:f>
        <x:v>0</x:v>
      </x:c>
      <x:c r="L599">
        <x:f ca="1">IF(AND($B$1012=1,LEN($L$1593)&gt;0),$L$1593,HLOOKUP(INDIRECT(ADDRESS(2,COLUMN())),OFFSET($T$2,0,0,ROW()-1,14),ROW()-1,FALSE))</x:f>
        <x:v>0</x:v>
      </x:c>
      <x:c r="M599">
        <x:f ca="1">IF(AND($B$1012=1,LEN($M$1593)&gt;0),$M$1593,HLOOKUP(INDIRECT(ADDRESS(2,COLUMN())),OFFSET($T$2,0,0,ROW()-1,14),ROW()-1,FALSE))</x:f>
        <x:v>-0.80055299999999996</x:v>
      </x:c>
      <x:c r="N599">
        <x:f ca="1">IF(AND($B$1012=1,LEN($N$1593)&gt;0),$N$1593,HLOOKUP(INDIRECT(ADDRESS(2,COLUMN())),OFFSET($T$2,0,0,ROW()-1,14),ROW()-1,FALSE))</x:f>
        <x:v>0</x:v>
      </x:c>
      <x:c r="O599">
        <x:f ca="1">IF(AND($B$1012=1,LEN($O$1593)&gt;0),$O$1593,HLOOKUP(INDIRECT(ADDRESS(2,COLUMN())),OFFSET($T$2,0,0,ROW()-1,14),ROW()-1,FALSE))</x:f>
        <x:v>0</x:v>
      </x:c>
      <x:c r="P599">
        <x:f ca="1">IF(AND($B$1012=1,LEN($P$1593)&gt;0),$P$1593,HLOOKUP(INDIRECT(ADDRESS(2,COLUMN())),OFFSET($T$2,0,0,ROW()-1,14),ROW()-1,FALSE))</x:f>
        <x:v>-0.789744</x:v>
      </x:c>
      <x:c r="Q599">
        <x:f ca="1">IF(AND($B$1012=1,LEN($Q$1593)&gt;0),$Q$1593,HLOOKUP(INDIRECT(ADDRESS(2,COLUMN())),OFFSET($T$2,0,0,ROW()-1,14),ROW()-1,FALSE))</x:f>
        <x:v>0</x:v>
      </x:c>
      <x:c r="R599">
        <x:f ca="1">IF(AND($B$1012=1,LEN($R$1593)&gt;0),$R$1593,HLOOKUP(INDIRECT(ADDRESS(2,COLUMN())),OFFSET($T$2,0,0,ROW()-1,14),ROW()-1,FALSE))</x:f>
        <x:v>0.51014000000000004</x:v>
      </x:c>
      <x:c r="S599">
        <x:f ca="1">IF(AND($B$1012=1,LEN($S$1593)&gt;0),$S$1593,HLOOKUP(INDIRECT(ADDRESS(2,COLUMN())),OFFSET($T$2,0,0,ROW()-1,14),ROW()-1,FALSE))</x:f>
        <x:v>0</x:v>
      </x:c>
      <x:c r="T599" t="str">
        <x:f>""</x:f>
        <x:v/>
      </x:c>
      <x:c r="U599">
        <x:f>0</x:f>
        <x:v>0</x:v>
      </x:c>
      <x:c r="V599">
        <x:f>0</x:f>
        <x:v>0</x:v>
      </x:c>
      <x:c r="W599">
        <x:f>0</x:f>
        <x:v>0</x:v>
      </x:c>
      <x:c r="X599">
        <x:f>0</x:f>
        <x:v>0</x:v>
      </x:c>
      <x:c r="Y599">
        <x:f>0</x:f>
        <x:v>0</x:v>
      </x:c>
      <x:c r="Z599">
        <x:f>0</x:f>
        <x:v>0</x:v>
      </x:c>
      <x:c r="AA599">
        <x:f>-0.800553</x:f>
        <x:v>-0.80055299999999996</x:v>
      </x:c>
      <x:c r="AB599">
        <x:f>0</x:f>
        <x:v>0</x:v>
      </x:c>
      <x:c r="AC599">
        <x:f>0</x:f>
        <x:v>0</x:v>
      </x:c>
      <x:c r="AD599">
        <x:f>-0.789744</x:f>
        <x:v>-0.789744</x:v>
      </x:c>
      <x:c r="AE599">
        <x:f>0</x:f>
        <x:v>0</x:v>
      </x:c>
      <x:c r="AF599">
        <x:f>0.51014</x:f>
        <x:v>0.51014000000000004</x:v>
      </x:c>
      <x:c r="AG599">
        <x:f>0</x:f>
        <x:v>0</x:v>
      </x:c>
    </x:row>
    <x:row r="600" spans="1:33" x14ac:dyDescent="0.25">
      <x:c r="A600" t="str">
        <x:f>"            Jacob Forward ETF"</x:f>
        <x:v xml:space="preserve">            Jacob Forward ETF</x:v>
      </x:c>
      <x:c r="B600" t="str">
        <x:f>"JFWD US Equity"</x:f>
        <x:v>JFWD US Equity</x:v>
      </x:c>
      <x:c r="E600" t="str">
        <x:f t="shared" si="21"/>
        <x:v>Expression</x:v>
      </x:c>
      <x:c r="F600">
        <x:f ca="1">IF(AND($B$1012=1,LEN($F$1594)&gt;0),$F$1594,HLOOKUP(INDIRECT(ADDRESS(2,COLUMN())),OFFSET($T$2,0,0,ROW()-1,14),ROW()-1,FALSE))</x:f>
        <x:v>-8.0212000000000006E-2</x:v>
      </x:c>
      <x:c r="G600">
        <x:f ca="1">IF(AND($B$1012=1,LEN($G$1594)&gt;0),$G$1594,HLOOKUP(INDIRECT(ADDRESS(2,COLUMN())),OFFSET($T$2,0,0,ROW()-1,14),ROW()-1,FALSE))</x:f>
        <x:v>-0.22011</x:v>
      </x:c>
      <x:c r="H600">
        <x:f ca="1">IF(AND($B$1012=1,LEN($H$1594)&gt;0),$H$1594,HLOOKUP(INDIRECT(ADDRESS(2,COLUMN())),OFFSET($T$2,0,0,ROW()-1,14),ROW()-1,FALSE))</x:f>
        <x:v>0</x:v>
      </x:c>
      <x:c r="I600">
        <x:f ca="1">IF(AND($B$1012=1,LEN($I$1594)&gt;0),$I$1594,HLOOKUP(INDIRECT(ADDRESS(2,COLUMN())),OFFSET($T$2,0,0,ROW()-1,14),ROW()-1,FALSE))</x:f>
        <x:v>0</x:v>
      </x:c>
      <x:c r="J600">
        <x:f ca="1">IF(AND($B$1012=1,LEN($J$1594)&gt;0),$J$1594,HLOOKUP(INDIRECT(ADDRESS(2,COLUMN())),OFFSET($T$2,0,0,ROW()-1,14),ROW()-1,FALSE))</x:f>
        <x:v>0</x:v>
      </x:c>
      <x:c r="K600">
        <x:f ca="1">IF(AND($B$1012=1,LEN($K$1594)&gt;0),$K$1594,HLOOKUP(INDIRECT(ADDRESS(2,COLUMN())),OFFSET($T$2,0,0,ROW()-1,14),ROW()-1,FALSE))</x:f>
        <x:v>0</x:v>
      </x:c>
      <x:c r="L600">
        <x:f ca="1">IF(AND($B$1012=1,LEN($L$1594)&gt;0),$L$1594,HLOOKUP(INDIRECT(ADDRESS(2,COLUMN())),OFFSET($T$2,0,0,ROW()-1,14),ROW()-1,FALSE))</x:f>
        <x:v>-0.17346600000000001</x:v>
      </x:c>
      <x:c r="M600">
        <x:f ca="1">IF(AND($B$1012=1,LEN($M$1594)&gt;0),$M$1594,HLOOKUP(INDIRECT(ADDRESS(2,COLUMN())),OFFSET($T$2,0,0,ROW()-1,14),ROW()-1,FALSE))</x:f>
        <x:v>0</x:v>
      </x:c>
      <x:c r="N600">
        <x:f ca="1">IF(AND($B$1012=1,LEN($N$1594)&gt;0),$N$1594,HLOOKUP(INDIRECT(ADDRESS(2,COLUMN())),OFFSET($T$2,0,0,ROW()-1,14),ROW()-1,FALSE))</x:f>
        <x:v>8.8719999999999997E-3</x:v>
      </x:c>
      <x:c r="O600">
        <x:f ca="1">IF(AND($B$1012=1,LEN($O$1594)&gt;0),$O$1594,HLOOKUP(INDIRECT(ADDRESS(2,COLUMN())),OFFSET($T$2,0,0,ROW()-1,14),ROW()-1,FALSE))</x:f>
        <x:v>0</x:v>
      </x:c>
      <x:c r="P600">
        <x:f ca="1">IF(AND($B$1012=1,LEN($P$1594)&gt;0),$P$1594,HLOOKUP(INDIRECT(ADDRESS(2,COLUMN())),OFFSET($T$2,0,0,ROW()-1,14),ROW()-1,FALSE))</x:f>
        <x:v>0</x:v>
      </x:c>
      <x:c r="Q600">
        <x:f ca="1">IF(AND($B$1012=1,LEN($Q$1594)&gt;0),$Q$1594,HLOOKUP(INDIRECT(ADDRESS(2,COLUMN())),OFFSET($T$2,0,0,ROW()-1,14),ROW()-1,FALSE))</x:f>
        <x:v>-0.169242</x:v>
      </x:c>
      <x:c r="R600">
        <x:f ca="1">IF(AND($B$1012=1,LEN($R$1594)&gt;0),$R$1594,HLOOKUP(INDIRECT(ADDRESS(2,COLUMN())),OFFSET($T$2,0,0,ROW()-1,14),ROW()-1,FALSE))</x:f>
        <x:v>0</x:v>
      </x:c>
      <x:c r="S600">
        <x:f ca="1">IF(AND($B$1012=1,LEN($S$1594)&gt;0),$S$1594,HLOOKUP(INDIRECT(ADDRESS(2,COLUMN())),OFFSET($T$2,0,0,ROW()-1,14),ROW()-1,FALSE))</x:f>
        <x:v>0</x:v>
      </x:c>
      <x:c r="T600">
        <x:f>-0.080212</x:f>
        <x:v>-8.0212000000000006E-2</x:v>
      </x:c>
      <x:c r="U600">
        <x:f>-0.22011</x:f>
        <x:v>-0.22011</x:v>
      </x:c>
      <x:c r="V600">
        <x:f>0</x:f>
        <x:v>0</x:v>
      </x:c>
      <x:c r="W600">
        <x:f>0</x:f>
        <x:v>0</x:v>
      </x:c>
      <x:c r="X600">
        <x:f>0</x:f>
        <x:v>0</x:v>
      </x:c>
      <x:c r="Y600">
        <x:f>0</x:f>
        <x:v>0</x:v>
      </x:c>
      <x:c r="Z600">
        <x:f>-0.173466</x:f>
        <x:v>-0.17346600000000001</x:v>
      </x:c>
      <x:c r="AA600">
        <x:f>0</x:f>
        <x:v>0</x:v>
      </x:c>
      <x:c r="AB600">
        <x:f>0.008872</x:f>
        <x:v>8.8719999999999997E-3</x:v>
      </x:c>
      <x:c r="AC600">
        <x:f>0</x:f>
        <x:v>0</x:v>
      </x:c>
      <x:c r="AD600">
        <x:f>0</x:f>
        <x:v>0</x:v>
      </x:c>
      <x:c r="AE600">
        <x:f>-0.169242</x:f>
        <x:v>-0.169242</x:v>
      </x:c>
      <x:c r="AF600">
        <x:f>0</x:f>
        <x:v>0</x:v>
      </x:c>
      <x:c r="AG600">
        <x:f>0</x:f>
        <x:v>0</x:v>
      </x:c>
    </x:row>
    <x:row r="601" spans="1:33" x14ac:dyDescent="0.25">
      <x:c r="A601" t="str">
        <x:f>"            Global X China Innovation ETF"</x:f>
        <x:v xml:space="preserve">            Global X China Innovation ETF</x:v>
      </x:c>
      <x:c r="B601" t="str">
        <x:f>"KEJI US Equity"</x:f>
        <x:v>KEJI US Equity</x:v>
      </x:c>
      <x:c r="E601" t="str">
        <x:f t="shared" si="21"/>
        <x:v>Expression</x:v>
      </x:c>
      <x:c r="F601">
        <x:f ca="1">IF(AND($B$1012=1,LEN($F$1595)&gt;0),$F$1595,HLOOKUP(INDIRECT(ADDRESS(2,COLUMN())),OFFSET($T$2,0,0,ROW()-1,14),ROW()-1,FALSE))</x:f>
        <x:v>0</x:v>
      </x:c>
      <x:c r="G601">
        <x:f ca="1">IF(AND($B$1012=1,LEN($G$1595)&gt;0),$G$1595,HLOOKUP(INDIRECT(ADDRESS(2,COLUMN())),OFFSET($T$2,0,0,ROW()-1,14),ROW()-1,FALSE))</x:f>
        <x:v>0</x:v>
      </x:c>
      <x:c r="H601">
        <x:f ca="1">IF(AND($B$1012=1,LEN($H$1595)&gt;0),$H$1595,HLOOKUP(INDIRECT(ADDRESS(2,COLUMN())),OFFSET($T$2,0,0,ROW()-1,14),ROW()-1,FALSE))</x:f>
        <x:v>-0.76300000000000001</x:v>
      </x:c>
      <x:c r="I601">
        <x:f ca="1">IF(AND($B$1012=1,LEN($I$1595)&gt;0),$I$1595,HLOOKUP(INDIRECT(ADDRESS(2,COLUMN())),OFFSET($T$2,0,0,ROW()-1,14),ROW()-1,FALSE))</x:f>
        <x:v>0</x:v>
      </x:c>
      <x:c r="J601">
        <x:f ca="1">IF(AND($B$1012=1,LEN($J$1595)&gt;0),$J$1595,HLOOKUP(INDIRECT(ADDRESS(2,COLUMN())),OFFSET($T$2,0,0,ROW()-1,14),ROW()-1,FALSE))</x:f>
        <x:v>0</x:v>
      </x:c>
      <x:c r="K601">
        <x:f ca="1">IF(AND($B$1012=1,LEN($K$1595)&gt;0),$K$1595,HLOOKUP(INDIRECT(ADDRESS(2,COLUMN())),OFFSET($T$2,0,0,ROW()-1,14),ROW()-1,FALSE))</x:f>
        <x:v>0</x:v>
      </x:c>
      <x:c r="L601">
        <x:f ca="1">IF(AND($B$1012=1,LEN($L$1595)&gt;0),$L$1595,HLOOKUP(INDIRECT(ADDRESS(2,COLUMN())),OFFSET($T$2,0,0,ROW()-1,14),ROW()-1,FALSE))</x:f>
        <x:v>0</x:v>
      </x:c>
      <x:c r="M601">
        <x:f ca="1">IF(AND($B$1012=1,LEN($M$1595)&gt;0),$M$1595,HLOOKUP(INDIRECT(ADDRESS(2,COLUMN())),OFFSET($T$2,0,0,ROW()-1,14),ROW()-1,FALSE))</x:f>
        <x:v>0</x:v>
      </x:c>
      <x:c r="N601">
        <x:f ca="1">IF(AND($B$1012=1,LEN($N$1595)&gt;0),$N$1595,HLOOKUP(INDIRECT(ADDRESS(2,COLUMN())),OFFSET($T$2,0,0,ROW()-1,14),ROW()-1,FALSE))</x:f>
        <x:v>0</x:v>
      </x:c>
      <x:c r="O601">
        <x:f ca="1">IF(AND($B$1012=1,LEN($O$1595)&gt;0),$O$1595,HLOOKUP(INDIRECT(ADDRESS(2,COLUMN())),OFFSET($T$2,0,0,ROW()-1,14),ROW()-1,FALSE))</x:f>
        <x:v>0</x:v>
      </x:c>
      <x:c r="P601">
        <x:f ca="1">IF(AND($B$1012=1,LEN($P$1595)&gt;0),$P$1595,HLOOKUP(INDIRECT(ADDRESS(2,COLUMN())),OFFSET($T$2,0,0,ROW()-1,14),ROW()-1,FALSE))</x:f>
        <x:v>0</x:v>
      </x:c>
      <x:c r="Q601">
        <x:f ca="1">IF(AND($B$1012=1,LEN($Q$1595)&gt;0),$Q$1595,HLOOKUP(INDIRECT(ADDRESS(2,COLUMN())),OFFSET($T$2,0,0,ROW()-1,14),ROW()-1,FALSE))</x:f>
        <x:v>0</x:v>
      </x:c>
      <x:c r="R601">
        <x:f ca="1">IF(AND($B$1012=1,LEN($R$1595)&gt;0),$R$1595,HLOOKUP(INDIRECT(ADDRESS(2,COLUMN())),OFFSET($T$2,0,0,ROW()-1,14),ROW()-1,FALSE))</x:f>
        <x:v>0</x:v>
      </x:c>
      <x:c r="S601">
        <x:f ca="1">IF(AND($B$1012=1,LEN($S$1595)&gt;0),$S$1595,HLOOKUP(INDIRECT(ADDRESS(2,COLUMN())),OFFSET($T$2,0,0,ROW()-1,14),ROW()-1,FALSE))</x:f>
        <x:v>0</x:v>
      </x:c>
      <x:c r="T601">
        <x:f>0</x:f>
        <x:v>0</x:v>
      </x:c>
      <x:c r="U601">
        <x:f>0</x:f>
        <x:v>0</x:v>
      </x:c>
      <x:c r="V601">
        <x:f>-0.763</x:f>
        <x:v>-0.76300000000000001</x:v>
      </x:c>
      <x:c r="W601">
        <x:f>0</x:f>
        <x:v>0</x:v>
      </x:c>
      <x:c r="X601">
        <x:f>0</x:f>
        <x:v>0</x:v>
      </x:c>
      <x:c r="Y601">
        <x:f>0</x:f>
        <x:v>0</x:v>
      </x:c>
      <x:c r="Z601">
        <x:f>0</x:f>
        <x:v>0</x:v>
      </x:c>
      <x:c r="AA601">
        <x:f>0</x:f>
        <x:v>0</x:v>
      </x:c>
      <x:c r="AB601">
        <x:f>0</x:f>
        <x:v>0</x:v>
      </x:c>
      <x:c r="AC601">
        <x:f>0</x:f>
        <x:v>0</x:v>
      </x:c>
      <x:c r="AD601">
        <x:f>0</x:f>
        <x:v>0</x:v>
      </x:c>
      <x:c r="AE601">
        <x:f>0</x:f>
        <x:v>0</x:v>
      </x:c>
      <x:c r="AF601">
        <x:f>0</x:f>
        <x:v>0</x:v>
      </x:c>
      <x:c r="AG601">
        <x:f>0</x:f>
        <x:v>0</x:v>
      </x:c>
    </x:row>
    <x:row r="602" spans="1:33" x14ac:dyDescent="0.25">
      <x:c r="A602" t="str">
        <x:f>"            MicroSectors FANG &amp; Innovation"</x:f>
        <x:v xml:space="preserve">            MicroSectors FANG &amp; Innovation</x:v>
      </x:c>
      <x:c r="B602" t="str">
        <x:f>"BERZ US Equity"</x:f>
        <x:v>BERZ US Equity</x:v>
      </x:c>
      <x:c r="E602" t="str">
        <x:f t="shared" si="21"/>
        <x:v>Expression</x:v>
      </x:c>
      <x:c r="F602">
        <x:f ca="1">IF(AND($B$1012=1,LEN($F$1596)&gt;0),$F$1596,HLOOKUP(INDIRECT(ADDRESS(2,COLUMN())),OFFSET($T$2,0,0,ROW()-1,14),ROW()-1,FALSE))</x:f>
        <x:v>0</x:v>
      </x:c>
      <x:c r="G602">
        <x:f ca="1">IF(AND($B$1012=1,LEN($G$1596)&gt;0),$G$1596,HLOOKUP(INDIRECT(ADDRESS(2,COLUMN())),OFFSET($T$2,0,0,ROW()-1,14),ROW()-1,FALSE))</x:f>
        <x:v>0</x:v>
      </x:c>
      <x:c r="H602">
        <x:f ca="1">IF(AND($B$1012=1,LEN($H$1596)&gt;0),$H$1596,HLOOKUP(INDIRECT(ADDRESS(2,COLUMN())),OFFSET($T$2,0,0,ROW()-1,14),ROW()-1,FALSE))</x:f>
        <x:v>0</x:v>
      </x:c>
      <x:c r="I602">
        <x:f ca="1">IF(AND($B$1012=1,LEN($I$1596)&gt;0),$I$1596,HLOOKUP(INDIRECT(ADDRESS(2,COLUMN())),OFFSET($T$2,0,0,ROW()-1,14),ROW()-1,FALSE))</x:f>
        <x:v>0</x:v>
      </x:c>
      <x:c r="J602">
        <x:f ca="1">IF(AND($B$1012=1,LEN($J$1596)&gt;0),$J$1596,HLOOKUP(INDIRECT(ADDRESS(2,COLUMN())),OFFSET($T$2,0,0,ROW()-1,14),ROW()-1,FALSE))</x:f>
        <x:v>0</x:v>
      </x:c>
      <x:c r="K602">
        <x:f ca="1">IF(AND($B$1012=1,LEN($K$1596)&gt;0),$K$1596,HLOOKUP(INDIRECT(ADDRESS(2,COLUMN())),OFFSET($T$2,0,0,ROW()-1,14),ROW()-1,FALSE))</x:f>
        <x:v>12.182245</x:v>
      </x:c>
      <x:c r="L602">
        <x:f ca="1">IF(AND($B$1012=1,LEN($L$1596)&gt;0),$L$1596,HLOOKUP(INDIRECT(ADDRESS(2,COLUMN())),OFFSET($T$2,0,0,ROW()-1,14),ROW()-1,FALSE))</x:f>
        <x:v>0</x:v>
      </x:c>
      <x:c r="M602">
        <x:f ca="1">IF(AND($B$1012=1,LEN($M$1596)&gt;0),$M$1596,HLOOKUP(INDIRECT(ADDRESS(2,COLUMN())),OFFSET($T$2,0,0,ROW()-1,14),ROW()-1,FALSE))</x:f>
        <x:v>0</x:v>
      </x:c>
      <x:c r="N602">
        <x:f ca="1">IF(AND($B$1012=1,LEN($N$1596)&gt;0),$N$1596,HLOOKUP(INDIRECT(ADDRESS(2,COLUMN())),OFFSET($T$2,0,0,ROW()-1,14),ROW()-1,FALSE))</x:f>
        <x:v>0</x:v>
      </x:c>
      <x:c r="O602">
        <x:f ca="1">IF(AND($B$1012=1,LEN($O$1596)&gt;0),$O$1596,HLOOKUP(INDIRECT(ADDRESS(2,COLUMN())),OFFSET($T$2,0,0,ROW()-1,14),ROW()-1,FALSE))</x:f>
        <x:v>0</x:v>
      </x:c>
      <x:c r="P602">
        <x:f ca="1">IF(AND($B$1012=1,LEN($P$1596)&gt;0),$P$1596,HLOOKUP(INDIRECT(ADDRESS(2,COLUMN())),OFFSET($T$2,0,0,ROW()-1,14),ROW()-1,FALSE))</x:f>
        <x:v>10.575450999999999</x:v>
      </x:c>
      <x:c r="Q602">
        <x:f ca="1">IF(AND($B$1012=1,LEN($Q$1596)&gt;0),$Q$1596,HLOOKUP(INDIRECT(ADDRESS(2,COLUMN())),OFFSET($T$2,0,0,ROW()-1,14),ROW()-1,FALSE))</x:f>
        <x:v>0</x:v>
      </x:c>
      <x:c r="R602">
        <x:f ca="1">IF(AND($B$1012=1,LEN($R$1596)&gt;0),$R$1596,HLOOKUP(INDIRECT(ADDRESS(2,COLUMN())),OFFSET($T$2,0,0,ROW()-1,14),ROW()-1,FALSE))</x:f>
        <x:v>0</x:v>
      </x:c>
      <x:c r="S602">
        <x:f ca="1">IF(AND($B$1012=1,LEN($S$1596)&gt;0),$S$1596,HLOOKUP(INDIRECT(ADDRESS(2,COLUMN())),OFFSET($T$2,0,0,ROW()-1,14),ROW()-1,FALSE))</x:f>
        <x:v>0</x:v>
      </x:c>
      <x:c r="T602">
        <x:f>0</x:f>
        <x:v>0</x:v>
      </x:c>
      <x:c r="U602">
        <x:f>0</x:f>
        <x:v>0</x:v>
      </x:c>
      <x:c r="V602">
        <x:f>0</x:f>
        <x:v>0</x:v>
      </x:c>
      <x:c r="W602">
        <x:f>0</x:f>
        <x:v>0</x:v>
      </x:c>
      <x:c r="X602">
        <x:f>0</x:f>
        <x:v>0</x:v>
      </x:c>
      <x:c r="Y602">
        <x:f>12.182245</x:f>
        <x:v>12.182245</x:v>
      </x:c>
      <x:c r="Z602">
        <x:f>0</x:f>
        <x:v>0</x:v>
      </x:c>
      <x:c r="AA602">
        <x:f>0</x:f>
        <x:v>0</x:v>
      </x:c>
      <x:c r="AB602">
        <x:f>0</x:f>
        <x:v>0</x:v>
      </x:c>
      <x:c r="AC602">
        <x:f>0</x:f>
        <x:v>0</x:v>
      </x:c>
      <x:c r="AD602">
        <x:f>10.575451</x:f>
        <x:v>10.575450999999999</x:v>
      </x:c>
      <x:c r="AE602">
        <x:f>0</x:f>
        <x:v>0</x:v>
      </x:c>
      <x:c r="AF602">
        <x:f>0</x:f>
        <x:v>0</x:v>
      </x:c>
      <x:c r="AG602">
        <x:f>0</x:f>
        <x:v>0</x:v>
      </x:c>
    </x:row>
    <x:row r="603" spans="1:33" x14ac:dyDescent="0.25">
      <x:c r="A603" t="str">
        <x:f>"            MicroSectors FANG &amp; Innovation"</x:f>
        <x:v xml:space="preserve">            MicroSectors FANG &amp; Innovation</x:v>
      </x:c>
      <x:c r="B603" t="str">
        <x:f>"BULZ US Equity"</x:f>
        <x:v>BULZ US Equity</x:v>
      </x:c>
      <x:c r="E603" t="str">
        <x:f t="shared" si="21"/>
        <x:v>Expression</x:v>
      </x:c>
      <x:c r="F603">
        <x:f ca="1">IF(AND($B$1012=1,LEN($F$1597)&gt;0),$F$1597,HLOOKUP(INDIRECT(ADDRESS(2,COLUMN())),OFFSET($T$2,0,0,ROW()-1,14),ROW()-1,FALSE))</x:f>
        <x:v>0</x:v>
      </x:c>
      <x:c r="G603">
        <x:f ca="1">IF(AND($B$1012=1,LEN($G$1597)&gt;0),$G$1597,HLOOKUP(INDIRECT(ADDRESS(2,COLUMN())),OFFSET($T$2,0,0,ROW()-1,14),ROW()-1,FALSE))</x:f>
        <x:v>0</x:v>
      </x:c>
      <x:c r="H603">
        <x:f ca="1">IF(AND($B$1012=1,LEN($H$1597)&gt;0),$H$1597,HLOOKUP(INDIRECT(ADDRESS(2,COLUMN())),OFFSET($T$2,0,0,ROW()-1,14),ROW()-1,FALSE))</x:f>
        <x:v>0</x:v>
      </x:c>
      <x:c r="I603">
        <x:f ca="1">IF(AND($B$1012=1,LEN($I$1597)&gt;0),$I$1597,HLOOKUP(INDIRECT(ADDRESS(2,COLUMN())),OFFSET($T$2,0,0,ROW()-1,14),ROW()-1,FALSE))</x:f>
        <x:v>0</x:v>
      </x:c>
      <x:c r="J603">
        <x:f ca="1">IF(AND($B$1012=1,LEN($J$1597)&gt;0),$J$1597,HLOOKUP(INDIRECT(ADDRESS(2,COLUMN())),OFFSET($T$2,0,0,ROW()-1,14),ROW()-1,FALSE))</x:f>
        <x:v>0</x:v>
      </x:c>
      <x:c r="K603">
        <x:f ca="1">IF(AND($B$1012=1,LEN($K$1597)&gt;0),$K$1597,HLOOKUP(INDIRECT(ADDRESS(2,COLUMN())),OFFSET($T$2,0,0,ROW()-1,14),ROW()-1,FALSE))</x:f>
        <x:v>0</x:v>
      </x:c>
      <x:c r="L603">
        <x:f ca="1">IF(AND($B$1012=1,LEN($L$1597)&gt;0),$L$1597,HLOOKUP(INDIRECT(ADDRESS(2,COLUMN())),OFFSET($T$2,0,0,ROW()-1,14),ROW()-1,FALSE))</x:f>
        <x:v>0</x:v>
      </x:c>
      <x:c r="M603">
        <x:f ca="1">IF(AND($B$1012=1,LEN($M$1597)&gt;0),$M$1597,HLOOKUP(INDIRECT(ADDRESS(2,COLUMN())),OFFSET($T$2,0,0,ROW()-1,14),ROW()-1,FALSE))</x:f>
        <x:v>0</x:v>
      </x:c>
      <x:c r="N603">
        <x:f ca="1">IF(AND($B$1012=1,LEN($N$1597)&gt;0),$N$1597,HLOOKUP(INDIRECT(ADDRESS(2,COLUMN())),OFFSET($T$2,0,0,ROW()-1,14),ROW()-1,FALSE))</x:f>
        <x:v>0</x:v>
      </x:c>
      <x:c r="O603">
        <x:f ca="1">IF(AND($B$1012=1,LEN($O$1597)&gt;0),$O$1597,HLOOKUP(INDIRECT(ADDRESS(2,COLUMN())),OFFSET($T$2,0,0,ROW()-1,14),ROW()-1,FALSE))</x:f>
        <x:v>0</x:v>
      </x:c>
      <x:c r="P603">
        <x:f ca="1">IF(AND($B$1012=1,LEN($P$1597)&gt;0),$P$1597,HLOOKUP(INDIRECT(ADDRESS(2,COLUMN())),OFFSET($T$2,0,0,ROW()-1,14),ROW()-1,FALSE))</x:f>
        <x:v>0</x:v>
      </x:c>
      <x:c r="Q603">
        <x:f ca="1">IF(AND($B$1012=1,LEN($Q$1597)&gt;0),$Q$1597,HLOOKUP(INDIRECT(ADDRESS(2,COLUMN())),OFFSET($T$2,0,0,ROW()-1,14),ROW()-1,FALSE))</x:f>
        <x:v>0</x:v>
      </x:c>
      <x:c r="R603">
        <x:f ca="1">IF(AND($B$1012=1,LEN($R$1597)&gt;0),$R$1597,HLOOKUP(INDIRECT(ADDRESS(2,COLUMN())),OFFSET($T$2,0,0,ROW()-1,14),ROW()-1,FALSE))</x:f>
        <x:v>0</x:v>
      </x:c>
      <x:c r="S603">
        <x:f ca="1">IF(AND($B$1012=1,LEN($S$1597)&gt;0),$S$1597,HLOOKUP(INDIRECT(ADDRESS(2,COLUMN())),OFFSET($T$2,0,0,ROW()-1,14),ROW()-1,FALSE))</x:f>
        <x:v>15.322354000000001</x:v>
      </x:c>
      <x:c r="T603">
        <x:f>0</x:f>
        <x:v>0</x:v>
      </x:c>
      <x:c r="U603">
        <x:f>0</x:f>
        <x:v>0</x:v>
      </x:c>
      <x:c r="V603">
        <x:f>0</x:f>
        <x:v>0</x:v>
      </x:c>
      <x:c r="W603">
        <x:f>0</x:f>
        <x:v>0</x:v>
      </x:c>
      <x:c r="X603">
        <x:f>0</x:f>
        <x:v>0</x:v>
      </x:c>
      <x:c r="Y603">
        <x:f>0</x:f>
        <x:v>0</x:v>
      </x:c>
      <x:c r="Z603">
        <x:f>0</x:f>
        <x:v>0</x:v>
      </x:c>
      <x:c r="AA603">
        <x:f>0</x:f>
        <x:v>0</x:v>
      </x:c>
      <x:c r="AB603">
        <x:f>0</x:f>
        <x:v>0</x:v>
      </x:c>
      <x:c r="AC603">
        <x:f>0</x:f>
        <x:v>0</x:v>
      </x:c>
      <x:c r="AD603">
        <x:f>0</x:f>
        <x:v>0</x:v>
      </x:c>
      <x:c r="AE603">
        <x:f>0</x:f>
        <x:v>0</x:v>
      </x:c>
      <x:c r="AF603">
        <x:f>0</x:f>
        <x:v>0</x:v>
      </x:c>
      <x:c r="AG603">
        <x:f>15.322354</x:f>
        <x:v>15.322354000000001</x:v>
      </x:c>
    </x:row>
    <x:row r="604" spans="1:33" x14ac:dyDescent="0.25">
      <x:c r="A604" t="str">
        <x:f>"            The Goldman Sachs Future Tech"</x:f>
        <x:v xml:space="preserve">            The Goldman Sachs Future Tech</x:v>
      </x:c>
      <x:c r="B604" t="str">
        <x:f>"GTEK US Equity"</x:f>
        <x:v>GTEK US Equity</x:v>
      </x:c>
      <x:c r="E604" t="str">
        <x:f t="shared" si="21"/>
        <x:v>Expression</x:v>
      </x:c>
      <x:c r="F604">
        <x:f ca="1">IF(AND($B$1012=1,LEN($F$1598)&gt;0),$F$1598,HLOOKUP(INDIRECT(ADDRESS(2,COLUMN())),OFFSET($T$2,0,0,ROW()-1,14),ROW()-1,FALSE))</x:f>
        <x:v>-106.84007699999999</x:v>
      </x:c>
      <x:c r="G604">
        <x:f ca="1">IF(AND($B$1012=1,LEN($G$1598)&gt;0),$G$1598,HLOOKUP(INDIRECT(ADDRESS(2,COLUMN())),OFFSET($T$2,0,0,ROW()-1,14),ROW()-1,FALSE))</x:f>
        <x:v>10.826703999999999</x:v>
      </x:c>
      <x:c r="H604">
        <x:f ca="1">IF(AND($B$1012=1,LEN($H$1598)&gt;0),$H$1598,HLOOKUP(INDIRECT(ADDRESS(2,COLUMN())),OFFSET($T$2,0,0,ROW()-1,14),ROW()-1,FALSE))</x:f>
        <x:v>0</x:v>
      </x:c>
      <x:c r="I604">
        <x:f ca="1">IF(AND($B$1012=1,LEN($I$1598)&gt;0),$I$1598,HLOOKUP(INDIRECT(ADDRESS(2,COLUMN())),OFFSET($T$2,0,0,ROW()-1,14),ROW()-1,FALSE))</x:f>
        <x:v>0</x:v>
      </x:c>
      <x:c r="J604">
        <x:f ca="1">IF(AND($B$1012=1,LEN($J$1598)&gt;0),$J$1598,HLOOKUP(INDIRECT(ADDRESS(2,COLUMN())),OFFSET($T$2,0,0,ROW()-1,14),ROW()-1,FALSE))</x:f>
        <x:v>-5.2249290000000004</x:v>
      </x:c>
      <x:c r="K604">
        <x:f ca="1">IF(AND($B$1012=1,LEN($K$1598)&gt;0),$K$1598,HLOOKUP(INDIRECT(ADDRESS(2,COLUMN())),OFFSET($T$2,0,0,ROW()-1,14),ROW()-1,FALSE))</x:f>
        <x:v>0</x:v>
      </x:c>
      <x:c r="L604">
        <x:f ca="1">IF(AND($B$1012=1,LEN($L$1598)&gt;0),$L$1598,HLOOKUP(INDIRECT(ADDRESS(2,COLUMN())),OFFSET($T$2,0,0,ROW()-1,14),ROW()-1,FALSE))</x:f>
        <x:v>0</x:v>
      </x:c>
      <x:c r="M604">
        <x:f ca="1">IF(AND($B$1012=1,LEN($M$1598)&gt;0),$M$1598,HLOOKUP(INDIRECT(ADDRESS(2,COLUMN())),OFFSET($T$2,0,0,ROW()-1,14),ROW()-1,FALSE))</x:f>
        <x:v>-2.787474</x:v>
      </x:c>
      <x:c r="N604">
        <x:f ca="1">IF(AND($B$1012=1,LEN($N$1598)&gt;0),$N$1598,HLOOKUP(INDIRECT(ADDRESS(2,COLUMN())),OFFSET($T$2,0,0,ROW()-1,14),ROW()-1,FALSE))</x:f>
        <x:v>2.8563000000000001</x:v>
      </x:c>
      <x:c r="O604">
        <x:f ca="1">IF(AND($B$1012=1,LEN($O$1598)&gt;0),$O$1598,HLOOKUP(INDIRECT(ADDRESS(2,COLUMN())),OFFSET($T$2,0,0,ROW()-1,14),ROW()-1,FALSE))</x:f>
        <x:v>-0.60589000000000004</x:v>
      </x:c>
      <x:c r="P604">
        <x:f ca="1">IF(AND($B$1012=1,LEN($P$1598)&gt;0),$P$1598,HLOOKUP(INDIRECT(ADDRESS(2,COLUMN())),OFFSET($T$2,0,0,ROW()-1,14),ROW()-1,FALSE))</x:f>
        <x:v>-4.7434849999999997</x:v>
      </x:c>
      <x:c r="Q604">
        <x:f ca="1">IF(AND($B$1012=1,LEN($Q$1598)&gt;0),$Q$1598,HLOOKUP(INDIRECT(ADDRESS(2,COLUMN())),OFFSET($T$2,0,0,ROW()-1,14),ROW()-1,FALSE))</x:f>
        <x:v>14.090210000000001</x:v>
      </x:c>
      <x:c r="R604">
        <x:f ca="1">IF(AND($B$1012=1,LEN($R$1598)&gt;0),$R$1598,HLOOKUP(INDIRECT(ADDRESS(2,COLUMN())),OFFSET($T$2,0,0,ROW()-1,14),ROW()-1,FALSE))</x:f>
        <x:v>-0.55701900000000004</x:v>
      </x:c>
      <x:c r="S604">
        <x:f ca="1">IF(AND($B$1012=1,LEN($S$1598)&gt;0),$S$1598,HLOOKUP(INDIRECT(ADDRESS(2,COLUMN())),OFFSET($T$2,0,0,ROW()-1,14),ROW()-1,FALSE))</x:f>
        <x:v>-1.0484739999999999</x:v>
      </x:c>
      <x:c r="T604">
        <x:f>-106.840077</x:f>
        <x:v>-106.84007699999999</x:v>
      </x:c>
      <x:c r="U604">
        <x:f>10.826704</x:f>
        <x:v>10.826703999999999</x:v>
      </x:c>
      <x:c r="V604">
        <x:f>0</x:f>
        <x:v>0</x:v>
      </x:c>
      <x:c r="W604">
        <x:f>0</x:f>
        <x:v>0</x:v>
      </x:c>
      <x:c r="X604">
        <x:f>-5.224929</x:f>
        <x:v>-5.2249290000000004</x:v>
      </x:c>
      <x:c r="Y604">
        <x:f>0</x:f>
        <x:v>0</x:v>
      </x:c>
      <x:c r="Z604">
        <x:f>0</x:f>
        <x:v>0</x:v>
      </x:c>
      <x:c r="AA604">
        <x:f>-2.787474</x:f>
        <x:v>-2.787474</x:v>
      </x:c>
      <x:c r="AB604">
        <x:f>2.8563</x:f>
        <x:v>2.8563000000000001</x:v>
      </x:c>
      <x:c r="AC604">
        <x:f>-0.60589</x:f>
        <x:v>-0.60589000000000004</x:v>
      </x:c>
      <x:c r="AD604">
        <x:f>-4.743485</x:f>
        <x:v>-4.7434849999999997</x:v>
      </x:c>
      <x:c r="AE604">
        <x:f>14.09021</x:f>
        <x:v>14.090210000000001</x:v>
      </x:c>
      <x:c r="AF604">
        <x:f>-0.557019</x:f>
        <x:v>-0.55701900000000004</x:v>
      </x:c>
      <x:c r="AG604">
        <x:f>-1.048474</x:f>
        <x:v>-1.0484739999999999</x:v>
      </x:c>
    </x:row>
    <x:row r="605" spans="1:33" x14ac:dyDescent="0.25">
      <x:c r="A605" t="str">
        <x:f>"            Kraneshares China Innovation E"</x:f>
        <x:v xml:space="preserve">            Kraneshares China Innovation E</x:v>
      </x:c>
      <x:c r="B605" t="str">
        <x:f>"KGRO US Equity"</x:f>
        <x:v>KGRO US Equity</x:v>
      </x:c>
      <x:c r="E605" t="str">
        <x:f t="shared" si="21"/>
        <x:v>Expression</x:v>
      </x:c>
      <x:c r="F605">
        <x:f ca="1">IF(AND($B$1012=1,LEN($F$1599)&gt;0),$F$1599,HLOOKUP(INDIRECT(ADDRESS(2,COLUMN())),OFFSET($T$2,0,0,ROW()-1,14),ROW()-1,FALSE))</x:f>
        <x:v>0</x:v>
      </x:c>
      <x:c r="G605">
        <x:f ca="1">IF(AND($B$1012=1,LEN($G$1599)&gt;0),$G$1599,HLOOKUP(INDIRECT(ADDRESS(2,COLUMN())),OFFSET($T$2,0,0,ROW()-1,14),ROW()-1,FALSE))</x:f>
        <x:v>0</x:v>
      </x:c>
      <x:c r="H605">
        <x:f ca="1">IF(AND($B$1012=1,LEN($H$1599)&gt;0),$H$1599,HLOOKUP(INDIRECT(ADDRESS(2,COLUMN())),OFFSET($T$2,0,0,ROW()-1,14),ROW()-1,FALSE))</x:f>
        <x:v>0</x:v>
      </x:c>
      <x:c r="I605">
        <x:f ca="1">IF(AND($B$1012=1,LEN($I$1599)&gt;0),$I$1599,HLOOKUP(INDIRECT(ADDRESS(2,COLUMN())),OFFSET($T$2,0,0,ROW()-1,14),ROW()-1,FALSE))</x:f>
        <x:v>0</x:v>
      </x:c>
      <x:c r="J605">
        <x:f ca="1">IF(AND($B$1012=1,LEN($J$1599)&gt;0),$J$1599,HLOOKUP(INDIRECT(ADDRESS(2,COLUMN())),OFFSET($T$2,0,0,ROW()-1,14),ROW()-1,FALSE))</x:f>
        <x:v>0</x:v>
      </x:c>
      <x:c r="K605">
        <x:f ca="1">IF(AND($B$1012=1,LEN($K$1599)&gt;0),$K$1599,HLOOKUP(INDIRECT(ADDRESS(2,COLUMN())),OFFSET($T$2,0,0,ROW()-1,14),ROW()-1,FALSE))</x:f>
        <x:v>0</x:v>
      </x:c>
      <x:c r="L605">
        <x:f ca="1">IF(AND($B$1012=1,LEN($L$1599)&gt;0),$L$1599,HLOOKUP(INDIRECT(ADDRESS(2,COLUMN())),OFFSET($T$2,0,0,ROW()-1,14),ROW()-1,FALSE))</x:f>
        <x:v>0</x:v>
      </x:c>
      <x:c r="M605">
        <x:f ca="1">IF(AND($B$1012=1,LEN($M$1599)&gt;0),$M$1599,HLOOKUP(INDIRECT(ADDRESS(2,COLUMN())),OFFSET($T$2,0,0,ROW()-1,14),ROW()-1,FALSE))</x:f>
        <x:v>0</x:v>
      </x:c>
      <x:c r="N605">
        <x:f ca="1">IF(AND($B$1012=1,LEN($N$1599)&gt;0),$N$1599,HLOOKUP(INDIRECT(ADDRESS(2,COLUMN())),OFFSET($T$2,0,0,ROW()-1,14),ROW()-1,FALSE))</x:f>
        <x:v>0</x:v>
      </x:c>
      <x:c r="O605">
        <x:f ca="1">IF(AND($B$1012=1,LEN($O$1599)&gt;0),$O$1599,HLOOKUP(INDIRECT(ADDRESS(2,COLUMN())),OFFSET($T$2,0,0,ROW()-1,14),ROW()-1,FALSE))</x:f>
        <x:v>0</x:v>
      </x:c>
      <x:c r="P605">
        <x:f ca="1">IF(AND($B$1012=1,LEN($P$1599)&gt;0),$P$1599,HLOOKUP(INDIRECT(ADDRESS(2,COLUMN())),OFFSET($T$2,0,0,ROW()-1,14),ROW()-1,FALSE))</x:f>
        <x:v>0</x:v>
      </x:c>
      <x:c r="Q605">
        <x:f ca="1">IF(AND($B$1012=1,LEN($Q$1599)&gt;0),$Q$1599,HLOOKUP(INDIRECT(ADDRESS(2,COLUMN())),OFFSET($T$2,0,0,ROW()-1,14),ROW()-1,FALSE))</x:f>
        <x:v>0</x:v>
      </x:c>
      <x:c r="R605">
        <x:f ca="1">IF(AND($B$1012=1,LEN($R$1599)&gt;0),$R$1599,HLOOKUP(INDIRECT(ADDRESS(2,COLUMN())),OFFSET($T$2,0,0,ROW()-1,14),ROW()-1,FALSE))</x:f>
        <x:v>0</x:v>
      </x:c>
      <x:c r="S605">
        <x:f ca="1">IF(AND($B$1012=1,LEN($S$1599)&gt;0),$S$1599,HLOOKUP(INDIRECT(ADDRESS(2,COLUMN())),OFFSET($T$2,0,0,ROW()-1,14),ROW()-1,FALSE))</x:f>
        <x:v>0</x:v>
      </x:c>
      <x:c r="T605">
        <x:f>0</x:f>
        <x:v>0</x:v>
      </x:c>
      <x:c r="U605">
        <x:f>0</x:f>
        <x:v>0</x:v>
      </x:c>
      <x:c r="V605">
        <x:f>0</x:f>
        <x:v>0</x:v>
      </x:c>
      <x:c r="W605">
        <x:f>0</x:f>
        <x:v>0</x:v>
      </x:c>
      <x:c r="X605">
        <x:f>0</x:f>
        <x:v>0</x:v>
      </x:c>
      <x:c r="Y605">
        <x:f>0</x:f>
        <x:v>0</x:v>
      </x:c>
      <x:c r="Z605">
        <x:f>0</x:f>
        <x:v>0</x:v>
      </x:c>
      <x:c r="AA605">
        <x:f>0</x:f>
        <x:v>0</x:v>
      </x:c>
      <x:c r="AB605">
        <x:f>0</x:f>
        <x:v>0</x:v>
      </x:c>
      <x:c r="AC605">
        <x:f>0</x:f>
        <x:v>0</x:v>
      </x:c>
      <x:c r="AD605">
        <x:f>0</x:f>
        <x:v>0</x:v>
      </x:c>
      <x:c r="AE605">
        <x:f>0</x:f>
        <x:v>0</x:v>
      </x:c>
      <x:c r="AF605">
        <x:f>0</x:f>
        <x:v>0</x:v>
      </x:c>
      <x:c r="AG605">
        <x:f>0</x:f>
        <x:v>0</x:v>
      </x:c>
    </x:row>
    <x:row r="606" spans="1:33" x14ac:dyDescent="0.25">
      <x:c r="A606" t="str">
        <x:f>"            Harbor Disruptive Innovation E"</x:f>
        <x:v xml:space="preserve">            Harbor Disruptive Innovation E</x:v>
      </x:c>
      <x:c r="B606" t="str">
        <x:f>"INNO US Equity"</x:f>
        <x:v>INNO US Equity</x:v>
      </x:c>
      <x:c r="E606" t="str">
        <x:f t="shared" si="21"/>
        <x:v>Expression</x:v>
      </x:c>
      <x:c r="F606">
        <x:f ca="1">IF(AND($B$1012=1,LEN($F$1600)&gt;0),$F$1600,HLOOKUP(INDIRECT(ADDRESS(2,COLUMN())),OFFSET($T$2,0,0,ROW()-1,14),ROW()-1,FALSE))</x:f>
        <x:v>0</x:v>
      </x:c>
      <x:c r="G606">
        <x:f ca="1">IF(AND($B$1012=1,LEN($G$1600)&gt;0),$G$1600,HLOOKUP(INDIRECT(ADDRESS(2,COLUMN())),OFFSET($T$2,0,0,ROW()-1,14),ROW()-1,FALSE))</x:f>
        <x:v>-0.58743900000000004</x:v>
      </x:c>
      <x:c r="H606">
        <x:f ca="1">IF(AND($B$1012=1,LEN($H$1600)&gt;0),$H$1600,HLOOKUP(INDIRECT(ADDRESS(2,COLUMN())),OFFSET($T$2,0,0,ROW()-1,14),ROW()-1,FALSE))</x:f>
        <x:v>0</x:v>
      </x:c>
      <x:c r="I606">
        <x:f ca="1">IF(AND($B$1012=1,LEN($I$1600)&gt;0),$I$1600,HLOOKUP(INDIRECT(ADDRESS(2,COLUMN())),OFFSET($T$2,0,0,ROW()-1,14),ROW()-1,FALSE))</x:f>
        <x:v>0</x:v>
      </x:c>
      <x:c r="J606">
        <x:f ca="1">IF(AND($B$1012=1,LEN($J$1600)&gt;0),$J$1600,HLOOKUP(INDIRECT(ADDRESS(2,COLUMN())),OFFSET($T$2,0,0,ROW()-1,14),ROW()-1,FALSE))</x:f>
        <x:v>0.33873399999999998</x:v>
      </x:c>
      <x:c r="K606">
        <x:f ca="1">IF(AND($B$1012=1,LEN($K$1600)&gt;0),$K$1600,HLOOKUP(INDIRECT(ADDRESS(2,COLUMN())),OFFSET($T$2,0,0,ROW()-1,14),ROW()-1,FALSE))</x:f>
        <x:v>0</x:v>
      </x:c>
      <x:c r="L606">
        <x:f ca="1">IF(AND($B$1012=1,LEN($L$1600)&gt;0),$L$1600,HLOOKUP(INDIRECT(ADDRESS(2,COLUMN())),OFFSET($T$2,0,0,ROW()-1,14),ROW()-1,FALSE))</x:f>
        <x:v>0</x:v>
      </x:c>
      <x:c r="M606">
        <x:f ca="1">IF(AND($B$1012=1,LEN($M$1600)&gt;0),$M$1600,HLOOKUP(INDIRECT(ADDRESS(2,COLUMN())),OFFSET($T$2,0,0,ROW()-1,14),ROW()-1,FALSE))</x:f>
        <x:v>1.2550520000000001</x:v>
      </x:c>
      <x:c r="N606">
        <x:f ca="1">IF(AND($B$1012=1,LEN($N$1600)&gt;0),$N$1600,HLOOKUP(INDIRECT(ADDRESS(2,COLUMN())),OFFSET($T$2,0,0,ROW()-1,14),ROW()-1,FALSE))</x:f>
        <x:v>16.961704000000001</x:v>
      </x:c>
      <x:c r="O606">
        <x:f ca="1">IF(AND($B$1012=1,LEN($O$1600)&gt;0),$O$1600,HLOOKUP(INDIRECT(ADDRESS(2,COLUMN())),OFFSET($T$2,0,0,ROW()-1,14),ROW()-1,FALSE))</x:f>
        <x:v>0.31745899999999999</x:v>
      </x:c>
      <x:c r="P606">
        <x:f ca="1">IF(AND($B$1012=1,LEN($P$1600)&gt;0),$P$1600,HLOOKUP(INDIRECT(ADDRESS(2,COLUMN())),OFFSET($T$2,0,0,ROW()-1,14),ROW()-1,FALSE))</x:f>
        <x:v>1.1604589999999999</x:v>
      </x:c>
      <x:c r="Q606">
        <x:f ca="1">IF(AND($B$1012=1,LEN($Q$1600)&gt;0),$Q$1600,HLOOKUP(INDIRECT(ADDRESS(2,COLUMN())),OFFSET($T$2,0,0,ROW()-1,14),ROW()-1,FALSE))</x:f>
        <x:v>0</x:v>
      </x:c>
      <x:c r="R606">
        <x:f ca="1">IF(AND($B$1012=1,LEN($R$1600)&gt;0),$R$1600,HLOOKUP(INDIRECT(ADDRESS(2,COLUMN())),OFFSET($T$2,0,0,ROW()-1,14),ROW()-1,FALSE))</x:f>
        <x:v>0</x:v>
      </x:c>
      <x:c r="S606">
        <x:f ca="1">IF(AND($B$1012=1,LEN($S$1600)&gt;0),$S$1600,HLOOKUP(INDIRECT(ADDRESS(2,COLUMN())),OFFSET($T$2,0,0,ROW()-1,14),ROW()-1,FALSE))</x:f>
        <x:v>0</x:v>
      </x:c>
      <x:c r="T606">
        <x:f>0</x:f>
        <x:v>0</x:v>
      </x:c>
      <x:c r="U606">
        <x:f>-0.587439</x:f>
        <x:v>-0.58743900000000004</x:v>
      </x:c>
      <x:c r="V606">
        <x:f>0</x:f>
        <x:v>0</x:v>
      </x:c>
      <x:c r="W606">
        <x:f>0</x:f>
        <x:v>0</x:v>
      </x:c>
      <x:c r="X606">
        <x:f>0.338734</x:f>
        <x:v>0.33873399999999998</x:v>
      </x:c>
      <x:c r="Y606">
        <x:f>0</x:f>
        <x:v>0</x:v>
      </x:c>
      <x:c r="Z606">
        <x:f>0</x:f>
        <x:v>0</x:v>
      </x:c>
      <x:c r="AA606">
        <x:f>1.255052</x:f>
        <x:v>1.2550520000000001</x:v>
      </x:c>
      <x:c r="AB606">
        <x:f>16.961704</x:f>
        <x:v>16.961704000000001</x:v>
      </x:c>
      <x:c r="AC606">
        <x:f>0.317459</x:f>
        <x:v>0.31745899999999999</x:v>
      </x:c>
      <x:c r="AD606">
        <x:f>1.160459</x:f>
        <x:v>1.1604589999999999</x:v>
      </x:c>
      <x:c r="AE606">
        <x:f>0</x:f>
        <x:v>0</x:v>
      </x:c>
      <x:c r="AF606">
        <x:f>0</x:f>
        <x:v>0</x:v>
      </x:c>
      <x:c r="AG606">
        <x:f>0</x:f>
        <x:v>0</x:v>
      </x:c>
    </x:row>
    <x:row r="607" spans="1:33" x14ac:dyDescent="0.25">
      <x:c r="A607" t="str">
        <x:f>"            Neuberger Berman Disrupters ET"</x:f>
        <x:v xml:space="preserve">            Neuberger Berman Disrupters ET</x:v>
      </x:c>
      <x:c r="B607" t="str">
        <x:f>"NBDS US Equity"</x:f>
        <x:v>NBDS US Equity</x:v>
      </x:c>
      <x:c r="E607" t="str">
        <x:f t="shared" si="21"/>
        <x:v>Expression</x:v>
      </x:c>
      <x:c r="F607">
        <x:f ca="1">IF(AND($B$1012=1,LEN($F$1601)&gt;0),$F$1601,HLOOKUP(INDIRECT(ADDRESS(2,COLUMN())),OFFSET($T$2,0,0,ROW()-1,14),ROW()-1,FALSE))</x:f>
        <x:v>-0.52744800000000003</x:v>
      </x:c>
      <x:c r="G607">
        <x:f ca="1">IF(AND($B$1012=1,LEN($G$1601)&gt;0),$G$1601,HLOOKUP(INDIRECT(ADDRESS(2,COLUMN())),OFFSET($T$2,0,0,ROW()-1,14),ROW()-1,FALSE))</x:f>
        <x:v>0</x:v>
      </x:c>
      <x:c r="H607">
        <x:f ca="1">IF(AND($B$1012=1,LEN($H$1601)&gt;0),$H$1601,HLOOKUP(INDIRECT(ADDRESS(2,COLUMN())),OFFSET($T$2,0,0,ROW()-1,14),ROW()-1,FALSE))</x:f>
        <x:v>0</x:v>
      </x:c>
      <x:c r="I607">
        <x:f ca="1">IF(AND($B$1012=1,LEN($I$1601)&gt;0),$I$1601,HLOOKUP(INDIRECT(ADDRESS(2,COLUMN())),OFFSET($T$2,0,0,ROW()-1,14),ROW()-1,FALSE))</x:f>
        <x:v>0.58174999999999999</x:v>
      </x:c>
      <x:c r="J607">
        <x:f ca="1">IF(AND($B$1012=1,LEN($J$1601)&gt;0),$J$1601,HLOOKUP(INDIRECT(ADDRESS(2,COLUMN())),OFFSET($T$2,0,0,ROW()-1,14),ROW()-1,FALSE))</x:f>
        <x:v>1.174771</x:v>
      </x:c>
      <x:c r="K607">
        <x:f ca="1">IF(AND($B$1012=1,LEN($K$1601)&gt;0),$K$1601,HLOOKUP(INDIRECT(ADDRESS(2,COLUMN())),OFFSET($T$2,0,0,ROW()-1,14),ROW()-1,FALSE))</x:f>
        <x:v>1.713192</x:v>
      </x:c>
      <x:c r="L607">
        <x:f ca="1">IF(AND($B$1012=1,LEN($L$1601)&gt;0),$L$1601,HLOOKUP(INDIRECT(ADDRESS(2,COLUMN())),OFFSET($T$2,0,0,ROW()-1,14),ROW()-1,FALSE))</x:f>
        <x:v>-1.05646</x:v>
      </x:c>
      <x:c r="M607">
        <x:f ca="1">IF(AND($B$1012=1,LEN($M$1601)&gt;0),$M$1601,HLOOKUP(INDIRECT(ADDRESS(2,COLUMN())),OFFSET($T$2,0,0,ROW()-1,14),ROW()-1,FALSE))</x:f>
        <x:v>-2.0488200000000001</x:v>
      </x:c>
      <x:c r="N607">
        <x:f ca="1">IF(AND($B$1012=1,LEN($N$1601)&gt;0),$N$1601,HLOOKUP(INDIRECT(ADDRESS(2,COLUMN())),OFFSET($T$2,0,0,ROW()-1,14),ROW()-1,FALSE))</x:f>
        <x:v>-2.0018500000000001</x:v>
      </x:c>
      <x:c r="O607">
        <x:f ca="1">IF(AND($B$1012=1,LEN($O$1601)&gt;0),$O$1601,HLOOKUP(INDIRECT(ADDRESS(2,COLUMN())),OFFSET($T$2,0,0,ROW()-1,14),ROW()-1,FALSE))</x:f>
        <x:v>-3.0192350000000001</x:v>
      </x:c>
      <x:c r="P607">
        <x:f ca="1">IF(AND($B$1012=1,LEN($P$1601)&gt;0),$P$1601,HLOOKUP(INDIRECT(ADDRESS(2,COLUMN())),OFFSET($T$2,0,0,ROW()-1,14),ROW()-1,FALSE))</x:f>
        <x:v>-0.54986500000000005</x:v>
      </x:c>
      <x:c r="Q607">
        <x:f ca="1">IF(AND($B$1012=1,LEN($Q$1601)&gt;0),$Q$1601,HLOOKUP(INDIRECT(ADDRESS(2,COLUMN())),OFFSET($T$2,0,0,ROW()-1,14),ROW()-1,FALSE))</x:f>
        <x:v>8.5623749999999994</x:v>
      </x:c>
      <x:c r="R607">
        <x:f ca="1">IF(AND($B$1012=1,LEN($R$1601)&gt;0),$R$1601,HLOOKUP(INDIRECT(ADDRESS(2,COLUMN())),OFFSET($T$2,0,0,ROW()-1,14),ROW()-1,FALSE))</x:f>
        <x:v>0</x:v>
      </x:c>
      <x:c r="S607">
        <x:f ca="1">IF(AND($B$1012=1,LEN($S$1601)&gt;0),$S$1601,HLOOKUP(INDIRECT(ADDRESS(2,COLUMN())),OFFSET($T$2,0,0,ROW()-1,14),ROW()-1,FALSE))</x:f>
        <x:v>0</x:v>
      </x:c>
      <x:c r="T607">
        <x:f>-0.527448</x:f>
        <x:v>-0.52744800000000003</x:v>
      </x:c>
      <x:c r="U607">
        <x:f>0</x:f>
        <x:v>0</x:v>
      </x:c>
      <x:c r="V607">
        <x:f>0</x:f>
        <x:v>0</x:v>
      </x:c>
      <x:c r="W607">
        <x:f>0.58175</x:f>
        <x:v>0.58174999999999999</x:v>
      </x:c>
      <x:c r="X607">
        <x:f>1.174771</x:f>
        <x:v>1.174771</x:v>
      </x:c>
      <x:c r="Y607">
        <x:f>1.713192</x:f>
        <x:v>1.713192</x:v>
      </x:c>
      <x:c r="Z607">
        <x:f>-1.05646</x:f>
        <x:v>-1.05646</x:v>
      </x:c>
      <x:c r="AA607">
        <x:f>-2.04882</x:f>
        <x:v>-2.0488200000000001</x:v>
      </x:c>
      <x:c r="AB607">
        <x:f>-2.00185</x:f>
        <x:v>-2.0018500000000001</x:v>
      </x:c>
      <x:c r="AC607">
        <x:f>-3.019235</x:f>
        <x:v>-3.0192350000000001</x:v>
      </x:c>
      <x:c r="AD607">
        <x:f>-0.549865</x:f>
        <x:v>-0.54986500000000005</x:v>
      </x:c>
      <x:c r="AE607">
        <x:f>8.562375</x:f>
        <x:v>8.5623749999999994</x:v>
      </x:c>
      <x:c r="AF607">
        <x:f>0</x:f>
        <x:v>0</x:v>
      </x:c>
      <x:c r="AG607">
        <x:f>0</x:f>
        <x:v>0</x:v>
      </x:c>
    </x:row>
    <x:row r="608" spans="1:33" x14ac:dyDescent="0.25">
      <x:c r="A608" t="str">
        <x:f>"            YieldMax Innovation Option Inc"</x:f>
        <x:v xml:space="preserve">            YieldMax Innovation Option Inc</x:v>
      </x:c>
      <x:c r="B608" t="str">
        <x:f>"OARK US Equity"</x:f>
        <x:v>OARK US Equity</x:v>
      </x:c>
      <x:c r="E608" t="str">
        <x:f t="shared" si="21"/>
        <x:v>Expression</x:v>
      </x:c>
      <x:c r="F608">
        <x:f ca="1">IF(AND($B$1012=1,LEN($F$1602)&gt;0),$F$1602,HLOOKUP(INDIRECT(ADDRESS(2,COLUMN())),OFFSET($T$2,0,0,ROW()-1,14),ROW()-1,FALSE))</x:f>
        <x:v>1.5646599999999999</x:v>
      </x:c>
      <x:c r="G608">
        <x:f ca="1">IF(AND($B$1012=1,LEN($G$1602)&gt;0),$G$1602,HLOOKUP(INDIRECT(ADDRESS(2,COLUMN())),OFFSET($T$2,0,0,ROW()-1,14),ROW()-1,FALSE))</x:f>
        <x:v>-2.3755579999999998</x:v>
      </x:c>
      <x:c r="H608">
        <x:f ca="1">IF(AND($B$1012=1,LEN($H$1602)&gt;0),$H$1602,HLOOKUP(INDIRECT(ADDRESS(2,COLUMN())),OFFSET($T$2,0,0,ROW()-1,14),ROW()-1,FALSE))</x:f>
        <x:v>10.781739999999999</x:v>
      </x:c>
      <x:c r="I608">
        <x:f ca="1">IF(AND($B$1012=1,LEN($I$1602)&gt;0),$I$1602,HLOOKUP(INDIRECT(ADDRESS(2,COLUMN())),OFFSET($T$2,0,0,ROW()-1,14),ROW()-1,FALSE))</x:f>
        <x:v>26.351044999999999</x:v>
      </x:c>
      <x:c r="J608">
        <x:f ca="1">IF(AND($B$1012=1,LEN($J$1602)&gt;0),$J$1602,HLOOKUP(INDIRECT(ADDRESS(2,COLUMN())),OFFSET($T$2,0,0,ROW()-1,14),ROW()-1,FALSE))</x:f>
        <x:v>25.357063</x:v>
      </x:c>
      <x:c r="K608">
        <x:f ca="1">IF(AND($B$1012=1,LEN($K$1602)&gt;0),$K$1602,HLOOKUP(INDIRECT(ADDRESS(2,COLUMN())),OFFSET($T$2,0,0,ROW()-1,14),ROW()-1,FALSE))</x:f>
        <x:v>11.053096999999999</x:v>
      </x:c>
      <x:c r="L608">
        <x:f ca="1">IF(AND($B$1012=1,LEN($L$1602)&gt;0),$L$1602,HLOOKUP(INDIRECT(ADDRESS(2,COLUMN())),OFFSET($T$2,0,0,ROW()-1,14),ROW()-1,FALSE))</x:f>
        <x:v>2.9763730000000002</x:v>
      </x:c>
      <x:c r="M608">
        <x:f ca="1">IF(AND($B$1012=1,LEN($M$1602)&gt;0),$M$1602,HLOOKUP(INDIRECT(ADDRESS(2,COLUMN())),OFFSET($T$2,0,0,ROW()-1,14),ROW()-1,FALSE))</x:f>
        <x:v>3.8417300000000001</x:v>
      </x:c>
      <x:c r="N608">
        <x:f ca="1">IF(AND($B$1012=1,LEN($N$1602)&gt;0),$N$1602,HLOOKUP(INDIRECT(ADDRESS(2,COLUMN())),OFFSET($T$2,0,0,ROW()-1,14),ROW()-1,FALSE))</x:f>
        <x:v>9.1276499999999992</x:v>
      </x:c>
      <x:c r="O608">
        <x:f ca="1">IF(AND($B$1012=1,LEN($O$1602)&gt;0),$O$1602,HLOOKUP(INDIRECT(ADDRESS(2,COLUMN())),OFFSET($T$2,0,0,ROW()-1,14),ROW()-1,FALSE))</x:f>
        <x:v>0.91497499999999998</x:v>
      </x:c>
      <x:c r="P608">
        <x:f ca="1">IF(AND($B$1012=1,LEN($P$1602)&gt;0),$P$1602,HLOOKUP(INDIRECT(ADDRESS(2,COLUMN())),OFFSET($T$2,0,0,ROW()-1,14),ROW()-1,FALSE))</x:f>
        <x:v>0</x:v>
      </x:c>
      <x:c r="Q608">
        <x:f ca="1">IF(AND($B$1012=1,LEN($Q$1602)&gt;0),$Q$1602,HLOOKUP(INDIRECT(ADDRESS(2,COLUMN())),OFFSET($T$2,0,0,ROW()-1,14),ROW()-1,FALSE))</x:f>
        <x:v>0</x:v>
      </x:c>
      <x:c r="R608">
        <x:f ca="1">IF(AND($B$1012=1,LEN($R$1602)&gt;0),$R$1602,HLOOKUP(INDIRECT(ADDRESS(2,COLUMN())),OFFSET($T$2,0,0,ROW()-1,14),ROW()-1,FALSE))</x:f>
        <x:v>0</x:v>
      </x:c>
      <x:c r="S608" t="str">
        <x:f ca="1">IF(AND($B$1012=1,LEN($S$1602)&gt;0),$S$1602,HLOOKUP(INDIRECT(ADDRESS(2,COLUMN())),OFFSET($T$2,0,0,ROW()-1,14),ROW()-1,FALSE))</x:f>
        <x:v/>
      </x:c>
      <x:c r="T608">
        <x:f>1.56466</x:f>
        <x:v>1.5646599999999999</x:v>
      </x:c>
      <x:c r="U608">
        <x:f>-2.375558</x:f>
        <x:v>-2.3755579999999998</x:v>
      </x:c>
      <x:c r="V608">
        <x:f>10.78174</x:f>
        <x:v>10.781739999999999</x:v>
      </x:c>
      <x:c r="W608">
        <x:f>26.351045</x:f>
        <x:v>26.351044999999999</x:v>
      </x:c>
      <x:c r="X608">
        <x:f>25.357063</x:f>
        <x:v>25.357063</x:v>
      </x:c>
      <x:c r="Y608">
        <x:f>11.053097</x:f>
        <x:v>11.053096999999999</x:v>
      </x:c>
      <x:c r="Z608">
        <x:f>2.976373</x:f>
        <x:v>2.9763730000000002</x:v>
      </x:c>
      <x:c r="AA608">
        <x:f>3.84173</x:f>
        <x:v>3.8417300000000001</x:v>
      </x:c>
      <x:c r="AB608">
        <x:f>9.12765</x:f>
        <x:v>9.1276499999999992</x:v>
      </x:c>
      <x:c r="AC608">
        <x:f>0.914975</x:f>
        <x:v>0.91497499999999998</x:v>
      </x:c>
      <x:c r="AD608">
        <x:f>0</x:f>
        <x:v>0</x:v>
      </x:c>
      <x:c r="AE608">
        <x:f>0</x:f>
        <x:v>0</x:v>
      </x:c>
      <x:c r="AF608">
        <x:f>0</x:f>
        <x:v>0</x:v>
      </x:c>
      <x:c r="AG608" t="str">
        <x:f>""</x:f>
        <x:v/>
      </x:c>
    </x:row>
    <x:row r="609" spans="1:33" x14ac:dyDescent="0.25">
      <x:c r="A609" t="str">
        <x:f>"            Invesco Nasdaq Future Gen 200"</x:f>
        <x:v xml:space="preserve">            Invesco Nasdaq Future Gen 200</x:v>
      </x:c>
      <x:c r="B609" t="str">
        <x:f>"QQQS US Equity"</x:f>
        <x:v>QQQS US Equity</x:v>
      </x:c>
      <x:c r="E609" t="str">
        <x:f t="shared" si="21"/>
        <x:v>Expression</x:v>
      </x:c>
      <x:c r="F609">
        <x:f ca="1">IF(AND($B$1012=1,LEN($F$1603)&gt;0),$F$1603,HLOOKUP(INDIRECT(ADDRESS(2,COLUMN())),OFFSET($T$2,0,0,ROW()-1,14),ROW()-1,FALSE))</x:f>
        <x:v>0</x:v>
      </x:c>
      <x:c r="G609">
        <x:f ca="1">IF(AND($B$1012=1,LEN($G$1603)&gt;0),$G$1603,HLOOKUP(INDIRECT(ADDRESS(2,COLUMN())),OFFSET($T$2,0,0,ROW()-1,14),ROW()-1,FALSE))</x:f>
        <x:v>0</x:v>
      </x:c>
      <x:c r="H609">
        <x:f ca="1">IF(AND($B$1012=1,LEN($H$1603)&gt;0),$H$1603,HLOOKUP(INDIRECT(ADDRESS(2,COLUMN())),OFFSET($T$2,0,0,ROW()-1,14),ROW()-1,FALSE))</x:f>
        <x:v>0</x:v>
      </x:c>
      <x:c r="I609">
        <x:f ca="1">IF(AND($B$1012=1,LEN($I$1603)&gt;0),$I$1603,HLOOKUP(INDIRECT(ADDRESS(2,COLUMN())),OFFSET($T$2,0,0,ROW()-1,14),ROW()-1,FALSE))</x:f>
        <x:v>0</x:v>
      </x:c>
      <x:c r="J609">
        <x:f ca="1">IF(AND($B$1012=1,LEN($J$1603)&gt;0),$J$1603,HLOOKUP(INDIRECT(ADDRESS(2,COLUMN())),OFFSET($T$2,0,0,ROW()-1,14),ROW()-1,FALSE))</x:f>
        <x:v>0.296408</x:v>
      </x:c>
      <x:c r="K609">
        <x:f ca="1">IF(AND($B$1012=1,LEN($K$1603)&gt;0),$K$1603,HLOOKUP(INDIRECT(ADDRESS(2,COLUMN())),OFFSET($T$2,0,0,ROW()-1,14),ROW()-1,FALSE))</x:f>
        <x:v>1.183349</x:v>
      </x:c>
      <x:c r="L609">
        <x:f ca="1">IF(AND($B$1012=1,LEN($L$1603)&gt;0),$L$1603,HLOOKUP(INDIRECT(ADDRESS(2,COLUMN())),OFFSET($T$2,0,0,ROW()-1,14),ROW()-1,FALSE))</x:f>
        <x:v>0.27803499999999998</x:v>
      </x:c>
      <x:c r="M609">
        <x:f ca="1">IF(AND($B$1012=1,LEN($M$1603)&gt;0),$M$1603,HLOOKUP(INDIRECT(ADDRESS(2,COLUMN())),OFFSET($T$2,0,0,ROW()-1,14),ROW()-1,FALSE))</x:f>
        <x:v>0</x:v>
      </x:c>
      <x:c r="N609">
        <x:f ca="1">IF(AND($B$1012=1,LEN($N$1603)&gt;0),$N$1603,HLOOKUP(INDIRECT(ADDRESS(2,COLUMN())),OFFSET($T$2,0,0,ROW()-1,14),ROW()-1,FALSE))</x:f>
        <x:v>0.28205599999999997</x:v>
      </x:c>
      <x:c r="O609">
        <x:f ca="1">IF(AND($B$1012=1,LEN($O$1603)&gt;0),$O$1603,HLOOKUP(INDIRECT(ADDRESS(2,COLUMN())),OFFSET($T$2,0,0,ROW()-1,14),ROW()-1,FALSE))</x:f>
        <x:v>0.30885499999999999</x:v>
      </x:c>
      <x:c r="P609">
        <x:f ca="1">IF(AND($B$1012=1,LEN($P$1603)&gt;0),$P$1603,HLOOKUP(INDIRECT(ADDRESS(2,COLUMN())),OFFSET($T$2,0,0,ROW()-1,14),ROW()-1,FALSE))</x:f>
        <x:v>0</x:v>
      </x:c>
      <x:c r="Q609">
        <x:f ca="1">IF(AND($B$1012=1,LEN($Q$1603)&gt;0),$Q$1603,HLOOKUP(INDIRECT(ADDRESS(2,COLUMN())),OFFSET($T$2,0,0,ROW()-1,14),ROW()-1,FALSE))</x:f>
        <x:v>2.7220000000000001E-2</x:v>
      </x:c>
      <x:c r="R609">
        <x:f ca="1">IF(AND($B$1012=1,LEN($R$1603)&gt;0),$R$1603,HLOOKUP(INDIRECT(ADDRESS(2,COLUMN())),OFFSET($T$2,0,0,ROW()-1,14),ROW()-1,FALSE))</x:f>
        <x:v>0.82448999999999995</x:v>
      </x:c>
      <x:c r="S609">
        <x:f ca="1">IF(AND($B$1012=1,LEN($S$1603)&gt;0),$S$1603,HLOOKUP(INDIRECT(ADDRESS(2,COLUMN())),OFFSET($T$2,0,0,ROW()-1,14),ROW()-1,FALSE))</x:f>
        <x:v>1.0350459999999999</x:v>
      </x:c>
      <x:c r="T609">
        <x:f>0</x:f>
        <x:v>0</x:v>
      </x:c>
      <x:c r="U609">
        <x:f>0</x:f>
        <x:v>0</x:v>
      </x:c>
      <x:c r="V609">
        <x:f>0</x:f>
        <x:v>0</x:v>
      </x:c>
      <x:c r="W609">
        <x:f>0</x:f>
        <x:v>0</x:v>
      </x:c>
      <x:c r="X609">
        <x:f>0.296408</x:f>
        <x:v>0.296408</x:v>
      </x:c>
      <x:c r="Y609">
        <x:f>1.183349</x:f>
        <x:v>1.183349</x:v>
      </x:c>
      <x:c r="Z609">
        <x:f>0.278035</x:f>
        <x:v>0.27803499999999998</x:v>
      </x:c>
      <x:c r="AA609">
        <x:f>0</x:f>
        <x:v>0</x:v>
      </x:c>
      <x:c r="AB609">
        <x:f>0.282056</x:f>
        <x:v>0.28205599999999997</x:v>
      </x:c>
      <x:c r="AC609">
        <x:f>0.308855</x:f>
        <x:v>0.30885499999999999</x:v>
      </x:c>
      <x:c r="AD609">
        <x:f>0</x:f>
        <x:v>0</x:v>
      </x:c>
      <x:c r="AE609">
        <x:f>0.02722</x:f>
        <x:v>2.7220000000000001E-2</x:v>
      </x:c>
      <x:c r="AF609">
        <x:f>0.82449</x:f>
        <x:v>0.82448999999999995</x:v>
      </x:c>
      <x:c r="AG609">
        <x:f>1.035046</x:f>
        <x:v>1.0350459999999999</x:v>
      </x:c>
    </x:row>
    <x:row r="610" spans="1:33" x14ac:dyDescent="0.25">
      <x:c r="A610" t="str">
        <x:f>"            AXS 2x Innovation ETF"</x:f>
        <x:v xml:space="preserve">            AXS 2x Innovation ETF</x:v>
      </x:c>
      <x:c r="B610" t="str">
        <x:f>"TARK US Equity"</x:f>
        <x:v>TARK US Equity</x:v>
      </x:c>
      <x:c r="E610" t="str">
        <x:f t="shared" si="21"/>
        <x:v>Expression</x:v>
      </x:c>
      <x:c r="F610">
        <x:f ca="1">IF(AND($B$1012=1,LEN($F$1604)&gt;0),$F$1604,HLOOKUP(INDIRECT(ADDRESS(2,COLUMN())),OFFSET($T$2,0,0,ROW()-1,14),ROW()-1,FALSE))</x:f>
        <x:v>-11.361064000000001</x:v>
      </x:c>
      <x:c r="G610">
        <x:f ca="1">IF(AND($B$1012=1,LEN($G$1604)&gt;0),$G$1604,HLOOKUP(INDIRECT(ADDRESS(2,COLUMN())),OFFSET($T$2,0,0,ROW()-1,14),ROW()-1,FALSE))</x:f>
        <x:v>13.075801999999999</x:v>
      </x:c>
      <x:c r="H610">
        <x:f ca="1">IF(AND($B$1012=1,LEN($H$1604)&gt;0),$H$1604,HLOOKUP(INDIRECT(ADDRESS(2,COLUMN())),OFFSET($T$2,0,0,ROW()-1,14),ROW()-1,FALSE))</x:f>
        <x:v>0.193934</x:v>
      </x:c>
      <x:c r="I610">
        <x:f ca="1">IF(AND($B$1012=1,LEN($I$1604)&gt;0),$I$1604,HLOOKUP(INDIRECT(ADDRESS(2,COLUMN())),OFFSET($T$2,0,0,ROW()-1,14),ROW()-1,FALSE))</x:f>
        <x:v>16.018605000000001</x:v>
      </x:c>
      <x:c r="J610">
        <x:f ca="1">IF(AND($B$1012=1,LEN($J$1604)&gt;0),$J$1604,HLOOKUP(INDIRECT(ADDRESS(2,COLUMN())),OFFSET($T$2,0,0,ROW()-1,14),ROW()-1,FALSE))</x:f>
        <x:v>-10.104016</x:v>
      </x:c>
      <x:c r="K610">
        <x:f ca="1">IF(AND($B$1012=1,LEN($K$1604)&gt;0),$K$1604,HLOOKUP(INDIRECT(ADDRESS(2,COLUMN())),OFFSET($T$2,0,0,ROW()-1,14),ROW()-1,FALSE))</x:f>
        <x:v>-6.885116</x:v>
      </x:c>
      <x:c r="L610">
        <x:f ca="1">IF(AND($B$1012=1,LEN($L$1604)&gt;0),$L$1604,HLOOKUP(INDIRECT(ADDRESS(2,COLUMN())),OFFSET($T$2,0,0,ROW()-1,14),ROW()-1,FALSE))</x:f>
        <x:v>-1.067806</x:v>
      </x:c>
      <x:c r="M610">
        <x:f ca="1">IF(AND($B$1012=1,LEN($M$1604)&gt;0),$M$1604,HLOOKUP(INDIRECT(ADDRESS(2,COLUMN())),OFFSET($T$2,0,0,ROW()-1,14),ROW()-1,FALSE))</x:f>
        <x:v>5.0491770000000002</x:v>
      </x:c>
      <x:c r="N610">
        <x:f ca="1">IF(AND($B$1012=1,LEN($N$1604)&gt;0),$N$1604,HLOOKUP(INDIRECT(ADDRESS(2,COLUMN())),OFFSET($T$2,0,0,ROW()-1,14),ROW()-1,FALSE))</x:f>
        <x:v>8.3643359999999998</x:v>
      </x:c>
      <x:c r="O610">
        <x:f ca="1">IF(AND($B$1012=1,LEN($O$1604)&gt;0),$O$1604,HLOOKUP(INDIRECT(ADDRESS(2,COLUMN())),OFFSET($T$2,0,0,ROW()-1,14),ROW()-1,FALSE))</x:f>
        <x:v>-4.2391439999999996</x:v>
      </x:c>
      <x:c r="P610">
        <x:f ca="1">IF(AND($B$1012=1,LEN($P$1604)&gt;0),$P$1604,HLOOKUP(INDIRECT(ADDRESS(2,COLUMN())),OFFSET($T$2,0,0,ROW()-1,14),ROW()-1,FALSE))</x:f>
        <x:v>-29.695917999999999</x:v>
      </x:c>
      <x:c r="Q610">
        <x:f ca="1">IF(AND($B$1012=1,LEN($Q$1604)&gt;0),$Q$1604,HLOOKUP(INDIRECT(ADDRESS(2,COLUMN())),OFFSET($T$2,0,0,ROW()-1,14),ROW()-1,FALSE))</x:f>
        <x:v>19.354844</x:v>
      </x:c>
      <x:c r="R610">
        <x:f ca="1">IF(AND($B$1012=1,LEN($R$1604)&gt;0),$R$1604,HLOOKUP(INDIRECT(ADDRESS(2,COLUMN())),OFFSET($T$2,0,0,ROW()-1,14),ROW()-1,FALSE))</x:f>
        <x:v>4.0328359999999996</x:v>
      </x:c>
      <x:c r="S610">
        <x:f ca="1">IF(AND($B$1012=1,LEN($S$1604)&gt;0),$S$1604,HLOOKUP(INDIRECT(ADDRESS(2,COLUMN())),OFFSET($T$2,0,0,ROW()-1,14),ROW()-1,FALSE))</x:f>
        <x:v>-2.0544750000000001</x:v>
      </x:c>
      <x:c r="T610">
        <x:f>-11.361064</x:f>
        <x:v>-11.361064000000001</x:v>
      </x:c>
      <x:c r="U610">
        <x:f>13.075802</x:f>
        <x:v>13.075801999999999</x:v>
      </x:c>
      <x:c r="V610">
        <x:f>0.193934</x:f>
        <x:v>0.193934</x:v>
      </x:c>
      <x:c r="W610">
        <x:f>16.018605</x:f>
        <x:v>16.018605000000001</x:v>
      </x:c>
      <x:c r="X610">
        <x:f>-10.104016</x:f>
        <x:v>-10.104016</x:v>
      </x:c>
      <x:c r="Y610">
        <x:f>-6.885116</x:f>
        <x:v>-6.885116</x:v>
      </x:c>
      <x:c r="Z610">
        <x:f>-1.067806</x:f>
        <x:v>-1.067806</x:v>
      </x:c>
      <x:c r="AA610">
        <x:f>5.049177</x:f>
        <x:v>5.0491770000000002</x:v>
      </x:c>
      <x:c r="AB610">
        <x:f>8.364336</x:f>
        <x:v>8.3643359999999998</x:v>
      </x:c>
      <x:c r="AC610">
        <x:f>-4.239144</x:f>
        <x:v>-4.2391439999999996</x:v>
      </x:c>
      <x:c r="AD610">
        <x:f>-29.695918</x:f>
        <x:v>-29.695917999999999</x:v>
      </x:c>
      <x:c r="AE610">
        <x:f>19.354844</x:f>
        <x:v>19.354844</x:v>
      </x:c>
      <x:c r="AF610">
        <x:f>4.032836</x:f>
        <x:v>4.0328359999999996</x:v>
      </x:c>
      <x:c r="AG610">
        <x:f>-2.054475</x:f>
        <x:v>-2.0544750000000001</x:v>
      </x:c>
    </x:row>
    <x:row r="611" spans="1:33" x14ac:dyDescent="0.25">
      <x:c r="A611" t="str">
        <x:f>"            AAM Transformers ETF"</x:f>
        <x:v xml:space="preserve">            AAM Transformers ETF</x:v>
      </x:c>
      <x:c r="B611" t="str">
        <x:f>"TRFM US Equity"</x:f>
        <x:v>TRFM US Equity</x:v>
      </x:c>
      <x:c r="E611" t="str">
        <x:f t="shared" si="21"/>
        <x:v>Expression</x:v>
      </x:c>
      <x:c r="F611">
        <x:f ca="1">IF(AND($B$1012=1,LEN($F$1605)&gt;0),$F$1605,HLOOKUP(INDIRECT(ADDRESS(2,COLUMN())),OFFSET($T$2,0,0,ROW()-1,14),ROW()-1,FALSE))</x:f>
        <x:v>0.67437000000000002</x:v>
      </x:c>
      <x:c r="G611">
        <x:f ca="1">IF(AND($B$1012=1,LEN($G$1605)&gt;0),$G$1605,HLOOKUP(INDIRECT(ADDRESS(2,COLUMN())),OFFSET($T$2,0,0,ROW()-1,14),ROW()-1,FALSE))</x:f>
        <x:v>1.2877400000000001</x:v>
      </x:c>
      <x:c r="H611">
        <x:f ca="1">IF(AND($B$1012=1,LEN($H$1605)&gt;0),$H$1605,HLOOKUP(INDIRECT(ADDRESS(2,COLUMN())),OFFSET($T$2,0,0,ROW()-1,14),ROW()-1,FALSE))</x:f>
        <x:v>0.731155</x:v>
      </x:c>
      <x:c r="I611">
        <x:f ca="1">IF(AND($B$1012=1,LEN($I$1605)&gt;0),$I$1605,HLOOKUP(INDIRECT(ADDRESS(2,COLUMN())),OFFSET($T$2,0,0,ROW()-1,14),ROW()-1,FALSE))</x:f>
        <x:v>0.69894800000000001</x:v>
      </x:c>
      <x:c r="J611">
        <x:f ca="1">IF(AND($B$1012=1,LEN($J$1605)&gt;0),$J$1605,HLOOKUP(INDIRECT(ADDRESS(2,COLUMN())),OFFSET($T$2,0,0,ROW()-1,14),ROW()-1,FALSE))</x:f>
        <x:v>2.1467170000000002</x:v>
      </x:c>
      <x:c r="K611">
        <x:f ca="1">IF(AND($B$1012=1,LEN($K$1605)&gt;0),$K$1605,HLOOKUP(INDIRECT(ADDRESS(2,COLUMN())),OFFSET($T$2,0,0,ROW()-1,14),ROW()-1,FALSE))</x:f>
        <x:v>3.5855899999999998</x:v>
      </x:c>
      <x:c r="L611">
        <x:f ca="1">IF(AND($B$1012=1,LEN($L$1605)&gt;0),$L$1605,HLOOKUP(INDIRECT(ADDRESS(2,COLUMN())),OFFSET($T$2,0,0,ROW()-1,14),ROW()-1,FALSE))</x:f>
        <x:v>0</x:v>
      </x:c>
      <x:c r="M611">
        <x:f ca="1">IF(AND($B$1012=1,LEN($M$1605)&gt;0),$M$1605,HLOOKUP(INDIRECT(ADDRESS(2,COLUMN())),OFFSET($T$2,0,0,ROW()-1,14),ROW()-1,FALSE))</x:f>
        <x:v>0</x:v>
      </x:c>
      <x:c r="N611">
        <x:f ca="1">IF(AND($B$1012=1,LEN($N$1605)&gt;0),$N$1605,HLOOKUP(INDIRECT(ADDRESS(2,COLUMN())),OFFSET($T$2,0,0,ROW()-1,14),ROW()-1,FALSE))</x:f>
        <x:v>0.62920500000000001</x:v>
      </x:c>
      <x:c r="O611">
        <x:f ca="1">IF(AND($B$1012=1,LEN($O$1605)&gt;0),$O$1605,HLOOKUP(INDIRECT(ADDRESS(2,COLUMN())),OFFSET($T$2,0,0,ROW()-1,14),ROW()-1,FALSE))</x:f>
        <x:v>0</x:v>
      </x:c>
      <x:c r="P611">
        <x:f ca="1">IF(AND($B$1012=1,LEN($P$1605)&gt;0),$P$1605,HLOOKUP(INDIRECT(ADDRESS(2,COLUMN())),OFFSET($T$2,0,0,ROW()-1,14),ROW()-1,FALSE))</x:f>
        <x:v>4.8221600000000002</x:v>
      </x:c>
      <x:c r="Q611">
        <x:f ca="1">IF(AND($B$1012=1,LEN($Q$1605)&gt;0),$Q$1605,HLOOKUP(INDIRECT(ADDRESS(2,COLUMN())),OFFSET($T$2,0,0,ROW()-1,14),ROW()-1,FALSE))</x:f>
        <x:v>-0.53644499999999995</x:v>
      </x:c>
      <x:c r="R611">
        <x:f ca="1">IF(AND($B$1012=1,LEN($R$1605)&gt;0),$R$1605,HLOOKUP(INDIRECT(ADDRESS(2,COLUMN())),OFFSET($T$2,0,0,ROW()-1,14),ROW()-1,FALSE))</x:f>
        <x:v>2.4259849999999998</x:v>
      </x:c>
      <x:c r="S611">
        <x:f ca="1">IF(AND($B$1012=1,LEN($S$1605)&gt;0),$S$1605,HLOOKUP(INDIRECT(ADDRESS(2,COLUMN())),OFFSET($T$2,0,0,ROW()-1,14),ROW()-1,FALSE))</x:f>
        <x:v>0</x:v>
      </x:c>
      <x:c r="T611">
        <x:f>0.67437</x:f>
        <x:v>0.67437000000000002</x:v>
      </x:c>
      <x:c r="U611">
        <x:f>1.28774</x:f>
        <x:v>1.2877400000000001</x:v>
      </x:c>
      <x:c r="V611">
        <x:f>0.731155</x:f>
        <x:v>0.731155</x:v>
      </x:c>
      <x:c r="W611">
        <x:f>0.698948</x:f>
        <x:v>0.69894800000000001</x:v>
      </x:c>
      <x:c r="X611">
        <x:f>2.146717</x:f>
        <x:v>2.1467170000000002</x:v>
      </x:c>
      <x:c r="Y611">
        <x:f>3.58559</x:f>
        <x:v>3.5855899999999998</x:v>
      </x:c>
      <x:c r="Z611">
        <x:f>0</x:f>
        <x:v>0</x:v>
      </x:c>
      <x:c r="AA611">
        <x:f>0</x:f>
        <x:v>0</x:v>
      </x:c>
      <x:c r="AB611">
        <x:f>0.629205</x:f>
        <x:v>0.62920500000000001</x:v>
      </x:c>
      <x:c r="AC611">
        <x:f>0</x:f>
        <x:v>0</x:v>
      </x:c>
      <x:c r="AD611">
        <x:f>4.82216</x:f>
        <x:v>4.8221600000000002</x:v>
      </x:c>
      <x:c r="AE611">
        <x:f>-0.536445</x:f>
        <x:v>-0.53644499999999995</x:v>
      </x:c>
      <x:c r="AF611">
        <x:f>2.425985</x:f>
        <x:v>2.4259849999999998</x:v>
      </x:c>
      <x:c r="AG611">
        <x:f>0</x:f>
        <x:v>0</x:v>
      </x:c>
    </x:row>
    <x:row r="612" spans="1:33" x14ac:dyDescent="0.25">
      <x:c r="A612" t="str">
        <x:f>"            iShares US Tech Breakthrough M"</x:f>
        <x:v xml:space="preserve">            iShares US Tech Breakthrough M</x:v>
      </x:c>
      <x:c r="B612" t="str">
        <x:f>"TECB US Equity"</x:f>
        <x:v>TECB US Equity</x:v>
      </x:c>
      <x:c r="E612" t="str">
        <x:f t="shared" si="21"/>
        <x:v>Expression</x:v>
      </x:c>
      <x:c r="F612">
        <x:f ca="1">IF(AND($B$1012=1,LEN($F$1606)&gt;0),$F$1606,HLOOKUP(INDIRECT(ADDRESS(2,COLUMN())),OFFSET($T$2,0,0,ROW()-1,14),ROW()-1,FALSE))</x:f>
        <x:v>-9.0779870000000003</x:v>
      </x:c>
      <x:c r="G612">
        <x:f ca="1">IF(AND($B$1012=1,LEN($G$1606)&gt;0),$G$1606,HLOOKUP(INDIRECT(ADDRESS(2,COLUMN())),OFFSET($T$2,0,0,ROW()-1,14),ROW()-1,FALSE))</x:f>
        <x:v>-3.6692779999999998</x:v>
      </x:c>
      <x:c r="H612">
        <x:f ca="1">IF(AND($B$1012=1,LEN($H$1606)&gt;0),$H$1606,HLOOKUP(INDIRECT(ADDRESS(2,COLUMN())),OFFSET($T$2,0,0,ROW()-1,14),ROW()-1,FALSE))</x:f>
        <x:v>0</x:v>
      </x:c>
      <x:c r="I612">
        <x:f ca="1">IF(AND($B$1012=1,LEN($I$1606)&gt;0),$I$1606,HLOOKUP(INDIRECT(ADDRESS(2,COLUMN())),OFFSET($T$2,0,0,ROW()-1,14),ROW()-1,FALSE))</x:f>
        <x:v>1.886865</x:v>
      </x:c>
      <x:c r="J612">
        <x:f ca="1">IF(AND($B$1012=1,LEN($J$1606)&gt;0),$J$1606,HLOOKUP(INDIRECT(ADDRESS(2,COLUMN())),OFFSET($T$2,0,0,ROW()-1,14),ROW()-1,FALSE))</x:f>
        <x:v>-90.692570000000003</x:v>
      </x:c>
      <x:c r="K612">
        <x:f ca="1">IF(AND($B$1012=1,LEN($K$1606)&gt;0),$K$1606,HLOOKUP(INDIRECT(ADDRESS(2,COLUMN())),OFFSET($T$2,0,0,ROW()-1,14),ROW()-1,FALSE))</x:f>
        <x:v>5.3154450000000004</x:v>
      </x:c>
      <x:c r="L612">
        <x:f ca="1">IF(AND($B$1012=1,LEN($L$1606)&gt;0),$L$1606,HLOOKUP(INDIRECT(ADDRESS(2,COLUMN())),OFFSET($T$2,0,0,ROW()-1,14),ROW()-1,FALSE))</x:f>
        <x:v>-20.38607</x:v>
      </x:c>
      <x:c r="M612">
        <x:f ca="1">IF(AND($B$1012=1,LEN($M$1606)&gt;0),$M$1606,HLOOKUP(INDIRECT(ADDRESS(2,COLUMN())),OFFSET($T$2,0,0,ROW()-1,14),ROW()-1,FALSE))</x:f>
        <x:v>0</x:v>
      </x:c>
      <x:c r="N612">
        <x:f ca="1">IF(AND($B$1012=1,LEN($N$1606)&gt;0),$N$1606,HLOOKUP(INDIRECT(ADDRESS(2,COLUMN())),OFFSET($T$2,0,0,ROW()-1,14),ROW()-1,FALSE))</x:f>
        <x:v>-4.7341850000000001</x:v>
      </x:c>
      <x:c r="O612">
        <x:f ca="1">IF(AND($B$1012=1,LEN($O$1606)&gt;0),$O$1606,HLOOKUP(INDIRECT(ADDRESS(2,COLUMN())),OFFSET($T$2,0,0,ROW()-1,14),ROW()-1,FALSE))</x:f>
        <x:v>0</x:v>
      </x:c>
      <x:c r="P612">
        <x:f ca="1">IF(AND($B$1012=1,LEN($P$1606)&gt;0),$P$1606,HLOOKUP(INDIRECT(ADDRESS(2,COLUMN())),OFFSET($T$2,0,0,ROW()-1,14),ROW()-1,FALSE))</x:f>
        <x:v>-1.51258</x:v>
      </x:c>
      <x:c r="Q612">
        <x:f ca="1">IF(AND($B$1012=1,LEN($Q$1606)&gt;0),$Q$1606,HLOOKUP(INDIRECT(ADDRESS(2,COLUMN())),OFFSET($T$2,0,0,ROW()-1,14),ROW()-1,FALSE))</x:f>
        <x:v>-1.4620599999999999</x:v>
      </x:c>
      <x:c r="R612">
        <x:f ca="1">IF(AND($B$1012=1,LEN($R$1606)&gt;0),$R$1606,HLOOKUP(INDIRECT(ADDRESS(2,COLUMN())),OFFSET($T$2,0,0,ROW()-1,14),ROW()-1,FALSE))</x:f>
        <x:v>0</x:v>
      </x:c>
      <x:c r="S612">
        <x:f ca="1">IF(AND($B$1012=1,LEN($S$1606)&gt;0),$S$1606,HLOOKUP(INDIRECT(ADDRESS(2,COLUMN())),OFFSET($T$2,0,0,ROW()-1,14),ROW()-1,FALSE))</x:f>
        <x:v>-2.6249600000000002</x:v>
      </x:c>
      <x:c r="T612">
        <x:f>-9.077987</x:f>
        <x:v>-9.0779870000000003</x:v>
      </x:c>
      <x:c r="U612">
        <x:f>-3.669278</x:f>
        <x:v>-3.6692779999999998</x:v>
      </x:c>
      <x:c r="V612">
        <x:f>0</x:f>
        <x:v>0</x:v>
      </x:c>
      <x:c r="W612">
        <x:f>1.886865</x:f>
        <x:v>1.886865</x:v>
      </x:c>
      <x:c r="X612">
        <x:f>-90.69257</x:f>
        <x:v>-90.692570000000003</x:v>
      </x:c>
      <x:c r="Y612">
        <x:f>5.315445</x:f>
        <x:v>5.3154450000000004</x:v>
      </x:c>
      <x:c r="Z612">
        <x:f>-20.38607</x:f>
        <x:v>-20.38607</x:v>
      </x:c>
      <x:c r="AA612">
        <x:f>0</x:f>
        <x:v>0</x:v>
      </x:c>
      <x:c r="AB612">
        <x:f>-4.734185</x:f>
        <x:v>-4.7341850000000001</x:v>
      </x:c>
      <x:c r="AC612">
        <x:f>0</x:f>
        <x:v>0</x:v>
      </x:c>
      <x:c r="AD612">
        <x:f>-1.51258</x:f>
        <x:v>-1.51258</x:v>
      </x:c>
      <x:c r="AE612">
        <x:f>-1.46206</x:f>
        <x:v>-1.4620599999999999</x:v>
      </x:c>
      <x:c r="AF612">
        <x:f>0</x:f>
        <x:v>0</x:v>
      </x:c>
      <x:c r="AG612">
        <x:f>-2.62496</x:f>
        <x:v>-2.6249600000000002</x:v>
      </x:c>
    </x:row>
    <x:row r="613" spans="1:33" x14ac:dyDescent="0.25">
      <x:c r="A613" t="str">
        <x:f>"            BlackRock Future U.S. Themes E"</x:f>
        <x:v xml:space="preserve">            BlackRock Future U.S. Themes E</x:v>
      </x:c>
      <x:c r="B613" t="str">
        <x:f>"BTHM US Equity"</x:f>
        <x:v>BTHM US Equity</x:v>
      </x:c>
      <x:c r="E613" t="str">
        <x:f t="shared" si="21"/>
        <x:v>Expression</x:v>
      </x:c>
      <x:c r="F613">
        <x:f ca="1">IF(AND($B$1012=1,LEN($F$1607)&gt;0),$F$1607,HLOOKUP(INDIRECT(ADDRESS(2,COLUMN())),OFFSET($T$2,0,0,ROW()-1,14),ROW()-1,FALSE))</x:f>
        <x:v>0</x:v>
      </x:c>
      <x:c r="G613">
        <x:f ca="1">IF(AND($B$1012=1,LEN($G$1607)&gt;0),$G$1607,HLOOKUP(INDIRECT(ADDRESS(2,COLUMN())),OFFSET($T$2,0,0,ROW()-1,14),ROW()-1,FALSE))</x:f>
        <x:v>0</x:v>
      </x:c>
      <x:c r="H613">
        <x:f ca="1">IF(AND($B$1012=1,LEN($H$1607)&gt;0),$H$1607,HLOOKUP(INDIRECT(ADDRESS(2,COLUMN())),OFFSET($T$2,0,0,ROW()-1,14),ROW()-1,FALSE))</x:f>
        <x:v>0</x:v>
      </x:c>
      <x:c r="I613">
        <x:f ca="1">IF(AND($B$1012=1,LEN($I$1607)&gt;0),$I$1607,HLOOKUP(INDIRECT(ADDRESS(2,COLUMN())),OFFSET($T$2,0,0,ROW()-1,14),ROW()-1,FALSE))</x:f>
        <x:v>0</x:v>
      </x:c>
      <x:c r="J613">
        <x:f ca="1">IF(AND($B$1012=1,LEN($J$1607)&gt;0),$J$1607,HLOOKUP(INDIRECT(ADDRESS(2,COLUMN())),OFFSET($T$2,0,0,ROW()-1,14),ROW()-1,FALSE))</x:f>
        <x:v>0</x:v>
      </x:c>
      <x:c r="K613">
        <x:f ca="1">IF(AND($B$1012=1,LEN($K$1607)&gt;0),$K$1607,HLOOKUP(INDIRECT(ADDRESS(2,COLUMN())),OFFSET($T$2,0,0,ROW()-1,14),ROW()-1,FALSE))</x:f>
        <x:v>0</x:v>
      </x:c>
      <x:c r="L613">
        <x:f ca="1">IF(AND($B$1012=1,LEN($L$1607)&gt;0),$L$1607,HLOOKUP(INDIRECT(ADDRESS(2,COLUMN())),OFFSET($T$2,0,0,ROW()-1,14),ROW()-1,FALSE))</x:f>
        <x:v>0</x:v>
      </x:c>
      <x:c r="M613">
        <x:f ca="1">IF(AND($B$1012=1,LEN($M$1607)&gt;0),$M$1607,HLOOKUP(INDIRECT(ADDRESS(2,COLUMN())),OFFSET($T$2,0,0,ROW()-1,14),ROW()-1,FALSE))</x:f>
        <x:v>0</x:v>
      </x:c>
      <x:c r="N613">
        <x:f ca="1">IF(AND($B$1012=1,LEN($N$1607)&gt;0),$N$1607,HLOOKUP(INDIRECT(ADDRESS(2,COLUMN())),OFFSET($T$2,0,0,ROW()-1,14),ROW()-1,FALSE))</x:f>
        <x:v>0</x:v>
      </x:c>
      <x:c r="O613">
        <x:f ca="1">IF(AND($B$1012=1,LEN($O$1607)&gt;0),$O$1607,HLOOKUP(INDIRECT(ADDRESS(2,COLUMN())),OFFSET($T$2,0,0,ROW()-1,14),ROW()-1,FALSE))</x:f>
        <x:v>0</x:v>
      </x:c>
      <x:c r="P613">
        <x:f ca="1">IF(AND($B$1012=1,LEN($P$1607)&gt;0),$P$1607,HLOOKUP(INDIRECT(ADDRESS(2,COLUMN())),OFFSET($T$2,0,0,ROW()-1,14),ROW()-1,FALSE))</x:f>
        <x:v>0</x:v>
      </x:c>
      <x:c r="Q613">
        <x:f ca="1">IF(AND($B$1012=1,LEN($Q$1607)&gt;0),$Q$1607,HLOOKUP(INDIRECT(ADDRESS(2,COLUMN())),OFFSET($T$2,0,0,ROW()-1,14),ROW()-1,FALSE))</x:f>
        <x:v>0</x:v>
      </x:c>
      <x:c r="R613">
        <x:f ca="1">IF(AND($B$1012=1,LEN($R$1607)&gt;0),$R$1607,HLOOKUP(INDIRECT(ADDRESS(2,COLUMN())),OFFSET($T$2,0,0,ROW()-1,14),ROW()-1,FALSE))</x:f>
        <x:v>0</x:v>
      </x:c>
      <x:c r="S613">
        <x:f ca="1">IF(AND($B$1012=1,LEN($S$1607)&gt;0),$S$1607,HLOOKUP(INDIRECT(ADDRESS(2,COLUMN())),OFFSET($T$2,0,0,ROW()-1,14),ROW()-1,FALSE))</x:f>
        <x:v>0</x:v>
      </x:c>
      <x:c r="T613">
        <x:f>0</x:f>
        <x:v>0</x:v>
      </x:c>
      <x:c r="U613">
        <x:f>0</x:f>
        <x:v>0</x:v>
      </x:c>
      <x:c r="V613">
        <x:f>0</x:f>
        <x:v>0</x:v>
      </x:c>
      <x:c r="W613">
        <x:f>0</x:f>
        <x:v>0</x:v>
      </x:c>
      <x:c r="X613">
        <x:f>0</x:f>
        <x:v>0</x:v>
      </x:c>
      <x:c r="Y613">
        <x:f>0</x:f>
        <x:v>0</x:v>
      </x:c>
      <x:c r="Z613">
        <x:f>0</x:f>
        <x:v>0</x:v>
      </x:c>
      <x:c r="AA613">
        <x:f>0</x:f>
        <x:v>0</x:v>
      </x:c>
      <x:c r="AB613">
        <x:f>0</x:f>
        <x:v>0</x:v>
      </x:c>
      <x:c r="AC613">
        <x:f>0</x:f>
        <x:v>0</x:v>
      </x:c>
      <x:c r="AD613">
        <x:f>0</x:f>
        <x:v>0</x:v>
      </x:c>
      <x:c r="AE613">
        <x:f>0</x:f>
        <x:v>0</x:v>
      </x:c>
      <x:c r="AF613">
        <x:f>0</x:f>
        <x:v>0</x:v>
      </x:c>
      <x:c r="AG613">
        <x:f>0</x:f>
        <x:v>0</x:v>
      </x:c>
    </x:row>
    <x:row r="614" spans="1:33" x14ac:dyDescent="0.25">
      <x:c r="A614" t="str">
        <x:f>"        Tech &amp; Communications"</x:f>
        <x:v xml:space="preserve">        Tech &amp; Communications</x:v>
      </x:c>
      <x:c r="B614" t="str">
        <x:f>""</x:f>
        <x:v/>
      </x:c>
      <x:c r="E614" t="str">
        <x:f>"Sum"</x:f>
        <x:v>Sum</x:v>
      </x:c>
      <x:c r="F614">
        <x:f ca="1">IF(ISERROR(IF(SUM($F$615:$F$640) = 0, "", SUM($F$615:$F$640))), "", (IF(SUM($F$615:$F$640) = 0, "", SUM($F$615:$F$640))))</x:f>
        <x:v>-30.373104999999999</x:v>
      </x:c>
      <x:c r="G614">
        <x:f ca="1">IF(ISERROR(IF(SUM($G$615:$G$640) = 0, "", SUM($G$615:$G$640))), "", (IF(SUM($G$615:$G$640) = 0, "", SUM($G$615:$G$640))))</x:f>
        <x:v>-548.8245609999999</x:v>
      </x:c>
      <x:c r="H614">
        <x:f ca="1">IF(ISERROR(IF(SUM($H$615:$H$640) = 0, "", SUM($H$615:$H$640))), "", (IF(SUM($H$615:$H$640) = 0, "", SUM($H$615:$H$640))))</x:f>
        <x:v>-47.880330000000008</x:v>
      </x:c>
      <x:c r="I614">
        <x:f ca="1">IF(ISERROR(IF(SUM($I$615:$I$640) = 0, "", SUM($I$615:$I$640))), "", (IF(SUM($I$615:$I$640) = 0, "", SUM($I$615:$I$640))))</x:f>
        <x:v>-91.405439000000001</x:v>
      </x:c>
      <x:c r="J614">
        <x:f ca="1">IF(ISERROR(IF(SUM($J$615:$J$640) = 0, "", SUM($J$615:$J$640))), "", (IF(SUM($J$615:$J$640) = 0, "", SUM($J$615:$J$640))))</x:f>
        <x:v>389.93827099999993</x:v>
      </x:c>
      <x:c r="K614">
        <x:f ca="1">IF(ISERROR(IF(SUM($K$615:$K$640) = 0, "", SUM($K$615:$K$640))), "", (IF(SUM($K$615:$K$640) = 0, "", SUM($K$615:$K$640))))</x:f>
        <x:v>925.68080600000008</x:v>
      </x:c>
      <x:c r="L614">
        <x:f ca="1">IF(ISERROR(IF(SUM($L$615:$L$640) = 0, "", SUM($L$615:$L$640))), "", (IF(SUM($L$615:$L$640) = 0, "", SUM($L$615:$L$640))))</x:f>
        <x:v>-77.335901000000021</x:v>
      </x:c>
      <x:c r="M614">
        <x:f ca="1">IF(ISERROR(IF(SUM($M$615:$M$640) = 0, "", SUM($M$615:$M$640))), "", (IF(SUM($M$615:$M$640) = 0, "", SUM($M$615:$M$640))))</x:f>
        <x:v>4.1287799999999999</x:v>
      </x:c>
      <x:c r="N614">
        <x:f ca="1">IF(ISERROR(IF(SUM($N$615:$N$640) = 0, "", SUM($N$615:$N$640))), "", (IF(SUM($N$615:$N$640) = 0, "", SUM($N$615:$N$640))))</x:f>
        <x:v>-210.05390600000001</x:v>
      </x:c>
      <x:c r="O614">
        <x:f ca="1">IF(ISERROR(IF(SUM($O$615:$O$640) = 0, "", SUM($O$615:$O$640))), "", (IF(SUM($O$615:$O$640) = 0, "", SUM($O$615:$O$640))))</x:f>
        <x:v>5.4815999999998866E-2</x:v>
      </x:c>
      <x:c r="P614">
        <x:f ca="1">IF(ISERROR(IF(SUM($P$615:$P$640) = 0, "", SUM($P$615:$P$640))), "", (IF(SUM($P$615:$P$640) = 0, "", SUM($P$615:$P$640))))</x:f>
        <x:v>-39.579515000000001</x:v>
      </x:c>
      <x:c r="Q614">
        <x:f ca="1">IF(ISERROR(IF(SUM($Q$615:$Q$640) = 0, "", SUM($Q$615:$Q$640))), "", (IF(SUM($Q$615:$Q$640) = 0, "", SUM($Q$615:$Q$640))))</x:f>
        <x:v>-319.46588400000002</x:v>
      </x:c>
      <x:c r="R614">
        <x:f ca="1">IF(ISERROR(IF(SUM($R$615:$R$640) = 0, "", SUM($R$615:$R$640))), "", (IF(SUM($R$615:$R$640) = 0, "", SUM($R$615:$R$640))))</x:f>
        <x:v>-163.67969599999998</x:v>
      </x:c>
      <x:c r="S614">
        <x:f ca="1">IF(ISERROR(IF(SUM($S$615:$S$640) = 0, "", SUM($S$615:$S$640))), "", (IF(SUM($S$615:$S$640) = 0, "", SUM($S$615:$S$640))))</x:f>
        <x:v>221.94210400000003</x:v>
      </x:c>
      <x:c r="T614">
        <x:f>-30.373105</x:f>
        <x:v>-30.373104999999999</x:v>
      </x:c>
      <x:c r="U614">
        <x:f>-548.824561</x:f>
        <x:v>-548.82456100000002</x:v>
      </x:c>
      <x:c r="V614">
        <x:f>-47.88033</x:f>
        <x:v>-47.880330000000001</x:v>
      </x:c>
      <x:c r="W614">
        <x:f>-91.405439</x:f>
        <x:v>-91.405439000000001</x:v>
      </x:c>
      <x:c r="X614">
        <x:f>389.938271</x:f>
        <x:v>389.93827099999999</x:v>
      </x:c>
      <x:c r="Y614">
        <x:f>925.680806</x:f>
        <x:v>925.68080599999996</x:v>
      </x:c>
      <x:c r="Z614">
        <x:f>-77.335901</x:f>
        <x:v>-77.335901000000007</x:v>
      </x:c>
      <x:c r="AA614">
        <x:f>4.12878</x:f>
        <x:v>4.1287799999999999</x:v>
      </x:c>
      <x:c r="AB614">
        <x:f>-210.053906</x:f>
        <x:v>-210.05390600000001</x:v>
      </x:c>
      <x:c r="AC614">
        <x:f>0.054816</x:f>
        <x:v>5.4815999999999997E-2</x:v>
      </x:c>
      <x:c r="AD614">
        <x:f>-39.579515</x:f>
        <x:v>-39.579515000000001</x:v>
      </x:c>
      <x:c r="AE614">
        <x:f>-319.465884</x:f>
        <x:v>-319.46588400000002</x:v>
      </x:c>
      <x:c r="AF614">
        <x:f>-163.679696</x:f>
        <x:v>-163.67969600000001</x:v>
      </x:c>
      <x:c r="AG614">
        <x:f>221.942104</x:f>
        <x:v>221.942104</x:v>
      </x:c>
    </x:row>
    <x:row r="615" spans="1:33" x14ac:dyDescent="0.25">
      <x:c r="A615" t="str">
        <x:f>"            SPDR S&amp;P Technology Hardware E"</x:f>
        <x:v xml:space="preserve">            SPDR S&amp;P Technology Hardware E</x:v>
      </x:c>
      <x:c r="B615" t="str">
        <x:f>"XTH US Equity"</x:f>
        <x:v>XTH US Equity</x:v>
      </x:c>
      <x:c r="E615" t="str">
        <x:f t="shared" ref="E615:E640" si="22">"Expression"</x:f>
        <x:v>Expression</x:v>
      </x:c>
      <x:c r="F615" t="str">
        <x:f ca="1">IF(AND($B$1012=1,LEN($F$1608)&gt;0),$F$1608,HLOOKUP(INDIRECT(ADDRESS(2,COLUMN())),OFFSET($T$2,0,0,ROW()-1,14),ROW()-1,FALSE))</x:f>
        <x:v/>
      </x:c>
      <x:c r="G615" t="str">
        <x:f ca="1">IF(AND($B$1012=1,LEN($G$1608)&gt;0),$G$1608,HLOOKUP(INDIRECT(ADDRESS(2,COLUMN())),OFFSET($T$2,0,0,ROW()-1,14),ROW()-1,FALSE))</x:f>
        <x:v/>
      </x:c>
      <x:c r="H615" t="str">
        <x:f ca="1">IF(AND($B$1012=1,LEN($H$1608)&gt;0),$H$1608,HLOOKUP(INDIRECT(ADDRESS(2,COLUMN())),OFFSET($T$2,0,0,ROW()-1,14),ROW()-1,FALSE))</x:f>
        <x:v/>
      </x:c>
      <x:c r="I615" t="str">
        <x:f ca="1">IF(AND($B$1012=1,LEN($I$1608)&gt;0),$I$1608,HLOOKUP(INDIRECT(ADDRESS(2,COLUMN())),OFFSET($T$2,0,0,ROW()-1,14),ROW()-1,FALSE))</x:f>
        <x:v/>
      </x:c>
      <x:c r="J615" t="str">
        <x:f ca="1">IF(AND($B$1012=1,LEN($J$1608)&gt;0),$J$1608,HLOOKUP(INDIRECT(ADDRESS(2,COLUMN())),OFFSET($T$2,0,0,ROW()-1,14),ROW()-1,FALSE))</x:f>
        <x:v/>
      </x:c>
      <x:c r="K615" t="str">
        <x:f ca="1">IF(AND($B$1012=1,LEN($K$1608)&gt;0),$K$1608,HLOOKUP(INDIRECT(ADDRESS(2,COLUMN())),OFFSET($T$2,0,0,ROW()-1,14),ROW()-1,FALSE))</x:f>
        <x:v/>
      </x:c>
      <x:c r="L615" t="str">
        <x:f ca="1">IF(AND($B$1012=1,LEN($L$1608)&gt;0),$L$1608,HLOOKUP(INDIRECT(ADDRESS(2,COLUMN())),OFFSET($T$2,0,0,ROW()-1,14),ROW()-1,FALSE))</x:f>
        <x:v/>
      </x:c>
      <x:c r="M615" t="str">
        <x:f ca="1">IF(AND($B$1012=1,LEN($M$1608)&gt;0),$M$1608,HLOOKUP(INDIRECT(ADDRESS(2,COLUMN())),OFFSET($T$2,0,0,ROW()-1,14),ROW()-1,FALSE))</x:f>
        <x:v/>
      </x:c>
      <x:c r="N615" t="str">
        <x:f ca="1">IF(AND($B$1012=1,LEN($N$1608)&gt;0),$N$1608,HLOOKUP(INDIRECT(ADDRESS(2,COLUMN())),OFFSET($T$2,0,0,ROW()-1,14),ROW()-1,FALSE))</x:f>
        <x:v/>
      </x:c>
      <x:c r="O615" t="str">
        <x:f ca="1">IF(AND($B$1012=1,LEN($O$1608)&gt;0),$O$1608,HLOOKUP(INDIRECT(ADDRESS(2,COLUMN())),OFFSET($T$2,0,0,ROW()-1,14),ROW()-1,FALSE))</x:f>
        <x:v/>
      </x:c>
      <x:c r="P615" t="str">
        <x:f ca="1">IF(AND($B$1012=1,LEN($P$1608)&gt;0),$P$1608,HLOOKUP(INDIRECT(ADDRESS(2,COLUMN())),OFFSET($T$2,0,0,ROW()-1,14),ROW()-1,FALSE))</x:f>
        <x:v/>
      </x:c>
      <x:c r="Q615" t="str">
        <x:f ca="1">IF(AND($B$1012=1,LEN($Q$1608)&gt;0),$Q$1608,HLOOKUP(INDIRECT(ADDRESS(2,COLUMN())),OFFSET($T$2,0,0,ROW()-1,14),ROW()-1,FALSE))</x:f>
        <x:v/>
      </x:c>
      <x:c r="R615" t="str">
        <x:f ca="1">IF(AND($B$1012=1,LEN($R$1608)&gt;0),$R$1608,HLOOKUP(INDIRECT(ADDRESS(2,COLUMN())),OFFSET($T$2,0,0,ROW()-1,14),ROW()-1,FALSE))</x:f>
        <x:v/>
      </x:c>
      <x:c r="S615" t="str">
        <x:f ca="1">IF(AND($B$1012=1,LEN($S$1608)&gt;0),$S$1608,HLOOKUP(INDIRECT(ADDRESS(2,COLUMN())),OFFSET($T$2,0,0,ROW()-1,14),ROW()-1,FALSE))</x:f>
        <x:v/>
      </x:c>
      <x:c r="T615" t="str">
        <x:f>""</x:f>
        <x:v/>
      </x:c>
      <x:c r="U615" t="str">
        <x:f>""</x:f>
        <x:v/>
      </x:c>
      <x:c r="V615" t="str">
        <x:f>""</x:f>
        <x:v/>
      </x:c>
      <x:c r="W615" t="str">
        <x:f>""</x:f>
        <x:v/>
      </x:c>
      <x:c r="X615" t="str">
        <x:f>""</x:f>
        <x:v/>
      </x:c>
      <x:c r="Y615" t="str">
        <x:f>""</x:f>
        <x:v/>
      </x:c>
      <x:c r="Z615" t="str">
        <x:f>""</x:f>
        <x:v/>
      </x:c>
      <x:c r="AA615" t="str">
        <x:f>""</x:f>
        <x:v/>
      </x:c>
      <x:c r="AB615" t="str">
        <x:f>""</x:f>
        <x:v/>
      </x:c>
      <x:c r="AC615" t="str">
        <x:f>""</x:f>
        <x:v/>
      </x:c>
      <x:c r="AD615" t="str">
        <x:f>""</x:f>
        <x:v/>
      </x:c>
      <x:c r="AE615" t="str">
        <x:f>""</x:f>
        <x:v/>
      </x:c>
      <x:c r="AF615" t="str">
        <x:f>""</x:f>
        <x:v/>
      </x:c>
      <x:c r="AG615" t="str">
        <x:f>""</x:f>
        <x:v/>
      </x:c>
    </x:row>
    <x:row r="616" spans="1:33" x14ac:dyDescent="0.25">
      <x:c r="A616" t="str">
        <x:f>"            Global X Social Media ETF"</x:f>
        <x:v xml:space="preserve">            Global X Social Media ETF</x:v>
      </x:c>
      <x:c r="B616" t="str">
        <x:f>"SOCL US Equity"</x:f>
        <x:v>SOCL US Equity</x:v>
      </x:c>
      <x:c r="E616" t="str">
        <x:f t="shared" si="22"/>
        <x:v>Expression</x:v>
      </x:c>
      <x:c r="F616">
        <x:f ca="1">IF(AND($B$1012=1,LEN($F$1609)&gt;0),$F$1609,HLOOKUP(INDIRECT(ADDRESS(2,COLUMN())),OFFSET($T$2,0,0,ROW()-1,14),ROW()-1,FALSE))</x:f>
        <x:v>0</x:v>
      </x:c>
      <x:c r="G616">
        <x:f ca="1">IF(AND($B$1012=1,LEN($G$1609)&gt;0),$G$1609,HLOOKUP(INDIRECT(ADDRESS(2,COLUMN())),OFFSET($T$2,0,0,ROW()-1,14),ROW()-1,FALSE))</x:f>
        <x:v>7.1760000000000002</x:v>
      </x:c>
      <x:c r="H616">
        <x:f ca="1">IF(AND($B$1012=1,LEN($H$1609)&gt;0),$H$1609,HLOOKUP(INDIRECT(ADDRESS(2,COLUMN())),OFFSET($T$2,0,0,ROW()-1,14),ROW()-1,FALSE))</x:f>
        <x:v>9.6745000000000001</x:v>
      </x:c>
      <x:c r="I616">
        <x:f ca="1">IF(AND($B$1012=1,LEN($I$1609)&gt;0),$I$1609,HLOOKUP(INDIRECT(ADDRESS(2,COLUMN())),OFFSET($T$2,0,0,ROW()-1,14),ROW()-1,FALSE))</x:f>
        <x:v>-3.5061</x:v>
      </x:c>
      <x:c r="J616">
        <x:f ca="1">IF(AND($B$1012=1,LEN($J$1609)&gt;0),$J$1609,HLOOKUP(INDIRECT(ADDRESS(2,COLUMN())),OFFSET($T$2,0,0,ROW()-1,14),ROW()-1,FALSE))</x:f>
        <x:v>0</x:v>
      </x:c>
      <x:c r="K616">
        <x:f ca="1">IF(AND($B$1012=1,LEN($K$1609)&gt;0),$K$1609,HLOOKUP(INDIRECT(ADDRESS(2,COLUMN())),OFFSET($T$2,0,0,ROW()-1,14),ROW()-1,FALSE))</x:f>
        <x:v>-11.884399999999999</x:v>
      </x:c>
      <x:c r="L616">
        <x:f ca="1">IF(AND($B$1012=1,LEN($L$1609)&gt;0),$L$1609,HLOOKUP(INDIRECT(ADDRESS(2,COLUMN())),OFFSET($T$2,0,0,ROW()-1,14),ROW()-1,FALSE))</x:f>
        <x:v>-0.28889999999999999</x:v>
      </x:c>
      <x:c r="M616">
        <x:f ca="1">IF(AND($B$1012=1,LEN($M$1609)&gt;0),$M$1609,HLOOKUP(INDIRECT(ADDRESS(2,COLUMN())),OFFSET($T$2,0,0,ROW()-1,14),ROW()-1,FALSE))</x:f>
        <x:v>0</x:v>
      </x:c>
      <x:c r="N616">
        <x:f ca="1">IF(AND($B$1012=1,LEN($N$1609)&gt;0),$N$1609,HLOOKUP(INDIRECT(ADDRESS(2,COLUMN())),OFFSET($T$2,0,0,ROW()-1,14),ROW()-1,FALSE))</x:f>
        <x:v>-4.5895999999999999</x:v>
      </x:c>
      <x:c r="O616">
        <x:f ca="1">IF(AND($B$1012=1,LEN($O$1609)&gt;0),$O$1609,HLOOKUP(INDIRECT(ADDRESS(2,COLUMN())),OFFSET($T$2,0,0,ROW()-1,14),ROW()-1,FALSE))</x:f>
        <x:v>5.7663000000000002</x:v>
      </x:c>
      <x:c r="P616">
        <x:f ca="1">IF(AND($B$1012=1,LEN($P$1609)&gt;0),$P$1609,HLOOKUP(INDIRECT(ADDRESS(2,COLUMN())),OFFSET($T$2,0,0,ROW()-1,14),ROW()-1,FALSE))</x:f>
        <x:v>0.16350000000000001</x:v>
      </x:c>
      <x:c r="Q616">
        <x:f ca="1">IF(AND($B$1012=1,LEN($Q$1609)&gt;0),$Q$1609,HLOOKUP(INDIRECT(ADDRESS(2,COLUMN())),OFFSET($T$2,0,0,ROW()-1,14),ROW()-1,FALSE))</x:f>
        <x:v>-4.9889000000000001</x:v>
      </x:c>
      <x:c r="R616">
        <x:f ca="1">IF(AND($B$1012=1,LEN($R$1609)&gt;0),$R$1609,HLOOKUP(INDIRECT(ADDRESS(2,COLUMN())),OFFSET($T$2,0,0,ROW()-1,14),ROW()-1,FALSE))</x:f>
        <x:v>-1.1299999999999999</x:v>
      </x:c>
      <x:c r="S616">
        <x:f ca="1">IF(AND($B$1012=1,LEN($S$1609)&gt;0),$S$1609,HLOOKUP(INDIRECT(ADDRESS(2,COLUMN())),OFFSET($T$2,0,0,ROW()-1,14),ROW()-1,FALSE))</x:f>
        <x:v>-16.589700000000001</x:v>
      </x:c>
      <x:c r="T616">
        <x:f>0</x:f>
        <x:v>0</x:v>
      </x:c>
      <x:c r="U616">
        <x:f>7.176</x:f>
        <x:v>7.1760000000000002</x:v>
      </x:c>
      <x:c r="V616">
        <x:f>9.6745</x:f>
        <x:v>9.6745000000000001</x:v>
      </x:c>
      <x:c r="W616">
        <x:f>-3.5061</x:f>
        <x:v>-3.5061</x:v>
      </x:c>
      <x:c r="X616">
        <x:f>0</x:f>
        <x:v>0</x:v>
      </x:c>
      <x:c r="Y616">
        <x:f>-11.8844</x:f>
        <x:v>-11.884399999999999</x:v>
      </x:c>
      <x:c r="Z616">
        <x:f>-0.2889</x:f>
        <x:v>-0.28889999999999999</x:v>
      </x:c>
      <x:c r="AA616">
        <x:f>0</x:f>
        <x:v>0</x:v>
      </x:c>
      <x:c r="AB616">
        <x:f>-4.5896</x:f>
        <x:v>-4.5895999999999999</x:v>
      </x:c>
      <x:c r="AC616">
        <x:f>5.7663</x:f>
        <x:v>5.7663000000000002</x:v>
      </x:c>
      <x:c r="AD616">
        <x:f>0.1635</x:f>
        <x:v>0.16350000000000001</x:v>
      </x:c>
      <x:c r="AE616">
        <x:f>-4.9889</x:f>
        <x:v>-4.9889000000000001</x:v>
      </x:c>
      <x:c r="AF616">
        <x:f>-1.13</x:f>
        <x:v>-1.1299999999999999</x:v>
      </x:c>
      <x:c r="AG616">
        <x:f>-16.5897</x:f>
        <x:v>-16.589700000000001</x:v>
      </x:c>
    </x:row>
    <x:row r="617" spans="1:33" x14ac:dyDescent="0.25">
      <x:c r="A617" t="str">
        <x:f>"            ARK Next Generation Internet E"</x:f>
        <x:v xml:space="preserve">            ARK Next Generation Internet E</x:v>
      </x:c>
      <x:c r="B617" t="str">
        <x:f>"ARKW US Equity"</x:f>
        <x:v>ARKW US Equity</x:v>
      </x:c>
      <x:c r="E617" t="str">
        <x:f t="shared" si="22"/>
        <x:v>Expression</x:v>
      </x:c>
      <x:c r="F617">
        <x:f ca="1">IF(AND($B$1012=1,LEN($F$1610)&gt;0),$F$1610,HLOOKUP(INDIRECT(ADDRESS(2,COLUMN())),OFFSET($T$2,0,0,ROW()-1,14),ROW()-1,FALSE))</x:f>
        <x:v>-2.5723539999999998</x:v>
      </x:c>
      <x:c r="G617">
        <x:f ca="1">IF(AND($B$1012=1,LEN($G$1610)&gt;0),$G$1610,HLOOKUP(INDIRECT(ADDRESS(2,COLUMN())),OFFSET($T$2,0,0,ROW()-1,14),ROW()-1,FALSE))</x:f>
        <x:v>-39.868690999999998</x:v>
      </x:c>
      <x:c r="H617">
        <x:f ca="1">IF(AND($B$1012=1,LEN($H$1610)&gt;0),$H$1610,HLOOKUP(INDIRECT(ADDRESS(2,COLUMN())),OFFSET($T$2,0,0,ROW()-1,14),ROW()-1,FALSE))</x:f>
        <x:v>-13.965577</x:v>
      </x:c>
      <x:c r="I617">
        <x:f ca="1">IF(AND($B$1012=1,LEN($I$1610)&gt;0),$I$1610,HLOOKUP(INDIRECT(ADDRESS(2,COLUMN())),OFFSET($T$2,0,0,ROW()-1,14),ROW()-1,FALSE))</x:f>
        <x:v>-58.793681999999997</x:v>
      </x:c>
      <x:c r="J617">
        <x:f ca="1">IF(AND($B$1012=1,LEN($J$1610)&gt;0),$J$1610,HLOOKUP(INDIRECT(ADDRESS(2,COLUMN())),OFFSET($T$2,0,0,ROW()-1,14),ROW()-1,FALSE))</x:f>
        <x:v>32.528877000000001</x:v>
      </x:c>
      <x:c r="K617">
        <x:f ca="1">IF(AND($B$1012=1,LEN($K$1610)&gt;0),$K$1610,HLOOKUP(INDIRECT(ADDRESS(2,COLUMN())),OFFSET($T$2,0,0,ROW()-1,14),ROW()-1,FALSE))</x:f>
        <x:v>13.901996</x:v>
      </x:c>
      <x:c r="L617">
        <x:f ca="1">IF(AND($B$1012=1,LEN($L$1610)&gt;0),$L$1610,HLOOKUP(INDIRECT(ADDRESS(2,COLUMN())),OFFSET($T$2,0,0,ROW()-1,14),ROW()-1,FALSE))</x:f>
        <x:v>-6.5938160000000003</x:v>
      </x:c>
      <x:c r="M617">
        <x:f ca="1">IF(AND($B$1012=1,LEN($M$1610)&gt;0),$M$1610,HLOOKUP(INDIRECT(ADDRESS(2,COLUMN())),OFFSET($T$2,0,0,ROW()-1,14),ROW()-1,FALSE))</x:f>
        <x:v>-10.023896000000001</x:v>
      </x:c>
      <x:c r="N617">
        <x:f ca="1">IF(AND($B$1012=1,LEN($N$1610)&gt;0),$N$1610,HLOOKUP(INDIRECT(ADDRESS(2,COLUMN())),OFFSET($T$2,0,0,ROW()-1,14),ROW()-1,FALSE))</x:f>
        <x:v>-14.624017</x:v>
      </x:c>
      <x:c r="O617">
        <x:f ca="1">IF(AND($B$1012=1,LEN($O$1610)&gt;0),$O$1610,HLOOKUP(INDIRECT(ADDRESS(2,COLUMN())),OFFSET($T$2,0,0,ROW()-1,14),ROW()-1,FALSE))</x:f>
        <x:v>-30.986823999999999</x:v>
      </x:c>
      <x:c r="P617">
        <x:f ca="1">IF(AND($B$1012=1,LEN($P$1610)&gt;0),$P$1610,HLOOKUP(INDIRECT(ADDRESS(2,COLUMN())),OFFSET($T$2,0,0,ROW()-1,14),ROW()-1,FALSE))</x:f>
        <x:v>12.924507</x:v>
      </x:c>
      <x:c r="Q617">
        <x:f ca="1">IF(AND($B$1012=1,LEN($Q$1610)&gt;0),$Q$1610,HLOOKUP(INDIRECT(ADDRESS(2,COLUMN())),OFFSET($T$2,0,0,ROW()-1,14),ROW()-1,FALSE))</x:f>
        <x:v>-49.52169</x:v>
      </x:c>
      <x:c r="R617">
        <x:f ca="1">IF(AND($B$1012=1,LEN($R$1610)&gt;0),$R$1610,HLOOKUP(INDIRECT(ADDRESS(2,COLUMN())),OFFSET($T$2,0,0,ROW()-1,14),ROW()-1,FALSE))</x:f>
        <x:v>-20.483791</x:v>
      </x:c>
      <x:c r="S617">
        <x:f ca="1">IF(AND($B$1012=1,LEN($S$1610)&gt;0),$S$1610,HLOOKUP(INDIRECT(ADDRESS(2,COLUMN())),OFFSET($T$2,0,0,ROW()-1,14),ROW()-1,FALSE))</x:f>
        <x:v>20.738102000000001</x:v>
      </x:c>
      <x:c r="T617">
        <x:f>-2.572354</x:f>
        <x:v>-2.5723539999999998</x:v>
      </x:c>
      <x:c r="U617">
        <x:f>-39.868691</x:f>
        <x:v>-39.868690999999998</x:v>
      </x:c>
      <x:c r="V617">
        <x:f>-13.965577</x:f>
        <x:v>-13.965577</x:v>
      </x:c>
      <x:c r="W617">
        <x:f>-58.793682</x:f>
        <x:v>-58.793681999999997</x:v>
      </x:c>
      <x:c r="X617">
        <x:f>32.528877</x:f>
        <x:v>32.528877000000001</x:v>
      </x:c>
      <x:c r="Y617">
        <x:f>13.901996</x:f>
        <x:v>13.901996</x:v>
      </x:c>
      <x:c r="Z617">
        <x:f>-6.593816</x:f>
        <x:v>-6.5938160000000003</x:v>
      </x:c>
      <x:c r="AA617">
        <x:f>-10.023896</x:f>
        <x:v>-10.023896000000001</x:v>
      </x:c>
      <x:c r="AB617">
        <x:f>-14.624017</x:f>
        <x:v>-14.624017</x:v>
      </x:c>
      <x:c r="AC617">
        <x:f>-30.986824</x:f>
        <x:v>-30.986823999999999</x:v>
      </x:c>
      <x:c r="AD617">
        <x:f>12.924507</x:f>
        <x:v>12.924507</x:v>
      </x:c>
      <x:c r="AE617">
        <x:f>-49.52169</x:f>
        <x:v>-49.52169</x:v>
      </x:c>
      <x:c r="AF617">
        <x:f>-20.483791</x:f>
        <x:v>-20.483791</x:v>
      </x:c>
      <x:c r="AG617">
        <x:f>20.738102</x:f>
        <x:v>20.738102000000001</x:v>
      </x:c>
    </x:row>
    <x:row r="618" spans="1:33" x14ac:dyDescent="0.25">
      <x:c r="A618" t="str">
        <x:f>"            Global X Internet of Things ET"</x:f>
        <x:v xml:space="preserve">            Global X Internet of Things ET</x:v>
      </x:c>
      <x:c r="B618" t="str">
        <x:f>"SNSR US Equity"</x:f>
        <x:v>SNSR US Equity</x:v>
      </x:c>
      <x:c r="E618" t="str">
        <x:f t="shared" si="22"/>
        <x:v>Expression</x:v>
      </x:c>
      <x:c r="F618">
        <x:f ca="1">IF(AND($B$1012=1,LEN($F$1611)&gt;0),$F$1611,HLOOKUP(INDIRECT(ADDRESS(2,COLUMN())),OFFSET($T$2,0,0,ROW()-1,14),ROW()-1,FALSE))</x:f>
        <x:v>0</x:v>
      </x:c>
      <x:c r="G618">
        <x:f ca="1">IF(AND($B$1012=1,LEN($G$1611)&gt;0),$G$1611,HLOOKUP(INDIRECT(ADDRESS(2,COLUMN())),OFFSET($T$2,0,0,ROW()-1,14),ROW()-1,FALSE))</x:f>
        <x:v>-6.3503999999999996</x:v>
      </x:c>
      <x:c r="H618">
        <x:f ca="1">IF(AND($B$1012=1,LEN($H$1611)&gt;0),$H$1611,HLOOKUP(INDIRECT(ADDRESS(2,COLUMN())),OFFSET($T$2,0,0,ROW()-1,14),ROW()-1,FALSE))</x:f>
        <x:v>-1.5225</x:v>
      </x:c>
      <x:c r="I618">
        <x:f ca="1">IF(AND($B$1012=1,LEN($I$1611)&gt;0),$I$1611,HLOOKUP(INDIRECT(ADDRESS(2,COLUMN())),OFFSET($T$2,0,0,ROW()-1,14),ROW()-1,FALSE))</x:f>
        <x:v>-28.688099999999999</x:v>
      </x:c>
      <x:c r="J618">
        <x:f ca="1">IF(AND($B$1012=1,LEN($J$1611)&gt;0),$J$1611,HLOOKUP(INDIRECT(ADDRESS(2,COLUMN())),OFFSET($T$2,0,0,ROW()-1,14),ROW()-1,FALSE))</x:f>
        <x:v>-8.7779000000000007</x:v>
      </x:c>
      <x:c r="K618">
        <x:f ca="1">IF(AND($B$1012=1,LEN($K$1611)&gt;0),$K$1611,HLOOKUP(INDIRECT(ADDRESS(2,COLUMN())),OFFSET($T$2,0,0,ROW()-1,14),ROW()-1,FALSE))</x:f>
        <x:v>20.648499999999999</x:v>
      </x:c>
      <x:c r="L618">
        <x:f ca="1">IF(AND($B$1012=1,LEN($L$1611)&gt;0),$L$1611,HLOOKUP(INDIRECT(ADDRESS(2,COLUMN())),OFFSET($T$2,0,0,ROW()-1,14),ROW()-1,FALSE))</x:f>
        <x:v>-30.119</x:v>
      </x:c>
      <x:c r="M618">
        <x:f ca="1">IF(AND($B$1012=1,LEN($M$1611)&gt;0),$M$1611,HLOOKUP(INDIRECT(ADDRESS(2,COLUMN())),OFFSET($T$2,0,0,ROW()-1,14),ROW()-1,FALSE))</x:f>
        <x:v>22.731999999999999</x:v>
      </x:c>
      <x:c r="N618">
        <x:f ca="1">IF(AND($B$1012=1,LEN($N$1611)&gt;0),$N$1611,HLOOKUP(INDIRECT(ADDRESS(2,COLUMN())),OFFSET($T$2,0,0,ROW()-1,14),ROW()-1,FALSE))</x:f>
        <x:v>-34.764400000000002</x:v>
      </x:c>
      <x:c r="O618">
        <x:f ca="1">IF(AND($B$1012=1,LEN($O$1611)&gt;0),$O$1611,HLOOKUP(INDIRECT(ADDRESS(2,COLUMN())),OFFSET($T$2,0,0,ROW()-1,14),ROW()-1,FALSE))</x:f>
        <x:v>34.432299999999998</x:v>
      </x:c>
      <x:c r="P618">
        <x:f ca="1">IF(AND($B$1012=1,LEN($P$1611)&gt;0),$P$1611,HLOOKUP(INDIRECT(ADDRESS(2,COLUMN())),OFFSET($T$2,0,0,ROW()-1,14),ROW()-1,FALSE))</x:f>
        <x:v>0</x:v>
      </x:c>
      <x:c r="Q618">
        <x:f ca="1">IF(AND($B$1012=1,LEN($Q$1611)&gt;0),$Q$1611,HLOOKUP(INDIRECT(ADDRESS(2,COLUMN())),OFFSET($T$2,0,0,ROW()-1,14),ROW()-1,FALSE))</x:f>
        <x:v>-0.88019999999999998</x:v>
      </x:c>
      <x:c r="R618">
        <x:f ca="1">IF(AND($B$1012=1,LEN($R$1611)&gt;0),$R$1611,HLOOKUP(INDIRECT(ADDRESS(2,COLUMN())),OFFSET($T$2,0,0,ROW()-1,14),ROW()-1,FALSE))</x:f>
        <x:v>-4.7695999999999996</x:v>
      </x:c>
      <x:c r="S618">
        <x:f ca="1">IF(AND($B$1012=1,LEN($S$1611)&gt;0),$S$1611,HLOOKUP(INDIRECT(ADDRESS(2,COLUMN())),OFFSET($T$2,0,0,ROW()-1,14),ROW()-1,FALSE))</x:f>
        <x:v>-9.5936000000000003</x:v>
      </x:c>
      <x:c r="T618">
        <x:f>0</x:f>
        <x:v>0</x:v>
      </x:c>
      <x:c r="U618">
        <x:f>-6.3504</x:f>
        <x:v>-6.3503999999999996</x:v>
      </x:c>
      <x:c r="V618">
        <x:f>-1.5225</x:f>
        <x:v>-1.5225</x:v>
      </x:c>
      <x:c r="W618">
        <x:f>-28.6881</x:f>
        <x:v>-28.688099999999999</x:v>
      </x:c>
      <x:c r="X618">
        <x:f>-8.7779</x:f>
        <x:v>-8.7779000000000007</x:v>
      </x:c>
      <x:c r="Y618">
        <x:f>20.6485</x:f>
        <x:v>20.648499999999999</x:v>
      </x:c>
      <x:c r="Z618">
        <x:f>-30.119</x:f>
        <x:v>-30.119</x:v>
      </x:c>
      <x:c r="AA618">
        <x:f>22.732</x:f>
        <x:v>22.731999999999999</x:v>
      </x:c>
      <x:c r="AB618">
        <x:f>-34.7644</x:f>
        <x:v>-34.764400000000002</x:v>
      </x:c>
      <x:c r="AC618">
        <x:f>34.4323</x:f>
        <x:v>34.432299999999998</x:v>
      </x:c>
      <x:c r="AD618">
        <x:f>0</x:f>
        <x:v>0</x:v>
      </x:c>
      <x:c r="AE618">
        <x:f>-0.8802</x:f>
        <x:v>-0.88019999999999998</x:v>
      </x:c>
      <x:c r="AF618">
        <x:f>-4.7696</x:f>
        <x:v>-4.7695999999999996</x:v>
      </x:c>
      <x:c r="AG618">
        <x:f>-9.5936</x:f>
        <x:v>-9.5936000000000003</x:v>
      </x:c>
    </x:row>
    <x:row r="619" spans="1:33" x14ac:dyDescent="0.25">
      <x:c r="A619" t="str">
        <x:f>"            SPDR S&amp;P Internet ETF"</x:f>
        <x:v xml:space="preserve">            SPDR S&amp;P Internet ETF</x:v>
      </x:c>
      <x:c r="B619" t="str">
        <x:f>"XWEB US Equity"</x:f>
        <x:v>XWEB US Equity</x:v>
      </x:c>
      <x:c r="E619" t="str">
        <x:f t="shared" si="22"/>
        <x:v>Expression</x:v>
      </x:c>
      <x:c r="F619">
        <x:f ca="1">IF(AND($B$1012=1,LEN($F$1612)&gt;0),$F$1612,HLOOKUP(INDIRECT(ADDRESS(2,COLUMN())),OFFSET($T$2,0,0,ROW()-1,14),ROW()-1,FALSE))</x:f>
        <x:v>-1.4592989999999999</x:v>
      </x:c>
      <x:c r="G619">
        <x:f ca="1">IF(AND($B$1012=1,LEN($G$1612)&gt;0),$G$1612,HLOOKUP(INDIRECT(ADDRESS(2,COLUMN())),OFFSET($T$2,0,0,ROW()-1,14),ROW()-1,FALSE))</x:f>
        <x:v>0</x:v>
      </x:c>
      <x:c r="H619">
        <x:f ca="1">IF(AND($B$1012=1,LEN($H$1612)&gt;0),$H$1612,HLOOKUP(INDIRECT(ADDRESS(2,COLUMN())),OFFSET($T$2,0,0,ROW()-1,14),ROW()-1,FALSE))</x:f>
        <x:v>0</x:v>
      </x:c>
      <x:c r="I619">
        <x:f ca="1">IF(AND($B$1012=1,LEN($I$1612)&gt;0),$I$1612,HLOOKUP(INDIRECT(ADDRESS(2,COLUMN())),OFFSET($T$2,0,0,ROW()-1,14),ROW()-1,FALSE))</x:f>
        <x:v>-0.83348900000000004</x:v>
      </x:c>
      <x:c r="J619">
        <x:f ca="1">IF(AND($B$1012=1,LEN($J$1612)&gt;0),$J$1612,HLOOKUP(INDIRECT(ADDRESS(2,COLUMN())),OFFSET($T$2,0,0,ROW()-1,14),ROW()-1,FALSE))</x:f>
        <x:v>0</x:v>
      </x:c>
      <x:c r="K619">
        <x:f ca="1">IF(AND($B$1012=1,LEN($K$1612)&gt;0),$K$1612,HLOOKUP(INDIRECT(ADDRESS(2,COLUMN())),OFFSET($T$2,0,0,ROW()-1,14),ROW()-1,FALSE))</x:f>
        <x:v>0.78373800000000005</x:v>
      </x:c>
      <x:c r="L619">
        <x:f ca="1">IF(AND($B$1012=1,LEN($L$1612)&gt;0),$L$1612,HLOOKUP(INDIRECT(ADDRESS(2,COLUMN())),OFFSET($T$2,0,0,ROW()-1,14),ROW()-1,FALSE))</x:f>
        <x:v>-0.65867900000000001</x:v>
      </x:c>
      <x:c r="M619">
        <x:f ca="1">IF(AND($B$1012=1,LEN($M$1612)&gt;0),$M$1612,HLOOKUP(INDIRECT(ADDRESS(2,COLUMN())),OFFSET($T$2,0,0,ROW()-1,14),ROW()-1,FALSE))</x:f>
        <x:v>-0.69303300000000001</x:v>
      </x:c>
      <x:c r="N619">
        <x:f ca="1">IF(AND($B$1012=1,LEN($N$1612)&gt;0),$N$1612,HLOOKUP(INDIRECT(ADDRESS(2,COLUMN())),OFFSET($T$2,0,0,ROW()-1,14),ROW()-1,FALSE))</x:f>
        <x:v>0</x:v>
      </x:c>
      <x:c r="O619">
        <x:f ca="1">IF(AND($B$1012=1,LEN($O$1612)&gt;0),$O$1612,HLOOKUP(INDIRECT(ADDRESS(2,COLUMN())),OFFSET($T$2,0,0,ROW()-1,14),ROW()-1,FALSE))</x:f>
        <x:v>0</x:v>
      </x:c>
      <x:c r="P619">
        <x:f ca="1">IF(AND($B$1012=1,LEN($P$1612)&gt;0),$P$1612,HLOOKUP(INDIRECT(ADDRESS(2,COLUMN())),OFFSET($T$2,0,0,ROW()-1,14),ROW()-1,FALSE))</x:f>
        <x:v>-1.3593470000000001</x:v>
      </x:c>
      <x:c r="Q619">
        <x:f ca="1">IF(AND($B$1012=1,LEN($Q$1612)&gt;0),$Q$1612,HLOOKUP(INDIRECT(ADDRESS(2,COLUMN())),OFFSET($T$2,0,0,ROW()-1,14),ROW()-1,FALSE))</x:f>
        <x:v>-0.67539400000000005</x:v>
      </x:c>
      <x:c r="R619">
        <x:f ca="1">IF(AND($B$1012=1,LEN($R$1612)&gt;0),$R$1612,HLOOKUP(INDIRECT(ADDRESS(2,COLUMN())),OFFSET($T$2,0,0,ROW()-1,14),ROW()-1,FALSE))</x:f>
        <x:v>-0.66095700000000002</x:v>
      </x:c>
      <x:c r="S619">
        <x:f ca="1">IF(AND($B$1012=1,LEN($S$1612)&gt;0),$S$1612,HLOOKUP(INDIRECT(ADDRESS(2,COLUMN())),OFFSET($T$2,0,0,ROW()-1,14),ROW()-1,FALSE))</x:f>
        <x:v>1.971047</x:v>
      </x:c>
      <x:c r="T619">
        <x:f>-1.459299</x:f>
        <x:v>-1.4592989999999999</x:v>
      </x:c>
      <x:c r="U619">
        <x:f>0</x:f>
        <x:v>0</x:v>
      </x:c>
      <x:c r="V619">
        <x:f>0</x:f>
        <x:v>0</x:v>
      </x:c>
      <x:c r="W619">
        <x:f>-0.833489</x:f>
        <x:v>-0.83348900000000004</x:v>
      </x:c>
      <x:c r="X619">
        <x:f>0</x:f>
        <x:v>0</x:v>
      </x:c>
      <x:c r="Y619">
        <x:f>0.783738</x:f>
        <x:v>0.78373800000000005</x:v>
      </x:c>
      <x:c r="Z619">
        <x:f>-0.658679</x:f>
        <x:v>-0.65867900000000001</x:v>
      </x:c>
      <x:c r="AA619">
        <x:f>-0.693033</x:f>
        <x:v>-0.69303300000000001</x:v>
      </x:c>
      <x:c r="AB619">
        <x:f>0</x:f>
        <x:v>0</x:v>
      </x:c>
      <x:c r="AC619">
        <x:f>0</x:f>
        <x:v>0</x:v>
      </x:c>
      <x:c r="AD619">
        <x:f>-1.359347</x:f>
        <x:v>-1.3593470000000001</x:v>
      </x:c>
      <x:c r="AE619">
        <x:f>-0.675394</x:f>
        <x:v>-0.67539400000000005</x:v>
      </x:c>
      <x:c r="AF619">
        <x:f>-0.660957</x:f>
        <x:v>-0.66095700000000002</x:v>
      </x:c>
      <x:c r="AG619">
        <x:f>1.971047</x:f>
        <x:v>1.971047</x:v>
      </x:c>
    </x:row>
    <x:row r="620" spans="1:33" x14ac:dyDescent="0.25">
      <x:c r="A620" t="str">
        <x:f>"            ALPS O'Shares Global Internet"</x:f>
        <x:v xml:space="preserve">            ALPS O'Shares Global Internet</x:v>
      </x:c>
      <x:c r="B620" t="str">
        <x:f>"OGIG US Equity"</x:f>
        <x:v>OGIG US Equity</x:v>
      </x:c>
      <x:c r="E620" t="str">
        <x:f t="shared" si="22"/>
        <x:v>Expression</x:v>
      </x:c>
      <x:c r="F620">
        <x:f ca="1">IF(AND($B$1012=1,LEN($F$1613)&gt;0),$F$1613,HLOOKUP(INDIRECT(ADDRESS(2,COLUMN())),OFFSET($T$2,0,0,ROW()-1,14),ROW()-1,FALSE))</x:f>
        <x:v>-1.5494140000000001</x:v>
      </x:c>
      <x:c r="G620">
        <x:f ca="1">IF(AND($B$1012=1,LEN($G$1613)&gt;0),$G$1613,HLOOKUP(INDIRECT(ADDRESS(2,COLUMN())),OFFSET($T$2,0,0,ROW()-1,14),ROW()-1,FALSE))</x:f>
        <x:v>-1.5816429999999999</x:v>
      </x:c>
      <x:c r="H620">
        <x:f ca="1">IF(AND($B$1012=1,LEN($H$1613)&gt;0),$H$1613,HLOOKUP(INDIRECT(ADDRESS(2,COLUMN())),OFFSET($T$2,0,0,ROW()-1,14),ROW()-1,FALSE))</x:f>
        <x:v>-8.5350230000000007</x:v>
      </x:c>
      <x:c r="I620">
        <x:f ca="1">IF(AND($B$1012=1,LEN($I$1613)&gt;0),$I$1613,HLOOKUP(INDIRECT(ADDRESS(2,COLUMN())),OFFSET($T$2,0,0,ROW()-1,14),ROW()-1,FALSE))</x:f>
        <x:v>-3.1181380000000001</x:v>
      </x:c>
      <x:c r="J620">
        <x:f ca="1">IF(AND($B$1012=1,LEN($J$1613)&gt;0),$J$1613,HLOOKUP(INDIRECT(ADDRESS(2,COLUMN())),OFFSET($T$2,0,0,ROW()-1,14),ROW()-1,FALSE))</x:f>
        <x:v>0</x:v>
      </x:c>
      <x:c r="K620">
        <x:f ca="1">IF(AND($B$1012=1,LEN($K$1613)&gt;0),$K$1613,HLOOKUP(INDIRECT(ADDRESS(2,COLUMN())),OFFSET($T$2,0,0,ROW()-1,14),ROW()-1,FALSE))</x:f>
        <x:v>-6.4058359999999999</x:v>
      </x:c>
      <x:c r="L620">
        <x:f ca="1">IF(AND($B$1012=1,LEN($L$1613)&gt;0),$L$1613,HLOOKUP(INDIRECT(ADDRESS(2,COLUMN())),OFFSET($T$2,0,0,ROW()-1,14),ROW()-1,FALSE))</x:f>
        <x:v>-2.834511</x:v>
      </x:c>
      <x:c r="M620">
        <x:f ca="1">IF(AND($B$1012=1,LEN($M$1613)&gt;0),$M$1613,HLOOKUP(INDIRECT(ADDRESS(2,COLUMN())),OFFSET($T$2,0,0,ROW()-1,14),ROW()-1,FALSE))</x:f>
        <x:v>-1.403478</x:v>
      </x:c>
      <x:c r="N620">
        <x:f ca="1">IF(AND($B$1012=1,LEN($N$1613)&gt;0),$N$1613,HLOOKUP(INDIRECT(ADDRESS(2,COLUMN())),OFFSET($T$2,0,0,ROW()-1,14),ROW()-1,FALSE))</x:f>
        <x:v>-7.3623430000000001</x:v>
      </x:c>
      <x:c r="O620">
        <x:f ca="1">IF(AND($B$1012=1,LEN($O$1613)&gt;0),$O$1613,HLOOKUP(INDIRECT(ADDRESS(2,COLUMN())),OFFSET($T$2,0,0,ROW()-1,14),ROW()-1,FALSE))</x:f>
        <x:v>-1.404587</x:v>
      </x:c>
      <x:c r="P620">
        <x:f ca="1">IF(AND($B$1012=1,LEN($P$1613)&gt;0),$P$1613,HLOOKUP(INDIRECT(ADDRESS(2,COLUMN())),OFFSET($T$2,0,0,ROW()-1,14),ROW()-1,FALSE))</x:f>
        <x:v>-14.044858</x:v>
      </x:c>
      <x:c r="Q620">
        <x:f ca="1">IF(AND($B$1012=1,LEN($Q$1613)&gt;0),$Q$1613,HLOOKUP(INDIRECT(ADDRESS(2,COLUMN())),OFFSET($T$2,0,0,ROW()-1,14),ROW()-1,FALSE))</x:f>
        <x:v>-8.6319710000000001</x:v>
      </x:c>
      <x:c r="R620">
        <x:f ca="1">IF(AND($B$1012=1,LEN($R$1613)&gt;0),$R$1613,HLOOKUP(INDIRECT(ADDRESS(2,COLUMN())),OFFSET($T$2,0,0,ROW()-1,14),ROW()-1,FALSE))</x:f>
        <x:v>-14.297072</x:v>
      </x:c>
      <x:c r="S620">
        <x:f ca="1">IF(AND($B$1012=1,LEN($S$1613)&gt;0),$S$1613,HLOOKUP(INDIRECT(ADDRESS(2,COLUMN())),OFFSET($T$2,0,0,ROW()-1,14),ROW()-1,FALSE))</x:f>
        <x:v>-6.2460089999999999</x:v>
      </x:c>
      <x:c r="T620">
        <x:f>-1.549414</x:f>
        <x:v>-1.5494140000000001</x:v>
      </x:c>
      <x:c r="U620">
        <x:f>-1.581643</x:f>
        <x:v>-1.5816429999999999</x:v>
      </x:c>
      <x:c r="V620">
        <x:f>-8.535023</x:f>
        <x:v>-8.5350230000000007</x:v>
      </x:c>
      <x:c r="W620">
        <x:f>-3.118138</x:f>
        <x:v>-3.1181380000000001</x:v>
      </x:c>
      <x:c r="X620">
        <x:f>0</x:f>
        <x:v>0</x:v>
      </x:c>
      <x:c r="Y620">
        <x:f>-6.405836</x:f>
        <x:v>-6.4058359999999999</x:v>
      </x:c>
      <x:c r="Z620">
        <x:f>-2.834511</x:f>
        <x:v>-2.834511</x:v>
      </x:c>
      <x:c r="AA620">
        <x:f>-1.403478</x:f>
        <x:v>-1.403478</x:v>
      </x:c>
      <x:c r="AB620">
        <x:f>-7.362343</x:f>
        <x:v>-7.3623430000000001</x:v>
      </x:c>
      <x:c r="AC620">
        <x:f>-1.404587</x:f>
        <x:v>-1.404587</x:v>
      </x:c>
      <x:c r="AD620">
        <x:f>-14.044858</x:f>
        <x:v>-14.044858</x:v>
      </x:c>
      <x:c r="AE620">
        <x:f>-8.631971</x:f>
        <x:v>-8.6319710000000001</x:v>
      </x:c>
      <x:c r="AF620">
        <x:f>-14.297072</x:f>
        <x:v>-14.297072</x:v>
      </x:c>
      <x:c r="AG620">
        <x:f>-6.246009</x:f>
        <x:v>-6.2460089999999999</x:v>
      </x:c>
    </x:row>
    <x:row r="621" spans="1:33" x14ac:dyDescent="0.25">
      <x:c r="A621" t="str">
        <x:f>"            AdvisorShares New Tech and Med"</x:f>
        <x:v xml:space="preserve">            AdvisorShares New Tech and Med</x:v>
      </x:c>
      <x:c r="B621" t="str">
        <x:f>"FNG US Equity"</x:f>
        <x:v>FNG US Equity</x:v>
      </x:c>
      <x:c r="E621" t="str">
        <x:f t="shared" si="22"/>
        <x:v>Expression</x:v>
      </x:c>
      <x:c r="F621" t="str">
        <x:f ca="1">IF(AND($B$1012=1,LEN($F$1614)&gt;0),$F$1614,HLOOKUP(INDIRECT(ADDRESS(2,COLUMN())),OFFSET($T$2,0,0,ROW()-1,14),ROW()-1,FALSE))</x:f>
        <x:v/>
      </x:c>
      <x:c r="G621" t="str">
        <x:f ca="1">IF(AND($B$1012=1,LEN($G$1614)&gt;0),$G$1614,HLOOKUP(INDIRECT(ADDRESS(2,COLUMN())),OFFSET($T$2,0,0,ROW()-1,14),ROW()-1,FALSE))</x:f>
        <x:v/>
      </x:c>
      <x:c r="H621" t="str">
        <x:f ca="1">IF(AND($B$1012=1,LEN($H$1614)&gt;0),$H$1614,HLOOKUP(INDIRECT(ADDRESS(2,COLUMN())),OFFSET($T$2,0,0,ROW()-1,14),ROW()-1,FALSE))</x:f>
        <x:v/>
      </x:c>
      <x:c r="I621" t="str">
        <x:f ca="1">IF(AND($B$1012=1,LEN($I$1614)&gt;0),$I$1614,HLOOKUP(INDIRECT(ADDRESS(2,COLUMN())),OFFSET($T$2,0,0,ROW()-1,14),ROW()-1,FALSE))</x:f>
        <x:v/>
      </x:c>
      <x:c r="J621" t="str">
        <x:f ca="1">IF(AND($B$1012=1,LEN($J$1614)&gt;0),$J$1614,HLOOKUP(INDIRECT(ADDRESS(2,COLUMN())),OFFSET($T$2,0,0,ROW()-1,14),ROW()-1,FALSE))</x:f>
        <x:v/>
      </x:c>
      <x:c r="K621" t="str">
        <x:f ca="1">IF(AND($B$1012=1,LEN($K$1614)&gt;0),$K$1614,HLOOKUP(INDIRECT(ADDRESS(2,COLUMN())),OFFSET($T$2,0,0,ROW()-1,14),ROW()-1,FALSE))</x:f>
        <x:v/>
      </x:c>
      <x:c r="L621" t="str">
        <x:f ca="1">IF(AND($B$1012=1,LEN($L$1614)&gt;0),$L$1614,HLOOKUP(INDIRECT(ADDRESS(2,COLUMN())),OFFSET($T$2,0,0,ROW()-1,14),ROW()-1,FALSE))</x:f>
        <x:v/>
      </x:c>
      <x:c r="M621" t="str">
        <x:f ca="1">IF(AND($B$1012=1,LEN($M$1614)&gt;0),$M$1614,HLOOKUP(INDIRECT(ADDRESS(2,COLUMN())),OFFSET($T$2,0,0,ROW()-1,14),ROW()-1,FALSE))</x:f>
        <x:v/>
      </x:c>
      <x:c r="N621" t="str">
        <x:f ca="1">IF(AND($B$1012=1,LEN($N$1614)&gt;0),$N$1614,HLOOKUP(INDIRECT(ADDRESS(2,COLUMN())),OFFSET($T$2,0,0,ROW()-1,14),ROW()-1,FALSE))</x:f>
        <x:v/>
      </x:c>
      <x:c r="O621" t="str">
        <x:f ca="1">IF(AND($B$1012=1,LEN($O$1614)&gt;0),$O$1614,HLOOKUP(INDIRECT(ADDRESS(2,COLUMN())),OFFSET($T$2,0,0,ROW()-1,14),ROW()-1,FALSE))</x:f>
        <x:v/>
      </x:c>
      <x:c r="P621" t="str">
        <x:f ca="1">IF(AND($B$1012=1,LEN($P$1614)&gt;0),$P$1614,HLOOKUP(INDIRECT(ADDRESS(2,COLUMN())),OFFSET($T$2,0,0,ROW()-1,14),ROW()-1,FALSE))</x:f>
        <x:v/>
      </x:c>
      <x:c r="Q621" t="str">
        <x:f ca="1">IF(AND($B$1012=1,LEN($Q$1614)&gt;0),$Q$1614,HLOOKUP(INDIRECT(ADDRESS(2,COLUMN())),OFFSET($T$2,0,0,ROW()-1,14),ROW()-1,FALSE))</x:f>
        <x:v/>
      </x:c>
      <x:c r="R621" t="str">
        <x:f ca="1">IF(AND($B$1012=1,LEN($R$1614)&gt;0),$R$1614,HLOOKUP(INDIRECT(ADDRESS(2,COLUMN())),OFFSET($T$2,0,0,ROW()-1,14),ROW()-1,FALSE))</x:f>
        <x:v/>
      </x:c>
      <x:c r="S621" t="str">
        <x:f ca="1">IF(AND($B$1012=1,LEN($S$1614)&gt;0),$S$1614,HLOOKUP(INDIRECT(ADDRESS(2,COLUMN())),OFFSET($T$2,0,0,ROW()-1,14),ROW()-1,FALSE))</x:f>
        <x:v/>
      </x:c>
      <x:c r="T621" t="str">
        <x:f>""</x:f>
        <x:v/>
      </x:c>
      <x:c r="U621" t="str">
        <x:f>""</x:f>
        <x:v/>
      </x:c>
      <x:c r="V621" t="str">
        <x:f>""</x:f>
        <x:v/>
      </x:c>
      <x:c r="W621" t="str">
        <x:f>""</x:f>
        <x:v/>
      </x:c>
      <x:c r="X621" t="str">
        <x:f>""</x:f>
        <x:v/>
      </x:c>
      <x:c r="Y621" t="str">
        <x:f>""</x:f>
        <x:v/>
      </x:c>
      <x:c r="Z621" t="str">
        <x:f>""</x:f>
        <x:v/>
      </x:c>
      <x:c r="AA621" t="str">
        <x:f>""</x:f>
        <x:v/>
      </x:c>
      <x:c r="AB621" t="str">
        <x:f>""</x:f>
        <x:v/>
      </x:c>
      <x:c r="AC621" t="str">
        <x:f>""</x:f>
        <x:v/>
      </x:c>
      <x:c r="AD621" t="str">
        <x:f>""</x:f>
        <x:v/>
      </x:c>
      <x:c r="AE621" t="str">
        <x:f>""</x:f>
        <x:v/>
      </x:c>
      <x:c r="AF621" t="str">
        <x:f>""</x:f>
        <x:v/>
      </x:c>
      <x:c r="AG621" t="str">
        <x:f>""</x:f>
        <x:v/>
      </x:c>
    </x:row>
    <x:row r="622" spans="1:33" x14ac:dyDescent="0.25">
      <x:c r="A622" t="str">
        <x:f>"            Invesco Dynamic Networking ETF"</x:f>
        <x:v xml:space="preserve">            Invesco Dynamic Networking ETF</x:v>
      </x:c>
      <x:c r="B622" t="str">
        <x:f>"PXQ US Equity"</x:f>
        <x:v>PXQ US Equity</x:v>
      </x:c>
      <x:c r="E622" t="str">
        <x:f t="shared" si="22"/>
        <x:v>Expression</x:v>
      </x:c>
      <x:c r="F622">
        <x:f ca="1">IF(AND($B$1012=1,LEN($F$1615)&gt;0),$F$1615,HLOOKUP(INDIRECT(ADDRESS(2,COLUMN())),OFFSET($T$2,0,0,ROW()-1,14),ROW()-1,FALSE))</x:f>
        <x:v>0</x:v>
      </x:c>
      <x:c r="G622">
        <x:f ca="1">IF(AND($B$1012=1,LEN($G$1615)&gt;0),$G$1615,HLOOKUP(INDIRECT(ADDRESS(2,COLUMN())),OFFSET($T$2,0,0,ROW()-1,14),ROW()-1,FALSE))</x:f>
        <x:v>0</x:v>
      </x:c>
      <x:c r="H622">
        <x:f ca="1">IF(AND($B$1012=1,LEN($H$1615)&gt;0),$H$1615,HLOOKUP(INDIRECT(ADDRESS(2,COLUMN())),OFFSET($T$2,0,0,ROW()-1,14),ROW()-1,FALSE))</x:f>
        <x:v>-0.79463099999999998</x:v>
      </x:c>
      <x:c r="I622">
        <x:f ca="1">IF(AND($B$1012=1,LEN($I$1615)&gt;0),$I$1615,HLOOKUP(INDIRECT(ADDRESS(2,COLUMN())),OFFSET($T$2,0,0,ROW()-1,14),ROW()-1,FALSE))</x:f>
        <x:v>-2.3481190000000001</x:v>
      </x:c>
      <x:c r="J622" t="str">
        <x:f ca="1">IF(AND($B$1012=1,LEN($J$1615)&gt;0),$J$1615,HLOOKUP(INDIRECT(ADDRESS(2,COLUMN())),OFFSET($T$2,0,0,ROW()-1,14),ROW()-1,FALSE))</x:f>
        <x:v/>
      </x:c>
      <x:c r="K622" t="str">
        <x:f ca="1">IF(AND($B$1012=1,LEN($K$1615)&gt;0),$K$1615,HLOOKUP(INDIRECT(ADDRESS(2,COLUMN())),OFFSET($T$2,0,0,ROW()-1,14),ROW()-1,FALSE))</x:f>
        <x:v/>
      </x:c>
      <x:c r="L622" t="str">
        <x:f ca="1">IF(AND($B$1012=1,LEN($L$1615)&gt;0),$L$1615,HLOOKUP(INDIRECT(ADDRESS(2,COLUMN())),OFFSET($T$2,0,0,ROW()-1,14),ROW()-1,FALSE))</x:f>
        <x:v/>
      </x:c>
      <x:c r="M622" t="str">
        <x:f ca="1">IF(AND($B$1012=1,LEN($M$1615)&gt;0),$M$1615,HLOOKUP(INDIRECT(ADDRESS(2,COLUMN())),OFFSET($T$2,0,0,ROW()-1,14),ROW()-1,FALSE))</x:f>
        <x:v/>
      </x:c>
      <x:c r="N622" t="str">
        <x:f ca="1">IF(AND($B$1012=1,LEN($N$1615)&gt;0),$N$1615,HLOOKUP(INDIRECT(ADDRESS(2,COLUMN())),OFFSET($T$2,0,0,ROW()-1,14),ROW()-1,FALSE))</x:f>
        <x:v/>
      </x:c>
      <x:c r="O622" t="str">
        <x:f ca="1">IF(AND($B$1012=1,LEN($O$1615)&gt;0),$O$1615,HLOOKUP(INDIRECT(ADDRESS(2,COLUMN())),OFFSET($T$2,0,0,ROW()-1,14),ROW()-1,FALSE))</x:f>
        <x:v/>
      </x:c>
      <x:c r="P622" t="str">
        <x:f ca="1">IF(AND($B$1012=1,LEN($P$1615)&gt;0),$P$1615,HLOOKUP(INDIRECT(ADDRESS(2,COLUMN())),OFFSET($T$2,0,0,ROW()-1,14),ROW()-1,FALSE))</x:f>
        <x:v/>
      </x:c>
      <x:c r="Q622" t="str">
        <x:f ca="1">IF(AND($B$1012=1,LEN($Q$1615)&gt;0),$Q$1615,HLOOKUP(INDIRECT(ADDRESS(2,COLUMN())),OFFSET($T$2,0,0,ROW()-1,14),ROW()-1,FALSE))</x:f>
        <x:v/>
      </x:c>
      <x:c r="R622" t="str">
        <x:f ca="1">IF(AND($B$1012=1,LEN($R$1615)&gt;0),$R$1615,HLOOKUP(INDIRECT(ADDRESS(2,COLUMN())),OFFSET($T$2,0,0,ROW()-1,14),ROW()-1,FALSE))</x:f>
        <x:v/>
      </x:c>
      <x:c r="S622" t="str">
        <x:f ca="1">IF(AND($B$1012=1,LEN($S$1615)&gt;0),$S$1615,HLOOKUP(INDIRECT(ADDRESS(2,COLUMN())),OFFSET($T$2,0,0,ROW()-1,14),ROW()-1,FALSE))</x:f>
        <x:v/>
      </x:c>
      <x:c r="T622">
        <x:f>0</x:f>
        <x:v>0</x:v>
      </x:c>
      <x:c r="U622">
        <x:f>0</x:f>
        <x:v>0</x:v>
      </x:c>
      <x:c r="V622">
        <x:f>-0.794631</x:f>
        <x:v>-0.79463099999999998</x:v>
      </x:c>
      <x:c r="W622">
        <x:f>-2.348119</x:f>
        <x:v>-2.3481190000000001</x:v>
      </x:c>
      <x:c r="X622" t="str">
        <x:f>""</x:f>
        <x:v/>
      </x:c>
      <x:c r="Y622" t="str">
        <x:f>""</x:f>
        <x:v/>
      </x:c>
      <x:c r="Z622" t="str">
        <x:f>""</x:f>
        <x:v/>
      </x:c>
      <x:c r="AA622" t="str">
        <x:f>""</x:f>
        <x:v/>
      </x:c>
      <x:c r="AB622" t="str">
        <x:f>""</x:f>
        <x:v/>
      </x:c>
      <x:c r="AC622" t="str">
        <x:f>""</x:f>
        <x:v/>
      </x:c>
      <x:c r="AD622" t="str">
        <x:f>""</x:f>
        <x:v/>
      </x:c>
      <x:c r="AE622" t="str">
        <x:f>""</x:f>
        <x:v/>
      </x:c>
      <x:c r="AF622" t="str">
        <x:f>""</x:f>
        <x:v/>
      </x:c>
      <x:c r="AG622" t="str">
        <x:f>""</x:f>
        <x:v/>
      </x:c>
    </x:row>
    <x:row r="623" spans="1:33" x14ac:dyDescent="0.25">
      <x:c r="A623" t="str">
        <x:f>"            Innovator Deepwater Frontier T"</x:f>
        <x:v xml:space="preserve">            Innovator Deepwater Frontier T</x:v>
      </x:c>
      <x:c r="B623" t="str">
        <x:f>"LOUP US Equity"</x:f>
        <x:v>LOUP US Equity</x:v>
      </x:c>
      <x:c r="E623" t="str">
        <x:f t="shared" si="22"/>
        <x:v>Expression</x:v>
      </x:c>
      <x:c r="F623">
        <x:f ca="1">IF(AND($B$1012=1,LEN($F$1616)&gt;0),$F$1616,HLOOKUP(INDIRECT(ADDRESS(2,COLUMN())),OFFSET($T$2,0,0,ROW()-1,14),ROW()-1,FALSE))</x:f>
        <x:v>0</x:v>
      </x:c>
      <x:c r="G623">
        <x:f ca="1">IF(AND($B$1012=1,LEN($G$1616)&gt;0),$G$1616,HLOOKUP(INDIRECT(ADDRESS(2,COLUMN())),OFFSET($T$2,0,0,ROW()-1,14),ROW()-1,FALSE))</x:f>
        <x:v>0</x:v>
      </x:c>
      <x:c r="H623">
        <x:f ca="1">IF(AND($B$1012=1,LEN($H$1616)&gt;0),$H$1616,HLOOKUP(INDIRECT(ADDRESS(2,COLUMN())),OFFSET($T$2,0,0,ROW()-1,14),ROW()-1,FALSE))</x:f>
        <x:v>0</x:v>
      </x:c>
      <x:c r="I623">
        <x:f ca="1">IF(AND($B$1012=1,LEN($I$1616)&gt;0),$I$1616,HLOOKUP(INDIRECT(ADDRESS(2,COLUMN())),OFFSET($T$2,0,0,ROW()-1,14),ROW()-1,FALSE))</x:f>
        <x:v>-1.9182999999999999</x:v>
      </x:c>
      <x:c r="J623">
        <x:f ca="1">IF(AND($B$1012=1,LEN($J$1616)&gt;0),$J$1616,HLOOKUP(INDIRECT(ADDRESS(2,COLUMN())),OFFSET($T$2,0,0,ROW()-1,14),ROW()-1,FALSE))</x:f>
        <x:v>0</x:v>
      </x:c>
      <x:c r="K623">
        <x:f ca="1">IF(AND($B$1012=1,LEN($K$1616)&gt;0),$K$1616,HLOOKUP(INDIRECT(ADDRESS(2,COLUMN())),OFFSET($T$2,0,0,ROW()-1,14),ROW()-1,FALSE))</x:f>
        <x:v>0</x:v>
      </x:c>
      <x:c r="L623">
        <x:f ca="1">IF(AND($B$1012=1,LEN($L$1616)&gt;0),$L$1616,HLOOKUP(INDIRECT(ADDRESS(2,COLUMN())),OFFSET($T$2,0,0,ROW()-1,14),ROW()-1,FALSE))</x:f>
        <x:v>0</x:v>
      </x:c>
      <x:c r="M623">
        <x:f ca="1">IF(AND($B$1012=1,LEN($M$1616)&gt;0),$M$1616,HLOOKUP(INDIRECT(ADDRESS(2,COLUMN())),OFFSET($T$2,0,0,ROW()-1,14),ROW()-1,FALSE))</x:f>
        <x:v>0</x:v>
      </x:c>
      <x:c r="N623">
        <x:f ca="1">IF(AND($B$1012=1,LEN($N$1616)&gt;0),$N$1616,HLOOKUP(INDIRECT(ADDRESS(2,COLUMN())),OFFSET($T$2,0,0,ROW()-1,14),ROW()-1,FALSE))</x:f>
        <x:v>-1.6658649999999999</x:v>
      </x:c>
      <x:c r="O623">
        <x:f ca="1">IF(AND($B$1012=1,LEN($O$1616)&gt;0),$O$1616,HLOOKUP(INDIRECT(ADDRESS(2,COLUMN())),OFFSET($T$2,0,0,ROW()-1,14),ROW()-1,FALSE))</x:f>
        <x:v>1.68804</x:v>
      </x:c>
      <x:c r="P623">
        <x:f ca="1">IF(AND($B$1012=1,LEN($P$1616)&gt;0),$P$1616,HLOOKUP(INDIRECT(ADDRESS(2,COLUMN())),OFFSET($T$2,0,0,ROW()-1,14),ROW()-1,FALSE))</x:f>
        <x:v>-1.6172</x:v>
      </x:c>
      <x:c r="Q623">
        <x:f ca="1">IF(AND($B$1012=1,LEN($Q$1616)&gt;0),$Q$1616,HLOOKUP(INDIRECT(ADDRESS(2,COLUMN())),OFFSET($T$2,0,0,ROW()-1,14),ROW()-1,FALSE))</x:f>
        <x:v>0</x:v>
      </x:c>
      <x:c r="R623">
        <x:f ca="1">IF(AND($B$1012=1,LEN($R$1616)&gt;0),$R$1616,HLOOKUP(INDIRECT(ADDRESS(2,COLUMN())),OFFSET($T$2,0,0,ROW()-1,14),ROW()-1,FALSE))</x:f>
        <x:v>0</x:v>
      </x:c>
      <x:c r="S623">
        <x:f ca="1">IF(AND($B$1012=1,LEN($S$1616)&gt;0),$S$1616,HLOOKUP(INDIRECT(ADDRESS(2,COLUMN())),OFFSET($T$2,0,0,ROW()-1,14),ROW()-1,FALSE))</x:f>
        <x:v>-4.1741650000000003</x:v>
      </x:c>
      <x:c r="T623">
        <x:f>0</x:f>
        <x:v>0</x:v>
      </x:c>
      <x:c r="U623">
        <x:f>0</x:f>
        <x:v>0</x:v>
      </x:c>
      <x:c r="V623">
        <x:f>0</x:f>
        <x:v>0</x:v>
      </x:c>
      <x:c r="W623">
        <x:f>-1.9183</x:f>
        <x:v>-1.9182999999999999</x:v>
      </x:c>
      <x:c r="X623">
        <x:f>0</x:f>
        <x:v>0</x:v>
      </x:c>
      <x:c r="Y623">
        <x:f>0</x:f>
        <x:v>0</x:v>
      </x:c>
      <x:c r="Z623">
        <x:f>0</x:f>
        <x:v>0</x:v>
      </x:c>
      <x:c r="AA623">
        <x:f>0</x:f>
        <x:v>0</x:v>
      </x:c>
      <x:c r="AB623">
        <x:f>-1.665865</x:f>
        <x:v>-1.6658649999999999</x:v>
      </x:c>
      <x:c r="AC623">
        <x:f>1.68804</x:f>
        <x:v>1.68804</x:v>
      </x:c>
      <x:c r="AD623">
        <x:f>-1.6172</x:f>
        <x:v>-1.6172</x:v>
      </x:c>
      <x:c r="AE623">
        <x:f>0</x:f>
        <x:v>0</x:v>
      </x:c>
      <x:c r="AF623">
        <x:f>0</x:f>
        <x:v>0</x:v>
      </x:c>
      <x:c r="AG623">
        <x:f>-4.174165</x:f>
        <x:v>-4.1741650000000003</x:v>
      </x:c>
    </x:row>
    <x:row r="624" spans="1:33" x14ac:dyDescent="0.25">
      <x:c r="A624" t="str">
        <x:f>"            Defiance Quantum ETF"</x:f>
        <x:v xml:space="preserve">            Defiance Quantum ETF</x:v>
      </x:c>
      <x:c r="B624" t="str">
        <x:f>"QTUM US Equity"</x:f>
        <x:v>QTUM US Equity</x:v>
      </x:c>
      <x:c r="E624" t="str">
        <x:f t="shared" si="22"/>
        <x:v>Expression</x:v>
      </x:c>
      <x:c r="F624">
        <x:f ca="1">IF(AND($B$1012=1,LEN($F$1617)&gt;0),$F$1617,HLOOKUP(INDIRECT(ADDRESS(2,COLUMN())),OFFSET($T$2,0,0,ROW()-1,14),ROW()-1,FALSE))</x:f>
        <x:v>0</x:v>
      </x:c>
      <x:c r="G624">
        <x:f ca="1">IF(AND($B$1012=1,LEN($G$1617)&gt;0),$G$1617,HLOOKUP(INDIRECT(ADDRESS(2,COLUMN())),OFFSET($T$2,0,0,ROW()-1,14),ROW()-1,FALSE))</x:f>
        <x:v>0</x:v>
      </x:c>
      <x:c r="H624">
        <x:f ca="1">IF(AND($B$1012=1,LEN($H$1617)&gt;0),$H$1617,HLOOKUP(INDIRECT(ADDRESS(2,COLUMN())),OFFSET($T$2,0,0,ROW()-1,14),ROW()-1,FALSE))</x:f>
        <x:v>7.2950900000000001</x:v>
      </x:c>
      <x:c r="I624">
        <x:f ca="1">IF(AND($B$1012=1,LEN($I$1617)&gt;0),$I$1617,HLOOKUP(INDIRECT(ADDRESS(2,COLUMN())),OFFSET($T$2,0,0,ROW()-1,14),ROW()-1,FALSE))</x:f>
        <x:v>7.2635699999999996</x:v>
      </x:c>
      <x:c r="J624">
        <x:f ca="1">IF(AND($B$1012=1,LEN($J$1617)&gt;0),$J$1617,HLOOKUP(INDIRECT(ADDRESS(2,COLUMN())),OFFSET($T$2,0,0,ROW()-1,14),ROW()-1,FALSE))</x:f>
        <x:v>0</x:v>
      </x:c>
      <x:c r="K624">
        <x:f ca="1">IF(AND($B$1012=1,LEN($K$1617)&gt;0),$K$1617,HLOOKUP(INDIRECT(ADDRESS(2,COLUMN())),OFFSET($T$2,0,0,ROW()-1,14),ROW()-1,FALSE))</x:f>
        <x:v>22.321465</x:v>
      </x:c>
      <x:c r="L624">
        <x:f ca="1">IF(AND($B$1012=1,LEN($L$1617)&gt;0),$L$1617,HLOOKUP(INDIRECT(ADDRESS(2,COLUMN())),OFFSET($T$2,0,0,ROW()-1,14),ROW()-1,FALSE))</x:f>
        <x:v>11.894080000000001</x:v>
      </x:c>
      <x:c r="M624">
        <x:f ca="1">IF(AND($B$1012=1,LEN($M$1617)&gt;0),$M$1617,HLOOKUP(INDIRECT(ADDRESS(2,COLUMN())),OFFSET($T$2,0,0,ROW()-1,14),ROW()-1,FALSE))</x:f>
        <x:v>2.2174399999999999</x:v>
      </x:c>
      <x:c r="N624">
        <x:f ca="1">IF(AND($B$1012=1,LEN($N$1617)&gt;0),$N$1617,HLOOKUP(INDIRECT(ADDRESS(2,COLUMN())),OFFSET($T$2,0,0,ROW()-1,14),ROW()-1,FALSE))</x:f>
        <x:v>4.3441150000000004</x:v>
      </x:c>
      <x:c r="O624">
        <x:f ca="1">IF(AND($B$1012=1,LEN($O$1617)&gt;0),$O$1617,HLOOKUP(INDIRECT(ADDRESS(2,COLUMN())),OFFSET($T$2,0,0,ROW()-1,14),ROW()-1,FALSE))</x:f>
        <x:v>2.2879350000000001</x:v>
      </x:c>
      <x:c r="P624">
        <x:f ca="1">IF(AND($B$1012=1,LEN($P$1617)&gt;0),$P$1617,HLOOKUP(INDIRECT(ADDRESS(2,COLUMN())),OFFSET($T$2,0,0,ROW()-1,14),ROW()-1,FALSE))</x:f>
        <x:v>-6.3751600000000002</x:v>
      </x:c>
      <x:c r="Q624">
        <x:f ca="1">IF(AND($B$1012=1,LEN($Q$1617)&gt;0),$Q$1617,HLOOKUP(INDIRECT(ADDRESS(2,COLUMN())),OFFSET($T$2,0,0,ROW()-1,14),ROW()-1,FALSE))</x:f>
        <x:v>-2.040035</x:v>
      </x:c>
      <x:c r="R624">
        <x:f ca="1">IF(AND($B$1012=1,LEN($R$1617)&gt;0),$R$1617,HLOOKUP(INDIRECT(ADDRESS(2,COLUMN())),OFFSET($T$2,0,0,ROW()-1,14),ROW()-1,FALSE))</x:f>
        <x:v>-4.0674200000000003</x:v>
      </x:c>
      <x:c r="S624">
        <x:f ca="1">IF(AND($B$1012=1,LEN($S$1617)&gt;0),$S$1617,HLOOKUP(INDIRECT(ADDRESS(2,COLUMN())),OFFSET($T$2,0,0,ROW()-1,14),ROW()-1,FALSE))</x:f>
        <x:v>0.102365</x:v>
      </x:c>
      <x:c r="T624">
        <x:f>0</x:f>
        <x:v>0</x:v>
      </x:c>
      <x:c r="U624">
        <x:f>0</x:f>
        <x:v>0</x:v>
      </x:c>
      <x:c r="V624">
        <x:f>7.29509</x:f>
        <x:v>7.2950900000000001</x:v>
      </x:c>
      <x:c r="W624">
        <x:f>7.26357</x:f>
        <x:v>7.2635699999999996</x:v>
      </x:c>
      <x:c r="X624">
        <x:f>0</x:f>
        <x:v>0</x:v>
      </x:c>
      <x:c r="Y624">
        <x:f>22.321465</x:f>
        <x:v>22.321465</x:v>
      </x:c>
      <x:c r="Z624">
        <x:f>11.89408</x:f>
        <x:v>11.894080000000001</x:v>
      </x:c>
      <x:c r="AA624">
        <x:f>2.21744</x:f>
        <x:v>2.2174399999999999</x:v>
      </x:c>
      <x:c r="AB624">
        <x:f>4.344115</x:f>
        <x:v>4.3441150000000004</x:v>
      </x:c>
      <x:c r="AC624">
        <x:f>2.287935</x:f>
        <x:v>2.2879350000000001</x:v>
      </x:c>
      <x:c r="AD624">
        <x:f>-6.37516</x:f>
        <x:v>-6.3751600000000002</x:v>
      </x:c>
      <x:c r="AE624">
        <x:f>-2.040035</x:f>
        <x:v>-2.040035</x:v>
      </x:c>
      <x:c r="AF624">
        <x:f>-4.06742</x:f>
        <x:v>-4.0674200000000003</x:v>
      </x:c>
      <x:c r="AG624">
        <x:f>0.102365</x:f>
        <x:v>0.102365</x:v>
      </x:c>
    </x:row>
    <x:row r="625" spans="1:33" x14ac:dyDescent="0.25">
      <x:c r="A625" t="str">
        <x:f>"            SPDR FactSet Innovative Techno"</x:f>
        <x:v xml:space="preserve">            SPDR FactSet Innovative Techno</x:v>
      </x:c>
      <x:c r="B625" t="str">
        <x:f>"XITK US Equity"</x:f>
        <x:v>XITK US Equity</x:v>
      </x:c>
      <x:c r="E625" t="str">
        <x:f t="shared" si="22"/>
        <x:v>Expression</x:v>
      </x:c>
      <x:c r="F625">
        <x:f ca="1">IF(AND($B$1012=1,LEN($F$1618)&gt;0),$F$1618,HLOOKUP(INDIRECT(ADDRESS(2,COLUMN())),OFFSET($T$2,0,0,ROW()-1,14),ROW()-1,FALSE))</x:f>
        <x:v>-2.4340839999999999</x:v>
      </x:c>
      <x:c r="G625">
        <x:f ca="1">IF(AND($B$1012=1,LEN($G$1618)&gt;0),$G$1618,HLOOKUP(INDIRECT(ADDRESS(2,COLUMN())),OFFSET($T$2,0,0,ROW()-1,14),ROW()-1,FALSE))</x:f>
        <x:v>-3.5735920000000001</x:v>
      </x:c>
      <x:c r="H625">
        <x:f ca="1">IF(AND($B$1012=1,LEN($H$1618)&gt;0),$H$1618,HLOOKUP(INDIRECT(ADDRESS(2,COLUMN())),OFFSET($T$2,0,0,ROW()-1,14),ROW()-1,FALSE))</x:f>
        <x:v>4.8336999999999998E-2</x:v>
      </x:c>
      <x:c r="I625">
        <x:f ca="1">IF(AND($B$1012=1,LEN($I$1618)&gt;0),$I$1618,HLOOKUP(INDIRECT(ADDRESS(2,COLUMN())),OFFSET($T$2,0,0,ROW()-1,14),ROW()-1,FALSE))</x:f>
        <x:v>1.2792490000000001</x:v>
      </x:c>
      <x:c r="J625">
        <x:f ca="1">IF(AND($B$1012=1,LEN($J$1618)&gt;0),$J$1618,HLOOKUP(INDIRECT(ADDRESS(2,COLUMN())),OFFSET($T$2,0,0,ROW()-1,14),ROW()-1,FALSE))</x:f>
        <x:v>-4.204275</x:v>
      </x:c>
      <x:c r="K625">
        <x:f ca="1">IF(AND($B$1012=1,LEN($K$1618)&gt;0),$K$1618,HLOOKUP(INDIRECT(ADDRESS(2,COLUMN())),OFFSET($T$2,0,0,ROW()-1,14),ROW()-1,FALSE))</x:f>
        <x:v>5.2998440000000002</x:v>
      </x:c>
      <x:c r="L625">
        <x:f ca="1">IF(AND($B$1012=1,LEN($L$1618)&gt;0),$L$1618,HLOOKUP(INDIRECT(ADDRESS(2,COLUMN())),OFFSET($T$2,0,0,ROW()-1,14),ROW()-1,FALSE))</x:f>
        <x:v>-1.109979</x:v>
      </x:c>
      <x:c r="M625">
        <x:f ca="1">IF(AND($B$1012=1,LEN($M$1618)&gt;0),$M$1618,HLOOKUP(INDIRECT(ADDRESS(2,COLUMN())),OFFSET($T$2,0,0,ROW()-1,14),ROW()-1,FALSE))</x:f>
        <x:v>-20.219576</x:v>
      </x:c>
      <x:c r="N625">
        <x:f ca="1">IF(AND($B$1012=1,LEN($N$1618)&gt;0),$N$1618,HLOOKUP(INDIRECT(ADDRESS(2,COLUMN())),OFFSET($T$2,0,0,ROW()-1,14),ROW()-1,FALSE))</x:f>
        <x:v>-2.2513100000000001</x:v>
      </x:c>
      <x:c r="O625">
        <x:f ca="1">IF(AND($B$1012=1,LEN($O$1618)&gt;0),$O$1618,HLOOKUP(INDIRECT(ADDRESS(2,COLUMN())),OFFSET($T$2,0,0,ROW()-1,14),ROW()-1,FALSE))</x:f>
        <x:v>-3.6612439999999999</x:v>
      </x:c>
      <x:c r="P625">
        <x:f ca="1">IF(AND($B$1012=1,LEN($P$1618)&gt;0),$P$1618,HLOOKUP(INDIRECT(ADDRESS(2,COLUMN())),OFFSET($T$2,0,0,ROW()-1,14),ROW()-1,FALSE))</x:f>
        <x:v>-2.336319</x:v>
      </x:c>
      <x:c r="Q625">
        <x:f ca="1">IF(AND($B$1012=1,LEN($Q$1618)&gt;0),$Q$1618,HLOOKUP(INDIRECT(ADDRESS(2,COLUMN())),OFFSET($T$2,0,0,ROW()-1,14),ROW()-1,FALSE))</x:f>
        <x:v>-1.043407</x:v>
      </x:c>
      <x:c r="R625">
        <x:f ca="1">IF(AND($B$1012=1,LEN($R$1618)&gt;0),$R$1618,HLOOKUP(INDIRECT(ADDRESS(2,COLUMN())),OFFSET($T$2,0,0,ROW()-1,14),ROW()-1,FALSE))</x:f>
        <x:v>-5.8088749999999996</x:v>
      </x:c>
      <x:c r="S625">
        <x:f ca="1">IF(AND($B$1012=1,LEN($S$1618)&gt;0),$S$1618,HLOOKUP(INDIRECT(ADDRESS(2,COLUMN())),OFFSET($T$2,0,0,ROW()-1,14),ROW()-1,FALSE))</x:f>
        <x:v>1.12086</x:v>
      </x:c>
      <x:c r="T625">
        <x:f>-2.434084</x:f>
        <x:v>-2.4340839999999999</x:v>
      </x:c>
      <x:c r="U625">
        <x:f>-3.573592</x:f>
        <x:v>-3.5735920000000001</x:v>
      </x:c>
      <x:c r="V625">
        <x:f>0.048337</x:f>
        <x:v>4.8336999999999998E-2</x:v>
      </x:c>
      <x:c r="W625">
        <x:f>1.279249</x:f>
        <x:v>1.2792490000000001</x:v>
      </x:c>
      <x:c r="X625">
        <x:f>-4.204275</x:f>
        <x:v>-4.204275</x:v>
      </x:c>
      <x:c r="Y625">
        <x:f>5.299844</x:f>
        <x:v>5.2998440000000002</x:v>
      </x:c>
      <x:c r="Z625">
        <x:f>-1.109979</x:f>
        <x:v>-1.109979</x:v>
      </x:c>
      <x:c r="AA625">
        <x:f>-20.219576</x:f>
        <x:v>-20.219576</x:v>
      </x:c>
      <x:c r="AB625">
        <x:f>-2.25131</x:f>
        <x:v>-2.2513100000000001</x:v>
      </x:c>
      <x:c r="AC625">
        <x:f>-3.661244</x:f>
        <x:v>-3.6612439999999999</x:v>
      </x:c>
      <x:c r="AD625">
        <x:f>-2.336319</x:f>
        <x:v>-2.336319</x:v>
      </x:c>
      <x:c r="AE625">
        <x:f>-1.043407</x:f>
        <x:v>-1.043407</x:v>
      </x:c>
      <x:c r="AF625">
        <x:f>-5.808875</x:f>
        <x:v>-5.8088749999999996</x:v>
      </x:c>
      <x:c r="AG625">
        <x:f>1.12086</x:f>
        <x:v>1.12086</x:v>
      </x:c>
    </x:row>
    <x:row r="626" spans="1:33" x14ac:dyDescent="0.25">
      <x:c r="A626" t="str">
        <x:f>"            First Trust Dow Jones Internet"</x:f>
        <x:v xml:space="preserve">            First Trust Dow Jones Internet</x:v>
      </x:c>
      <x:c r="B626" t="str">
        <x:f>"FDN US Equity"</x:f>
        <x:v>FDN US Equity</x:v>
      </x:c>
      <x:c r="E626" t="str">
        <x:f t="shared" si="22"/>
        <x:v>Expression</x:v>
      </x:c>
      <x:c r="F626">
        <x:f ca="1">IF(AND($B$1012=1,LEN($F$1619)&gt;0),$F$1619,HLOOKUP(INDIRECT(ADDRESS(2,COLUMN())),OFFSET($T$2,0,0,ROW()-1,14),ROW()-1,FALSE))</x:f>
        <x:v>-22.958955</x:v>
      </x:c>
      <x:c r="G626">
        <x:f ca="1">IF(AND($B$1012=1,LEN($G$1619)&gt;0),$G$1619,HLOOKUP(INDIRECT(ADDRESS(2,COLUMN())),OFFSET($T$2,0,0,ROW()-1,14),ROW()-1,FALSE))</x:f>
        <x:v>-506.42291599999999</x:v>
      </x:c>
      <x:c r="H626">
        <x:f ca="1">IF(AND($B$1012=1,LEN($H$1619)&gt;0),$H$1619,HLOOKUP(INDIRECT(ADDRESS(2,COLUMN())),OFFSET($T$2,0,0,ROW()-1,14),ROW()-1,FALSE))</x:f>
        <x:v>-33.197853000000002</x:v>
      </x:c>
      <x:c r="I626">
        <x:f ca="1">IF(AND($B$1012=1,LEN($I$1619)&gt;0),$I$1619,HLOOKUP(INDIRECT(ADDRESS(2,COLUMN())),OFFSET($T$2,0,0,ROW()-1,14),ROW()-1,FALSE))</x:f>
        <x:v>16.745642</x:v>
      </x:c>
      <x:c r="J626">
        <x:f ca="1">IF(AND($B$1012=1,LEN($J$1619)&gt;0),$J$1619,HLOOKUP(INDIRECT(ADDRESS(2,COLUMN())),OFFSET($T$2,0,0,ROW()-1,14),ROW()-1,FALSE))</x:f>
        <x:v>368.3535</x:v>
      </x:c>
      <x:c r="K626">
        <x:f ca="1">IF(AND($B$1012=1,LEN($K$1619)&gt;0),$K$1619,HLOOKUP(INDIRECT(ADDRESS(2,COLUMN())),OFFSET($T$2,0,0,ROW()-1,14),ROW()-1,FALSE))</x:f>
        <x:v>885.52700000000004</x:v>
      </x:c>
      <x:c r="L626">
        <x:f ca="1">IF(AND($B$1012=1,LEN($L$1619)&gt;0),$L$1619,HLOOKUP(INDIRECT(ADDRESS(2,COLUMN())),OFFSET($T$2,0,0,ROW()-1,14),ROW()-1,FALSE))</x:f>
        <x:v>-28.202000000000002</x:v>
      </x:c>
      <x:c r="M626">
        <x:f ca="1">IF(AND($B$1012=1,LEN($M$1619)&gt;0),$M$1619,HLOOKUP(INDIRECT(ADDRESS(2,COLUMN())),OFFSET($T$2,0,0,ROW()-1,14),ROW()-1,FALSE))</x:f>
        <x:v>12.910500000000001</x:v>
      </x:c>
      <x:c r="N626">
        <x:f ca="1">IF(AND($B$1012=1,LEN($N$1619)&gt;0),$N$1619,HLOOKUP(INDIRECT(ADDRESS(2,COLUMN())),OFFSET($T$2,0,0,ROW()-1,14),ROW()-1,FALSE))</x:f>
        <x:v>-142.8845</x:v>
      </x:c>
      <x:c r="O626">
        <x:f ca="1">IF(AND($B$1012=1,LEN($O$1619)&gt;0),$O$1619,HLOOKUP(INDIRECT(ADDRESS(2,COLUMN())),OFFSET($T$2,0,0,ROW()-1,14),ROW()-1,FALSE))</x:f>
        <x:v>-11.63</x:v>
      </x:c>
      <x:c r="P626">
        <x:f ca="1">IF(AND($B$1012=1,LEN($P$1619)&gt;0),$P$1619,HLOOKUP(INDIRECT(ADDRESS(2,COLUMN())),OFFSET($T$2,0,0,ROW()-1,14),ROW()-1,FALSE))</x:f>
        <x:v>-26.668315</x:v>
      </x:c>
      <x:c r="Q626">
        <x:f ca="1">IF(AND($B$1012=1,LEN($Q$1619)&gt;0),$Q$1619,HLOOKUP(INDIRECT(ADDRESS(2,COLUMN())),OFFSET($T$2,0,0,ROW()-1,14),ROW()-1,FALSE))</x:f>
        <x:v>-243.138294</x:v>
      </x:c>
      <x:c r="R626">
        <x:f ca="1">IF(AND($B$1012=1,LEN($R$1619)&gt;0),$R$1619,HLOOKUP(INDIRECT(ADDRESS(2,COLUMN())),OFFSET($T$2,0,0,ROW()-1,14),ROW()-1,FALSE))</x:f>
        <x:v>-145.25042500000001</x:v>
      </x:c>
      <x:c r="S626">
        <x:f ca="1">IF(AND($B$1012=1,LEN($S$1619)&gt;0),$S$1619,HLOOKUP(INDIRECT(ADDRESS(2,COLUMN())),OFFSET($T$2,0,0,ROW()-1,14),ROW()-1,FALSE))</x:f>
        <x:v>235.98697100000001</x:v>
      </x:c>
      <x:c r="T626">
        <x:f>-22.958955</x:f>
        <x:v>-22.958955</x:v>
      </x:c>
      <x:c r="U626">
        <x:f>-506.422916</x:f>
        <x:v>-506.42291599999999</x:v>
      </x:c>
      <x:c r="V626">
        <x:f>-33.197853</x:f>
        <x:v>-33.197853000000002</x:v>
      </x:c>
      <x:c r="W626">
        <x:f>16.745642</x:f>
        <x:v>16.745642</x:v>
      </x:c>
      <x:c r="X626">
        <x:f>368.3535</x:f>
        <x:v>368.3535</x:v>
      </x:c>
      <x:c r="Y626">
        <x:f>885.527</x:f>
        <x:v>885.52700000000004</x:v>
      </x:c>
      <x:c r="Z626">
        <x:f>-28.202</x:f>
        <x:v>-28.202000000000002</x:v>
      </x:c>
      <x:c r="AA626">
        <x:f>12.9105</x:f>
        <x:v>12.910500000000001</x:v>
      </x:c>
      <x:c r="AB626">
        <x:f>-142.8845</x:f>
        <x:v>-142.8845</x:v>
      </x:c>
      <x:c r="AC626">
        <x:f>-11.63</x:f>
        <x:v>-11.63</x:v>
      </x:c>
      <x:c r="AD626">
        <x:f>-26.668315</x:f>
        <x:v>-26.668315</x:v>
      </x:c>
      <x:c r="AE626">
        <x:f>-243.138294</x:f>
        <x:v>-243.138294</x:v>
      </x:c>
      <x:c r="AF626">
        <x:f>-145.250425</x:f>
        <x:v>-145.25042500000001</x:v>
      </x:c>
      <x:c r="AG626">
        <x:f>235.986971</x:f>
        <x:v>235.98697100000001</x:v>
      </x:c>
    </x:row>
    <x:row r="627" spans="1:33" x14ac:dyDescent="0.25">
      <x:c r="A627" t="str">
        <x:f>"            First Trust Dow Jones Internat"</x:f>
        <x:v xml:space="preserve">            First Trust Dow Jones Internat</x:v>
      </x:c>
      <x:c r="B627" t="str">
        <x:f>"FDNI US Equity"</x:f>
        <x:v>FDNI US Equity</x:v>
      </x:c>
      <x:c r="E627" t="str">
        <x:f t="shared" si="22"/>
        <x:v>Expression</x:v>
      </x:c>
      <x:c r="F627">
        <x:f ca="1">IF(AND($B$1012=1,LEN($F$1620)&gt;0),$F$1620,HLOOKUP(INDIRECT(ADDRESS(2,COLUMN())),OFFSET($T$2,0,0,ROW()-1,14),ROW()-1,FALSE))</x:f>
        <x:v>-1.0919350000000001</x:v>
      </x:c>
      <x:c r="G627">
        <x:f ca="1">IF(AND($B$1012=1,LEN($G$1620)&gt;0),$G$1620,HLOOKUP(INDIRECT(ADDRESS(2,COLUMN())),OFFSET($T$2,0,0,ROW()-1,14),ROW()-1,FALSE))</x:f>
        <x:v>0</x:v>
      </x:c>
      <x:c r="H627">
        <x:f ca="1">IF(AND($B$1012=1,LEN($H$1620)&gt;0),$H$1620,HLOOKUP(INDIRECT(ADDRESS(2,COLUMN())),OFFSET($T$2,0,0,ROW()-1,14),ROW()-1,FALSE))</x:f>
        <x:v>0</x:v>
      </x:c>
      <x:c r="I627">
        <x:f ca="1">IF(AND($B$1012=1,LEN($I$1620)&gt;0),$I$1620,HLOOKUP(INDIRECT(ADDRESS(2,COLUMN())),OFFSET($T$2,0,0,ROW()-1,14),ROW()-1,FALSE))</x:f>
        <x:v>-1.2135</x:v>
      </x:c>
      <x:c r="J627">
        <x:f ca="1">IF(AND($B$1012=1,LEN($J$1620)&gt;0),$J$1620,HLOOKUP(INDIRECT(ADDRESS(2,COLUMN())),OFFSET($T$2,0,0,ROW()-1,14),ROW()-1,FALSE))</x:f>
        <x:v>0</x:v>
      </x:c>
      <x:c r="K627">
        <x:f ca="1">IF(AND($B$1012=1,LEN($K$1620)&gt;0),$K$1620,HLOOKUP(INDIRECT(ADDRESS(2,COLUMN())),OFFSET($T$2,0,0,ROW()-1,14),ROW()-1,FALSE))</x:f>
        <x:v>0</x:v>
      </x:c>
      <x:c r="L627">
        <x:f ca="1">IF(AND($B$1012=1,LEN($L$1620)&gt;0),$L$1620,HLOOKUP(INDIRECT(ADDRESS(2,COLUMN())),OFFSET($T$2,0,0,ROW()-1,14),ROW()-1,FALSE))</x:f>
        <x:v>-1.1234999999999999</x:v>
      </x:c>
      <x:c r="M627">
        <x:f ca="1">IF(AND($B$1012=1,LEN($M$1620)&gt;0),$M$1620,HLOOKUP(INDIRECT(ADDRESS(2,COLUMN())),OFFSET($T$2,0,0,ROW()-1,14),ROW()-1,FALSE))</x:f>
        <x:v>0</x:v>
      </x:c>
      <x:c r="N627">
        <x:f ca="1">IF(AND($B$1012=1,LEN($N$1620)&gt;0),$N$1620,HLOOKUP(INDIRECT(ADDRESS(2,COLUMN())),OFFSET($T$2,0,0,ROW()-1,14),ROW()-1,FALSE))</x:f>
        <x:v>-2.2149999999999999</x:v>
      </x:c>
      <x:c r="O627">
        <x:f ca="1">IF(AND($B$1012=1,LEN($O$1620)&gt;0),$O$1620,HLOOKUP(INDIRECT(ADDRESS(2,COLUMN())),OFFSET($T$2,0,0,ROW()-1,14),ROW()-1,FALSE))</x:f>
        <x:v>3.8245</x:v>
      </x:c>
      <x:c r="P627">
        <x:f ca="1">IF(AND($B$1012=1,LEN($P$1620)&gt;0),$P$1620,HLOOKUP(INDIRECT(ADDRESS(2,COLUMN())),OFFSET($T$2,0,0,ROW()-1,14),ROW()-1,FALSE))</x:f>
        <x:v>-2.4239999999999999</x:v>
      </x:c>
      <x:c r="Q627">
        <x:f ca="1">IF(AND($B$1012=1,LEN($Q$1620)&gt;0),$Q$1620,HLOOKUP(INDIRECT(ADDRESS(2,COLUMN())),OFFSET($T$2,0,0,ROW()-1,14),ROW()-1,FALSE))</x:f>
        <x:v>-1.0951850000000001</x:v>
      </x:c>
      <x:c r="R627">
        <x:f ca="1">IF(AND($B$1012=1,LEN($R$1620)&gt;0),$R$1620,HLOOKUP(INDIRECT(ADDRESS(2,COLUMN())),OFFSET($T$2,0,0,ROW()-1,14),ROW()-1,FALSE))</x:f>
        <x:v>0</x:v>
      </x:c>
      <x:c r="S627">
        <x:f ca="1">IF(AND($B$1012=1,LEN($S$1620)&gt;0),$S$1620,HLOOKUP(INDIRECT(ADDRESS(2,COLUMN())),OFFSET($T$2,0,0,ROW()-1,14),ROW()-1,FALSE))</x:f>
        <x:v>-1.0421320000000001</x:v>
      </x:c>
      <x:c r="T627">
        <x:f>-1.091935</x:f>
        <x:v>-1.0919350000000001</x:v>
      </x:c>
      <x:c r="U627">
        <x:f>0</x:f>
        <x:v>0</x:v>
      </x:c>
      <x:c r="V627">
        <x:f>0</x:f>
        <x:v>0</x:v>
      </x:c>
      <x:c r="W627">
        <x:f>-1.2135</x:f>
        <x:v>-1.2135</x:v>
      </x:c>
      <x:c r="X627">
        <x:f>0</x:f>
        <x:v>0</x:v>
      </x:c>
      <x:c r="Y627">
        <x:f>0</x:f>
        <x:v>0</x:v>
      </x:c>
      <x:c r="Z627">
        <x:f>-1.1235</x:f>
        <x:v>-1.1234999999999999</x:v>
      </x:c>
      <x:c r="AA627">
        <x:f>0</x:f>
        <x:v>0</x:v>
      </x:c>
      <x:c r="AB627">
        <x:f>-2.215</x:f>
        <x:v>-2.2149999999999999</x:v>
      </x:c>
      <x:c r="AC627">
        <x:f>3.8245</x:f>
        <x:v>3.8245</x:v>
      </x:c>
      <x:c r="AD627">
        <x:f>-2.424</x:f>
        <x:v>-2.4239999999999999</x:v>
      </x:c>
      <x:c r="AE627">
        <x:f>-1.095185</x:f>
        <x:v>-1.0951850000000001</x:v>
      </x:c>
      <x:c r="AF627">
        <x:f>0</x:f>
        <x:v>0</x:v>
      </x:c>
      <x:c r="AG627">
        <x:f>-1.042132</x:f>
        <x:v>-1.0421320000000001</x:v>
      </x:c>
    </x:row>
    <x:row r="628" spans="1:33" x14ac:dyDescent="0.25">
      <x:c r="A628" t="str">
        <x:f>"            Invesco Nasdaq Internet ETF"</x:f>
        <x:v xml:space="preserve">            Invesco Nasdaq Internet ETF</x:v>
      </x:c>
      <x:c r="B628" t="str">
        <x:f>"PNQI US Equity"</x:f>
        <x:v>PNQI US Equity</x:v>
      </x:c>
      <x:c r="E628" t="str">
        <x:f t="shared" si="22"/>
        <x:v>Expression</x:v>
      </x:c>
      <x:c r="F628">
        <x:f ca="1">IF(AND($B$1012=1,LEN($F$1621)&gt;0),$F$1621,HLOOKUP(INDIRECT(ADDRESS(2,COLUMN())),OFFSET($T$2,0,0,ROW()-1,14),ROW()-1,FALSE))</x:f>
        <x:v>4.4587380000000003</x:v>
      </x:c>
      <x:c r="G628">
        <x:f ca="1">IF(AND($B$1012=1,LEN($G$1621)&gt;0),$G$1621,HLOOKUP(INDIRECT(ADDRESS(2,COLUMN())),OFFSET($T$2,0,0,ROW()-1,14),ROW()-1,FALSE))</x:f>
        <x:v>0.88850099999999999</x:v>
      </x:c>
      <x:c r="H628">
        <x:f ca="1">IF(AND($B$1012=1,LEN($H$1621)&gt;0),$H$1621,HLOOKUP(INDIRECT(ADDRESS(2,COLUMN())),OFFSET($T$2,0,0,ROW()-1,14),ROW()-1,FALSE))</x:f>
        <x:v>-1.6186179999999999</x:v>
      </x:c>
      <x:c r="I628">
        <x:f ca="1">IF(AND($B$1012=1,LEN($I$1621)&gt;0),$I$1621,HLOOKUP(INDIRECT(ADDRESS(2,COLUMN())),OFFSET($T$2,0,0,ROW()-1,14),ROW()-1,FALSE))</x:f>
        <x:v>-7.2494630000000004</x:v>
      </x:c>
      <x:c r="J628">
        <x:f ca="1">IF(AND($B$1012=1,LEN($J$1621)&gt;0),$J$1621,HLOOKUP(INDIRECT(ADDRESS(2,COLUMN())),OFFSET($T$2,0,0,ROW()-1,14),ROW()-1,FALSE))</x:f>
        <x:v>-5.6721830000000004</x:v>
      </x:c>
      <x:c r="K628">
        <x:f ca="1">IF(AND($B$1012=1,LEN($K$1621)&gt;0),$K$1621,HLOOKUP(INDIRECT(ADDRESS(2,COLUMN())),OFFSET($T$2,0,0,ROW()-1,14),ROW()-1,FALSE))</x:f>
        <x:v>1.5380100000000001</x:v>
      </x:c>
      <x:c r="L628">
        <x:f ca="1">IF(AND($B$1012=1,LEN($L$1621)&gt;0),$L$1621,HLOOKUP(INDIRECT(ADDRESS(2,COLUMN())),OFFSET($T$2,0,0,ROW()-1,14),ROW()-1,FALSE))</x:f>
        <x:v>-10.245523</x:v>
      </x:c>
      <x:c r="M628">
        <x:f ca="1">IF(AND($B$1012=1,LEN($M$1621)&gt;0),$M$1621,HLOOKUP(INDIRECT(ADDRESS(2,COLUMN())),OFFSET($T$2,0,0,ROW()-1,14),ROW()-1,FALSE))</x:f>
        <x:v>-4.0922559999999999</x:v>
      </x:c>
      <x:c r="N628">
        <x:f ca="1">IF(AND($B$1012=1,LEN($N$1621)&gt;0),$N$1621,HLOOKUP(INDIRECT(ADDRESS(2,COLUMN())),OFFSET($T$2,0,0,ROW()-1,14),ROW()-1,FALSE))</x:f>
        <x:v>5.2796440000000002</x:v>
      </x:c>
      <x:c r="O628">
        <x:f ca="1">IF(AND($B$1012=1,LEN($O$1621)&gt;0),$O$1621,HLOOKUP(INDIRECT(ADDRESS(2,COLUMN())),OFFSET($T$2,0,0,ROW()-1,14),ROW()-1,FALSE))</x:f>
        <x:v>-4.2203419999999996</x:v>
      </x:c>
      <x:c r="P628">
        <x:f ca="1">IF(AND($B$1012=1,LEN($P$1621)&gt;0),$P$1621,HLOOKUP(INDIRECT(ADDRESS(2,COLUMN())),OFFSET($T$2,0,0,ROW()-1,14),ROW()-1,FALSE))</x:f>
        <x:v>-3.4369700000000001</x:v>
      </x:c>
      <x:c r="Q628">
        <x:f ca="1">IF(AND($B$1012=1,LEN($Q$1621)&gt;0),$Q$1621,HLOOKUP(INDIRECT(ADDRESS(2,COLUMN())),OFFSET($T$2,0,0,ROW()-1,14),ROW()-1,FALSE))</x:f>
        <x:v>4.5511220000000003</x:v>
      </x:c>
      <x:c r="R628">
        <x:f ca="1">IF(AND($B$1012=1,LEN($R$1621)&gt;0),$R$1621,HLOOKUP(INDIRECT(ADDRESS(2,COLUMN())),OFFSET($T$2,0,0,ROW()-1,14),ROW()-1,FALSE))</x:f>
        <x:v>7.5177810000000003</x:v>
      </x:c>
      <x:c r="S628">
        <x:f ca="1">IF(AND($B$1012=1,LEN($S$1621)&gt;0),$S$1621,HLOOKUP(INDIRECT(ADDRESS(2,COLUMN())),OFFSET($T$2,0,0,ROW()-1,14),ROW()-1,FALSE))</x:f>
        <x:v>-4.736084</x:v>
      </x:c>
      <x:c r="T628">
        <x:f>4.458738</x:f>
        <x:v>4.4587380000000003</x:v>
      </x:c>
      <x:c r="U628">
        <x:f>0.888501</x:f>
        <x:v>0.88850099999999999</x:v>
      </x:c>
      <x:c r="V628">
        <x:f>-1.618618</x:f>
        <x:v>-1.6186179999999999</x:v>
      </x:c>
      <x:c r="W628">
        <x:f>-7.249463</x:f>
        <x:v>-7.2494630000000004</x:v>
      </x:c>
      <x:c r="X628">
        <x:f>-5.672183</x:f>
        <x:v>-5.6721830000000004</x:v>
      </x:c>
      <x:c r="Y628">
        <x:f>1.53801</x:f>
        <x:v>1.5380100000000001</x:v>
      </x:c>
      <x:c r="Z628">
        <x:f>-10.245523</x:f>
        <x:v>-10.245523</x:v>
      </x:c>
      <x:c r="AA628">
        <x:f>-4.092256</x:f>
        <x:v>-4.0922559999999999</x:v>
      </x:c>
      <x:c r="AB628">
        <x:f>5.279644</x:f>
        <x:v>5.2796440000000002</x:v>
      </x:c>
      <x:c r="AC628">
        <x:f>-4.220342</x:f>
        <x:v>-4.2203419999999996</x:v>
      </x:c>
      <x:c r="AD628">
        <x:f>-3.43697</x:f>
        <x:v>-3.4369700000000001</x:v>
      </x:c>
      <x:c r="AE628">
        <x:f>4.551122</x:f>
        <x:v>4.5511220000000003</x:v>
      </x:c>
      <x:c r="AF628">
        <x:f>7.517781</x:f>
        <x:v>7.5177810000000003</x:v>
      </x:c>
      <x:c r="AG628">
        <x:f>-4.736084</x:f>
        <x:v>-4.736084</x:v>
      </x:c>
    </x:row>
    <x:row r="629" spans="1:33" x14ac:dyDescent="0.25">
      <x:c r="A629" t="str">
        <x:f>"            Goldman Sachs Data-Driven Worl"</x:f>
        <x:v xml:space="preserve">            Goldman Sachs Data-Driven Worl</x:v>
      </x:c>
      <x:c r="B629" t="str">
        <x:f>"GDAT US Equity"</x:f>
        <x:v>GDAT US Equity</x:v>
      </x:c>
      <x:c r="E629" t="str">
        <x:f t="shared" si="22"/>
        <x:v>Expression</x:v>
      </x:c>
      <x:c r="F629" t="str">
        <x:f ca="1">IF(AND($B$1012=1,LEN($F$1622)&gt;0),$F$1622,HLOOKUP(INDIRECT(ADDRESS(2,COLUMN())),OFFSET($T$2,0,0,ROW()-1,14),ROW()-1,FALSE))</x:f>
        <x:v/>
      </x:c>
      <x:c r="G629" t="str">
        <x:f ca="1">IF(AND($B$1012=1,LEN($G$1622)&gt;0),$G$1622,HLOOKUP(INDIRECT(ADDRESS(2,COLUMN())),OFFSET($T$2,0,0,ROW()-1,14),ROW()-1,FALSE))</x:f>
        <x:v/>
      </x:c>
      <x:c r="H629" t="str">
        <x:f ca="1">IF(AND($B$1012=1,LEN($H$1622)&gt;0),$H$1622,HLOOKUP(INDIRECT(ADDRESS(2,COLUMN())),OFFSET($T$2,0,0,ROW()-1,14),ROW()-1,FALSE))</x:f>
        <x:v/>
      </x:c>
      <x:c r="I629" t="str">
        <x:f ca="1">IF(AND($B$1012=1,LEN($I$1622)&gt;0),$I$1622,HLOOKUP(INDIRECT(ADDRESS(2,COLUMN())),OFFSET($T$2,0,0,ROW()-1,14),ROW()-1,FALSE))</x:f>
        <x:v/>
      </x:c>
      <x:c r="J629" t="str">
        <x:f ca="1">IF(AND($B$1012=1,LEN($J$1622)&gt;0),$J$1622,HLOOKUP(INDIRECT(ADDRESS(2,COLUMN())),OFFSET($T$2,0,0,ROW()-1,14),ROW()-1,FALSE))</x:f>
        <x:v/>
      </x:c>
      <x:c r="K629" t="str">
        <x:f ca="1">IF(AND($B$1012=1,LEN($K$1622)&gt;0),$K$1622,HLOOKUP(INDIRECT(ADDRESS(2,COLUMN())),OFFSET($T$2,0,0,ROW()-1,14),ROW()-1,FALSE))</x:f>
        <x:v/>
      </x:c>
      <x:c r="L629" t="str">
        <x:f ca="1">IF(AND($B$1012=1,LEN($L$1622)&gt;0),$L$1622,HLOOKUP(INDIRECT(ADDRESS(2,COLUMN())),OFFSET($T$2,0,0,ROW()-1,14),ROW()-1,FALSE))</x:f>
        <x:v/>
      </x:c>
      <x:c r="M629" t="str">
        <x:f ca="1">IF(AND($B$1012=1,LEN($M$1622)&gt;0),$M$1622,HLOOKUP(INDIRECT(ADDRESS(2,COLUMN())),OFFSET($T$2,0,0,ROW()-1,14),ROW()-1,FALSE))</x:f>
        <x:v/>
      </x:c>
      <x:c r="N629" t="str">
        <x:f ca="1">IF(AND($B$1012=1,LEN($N$1622)&gt;0),$N$1622,HLOOKUP(INDIRECT(ADDRESS(2,COLUMN())),OFFSET($T$2,0,0,ROW()-1,14),ROW()-1,FALSE))</x:f>
        <x:v/>
      </x:c>
      <x:c r="O629" t="str">
        <x:f ca="1">IF(AND($B$1012=1,LEN($O$1622)&gt;0),$O$1622,HLOOKUP(INDIRECT(ADDRESS(2,COLUMN())),OFFSET($T$2,0,0,ROW()-1,14),ROW()-1,FALSE))</x:f>
        <x:v/>
      </x:c>
      <x:c r="P629" t="str">
        <x:f ca="1">IF(AND($B$1012=1,LEN($P$1622)&gt;0),$P$1622,HLOOKUP(INDIRECT(ADDRESS(2,COLUMN())),OFFSET($T$2,0,0,ROW()-1,14),ROW()-1,FALSE))</x:f>
        <x:v/>
      </x:c>
      <x:c r="Q629" t="str">
        <x:f ca="1">IF(AND($B$1012=1,LEN($Q$1622)&gt;0),$Q$1622,HLOOKUP(INDIRECT(ADDRESS(2,COLUMN())),OFFSET($T$2,0,0,ROW()-1,14),ROW()-1,FALSE))</x:f>
        <x:v/>
      </x:c>
      <x:c r="R629" t="str">
        <x:f ca="1">IF(AND($B$1012=1,LEN($R$1622)&gt;0),$R$1622,HLOOKUP(INDIRECT(ADDRESS(2,COLUMN())),OFFSET($T$2,0,0,ROW()-1,14),ROW()-1,FALSE))</x:f>
        <x:v/>
      </x:c>
      <x:c r="S629" t="str">
        <x:f ca="1">IF(AND($B$1012=1,LEN($S$1622)&gt;0),$S$1622,HLOOKUP(INDIRECT(ADDRESS(2,COLUMN())),OFFSET($T$2,0,0,ROW()-1,14),ROW()-1,FALSE))</x:f>
        <x:v/>
      </x:c>
      <x:c r="T629" t="str">
        <x:f>""</x:f>
        <x:v/>
      </x:c>
      <x:c r="U629" t="str">
        <x:f>""</x:f>
        <x:v/>
      </x:c>
      <x:c r="V629" t="str">
        <x:f>""</x:f>
        <x:v/>
      </x:c>
      <x:c r="W629" t="str">
        <x:f>""</x:f>
        <x:v/>
      </x:c>
      <x:c r="X629" t="str">
        <x:f>""</x:f>
        <x:v/>
      </x:c>
      <x:c r="Y629" t="str">
        <x:f>""</x:f>
        <x:v/>
      </x:c>
      <x:c r="Z629" t="str">
        <x:f>""</x:f>
        <x:v/>
      </x:c>
      <x:c r="AA629" t="str">
        <x:f>""</x:f>
        <x:v/>
      </x:c>
      <x:c r="AB629" t="str">
        <x:f>""</x:f>
        <x:v/>
      </x:c>
      <x:c r="AC629" t="str">
        <x:f>""</x:f>
        <x:v/>
      </x:c>
      <x:c r="AD629" t="str">
        <x:f>""</x:f>
        <x:v/>
      </x:c>
      <x:c r="AE629" t="str">
        <x:f>""</x:f>
        <x:v/>
      </x:c>
      <x:c r="AF629" t="str">
        <x:f>""</x:f>
        <x:v/>
      </x:c>
      <x:c r="AG629" t="str">
        <x:f>""</x:f>
        <x:v/>
      </x:c>
    </x:row>
    <x:row r="630" spans="1:33" x14ac:dyDescent="0.25">
      <x:c r="A630" t="str">
        <x:f>"            Direxion Daily Dow Jones Inter"</x:f>
        <x:v xml:space="preserve">            Direxion Daily Dow Jones Inter</x:v>
      </x:c>
      <x:c r="B630" t="str">
        <x:f>"WEBL US Equity"</x:f>
        <x:v>WEBL US Equity</x:v>
      </x:c>
      <x:c r="E630" t="str">
        <x:f t="shared" si="22"/>
        <x:v>Expression</x:v>
      </x:c>
      <x:c r="F630">
        <x:f ca="1">IF(AND($B$1012=1,LEN($F$1623)&gt;0),$F$1623,HLOOKUP(INDIRECT(ADDRESS(2,COLUMN())),OFFSET($T$2,0,0,ROW()-1,14),ROW()-1,FALSE))</x:f>
        <x:v>-1.580193</x:v>
      </x:c>
      <x:c r="G630">
        <x:f ca="1">IF(AND($B$1012=1,LEN($G$1623)&gt;0),$G$1623,HLOOKUP(INDIRECT(ADDRESS(2,COLUMN())),OFFSET($T$2,0,0,ROW()-1,14),ROW()-1,FALSE))</x:f>
        <x:v>3.814756</x:v>
      </x:c>
      <x:c r="H630">
        <x:f ca="1">IF(AND($B$1012=1,LEN($H$1623)&gt;0),$H$1623,HLOOKUP(INDIRECT(ADDRESS(2,COLUMN())),OFFSET($T$2,0,0,ROW()-1,14),ROW()-1,FALSE))</x:f>
        <x:v>-3.5741809999999998</x:v>
      </x:c>
      <x:c r="I630">
        <x:f ca="1">IF(AND($B$1012=1,LEN($I$1623)&gt;0),$I$1623,HLOOKUP(INDIRECT(ADDRESS(2,COLUMN())),OFFSET($T$2,0,0,ROW()-1,14),ROW()-1,FALSE))</x:f>
        <x:v>-6.0602919999999996</x:v>
      </x:c>
      <x:c r="J630">
        <x:f ca="1">IF(AND($B$1012=1,LEN($J$1623)&gt;0),$J$1623,HLOOKUP(INDIRECT(ADDRESS(2,COLUMN())),OFFSET($T$2,0,0,ROW()-1,14),ROW()-1,FALSE))</x:f>
        <x:v>3.6201240000000001</x:v>
      </x:c>
      <x:c r="K630">
        <x:f ca="1">IF(AND($B$1012=1,LEN($K$1623)&gt;0),$K$1623,HLOOKUP(INDIRECT(ADDRESS(2,COLUMN())),OFFSET($T$2,0,0,ROW()-1,14),ROW()-1,FALSE))</x:f>
        <x:v>-9.3818590000000004</x:v>
      </x:c>
      <x:c r="L630">
        <x:f ca="1">IF(AND($B$1012=1,LEN($L$1623)&gt;0),$L$1623,HLOOKUP(INDIRECT(ADDRESS(2,COLUMN())),OFFSET($T$2,0,0,ROW()-1,14),ROW()-1,FALSE))</x:f>
        <x:v>-13.713794999999999</x:v>
      </x:c>
      <x:c r="M630">
        <x:f ca="1">IF(AND($B$1012=1,LEN($M$1623)&gt;0),$M$1623,HLOOKUP(INDIRECT(ADDRESS(2,COLUMN())),OFFSET($T$2,0,0,ROW()-1,14),ROW()-1,FALSE))</x:f>
        <x:v>-3.3677589999999999</x:v>
      </x:c>
      <x:c r="N630">
        <x:f ca="1">IF(AND($B$1012=1,LEN($N$1623)&gt;0),$N$1623,HLOOKUP(INDIRECT(ADDRESS(2,COLUMN())),OFFSET($T$2,0,0,ROW()-1,14),ROW()-1,FALSE))</x:f>
        <x:v>2.7253810000000001</x:v>
      </x:c>
      <x:c r="O630">
        <x:f ca="1">IF(AND($B$1012=1,LEN($O$1623)&gt;0),$O$1623,HLOOKUP(INDIRECT(ADDRESS(2,COLUMN())),OFFSET($T$2,0,0,ROW()-1,14),ROW()-1,FALSE))</x:f>
        <x:v>-1.2759160000000001</x:v>
      </x:c>
      <x:c r="P630">
        <x:f ca="1">IF(AND($B$1012=1,LEN($P$1623)&gt;0),$P$1623,HLOOKUP(INDIRECT(ADDRESS(2,COLUMN())),OFFSET($T$2,0,0,ROW()-1,14),ROW()-1,FALSE))</x:f>
        <x:v>-19.547138</x:v>
      </x:c>
      <x:c r="Q630">
        <x:f ca="1">IF(AND($B$1012=1,LEN($Q$1623)&gt;0),$Q$1623,HLOOKUP(INDIRECT(ADDRESS(2,COLUMN())),OFFSET($T$2,0,0,ROW()-1,14),ROW()-1,FALSE))</x:f>
        <x:v>2.6686209999999999</x:v>
      </x:c>
      <x:c r="R630">
        <x:f ca="1">IF(AND($B$1012=1,LEN($R$1623)&gt;0),$R$1623,HLOOKUP(INDIRECT(ADDRESS(2,COLUMN())),OFFSET($T$2,0,0,ROW()-1,14),ROW()-1,FALSE))</x:f>
        <x:v>25.321134000000001</x:v>
      </x:c>
      <x:c r="S630">
        <x:f ca="1">IF(AND($B$1012=1,LEN($S$1623)&gt;0),$S$1623,HLOOKUP(INDIRECT(ADDRESS(2,COLUMN())),OFFSET($T$2,0,0,ROW()-1,14),ROW()-1,FALSE))</x:f>
        <x:v>9.8815580000000001</x:v>
      </x:c>
      <x:c r="T630">
        <x:f>-1.580193</x:f>
        <x:v>-1.580193</x:v>
      </x:c>
      <x:c r="U630">
        <x:f>3.814756</x:f>
        <x:v>3.814756</x:v>
      </x:c>
      <x:c r="V630">
        <x:f>-3.574181</x:f>
        <x:v>-3.5741809999999998</x:v>
      </x:c>
      <x:c r="W630">
        <x:f>-6.060292</x:f>
        <x:v>-6.0602919999999996</x:v>
      </x:c>
      <x:c r="X630">
        <x:f>3.620124</x:f>
        <x:v>3.6201240000000001</x:v>
      </x:c>
      <x:c r="Y630">
        <x:f>-9.381859</x:f>
        <x:v>-9.3818590000000004</x:v>
      </x:c>
      <x:c r="Z630">
        <x:f>-13.713795</x:f>
        <x:v>-13.713794999999999</x:v>
      </x:c>
      <x:c r="AA630">
        <x:f>-3.367759</x:f>
        <x:v>-3.3677589999999999</x:v>
      </x:c>
      <x:c r="AB630">
        <x:f>2.725381</x:f>
        <x:v>2.7253810000000001</x:v>
      </x:c>
      <x:c r="AC630">
        <x:f>-1.275916</x:f>
        <x:v>-1.2759160000000001</x:v>
      </x:c>
      <x:c r="AD630">
        <x:f>-19.547138</x:f>
        <x:v>-19.547138</x:v>
      </x:c>
      <x:c r="AE630">
        <x:f>2.668621</x:f>
        <x:v>2.6686209999999999</x:v>
      </x:c>
      <x:c r="AF630">
        <x:f>25.321134</x:f>
        <x:v>25.321134000000001</x:v>
      </x:c>
      <x:c r="AG630">
        <x:f>9.881558</x:f>
        <x:v>9.8815580000000001</x:v>
      </x:c>
    </x:row>
    <x:row r="631" spans="1:33" x14ac:dyDescent="0.25">
      <x:c r="A631" t="str">
        <x:f>"            Direxion Daily Dow Jones Inter"</x:f>
        <x:v xml:space="preserve">            Direxion Daily Dow Jones Inter</x:v>
      </x:c>
      <x:c r="B631" t="str">
        <x:f>"WEBS US Equity"</x:f>
        <x:v>WEBS US Equity</x:v>
      </x:c>
      <x:c r="E631" t="str">
        <x:f t="shared" si="22"/>
        <x:v>Expression</x:v>
      </x:c>
      <x:c r="F631">
        <x:f ca="1">IF(AND($B$1012=1,LEN($F$1624)&gt;0),$F$1624,HLOOKUP(INDIRECT(ADDRESS(2,COLUMN())),OFFSET($T$2,0,0,ROW()-1,14),ROW()-1,FALSE))</x:f>
        <x:v>-1.1856089999999999</x:v>
      </x:c>
      <x:c r="G631">
        <x:f ca="1">IF(AND($B$1012=1,LEN($G$1624)&gt;0),$G$1624,HLOOKUP(INDIRECT(ADDRESS(2,COLUMN())),OFFSET($T$2,0,0,ROW()-1,14),ROW()-1,FALSE))</x:f>
        <x:v>-2.9065759999999998</x:v>
      </x:c>
      <x:c r="H631">
        <x:f ca="1">IF(AND($B$1012=1,LEN($H$1624)&gt;0),$H$1624,HLOOKUP(INDIRECT(ADDRESS(2,COLUMN())),OFFSET($T$2,0,0,ROW()-1,14),ROW()-1,FALSE))</x:f>
        <x:v>-1.6898740000000001</x:v>
      </x:c>
      <x:c r="I631">
        <x:f ca="1">IF(AND($B$1012=1,LEN($I$1624)&gt;0),$I$1624,HLOOKUP(INDIRECT(ADDRESS(2,COLUMN())),OFFSET($T$2,0,0,ROW()-1,14),ROW()-1,FALSE))</x:f>
        <x:v>-2.5350030000000001</x:v>
      </x:c>
      <x:c r="J631">
        <x:f ca="1">IF(AND($B$1012=1,LEN($J$1624)&gt;0),$J$1624,HLOOKUP(INDIRECT(ADDRESS(2,COLUMN())),OFFSET($T$2,0,0,ROW()-1,14),ROW()-1,FALSE))</x:f>
        <x:v>3.4700839999999999</x:v>
      </x:c>
      <x:c r="K631">
        <x:f ca="1">IF(AND($B$1012=1,LEN($K$1624)&gt;0),$K$1624,HLOOKUP(INDIRECT(ADDRESS(2,COLUMN())),OFFSET($T$2,0,0,ROW()-1,14),ROW()-1,FALSE))</x:f>
        <x:v>0.82711699999999999</x:v>
      </x:c>
      <x:c r="L631">
        <x:f ca="1">IF(AND($B$1012=1,LEN($L$1624)&gt;0),$L$1624,HLOOKUP(INDIRECT(ADDRESS(2,COLUMN())),OFFSET($T$2,0,0,ROW()-1,14),ROW()-1,FALSE))</x:f>
        <x:v>4.9239860000000002</x:v>
      </x:c>
      <x:c r="M631">
        <x:f ca="1">IF(AND($B$1012=1,LEN($M$1624)&gt;0),$M$1624,HLOOKUP(INDIRECT(ADDRESS(2,COLUMN())),OFFSET($T$2,0,0,ROW()-1,14),ROW()-1,FALSE))</x:f>
        <x:v>5.9320769999999996</x:v>
      </x:c>
      <x:c r="N631">
        <x:f ca="1">IF(AND($B$1012=1,LEN($N$1624)&gt;0),$N$1624,HLOOKUP(INDIRECT(ADDRESS(2,COLUMN())),OFFSET($T$2,0,0,ROW()-1,14),ROW()-1,FALSE))</x:f>
        <x:v>-12.046011</x:v>
      </x:c>
      <x:c r="O631">
        <x:f ca="1">IF(AND($B$1012=1,LEN($O$1624)&gt;0),$O$1624,HLOOKUP(INDIRECT(ADDRESS(2,COLUMN())),OFFSET($T$2,0,0,ROW()-1,14),ROW()-1,FALSE))</x:f>
        <x:v>4.577413</x:v>
      </x:c>
      <x:c r="P631">
        <x:f ca="1">IF(AND($B$1012=1,LEN($P$1624)&gt;0),$P$1624,HLOOKUP(INDIRECT(ADDRESS(2,COLUMN())),OFFSET($T$2,0,0,ROW()-1,14),ROW()-1,FALSE))</x:f>
        <x:v>25.141784999999999</x:v>
      </x:c>
      <x:c r="Q631">
        <x:f ca="1">IF(AND($B$1012=1,LEN($Q$1624)&gt;0),$Q$1624,HLOOKUP(INDIRECT(ADDRESS(2,COLUMN())),OFFSET($T$2,0,0,ROW()-1,14),ROW()-1,FALSE))</x:f>
        <x:v>-14.670551</x:v>
      </x:c>
      <x:c r="R631">
        <x:f ca="1">IF(AND($B$1012=1,LEN($R$1624)&gt;0),$R$1624,HLOOKUP(INDIRECT(ADDRESS(2,COLUMN())),OFFSET($T$2,0,0,ROW()-1,14),ROW()-1,FALSE))</x:f>
        <x:v>-0.46934199999999998</x:v>
      </x:c>
      <x:c r="S631">
        <x:f ca="1">IF(AND($B$1012=1,LEN($S$1624)&gt;0),$S$1624,HLOOKUP(INDIRECT(ADDRESS(2,COLUMN())),OFFSET($T$2,0,0,ROW()-1,14),ROW()-1,FALSE))</x:f>
        <x:v>-6.1490140000000002</x:v>
      </x:c>
      <x:c r="T631">
        <x:f>-1.185609</x:f>
        <x:v>-1.1856089999999999</x:v>
      </x:c>
      <x:c r="U631">
        <x:f>-2.906576</x:f>
        <x:v>-2.9065759999999998</x:v>
      </x:c>
      <x:c r="V631">
        <x:f>-1.689874</x:f>
        <x:v>-1.6898740000000001</x:v>
      </x:c>
      <x:c r="W631">
        <x:f>-2.535003</x:f>
        <x:v>-2.5350030000000001</x:v>
      </x:c>
      <x:c r="X631">
        <x:f>3.470084</x:f>
        <x:v>3.4700839999999999</x:v>
      </x:c>
      <x:c r="Y631">
        <x:f>0.827117</x:f>
        <x:v>0.82711699999999999</x:v>
      </x:c>
      <x:c r="Z631">
        <x:f>4.923986</x:f>
        <x:v>4.9239860000000002</x:v>
      </x:c>
      <x:c r="AA631">
        <x:f>5.932077</x:f>
        <x:v>5.9320769999999996</x:v>
      </x:c>
      <x:c r="AB631">
        <x:f>-12.046011</x:f>
        <x:v>-12.046011</x:v>
      </x:c>
      <x:c r="AC631">
        <x:f>4.577413</x:f>
        <x:v>4.577413</x:v>
      </x:c>
      <x:c r="AD631">
        <x:f>25.141785</x:f>
        <x:v>25.141784999999999</x:v>
      </x:c>
      <x:c r="AE631">
        <x:f>-14.670551</x:f>
        <x:v>-14.670551</x:v>
      </x:c>
      <x:c r="AF631">
        <x:f>-0.469342</x:f>
        <x:v>-0.46934199999999998</x:v>
      </x:c>
      <x:c r="AG631">
        <x:f>-6.149014</x:f>
        <x:v>-6.1490140000000002</x:v>
      </x:c>
    </x:row>
    <x:row r="632" spans="1:33" x14ac:dyDescent="0.25">
      <x:c r="A632" t="str">
        <x:f>"            BlackRock Future Tech ETF"</x:f>
        <x:v xml:space="preserve">            BlackRock Future Tech ETF</x:v>
      </x:c>
      <x:c r="B632" t="str">
        <x:f>"BTEK US Equity"</x:f>
        <x:v>BTEK US Equity</x:v>
      </x:c>
      <x:c r="E632" t="str">
        <x:f t="shared" si="22"/>
        <x:v>Expression</x:v>
      </x:c>
      <x:c r="F632">
        <x:f ca="1">IF(AND($B$1012=1,LEN($F$1625)&gt;0),$F$1625,HLOOKUP(INDIRECT(ADDRESS(2,COLUMN())),OFFSET($T$2,0,0,ROW()-1,14),ROW()-1,FALSE))</x:f>
        <x:v>0</x:v>
      </x:c>
      <x:c r="G632">
        <x:f ca="1">IF(AND($B$1012=1,LEN($G$1625)&gt;0),$G$1625,HLOOKUP(INDIRECT(ADDRESS(2,COLUMN())),OFFSET($T$2,0,0,ROW()-1,14),ROW()-1,FALSE))</x:f>
        <x:v>0</x:v>
      </x:c>
      <x:c r="H632">
        <x:f ca="1">IF(AND($B$1012=1,LEN($H$1625)&gt;0),$H$1625,HLOOKUP(INDIRECT(ADDRESS(2,COLUMN())),OFFSET($T$2,0,0,ROW()-1,14),ROW()-1,FALSE))</x:f>
        <x:v>0</x:v>
      </x:c>
      <x:c r="I632">
        <x:f ca="1">IF(AND($B$1012=1,LEN($I$1625)&gt;0),$I$1625,HLOOKUP(INDIRECT(ADDRESS(2,COLUMN())),OFFSET($T$2,0,0,ROW()-1,14),ROW()-1,FALSE))</x:f>
        <x:v>0</x:v>
      </x:c>
      <x:c r="J632">
        <x:f ca="1">IF(AND($B$1012=1,LEN($J$1625)&gt;0),$J$1625,HLOOKUP(INDIRECT(ADDRESS(2,COLUMN())),OFFSET($T$2,0,0,ROW()-1,14),ROW()-1,FALSE))</x:f>
        <x:v>0</x:v>
      </x:c>
      <x:c r="K632">
        <x:f ca="1">IF(AND($B$1012=1,LEN($K$1625)&gt;0),$K$1625,HLOOKUP(INDIRECT(ADDRESS(2,COLUMN())),OFFSET($T$2,0,0,ROW()-1,14),ROW()-1,FALSE))</x:f>
        <x:v>0</x:v>
      </x:c>
      <x:c r="L632">
        <x:f ca="1">IF(AND($B$1012=1,LEN($L$1625)&gt;0),$L$1625,HLOOKUP(INDIRECT(ADDRESS(2,COLUMN())),OFFSET($T$2,0,0,ROW()-1,14),ROW()-1,FALSE))</x:f>
        <x:v>0.73832799999999998</x:v>
      </x:c>
      <x:c r="M632">
        <x:f ca="1">IF(AND($B$1012=1,LEN($M$1625)&gt;0),$M$1625,HLOOKUP(INDIRECT(ADDRESS(2,COLUMN())),OFFSET($T$2,0,0,ROW()-1,14),ROW()-1,FALSE))</x:f>
        <x:v>0</x:v>
      </x:c>
      <x:c r="N632">
        <x:f ca="1">IF(AND($B$1012=1,LEN($N$1625)&gt;0),$N$1625,HLOOKUP(INDIRECT(ADDRESS(2,COLUMN())),OFFSET($T$2,0,0,ROW()-1,14),ROW()-1,FALSE))</x:f>
        <x:v>0</x:v>
      </x:c>
      <x:c r="O632">
        <x:f ca="1">IF(AND($B$1012=1,LEN($O$1625)&gt;0),$O$1625,HLOOKUP(INDIRECT(ADDRESS(2,COLUMN())),OFFSET($T$2,0,0,ROW()-1,14),ROW()-1,FALSE))</x:f>
        <x:v>0</x:v>
      </x:c>
      <x:c r="P632">
        <x:f ca="1">IF(AND($B$1012=1,LEN($P$1625)&gt;0),$P$1625,HLOOKUP(INDIRECT(ADDRESS(2,COLUMN())),OFFSET($T$2,0,0,ROW()-1,14),ROW()-1,FALSE))</x:f>
        <x:v>0</x:v>
      </x:c>
      <x:c r="Q632">
        <x:f ca="1">IF(AND($B$1012=1,LEN($Q$1625)&gt;0),$Q$1625,HLOOKUP(INDIRECT(ADDRESS(2,COLUMN())),OFFSET($T$2,0,0,ROW()-1,14),ROW()-1,FALSE))</x:f>
        <x:v>0</x:v>
      </x:c>
      <x:c r="R632">
        <x:f ca="1">IF(AND($B$1012=1,LEN($R$1625)&gt;0),$R$1625,HLOOKUP(INDIRECT(ADDRESS(2,COLUMN())),OFFSET($T$2,0,0,ROW()-1,14),ROW()-1,FALSE))</x:f>
        <x:v>0</x:v>
      </x:c>
      <x:c r="S632">
        <x:f ca="1">IF(AND($B$1012=1,LEN($S$1625)&gt;0),$S$1625,HLOOKUP(INDIRECT(ADDRESS(2,COLUMN())),OFFSET($T$2,0,0,ROW()-1,14),ROW()-1,FALSE))</x:f>
        <x:v>0</x:v>
      </x:c>
      <x:c r="T632">
        <x:f>0</x:f>
        <x:v>0</x:v>
      </x:c>
      <x:c r="U632">
        <x:f>0</x:f>
        <x:v>0</x:v>
      </x:c>
      <x:c r="V632">
        <x:f>0</x:f>
        <x:v>0</x:v>
      </x:c>
      <x:c r="W632">
        <x:f>0</x:f>
        <x:v>0</x:v>
      </x:c>
      <x:c r="X632">
        <x:f>0</x:f>
        <x:v>0</x:v>
      </x:c>
      <x:c r="Y632">
        <x:f>0</x:f>
        <x:v>0</x:v>
      </x:c>
      <x:c r="Z632">
        <x:f>0.738328</x:f>
        <x:v>0.73832799999999998</x:v>
      </x:c>
      <x:c r="AA632">
        <x:f>0</x:f>
        <x:v>0</x:v>
      </x:c>
      <x:c r="AB632">
        <x:f>0</x:f>
        <x:v>0</x:v>
      </x:c>
      <x:c r="AC632">
        <x:f>0</x:f>
        <x:v>0</x:v>
      </x:c>
      <x:c r="AD632">
        <x:f>0</x:f>
        <x:v>0</x:v>
      </x:c>
      <x:c r="AE632">
        <x:f>0</x:f>
        <x:v>0</x:v>
      </x:c>
      <x:c r="AF632">
        <x:f>0</x:f>
        <x:v>0</x:v>
      </x:c>
      <x:c r="AG632">
        <x:f>0</x:f>
        <x:v>0</x:v>
      </x:c>
    </x:row>
    <x:row r="633" spans="1:33" x14ac:dyDescent="0.25">
      <x:c r="A633" t="str">
        <x:f>"            SmartETFs Advertising &amp; Market"</x:f>
        <x:v xml:space="preserve">            SmartETFs Advertising &amp; Market</x:v>
      </x:c>
      <x:c r="B633" t="str">
        <x:f>"MRAD US Equity"</x:f>
        <x:v>MRAD US Equity</x:v>
      </x:c>
      <x:c r="E633" t="str">
        <x:f t="shared" si="22"/>
        <x:v>Expression</x:v>
      </x:c>
      <x:c r="F633">
        <x:f ca="1">IF(AND($B$1012=1,LEN($F$1626)&gt;0),$F$1626,HLOOKUP(INDIRECT(ADDRESS(2,COLUMN())),OFFSET($T$2,0,0,ROW()-1,14),ROW()-1,FALSE))</x:f>
        <x:v>0</x:v>
      </x:c>
      <x:c r="G633">
        <x:f ca="1">IF(AND($B$1012=1,LEN($G$1626)&gt;0),$G$1626,HLOOKUP(INDIRECT(ADDRESS(2,COLUMN())),OFFSET($T$2,0,0,ROW()-1,14),ROW()-1,FALSE))</x:f>
        <x:v>0</x:v>
      </x:c>
      <x:c r="H633">
        <x:f ca="1">IF(AND($B$1012=1,LEN($H$1626)&gt;0),$H$1626,HLOOKUP(INDIRECT(ADDRESS(2,COLUMN())),OFFSET($T$2,0,0,ROW()-1,14),ROW()-1,FALSE))</x:f>
        <x:v>0</x:v>
      </x:c>
      <x:c r="I633">
        <x:f ca="1">IF(AND($B$1012=1,LEN($I$1626)&gt;0),$I$1626,HLOOKUP(INDIRECT(ADDRESS(2,COLUMN())),OFFSET($T$2,0,0,ROW()-1,14),ROW()-1,FALSE))</x:f>
        <x:v>0</x:v>
      </x:c>
      <x:c r="J633">
        <x:f ca="1">IF(AND($B$1012=1,LEN($J$1626)&gt;0),$J$1626,HLOOKUP(INDIRECT(ADDRESS(2,COLUMN())),OFFSET($T$2,0,0,ROW()-1,14),ROW()-1,FALSE))</x:f>
        <x:v>0</x:v>
      </x:c>
      <x:c r="K633">
        <x:f ca="1">IF(AND($B$1012=1,LEN($K$1626)&gt;0),$K$1626,HLOOKUP(INDIRECT(ADDRESS(2,COLUMN())),OFFSET($T$2,0,0,ROW()-1,14),ROW()-1,FALSE))</x:f>
        <x:v>0</x:v>
      </x:c>
      <x:c r="L633">
        <x:f ca="1">IF(AND($B$1012=1,LEN($L$1626)&gt;0),$L$1626,HLOOKUP(INDIRECT(ADDRESS(2,COLUMN())),OFFSET($T$2,0,0,ROW()-1,14),ROW()-1,FALSE))</x:f>
        <x:v>0</x:v>
      </x:c>
      <x:c r="M633">
        <x:f ca="1">IF(AND($B$1012=1,LEN($M$1626)&gt;0),$M$1626,HLOOKUP(INDIRECT(ADDRESS(2,COLUMN())),OFFSET($T$2,0,0,ROW()-1,14),ROW()-1,FALSE))</x:f>
        <x:v>0</x:v>
      </x:c>
      <x:c r="N633">
        <x:f ca="1">IF(AND($B$1012=1,LEN($N$1626)&gt;0),$N$1626,HLOOKUP(INDIRECT(ADDRESS(2,COLUMN())),OFFSET($T$2,0,0,ROW()-1,14),ROW()-1,FALSE))</x:f>
        <x:v>0</x:v>
      </x:c>
      <x:c r="O633">
        <x:f ca="1">IF(AND($B$1012=1,LEN($O$1626)&gt;0),$O$1626,HLOOKUP(INDIRECT(ADDRESS(2,COLUMN())),OFFSET($T$2,0,0,ROW()-1,14),ROW()-1,FALSE))</x:f>
        <x:v>-0.14280999999999999</x:v>
      </x:c>
      <x:c r="P633">
        <x:f ca="1">IF(AND($B$1012=1,LEN($P$1626)&gt;0),$P$1626,HLOOKUP(INDIRECT(ADDRESS(2,COLUMN())),OFFSET($T$2,0,0,ROW()-1,14),ROW()-1,FALSE))</x:f>
        <x:v>0</x:v>
      </x:c>
      <x:c r="Q633">
        <x:f ca="1">IF(AND($B$1012=1,LEN($Q$1626)&gt;0),$Q$1626,HLOOKUP(INDIRECT(ADDRESS(2,COLUMN())),OFFSET($T$2,0,0,ROW()-1,14),ROW()-1,FALSE))</x:f>
        <x:v>0</x:v>
      </x:c>
      <x:c r="R633">
        <x:f ca="1">IF(AND($B$1012=1,LEN($R$1626)&gt;0),$R$1626,HLOOKUP(INDIRECT(ADDRESS(2,COLUMN())),OFFSET($T$2,0,0,ROW()-1,14),ROW()-1,FALSE))</x:f>
        <x:v>-0.755104</x:v>
      </x:c>
      <x:c r="S633">
        <x:f ca="1">IF(AND($B$1012=1,LEN($S$1626)&gt;0),$S$1626,HLOOKUP(INDIRECT(ADDRESS(2,COLUMN())),OFFSET($T$2,0,0,ROW()-1,14),ROW()-1,FALSE))</x:f>
        <x:v>0.67190499999999997</x:v>
      </x:c>
      <x:c r="T633">
        <x:f>0</x:f>
        <x:v>0</x:v>
      </x:c>
      <x:c r="U633">
        <x:f>0</x:f>
        <x:v>0</x:v>
      </x:c>
      <x:c r="V633">
        <x:f>0</x:f>
        <x:v>0</x:v>
      </x:c>
      <x:c r="W633">
        <x:f>0</x:f>
        <x:v>0</x:v>
      </x:c>
      <x:c r="X633">
        <x:f>0</x:f>
        <x:v>0</x:v>
      </x:c>
      <x:c r="Y633">
        <x:f>0</x:f>
        <x:v>0</x:v>
      </x:c>
      <x:c r="Z633">
        <x:f>0</x:f>
        <x:v>0</x:v>
      </x:c>
      <x:c r="AA633">
        <x:f>0</x:f>
        <x:v>0</x:v>
      </x:c>
      <x:c r="AB633">
        <x:f>0</x:f>
        <x:v>0</x:v>
      </x:c>
      <x:c r="AC633">
        <x:f>-0.14281</x:f>
        <x:v>-0.14280999999999999</x:v>
      </x:c>
      <x:c r="AD633">
        <x:f>0</x:f>
        <x:v>0</x:v>
      </x:c>
      <x:c r="AE633">
        <x:f>0</x:f>
        <x:v>0</x:v>
      </x:c>
      <x:c r="AF633">
        <x:f>-0.755104</x:f>
        <x:v>-0.755104</x:v>
      </x:c>
      <x:c r="AG633">
        <x:f>0.671905</x:f>
        <x:v>0.67190499999999997</x:v>
      </x:c>
    </x:row>
    <x:row r="634" spans="1:33" x14ac:dyDescent="0.25">
      <x:c r="A634" t="str">
        <x:f>"            Franklin Exponential Data ETF"</x:f>
        <x:v xml:space="preserve">            Franklin Exponential Data ETF</x:v>
      </x:c>
      <x:c r="B634" t="str">
        <x:f>"XDAT US Equity"</x:f>
        <x:v>XDAT US Equity</x:v>
      </x:c>
      <x:c r="E634" t="str">
        <x:f t="shared" si="22"/>
        <x:v>Expression</x:v>
      </x:c>
      <x:c r="F634">
        <x:f ca="1">IF(AND($B$1012=1,LEN($F$1627)&gt;0),$F$1627,HLOOKUP(INDIRECT(ADDRESS(2,COLUMN())),OFFSET($T$2,0,0,ROW()-1,14),ROW()-1,FALSE))</x:f>
        <x:v>0</x:v>
      </x:c>
      <x:c r="G634">
        <x:f ca="1">IF(AND($B$1012=1,LEN($G$1627)&gt;0),$G$1627,HLOOKUP(INDIRECT(ADDRESS(2,COLUMN())),OFFSET($T$2,0,0,ROW()-1,14),ROW()-1,FALSE))</x:f>
        <x:v>0</x:v>
      </x:c>
      <x:c r="H634">
        <x:f ca="1">IF(AND($B$1012=1,LEN($H$1627)&gt;0),$H$1627,HLOOKUP(INDIRECT(ADDRESS(2,COLUMN())),OFFSET($T$2,0,0,ROW()-1,14),ROW()-1,FALSE))</x:f>
        <x:v>0</x:v>
      </x:c>
      <x:c r="I634">
        <x:f ca="1">IF(AND($B$1012=1,LEN($I$1627)&gt;0),$I$1627,HLOOKUP(INDIRECT(ADDRESS(2,COLUMN())),OFFSET($T$2,0,0,ROW()-1,14),ROW()-1,FALSE))</x:f>
        <x:v>0</x:v>
      </x:c>
      <x:c r="J634">
        <x:f ca="1">IF(AND($B$1012=1,LEN($J$1627)&gt;0),$J$1627,HLOOKUP(INDIRECT(ADDRESS(2,COLUMN())),OFFSET($T$2,0,0,ROW()-1,14),ROW()-1,FALSE))</x:f>
        <x:v>0</x:v>
      </x:c>
      <x:c r="K634">
        <x:f ca="1">IF(AND($B$1012=1,LEN($K$1627)&gt;0),$K$1627,HLOOKUP(INDIRECT(ADDRESS(2,COLUMN())),OFFSET($T$2,0,0,ROW()-1,14),ROW()-1,FALSE))</x:f>
        <x:v>0</x:v>
      </x:c>
      <x:c r="L634">
        <x:f ca="1">IF(AND($B$1012=1,LEN($L$1627)&gt;0),$L$1627,HLOOKUP(INDIRECT(ADDRESS(2,COLUMN())),OFFSET($T$2,0,0,ROW()-1,14),ROW()-1,FALSE))</x:f>
        <x:v>0</x:v>
      </x:c>
      <x:c r="M634">
        <x:f ca="1">IF(AND($B$1012=1,LEN($M$1627)&gt;0),$M$1627,HLOOKUP(INDIRECT(ADDRESS(2,COLUMN())),OFFSET($T$2,0,0,ROW()-1,14),ROW()-1,FALSE))</x:f>
        <x:v>0</x:v>
      </x:c>
      <x:c r="N634">
        <x:f ca="1">IF(AND($B$1012=1,LEN($N$1627)&gt;0),$N$1627,HLOOKUP(INDIRECT(ADDRESS(2,COLUMN())),OFFSET($T$2,0,0,ROW()-1,14),ROW()-1,FALSE))</x:f>
        <x:v>0</x:v>
      </x:c>
      <x:c r="O634">
        <x:f ca="1">IF(AND($B$1012=1,LEN($O$1627)&gt;0),$O$1627,HLOOKUP(INDIRECT(ADDRESS(2,COLUMN())),OFFSET($T$2,0,0,ROW()-1,14),ROW()-1,FALSE))</x:f>
        <x:v>0.80005099999999996</x:v>
      </x:c>
      <x:c r="P634">
        <x:f ca="1">IF(AND($B$1012=1,LEN($P$1627)&gt;0),$P$1627,HLOOKUP(INDIRECT(ADDRESS(2,COLUMN())),OFFSET($T$2,0,0,ROW()-1,14),ROW()-1,FALSE))</x:f>
        <x:v>0</x:v>
      </x:c>
      <x:c r="Q634">
        <x:f ca="1">IF(AND($B$1012=1,LEN($Q$1627)&gt;0),$Q$1627,HLOOKUP(INDIRECT(ADDRESS(2,COLUMN())),OFFSET($T$2,0,0,ROW()-1,14),ROW()-1,FALSE))</x:f>
        <x:v>0</x:v>
      </x:c>
      <x:c r="R634">
        <x:f ca="1">IF(AND($B$1012=1,LEN($R$1627)&gt;0),$R$1627,HLOOKUP(INDIRECT(ADDRESS(2,COLUMN())),OFFSET($T$2,0,0,ROW()-1,14),ROW()-1,FALSE))</x:f>
        <x:v>0</x:v>
      </x:c>
      <x:c r="S634">
        <x:f ca="1">IF(AND($B$1012=1,LEN($S$1627)&gt;0),$S$1627,HLOOKUP(INDIRECT(ADDRESS(2,COLUMN())),OFFSET($T$2,0,0,ROW()-1,14),ROW()-1,FALSE))</x:f>
        <x:v>0</x:v>
      </x:c>
      <x:c r="T634">
        <x:f>0</x:f>
        <x:v>0</x:v>
      </x:c>
      <x:c r="U634">
        <x:f>0</x:f>
        <x:v>0</x:v>
      </x:c>
      <x:c r="V634">
        <x:f>0</x:f>
        <x:v>0</x:v>
      </x:c>
      <x:c r="W634">
        <x:f>0</x:f>
        <x:v>0</x:v>
      </x:c>
      <x:c r="X634">
        <x:f>0</x:f>
        <x:v>0</x:v>
      </x:c>
      <x:c r="Y634">
        <x:f>0</x:f>
        <x:v>0</x:v>
      </x:c>
      <x:c r="Z634">
        <x:f>0</x:f>
        <x:v>0</x:v>
      </x:c>
      <x:c r="AA634">
        <x:f>0</x:f>
        <x:v>0</x:v>
      </x:c>
      <x:c r="AB634">
        <x:f>0</x:f>
        <x:v>0</x:v>
      </x:c>
      <x:c r="AC634">
        <x:f>0.800051</x:f>
        <x:v>0.80005099999999996</x:v>
      </x:c>
      <x:c r="AD634">
        <x:f>0</x:f>
        <x:v>0</x:v>
      </x:c>
      <x:c r="AE634">
        <x:f>0</x:f>
        <x:v>0</x:v>
      </x:c>
      <x:c r="AF634">
        <x:f>0</x:f>
        <x:v>0</x:v>
      </x:c>
      <x:c r="AG634">
        <x:f>0</x:f>
        <x:v>0</x:v>
      </x:c>
    </x:row>
    <x:row r="635" spans="1:33" x14ac:dyDescent="0.25">
      <x:c r="A635" t="str">
        <x:f>"            Roundhill Streaming Services &amp;"</x:f>
        <x:v xml:space="preserve">            Roundhill Streaming Services &amp;</x:v>
      </x:c>
      <x:c r="B635" t="str">
        <x:f>"SUBZ US Equity"</x:f>
        <x:v>SUBZ US Equity</x:v>
      </x:c>
      <x:c r="E635" t="str">
        <x:f t="shared" si="22"/>
        <x:v>Expression</x:v>
      </x:c>
      <x:c r="F635" t="str">
        <x:f ca="1">IF(AND($B$1012=1,LEN($F$1628)&gt;0),$F$1628,HLOOKUP(INDIRECT(ADDRESS(2,COLUMN())),OFFSET($T$2,0,0,ROW()-1,14),ROW()-1,FALSE))</x:f>
        <x:v/>
      </x:c>
      <x:c r="G635" t="str">
        <x:f ca="1">IF(AND($B$1012=1,LEN($G$1628)&gt;0),$G$1628,HLOOKUP(INDIRECT(ADDRESS(2,COLUMN())),OFFSET($T$2,0,0,ROW()-1,14),ROW()-1,FALSE))</x:f>
        <x:v/>
      </x:c>
      <x:c r="H635" t="str">
        <x:f ca="1">IF(AND($B$1012=1,LEN($H$1628)&gt;0),$H$1628,HLOOKUP(INDIRECT(ADDRESS(2,COLUMN())),OFFSET($T$2,0,0,ROW()-1,14),ROW()-1,FALSE))</x:f>
        <x:v/>
      </x:c>
      <x:c r="I635" t="str">
        <x:f ca="1">IF(AND($B$1012=1,LEN($I$1628)&gt;0),$I$1628,HLOOKUP(INDIRECT(ADDRESS(2,COLUMN())),OFFSET($T$2,0,0,ROW()-1,14),ROW()-1,FALSE))</x:f>
        <x:v/>
      </x:c>
      <x:c r="J635" t="str">
        <x:f ca="1">IF(AND($B$1012=1,LEN($J$1628)&gt;0),$J$1628,HLOOKUP(INDIRECT(ADDRESS(2,COLUMN())),OFFSET($T$2,0,0,ROW()-1,14),ROW()-1,FALSE))</x:f>
        <x:v/>
      </x:c>
      <x:c r="K635" t="str">
        <x:f ca="1">IF(AND($B$1012=1,LEN($K$1628)&gt;0),$K$1628,HLOOKUP(INDIRECT(ADDRESS(2,COLUMN())),OFFSET($T$2,0,0,ROW()-1,14),ROW()-1,FALSE))</x:f>
        <x:v/>
      </x:c>
      <x:c r="L635" t="str">
        <x:f ca="1">IF(AND($B$1012=1,LEN($L$1628)&gt;0),$L$1628,HLOOKUP(INDIRECT(ADDRESS(2,COLUMN())),OFFSET($T$2,0,0,ROW()-1,14),ROW()-1,FALSE))</x:f>
        <x:v/>
      </x:c>
      <x:c r="M635" t="str">
        <x:f ca="1">IF(AND($B$1012=1,LEN($M$1628)&gt;0),$M$1628,HLOOKUP(INDIRECT(ADDRESS(2,COLUMN())),OFFSET($T$2,0,0,ROW()-1,14),ROW()-1,FALSE))</x:f>
        <x:v/>
      </x:c>
      <x:c r="N635" t="str">
        <x:f ca="1">IF(AND($B$1012=1,LEN($N$1628)&gt;0),$N$1628,HLOOKUP(INDIRECT(ADDRESS(2,COLUMN())),OFFSET($T$2,0,0,ROW()-1,14),ROW()-1,FALSE))</x:f>
        <x:v/>
      </x:c>
      <x:c r="O635" t="str">
        <x:f ca="1">IF(AND($B$1012=1,LEN($O$1628)&gt;0),$O$1628,HLOOKUP(INDIRECT(ADDRESS(2,COLUMN())),OFFSET($T$2,0,0,ROW()-1,14),ROW()-1,FALSE))</x:f>
        <x:v/>
      </x:c>
      <x:c r="P635" t="str">
        <x:f ca="1">IF(AND($B$1012=1,LEN($P$1628)&gt;0),$P$1628,HLOOKUP(INDIRECT(ADDRESS(2,COLUMN())),OFFSET($T$2,0,0,ROW()-1,14),ROW()-1,FALSE))</x:f>
        <x:v/>
      </x:c>
      <x:c r="Q635" t="str">
        <x:f ca="1">IF(AND($B$1012=1,LEN($Q$1628)&gt;0),$Q$1628,HLOOKUP(INDIRECT(ADDRESS(2,COLUMN())),OFFSET($T$2,0,0,ROW()-1,14),ROW()-1,FALSE))</x:f>
        <x:v/>
      </x:c>
      <x:c r="R635" t="str">
        <x:f ca="1">IF(AND($B$1012=1,LEN($R$1628)&gt;0),$R$1628,HLOOKUP(INDIRECT(ADDRESS(2,COLUMN())),OFFSET($T$2,0,0,ROW()-1,14),ROW()-1,FALSE))</x:f>
        <x:v/>
      </x:c>
      <x:c r="S635" t="str">
        <x:f ca="1">IF(AND($B$1012=1,LEN($S$1628)&gt;0),$S$1628,HLOOKUP(INDIRECT(ADDRESS(2,COLUMN())),OFFSET($T$2,0,0,ROW()-1,14),ROW()-1,FALSE))</x:f>
        <x:v/>
      </x:c>
      <x:c r="T635" t="str">
        <x:f>""</x:f>
        <x:v/>
      </x:c>
      <x:c r="U635" t="str">
        <x:f>""</x:f>
        <x:v/>
      </x:c>
      <x:c r="V635" t="str">
        <x:f>""</x:f>
        <x:v/>
      </x:c>
      <x:c r="W635" t="str">
        <x:f>""</x:f>
        <x:v/>
      </x:c>
      <x:c r="X635" t="str">
        <x:f>""</x:f>
        <x:v/>
      </x:c>
      <x:c r="Y635" t="str">
        <x:f>""</x:f>
        <x:v/>
      </x:c>
      <x:c r="Z635" t="str">
        <x:f>""</x:f>
        <x:v/>
      </x:c>
      <x:c r="AA635" t="str">
        <x:f>""</x:f>
        <x:v/>
      </x:c>
      <x:c r="AB635" t="str">
        <x:f>""</x:f>
        <x:v/>
      </x:c>
      <x:c r="AC635" t="str">
        <x:f>""</x:f>
        <x:v/>
      </x:c>
      <x:c r="AD635" t="str">
        <x:f>""</x:f>
        <x:v/>
      </x:c>
      <x:c r="AE635" t="str">
        <x:f>""</x:f>
        <x:v/>
      </x:c>
      <x:c r="AF635" t="str">
        <x:f>""</x:f>
        <x:v/>
      </x:c>
      <x:c r="AG635" t="str">
        <x:f>""</x:f>
        <x:v/>
      </x:c>
    </x:row>
    <x:row r="636" spans="1:33" x14ac:dyDescent="0.25">
      <x:c r="A636" t="str">
        <x:f>"            Roundhill IO Digital Infrastru"</x:f>
        <x:v xml:space="preserve">            Roundhill IO Digital Infrastru</x:v>
      </x:c>
      <x:c r="B636" t="str">
        <x:f>"BYTE US Equity"</x:f>
        <x:v>BYTE US Equity</x:v>
      </x:c>
      <x:c r="E636" t="str">
        <x:f t="shared" si="22"/>
        <x:v>Expression</x:v>
      </x:c>
      <x:c r="F636">
        <x:f ca="1">IF(AND($B$1012=1,LEN($F$1629)&gt;0),$F$1629,HLOOKUP(INDIRECT(ADDRESS(2,COLUMN())),OFFSET($T$2,0,0,ROW()-1,14),ROW()-1,FALSE))</x:f>
        <x:v>0</x:v>
      </x:c>
      <x:c r="G636">
        <x:f ca="1">IF(AND($B$1012=1,LEN($G$1629)&gt;0),$G$1629,HLOOKUP(INDIRECT(ADDRESS(2,COLUMN())),OFFSET($T$2,0,0,ROW()-1,14),ROW()-1,FALSE))</x:f>
        <x:v>0</x:v>
      </x:c>
      <x:c r="H636">
        <x:f ca="1">IF(AND($B$1012=1,LEN($H$1629)&gt;0),$H$1629,HLOOKUP(INDIRECT(ADDRESS(2,COLUMN())),OFFSET($T$2,0,0,ROW()-1,14),ROW()-1,FALSE))</x:f>
        <x:v>0</x:v>
      </x:c>
      <x:c r="I636">
        <x:f ca="1">IF(AND($B$1012=1,LEN($I$1629)&gt;0),$I$1629,HLOOKUP(INDIRECT(ADDRESS(2,COLUMN())),OFFSET($T$2,0,0,ROW()-1,14),ROW()-1,FALSE))</x:f>
        <x:v>-1.66621</x:v>
      </x:c>
      <x:c r="J636">
        <x:f ca="1">IF(AND($B$1012=1,LEN($J$1629)&gt;0),$J$1629,HLOOKUP(INDIRECT(ADDRESS(2,COLUMN())),OFFSET($T$2,0,0,ROW()-1,14),ROW()-1,FALSE))</x:f>
        <x:v>0</x:v>
      </x:c>
      <x:c r="K636">
        <x:f ca="1">IF(AND($B$1012=1,LEN($K$1629)&gt;0),$K$1629,HLOOKUP(INDIRECT(ADDRESS(2,COLUMN())),OFFSET($T$2,0,0,ROW()-1,14),ROW()-1,FALSE))</x:f>
        <x:v>0</x:v>
      </x:c>
      <x:c r="L636">
        <x:f ca="1">IF(AND($B$1012=1,LEN($L$1629)&gt;0),$L$1629,HLOOKUP(INDIRECT(ADDRESS(2,COLUMN())),OFFSET($T$2,0,0,ROW()-1,14),ROW()-1,FALSE))</x:f>
        <x:v>0</x:v>
      </x:c>
      <x:c r="M636">
        <x:f ca="1">IF(AND($B$1012=1,LEN($M$1629)&gt;0),$M$1629,HLOOKUP(INDIRECT(ADDRESS(2,COLUMN())),OFFSET($T$2,0,0,ROW()-1,14),ROW()-1,FALSE))</x:f>
        <x:v>0</x:v>
      </x:c>
      <x:c r="N636">
        <x:f ca="1">IF(AND($B$1012=1,LEN($N$1629)&gt;0),$N$1629,HLOOKUP(INDIRECT(ADDRESS(2,COLUMN())),OFFSET($T$2,0,0,ROW()-1,14),ROW()-1,FALSE))</x:f>
        <x:v>0</x:v>
      </x:c>
      <x:c r="O636">
        <x:f ca="1">IF(AND($B$1012=1,LEN($O$1629)&gt;0),$O$1629,HLOOKUP(INDIRECT(ADDRESS(2,COLUMN())),OFFSET($T$2,0,0,ROW()-1,14),ROW()-1,FALSE))</x:f>
        <x:v>0</x:v>
      </x:c>
      <x:c r="P636">
        <x:f ca="1">IF(AND($B$1012=1,LEN($P$1629)&gt;0),$P$1629,HLOOKUP(INDIRECT(ADDRESS(2,COLUMN())),OFFSET($T$2,0,0,ROW()-1,14),ROW()-1,FALSE))</x:f>
        <x:v>0</x:v>
      </x:c>
      <x:c r="Q636">
        <x:f ca="1">IF(AND($B$1012=1,LEN($Q$1629)&gt;0),$Q$1629,HLOOKUP(INDIRECT(ADDRESS(2,COLUMN())),OFFSET($T$2,0,0,ROW()-1,14),ROW()-1,FALSE))</x:f>
        <x:v>0</x:v>
      </x:c>
      <x:c r="R636">
        <x:f ca="1">IF(AND($B$1012=1,LEN($R$1629)&gt;0),$R$1629,HLOOKUP(INDIRECT(ADDRESS(2,COLUMN())),OFFSET($T$2,0,0,ROW()-1,14),ROW()-1,FALSE))</x:f>
        <x:v>1.173975</x:v>
      </x:c>
      <x:c r="S636">
        <x:f ca="1">IF(AND($B$1012=1,LEN($S$1629)&gt;0),$S$1629,HLOOKUP(INDIRECT(ADDRESS(2,COLUMN())),OFFSET($T$2,0,0,ROW()-1,14),ROW()-1,FALSE))</x:f>
        <x:v>0</x:v>
      </x:c>
      <x:c r="T636">
        <x:f>0</x:f>
        <x:v>0</x:v>
      </x:c>
      <x:c r="U636">
        <x:f>0</x:f>
        <x:v>0</x:v>
      </x:c>
      <x:c r="V636">
        <x:f>0</x:f>
        <x:v>0</x:v>
      </x:c>
      <x:c r="W636">
        <x:f>-1.66621</x:f>
        <x:v>-1.66621</x:v>
      </x:c>
      <x:c r="X636">
        <x:f>0</x:f>
        <x:v>0</x:v>
      </x:c>
      <x:c r="Y636">
        <x:f>0</x:f>
        <x:v>0</x:v>
      </x:c>
      <x:c r="Z636">
        <x:f>0</x:f>
        <x:v>0</x:v>
      </x:c>
      <x:c r="AA636">
        <x:f>0</x:f>
        <x:v>0</x:v>
      </x:c>
      <x:c r="AB636">
        <x:f>0</x:f>
        <x:v>0</x:v>
      </x:c>
      <x:c r="AC636">
        <x:f>0</x:f>
        <x:v>0</x:v>
      </x:c>
      <x:c r="AD636">
        <x:f>0</x:f>
        <x:v>0</x:v>
      </x:c>
      <x:c r="AE636">
        <x:f>0</x:f>
        <x:v>0</x:v>
      </x:c>
      <x:c r="AF636">
        <x:f>1.173975</x:f>
        <x:v>1.173975</x:v>
      </x:c>
      <x:c r="AG636">
        <x:f>0</x:f>
        <x:v>0</x:v>
      </x:c>
    </x:row>
    <x:row r="637" spans="1:33" x14ac:dyDescent="0.25">
      <x:c r="A637" t="str">
        <x:f>"            Fount Subscription Economy ETF"</x:f>
        <x:v xml:space="preserve">            Fount Subscription Economy ETF</x:v>
      </x:c>
      <x:c r="B637" t="str">
        <x:f>"SUBS US Equity"</x:f>
        <x:v>SUBS US Equity</x:v>
      </x:c>
      <x:c r="E637" t="str">
        <x:f t="shared" si="22"/>
        <x:v>Expression</x:v>
      </x:c>
      <x:c r="F637" t="str">
        <x:f ca="1">IF(AND($B$1012=1,LEN($F$1630)&gt;0),$F$1630,HLOOKUP(INDIRECT(ADDRESS(2,COLUMN())),OFFSET($T$2,0,0,ROW()-1,14),ROW()-1,FALSE))</x:f>
        <x:v/>
      </x:c>
      <x:c r="G637" t="str">
        <x:f ca="1">IF(AND($B$1012=1,LEN($G$1630)&gt;0),$G$1630,HLOOKUP(INDIRECT(ADDRESS(2,COLUMN())),OFFSET($T$2,0,0,ROW()-1,14),ROW()-1,FALSE))</x:f>
        <x:v/>
      </x:c>
      <x:c r="H637" t="str">
        <x:f ca="1">IF(AND($B$1012=1,LEN($H$1630)&gt;0),$H$1630,HLOOKUP(INDIRECT(ADDRESS(2,COLUMN())),OFFSET($T$2,0,0,ROW()-1,14),ROW()-1,FALSE))</x:f>
        <x:v/>
      </x:c>
      <x:c r="I637" t="str">
        <x:f ca="1">IF(AND($B$1012=1,LEN($I$1630)&gt;0),$I$1630,HLOOKUP(INDIRECT(ADDRESS(2,COLUMN())),OFFSET($T$2,0,0,ROW()-1,14),ROW()-1,FALSE))</x:f>
        <x:v/>
      </x:c>
      <x:c r="J637" t="str">
        <x:f ca="1">IF(AND($B$1012=1,LEN($J$1630)&gt;0),$J$1630,HLOOKUP(INDIRECT(ADDRESS(2,COLUMN())),OFFSET($T$2,0,0,ROW()-1,14),ROW()-1,FALSE))</x:f>
        <x:v/>
      </x:c>
      <x:c r="K637" t="str">
        <x:f ca="1">IF(AND($B$1012=1,LEN($K$1630)&gt;0),$K$1630,HLOOKUP(INDIRECT(ADDRESS(2,COLUMN())),OFFSET($T$2,0,0,ROW()-1,14),ROW()-1,FALSE))</x:f>
        <x:v/>
      </x:c>
      <x:c r="L637">
        <x:f ca="1">IF(AND($B$1012=1,LEN($L$1630)&gt;0),$L$1630,HLOOKUP(INDIRECT(ADDRESS(2,COLUMN())),OFFSET($T$2,0,0,ROW()-1,14),ROW()-1,FALSE))</x:f>
        <x:v>0</x:v>
      </x:c>
      <x:c r="M637">
        <x:f ca="1">IF(AND($B$1012=1,LEN($M$1630)&gt;0),$M$1630,HLOOKUP(INDIRECT(ADDRESS(2,COLUMN())),OFFSET($T$2,0,0,ROW()-1,14),ROW()-1,FALSE))</x:f>
        <x:v>-0.469362</x:v>
      </x:c>
      <x:c r="N637">
        <x:f ca="1">IF(AND($B$1012=1,LEN($N$1630)&gt;0),$N$1630,HLOOKUP(INDIRECT(ADDRESS(2,COLUMN())),OFFSET($T$2,0,0,ROW()-1,14),ROW()-1,FALSE))</x:f>
        <x:v>0</x:v>
      </x:c>
      <x:c r="O637">
        <x:f ca="1">IF(AND($B$1012=1,LEN($O$1630)&gt;0),$O$1630,HLOOKUP(INDIRECT(ADDRESS(2,COLUMN())),OFFSET($T$2,0,0,ROW()-1,14),ROW()-1,FALSE))</x:f>
        <x:v>0</x:v>
      </x:c>
      <x:c r="P637">
        <x:f ca="1">IF(AND($B$1012=1,LEN($P$1630)&gt;0),$P$1630,HLOOKUP(INDIRECT(ADDRESS(2,COLUMN())),OFFSET($T$2,0,0,ROW()-1,14),ROW()-1,FALSE))</x:f>
        <x:v>0</x:v>
      </x:c>
      <x:c r="Q637">
        <x:f ca="1">IF(AND($B$1012=1,LEN($Q$1630)&gt;0),$Q$1630,HLOOKUP(INDIRECT(ADDRESS(2,COLUMN())),OFFSET($T$2,0,0,ROW()-1,14),ROW()-1,FALSE))</x:f>
        <x:v>0</x:v>
      </x:c>
      <x:c r="R637">
        <x:f ca="1">IF(AND($B$1012=1,LEN($R$1630)&gt;0),$R$1630,HLOOKUP(INDIRECT(ADDRESS(2,COLUMN())),OFFSET($T$2,0,0,ROW()-1,14),ROW()-1,FALSE))</x:f>
        <x:v>0</x:v>
      </x:c>
      <x:c r="S637">
        <x:f ca="1">IF(AND($B$1012=1,LEN($S$1630)&gt;0),$S$1630,HLOOKUP(INDIRECT(ADDRESS(2,COLUMN())),OFFSET($T$2,0,0,ROW()-1,14),ROW()-1,FALSE))</x:f>
        <x:v>0</x:v>
      </x:c>
      <x:c r="T637" t="str">
        <x:f>""</x:f>
        <x:v/>
      </x:c>
      <x:c r="U637" t="str">
        <x:f>""</x:f>
        <x:v/>
      </x:c>
      <x:c r="V637" t="str">
        <x:f>""</x:f>
        <x:v/>
      </x:c>
      <x:c r="W637" t="str">
        <x:f>""</x:f>
        <x:v/>
      </x:c>
      <x:c r="X637" t="str">
        <x:f>""</x:f>
        <x:v/>
      </x:c>
      <x:c r="Y637" t="str">
        <x:f>""</x:f>
        <x:v/>
      </x:c>
      <x:c r="Z637">
        <x:f>0</x:f>
        <x:v>0</x:v>
      </x:c>
      <x:c r="AA637">
        <x:f>-0.469362</x:f>
        <x:v>-0.469362</x:v>
      </x:c>
      <x:c r="AB637">
        <x:f>0</x:f>
        <x:v>0</x:v>
      </x:c>
      <x:c r="AC637">
        <x:f>0</x:f>
        <x:v>0</x:v>
      </x:c>
      <x:c r="AD637">
        <x:f>0</x:f>
        <x:v>0</x:v>
      </x:c>
      <x:c r="AE637">
        <x:f>0</x:f>
        <x:v>0</x:v>
      </x:c>
      <x:c r="AF637">
        <x:f>0</x:f>
        <x:v>0</x:v>
      </x:c>
      <x:c r="AG637">
        <x:f>0</x:f>
        <x:v>0</x:v>
      </x:c>
    </x:row>
    <x:row r="638" spans="1:33" x14ac:dyDescent="0.25">
      <x:c r="A638" t="str">
        <x:f>"            Proshares Big Data Refiners ET"</x:f>
        <x:v xml:space="preserve">            Proshares Big Data Refiners ET</x:v>
      </x:c>
      <x:c r="B638" t="str">
        <x:f>"DAT US Equity"</x:f>
        <x:v>DAT US Equity</x:v>
      </x:c>
      <x:c r="E638" t="str">
        <x:f t="shared" si="22"/>
        <x:v>Expression</x:v>
      </x:c>
      <x:c r="F638">
        <x:f ca="1">IF(AND($B$1012=1,LEN($F$1631)&gt;0),$F$1631,HLOOKUP(INDIRECT(ADDRESS(2,COLUMN())),OFFSET($T$2,0,0,ROW()-1,14),ROW()-1,FALSE))</x:f>
        <x:v>0</x:v>
      </x:c>
      <x:c r="G638">
        <x:f ca="1">IF(AND($B$1012=1,LEN($G$1631)&gt;0),$G$1631,HLOOKUP(INDIRECT(ADDRESS(2,COLUMN())),OFFSET($T$2,0,0,ROW()-1,14),ROW()-1,FALSE))</x:f>
        <x:v>0</x:v>
      </x:c>
      <x:c r="H638">
        <x:f ca="1">IF(AND($B$1012=1,LEN($H$1631)&gt;0),$H$1631,HLOOKUP(INDIRECT(ADDRESS(2,COLUMN())),OFFSET($T$2,0,0,ROW()-1,14),ROW()-1,FALSE))</x:f>
        <x:v>0</x:v>
      </x:c>
      <x:c r="I638">
        <x:f ca="1">IF(AND($B$1012=1,LEN($I$1631)&gt;0),$I$1631,HLOOKUP(INDIRECT(ADDRESS(2,COLUMN())),OFFSET($T$2,0,0,ROW()-1,14),ROW()-1,FALSE))</x:f>
        <x:v>0</x:v>
      </x:c>
      <x:c r="J638">
        <x:f ca="1">IF(AND($B$1012=1,LEN($J$1631)&gt;0),$J$1631,HLOOKUP(INDIRECT(ADDRESS(2,COLUMN())),OFFSET($T$2,0,0,ROW()-1,14),ROW()-1,FALSE))</x:f>
        <x:v>0</x:v>
      </x:c>
      <x:c r="K638">
        <x:f ca="1">IF(AND($B$1012=1,LEN($K$1631)&gt;0),$K$1631,HLOOKUP(INDIRECT(ADDRESS(2,COLUMN())),OFFSET($T$2,0,0,ROW()-1,14),ROW()-1,FALSE))</x:f>
        <x:v>0.71591499999999997</x:v>
      </x:c>
      <x:c r="L638">
        <x:f ca="1">IF(AND($B$1012=1,LEN($L$1631)&gt;0),$L$1631,HLOOKUP(INDIRECT(ADDRESS(2,COLUMN())),OFFSET($T$2,0,0,ROW()-1,14),ROW()-1,FALSE))</x:f>
        <x:v>0</x:v>
      </x:c>
      <x:c r="M638">
        <x:f ca="1">IF(AND($B$1012=1,LEN($M$1631)&gt;0),$M$1631,HLOOKUP(INDIRECT(ADDRESS(2,COLUMN())),OFFSET($T$2,0,0,ROW()-1,14),ROW()-1,FALSE))</x:f>
        <x:v>0.60612299999999997</x:v>
      </x:c>
      <x:c r="N638">
        <x:f ca="1">IF(AND($B$1012=1,LEN($N$1631)&gt;0),$N$1631,HLOOKUP(INDIRECT(ADDRESS(2,COLUMN())),OFFSET($T$2,0,0,ROW()-1,14),ROW()-1,FALSE))</x:f>
        <x:v>0</x:v>
      </x:c>
      <x:c r="O638">
        <x:f ca="1">IF(AND($B$1012=1,LEN($O$1631)&gt;0),$O$1631,HLOOKUP(INDIRECT(ADDRESS(2,COLUMN())),OFFSET($T$2,0,0,ROW()-1,14),ROW()-1,FALSE))</x:f>
        <x:v>0</x:v>
      </x:c>
      <x:c r="P638">
        <x:f ca="1">IF(AND($B$1012=1,LEN($P$1631)&gt;0),$P$1631,HLOOKUP(INDIRECT(ADDRESS(2,COLUMN())),OFFSET($T$2,0,0,ROW()-1,14),ROW()-1,FALSE))</x:f>
        <x:v>0</x:v>
      </x:c>
      <x:c r="Q638">
        <x:f ca="1">IF(AND($B$1012=1,LEN($Q$1631)&gt;0),$Q$1631,HLOOKUP(INDIRECT(ADDRESS(2,COLUMN())),OFFSET($T$2,0,0,ROW()-1,14),ROW()-1,FALSE))</x:f>
        <x:v>0</x:v>
      </x:c>
      <x:c r="R638">
        <x:f ca="1">IF(AND($B$1012=1,LEN($R$1631)&gt;0),$R$1631,HLOOKUP(INDIRECT(ADDRESS(2,COLUMN())),OFFSET($T$2,0,0,ROW()-1,14),ROW()-1,FALSE))</x:f>
        <x:v>0</x:v>
      </x:c>
      <x:c r="S638">
        <x:f ca="1">IF(AND($B$1012=1,LEN($S$1631)&gt;0),$S$1631,HLOOKUP(INDIRECT(ADDRESS(2,COLUMN())),OFFSET($T$2,0,0,ROW()-1,14),ROW()-1,FALSE))</x:f>
        <x:v>0</x:v>
      </x:c>
      <x:c r="T638">
        <x:f>0</x:f>
        <x:v>0</x:v>
      </x:c>
      <x:c r="U638">
        <x:f>0</x:f>
        <x:v>0</x:v>
      </x:c>
      <x:c r="V638">
        <x:f>0</x:f>
        <x:v>0</x:v>
      </x:c>
      <x:c r="W638">
        <x:f>0</x:f>
        <x:v>0</x:v>
      </x:c>
      <x:c r="X638">
        <x:f>0</x:f>
        <x:v>0</x:v>
      </x:c>
      <x:c r="Y638">
        <x:f>0.715915</x:f>
        <x:v>0.71591499999999997</x:v>
      </x:c>
      <x:c r="Z638">
        <x:f>0</x:f>
        <x:v>0</x:v>
      </x:c>
      <x:c r="AA638">
        <x:f>0.606123</x:f>
        <x:v>0.60612299999999997</x:v>
      </x:c>
      <x:c r="AB638">
        <x:f>0</x:f>
        <x:v>0</x:v>
      </x:c>
      <x:c r="AC638">
        <x:f>0</x:f>
        <x:v>0</x:v>
      </x:c>
      <x:c r="AD638">
        <x:f>0</x:f>
        <x:v>0</x:v>
      </x:c>
      <x:c r="AE638">
        <x:f>0</x:f>
        <x:v>0</x:v>
      </x:c>
      <x:c r="AF638">
        <x:f>0</x:f>
        <x:v>0</x:v>
      </x:c>
      <x:c r="AG638">
        <x:f>0</x:f>
        <x:v>0</x:v>
      </x:c>
    </x:row>
    <x:row r="639" spans="1:33" x14ac:dyDescent="0.25">
      <x:c r="A639" t="str">
        <x:f>"            ProShares Nanotechnology ETF"</x:f>
        <x:v xml:space="preserve">            ProShares Nanotechnology ETF</x:v>
      </x:c>
      <x:c r="B639" t="str">
        <x:f>"TINY US Equity"</x:f>
        <x:v>TINY US Equity</x:v>
      </x:c>
      <x:c r="E639" t="str">
        <x:f t="shared" si="22"/>
        <x:v>Expression</x:v>
      </x:c>
      <x:c r="F639">
        <x:f ca="1">IF(AND($B$1012=1,LEN($F$1632)&gt;0),$F$1632,HLOOKUP(INDIRECT(ADDRESS(2,COLUMN())),OFFSET($T$2,0,0,ROW()-1,14),ROW()-1,FALSE))</x:f>
        <x:v>0</x:v>
      </x:c>
      <x:c r="G639">
        <x:f ca="1">IF(AND($B$1012=1,LEN($G$1632)&gt;0),$G$1632,HLOOKUP(INDIRECT(ADDRESS(2,COLUMN())),OFFSET($T$2,0,0,ROW()-1,14),ROW()-1,FALSE))</x:f>
        <x:v>0</x:v>
      </x:c>
      <x:c r="H639">
        <x:f ca="1">IF(AND($B$1012=1,LEN($H$1632)&gt;0),$H$1632,HLOOKUP(INDIRECT(ADDRESS(2,COLUMN())),OFFSET($T$2,0,0,ROW()-1,14),ROW()-1,FALSE))</x:f>
        <x:v>0</x:v>
      </x:c>
      <x:c r="I639">
        <x:f ca="1">IF(AND($B$1012=1,LEN($I$1632)&gt;0),$I$1632,HLOOKUP(INDIRECT(ADDRESS(2,COLUMN())),OFFSET($T$2,0,0,ROW()-1,14),ROW()-1,FALSE))</x:f>
        <x:v>0</x:v>
      </x:c>
      <x:c r="J639">
        <x:f ca="1">IF(AND($B$1012=1,LEN($J$1632)&gt;0),$J$1632,HLOOKUP(INDIRECT(ADDRESS(2,COLUMN())),OFFSET($T$2,0,0,ROW()-1,14),ROW()-1,FALSE))</x:f>
        <x:v>0</x:v>
      </x:c>
      <x:c r="K639">
        <x:f ca="1">IF(AND($B$1012=1,LEN($K$1632)&gt;0),$K$1632,HLOOKUP(INDIRECT(ADDRESS(2,COLUMN())),OFFSET($T$2,0,0,ROW()-1,14),ROW()-1,FALSE))</x:f>
        <x:v>0</x:v>
      </x:c>
      <x:c r="L639">
        <x:f ca="1">IF(AND($B$1012=1,LEN($L$1632)&gt;0),$L$1632,HLOOKUP(INDIRECT(ADDRESS(2,COLUMN())),OFFSET($T$2,0,0,ROW()-1,14),ROW()-1,FALSE))</x:f>
        <x:v>0</x:v>
      </x:c>
      <x:c r="M639">
        <x:f ca="1">IF(AND($B$1012=1,LEN($M$1632)&gt;0),$M$1632,HLOOKUP(INDIRECT(ADDRESS(2,COLUMN())),OFFSET($T$2,0,0,ROW()-1,14),ROW()-1,FALSE))</x:f>
        <x:v>0</x:v>
      </x:c>
      <x:c r="N639">
        <x:f ca="1">IF(AND($B$1012=1,LEN($N$1632)&gt;0),$N$1632,HLOOKUP(INDIRECT(ADDRESS(2,COLUMN())),OFFSET($T$2,0,0,ROW()-1,14),ROW()-1,FALSE))</x:f>
        <x:v>0</x:v>
      </x:c>
      <x:c r="O639">
        <x:f ca="1">IF(AND($B$1012=1,LEN($O$1632)&gt;0),$O$1632,HLOOKUP(INDIRECT(ADDRESS(2,COLUMN())),OFFSET($T$2,0,0,ROW()-1,14),ROW()-1,FALSE))</x:f>
        <x:v>0</x:v>
      </x:c>
      <x:c r="P639">
        <x:f ca="1">IF(AND($B$1012=1,LEN($P$1632)&gt;0),$P$1632,HLOOKUP(INDIRECT(ADDRESS(2,COLUMN())),OFFSET($T$2,0,0,ROW()-1,14),ROW()-1,FALSE))</x:f>
        <x:v>0</x:v>
      </x:c>
      <x:c r="Q639">
        <x:f ca="1">IF(AND($B$1012=1,LEN($Q$1632)&gt;0),$Q$1632,HLOOKUP(INDIRECT(ADDRESS(2,COLUMN())),OFFSET($T$2,0,0,ROW()-1,14),ROW()-1,FALSE))</x:f>
        <x:v>0</x:v>
      </x:c>
      <x:c r="R639">
        <x:f ca="1">IF(AND($B$1012=1,LEN($R$1632)&gt;0),$R$1632,HLOOKUP(INDIRECT(ADDRESS(2,COLUMN())),OFFSET($T$2,0,0,ROW()-1,14),ROW()-1,FALSE))</x:f>
        <x:v>0</x:v>
      </x:c>
      <x:c r="S639">
        <x:f ca="1">IF(AND($B$1012=1,LEN($S$1632)&gt;0),$S$1632,HLOOKUP(INDIRECT(ADDRESS(2,COLUMN())),OFFSET($T$2,0,0,ROW()-1,14),ROW()-1,FALSE))</x:f>
        <x:v>0</x:v>
      </x:c>
      <x:c r="T639">
        <x:f>0</x:f>
        <x:v>0</x:v>
      </x:c>
      <x:c r="U639">
        <x:f>0</x:f>
        <x:v>0</x:v>
      </x:c>
      <x:c r="V639">
        <x:f>0</x:f>
        <x:v>0</x:v>
      </x:c>
      <x:c r="W639">
        <x:f>0</x:f>
        <x:v>0</x:v>
      </x:c>
      <x:c r="X639">
        <x:f>0</x:f>
        <x:v>0</x:v>
      </x:c>
      <x:c r="Y639">
        <x:f>0</x:f>
        <x:v>0</x:v>
      </x:c>
      <x:c r="Z639">
        <x:f>0</x:f>
        <x:v>0</x:v>
      </x:c>
      <x:c r="AA639">
        <x:f>0</x:f>
        <x:v>0</x:v>
      </x:c>
      <x:c r="AB639">
        <x:f>0</x:f>
        <x:v>0</x:v>
      </x:c>
      <x:c r="AC639">
        <x:f>0</x:f>
        <x:v>0</x:v>
      </x:c>
      <x:c r="AD639">
        <x:f>0</x:f>
        <x:v>0</x:v>
      </x:c>
      <x:c r="AE639">
        <x:f>0</x:f>
        <x:v>0</x:v>
      </x:c>
      <x:c r="AF639">
        <x:f>0</x:f>
        <x:v>0</x:v>
      </x:c>
      <x:c r="AG639">
        <x:f>0</x:f>
        <x:v>0</x:v>
      </x:c>
    </x:row>
    <x:row r="640" spans="1:33" x14ac:dyDescent="0.25">
      <x:c r="A640" t="str">
        <x:f>"            Pacer Data And Digital Revolut"</x:f>
        <x:v xml:space="preserve">            Pacer Data And Digital Revolut</x:v>
      </x:c>
      <x:c r="B640" t="str">
        <x:f>"TRFK US Equity"</x:f>
        <x:v>TRFK US Equity</x:v>
      </x:c>
      <x:c r="E640" t="str">
        <x:f t="shared" si="22"/>
        <x:v>Expression</x:v>
      </x:c>
      <x:c r="F640">
        <x:f ca="1">IF(AND($B$1012=1,LEN($F$1633)&gt;0),$F$1633,HLOOKUP(INDIRECT(ADDRESS(2,COLUMN())),OFFSET($T$2,0,0,ROW()-1,14),ROW()-1,FALSE))</x:f>
        <x:v>0</x:v>
      </x:c>
      <x:c r="G640">
        <x:f ca="1">IF(AND($B$1012=1,LEN($G$1633)&gt;0),$G$1633,HLOOKUP(INDIRECT(ADDRESS(2,COLUMN())),OFFSET($T$2,0,0,ROW()-1,14),ROW()-1,FALSE))</x:f>
        <x:v>0</x:v>
      </x:c>
      <x:c r="H640">
        <x:f ca="1">IF(AND($B$1012=1,LEN($H$1633)&gt;0),$H$1633,HLOOKUP(INDIRECT(ADDRESS(2,COLUMN())),OFFSET($T$2,0,0,ROW()-1,14),ROW()-1,FALSE))</x:f>
        <x:v>0</x:v>
      </x:c>
      <x:c r="I640">
        <x:f ca="1">IF(AND($B$1012=1,LEN($I$1633)&gt;0),$I$1633,HLOOKUP(INDIRECT(ADDRESS(2,COLUMN())),OFFSET($T$2,0,0,ROW()-1,14),ROW()-1,FALSE))</x:f>
        <x:v>1.236496</x:v>
      </x:c>
      <x:c r="J640">
        <x:f ca="1">IF(AND($B$1012=1,LEN($J$1633)&gt;0),$J$1633,HLOOKUP(INDIRECT(ADDRESS(2,COLUMN())),OFFSET($T$2,0,0,ROW()-1,14),ROW()-1,FALSE))</x:f>
        <x:v>0.62004400000000004</x:v>
      </x:c>
      <x:c r="K640">
        <x:f ca="1">IF(AND($B$1012=1,LEN($K$1633)&gt;0),$K$1633,HLOOKUP(INDIRECT(ADDRESS(2,COLUMN())),OFFSET($T$2,0,0,ROW()-1,14),ROW()-1,FALSE))</x:f>
        <x:v>1.7893159999999999</x:v>
      </x:c>
      <x:c r="L640">
        <x:f ca="1">IF(AND($B$1012=1,LEN($L$1633)&gt;0),$L$1633,HLOOKUP(INDIRECT(ADDRESS(2,COLUMN())),OFFSET($T$2,0,0,ROW()-1,14),ROW()-1,FALSE))</x:f>
        <x:v>-2.5920000000000001E-3</x:v>
      </x:c>
      <x:c r="M640">
        <x:f ca="1">IF(AND($B$1012=1,LEN($M$1633)&gt;0),$M$1633,HLOOKUP(INDIRECT(ADDRESS(2,COLUMN())),OFFSET($T$2,0,0,ROW()-1,14),ROW()-1,FALSE))</x:f>
        <x:v>0</x:v>
      </x:c>
      <x:c r="N640">
        <x:f ca="1">IF(AND($B$1012=1,LEN($N$1633)&gt;0),$N$1633,HLOOKUP(INDIRECT(ADDRESS(2,COLUMN())),OFFSET($T$2,0,0,ROW()-1,14),ROW()-1,FALSE))</x:f>
        <x:v>0</x:v>
      </x:c>
      <x:c r="O640">
        <x:f ca="1">IF(AND($B$1012=1,LEN($O$1633)&gt;0),$O$1633,HLOOKUP(INDIRECT(ADDRESS(2,COLUMN())),OFFSET($T$2,0,0,ROW()-1,14),ROW()-1,FALSE))</x:f>
        <x:v>0</x:v>
      </x:c>
      <x:c r="P640">
        <x:f ca="1">IF(AND($B$1012=1,LEN($P$1633)&gt;0),$P$1633,HLOOKUP(INDIRECT(ADDRESS(2,COLUMN())),OFFSET($T$2,0,0,ROW()-1,14),ROW()-1,FALSE))</x:f>
        <x:v>0</x:v>
      </x:c>
      <x:c r="Q640">
        <x:f ca="1">IF(AND($B$1012=1,LEN($Q$1633)&gt;0),$Q$1633,HLOOKUP(INDIRECT(ADDRESS(2,COLUMN())),OFFSET($T$2,0,0,ROW()-1,14),ROW()-1,FALSE))</x:f>
        <x:v>0</x:v>
      </x:c>
      <x:c r="R640">
        <x:f ca="1">IF(AND($B$1012=1,LEN($R$1633)&gt;0),$R$1633,HLOOKUP(INDIRECT(ADDRESS(2,COLUMN())),OFFSET($T$2,0,0,ROW()-1,14),ROW()-1,FALSE))</x:f>
        <x:v>0</x:v>
      </x:c>
      <x:c r="S640">
        <x:f ca="1">IF(AND($B$1012=1,LEN($S$1633)&gt;0),$S$1633,HLOOKUP(INDIRECT(ADDRESS(2,COLUMN())),OFFSET($T$2,0,0,ROW()-1,14),ROW()-1,FALSE))</x:f>
        <x:v>0</x:v>
      </x:c>
      <x:c r="T640">
        <x:f>0</x:f>
        <x:v>0</x:v>
      </x:c>
      <x:c r="U640">
        <x:f>0</x:f>
        <x:v>0</x:v>
      </x:c>
      <x:c r="V640">
        <x:f>0</x:f>
        <x:v>0</x:v>
      </x:c>
      <x:c r="W640">
        <x:f>1.236496</x:f>
        <x:v>1.236496</x:v>
      </x:c>
      <x:c r="X640">
        <x:f>0.620044</x:f>
        <x:v>0.62004400000000004</x:v>
      </x:c>
      <x:c r="Y640">
        <x:f>1.789316</x:f>
        <x:v>1.7893159999999999</x:v>
      </x:c>
      <x:c r="Z640">
        <x:f>-0.002592</x:f>
        <x:v>-2.5920000000000001E-3</x:v>
      </x:c>
      <x:c r="AA640">
        <x:f>0</x:f>
        <x:v>0</x:v>
      </x:c>
      <x:c r="AB640">
        <x:f>0</x:f>
        <x:v>0</x:v>
      </x:c>
      <x:c r="AC640">
        <x:f>0</x:f>
        <x:v>0</x:v>
      </x:c>
      <x:c r="AD640">
        <x:f>0</x:f>
        <x:v>0</x:v>
      </x:c>
      <x:c r="AE640">
        <x:f>0</x:f>
        <x:v>0</x:v>
      </x:c>
      <x:c r="AF640">
        <x:f>0</x:f>
        <x:v>0</x:v>
      </x:c>
      <x:c r="AG640">
        <x:f>0</x:f>
        <x:v>0</x:v>
      </x:c>
    </x:row>
    <x:row r="641" spans="1:33" x14ac:dyDescent="0.25">
      <x:c r="A641" t="str">
        <x:f>"        Healthcare"</x:f>
        <x:v xml:space="preserve">        Healthcare</x:v>
      </x:c>
      <x:c r="B641" t="str">
        <x:f>""</x:f>
        <x:v/>
      </x:c>
      <x:c r="E641" t="str">
        <x:f>"Sum"</x:f>
        <x:v>Sum</x:v>
      </x:c>
      <x:c r="F641">
        <x:f ca="1">IF(ISERROR(IF(SUM($F$642:$F$664) = 0, "", SUM($F$642:$F$664))), "", (IF(SUM($F$642:$F$664) = 0, "", SUM($F$642:$F$664))))</x:f>
        <x:v>-50.822823</x:v>
      </x:c>
      <x:c r="G641">
        <x:f ca="1">IF(ISERROR(IF(SUM($G$642:$G$664) = 0, "", SUM($G$642:$G$664))), "", (IF(SUM($G$642:$G$664) = 0, "", SUM($G$642:$G$664))))</x:f>
        <x:v>-100.73087000000001</x:v>
      </x:c>
      <x:c r="H641">
        <x:f ca="1">IF(ISERROR(IF(SUM($H$642:$H$664) = 0, "", SUM($H$642:$H$664))), "", (IF(SUM($H$642:$H$664) = 0, "", SUM($H$642:$H$664))))</x:f>
        <x:v>-27.163911999999996</x:v>
      </x:c>
      <x:c r="I641">
        <x:f ca="1">IF(ISERROR(IF(SUM($I$642:$I$664) = 0, "", SUM($I$642:$I$664))), "", (IF(SUM($I$642:$I$664) = 0, "", SUM($I$642:$I$664))))</x:f>
        <x:v>-63.770989</x:v>
      </x:c>
      <x:c r="J641">
        <x:f ca="1">IF(ISERROR(IF(SUM($J$642:$J$664) = 0, "", SUM($J$642:$J$664))), "", (IF(SUM($J$642:$J$664) = 0, "", SUM($J$642:$J$664))))</x:f>
        <x:v>110.90767199999998</x:v>
      </x:c>
      <x:c r="K641">
        <x:f ca="1">IF(ISERROR(IF(SUM($K$642:$K$664) = 0, "", SUM($K$642:$K$664))), "", (IF(SUM($K$642:$K$664) = 0, "", SUM($K$642:$K$664))))</x:f>
        <x:v>-28.979498</x:v>
      </x:c>
      <x:c r="L641">
        <x:f ca="1">IF(ISERROR(IF(SUM($L$642:$L$664) = 0, "", SUM($L$642:$L$664))), "", (IF(SUM($L$642:$L$664) = 0, "", SUM($L$642:$L$664))))</x:f>
        <x:v>-48.973949000000005</x:v>
      </x:c>
      <x:c r="M641">
        <x:f ca="1">IF(ISERROR(IF(SUM($M$642:$M$664) = 0, "", SUM($M$642:$M$664))), "", (IF(SUM($M$642:$M$664) = 0, "", SUM($M$642:$M$664))))</x:f>
        <x:v>-53.997269999999993</x:v>
      </x:c>
      <x:c r="N641">
        <x:f ca="1">IF(ISERROR(IF(SUM($N$642:$N$664) = 0, "", SUM($N$642:$N$664))), "", (IF(SUM($N$642:$N$664) = 0, "", SUM($N$642:$N$664))))</x:f>
        <x:v>10.212041000000003</x:v>
      </x:c>
      <x:c r="O641">
        <x:f ca="1">IF(ISERROR(IF(SUM($O$642:$O$664) = 0, "", SUM($O$642:$O$664))), "", (IF(SUM($O$642:$O$664) = 0, "", SUM($O$642:$O$664))))</x:f>
        <x:v>-57.498625999999994</x:v>
      </x:c>
      <x:c r="P641">
        <x:f ca="1">IF(ISERROR(IF(SUM($P$642:$P$664) = 0, "", SUM($P$642:$P$664))), "", (IF(SUM($P$642:$P$664) = 0, "", SUM($P$642:$P$664))))</x:f>
        <x:v>28.096814999999999</x:v>
      </x:c>
      <x:c r="Q641">
        <x:f ca="1">IF(ISERROR(IF(SUM($Q$642:$Q$664) = 0, "", SUM($Q$642:$Q$664))), "", (IF(SUM($Q$642:$Q$664) = 0, "", SUM($Q$642:$Q$664))))</x:f>
        <x:v>-56.398197999999994</x:v>
      </x:c>
      <x:c r="R641">
        <x:f ca="1">IF(ISERROR(IF(SUM($R$642:$R$664) = 0, "", SUM($R$642:$R$664))), "", (IF(SUM($R$642:$R$664) = 0, "", SUM($R$642:$R$664))))</x:f>
        <x:v>-44.345767000000002</x:v>
      </x:c>
      <x:c r="S641">
        <x:f ca="1">IF(ISERROR(IF(SUM($S$642:$S$664) = 0, "", SUM($S$642:$S$664))), "", (IF(SUM($S$642:$S$664) = 0, "", SUM($S$642:$S$664))))</x:f>
        <x:v>-95.346147999999999</x:v>
      </x:c>
      <x:c r="T641">
        <x:f>-50.822823</x:f>
        <x:v>-50.822823</x:v>
      </x:c>
      <x:c r="U641">
        <x:f>-100.73087</x:f>
        <x:v>-100.73087</x:v>
      </x:c>
      <x:c r="V641">
        <x:f>-27.163912</x:f>
        <x:v>-27.163912</x:v>
      </x:c>
      <x:c r="W641">
        <x:f>-63.770989</x:f>
        <x:v>-63.770989</x:v>
      </x:c>
      <x:c r="X641">
        <x:f>110.907672</x:f>
        <x:v>110.90767200000001</x:v>
      </x:c>
      <x:c r="Y641">
        <x:f>-28.979498</x:f>
        <x:v>-28.979498</x:v>
      </x:c>
      <x:c r="Z641">
        <x:f>-48.973949</x:f>
        <x:v>-48.973948999999998</x:v>
      </x:c>
      <x:c r="AA641">
        <x:f>-53.99727</x:f>
        <x:v>-53.99727</x:v>
      </x:c>
      <x:c r="AB641">
        <x:f>10.212041</x:f>
        <x:v>10.212040999999999</x:v>
      </x:c>
      <x:c r="AC641">
        <x:f>-57.498626</x:f>
        <x:v>-57.498626000000002</x:v>
      </x:c>
      <x:c r="AD641">
        <x:f>28.096815</x:f>
        <x:v>28.096814999999999</x:v>
      </x:c>
      <x:c r="AE641">
        <x:f>-56.398198</x:f>
        <x:v>-56.398198000000001</x:v>
      </x:c>
      <x:c r="AF641">
        <x:f>-44.345767</x:f>
        <x:v>-44.345767000000002</x:v>
      </x:c>
      <x:c r="AG641">
        <x:f>-95.346148</x:f>
        <x:v>-95.346147999999999</x:v>
      </x:c>
    </x:row>
    <x:row r="642" spans="1:33" x14ac:dyDescent="0.25">
      <x:c r="A642" t="str">
        <x:f>"            Loncar Cancer Immunotherapy ET"</x:f>
        <x:v xml:space="preserve">            Loncar Cancer Immunotherapy ET</x:v>
      </x:c>
      <x:c r="B642" t="str">
        <x:f>"CNCR US Equity"</x:f>
        <x:v>CNCR US Equity</x:v>
      </x:c>
      <x:c r="E642" t="str">
        <x:f t="shared" ref="E642:E664" si="23">"Expression"</x:f>
        <x:v>Expression</x:v>
      </x:c>
      <x:c r="F642">
        <x:f ca="1">IF(AND($B$1012=1,LEN($F$1634)&gt;0),$F$1634,HLOOKUP(INDIRECT(ADDRESS(2,COLUMN())),OFFSET($T$2,0,0,ROW()-1,14),ROW()-1,FALSE))</x:f>
        <x:v>0</x:v>
      </x:c>
      <x:c r="G642">
        <x:f ca="1">IF(AND($B$1012=1,LEN($G$1634)&gt;0),$G$1634,HLOOKUP(INDIRECT(ADDRESS(2,COLUMN())),OFFSET($T$2,0,0,ROW()-1,14),ROW()-1,FALSE))</x:f>
        <x:v>2.7659959999999999</x:v>
      </x:c>
      <x:c r="H642">
        <x:f ca="1">IF(AND($B$1012=1,LEN($H$1634)&gt;0),$H$1634,HLOOKUP(INDIRECT(ADDRESS(2,COLUMN())),OFFSET($T$2,0,0,ROW()-1,14),ROW()-1,FALSE))</x:f>
        <x:v>0</x:v>
      </x:c>
      <x:c r="I642">
        <x:f ca="1">IF(AND($B$1012=1,LEN($I$1634)&gt;0),$I$1634,HLOOKUP(INDIRECT(ADDRESS(2,COLUMN())),OFFSET($T$2,0,0,ROW()-1,14),ROW()-1,FALSE))</x:f>
        <x:v>-0.62645499999999998</x:v>
      </x:c>
      <x:c r="J642">
        <x:f ca="1">IF(AND($B$1012=1,LEN($J$1634)&gt;0),$J$1634,HLOOKUP(INDIRECT(ADDRESS(2,COLUMN())),OFFSET($T$2,0,0,ROW()-1,14),ROW()-1,FALSE))</x:f>
        <x:v>-0.65465499999999999</x:v>
      </x:c>
      <x:c r="K642">
        <x:f ca="1">IF(AND($B$1012=1,LEN($K$1634)&gt;0),$K$1634,HLOOKUP(INDIRECT(ADDRESS(2,COLUMN())),OFFSET($T$2,0,0,ROW()-1,14),ROW()-1,FALSE))</x:f>
        <x:v>-1.41936</x:v>
      </x:c>
      <x:c r="L642">
        <x:f ca="1">IF(AND($B$1012=1,LEN($L$1634)&gt;0),$L$1634,HLOOKUP(INDIRECT(ADDRESS(2,COLUMN())),OFFSET($T$2,0,0,ROW()-1,14),ROW()-1,FALSE))</x:f>
        <x:v>-3.36076</x:v>
      </x:c>
      <x:c r="M642">
        <x:f ca="1">IF(AND($B$1012=1,LEN($M$1634)&gt;0),$M$1634,HLOOKUP(INDIRECT(ADDRESS(2,COLUMN())),OFFSET($T$2,0,0,ROW()-1,14),ROW()-1,FALSE))</x:f>
        <x:v>-2.4819499999999999</x:v>
      </x:c>
      <x:c r="N642">
        <x:f ca="1">IF(AND($B$1012=1,LEN($N$1634)&gt;0),$N$1634,HLOOKUP(INDIRECT(ADDRESS(2,COLUMN())),OFFSET($T$2,0,0,ROW()-1,14),ROW()-1,FALSE))</x:f>
        <x:v>0</x:v>
      </x:c>
      <x:c r="O642">
        <x:f ca="1">IF(AND($B$1012=1,LEN($O$1634)&gt;0),$O$1634,HLOOKUP(INDIRECT(ADDRESS(2,COLUMN())),OFFSET($T$2,0,0,ROW()-1,14),ROW()-1,FALSE))</x:f>
        <x:v>-0.75053000000000003</x:v>
      </x:c>
      <x:c r="P642">
        <x:f ca="1">IF(AND($B$1012=1,LEN($P$1634)&gt;0),$P$1634,HLOOKUP(INDIRECT(ADDRESS(2,COLUMN())),OFFSET($T$2,0,0,ROW()-1,14),ROW()-1,FALSE))</x:f>
        <x:v>0</x:v>
      </x:c>
      <x:c r="Q642">
        <x:f ca="1">IF(AND($B$1012=1,LEN($Q$1634)&gt;0),$Q$1634,HLOOKUP(INDIRECT(ADDRESS(2,COLUMN())),OFFSET($T$2,0,0,ROW()-1,14),ROW()-1,FALSE))</x:f>
        <x:v>0</x:v>
      </x:c>
      <x:c r="R642">
        <x:f ca="1">IF(AND($B$1012=1,LEN($R$1634)&gt;0),$R$1634,HLOOKUP(INDIRECT(ADDRESS(2,COLUMN())),OFFSET($T$2,0,0,ROW()-1,14),ROW()-1,FALSE))</x:f>
        <x:v>0</x:v>
      </x:c>
      <x:c r="S642">
        <x:f ca="1">IF(AND($B$1012=1,LEN($S$1634)&gt;0),$S$1634,HLOOKUP(INDIRECT(ADDRESS(2,COLUMN())),OFFSET($T$2,0,0,ROW()-1,14),ROW()-1,FALSE))</x:f>
        <x:v>1.551515</x:v>
      </x:c>
      <x:c r="T642">
        <x:f>0</x:f>
        <x:v>0</x:v>
      </x:c>
      <x:c r="U642">
        <x:f>2.765996</x:f>
        <x:v>2.7659959999999999</x:v>
      </x:c>
      <x:c r="V642">
        <x:f>0</x:f>
        <x:v>0</x:v>
      </x:c>
      <x:c r="W642">
        <x:f>-0.626455</x:f>
        <x:v>-0.62645499999999998</x:v>
      </x:c>
      <x:c r="X642">
        <x:f>-0.654655</x:f>
        <x:v>-0.65465499999999999</x:v>
      </x:c>
      <x:c r="Y642">
        <x:f>-1.41936</x:f>
        <x:v>-1.41936</x:v>
      </x:c>
      <x:c r="Z642">
        <x:f>-3.36076</x:f>
        <x:v>-3.36076</x:v>
      </x:c>
      <x:c r="AA642">
        <x:f>-2.48195</x:f>
        <x:v>-2.4819499999999999</x:v>
      </x:c>
      <x:c r="AB642">
        <x:f>0</x:f>
        <x:v>0</x:v>
      </x:c>
      <x:c r="AC642">
        <x:f>-0.75053</x:f>
        <x:v>-0.75053000000000003</x:v>
      </x:c>
      <x:c r="AD642">
        <x:f>0</x:f>
        <x:v>0</x:v>
      </x:c>
      <x:c r="AE642">
        <x:f>0</x:f>
        <x:v>0</x:v>
      </x:c>
      <x:c r="AF642">
        <x:f>0</x:f>
        <x:v>0</x:v>
      </x:c>
      <x:c r="AG642">
        <x:f>1.551515</x:f>
        <x:v>1.551515</x:v>
      </x:c>
    </x:row>
    <x:row r="643" spans="1:33" x14ac:dyDescent="0.25">
      <x:c r="A643" t="str">
        <x:f>"            ARK Genomic Revolution ETF"</x:f>
        <x:v xml:space="preserve">            ARK Genomic Revolution ETF</x:v>
      </x:c>
      <x:c r="B643" t="str">
        <x:f>"ARKG US Equity"</x:f>
        <x:v>ARKG US Equity</x:v>
      </x:c>
      <x:c r="E643" t="str">
        <x:f t="shared" si="23"/>
        <x:v>Expression</x:v>
      </x:c>
      <x:c r="F643">
        <x:f ca="1">IF(AND($B$1012=1,LEN($F$1635)&gt;0),$F$1635,HLOOKUP(INDIRECT(ADDRESS(2,COLUMN())),OFFSET($T$2,0,0,ROW()-1,14),ROW()-1,FALSE))</x:f>
        <x:v>25.646518</x:v>
      </x:c>
      <x:c r="G643">
        <x:f ca="1">IF(AND($B$1012=1,LEN($G$1635)&gt;0),$G$1635,HLOOKUP(INDIRECT(ADDRESS(2,COLUMN())),OFFSET($T$2,0,0,ROW()-1,14),ROW()-1,FALSE))</x:f>
        <x:v>-18.990939999999998</x:v>
      </x:c>
      <x:c r="H643">
        <x:f ca="1">IF(AND($B$1012=1,LEN($H$1635)&gt;0),$H$1635,HLOOKUP(INDIRECT(ADDRESS(2,COLUMN())),OFFSET($T$2,0,0,ROW()-1,14),ROW()-1,FALSE))</x:f>
        <x:v>-51.327801000000001</x:v>
      </x:c>
      <x:c r="I643">
        <x:f ca="1">IF(AND($B$1012=1,LEN($I$1635)&gt;0),$I$1635,HLOOKUP(INDIRECT(ADDRESS(2,COLUMN())),OFFSET($T$2,0,0,ROW()-1,14),ROW()-1,FALSE))</x:f>
        <x:v>-39.678328</x:v>
      </x:c>
      <x:c r="J643">
        <x:f ca="1">IF(AND($B$1012=1,LEN($J$1635)&gt;0),$J$1635,HLOOKUP(INDIRECT(ADDRESS(2,COLUMN())),OFFSET($T$2,0,0,ROW()-1,14),ROW()-1,FALSE))</x:f>
        <x:v>96.979902999999993</x:v>
      </x:c>
      <x:c r="K643">
        <x:f ca="1">IF(AND($B$1012=1,LEN($K$1635)&gt;0),$K$1635,HLOOKUP(INDIRECT(ADDRESS(2,COLUMN())),OFFSET($T$2,0,0,ROW()-1,14),ROW()-1,FALSE))</x:f>
        <x:v>-17.137734999999999</x:v>
      </x:c>
      <x:c r="L643">
        <x:f ca="1">IF(AND($B$1012=1,LEN($L$1635)&gt;0),$L$1635,HLOOKUP(INDIRECT(ADDRESS(2,COLUMN())),OFFSET($T$2,0,0,ROW()-1,14),ROW()-1,FALSE))</x:f>
        <x:v>-22.768281000000002</x:v>
      </x:c>
      <x:c r="M643">
        <x:f ca="1">IF(AND($B$1012=1,LEN($M$1635)&gt;0),$M$1635,HLOOKUP(INDIRECT(ADDRESS(2,COLUMN())),OFFSET($T$2,0,0,ROW()-1,14),ROW()-1,FALSE))</x:f>
        <x:v>-39.912033999999998</x:v>
      </x:c>
      <x:c r="N643">
        <x:f ca="1">IF(AND($B$1012=1,LEN($N$1635)&gt;0),$N$1635,HLOOKUP(INDIRECT(ADDRESS(2,COLUMN())),OFFSET($T$2,0,0,ROW()-1,14),ROW()-1,FALSE))</x:f>
        <x:v>16.308541000000002</x:v>
      </x:c>
      <x:c r="O643">
        <x:f ca="1">IF(AND($B$1012=1,LEN($O$1635)&gt;0),$O$1635,HLOOKUP(INDIRECT(ADDRESS(2,COLUMN())),OFFSET($T$2,0,0,ROW()-1,14),ROW()-1,FALSE))</x:f>
        <x:v>-42.948461999999999</x:v>
      </x:c>
      <x:c r="P643">
        <x:f ca="1">IF(AND($B$1012=1,LEN($P$1635)&gt;0),$P$1635,HLOOKUP(INDIRECT(ADDRESS(2,COLUMN())),OFFSET($T$2,0,0,ROW()-1,14),ROW()-1,FALSE))</x:f>
        <x:v>-4.7187520000000003</x:v>
      </x:c>
      <x:c r="Q643">
        <x:f ca="1">IF(AND($B$1012=1,LEN($Q$1635)&gt;0),$Q$1635,HLOOKUP(INDIRECT(ADDRESS(2,COLUMN())),OFFSET($T$2,0,0,ROW()-1,14),ROW()-1,FALSE))</x:f>
        <x:v>-66.272306999999998</x:v>
      </x:c>
      <x:c r="R643">
        <x:f ca="1">IF(AND($B$1012=1,LEN($R$1635)&gt;0),$R$1635,HLOOKUP(INDIRECT(ADDRESS(2,COLUMN())),OFFSET($T$2,0,0,ROW()-1,14),ROW()-1,FALSE))</x:f>
        <x:v>-17.262160999999999</x:v>
      </x:c>
      <x:c r="S643">
        <x:f ca="1">IF(AND($B$1012=1,LEN($S$1635)&gt;0),$S$1635,HLOOKUP(INDIRECT(ADDRESS(2,COLUMN())),OFFSET($T$2,0,0,ROW()-1,14),ROW()-1,FALSE))</x:f>
        <x:v>-78.289834999999997</x:v>
      </x:c>
      <x:c r="T643">
        <x:f>25.646518</x:f>
        <x:v>25.646518</x:v>
      </x:c>
      <x:c r="U643">
        <x:f>-18.99094</x:f>
        <x:v>-18.990939999999998</x:v>
      </x:c>
      <x:c r="V643">
        <x:f>-51.327801</x:f>
        <x:v>-51.327801000000001</x:v>
      </x:c>
      <x:c r="W643">
        <x:f>-39.678328</x:f>
        <x:v>-39.678328</x:v>
      </x:c>
      <x:c r="X643">
        <x:f>96.979903</x:f>
        <x:v>96.979902999999993</x:v>
      </x:c>
      <x:c r="Y643">
        <x:f>-17.137735</x:f>
        <x:v>-17.137734999999999</x:v>
      </x:c>
      <x:c r="Z643">
        <x:f>-22.768281</x:f>
        <x:v>-22.768281000000002</x:v>
      </x:c>
      <x:c r="AA643">
        <x:f>-39.912034</x:f>
        <x:v>-39.912033999999998</x:v>
      </x:c>
      <x:c r="AB643">
        <x:f>16.308541</x:f>
        <x:v>16.308541000000002</x:v>
      </x:c>
      <x:c r="AC643">
        <x:f>-42.948462</x:f>
        <x:v>-42.948461999999999</x:v>
      </x:c>
      <x:c r="AD643">
        <x:f>-4.718752</x:f>
        <x:v>-4.7187520000000003</x:v>
      </x:c>
      <x:c r="AE643">
        <x:f>-66.272307</x:f>
        <x:v>-66.272306999999998</x:v>
      </x:c>
      <x:c r="AF643">
        <x:f>-17.262161</x:f>
        <x:v>-17.262160999999999</x:v>
      </x:c>
      <x:c r="AG643">
        <x:f>-78.289835</x:f>
        <x:v>-78.289834999999997</x:v>
      </x:c>
    </x:row>
    <x:row r="644" spans="1:33" x14ac:dyDescent="0.25">
      <x:c r="A644" t="str">
        <x:f>"            Global X Aging Population ETF"</x:f>
        <x:v xml:space="preserve">            Global X Aging Population ETF</x:v>
      </x:c>
      <x:c r="B644" t="str">
        <x:f>"LNGR US Equity"</x:f>
        <x:v>LNGR US Equity</x:v>
      </x:c>
      <x:c r="E644" t="str">
        <x:f t="shared" si="23"/>
        <x:v>Expression</x:v>
      </x:c>
      <x:c r="F644">
        <x:f ca="1">IF(AND($B$1012=1,LEN($F$1636)&gt;0),$F$1636,HLOOKUP(INDIRECT(ADDRESS(2,COLUMN())),OFFSET($T$2,0,0,ROW()-1,14),ROW()-1,FALSE))</x:f>
        <x:v>0</x:v>
      </x:c>
      <x:c r="G644">
        <x:f ca="1">IF(AND($B$1012=1,LEN($G$1636)&gt;0),$G$1636,HLOOKUP(INDIRECT(ADDRESS(2,COLUMN())),OFFSET($T$2,0,0,ROW()-1,14),ROW()-1,FALSE))</x:f>
        <x:v>2.5489999999999999</x:v>
      </x:c>
      <x:c r="H644">
        <x:f ca="1">IF(AND($B$1012=1,LEN($H$1636)&gt;0),$H$1636,HLOOKUP(INDIRECT(ADDRESS(2,COLUMN())),OFFSET($T$2,0,0,ROW()-1,14),ROW()-1,FALSE))</x:f>
        <x:v>-1.8988</x:v>
      </x:c>
      <x:c r="I644">
        <x:f ca="1">IF(AND($B$1012=1,LEN($I$1636)&gt;0),$I$1636,HLOOKUP(INDIRECT(ADDRESS(2,COLUMN())),OFFSET($T$2,0,0,ROW()-1,14),ROW()-1,FALSE))</x:f>
        <x:v>9.8658000000000001</x:v>
      </x:c>
      <x:c r="J644">
        <x:f ca="1">IF(AND($B$1012=1,LEN($J$1636)&gt;0),$J$1636,HLOOKUP(INDIRECT(ADDRESS(2,COLUMN())),OFFSET($T$2,0,0,ROW()-1,14),ROW()-1,FALSE))</x:f>
        <x:v>0</x:v>
      </x:c>
      <x:c r="K644">
        <x:f ca="1">IF(AND($B$1012=1,LEN($K$1636)&gt;0),$K$1636,HLOOKUP(INDIRECT(ADDRESS(2,COLUMN())),OFFSET($T$2,0,0,ROW()-1,14),ROW()-1,FALSE))</x:f>
        <x:v>-3.3311999999999999</x:v>
      </x:c>
      <x:c r="L644">
        <x:f ca="1">IF(AND($B$1012=1,LEN($L$1636)&gt;0),$L$1636,HLOOKUP(INDIRECT(ADDRESS(2,COLUMN())),OFFSET($T$2,0,0,ROW()-1,14),ROW()-1,FALSE))</x:f>
        <x:v>-15.398099999999999</x:v>
      </x:c>
      <x:c r="M644">
        <x:f ca="1">IF(AND($B$1012=1,LEN($M$1636)&gt;0),$M$1636,HLOOKUP(INDIRECT(ADDRESS(2,COLUMN())),OFFSET($T$2,0,0,ROW()-1,14),ROW()-1,FALSE))</x:f>
        <x:v>-0.84179999999999999</x:v>
      </x:c>
      <x:c r="N644">
        <x:f ca="1">IF(AND($B$1012=1,LEN($N$1636)&gt;0),$N$1636,HLOOKUP(INDIRECT(ADDRESS(2,COLUMN())),OFFSET($T$2,0,0,ROW()-1,14),ROW()-1,FALSE))</x:f>
        <x:v>-0.26119999999999999</x:v>
      </x:c>
      <x:c r="O644">
        <x:f ca="1">IF(AND($B$1012=1,LEN($O$1636)&gt;0),$O$1636,HLOOKUP(INDIRECT(ADDRESS(2,COLUMN())),OFFSET($T$2,0,0,ROW()-1,14),ROW()-1,FALSE))</x:f>
        <x:v>0</x:v>
      </x:c>
      <x:c r="P644">
        <x:f ca="1">IF(AND($B$1012=1,LEN($P$1636)&gt;0),$P$1636,HLOOKUP(INDIRECT(ADDRESS(2,COLUMN())),OFFSET($T$2,0,0,ROW()-1,14),ROW()-1,FALSE))</x:f>
        <x:v>20.765000000000001</x:v>
      </x:c>
      <x:c r="Q644">
        <x:f ca="1">IF(AND($B$1012=1,LEN($Q$1636)&gt;0),$Q$1636,HLOOKUP(INDIRECT(ADDRESS(2,COLUMN())),OFFSET($T$2,0,0,ROW()-1,14),ROW()-1,FALSE))</x:f>
        <x:v>0</x:v>
      </x:c>
      <x:c r="R644">
        <x:f ca="1">IF(AND($B$1012=1,LEN($R$1636)&gt;0),$R$1636,HLOOKUP(INDIRECT(ADDRESS(2,COLUMN())),OFFSET($T$2,0,0,ROW()-1,14),ROW()-1,FALSE))</x:f>
        <x:v>0</x:v>
      </x:c>
      <x:c r="S644">
        <x:f ca="1">IF(AND($B$1012=1,LEN($S$1636)&gt;0),$S$1636,HLOOKUP(INDIRECT(ADDRESS(2,COLUMN())),OFFSET($T$2,0,0,ROW()-1,14),ROW()-1,FALSE))</x:f>
        <x:v>0</x:v>
      </x:c>
      <x:c r="T644">
        <x:f>0</x:f>
        <x:v>0</x:v>
      </x:c>
      <x:c r="U644">
        <x:f>2.549</x:f>
        <x:v>2.5489999999999999</x:v>
      </x:c>
      <x:c r="V644">
        <x:f>-1.8988</x:f>
        <x:v>-1.8988</x:v>
      </x:c>
      <x:c r="W644">
        <x:f>9.8658</x:f>
        <x:v>9.8658000000000001</x:v>
      </x:c>
      <x:c r="X644">
        <x:f>0</x:f>
        <x:v>0</x:v>
      </x:c>
      <x:c r="Y644">
        <x:f>-3.3312</x:f>
        <x:v>-3.3311999999999999</x:v>
      </x:c>
      <x:c r="Z644">
        <x:f>-15.3981</x:f>
        <x:v>-15.398099999999999</x:v>
      </x:c>
      <x:c r="AA644">
        <x:f>-0.8418</x:f>
        <x:v>-0.84179999999999999</x:v>
      </x:c>
      <x:c r="AB644">
        <x:f>-0.2612</x:f>
        <x:v>-0.26119999999999999</x:v>
      </x:c>
      <x:c r="AC644">
        <x:f>0</x:f>
        <x:v>0</x:v>
      </x:c>
      <x:c r="AD644">
        <x:f>20.765</x:f>
        <x:v>20.765000000000001</x:v>
      </x:c>
      <x:c r="AE644">
        <x:f>0</x:f>
        <x:v>0</x:v>
      </x:c>
      <x:c r="AF644">
        <x:f>0</x:f>
        <x:v>0</x:v>
      </x:c>
      <x:c r="AG644">
        <x:f>0</x:f>
        <x:v>0</x:v>
      </x:c>
    </x:row>
    <x:row r="645" spans="1:33" x14ac:dyDescent="0.25">
      <x:c r="A645" t="str">
        <x:f>"            Goldman Sachs Human Evolution"</x:f>
        <x:v xml:space="preserve">            Goldman Sachs Human Evolution</x:v>
      </x:c>
      <x:c r="B645" t="str">
        <x:f>"GDNA US Equity"</x:f>
        <x:v>GDNA US Equity</x:v>
      </x:c>
      <x:c r="E645" t="str">
        <x:f t="shared" si="23"/>
        <x:v>Expression</x:v>
      </x:c>
      <x:c r="F645" t="str">
        <x:f ca="1">IF(AND($B$1012=1,LEN($F$1637)&gt;0),$F$1637,HLOOKUP(INDIRECT(ADDRESS(2,COLUMN())),OFFSET($T$2,0,0,ROW()-1,14),ROW()-1,FALSE))</x:f>
        <x:v/>
      </x:c>
      <x:c r="G645" t="str">
        <x:f ca="1">IF(AND($B$1012=1,LEN($G$1637)&gt;0),$G$1637,HLOOKUP(INDIRECT(ADDRESS(2,COLUMN())),OFFSET($T$2,0,0,ROW()-1,14),ROW()-1,FALSE))</x:f>
        <x:v/>
      </x:c>
      <x:c r="H645" t="str">
        <x:f ca="1">IF(AND($B$1012=1,LEN($H$1637)&gt;0),$H$1637,HLOOKUP(INDIRECT(ADDRESS(2,COLUMN())),OFFSET($T$2,0,0,ROW()-1,14),ROW()-1,FALSE))</x:f>
        <x:v/>
      </x:c>
      <x:c r="I645" t="str">
        <x:f ca="1">IF(AND($B$1012=1,LEN($I$1637)&gt;0),$I$1637,HLOOKUP(INDIRECT(ADDRESS(2,COLUMN())),OFFSET($T$2,0,0,ROW()-1,14),ROW()-1,FALSE))</x:f>
        <x:v/>
      </x:c>
      <x:c r="J645" t="str">
        <x:f ca="1">IF(AND($B$1012=1,LEN($J$1637)&gt;0),$J$1637,HLOOKUP(INDIRECT(ADDRESS(2,COLUMN())),OFFSET($T$2,0,0,ROW()-1,14),ROW()-1,FALSE))</x:f>
        <x:v/>
      </x:c>
      <x:c r="K645" t="str">
        <x:f ca="1">IF(AND($B$1012=1,LEN($K$1637)&gt;0),$K$1637,HLOOKUP(INDIRECT(ADDRESS(2,COLUMN())),OFFSET($T$2,0,0,ROW()-1,14),ROW()-1,FALSE))</x:f>
        <x:v/>
      </x:c>
      <x:c r="L645" t="str">
        <x:f ca="1">IF(AND($B$1012=1,LEN($L$1637)&gt;0),$L$1637,HLOOKUP(INDIRECT(ADDRESS(2,COLUMN())),OFFSET($T$2,0,0,ROW()-1,14),ROW()-1,FALSE))</x:f>
        <x:v/>
      </x:c>
      <x:c r="M645" t="str">
        <x:f ca="1">IF(AND($B$1012=1,LEN($M$1637)&gt;0),$M$1637,HLOOKUP(INDIRECT(ADDRESS(2,COLUMN())),OFFSET($T$2,0,0,ROW()-1,14),ROW()-1,FALSE))</x:f>
        <x:v/>
      </x:c>
      <x:c r="N645" t="str">
        <x:f ca="1">IF(AND($B$1012=1,LEN($N$1637)&gt;0),$N$1637,HLOOKUP(INDIRECT(ADDRESS(2,COLUMN())),OFFSET($T$2,0,0,ROW()-1,14),ROW()-1,FALSE))</x:f>
        <x:v/>
      </x:c>
      <x:c r="O645" t="str">
        <x:f ca="1">IF(AND($B$1012=1,LEN($O$1637)&gt;0),$O$1637,HLOOKUP(INDIRECT(ADDRESS(2,COLUMN())),OFFSET($T$2,0,0,ROW()-1,14),ROW()-1,FALSE))</x:f>
        <x:v/>
      </x:c>
      <x:c r="P645" t="str">
        <x:f ca="1">IF(AND($B$1012=1,LEN($P$1637)&gt;0),$P$1637,HLOOKUP(INDIRECT(ADDRESS(2,COLUMN())),OFFSET($T$2,0,0,ROW()-1,14),ROW()-1,FALSE))</x:f>
        <x:v/>
      </x:c>
      <x:c r="Q645" t="str">
        <x:f ca="1">IF(AND($B$1012=1,LEN($Q$1637)&gt;0),$Q$1637,HLOOKUP(INDIRECT(ADDRESS(2,COLUMN())),OFFSET($T$2,0,0,ROW()-1,14),ROW()-1,FALSE))</x:f>
        <x:v/>
      </x:c>
      <x:c r="R645" t="str">
        <x:f ca="1">IF(AND($B$1012=1,LEN($R$1637)&gt;0),$R$1637,HLOOKUP(INDIRECT(ADDRESS(2,COLUMN())),OFFSET($T$2,0,0,ROW()-1,14),ROW()-1,FALSE))</x:f>
        <x:v/>
      </x:c>
      <x:c r="S645" t="str">
        <x:f ca="1">IF(AND($B$1012=1,LEN($S$1637)&gt;0),$S$1637,HLOOKUP(INDIRECT(ADDRESS(2,COLUMN())),OFFSET($T$2,0,0,ROW()-1,14),ROW()-1,FALSE))</x:f>
        <x:v/>
      </x:c>
      <x:c r="T645" t="str">
        <x:f>""</x:f>
        <x:v/>
      </x:c>
      <x:c r="U645" t="str">
        <x:f>""</x:f>
        <x:v/>
      </x:c>
      <x:c r="V645" t="str">
        <x:f>""</x:f>
        <x:v/>
      </x:c>
      <x:c r="W645" t="str">
        <x:f>""</x:f>
        <x:v/>
      </x:c>
      <x:c r="X645" t="str">
        <x:f>""</x:f>
        <x:v/>
      </x:c>
      <x:c r="Y645" t="str">
        <x:f>""</x:f>
        <x:v/>
      </x:c>
      <x:c r="Z645" t="str">
        <x:f>""</x:f>
        <x:v/>
      </x:c>
      <x:c r="AA645" t="str">
        <x:f>""</x:f>
        <x:v/>
      </x:c>
      <x:c r="AB645" t="str">
        <x:f>""</x:f>
        <x:v/>
      </x:c>
      <x:c r="AC645" t="str">
        <x:f>""</x:f>
        <x:v/>
      </x:c>
      <x:c r="AD645" t="str">
        <x:f>""</x:f>
        <x:v/>
      </x:c>
      <x:c r="AE645" t="str">
        <x:f>""</x:f>
        <x:v/>
      </x:c>
      <x:c r="AF645" t="str">
        <x:f>""</x:f>
        <x:v/>
      </x:c>
      <x:c r="AG645" t="str">
        <x:f>""</x:f>
        <x:v/>
      </x:c>
    </x:row>
    <x:row r="646" spans="1:33" x14ac:dyDescent="0.25">
      <x:c r="A646" t="str">
        <x:f>"            Global X Genomics &amp; Biotechnol"</x:f>
        <x:v xml:space="preserve">            Global X Genomics &amp; Biotechnol</x:v>
      </x:c>
      <x:c r="B646" t="str">
        <x:f>"GNOM US Equity"</x:f>
        <x:v>GNOM US Equity</x:v>
      </x:c>
      <x:c r="E646" t="str">
        <x:f t="shared" si="23"/>
        <x:v>Expression</x:v>
      </x:c>
      <x:c r="F646">
        <x:f ca="1">IF(AND($B$1012=1,LEN($F$1638)&gt;0),$F$1638,HLOOKUP(INDIRECT(ADDRESS(2,COLUMN())),OFFSET($T$2,0,0,ROW()-1,14),ROW()-1,FALSE))</x:f>
        <x:v>-2.2698</x:v>
      </x:c>
      <x:c r="G646">
        <x:f ca="1">IF(AND($B$1012=1,LEN($G$1638)&gt;0),$G$1638,HLOOKUP(INDIRECT(ADDRESS(2,COLUMN())),OFFSET($T$2,0,0,ROW()-1,14),ROW()-1,FALSE))</x:f>
        <x:v>-74.867500000000007</x:v>
      </x:c>
      <x:c r="H646">
        <x:f ca="1">IF(AND($B$1012=1,LEN($H$1638)&gt;0),$H$1638,HLOOKUP(INDIRECT(ADDRESS(2,COLUMN())),OFFSET($T$2,0,0,ROW()-1,14),ROW()-1,FALSE))</x:f>
        <x:v>46.187800000000003</x:v>
      </x:c>
      <x:c r="I646">
        <x:f ca="1">IF(AND($B$1012=1,LEN($I$1638)&gt;0),$I$1638,HLOOKUP(INDIRECT(ADDRESS(2,COLUMN())),OFFSET($T$2,0,0,ROW()-1,14),ROW()-1,FALSE))</x:f>
        <x:v>-39.461799999999997</x:v>
      </x:c>
      <x:c r="J646">
        <x:f ca="1">IF(AND($B$1012=1,LEN($J$1638)&gt;0),$J$1638,HLOOKUP(INDIRECT(ADDRESS(2,COLUMN())),OFFSET($T$2,0,0,ROW()-1,14),ROW()-1,FALSE))</x:f>
        <x:v>6.0076000000000001</x:v>
      </x:c>
      <x:c r="K646">
        <x:f ca="1">IF(AND($B$1012=1,LEN($K$1638)&gt;0),$K$1638,HLOOKUP(INDIRECT(ADDRESS(2,COLUMN())),OFFSET($T$2,0,0,ROW()-1,14),ROW()-1,FALSE))</x:f>
        <x:v>0.63700000000000001</x:v>
      </x:c>
      <x:c r="L646">
        <x:f ca="1">IF(AND($B$1012=1,LEN($L$1638)&gt;0),$L$1638,HLOOKUP(INDIRECT(ADDRESS(2,COLUMN())),OFFSET($T$2,0,0,ROW()-1,14),ROW()-1,FALSE))</x:f>
        <x:v>1.3814</x:v>
      </x:c>
      <x:c r="M646">
        <x:f ca="1">IF(AND($B$1012=1,LEN($M$1638)&gt;0),$M$1638,HLOOKUP(INDIRECT(ADDRESS(2,COLUMN())),OFFSET($T$2,0,0,ROW()-1,14),ROW()-1,FALSE))</x:f>
        <x:v>-11.5777</x:v>
      </x:c>
      <x:c r="N646">
        <x:f ca="1">IF(AND($B$1012=1,LEN($N$1638)&gt;0),$N$1638,HLOOKUP(INDIRECT(ADDRESS(2,COLUMN())),OFFSET($T$2,0,0,ROW()-1,14),ROW()-1,FALSE))</x:f>
        <x:v>0.94310000000000005</x:v>
      </x:c>
      <x:c r="O646">
        <x:f ca="1">IF(AND($B$1012=1,LEN($O$1638)&gt;0),$O$1638,HLOOKUP(INDIRECT(ADDRESS(2,COLUMN())),OFFSET($T$2,0,0,ROW()-1,14),ROW()-1,FALSE))</x:f>
        <x:v>-1.1857</x:v>
      </x:c>
      <x:c r="P646">
        <x:f ca="1">IF(AND($B$1012=1,LEN($P$1638)&gt;0),$P$1638,HLOOKUP(INDIRECT(ADDRESS(2,COLUMN())),OFFSET($T$2,0,0,ROW()-1,14),ROW()-1,FALSE))</x:f>
        <x:v>1.7063999999999999</x:v>
      </x:c>
      <x:c r="Q646">
        <x:f ca="1">IF(AND($B$1012=1,LEN($Q$1638)&gt;0),$Q$1638,HLOOKUP(INDIRECT(ADDRESS(2,COLUMN())),OFFSET($T$2,0,0,ROW()-1,14),ROW()-1,FALSE))</x:f>
        <x:v>14.3284</x:v>
      </x:c>
      <x:c r="R646">
        <x:f ca="1">IF(AND($B$1012=1,LEN($R$1638)&gt;0),$R$1638,HLOOKUP(INDIRECT(ADDRESS(2,COLUMN())),OFFSET($T$2,0,0,ROW()-1,14),ROW()-1,FALSE))</x:f>
        <x:v>-3.1533000000000002</x:v>
      </x:c>
      <x:c r="S646">
        <x:f ca="1">IF(AND($B$1012=1,LEN($S$1638)&gt;0),$S$1638,HLOOKUP(INDIRECT(ADDRESS(2,COLUMN())),OFFSET($T$2,0,0,ROW()-1,14),ROW()-1,FALSE))</x:f>
        <x:v>-7.9795999999999996</x:v>
      </x:c>
      <x:c r="T646">
        <x:f>-2.2698</x:f>
        <x:v>-2.2698</x:v>
      </x:c>
      <x:c r="U646">
        <x:f>-74.8675</x:f>
        <x:v>-74.867500000000007</x:v>
      </x:c>
      <x:c r="V646">
        <x:f>46.1878</x:f>
        <x:v>46.187800000000003</x:v>
      </x:c>
      <x:c r="W646">
        <x:f>-39.4618</x:f>
        <x:v>-39.461799999999997</x:v>
      </x:c>
      <x:c r="X646">
        <x:f>6.0076</x:f>
        <x:v>6.0076000000000001</x:v>
      </x:c>
      <x:c r="Y646">
        <x:f>0.637</x:f>
        <x:v>0.63700000000000001</x:v>
      </x:c>
      <x:c r="Z646">
        <x:f>1.3814</x:f>
        <x:v>1.3814</x:v>
      </x:c>
      <x:c r="AA646">
        <x:f>-11.5777</x:f>
        <x:v>-11.5777</x:v>
      </x:c>
      <x:c r="AB646">
        <x:f>0.9431</x:f>
        <x:v>0.94310000000000005</x:v>
      </x:c>
      <x:c r="AC646">
        <x:f>-1.1857</x:f>
        <x:v>-1.1857</x:v>
      </x:c>
      <x:c r="AD646">
        <x:f>1.7064</x:f>
        <x:v>1.7063999999999999</x:v>
      </x:c>
      <x:c r="AE646">
        <x:f>14.3284</x:f>
        <x:v>14.3284</x:v>
      </x:c>
      <x:c r="AF646">
        <x:f>-3.1533</x:f>
        <x:v>-3.1533000000000002</x:v>
      </x:c>
      <x:c r="AG646">
        <x:f>-7.9796</x:f>
        <x:v>-7.9795999999999996</x:v>
      </x:c>
    </x:row>
    <x:row r="647" spans="1:33" x14ac:dyDescent="0.25">
      <x:c r="A647" t="str">
        <x:f>"            ETFMG Treatments Testing and A"</x:f>
        <x:v xml:space="preserve">            ETFMG Treatments Testing and A</x:v>
      </x:c>
      <x:c r="B647" t="str">
        <x:f>"GERM US Equity"</x:f>
        <x:v>GERM US Equity</x:v>
      </x:c>
      <x:c r="E647" t="str">
        <x:f t="shared" si="23"/>
        <x:v>Expression</x:v>
      </x:c>
      <x:c r="F647">
        <x:f ca="1">IF(AND($B$1012=1,LEN($F$1639)&gt;0),$F$1639,HLOOKUP(INDIRECT(ADDRESS(2,COLUMN())),OFFSET($T$2,0,0,ROW()-1,14),ROW()-1,FALSE))</x:f>
        <x:v>0</x:v>
      </x:c>
      <x:c r="G647">
        <x:f ca="1">IF(AND($B$1012=1,LEN($G$1639)&gt;0),$G$1639,HLOOKUP(INDIRECT(ADDRESS(2,COLUMN())),OFFSET($T$2,0,0,ROW()-1,14),ROW()-1,FALSE))</x:f>
        <x:v>0</x:v>
      </x:c>
      <x:c r="H647">
        <x:f ca="1">IF(AND($B$1012=1,LEN($H$1639)&gt;0),$H$1639,HLOOKUP(INDIRECT(ADDRESS(2,COLUMN())),OFFSET($T$2,0,0,ROW()-1,14),ROW()-1,FALSE))</x:f>
        <x:v>0</x:v>
      </x:c>
      <x:c r="I647">
        <x:f ca="1">IF(AND($B$1012=1,LEN($I$1639)&gt;0),$I$1639,HLOOKUP(INDIRECT(ADDRESS(2,COLUMN())),OFFSET($T$2,0,0,ROW()-1,14),ROW()-1,FALSE))</x:f>
        <x:v>-1.0005900000000001</x:v>
      </x:c>
      <x:c r="J647">
        <x:f ca="1">IF(AND($B$1012=1,LEN($J$1639)&gt;0),$J$1639,HLOOKUP(INDIRECT(ADDRESS(2,COLUMN())),OFFSET($T$2,0,0,ROW()-1,14),ROW()-1,FALSE))</x:f>
        <x:v>-1.0346550000000001</x:v>
      </x:c>
      <x:c r="K647">
        <x:f ca="1">IF(AND($B$1012=1,LEN($K$1639)&gt;0),$K$1639,HLOOKUP(INDIRECT(ADDRESS(2,COLUMN())),OFFSET($T$2,0,0,ROW()-1,14),ROW()-1,FALSE))</x:f>
        <x:v>0</x:v>
      </x:c>
      <x:c r="L647">
        <x:f ca="1">IF(AND($B$1012=1,LEN($L$1639)&gt;0),$L$1639,HLOOKUP(INDIRECT(ADDRESS(2,COLUMN())),OFFSET($T$2,0,0,ROW()-1,14),ROW()-1,FALSE))</x:f>
        <x:v>-1.0545249999999999</x:v>
      </x:c>
      <x:c r="M647">
        <x:f ca="1">IF(AND($B$1012=1,LEN($M$1639)&gt;0),$M$1639,HLOOKUP(INDIRECT(ADDRESS(2,COLUMN())),OFFSET($T$2,0,0,ROW()-1,14),ROW()-1,FALSE))</x:f>
        <x:v>0</x:v>
      </x:c>
      <x:c r="N647">
        <x:f ca="1">IF(AND($B$1012=1,LEN($N$1639)&gt;0),$N$1639,HLOOKUP(INDIRECT(ADDRESS(2,COLUMN())),OFFSET($T$2,0,0,ROW()-1,14),ROW()-1,FALSE))</x:f>
        <x:v>-1.06724</x:v>
      </x:c>
      <x:c r="O647">
        <x:f ca="1">IF(AND($B$1012=1,LEN($O$1639)&gt;0),$O$1639,HLOOKUP(INDIRECT(ADDRESS(2,COLUMN())),OFFSET($T$2,0,0,ROW()-1,14),ROW()-1,FALSE))</x:f>
        <x:v>0</x:v>
      </x:c>
      <x:c r="P647">
        <x:f ca="1">IF(AND($B$1012=1,LEN($P$1639)&gt;0),$P$1639,HLOOKUP(INDIRECT(ADDRESS(2,COLUMN())),OFFSET($T$2,0,0,ROW()-1,14),ROW()-1,FALSE))</x:f>
        <x:v>-2.4240949999999999</x:v>
      </x:c>
      <x:c r="Q647">
        <x:f ca="1">IF(AND($B$1012=1,LEN($Q$1639)&gt;0),$Q$1639,HLOOKUP(INDIRECT(ADDRESS(2,COLUMN())),OFFSET($T$2,0,0,ROW()-1,14),ROW()-1,FALSE))</x:f>
        <x:v>0</x:v>
      </x:c>
      <x:c r="R647">
        <x:f ca="1">IF(AND($B$1012=1,LEN($R$1639)&gt;0),$R$1639,HLOOKUP(INDIRECT(ADDRESS(2,COLUMN())),OFFSET($T$2,0,0,ROW()-1,14),ROW()-1,FALSE))</x:f>
        <x:v>0</x:v>
      </x:c>
      <x:c r="S647">
        <x:f ca="1">IF(AND($B$1012=1,LEN($S$1639)&gt;0),$S$1639,HLOOKUP(INDIRECT(ADDRESS(2,COLUMN())),OFFSET($T$2,0,0,ROW()-1,14),ROW()-1,FALSE))</x:f>
        <x:v>0</x:v>
      </x:c>
      <x:c r="T647">
        <x:f>0</x:f>
        <x:v>0</x:v>
      </x:c>
      <x:c r="U647">
        <x:f>0</x:f>
        <x:v>0</x:v>
      </x:c>
      <x:c r="V647">
        <x:f>0</x:f>
        <x:v>0</x:v>
      </x:c>
      <x:c r="W647">
        <x:f>-1.00059</x:f>
        <x:v>-1.0005900000000001</x:v>
      </x:c>
      <x:c r="X647">
        <x:f>-1.034655</x:f>
        <x:v>-1.0346550000000001</x:v>
      </x:c>
      <x:c r="Y647">
        <x:f>0</x:f>
        <x:v>0</x:v>
      </x:c>
      <x:c r="Z647">
        <x:f>-1.054525</x:f>
        <x:v>-1.0545249999999999</x:v>
      </x:c>
      <x:c r="AA647">
        <x:f>0</x:f>
        <x:v>0</x:v>
      </x:c>
      <x:c r="AB647">
        <x:f>-1.06724</x:f>
        <x:v>-1.06724</x:v>
      </x:c>
      <x:c r="AC647">
        <x:f>0</x:f>
        <x:v>0</x:v>
      </x:c>
      <x:c r="AD647">
        <x:f>-2.424095</x:f>
        <x:v>-2.4240949999999999</x:v>
      </x:c>
      <x:c r="AE647">
        <x:f>0</x:f>
        <x:v>0</x:v>
      </x:c>
      <x:c r="AF647">
        <x:f>0</x:f>
        <x:v>0</x:v>
      </x:c>
      <x:c r="AG647">
        <x:f>0</x:f>
        <x:v>0</x:v>
      </x:c>
    </x:row>
    <x:row r="648" spans="1:33" x14ac:dyDescent="0.25">
      <x:c r="A648" t="str">
        <x:f>"            Franklin Genomic Advancements"</x:f>
        <x:v xml:space="preserve">            Franklin Genomic Advancements</x:v>
      </x:c>
      <x:c r="B648" t="str">
        <x:f>"HELX US Equity"</x:f>
        <x:v>HELX US Equity</x:v>
      </x:c>
      <x:c r="E648" t="str">
        <x:f t="shared" si="23"/>
        <x:v>Expression</x:v>
      </x:c>
      <x:c r="F648">
        <x:f ca="1">IF(AND($B$1012=1,LEN($F$1640)&gt;0),$F$1640,HLOOKUP(INDIRECT(ADDRESS(2,COLUMN())),OFFSET($T$2,0,0,ROW()-1,14),ROW()-1,FALSE))</x:f>
        <x:v>2.6195590000000002</x:v>
      </x:c>
      <x:c r="G648">
        <x:f ca="1">IF(AND($B$1012=1,LEN($G$1640)&gt;0),$G$1640,HLOOKUP(INDIRECT(ADDRESS(2,COLUMN())),OFFSET($T$2,0,0,ROW()-1,14),ROW()-1,FALSE))</x:f>
        <x:v>0</x:v>
      </x:c>
      <x:c r="H648">
        <x:f ca="1">IF(AND($B$1012=1,LEN($H$1640)&gt;0),$H$1640,HLOOKUP(INDIRECT(ADDRESS(2,COLUMN())),OFFSET($T$2,0,0,ROW()-1,14),ROW()-1,FALSE))</x:f>
        <x:v>0</x:v>
      </x:c>
      <x:c r="I648">
        <x:f ca="1">IF(AND($B$1012=1,LEN($I$1640)&gt;0),$I$1640,HLOOKUP(INDIRECT(ADDRESS(2,COLUMN())),OFFSET($T$2,0,0,ROW()-1,14),ROW()-1,FALSE))</x:f>
        <x:v>-1.516475</x:v>
      </x:c>
      <x:c r="J648">
        <x:f ca="1">IF(AND($B$1012=1,LEN($J$1640)&gt;0),$J$1640,HLOOKUP(INDIRECT(ADDRESS(2,COLUMN())),OFFSET($T$2,0,0,ROW()-1,14),ROW()-1,FALSE))</x:f>
        <x:v>0</x:v>
      </x:c>
      <x:c r="K648">
        <x:f ca="1">IF(AND($B$1012=1,LEN($K$1640)&gt;0),$K$1640,HLOOKUP(INDIRECT(ADDRESS(2,COLUMN())),OFFSET($T$2,0,0,ROW()-1,14),ROW()-1,FALSE))</x:f>
        <x:v>0</x:v>
      </x:c>
      <x:c r="L648">
        <x:f ca="1">IF(AND($B$1012=1,LEN($L$1640)&gt;0),$L$1640,HLOOKUP(INDIRECT(ADDRESS(2,COLUMN())),OFFSET($T$2,0,0,ROW()-1,14),ROW()-1,FALSE))</x:f>
        <x:v>0</x:v>
      </x:c>
      <x:c r="M648">
        <x:f ca="1">IF(AND($B$1012=1,LEN($M$1640)&gt;0),$M$1640,HLOOKUP(INDIRECT(ADDRESS(2,COLUMN())),OFFSET($T$2,0,0,ROW()-1,14),ROW()-1,FALSE))</x:f>
        <x:v>0</x:v>
      </x:c>
      <x:c r="N648">
        <x:f ca="1">IF(AND($B$1012=1,LEN($N$1640)&gt;0),$N$1640,HLOOKUP(INDIRECT(ADDRESS(2,COLUMN())),OFFSET($T$2,0,0,ROW()-1,14),ROW()-1,FALSE))</x:f>
        <x:v>0</x:v>
      </x:c>
      <x:c r="O648">
        <x:f ca="1">IF(AND($B$1012=1,LEN($O$1640)&gt;0),$O$1640,HLOOKUP(INDIRECT(ADDRESS(2,COLUMN())),OFFSET($T$2,0,0,ROW()-1,14),ROW()-1,FALSE))</x:f>
        <x:v>0</x:v>
      </x:c>
      <x:c r="P648">
        <x:f ca="1">IF(AND($B$1012=1,LEN($P$1640)&gt;0),$P$1640,HLOOKUP(INDIRECT(ADDRESS(2,COLUMN())),OFFSET($T$2,0,0,ROW()-1,14),ROW()-1,FALSE))</x:f>
        <x:v>0</x:v>
      </x:c>
      <x:c r="Q648">
        <x:f ca="1">IF(AND($B$1012=1,LEN($Q$1640)&gt;0),$Q$1640,HLOOKUP(INDIRECT(ADDRESS(2,COLUMN())),OFFSET($T$2,0,0,ROW()-1,14),ROW()-1,FALSE))</x:f>
        <x:v>0</x:v>
      </x:c>
      <x:c r="R648">
        <x:f ca="1">IF(AND($B$1012=1,LEN($R$1640)&gt;0),$R$1640,HLOOKUP(INDIRECT(ADDRESS(2,COLUMN())),OFFSET($T$2,0,0,ROW()-1,14),ROW()-1,FALSE))</x:f>
        <x:v>0</x:v>
      </x:c>
      <x:c r="S648">
        <x:f ca="1">IF(AND($B$1012=1,LEN($S$1640)&gt;0),$S$1640,HLOOKUP(INDIRECT(ADDRESS(2,COLUMN())),OFFSET($T$2,0,0,ROW()-1,14),ROW()-1,FALSE))</x:f>
        <x:v>0</x:v>
      </x:c>
      <x:c r="T648">
        <x:f>2.619559</x:f>
        <x:v>2.6195590000000002</x:v>
      </x:c>
      <x:c r="U648">
        <x:f>0</x:f>
        <x:v>0</x:v>
      </x:c>
      <x:c r="V648">
        <x:f>0</x:f>
        <x:v>0</x:v>
      </x:c>
      <x:c r="W648">
        <x:f>-1.516475</x:f>
        <x:v>-1.516475</x:v>
      </x:c>
      <x:c r="X648">
        <x:f>0</x:f>
        <x:v>0</x:v>
      </x:c>
      <x:c r="Y648">
        <x:f>0</x:f>
        <x:v>0</x:v>
      </x:c>
      <x:c r="Z648">
        <x:f>0</x:f>
        <x:v>0</x:v>
      </x:c>
      <x:c r="AA648">
        <x:f>0</x:f>
        <x:v>0</x:v>
      </x:c>
      <x:c r="AB648">
        <x:f>0</x:f>
        <x:v>0</x:v>
      </x:c>
      <x:c r="AC648">
        <x:f>0</x:f>
        <x:v>0</x:v>
      </x:c>
      <x:c r="AD648">
        <x:f>0</x:f>
        <x:v>0</x:v>
      </x:c>
      <x:c r="AE648">
        <x:f>0</x:f>
        <x:v>0</x:v>
      </x:c>
      <x:c r="AF648">
        <x:f>0</x:f>
        <x:v>0</x:v>
      </x:c>
      <x:c r="AG648">
        <x:f>0</x:f>
        <x:v>0</x:v>
      </x:c>
    </x:row>
    <x:row r="649" spans="1:33" x14ac:dyDescent="0.25">
      <x:c r="A649" t="str">
        <x:f>"            Global X Telemedicine &amp; Digita"</x:f>
        <x:v xml:space="preserve">            Global X Telemedicine &amp; Digita</x:v>
      </x:c>
      <x:c r="B649" t="str">
        <x:f>"EDOC US Equity"</x:f>
        <x:v>EDOC US Equity</x:v>
      </x:c>
      <x:c r="E649" t="str">
        <x:f t="shared" si="23"/>
        <x:v>Expression</x:v>
      </x:c>
      <x:c r="F649">
        <x:f ca="1">IF(AND($B$1012=1,LEN($F$1641)&gt;0),$F$1641,HLOOKUP(INDIRECT(ADDRESS(2,COLUMN())),OFFSET($T$2,0,0,ROW()-1,14),ROW()-1,FALSE))</x:f>
        <x:v>-0.504</x:v>
      </x:c>
      <x:c r="G649">
        <x:f ca="1">IF(AND($B$1012=1,LEN($G$1641)&gt;0),$G$1641,HLOOKUP(INDIRECT(ADDRESS(2,COLUMN())),OFFSET($T$2,0,0,ROW()-1,14),ROW()-1,FALSE))</x:f>
        <x:v>-10.6797</x:v>
      </x:c>
      <x:c r="H649">
        <x:f ca="1">IF(AND($B$1012=1,LEN($H$1641)&gt;0),$H$1641,HLOOKUP(INDIRECT(ADDRESS(2,COLUMN())),OFFSET($T$2,0,0,ROW()-1,14),ROW()-1,FALSE))</x:f>
        <x:v>-2.5373999999999999</x:v>
      </x:c>
      <x:c r="I649">
        <x:f ca="1">IF(AND($B$1012=1,LEN($I$1641)&gt;0),$I$1641,HLOOKUP(INDIRECT(ADDRESS(2,COLUMN())),OFFSET($T$2,0,0,ROW()-1,14),ROW()-1,FALSE))</x:f>
        <x:v>-3.2385000000000002</x:v>
      </x:c>
      <x:c r="J649">
        <x:f ca="1">IF(AND($B$1012=1,LEN($J$1641)&gt;0),$J$1641,HLOOKUP(INDIRECT(ADDRESS(2,COLUMN())),OFFSET($T$2,0,0,ROW()-1,14),ROW()-1,FALSE))</x:f>
        <x:v>-2.5032000000000001</x:v>
      </x:c>
      <x:c r="K649">
        <x:f ca="1">IF(AND($B$1012=1,LEN($K$1641)&gt;0),$K$1641,HLOOKUP(INDIRECT(ADDRESS(2,COLUMN())),OFFSET($T$2,0,0,ROW()-1,14),ROW()-1,FALSE))</x:f>
        <x:v>-3.2458</x:v>
      </x:c>
      <x:c r="L649">
        <x:f ca="1">IF(AND($B$1012=1,LEN($L$1641)&gt;0),$L$1641,HLOOKUP(INDIRECT(ADDRESS(2,COLUMN())),OFFSET($T$2,0,0,ROW()-1,14),ROW()-1,FALSE))</x:f>
        <x:v>-1.8522000000000001</x:v>
      </x:c>
      <x:c r="M649">
        <x:f ca="1">IF(AND($B$1012=1,LEN($M$1641)&gt;0),$M$1641,HLOOKUP(INDIRECT(ADDRESS(2,COLUMN())),OFFSET($T$2,0,0,ROW()-1,14),ROW()-1,FALSE))</x:f>
        <x:v>-4.9523999999999999</x:v>
      </x:c>
      <x:c r="N649">
        <x:f ca="1">IF(AND($B$1012=1,LEN($N$1641)&gt;0),$N$1641,HLOOKUP(INDIRECT(ADDRESS(2,COLUMN())),OFFSET($T$2,0,0,ROW()-1,14),ROW()-1,FALSE))</x:f>
        <x:v>-5.1760000000000002</x:v>
      </x:c>
      <x:c r="O649">
        <x:f ca="1">IF(AND($B$1012=1,LEN($O$1641)&gt;0),$O$1641,HLOOKUP(INDIRECT(ADDRESS(2,COLUMN())),OFFSET($T$2,0,0,ROW()-1,14),ROW()-1,FALSE))</x:f>
        <x:v>-3.7368000000000001</x:v>
      </x:c>
      <x:c r="P649">
        <x:f ca="1">IF(AND($B$1012=1,LEN($P$1641)&gt;0),$P$1641,HLOOKUP(INDIRECT(ADDRESS(2,COLUMN())),OFFSET($T$2,0,0,ROW()-1,14),ROW()-1,FALSE))</x:f>
        <x:v>-5.7846000000000002</x:v>
      </x:c>
      <x:c r="Q649">
        <x:f ca="1">IF(AND($B$1012=1,LEN($Q$1641)&gt;0),$Q$1641,HLOOKUP(INDIRECT(ADDRESS(2,COLUMN())),OFFSET($T$2,0,0,ROW()-1,14),ROW()-1,FALSE))</x:f>
        <x:v>0.80779999999999996</x:v>
      </x:c>
      <x:c r="R649">
        <x:f ca="1">IF(AND($B$1012=1,LEN($R$1641)&gt;0),$R$1641,HLOOKUP(INDIRECT(ADDRESS(2,COLUMN())),OFFSET($T$2,0,0,ROW()-1,14),ROW()-1,FALSE))</x:f>
        <x:v>-10.494300000000001</x:v>
      </x:c>
      <x:c r="S649">
        <x:f ca="1">IF(AND($B$1012=1,LEN($S$1641)&gt;0),$S$1641,HLOOKUP(INDIRECT(ADDRESS(2,COLUMN())),OFFSET($T$2,0,0,ROW()-1,14),ROW()-1,FALSE))</x:f>
        <x:v>-2.3372999999999999</x:v>
      </x:c>
      <x:c r="T649">
        <x:f>-0.504</x:f>
        <x:v>-0.504</x:v>
      </x:c>
      <x:c r="U649">
        <x:f>-10.6797</x:f>
        <x:v>-10.6797</x:v>
      </x:c>
      <x:c r="V649">
        <x:f>-2.5374</x:f>
        <x:v>-2.5373999999999999</x:v>
      </x:c>
      <x:c r="W649">
        <x:f>-3.2385</x:f>
        <x:v>-3.2385000000000002</x:v>
      </x:c>
      <x:c r="X649">
        <x:f>-2.5032</x:f>
        <x:v>-2.5032000000000001</x:v>
      </x:c>
      <x:c r="Y649">
        <x:f>-3.2458</x:f>
        <x:v>-3.2458</x:v>
      </x:c>
      <x:c r="Z649">
        <x:f>-1.8522</x:f>
        <x:v>-1.8522000000000001</x:v>
      </x:c>
      <x:c r="AA649">
        <x:f>-4.9524</x:f>
        <x:v>-4.9523999999999999</x:v>
      </x:c>
      <x:c r="AB649">
        <x:f>-5.176</x:f>
        <x:v>-5.1760000000000002</x:v>
      </x:c>
      <x:c r="AC649">
        <x:f>-3.7368</x:f>
        <x:v>-3.7368000000000001</x:v>
      </x:c>
      <x:c r="AD649">
        <x:f>-5.7846</x:f>
        <x:v>-5.7846000000000002</x:v>
      </x:c>
      <x:c r="AE649">
        <x:f>0.8078</x:f>
        <x:v>0.80779999999999996</x:v>
      </x:c>
      <x:c r="AF649">
        <x:f>-10.4943</x:f>
        <x:v>-10.494300000000001</x:v>
      </x:c>
      <x:c r="AG649">
        <x:f>-2.3373</x:f>
        <x:v>-2.3372999999999999</x:v>
      </x:c>
    </x:row>
    <x:row r="650" spans="1:33" x14ac:dyDescent="0.25">
      <x:c r="A650" t="str">
        <x:f>"            BlackRock Future Health ETF"</x:f>
        <x:v xml:space="preserve">            BlackRock Future Health ETF</x:v>
      </x:c>
      <x:c r="B650" t="str">
        <x:f>"BMED US Equity"</x:f>
        <x:v>BMED US Equity</x:v>
      </x:c>
      <x:c r="E650" t="str">
        <x:f t="shared" si="23"/>
        <x:v>Expression</x:v>
      </x:c>
      <x:c r="F650">
        <x:f ca="1">IF(AND($B$1012=1,LEN($F$1642)&gt;0),$F$1642,HLOOKUP(INDIRECT(ADDRESS(2,COLUMN())),OFFSET($T$2,0,0,ROW()-1,14),ROW()-1,FALSE))</x:f>
        <x:v>0</x:v>
      </x:c>
      <x:c r="G650">
        <x:f ca="1">IF(AND($B$1012=1,LEN($G$1642)&gt;0),$G$1642,HLOOKUP(INDIRECT(ADDRESS(2,COLUMN())),OFFSET($T$2,0,0,ROW()-1,14),ROW()-1,FALSE))</x:f>
        <x:v>0</x:v>
      </x:c>
      <x:c r="H650">
        <x:f ca="1">IF(AND($B$1012=1,LEN($H$1642)&gt;0),$H$1642,HLOOKUP(INDIRECT(ADDRESS(2,COLUMN())),OFFSET($T$2,0,0,ROW()-1,14),ROW()-1,FALSE))</x:f>
        <x:v>0</x:v>
      </x:c>
      <x:c r="I650">
        <x:f ca="1">IF(AND($B$1012=1,LEN($I$1642)&gt;0),$I$1642,HLOOKUP(INDIRECT(ADDRESS(2,COLUMN())),OFFSET($T$2,0,0,ROW()-1,14),ROW()-1,FALSE))</x:f>
        <x:v>-1.909144</x:v>
      </x:c>
      <x:c r="J650">
        <x:f ca="1">IF(AND($B$1012=1,LEN($J$1642)&gt;0),$J$1642,HLOOKUP(INDIRECT(ADDRESS(2,COLUMN())),OFFSET($T$2,0,0,ROW()-1,14),ROW()-1,FALSE))</x:f>
        <x:v>0</x:v>
      </x:c>
      <x:c r="K650">
        <x:f ca="1">IF(AND($B$1012=1,LEN($K$1642)&gt;0),$K$1642,HLOOKUP(INDIRECT(ADDRESS(2,COLUMN())),OFFSET($T$2,0,0,ROW()-1,14),ROW()-1,FALSE))</x:f>
        <x:v>0</x:v>
      </x:c>
      <x:c r="L650">
        <x:f ca="1">IF(AND($B$1012=1,LEN($L$1642)&gt;0),$L$1642,HLOOKUP(INDIRECT(ADDRESS(2,COLUMN())),OFFSET($T$2,0,0,ROW()-1,14),ROW()-1,FALSE))</x:f>
        <x:v>0</x:v>
      </x:c>
      <x:c r="M650">
        <x:f ca="1">IF(AND($B$1012=1,LEN($M$1642)&gt;0),$M$1642,HLOOKUP(INDIRECT(ADDRESS(2,COLUMN())),OFFSET($T$2,0,0,ROW()-1,14),ROW()-1,FALSE))</x:f>
        <x:v>0</x:v>
      </x:c>
      <x:c r="N650">
        <x:f ca="1">IF(AND($B$1012=1,LEN($N$1642)&gt;0),$N$1642,HLOOKUP(INDIRECT(ADDRESS(2,COLUMN())),OFFSET($T$2,0,0,ROW()-1,14),ROW()-1,FALSE))</x:f>
        <x:v>0</x:v>
      </x:c>
      <x:c r="O650">
        <x:f ca="1">IF(AND($B$1012=1,LEN($O$1642)&gt;0),$O$1642,HLOOKUP(INDIRECT(ADDRESS(2,COLUMN())),OFFSET($T$2,0,0,ROW()-1,14),ROW()-1,FALSE))</x:f>
        <x:v>0</x:v>
      </x:c>
      <x:c r="P650">
        <x:f ca="1">IF(AND($B$1012=1,LEN($P$1642)&gt;0),$P$1642,HLOOKUP(INDIRECT(ADDRESS(2,COLUMN())),OFFSET($T$2,0,0,ROW()-1,14),ROW()-1,FALSE))</x:f>
        <x:v>0</x:v>
      </x:c>
      <x:c r="Q650">
        <x:f ca="1">IF(AND($B$1012=1,LEN($Q$1642)&gt;0),$Q$1642,HLOOKUP(INDIRECT(ADDRESS(2,COLUMN())),OFFSET($T$2,0,0,ROW()-1,14),ROW()-1,FALSE))</x:f>
        <x:v>0</x:v>
      </x:c>
      <x:c r="R650">
        <x:f ca="1">IF(AND($B$1012=1,LEN($R$1642)&gt;0),$R$1642,HLOOKUP(INDIRECT(ADDRESS(2,COLUMN())),OFFSET($T$2,0,0,ROW()-1,14),ROW()-1,FALSE))</x:f>
        <x:v>0</x:v>
      </x:c>
      <x:c r="S650">
        <x:f ca="1">IF(AND($B$1012=1,LEN($S$1642)&gt;0),$S$1642,HLOOKUP(INDIRECT(ADDRESS(2,COLUMN())),OFFSET($T$2,0,0,ROW()-1,14),ROW()-1,FALSE))</x:f>
        <x:v>-0.85413600000000001</x:v>
      </x:c>
      <x:c r="T650">
        <x:f>0</x:f>
        <x:v>0</x:v>
      </x:c>
      <x:c r="U650">
        <x:f>0</x:f>
        <x:v>0</x:v>
      </x:c>
      <x:c r="V650">
        <x:f>0</x:f>
        <x:v>0</x:v>
      </x:c>
      <x:c r="W650">
        <x:f>-1.909144</x:f>
        <x:v>-1.909144</x:v>
      </x:c>
      <x:c r="X650">
        <x:f>0</x:f>
        <x:v>0</x:v>
      </x:c>
      <x:c r="Y650">
        <x:f>0</x:f>
        <x:v>0</x:v>
      </x:c>
      <x:c r="Z650">
        <x:f>0</x:f>
        <x:v>0</x:v>
      </x:c>
      <x:c r="AA650">
        <x:f>0</x:f>
        <x:v>0</x:v>
      </x:c>
      <x:c r="AB650">
        <x:f>0</x:f>
        <x:v>0</x:v>
      </x:c>
      <x:c r="AC650">
        <x:f>0</x:f>
        <x:v>0</x:v>
      </x:c>
      <x:c r="AD650">
        <x:f>0</x:f>
        <x:v>0</x:v>
      </x:c>
      <x:c r="AE650">
        <x:f>0</x:f>
        <x:v>0</x:v>
      </x:c>
      <x:c r="AF650">
        <x:f>0</x:f>
        <x:v>0</x:v>
      </x:c>
      <x:c r="AG650">
        <x:f>-0.854136</x:f>
        <x:v>-0.85413600000000001</x:v>
      </x:c>
    </x:row>
    <x:row r="651" spans="1:33" x14ac:dyDescent="0.25">
      <x:c r="A651" t="str">
        <x:f>"            Indexiq Etf Trust-IQ Healthy H"</x:f>
        <x:v xml:space="preserve">            Indexiq Etf Trust-IQ Healthy H</x:v>
      </x:c>
      <x:c r="B651" t="str">
        <x:f>"HART US Equity"</x:f>
        <x:v>HART US Equity</x:v>
      </x:c>
      <x:c r="E651" t="str">
        <x:f t="shared" si="23"/>
        <x:v>Expression</x:v>
      </x:c>
      <x:c r="F651">
        <x:f ca="1">IF(AND($B$1012=1,LEN($F$1643)&gt;0),$F$1643,HLOOKUP(INDIRECT(ADDRESS(2,COLUMN())),OFFSET($T$2,0,0,ROW()-1,14),ROW()-1,FALSE))</x:f>
        <x:v>0</x:v>
      </x:c>
      <x:c r="G651">
        <x:f ca="1">IF(AND($B$1012=1,LEN($G$1643)&gt;0),$G$1643,HLOOKUP(INDIRECT(ADDRESS(2,COLUMN())),OFFSET($T$2,0,0,ROW()-1,14),ROW()-1,FALSE))</x:f>
        <x:v>0</x:v>
      </x:c>
      <x:c r="H651">
        <x:f ca="1">IF(AND($B$1012=1,LEN($H$1643)&gt;0),$H$1643,HLOOKUP(INDIRECT(ADDRESS(2,COLUMN())),OFFSET($T$2,0,0,ROW()-1,14),ROW()-1,FALSE))</x:f>
        <x:v>0</x:v>
      </x:c>
      <x:c r="I651">
        <x:f ca="1">IF(AND($B$1012=1,LEN($I$1643)&gt;0),$I$1643,HLOOKUP(INDIRECT(ADDRESS(2,COLUMN())),OFFSET($T$2,0,0,ROW()-1,14),ROW()-1,FALSE))</x:f>
        <x:v>0</x:v>
      </x:c>
      <x:c r="J651">
        <x:f ca="1">IF(AND($B$1012=1,LEN($J$1643)&gt;0),$J$1643,HLOOKUP(INDIRECT(ADDRESS(2,COLUMN())),OFFSET($T$2,0,0,ROW()-1,14),ROW()-1,FALSE))</x:f>
        <x:v>0</x:v>
      </x:c>
      <x:c r="K651">
        <x:f ca="1">IF(AND($B$1012=1,LEN($K$1643)&gt;0),$K$1643,HLOOKUP(INDIRECT(ADDRESS(2,COLUMN())),OFFSET($T$2,0,0,ROW()-1,14),ROW()-1,FALSE))</x:f>
        <x:v>0</x:v>
      </x:c>
      <x:c r="L651">
        <x:f ca="1">IF(AND($B$1012=1,LEN($L$1643)&gt;0),$L$1643,HLOOKUP(INDIRECT(ADDRESS(2,COLUMN())),OFFSET($T$2,0,0,ROW()-1,14),ROW()-1,FALSE))</x:f>
        <x:v>0</x:v>
      </x:c>
      <x:c r="M651">
        <x:f ca="1">IF(AND($B$1012=1,LEN($M$1643)&gt;0),$M$1643,HLOOKUP(INDIRECT(ADDRESS(2,COLUMN())),OFFSET($T$2,0,0,ROW()-1,14),ROW()-1,FALSE))</x:f>
        <x:v>0</x:v>
      </x:c>
      <x:c r="N651">
        <x:f ca="1">IF(AND($B$1012=1,LEN($N$1643)&gt;0),$N$1643,HLOOKUP(INDIRECT(ADDRESS(2,COLUMN())),OFFSET($T$2,0,0,ROW()-1,14),ROW()-1,FALSE))</x:f>
        <x:v>0</x:v>
      </x:c>
      <x:c r="O651">
        <x:f ca="1">IF(AND($B$1012=1,LEN($O$1643)&gt;0),$O$1643,HLOOKUP(INDIRECT(ADDRESS(2,COLUMN())),OFFSET($T$2,0,0,ROW()-1,14),ROW()-1,FALSE))</x:f>
        <x:v>0</x:v>
      </x:c>
      <x:c r="P651">
        <x:f ca="1">IF(AND($B$1012=1,LEN($P$1643)&gt;0),$P$1643,HLOOKUP(INDIRECT(ADDRESS(2,COLUMN())),OFFSET($T$2,0,0,ROW()-1,14),ROW()-1,FALSE))</x:f>
        <x:v>0</x:v>
      </x:c>
      <x:c r="Q651">
        <x:f ca="1">IF(AND($B$1012=1,LEN($Q$1643)&gt;0),$Q$1643,HLOOKUP(INDIRECT(ADDRESS(2,COLUMN())),OFFSET($T$2,0,0,ROW()-1,14),ROW()-1,FALSE))</x:f>
        <x:v>0</x:v>
      </x:c>
      <x:c r="R651">
        <x:f ca="1">IF(AND($B$1012=1,LEN($R$1643)&gt;0),$R$1643,HLOOKUP(INDIRECT(ADDRESS(2,COLUMN())),OFFSET($T$2,0,0,ROW()-1,14),ROW()-1,FALSE))</x:f>
        <x:v>0</x:v>
      </x:c>
      <x:c r="S651">
        <x:f ca="1">IF(AND($B$1012=1,LEN($S$1643)&gt;0),$S$1643,HLOOKUP(INDIRECT(ADDRESS(2,COLUMN())),OFFSET($T$2,0,0,ROW()-1,14),ROW()-1,FALSE))</x:f>
        <x:v>0</x:v>
      </x:c>
      <x:c r="T651">
        <x:f>0</x:f>
        <x:v>0</x:v>
      </x:c>
      <x:c r="U651">
        <x:f>0</x:f>
        <x:v>0</x:v>
      </x:c>
      <x:c r="V651">
        <x:f>0</x:f>
        <x:v>0</x:v>
      </x:c>
      <x:c r="W651">
        <x:f>0</x:f>
        <x:v>0</x:v>
      </x:c>
      <x:c r="X651">
        <x:f>0</x:f>
        <x:v>0</x:v>
      </x:c>
      <x:c r="Y651">
        <x:f>0</x:f>
        <x:v>0</x:v>
      </x:c>
      <x:c r="Z651">
        <x:f>0</x:f>
        <x:v>0</x:v>
      </x:c>
      <x:c r="AA651">
        <x:f>0</x:f>
        <x:v>0</x:v>
      </x:c>
      <x:c r="AB651">
        <x:f>0</x:f>
        <x:v>0</x:v>
      </x:c>
      <x:c r="AC651">
        <x:f>0</x:f>
        <x:v>0</x:v>
      </x:c>
      <x:c r="AD651">
        <x:f>0</x:f>
        <x:v>0</x:v>
      </x:c>
      <x:c r="AE651">
        <x:f>0</x:f>
        <x:v>0</x:v>
      </x:c>
      <x:c r="AF651">
        <x:f>0</x:f>
        <x:v>0</x:v>
      </x:c>
      <x:c r="AG651">
        <x:f>0</x:f>
        <x:v>0</x:v>
      </x:c>
    </x:row>
    <x:row r="652" spans="1:33" x14ac:dyDescent="0.25">
      <x:c r="A652" t="str">
        <x:f>"            Global X Aging Population ETF"</x:f>
        <x:v xml:space="preserve">            Global X Aging Population ETF</x:v>
      </x:c>
      <x:c r="B652" t="str">
        <x:f>"AGNG US Equity"</x:f>
        <x:v>AGNG US Equity</x:v>
      </x:c>
      <x:c r="E652" t="str">
        <x:f t="shared" si="23"/>
        <x:v>Expression</x:v>
      </x:c>
      <x:c r="F652">
        <x:f ca="1">IF(AND($B$1012=1,LEN($F$1644)&gt;0),$F$1644,HLOOKUP(INDIRECT(ADDRESS(2,COLUMN())),OFFSET($T$2,0,0,ROW()-1,14),ROW()-1,FALSE))</x:f>
        <x:v>0</x:v>
      </x:c>
      <x:c r="G652">
        <x:f ca="1">IF(AND($B$1012=1,LEN($G$1644)&gt;0),$G$1644,HLOOKUP(INDIRECT(ADDRESS(2,COLUMN())),OFFSET($T$2,0,0,ROW()-1,14),ROW()-1,FALSE))</x:f>
        <x:v>2.5489999999999999</x:v>
      </x:c>
      <x:c r="H652">
        <x:f ca="1">IF(AND($B$1012=1,LEN($H$1644)&gt;0),$H$1644,HLOOKUP(INDIRECT(ADDRESS(2,COLUMN())),OFFSET($T$2,0,0,ROW()-1,14),ROW()-1,FALSE))</x:f>
        <x:v>-1.8988</x:v>
      </x:c>
      <x:c r="I652">
        <x:f ca="1">IF(AND($B$1012=1,LEN($I$1644)&gt;0),$I$1644,HLOOKUP(INDIRECT(ADDRESS(2,COLUMN())),OFFSET($T$2,0,0,ROW()-1,14),ROW()-1,FALSE))</x:f>
        <x:v>9.8658000000000001</x:v>
      </x:c>
      <x:c r="J652">
        <x:f ca="1">IF(AND($B$1012=1,LEN($J$1644)&gt;0),$J$1644,HLOOKUP(INDIRECT(ADDRESS(2,COLUMN())),OFFSET($T$2,0,0,ROW()-1,14),ROW()-1,FALSE))</x:f>
        <x:v>0</x:v>
      </x:c>
      <x:c r="K652">
        <x:f ca="1">IF(AND($B$1012=1,LEN($K$1644)&gt;0),$K$1644,HLOOKUP(INDIRECT(ADDRESS(2,COLUMN())),OFFSET($T$2,0,0,ROW()-1,14),ROW()-1,FALSE))</x:f>
        <x:v>-3.3311999999999999</x:v>
      </x:c>
      <x:c r="L652">
        <x:f ca="1">IF(AND($B$1012=1,LEN($L$1644)&gt;0),$L$1644,HLOOKUP(INDIRECT(ADDRESS(2,COLUMN())),OFFSET($T$2,0,0,ROW()-1,14),ROW()-1,FALSE))</x:f>
        <x:v>-15.398099999999999</x:v>
      </x:c>
      <x:c r="M652">
        <x:f ca="1">IF(AND($B$1012=1,LEN($M$1644)&gt;0),$M$1644,HLOOKUP(INDIRECT(ADDRESS(2,COLUMN())),OFFSET($T$2,0,0,ROW()-1,14),ROW()-1,FALSE))</x:f>
        <x:v>-0.84179999999999999</x:v>
      </x:c>
      <x:c r="N652">
        <x:f ca="1">IF(AND($B$1012=1,LEN($N$1644)&gt;0),$N$1644,HLOOKUP(INDIRECT(ADDRESS(2,COLUMN())),OFFSET($T$2,0,0,ROW()-1,14),ROW()-1,FALSE))</x:f>
        <x:v>-0.26119999999999999</x:v>
      </x:c>
      <x:c r="O652">
        <x:f ca="1">IF(AND($B$1012=1,LEN($O$1644)&gt;0),$O$1644,HLOOKUP(INDIRECT(ADDRESS(2,COLUMN())),OFFSET($T$2,0,0,ROW()-1,14),ROW()-1,FALSE))</x:f>
        <x:v>0</x:v>
      </x:c>
      <x:c r="P652">
        <x:f ca="1">IF(AND($B$1012=1,LEN($P$1644)&gt;0),$P$1644,HLOOKUP(INDIRECT(ADDRESS(2,COLUMN())),OFFSET($T$2,0,0,ROW()-1,14),ROW()-1,FALSE))</x:f>
        <x:v>20.765000000000001</x:v>
      </x:c>
      <x:c r="Q652">
        <x:f ca="1">IF(AND($B$1012=1,LEN($Q$1644)&gt;0),$Q$1644,HLOOKUP(INDIRECT(ADDRESS(2,COLUMN())),OFFSET($T$2,0,0,ROW()-1,14),ROW()-1,FALSE))</x:f>
        <x:v>0</x:v>
      </x:c>
      <x:c r="R652">
        <x:f ca="1">IF(AND($B$1012=1,LEN($R$1644)&gt;0),$R$1644,HLOOKUP(INDIRECT(ADDRESS(2,COLUMN())),OFFSET($T$2,0,0,ROW()-1,14),ROW()-1,FALSE))</x:f>
        <x:v>0</x:v>
      </x:c>
      <x:c r="S652">
        <x:f ca="1">IF(AND($B$1012=1,LEN($S$1644)&gt;0),$S$1644,HLOOKUP(INDIRECT(ADDRESS(2,COLUMN())),OFFSET($T$2,0,0,ROW()-1,14),ROW()-1,FALSE))</x:f>
        <x:v>0</x:v>
      </x:c>
      <x:c r="T652">
        <x:f>0</x:f>
        <x:v>0</x:v>
      </x:c>
      <x:c r="U652">
        <x:f>2.549</x:f>
        <x:v>2.5489999999999999</x:v>
      </x:c>
      <x:c r="V652">
        <x:f>-1.8988</x:f>
        <x:v>-1.8988</x:v>
      </x:c>
      <x:c r="W652">
        <x:f>9.8658</x:f>
        <x:v>9.8658000000000001</x:v>
      </x:c>
      <x:c r="X652">
        <x:f>0</x:f>
        <x:v>0</x:v>
      </x:c>
      <x:c r="Y652">
        <x:f>-3.3312</x:f>
        <x:v>-3.3311999999999999</x:v>
      </x:c>
      <x:c r="Z652">
        <x:f>-15.3981</x:f>
        <x:v>-15.398099999999999</x:v>
      </x:c>
      <x:c r="AA652">
        <x:f>-0.8418</x:f>
        <x:v>-0.84179999999999999</x:v>
      </x:c>
      <x:c r="AB652">
        <x:f>-0.2612</x:f>
        <x:v>-0.26119999999999999</x:v>
      </x:c>
      <x:c r="AC652">
        <x:f>0</x:f>
        <x:v>0</x:v>
      </x:c>
      <x:c r="AD652">
        <x:f>20.765</x:f>
        <x:v>20.765000000000001</x:v>
      </x:c>
      <x:c r="AE652">
        <x:f>0</x:f>
        <x:v>0</x:v>
      </x:c>
      <x:c r="AF652">
        <x:f>0</x:f>
        <x:v>0</x:v>
      </x:c>
      <x:c r="AG652">
        <x:f>0</x:f>
        <x:v>0</x:v>
      </x:c>
    </x:row>
    <x:row r="653" spans="1:33" x14ac:dyDescent="0.25">
      <x:c r="A653" t="str">
        <x:f>"            Hartford Longevity Economy ETF"</x:f>
        <x:v xml:space="preserve">            Hartford Longevity Economy ETF</x:v>
      </x:c>
      <x:c r="B653" t="str">
        <x:f>"HLGE US Equity"</x:f>
        <x:v>HLGE US Equity</x:v>
      </x:c>
      <x:c r="E653" t="str">
        <x:f t="shared" si="23"/>
        <x:v>Expression</x:v>
      </x:c>
      <x:c r="F653">
        <x:f ca="1">IF(AND($B$1012=1,LEN($F$1645)&gt;0),$F$1645,HLOOKUP(INDIRECT(ADDRESS(2,COLUMN())),OFFSET($T$2,0,0,ROW()-1,14),ROW()-1,FALSE))</x:f>
        <x:v>0</x:v>
      </x:c>
      <x:c r="G653">
        <x:f ca="1">IF(AND($B$1012=1,LEN($G$1645)&gt;0),$G$1645,HLOOKUP(INDIRECT(ADDRESS(2,COLUMN())),OFFSET($T$2,0,0,ROW()-1,14),ROW()-1,FALSE))</x:f>
        <x:v>0</x:v>
      </x:c>
      <x:c r="H653">
        <x:f ca="1">IF(AND($B$1012=1,LEN($H$1645)&gt;0),$H$1645,HLOOKUP(INDIRECT(ADDRESS(2,COLUMN())),OFFSET($T$2,0,0,ROW()-1,14),ROW()-1,FALSE))</x:f>
        <x:v>0</x:v>
      </x:c>
      <x:c r="I653">
        <x:f ca="1">IF(AND($B$1012=1,LEN($I$1645)&gt;0),$I$1645,HLOOKUP(INDIRECT(ADDRESS(2,COLUMN())),OFFSET($T$2,0,0,ROW()-1,14),ROW()-1,FALSE))</x:f>
        <x:v>0</x:v>
      </x:c>
      <x:c r="J653">
        <x:f ca="1">IF(AND($B$1012=1,LEN($J$1645)&gt;0),$J$1645,HLOOKUP(INDIRECT(ADDRESS(2,COLUMN())),OFFSET($T$2,0,0,ROW()-1,14),ROW()-1,FALSE))</x:f>
        <x:v>0</x:v>
      </x:c>
      <x:c r="K653">
        <x:f ca="1">IF(AND($B$1012=1,LEN($K$1645)&gt;0),$K$1645,HLOOKUP(INDIRECT(ADDRESS(2,COLUMN())),OFFSET($T$2,0,0,ROW()-1,14),ROW()-1,FALSE))</x:f>
        <x:v>0</x:v>
      </x:c>
      <x:c r="L653">
        <x:f ca="1">IF(AND($B$1012=1,LEN($L$1645)&gt;0),$L$1645,HLOOKUP(INDIRECT(ADDRESS(2,COLUMN())),OFFSET($T$2,0,0,ROW()-1,14),ROW()-1,FALSE))</x:f>
        <x:v>0</x:v>
      </x:c>
      <x:c r="M653">
        <x:f ca="1">IF(AND($B$1012=1,LEN($M$1645)&gt;0),$M$1645,HLOOKUP(INDIRECT(ADDRESS(2,COLUMN())),OFFSET($T$2,0,0,ROW()-1,14),ROW()-1,FALSE))</x:f>
        <x:v>0</x:v>
      </x:c>
      <x:c r="N653">
        <x:f ca="1">IF(AND($B$1012=1,LEN($N$1645)&gt;0),$N$1645,HLOOKUP(INDIRECT(ADDRESS(2,COLUMN())),OFFSET($T$2,0,0,ROW()-1,14),ROW()-1,FALSE))</x:f>
        <x:v>0</x:v>
      </x:c>
      <x:c r="O653">
        <x:f ca="1">IF(AND($B$1012=1,LEN($O$1645)&gt;0),$O$1645,HLOOKUP(INDIRECT(ADDRESS(2,COLUMN())),OFFSET($T$2,0,0,ROW()-1,14),ROW()-1,FALSE))</x:f>
        <x:v>0</x:v>
      </x:c>
      <x:c r="P653">
        <x:f ca="1">IF(AND($B$1012=1,LEN($P$1645)&gt;0),$P$1645,HLOOKUP(INDIRECT(ADDRESS(2,COLUMN())),OFFSET($T$2,0,0,ROW()-1,14),ROW()-1,FALSE))</x:f>
        <x:v>1.2126159999999999</x:v>
      </x:c>
      <x:c r="Q653">
        <x:f ca="1">IF(AND($B$1012=1,LEN($Q$1645)&gt;0),$Q$1645,HLOOKUP(INDIRECT(ADDRESS(2,COLUMN())),OFFSET($T$2,0,0,ROW()-1,14),ROW()-1,FALSE))</x:f>
        <x:v>0</x:v>
      </x:c>
      <x:c r="R653">
        <x:f ca="1">IF(AND($B$1012=1,LEN($R$1645)&gt;0),$R$1645,HLOOKUP(INDIRECT(ADDRESS(2,COLUMN())),OFFSET($T$2,0,0,ROW()-1,14),ROW()-1,FALSE))</x:f>
        <x:v>-15.401902</x:v>
      </x:c>
      <x:c r="S653">
        <x:f ca="1">IF(AND($B$1012=1,LEN($S$1645)&gt;0),$S$1645,HLOOKUP(INDIRECT(ADDRESS(2,COLUMN())),OFFSET($T$2,0,0,ROW()-1,14),ROW()-1,FALSE))</x:f>
        <x:v>0</x:v>
      </x:c>
      <x:c r="T653">
        <x:f>0</x:f>
        <x:v>0</x:v>
      </x:c>
      <x:c r="U653">
        <x:f>0</x:f>
        <x:v>0</x:v>
      </x:c>
      <x:c r="V653">
        <x:f>0</x:f>
        <x:v>0</x:v>
      </x:c>
      <x:c r="W653">
        <x:f>0</x:f>
        <x:v>0</x:v>
      </x:c>
      <x:c r="X653">
        <x:f>0</x:f>
        <x:v>0</x:v>
      </x:c>
      <x:c r="Y653">
        <x:f>0</x:f>
        <x:v>0</x:v>
      </x:c>
      <x:c r="Z653">
        <x:f>0</x:f>
        <x:v>0</x:v>
      </x:c>
      <x:c r="AA653">
        <x:f>0</x:f>
        <x:v>0</x:v>
      </x:c>
      <x:c r="AB653">
        <x:f>0</x:f>
        <x:v>0</x:v>
      </x:c>
      <x:c r="AC653">
        <x:f>0</x:f>
        <x:v>0</x:v>
      </x:c>
      <x:c r="AD653">
        <x:f>1.212616</x:f>
        <x:v>1.2126159999999999</x:v>
      </x:c>
      <x:c r="AE653">
        <x:f>0</x:f>
        <x:v>0</x:v>
      </x:c>
      <x:c r="AF653">
        <x:f>-15.401902</x:f>
        <x:v>-15.401902</x:v>
      </x:c>
      <x:c r="AG653">
        <x:f>0</x:f>
        <x:v>0</x:v>
      </x:c>
    </x:row>
    <x:row r="654" spans="1:33" x14ac:dyDescent="0.25">
      <x:c r="A654" t="str">
        <x:f>"            Global X China Biotech Innovat"</x:f>
        <x:v xml:space="preserve">            Global X China Biotech Innovat</x:v>
      </x:c>
      <x:c r="B654" t="str">
        <x:f>"CHB US Equity"</x:f>
        <x:v>CHB US Equity</x:v>
      </x:c>
      <x:c r="E654" t="str">
        <x:f t="shared" si="23"/>
        <x:v>Expression</x:v>
      </x:c>
      <x:c r="F654">
        <x:f ca="1">IF(AND($B$1012=1,LEN($F$1646)&gt;0),$F$1646,HLOOKUP(INDIRECT(ADDRESS(2,COLUMN())),OFFSET($T$2,0,0,ROW()-1,14),ROW()-1,FALSE))</x:f>
        <x:v>0</x:v>
      </x:c>
      <x:c r="G654">
        <x:f ca="1">IF(AND($B$1012=1,LEN($G$1646)&gt;0),$G$1646,HLOOKUP(INDIRECT(ADDRESS(2,COLUMN())),OFFSET($T$2,0,0,ROW()-1,14),ROW()-1,FALSE))</x:f>
        <x:v>0</x:v>
      </x:c>
      <x:c r="H654">
        <x:f ca="1">IF(AND($B$1012=1,LEN($H$1646)&gt;0),$H$1646,HLOOKUP(INDIRECT(ADDRESS(2,COLUMN())),OFFSET($T$2,0,0,ROW()-1,14),ROW()-1,FALSE))</x:f>
        <x:v>0</x:v>
      </x:c>
      <x:c r="I654">
        <x:f ca="1">IF(AND($B$1012=1,LEN($I$1646)&gt;0),$I$1646,HLOOKUP(INDIRECT(ADDRESS(2,COLUMN())),OFFSET($T$2,0,0,ROW()-1,14),ROW()-1,FALSE))</x:f>
        <x:v>0</x:v>
      </x:c>
      <x:c r="J654">
        <x:f ca="1">IF(AND($B$1012=1,LEN($J$1646)&gt;0),$J$1646,HLOOKUP(INDIRECT(ADDRESS(2,COLUMN())),OFFSET($T$2,0,0,ROW()-1,14),ROW()-1,FALSE))</x:f>
        <x:v>0</x:v>
      </x:c>
      <x:c r="K654">
        <x:f ca="1">IF(AND($B$1012=1,LEN($K$1646)&gt;0),$K$1646,HLOOKUP(INDIRECT(ADDRESS(2,COLUMN())),OFFSET($T$2,0,0,ROW()-1,14),ROW()-1,FALSE))</x:f>
        <x:v>0</x:v>
      </x:c>
      <x:c r="L654">
        <x:f ca="1">IF(AND($B$1012=1,LEN($L$1646)&gt;0),$L$1646,HLOOKUP(INDIRECT(ADDRESS(2,COLUMN())),OFFSET($T$2,0,0,ROW()-1,14),ROW()-1,FALSE))</x:f>
        <x:v>0</x:v>
      </x:c>
      <x:c r="M654">
        <x:f ca="1">IF(AND($B$1012=1,LEN($M$1646)&gt;0),$M$1646,HLOOKUP(INDIRECT(ADDRESS(2,COLUMN())),OFFSET($T$2,0,0,ROW()-1,14),ROW()-1,FALSE))</x:f>
        <x:v>0</x:v>
      </x:c>
      <x:c r="N654">
        <x:f ca="1">IF(AND($B$1012=1,LEN($N$1646)&gt;0),$N$1646,HLOOKUP(INDIRECT(ADDRESS(2,COLUMN())),OFFSET($T$2,0,0,ROW()-1,14),ROW()-1,FALSE))</x:f>
        <x:v>0</x:v>
      </x:c>
      <x:c r="O654">
        <x:f ca="1">IF(AND($B$1012=1,LEN($O$1646)&gt;0),$O$1646,HLOOKUP(INDIRECT(ADDRESS(2,COLUMN())),OFFSET($T$2,0,0,ROW()-1,14),ROW()-1,FALSE))</x:f>
        <x:v>0</x:v>
      </x:c>
      <x:c r="P654">
        <x:f ca="1">IF(AND($B$1012=1,LEN($P$1646)&gt;0),$P$1646,HLOOKUP(INDIRECT(ADDRESS(2,COLUMN())),OFFSET($T$2,0,0,ROW()-1,14),ROW()-1,FALSE))</x:f>
        <x:v>0</x:v>
      </x:c>
      <x:c r="Q654">
        <x:f ca="1">IF(AND($B$1012=1,LEN($Q$1646)&gt;0),$Q$1646,HLOOKUP(INDIRECT(ADDRESS(2,COLUMN())),OFFSET($T$2,0,0,ROW()-1,14),ROW()-1,FALSE))</x:f>
        <x:v>0</x:v>
      </x:c>
      <x:c r="R654">
        <x:f ca="1">IF(AND($B$1012=1,LEN($R$1646)&gt;0),$R$1646,HLOOKUP(INDIRECT(ADDRESS(2,COLUMN())),OFFSET($T$2,0,0,ROW()-1,14),ROW()-1,FALSE))</x:f>
        <x:v>0</x:v>
      </x:c>
      <x:c r="S654">
        <x:f ca="1">IF(AND($B$1012=1,LEN($S$1646)&gt;0),$S$1646,HLOOKUP(INDIRECT(ADDRESS(2,COLUMN())),OFFSET($T$2,0,0,ROW()-1,14),ROW()-1,FALSE))</x:f>
        <x:v>0</x:v>
      </x:c>
      <x:c r="T654">
        <x:f>0</x:f>
        <x:v>0</x:v>
      </x:c>
      <x:c r="U654">
        <x:f>0</x:f>
        <x:v>0</x:v>
      </x:c>
      <x:c r="V654">
        <x:f>0</x:f>
        <x:v>0</x:v>
      </x:c>
      <x:c r="W654">
        <x:f>0</x:f>
        <x:v>0</x:v>
      </x:c>
      <x:c r="X654">
        <x:f>0</x:f>
        <x:v>0</x:v>
      </x:c>
      <x:c r="Y654">
        <x:f>0</x:f>
        <x:v>0</x:v>
      </x:c>
      <x:c r="Z654">
        <x:f>0</x:f>
        <x:v>0</x:v>
      </x:c>
      <x:c r="AA654">
        <x:f>0</x:f>
        <x:v>0</x:v>
      </x:c>
      <x:c r="AB654">
        <x:f>0</x:f>
        <x:v>0</x:v>
      </x:c>
      <x:c r="AC654">
        <x:f>0</x:f>
        <x:v>0</x:v>
      </x:c>
      <x:c r="AD654">
        <x:f>0</x:f>
        <x:v>0</x:v>
      </x:c>
      <x:c r="AE654">
        <x:f>0</x:f>
        <x:v>0</x:v>
      </x:c>
      <x:c r="AF654">
        <x:f>0</x:f>
        <x:v>0</x:v>
      </x:c>
      <x:c r="AG654">
        <x:f>0</x:f>
        <x:v>0</x:v>
      </x:c>
    </x:row>
    <x:row r="655" spans="1:33" x14ac:dyDescent="0.25">
      <x:c r="A655" t="str">
        <x:f>"            First Trust Indxx Medical Devi"</x:f>
        <x:v xml:space="preserve">            First Trust Indxx Medical Devi</x:v>
      </x:c>
      <x:c r="B655" t="str">
        <x:f>"MDEV US Equity"</x:f>
        <x:v>MDEV US Equity</x:v>
      </x:c>
      <x:c r="E655" t="str">
        <x:f t="shared" si="23"/>
        <x:v>Expression</x:v>
      </x:c>
      <x:c r="F655">
        <x:f ca="1">IF(AND($B$1012=1,LEN($F$1647)&gt;0),$F$1647,HLOOKUP(INDIRECT(ADDRESS(2,COLUMN())),OFFSET($T$2,0,0,ROW()-1,14),ROW()-1,FALSE))</x:f>
        <x:v>0.85143599999999997</x:v>
      </x:c>
      <x:c r="G655">
        <x:f ca="1">IF(AND($B$1012=1,LEN($G$1647)&gt;0),$G$1647,HLOOKUP(INDIRECT(ADDRESS(2,COLUMN())),OFFSET($T$2,0,0,ROW()-1,14),ROW()-1,FALSE))</x:f>
        <x:v>0</x:v>
      </x:c>
      <x:c r="H655">
        <x:f ca="1">IF(AND($B$1012=1,LEN($H$1647)&gt;0),$H$1647,HLOOKUP(INDIRECT(ADDRESS(2,COLUMN())),OFFSET($T$2,0,0,ROW()-1,14),ROW()-1,FALSE))</x:f>
        <x:v>0</x:v>
      </x:c>
      <x:c r="I655">
        <x:f ca="1">IF(AND($B$1012=1,LEN($I$1647)&gt;0),$I$1647,HLOOKUP(INDIRECT(ADDRESS(2,COLUMN())),OFFSET($T$2,0,0,ROW()-1,14),ROW()-1,FALSE))</x:f>
        <x:v>0</x:v>
      </x:c>
      <x:c r="J655">
        <x:f ca="1">IF(AND($B$1012=1,LEN($J$1647)&gt;0),$J$1647,HLOOKUP(INDIRECT(ADDRESS(2,COLUMN())),OFFSET($T$2,0,0,ROW()-1,14),ROW()-1,FALSE))</x:f>
        <x:v>0</x:v>
      </x:c>
      <x:c r="K655">
        <x:f ca="1">IF(AND($B$1012=1,LEN($K$1647)&gt;0),$K$1647,HLOOKUP(INDIRECT(ADDRESS(2,COLUMN())),OFFSET($T$2,0,0,ROW()-1,14),ROW()-1,FALSE))</x:f>
        <x:v>0</x:v>
      </x:c>
      <x:c r="L655">
        <x:f ca="1">IF(AND($B$1012=1,LEN($L$1647)&gt;0),$L$1647,HLOOKUP(INDIRECT(ADDRESS(2,COLUMN())),OFFSET($T$2,0,0,ROW()-1,14),ROW()-1,FALSE))</x:f>
        <x:v>0</x:v>
      </x:c>
      <x:c r="M655">
        <x:f ca="1">IF(AND($B$1012=1,LEN($M$1647)&gt;0),$M$1647,HLOOKUP(INDIRECT(ADDRESS(2,COLUMN())),OFFSET($T$2,0,0,ROW()-1,14),ROW()-1,FALSE))</x:f>
        <x:v>0</x:v>
      </x:c>
      <x:c r="N655">
        <x:f ca="1">IF(AND($B$1012=1,LEN($N$1647)&gt;0),$N$1647,HLOOKUP(INDIRECT(ADDRESS(2,COLUMN())),OFFSET($T$2,0,0,ROW()-1,14),ROW()-1,FALSE))</x:f>
        <x:v>0</x:v>
      </x:c>
      <x:c r="O655">
        <x:f ca="1">IF(AND($B$1012=1,LEN($O$1647)&gt;0),$O$1647,HLOOKUP(INDIRECT(ADDRESS(2,COLUMN())),OFFSET($T$2,0,0,ROW()-1,14),ROW()-1,FALSE))</x:f>
        <x:v>0</x:v>
      </x:c>
      <x:c r="P655">
        <x:f ca="1">IF(AND($B$1012=1,LEN($P$1647)&gt;0),$P$1647,HLOOKUP(INDIRECT(ADDRESS(2,COLUMN())),OFFSET($T$2,0,0,ROW()-1,14),ROW()-1,FALSE))</x:f>
        <x:v>0</x:v>
      </x:c>
      <x:c r="Q655">
        <x:f ca="1">IF(AND($B$1012=1,LEN($Q$1647)&gt;0),$Q$1647,HLOOKUP(INDIRECT(ADDRESS(2,COLUMN())),OFFSET($T$2,0,0,ROW()-1,14),ROW()-1,FALSE))</x:f>
        <x:v>0</x:v>
      </x:c>
      <x:c r="R655">
        <x:f ca="1">IF(AND($B$1012=1,LEN($R$1647)&gt;0),$R$1647,HLOOKUP(INDIRECT(ADDRESS(2,COLUMN())),OFFSET($T$2,0,0,ROW()-1,14),ROW()-1,FALSE))</x:f>
        <x:v>0</x:v>
      </x:c>
      <x:c r="S655">
        <x:f ca="1">IF(AND($B$1012=1,LEN($S$1647)&gt;0),$S$1647,HLOOKUP(INDIRECT(ADDRESS(2,COLUMN())),OFFSET($T$2,0,0,ROW()-1,14),ROW()-1,FALSE))</x:f>
        <x:v>0</x:v>
      </x:c>
      <x:c r="T655">
        <x:f>0.851436</x:f>
        <x:v>0.85143599999999997</x:v>
      </x:c>
      <x:c r="U655">
        <x:f>0</x:f>
        <x:v>0</x:v>
      </x:c>
      <x:c r="V655">
        <x:f>0</x:f>
        <x:v>0</x:v>
      </x:c>
      <x:c r="W655">
        <x:f>0</x:f>
        <x:v>0</x:v>
      </x:c>
      <x:c r="X655">
        <x:f>0</x:f>
        <x:v>0</x:v>
      </x:c>
      <x:c r="Y655">
        <x:f>0</x:f>
        <x:v>0</x:v>
      </x:c>
      <x:c r="Z655">
        <x:f>0</x:f>
        <x:v>0</x:v>
      </x:c>
      <x:c r="AA655">
        <x:f>0</x:f>
        <x:v>0</x:v>
      </x:c>
      <x:c r="AB655">
        <x:f>0</x:f>
        <x:v>0</x:v>
      </x:c>
      <x:c r="AC655">
        <x:f>0</x:f>
        <x:v>0</x:v>
      </x:c>
      <x:c r="AD655">
        <x:f>0</x:f>
        <x:v>0</x:v>
      </x:c>
      <x:c r="AE655">
        <x:f>0</x:f>
        <x:v>0</x:v>
      </x:c>
      <x:c r="AF655">
        <x:f>0</x:f>
        <x:v>0</x:v>
      </x:c>
      <x:c r="AG655">
        <x:f>0</x:f>
        <x:v>0</x:v>
      </x:c>
    </x:row>
    <x:row r="656" spans="1:33" x14ac:dyDescent="0.25">
      <x:c r="A656" t="str">
        <x:f>"            Wisdomtree BioRevolution Fund"</x:f>
        <x:v xml:space="preserve">            Wisdomtree BioRevolution Fund</x:v>
      </x:c>
      <x:c r="B656" t="str">
        <x:f>"WDNA US Equity"</x:f>
        <x:v>WDNA US Equity</x:v>
      </x:c>
      <x:c r="E656" t="str">
        <x:f t="shared" si="23"/>
        <x:v>Expression</x:v>
      </x:c>
      <x:c r="F656">
        <x:f ca="1">IF(AND($B$1012=1,LEN($F$1648)&gt;0),$F$1648,HLOOKUP(INDIRECT(ADDRESS(2,COLUMN())),OFFSET($T$2,0,0,ROW()-1,14),ROW()-1,FALSE))</x:f>
        <x:v>0</x:v>
      </x:c>
      <x:c r="G656">
        <x:f ca="1">IF(AND($B$1012=1,LEN($G$1648)&gt;0),$G$1648,HLOOKUP(INDIRECT(ADDRESS(2,COLUMN())),OFFSET($T$2,0,0,ROW()-1,14),ROW()-1,FALSE))</x:f>
        <x:v>0</x:v>
      </x:c>
      <x:c r="H656">
        <x:f ca="1">IF(AND($B$1012=1,LEN($H$1648)&gt;0),$H$1648,HLOOKUP(INDIRECT(ADDRESS(2,COLUMN())),OFFSET($T$2,0,0,ROW()-1,14),ROW()-1,FALSE))</x:f>
        <x:v>0</x:v>
      </x:c>
      <x:c r="I656">
        <x:f ca="1">IF(AND($B$1012=1,LEN($I$1648)&gt;0),$I$1648,HLOOKUP(INDIRECT(ADDRESS(2,COLUMN())),OFFSET($T$2,0,0,ROW()-1,14),ROW()-1,FALSE))</x:f>
        <x:v>0</x:v>
      </x:c>
      <x:c r="J656">
        <x:f ca="1">IF(AND($B$1012=1,LEN($J$1648)&gt;0),$J$1648,HLOOKUP(INDIRECT(ADDRESS(2,COLUMN())),OFFSET($T$2,0,0,ROW()-1,14),ROW()-1,FALSE))</x:f>
        <x:v>0</x:v>
      </x:c>
      <x:c r="K656">
        <x:f ca="1">IF(AND($B$1012=1,LEN($K$1648)&gt;0),$K$1648,HLOOKUP(INDIRECT(ADDRESS(2,COLUMN())),OFFSET($T$2,0,0,ROW()-1,14),ROW()-1,FALSE))</x:f>
        <x:v>0</x:v>
      </x:c>
      <x:c r="L656">
        <x:f ca="1">IF(AND($B$1012=1,LEN($L$1648)&gt;0),$L$1648,HLOOKUP(INDIRECT(ADDRESS(2,COLUMN())),OFFSET($T$2,0,0,ROW()-1,14),ROW()-1,FALSE))</x:f>
        <x:v>0</x:v>
      </x:c>
      <x:c r="M656">
        <x:f ca="1">IF(AND($B$1012=1,LEN($M$1648)&gt;0),$M$1648,HLOOKUP(INDIRECT(ADDRESS(2,COLUMN())),OFFSET($T$2,0,0,ROW()-1,14),ROW()-1,FALSE))</x:f>
        <x:v>0</x:v>
      </x:c>
      <x:c r="N656">
        <x:f ca="1">IF(AND($B$1012=1,LEN($N$1648)&gt;0),$N$1648,HLOOKUP(INDIRECT(ADDRESS(2,COLUMN())),OFFSET($T$2,0,0,ROW()-1,14),ROW()-1,FALSE))</x:f>
        <x:v>0</x:v>
      </x:c>
      <x:c r="O656">
        <x:f ca="1">IF(AND($B$1012=1,LEN($O$1648)&gt;0),$O$1648,HLOOKUP(INDIRECT(ADDRESS(2,COLUMN())),OFFSET($T$2,0,0,ROW()-1,14),ROW()-1,FALSE))</x:f>
        <x:v>0</x:v>
      </x:c>
      <x:c r="P656">
        <x:f ca="1">IF(AND($B$1012=1,LEN($P$1648)&gt;0),$P$1648,HLOOKUP(INDIRECT(ADDRESS(2,COLUMN())),OFFSET($T$2,0,0,ROW()-1,14),ROW()-1,FALSE))</x:f>
        <x:v>-1.4646520000000001</x:v>
      </x:c>
      <x:c r="Q656">
        <x:f ca="1">IF(AND($B$1012=1,LEN($Q$1648)&gt;0),$Q$1648,HLOOKUP(INDIRECT(ADDRESS(2,COLUMN())),OFFSET($T$2,0,0,ROW()-1,14),ROW()-1,FALSE))</x:f>
        <x:v>0</x:v>
      </x:c>
      <x:c r="R656">
        <x:f ca="1">IF(AND($B$1012=1,LEN($R$1648)&gt;0),$R$1648,HLOOKUP(INDIRECT(ADDRESS(2,COLUMN())),OFFSET($T$2,0,0,ROW()-1,14),ROW()-1,FALSE))</x:f>
        <x:v>-0.53920900000000005</x:v>
      </x:c>
      <x:c r="S656">
        <x:f ca="1">IF(AND($B$1012=1,LEN($S$1648)&gt;0),$S$1648,HLOOKUP(INDIRECT(ADDRESS(2,COLUMN())),OFFSET($T$2,0,0,ROW()-1,14),ROW()-1,FALSE))</x:f>
        <x:v>0</x:v>
      </x:c>
      <x:c r="T656">
        <x:f>0</x:f>
        <x:v>0</x:v>
      </x:c>
      <x:c r="U656">
        <x:f>0</x:f>
        <x:v>0</x:v>
      </x:c>
      <x:c r="V656">
        <x:f>0</x:f>
        <x:v>0</x:v>
      </x:c>
      <x:c r="W656">
        <x:f>0</x:f>
        <x:v>0</x:v>
      </x:c>
      <x:c r="X656">
        <x:f>0</x:f>
        <x:v>0</x:v>
      </x:c>
      <x:c r="Y656">
        <x:f>0</x:f>
        <x:v>0</x:v>
      </x:c>
      <x:c r="Z656">
        <x:f>0</x:f>
        <x:v>0</x:v>
      </x:c>
      <x:c r="AA656">
        <x:f>0</x:f>
        <x:v>0</x:v>
      </x:c>
      <x:c r="AB656">
        <x:f>0</x:f>
        <x:v>0</x:v>
      </x:c>
      <x:c r="AC656">
        <x:f>0</x:f>
        <x:v>0</x:v>
      </x:c>
      <x:c r="AD656">
        <x:f>-1.464652</x:f>
        <x:v>-1.4646520000000001</x:v>
      </x:c>
      <x:c r="AE656">
        <x:f>0</x:f>
        <x:v>0</x:v>
      </x:c>
      <x:c r="AF656">
        <x:f>-0.539209</x:f>
        <x:v>-0.53920900000000005</x:v>
      </x:c>
      <x:c r="AG656">
        <x:f>0</x:f>
        <x:v>0</x:v>
      </x:c>
    </x:row>
    <x:row r="657" spans="1:33" x14ac:dyDescent="0.25">
      <x:c r="A657" t="str">
        <x:f>"            Apex Healthcare ETF"</x:f>
        <x:v xml:space="preserve">            Apex Healthcare ETF</x:v>
      </x:c>
      <x:c r="B657" t="str">
        <x:f>"APXH US Equity"</x:f>
        <x:v>APXH US Equity</x:v>
      </x:c>
      <x:c r="E657" t="str">
        <x:f t="shared" si="23"/>
        <x:v>Expression</x:v>
      </x:c>
      <x:c r="F657" t="str">
        <x:f ca="1">IF(AND($B$1012=1,LEN($F$1649)&gt;0),$F$1649,HLOOKUP(INDIRECT(ADDRESS(2,COLUMN())),OFFSET($T$2,0,0,ROW()-1,14),ROW()-1,FALSE))</x:f>
        <x:v/>
      </x:c>
      <x:c r="G657" t="str">
        <x:f ca="1">IF(AND($B$1012=1,LEN($G$1649)&gt;0),$G$1649,HLOOKUP(INDIRECT(ADDRESS(2,COLUMN())),OFFSET($T$2,0,0,ROW()-1,14),ROW()-1,FALSE))</x:f>
        <x:v/>
      </x:c>
      <x:c r="H657" t="str">
        <x:f ca="1">IF(AND($B$1012=1,LEN($H$1649)&gt;0),$H$1649,HLOOKUP(INDIRECT(ADDRESS(2,COLUMN())),OFFSET($T$2,0,0,ROW()-1,14),ROW()-1,FALSE))</x:f>
        <x:v/>
      </x:c>
      <x:c r="I657" t="str">
        <x:f ca="1">IF(AND($B$1012=1,LEN($I$1649)&gt;0),$I$1649,HLOOKUP(INDIRECT(ADDRESS(2,COLUMN())),OFFSET($T$2,0,0,ROW()-1,14),ROW()-1,FALSE))</x:f>
        <x:v/>
      </x:c>
      <x:c r="J657" t="str">
        <x:f ca="1">IF(AND($B$1012=1,LEN($J$1649)&gt;0),$J$1649,HLOOKUP(INDIRECT(ADDRESS(2,COLUMN())),OFFSET($T$2,0,0,ROW()-1,14),ROW()-1,FALSE))</x:f>
        <x:v/>
      </x:c>
      <x:c r="K657" t="str">
        <x:f ca="1">IF(AND($B$1012=1,LEN($K$1649)&gt;0),$K$1649,HLOOKUP(INDIRECT(ADDRESS(2,COLUMN())),OFFSET($T$2,0,0,ROW()-1,14),ROW()-1,FALSE))</x:f>
        <x:v/>
      </x:c>
      <x:c r="L657" t="str">
        <x:f ca="1">IF(AND($B$1012=1,LEN($L$1649)&gt;0),$L$1649,HLOOKUP(INDIRECT(ADDRESS(2,COLUMN())),OFFSET($T$2,0,0,ROW()-1,14),ROW()-1,FALSE))</x:f>
        <x:v/>
      </x:c>
      <x:c r="M657" t="str">
        <x:f ca="1">IF(AND($B$1012=1,LEN($M$1649)&gt;0),$M$1649,HLOOKUP(INDIRECT(ADDRESS(2,COLUMN())),OFFSET($T$2,0,0,ROW()-1,14),ROW()-1,FALSE))</x:f>
        <x:v/>
      </x:c>
      <x:c r="N657" t="str">
        <x:f ca="1">IF(AND($B$1012=1,LEN($N$1649)&gt;0),$N$1649,HLOOKUP(INDIRECT(ADDRESS(2,COLUMN())),OFFSET($T$2,0,0,ROW()-1,14),ROW()-1,FALSE))</x:f>
        <x:v/>
      </x:c>
      <x:c r="O657" t="str">
        <x:f ca="1">IF(AND($B$1012=1,LEN($O$1649)&gt;0),$O$1649,HLOOKUP(INDIRECT(ADDRESS(2,COLUMN())),OFFSET($T$2,0,0,ROW()-1,14),ROW()-1,FALSE))</x:f>
        <x:v/>
      </x:c>
      <x:c r="P657">
        <x:f ca="1">IF(AND($B$1012=1,LEN($P$1649)&gt;0),$P$1649,HLOOKUP(INDIRECT(ADDRESS(2,COLUMN())),OFFSET($T$2,0,0,ROW()-1,14),ROW()-1,FALSE))</x:f>
        <x:v>0</x:v>
      </x:c>
      <x:c r="Q657">
        <x:f ca="1">IF(AND($B$1012=1,LEN($Q$1649)&gt;0),$Q$1649,HLOOKUP(INDIRECT(ADDRESS(2,COLUMN())),OFFSET($T$2,0,0,ROW()-1,14),ROW()-1,FALSE))</x:f>
        <x:v>0</x:v>
      </x:c>
      <x:c r="R657">
        <x:f ca="1">IF(AND($B$1012=1,LEN($R$1649)&gt;0),$R$1649,HLOOKUP(INDIRECT(ADDRESS(2,COLUMN())),OFFSET($T$2,0,0,ROW()-1,14),ROW()-1,FALSE))</x:f>
        <x:v>-2.8534999999999999</x:v>
      </x:c>
      <x:c r="S657">
        <x:f ca="1">IF(AND($B$1012=1,LEN($S$1649)&gt;0),$S$1649,HLOOKUP(INDIRECT(ADDRESS(2,COLUMN())),OFFSET($T$2,0,0,ROW()-1,14),ROW()-1,FALSE))</x:f>
        <x:v>0</x:v>
      </x:c>
      <x:c r="T657" t="str">
        <x:f>""</x:f>
        <x:v/>
      </x:c>
      <x:c r="U657" t="str">
        <x:f>""</x:f>
        <x:v/>
      </x:c>
      <x:c r="V657" t="str">
        <x:f>""</x:f>
        <x:v/>
      </x:c>
      <x:c r="W657" t="str">
        <x:f>""</x:f>
        <x:v/>
      </x:c>
      <x:c r="X657" t="str">
        <x:f>""</x:f>
        <x:v/>
      </x:c>
      <x:c r="Y657" t="str">
        <x:f>""</x:f>
        <x:v/>
      </x:c>
      <x:c r="Z657" t="str">
        <x:f>""</x:f>
        <x:v/>
      </x:c>
      <x:c r="AA657" t="str">
        <x:f>""</x:f>
        <x:v/>
      </x:c>
      <x:c r="AB657" t="str">
        <x:f>""</x:f>
        <x:v/>
      </x:c>
      <x:c r="AC657" t="str">
        <x:f>""</x:f>
        <x:v/>
      </x:c>
      <x:c r="AD657">
        <x:f>0</x:f>
        <x:v>0</x:v>
      </x:c>
      <x:c r="AE657">
        <x:f>0</x:f>
        <x:v>0</x:v>
      </x:c>
      <x:c r="AF657">
        <x:f>-2.8535</x:f>
        <x:v>-2.8534999999999999</x:v>
      </x:c>
      <x:c r="AG657">
        <x:f>0</x:f>
        <x:v>0</x:v>
      </x:c>
    </x:row>
    <x:row r="658" spans="1:33" x14ac:dyDescent="0.25">
      <x:c r="A658" t="str">
        <x:f>"            Goldman Sachs Future Health Ca"</x:f>
        <x:v xml:space="preserve">            Goldman Sachs Future Health Ca</x:v>
      </x:c>
      <x:c r="B658" t="str">
        <x:f>"GDOC US Equity"</x:f>
        <x:v>GDOC US Equity</x:v>
      </x:c>
      <x:c r="E658" t="str">
        <x:f t="shared" si="23"/>
        <x:v>Expression</x:v>
      </x:c>
      <x:c r="F658">
        <x:f ca="1">IF(AND($B$1012=1,LEN($F$1650)&gt;0),$F$1650,HLOOKUP(INDIRECT(ADDRESS(2,COLUMN())),OFFSET($T$2,0,0,ROW()-1,14),ROW()-1,FALSE))</x:f>
        <x:v>-74.123599999999996</x:v>
      </x:c>
      <x:c r="G658">
        <x:f ca="1">IF(AND($B$1012=1,LEN($G$1650)&gt;0),$G$1650,HLOOKUP(INDIRECT(ADDRESS(2,COLUMN())),OFFSET($T$2,0,0,ROW()-1,14),ROW()-1,FALSE))</x:f>
        <x:v>-2.1896080000000002</x:v>
      </x:c>
      <x:c r="H658">
        <x:f ca="1">IF(AND($B$1012=1,LEN($H$1650)&gt;0),$H$1650,HLOOKUP(INDIRECT(ADDRESS(2,COLUMN())),OFFSET($T$2,0,0,ROW()-1,14),ROW()-1,FALSE))</x:f>
        <x:v>0</x:v>
      </x:c>
      <x:c r="I658">
        <x:f ca="1">IF(AND($B$1012=1,LEN($I$1650)&gt;0),$I$1650,HLOOKUP(INDIRECT(ADDRESS(2,COLUMN())),OFFSET($T$2,0,0,ROW()-1,14),ROW()-1,FALSE))</x:f>
        <x:v>0</x:v>
      </x:c>
      <x:c r="J658">
        <x:f ca="1">IF(AND($B$1012=1,LEN($J$1650)&gt;0),$J$1650,HLOOKUP(INDIRECT(ADDRESS(2,COLUMN())),OFFSET($T$2,0,0,ROW()-1,14),ROW()-1,FALSE))</x:f>
        <x:v>1.6645289999999999</x:v>
      </x:c>
      <x:c r="K658">
        <x:f ca="1">IF(AND($B$1012=1,LEN($K$1650)&gt;0),$K$1650,HLOOKUP(INDIRECT(ADDRESS(2,COLUMN())),OFFSET($T$2,0,0,ROW()-1,14),ROW()-1,FALSE))</x:f>
        <x:v>2.501341</x:v>
      </x:c>
      <x:c r="L658">
        <x:f ca="1">IF(AND($B$1012=1,LEN($L$1650)&gt;0),$L$1650,HLOOKUP(INDIRECT(ADDRESS(2,COLUMN())),OFFSET($T$2,0,0,ROW()-1,14),ROW()-1,FALSE))</x:f>
        <x:v>0</x:v>
      </x:c>
      <x:c r="M658">
        <x:f ca="1">IF(AND($B$1012=1,LEN($M$1650)&gt;0),$M$1650,HLOOKUP(INDIRECT(ADDRESS(2,COLUMN())),OFFSET($T$2,0,0,ROW()-1,14),ROW()-1,FALSE))</x:f>
        <x:v>0</x:v>
      </x:c>
      <x:c r="N658">
        <x:f ca="1">IF(AND($B$1012=1,LEN($N$1650)&gt;0),$N$1650,HLOOKUP(INDIRECT(ADDRESS(2,COLUMN())),OFFSET($T$2,0,0,ROW()-1,14),ROW()-1,FALSE))</x:f>
        <x:v>0</x:v>
      </x:c>
      <x:c r="O658">
        <x:f ca="1">IF(AND($B$1012=1,LEN($O$1650)&gt;0),$O$1650,HLOOKUP(INDIRECT(ADDRESS(2,COLUMN())),OFFSET($T$2,0,0,ROW()-1,14),ROW()-1,FALSE))</x:f>
        <x:v>0</x:v>
      </x:c>
      <x:c r="P658">
        <x:f ca="1">IF(AND($B$1012=1,LEN($P$1650)&gt;0),$P$1650,HLOOKUP(INDIRECT(ADDRESS(2,COLUMN())),OFFSET($T$2,0,0,ROW()-1,14),ROW()-1,FALSE))</x:f>
        <x:v>1.5954090000000001</x:v>
      </x:c>
      <x:c r="Q658">
        <x:f ca="1">IF(AND($B$1012=1,LEN($Q$1650)&gt;0),$Q$1650,HLOOKUP(INDIRECT(ADDRESS(2,COLUMN())),OFFSET($T$2,0,0,ROW()-1,14),ROW()-1,FALSE))</x:f>
        <x:v>-3.8976489999999999</x:v>
      </x:c>
      <x:c r="R658">
        <x:f ca="1">IF(AND($B$1012=1,LEN($R$1650)&gt;0),$R$1650,HLOOKUP(INDIRECT(ADDRESS(2,COLUMN())),OFFSET($T$2,0,0,ROW()-1,14),ROW()-1,FALSE))</x:f>
        <x:v>0</x:v>
      </x:c>
      <x:c r="S658">
        <x:f ca="1">IF(AND($B$1012=1,LEN($S$1650)&gt;0),$S$1650,HLOOKUP(INDIRECT(ADDRESS(2,COLUMN())),OFFSET($T$2,0,0,ROW()-1,14),ROW()-1,FALSE))</x:f>
        <x:v>0</x:v>
      </x:c>
      <x:c r="T658">
        <x:f>-74.1236</x:f>
        <x:v>-74.123599999999996</x:v>
      </x:c>
      <x:c r="U658">
        <x:f>-2.189608</x:f>
        <x:v>-2.1896080000000002</x:v>
      </x:c>
      <x:c r="V658">
        <x:f>0</x:f>
        <x:v>0</x:v>
      </x:c>
      <x:c r="W658">
        <x:f>0</x:f>
        <x:v>0</x:v>
      </x:c>
      <x:c r="X658">
        <x:f>1.664529</x:f>
        <x:v>1.6645289999999999</x:v>
      </x:c>
      <x:c r="Y658">
        <x:f>2.501341</x:f>
        <x:v>2.501341</x:v>
      </x:c>
      <x:c r="Z658">
        <x:f>0</x:f>
        <x:v>0</x:v>
      </x:c>
      <x:c r="AA658">
        <x:f>0</x:f>
        <x:v>0</x:v>
      </x:c>
      <x:c r="AB658">
        <x:f>0</x:f>
        <x:v>0</x:v>
      </x:c>
      <x:c r="AC658">
        <x:f>0</x:f>
        <x:v>0</x:v>
      </x:c>
      <x:c r="AD658">
        <x:f>1.595409</x:f>
        <x:v>1.5954090000000001</x:v>
      </x:c>
      <x:c r="AE658">
        <x:f>-3.897649</x:f>
        <x:v>-3.8976489999999999</x:v>
      </x:c>
      <x:c r="AF658">
        <x:f>0</x:f>
        <x:v>0</x:v>
      </x:c>
      <x:c r="AG658">
        <x:f>0</x:f>
        <x:v>0</x:v>
      </x:c>
    </x:row>
    <x:row r="659" spans="1:33" x14ac:dyDescent="0.25">
      <x:c r="A659" t="str">
        <x:f>"            Simplify Health Care ETF"</x:f>
        <x:v xml:space="preserve">            Simplify Health Care ETF</x:v>
      </x:c>
      <x:c r="B659" t="str">
        <x:f>"PINK US Equity"</x:f>
        <x:v>PINK US Equity</x:v>
      </x:c>
      <x:c r="E659" t="str">
        <x:f t="shared" si="23"/>
        <x:v>Expression</x:v>
      </x:c>
      <x:c r="F659">
        <x:f ca="1">IF(AND($B$1012=1,LEN($F$1651)&gt;0),$F$1651,HLOOKUP(INDIRECT(ADDRESS(2,COLUMN())),OFFSET($T$2,0,0,ROW()-1,14),ROW()-1,FALSE))</x:f>
        <x:v>-0.61008899999999999</x:v>
      </x:c>
      <x:c r="G659">
        <x:f ca="1">IF(AND($B$1012=1,LEN($G$1651)&gt;0),$G$1651,HLOOKUP(INDIRECT(ADDRESS(2,COLUMN())),OFFSET($T$2,0,0,ROW()-1,14),ROW()-1,FALSE))</x:f>
        <x:v>-1.8671180000000001</x:v>
      </x:c>
      <x:c r="H659">
        <x:f ca="1">IF(AND($B$1012=1,LEN($H$1651)&gt;0),$H$1651,HLOOKUP(INDIRECT(ADDRESS(2,COLUMN())),OFFSET($T$2,0,0,ROW()-1,14),ROW()-1,FALSE))</x:f>
        <x:v>-17.906040999999998</x:v>
      </x:c>
      <x:c r="I659">
        <x:f ca="1">IF(AND($B$1012=1,LEN($I$1651)&gt;0),$I$1651,HLOOKUP(INDIRECT(ADDRESS(2,COLUMN())),OFFSET($T$2,0,0,ROW()-1,14),ROW()-1,FALSE))</x:f>
        <x:v>5.925878</x:v>
      </x:c>
      <x:c r="J659">
        <x:f ca="1">IF(AND($B$1012=1,LEN($J$1651)&gt;0),$J$1651,HLOOKUP(INDIRECT(ADDRESS(2,COLUMN())),OFFSET($T$2,0,0,ROW()-1,14),ROW()-1,FALSE))</x:f>
        <x:v>11.735010000000001</x:v>
      </x:c>
      <x:c r="K659">
        <x:f ca="1">IF(AND($B$1012=1,LEN($K$1651)&gt;0),$K$1651,HLOOKUP(INDIRECT(ADDRESS(2,COLUMN())),OFFSET($T$2,0,0,ROW()-1,14),ROW()-1,FALSE))</x:f>
        <x:v>-2.422139</x:v>
      </x:c>
      <x:c r="L659">
        <x:f ca="1">IF(AND($B$1012=1,LEN($L$1651)&gt;0),$L$1651,HLOOKUP(INDIRECT(ADDRESS(2,COLUMN())),OFFSET($T$2,0,0,ROW()-1,14),ROW()-1,FALSE))</x:f>
        <x:v>9.2388370000000002</x:v>
      </x:c>
      <x:c r="M659">
        <x:f ca="1">IF(AND($B$1012=1,LEN($M$1651)&gt;0),$M$1651,HLOOKUP(INDIRECT(ADDRESS(2,COLUMN())),OFFSET($T$2,0,0,ROW()-1,14),ROW()-1,FALSE))</x:f>
        <x:v>7.7723240000000002</x:v>
      </x:c>
      <x:c r="N659">
        <x:f ca="1">IF(AND($B$1012=1,LEN($N$1651)&gt;0),$N$1651,HLOOKUP(INDIRECT(ADDRESS(2,COLUMN())),OFFSET($T$2,0,0,ROW()-1,14),ROW()-1,FALSE))</x:f>
        <x:v>-0.61302800000000002</x:v>
      </x:c>
      <x:c r="O659">
        <x:f ca="1">IF(AND($B$1012=1,LEN($O$1651)&gt;0),$O$1651,HLOOKUP(INDIRECT(ADDRESS(2,COLUMN())),OFFSET($T$2,0,0,ROW()-1,14),ROW()-1,FALSE))</x:f>
        <x:v>-9.0992840000000008</x:v>
      </x:c>
      <x:c r="P659">
        <x:f ca="1">IF(AND($B$1012=1,LEN($P$1651)&gt;0),$P$1651,HLOOKUP(INDIRECT(ADDRESS(2,COLUMN())),OFFSET($T$2,0,0,ROW()-1,14),ROW()-1,FALSE))</x:f>
        <x:v>-3.1692200000000001</x:v>
      </x:c>
      <x:c r="Q659">
        <x:f ca="1">IF(AND($B$1012=1,LEN($Q$1651)&gt;0),$Q$1651,HLOOKUP(INDIRECT(ADDRESS(2,COLUMN())),OFFSET($T$2,0,0,ROW()-1,14),ROW()-1,FALSE))</x:f>
        <x:v>7.3810159999999998</x:v>
      </x:c>
      <x:c r="R659">
        <x:f ca="1">IF(AND($B$1012=1,LEN($R$1651)&gt;0),$R$1651,HLOOKUP(INDIRECT(ADDRESS(2,COLUMN())),OFFSET($T$2,0,0,ROW()-1,14),ROW()-1,FALSE))</x:f>
        <x:v>5.2595890000000001</x:v>
      </x:c>
      <x:c r="S659">
        <x:f ca="1">IF(AND($B$1012=1,LEN($S$1651)&gt;0),$S$1651,HLOOKUP(INDIRECT(ADDRESS(2,COLUMN())),OFFSET($T$2,0,0,ROW()-1,14),ROW()-1,FALSE))</x:f>
        <x:v>-7.4367919999999996</x:v>
      </x:c>
      <x:c r="T659">
        <x:f>-0.610089</x:f>
        <x:v>-0.61008899999999999</x:v>
      </x:c>
      <x:c r="U659">
        <x:f>-1.867118</x:f>
        <x:v>-1.8671180000000001</x:v>
      </x:c>
      <x:c r="V659">
        <x:f>-17.906041</x:f>
        <x:v>-17.906040999999998</x:v>
      </x:c>
      <x:c r="W659">
        <x:f>5.925878</x:f>
        <x:v>5.925878</x:v>
      </x:c>
      <x:c r="X659">
        <x:f>11.73501</x:f>
        <x:v>11.735010000000001</x:v>
      </x:c>
      <x:c r="Y659">
        <x:f>-2.422139</x:f>
        <x:v>-2.422139</x:v>
      </x:c>
      <x:c r="Z659">
        <x:f>9.238837</x:f>
        <x:v>9.2388370000000002</x:v>
      </x:c>
      <x:c r="AA659">
        <x:f>7.772324</x:f>
        <x:v>7.7723240000000002</x:v>
      </x:c>
      <x:c r="AB659">
        <x:f>-0.613028</x:f>
        <x:v>-0.61302800000000002</x:v>
      </x:c>
      <x:c r="AC659">
        <x:f>-9.099284</x:f>
        <x:v>-9.0992840000000008</x:v>
      </x:c>
      <x:c r="AD659">
        <x:f>-3.16922</x:f>
        <x:v>-3.1692200000000001</x:v>
      </x:c>
      <x:c r="AE659">
        <x:f>7.381016</x:f>
        <x:v>7.3810159999999998</x:v>
      </x:c>
      <x:c r="AF659">
        <x:f>5.259589</x:f>
        <x:v>5.2595890000000001</x:v>
      </x:c>
      <x:c r="AG659">
        <x:f>-7.436792</x:f>
        <x:v>-7.4367919999999996</x:v>
      </x:c>
    </x:row>
    <x:row r="660" spans="1:33" x14ac:dyDescent="0.25">
      <x:c r="A660" t="str">
        <x:f>"            Direxion mRNA ETF"</x:f>
        <x:v xml:space="preserve">            Direxion mRNA ETF</x:v>
      </x:c>
      <x:c r="B660" t="str">
        <x:f>"MSGR US Equity"</x:f>
        <x:v>MSGR US Equity</x:v>
      </x:c>
      <x:c r="E660" t="str">
        <x:f t="shared" si="23"/>
        <x:v>Expression</x:v>
      </x:c>
      <x:c r="F660" t="str">
        <x:f ca="1">IF(AND($B$1012=1,LEN($F$1652)&gt;0),$F$1652,HLOOKUP(INDIRECT(ADDRESS(2,COLUMN())),OFFSET($T$2,0,0,ROW()-1,14),ROW()-1,FALSE))</x:f>
        <x:v/>
      </x:c>
      <x:c r="G660" t="str">
        <x:f ca="1">IF(AND($B$1012=1,LEN($G$1652)&gt;0),$G$1652,HLOOKUP(INDIRECT(ADDRESS(2,COLUMN())),OFFSET($T$2,0,0,ROW()-1,14),ROW()-1,FALSE))</x:f>
        <x:v/>
      </x:c>
      <x:c r="H660" t="str">
        <x:f ca="1">IF(AND($B$1012=1,LEN($H$1652)&gt;0),$H$1652,HLOOKUP(INDIRECT(ADDRESS(2,COLUMN())),OFFSET($T$2,0,0,ROW()-1,14),ROW()-1,FALSE))</x:f>
        <x:v/>
      </x:c>
      <x:c r="I660" t="str">
        <x:f ca="1">IF(AND($B$1012=1,LEN($I$1652)&gt;0),$I$1652,HLOOKUP(INDIRECT(ADDRESS(2,COLUMN())),OFFSET($T$2,0,0,ROW()-1,14),ROW()-1,FALSE))</x:f>
        <x:v/>
      </x:c>
      <x:c r="J660" t="str">
        <x:f ca="1">IF(AND($B$1012=1,LEN($J$1652)&gt;0),$J$1652,HLOOKUP(INDIRECT(ADDRESS(2,COLUMN())),OFFSET($T$2,0,0,ROW()-1,14),ROW()-1,FALSE))</x:f>
        <x:v/>
      </x:c>
      <x:c r="K660" t="str">
        <x:f ca="1">IF(AND($B$1012=1,LEN($K$1652)&gt;0),$K$1652,HLOOKUP(INDIRECT(ADDRESS(2,COLUMN())),OFFSET($T$2,0,0,ROW()-1,14),ROW()-1,FALSE))</x:f>
        <x:v/>
      </x:c>
      <x:c r="L660" t="str">
        <x:f ca="1">IF(AND($B$1012=1,LEN($L$1652)&gt;0),$L$1652,HLOOKUP(INDIRECT(ADDRESS(2,COLUMN())),OFFSET($T$2,0,0,ROW()-1,14),ROW()-1,FALSE))</x:f>
        <x:v/>
      </x:c>
      <x:c r="M660">
        <x:f ca="1">IF(AND($B$1012=1,LEN($M$1652)&gt;0),$M$1652,HLOOKUP(INDIRECT(ADDRESS(2,COLUMN())),OFFSET($T$2,0,0,ROW()-1,14),ROW()-1,FALSE))</x:f>
        <x:v>0</x:v>
      </x:c>
      <x:c r="N660">
        <x:f ca="1">IF(AND($B$1012=1,LEN($N$1652)&gt;0),$N$1652,HLOOKUP(INDIRECT(ADDRESS(2,COLUMN())),OFFSET($T$2,0,0,ROW()-1,14),ROW()-1,FALSE))</x:f>
        <x:v>0.33906799999999998</x:v>
      </x:c>
      <x:c r="O660">
        <x:f ca="1">IF(AND($B$1012=1,LEN($O$1652)&gt;0),$O$1652,HLOOKUP(INDIRECT(ADDRESS(2,COLUMN())),OFFSET($T$2,0,0,ROW()-1,14),ROW()-1,FALSE))</x:f>
        <x:v>-1.140055</x:v>
      </x:c>
      <x:c r="P660">
        <x:f ca="1">IF(AND($B$1012=1,LEN($P$1652)&gt;0),$P$1652,HLOOKUP(INDIRECT(ADDRESS(2,COLUMN())),OFFSET($T$2,0,0,ROW()-1,14),ROW()-1,FALSE))</x:f>
        <x:v>-0.386291</x:v>
      </x:c>
      <x:c r="Q660">
        <x:f ca="1">IF(AND($B$1012=1,LEN($Q$1652)&gt;0),$Q$1652,HLOOKUP(INDIRECT(ADDRESS(2,COLUMN())),OFFSET($T$2,0,0,ROW()-1,14),ROW()-1,FALSE))</x:f>
        <x:v>1.0945579999999999</x:v>
      </x:c>
      <x:c r="R660">
        <x:f ca="1">IF(AND($B$1012=1,LEN($R$1652)&gt;0),$R$1652,HLOOKUP(INDIRECT(ADDRESS(2,COLUMN())),OFFSET($T$2,0,0,ROW()-1,14),ROW()-1,FALSE))</x:f>
        <x:v>-0.35719899999999999</x:v>
      </x:c>
      <x:c r="S660">
        <x:f ca="1">IF(AND($B$1012=1,LEN($S$1652)&gt;0),$S$1652,HLOOKUP(INDIRECT(ADDRESS(2,COLUMN())),OFFSET($T$2,0,0,ROW()-1,14),ROW()-1,FALSE))</x:f>
        <x:v>0</x:v>
      </x:c>
      <x:c r="T660" t="str">
        <x:f>""</x:f>
        <x:v/>
      </x:c>
      <x:c r="U660" t="str">
        <x:f>""</x:f>
        <x:v/>
      </x:c>
      <x:c r="V660" t="str">
        <x:f>""</x:f>
        <x:v/>
      </x:c>
      <x:c r="W660" t="str">
        <x:f>""</x:f>
        <x:v/>
      </x:c>
      <x:c r="X660" t="str">
        <x:f>""</x:f>
        <x:v/>
      </x:c>
      <x:c r="Y660" t="str">
        <x:f>""</x:f>
        <x:v/>
      </x:c>
      <x:c r="Z660" t="str">
        <x:f>""</x:f>
        <x:v/>
      </x:c>
      <x:c r="AA660">
        <x:f>0</x:f>
        <x:v>0</x:v>
      </x:c>
      <x:c r="AB660">
        <x:f>0.339068</x:f>
        <x:v>0.33906799999999998</x:v>
      </x:c>
      <x:c r="AC660">
        <x:f>-1.140055</x:f>
        <x:v>-1.140055</x:v>
      </x:c>
      <x:c r="AD660">
        <x:f>-0.386291</x:f>
        <x:v>-0.386291</x:v>
      </x:c>
      <x:c r="AE660">
        <x:f>1.094558</x:f>
        <x:v>1.0945579999999999</x:v>
      </x:c>
      <x:c r="AF660">
        <x:f>-0.357199</x:f>
        <x:v>-0.35719899999999999</x:v>
      </x:c>
      <x:c r="AG660">
        <x:f>0</x:f>
        <x:v>0</x:v>
      </x:c>
    </x:row>
    <x:row r="661" spans="1:33" x14ac:dyDescent="0.25">
      <x:c r="A661" t="str">
        <x:f>"            Kelly CRISPR &amp; Gene Editing Te"</x:f>
        <x:v xml:space="preserve">            Kelly CRISPR &amp; Gene Editing Te</x:v>
      </x:c>
      <x:c r="B661" t="str">
        <x:f>"XDNA US Equity"</x:f>
        <x:v>XDNA US Equity</x:v>
      </x:c>
      <x:c r="E661" t="str">
        <x:f t="shared" si="23"/>
        <x:v>Expression</x:v>
      </x:c>
      <x:c r="F661">
        <x:f ca="1">IF(AND($B$1012=1,LEN($F$1653)&gt;0),$F$1653,HLOOKUP(INDIRECT(ADDRESS(2,COLUMN())),OFFSET($T$2,0,0,ROW()-1,14),ROW()-1,FALSE))</x:f>
        <x:v>0.34876699999999999</x:v>
      </x:c>
      <x:c r="G661">
        <x:f ca="1">IF(AND($B$1012=1,LEN($G$1653)&gt;0),$G$1653,HLOOKUP(INDIRECT(ADDRESS(2,COLUMN())),OFFSET($T$2,0,0,ROW()-1,14),ROW()-1,FALSE))</x:f>
        <x:v>0</x:v>
      </x:c>
      <x:c r="H661">
        <x:f ca="1">IF(AND($B$1012=1,LEN($H$1653)&gt;0),$H$1653,HLOOKUP(INDIRECT(ADDRESS(2,COLUMN())),OFFSET($T$2,0,0,ROW()-1,14),ROW()-1,FALSE))</x:f>
        <x:v>0</x:v>
      </x:c>
      <x:c r="I661">
        <x:f ca="1">IF(AND($B$1012=1,LEN($I$1653)&gt;0),$I$1653,HLOOKUP(INDIRECT(ADDRESS(2,COLUMN())),OFFSET($T$2,0,0,ROW()-1,14),ROW()-1,FALSE))</x:f>
        <x:v>0.20491500000000001</x:v>
      </x:c>
      <x:c r="J661">
        <x:f ca="1">IF(AND($B$1012=1,LEN($J$1653)&gt;0),$J$1653,HLOOKUP(INDIRECT(ADDRESS(2,COLUMN())),OFFSET($T$2,0,0,ROW()-1,14),ROW()-1,FALSE))</x:f>
        <x:v>0</x:v>
      </x:c>
      <x:c r="K661">
        <x:f ca="1">IF(AND($B$1012=1,LEN($K$1653)&gt;0),$K$1653,HLOOKUP(INDIRECT(ADDRESS(2,COLUMN())),OFFSET($T$2,0,0,ROW()-1,14),ROW()-1,FALSE))</x:f>
        <x:v>0</x:v>
      </x:c>
      <x:c r="L661">
        <x:f ca="1">IF(AND($B$1012=1,LEN($L$1653)&gt;0),$L$1653,HLOOKUP(INDIRECT(ADDRESS(2,COLUMN())),OFFSET($T$2,0,0,ROW()-1,14),ROW()-1,FALSE))</x:f>
        <x:v>0.23777999999999999</x:v>
      </x:c>
      <x:c r="M661">
        <x:f ca="1">IF(AND($B$1012=1,LEN($M$1653)&gt;0),$M$1653,HLOOKUP(INDIRECT(ADDRESS(2,COLUMN())),OFFSET($T$2,0,0,ROW()-1,14),ROW()-1,FALSE))</x:f>
        <x:v>0</x:v>
      </x:c>
      <x:c r="N661">
        <x:f ca="1">IF(AND($B$1012=1,LEN($N$1653)&gt;0),$N$1653,HLOOKUP(INDIRECT(ADDRESS(2,COLUMN())),OFFSET($T$2,0,0,ROW()-1,14),ROW()-1,FALSE))</x:f>
        <x:v>0</x:v>
      </x:c>
      <x:c r="O661">
        <x:f ca="1">IF(AND($B$1012=1,LEN($O$1653)&gt;0),$O$1653,HLOOKUP(INDIRECT(ADDRESS(2,COLUMN())),OFFSET($T$2,0,0,ROW()-1,14),ROW()-1,FALSE))</x:f>
        <x:v>0</x:v>
      </x:c>
      <x:c r="P661">
        <x:f ca="1">IF(AND($B$1012=1,LEN($P$1653)&gt;0),$P$1653,HLOOKUP(INDIRECT(ADDRESS(2,COLUMN())),OFFSET($T$2,0,0,ROW()-1,14),ROW()-1,FALSE))</x:f>
        <x:v>0</x:v>
      </x:c>
      <x:c r="Q661">
        <x:f ca="1">IF(AND($B$1012=1,LEN($Q$1653)&gt;0),$Q$1653,HLOOKUP(INDIRECT(ADDRESS(2,COLUMN())),OFFSET($T$2,0,0,ROW()-1,14),ROW()-1,FALSE))</x:f>
        <x:v>-0.99363000000000001</x:v>
      </x:c>
      <x:c r="R661">
        <x:f ca="1">IF(AND($B$1012=1,LEN($R$1653)&gt;0),$R$1653,HLOOKUP(INDIRECT(ADDRESS(2,COLUMN())),OFFSET($T$2,0,0,ROW()-1,14),ROW()-1,FALSE))</x:f>
        <x:v>-0.86377499999999996</x:v>
      </x:c>
      <x:c r="S661">
        <x:f ca="1">IF(AND($B$1012=1,LEN($S$1653)&gt;0),$S$1653,HLOOKUP(INDIRECT(ADDRESS(2,COLUMN())),OFFSET($T$2,0,0,ROW()-1,14),ROW()-1,FALSE))</x:f>
        <x:v>0</x:v>
      </x:c>
      <x:c r="T661">
        <x:f>0.348767</x:f>
        <x:v>0.34876699999999999</x:v>
      </x:c>
      <x:c r="U661">
        <x:f>0</x:f>
        <x:v>0</x:v>
      </x:c>
      <x:c r="V661">
        <x:f>0</x:f>
        <x:v>0</x:v>
      </x:c>
      <x:c r="W661">
        <x:f>0.204915</x:f>
        <x:v>0.20491500000000001</x:v>
      </x:c>
      <x:c r="X661">
        <x:f>0</x:f>
        <x:v>0</x:v>
      </x:c>
      <x:c r="Y661">
        <x:f>0</x:f>
        <x:v>0</x:v>
      </x:c>
      <x:c r="Z661">
        <x:f>0.23778</x:f>
        <x:v>0.23777999999999999</x:v>
      </x:c>
      <x:c r="AA661">
        <x:f>0</x:f>
        <x:v>0</x:v>
      </x:c>
      <x:c r="AB661">
        <x:f>0</x:f>
        <x:v>0</x:v>
      </x:c>
      <x:c r="AC661">
        <x:f>0</x:f>
        <x:v>0</x:v>
      </x:c>
      <x:c r="AD661">
        <x:f>0</x:f>
        <x:v>0</x:v>
      </x:c>
      <x:c r="AE661">
        <x:f>-0.99363</x:f>
        <x:v>-0.99363000000000001</x:v>
      </x:c>
      <x:c r="AF661">
        <x:f>-0.863775</x:f>
        <x:v>-0.86377499999999996</x:v>
      </x:c>
      <x:c r="AG661">
        <x:f>0</x:f>
        <x:v>0</x:v>
      </x:c>
    </x:row>
    <x:row r="662" spans="1:33" x14ac:dyDescent="0.25">
      <x:c r="A662" t="str">
        <x:f>"            First Trust Nasdaq Lux Digital"</x:f>
        <x:v xml:space="preserve">            First Trust Nasdaq Lux Digital</x:v>
      </x:c>
      <x:c r="B662" t="str">
        <x:f>"EKG US Equity"</x:f>
        <x:v>EKG US Equity</x:v>
      </x:c>
      <x:c r="E662" t="str">
        <x:f t="shared" si="23"/>
        <x:v>Expression</x:v>
      </x:c>
      <x:c r="F662">
        <x:f ca="1">IF(AND($B$1012=1,LEN($F$1654)&gt;0),$F$1654,HLOOKUP(INDIRECT(ADDRESS(2,COLUMN())),OFFSET($T$2,0,0,ROW()-1,14),ROW()-1,FALSE))</x:f>
        <x:v>0</x:v>
      </x:c>
      <x:c r="G662">
        <x:f ca="1">IF(AND($B$1012=1,LEN($G$1654)&gt;0),$G$1654,HLOOKUP(INDIRECT(ADDRESS(2,COLUMN())),OFFSET($T$2,0,0,ROW()-1,14),ROW()-1,FALSE))</x:f>
        <x:v>0</x:v>
      </x:c>
      <x:c r="H662">
        <x:f ca="1">IF(AND($B$1012=1,LEN($H$1654)&gt;0),$H$1654,HLOOKUP(INDIRECT(ADDRESS(2,COLUMN())),OFFSET($T$2,0,0,ROW()-1,14),ROW()-1,FALSE))</x:f>
        <x:v>0</x:v>
      </x:c>
      <x:c r="I662">
        <x:f ca="1">IF(AND($B$1012=1,LEN($I$1654)&gt;0),$I$1654,HLOOKUP(INDIRECT(ADDRESS(2,COLUMN())),OFFSET($T$2,0,0,ROW()-1,14),ROW()-1,FALSE))</x:f>
        <x:v>0</x:v>
      </x:c>
      <x:c r="J662">
        <x:f ca="1">IF(AND($B$1012=1,LEN($J$1654)&gt;0),$J$1654,HLOOKUP(INDIRECT(ADDRESS(2,COLUMN())),OFFSET($T$2,0,0,ROW()-1,14),ROW()-1,FALSE))</x:f>
        <x:v>0</x:v>
      </x:c>
      <x:c r="K662">
        <x:f ca="1">IF(AND($B$1012=1,LEN($K$1654)&gt;0),$K$1654,HLOOKUP(INDIRECT(ADDRESS(2,COLUMN())),OFFSET($T$2,0,0,ROW()-1,14),ROW()-1,FALSE))</x:f>
        <x:v>0</x:v>
      </x:c>
      <x:c r="L662">
        <x:f ca="1">IF(AND($B$1012=1,LEN($L$1654)&gt;0),$L$1654,HLOOKUP(INDIRECT(ADDRESS(2,COLUMN())),OFFSET($T$2,0,0,ROW()-1,14),ROW()-1,FALSE))</x:f>
        <x:v>0</x:v>
      </x:c>
      <x:c r="M662">
        <x:f ca="1">IF(AND($B$1012=1,LEN($M$1654)&gt;0),$M$1654,HLOOKUP(INDIRECT(ADDRESS(2,COLUMN())),OFFSET($T$2,0,0,ROW()-1,14),ROW()-1,FALSE))</x:f>
        <x:v>0</x:v>
      </x:c>
      <x:c r="N662">
        <x:f ca="1">IF(AND($B$1012=1,LEN($N$1654)&gt;0),$N$1654,HLOOKUP(INDIRECT(ADDRESS(2,COLUMN())),OFFSET($T$2,0,0,ROW()-1,14),ROW()-1,FALSE))</x:f>
        <x:v>0</x:v>
      </x:c>
      <x:c r="O662">
        <x:f ca="1">IF(AND($B$1012=1,LEN($O$1654)&gt;0),$O$1654,HLOOKUP(INDIRECT(ADDRESS(2,COLUMN())),OFFSET($T$2,0,0,ROW()-1,14),ROW()-1,FALSE))</x:f>
        <x:v>0</x:v>
      </x:c>
      <x:c r="P662">
        <x:f ca="1">IF(AND($B$1012=1,LEN($P$1654)&gt;0),$P$1654,HLOOKUP(INDIRECT(ADDRESS(2,COLUMN())),OFFSET($T$2,0,0,ROW()-1,14),ROW()-1,FALSE))</x:f>
        <x:v>0</x:v>
      </x:c>
      <x:c r="Q662">
        <x:f ca="1">IF(AND($B$1012=1,LEN($Q$1654)&gt;0),$Q$1654,HLOOKUP(INDIRECT(ADDRESS(2,COLUMN())),OFFSET($T$2,0,0,ROW()-1,14),ROW()-1,FALSE))</x:f>
        <x:v>-1.2931E-2</x:v>
      </x:c>
      <x:c r="R662">
        <x:f ca="1">IF(AND($B$1012=1,LEN($R$1654)&gt;0),$R$1654,HLOOKUP(INDIRECT(ADDRESS(2,COLUMN())),OFFSET($T$2,0,0,ROW()-1,14),ROW()-1,FALSE))</x:f>
        <x:v>0</x:v>
      </x:c>
      <x:c r="S662">
        <x:f ca="1">IF(AND($B$1012=1,LEN($S$1654)&gt;0),$S$1654,HLOOKUP(INDIRECT(ADDRESS(2,COLUMN())),OFFSET($T$2,0,0,ROW()-1,14),ROW()-1,FALSE))</x:f>
        <x:v>0</x:v>
      </x:c>
      <x:c r="T662">
        <x:f>0</x:f>
        <x:v>0</x:v>
      </x:c>
      <x:c r="U662">
        <x:f>0</x:f>
        <x:v>0</x:v>
      </x:c>
      <x:c r="V662">
        <x:f>0</x:f>
        <x:v>0</x:v>
      </x:c>
      <x:c r="W662">
        <x:f>0</x:f>
        <x:v>0</x:v>
      </x:c>
      <x:c r="X662">
        <x:f>0</x:f>
        <x:v>0</x:v>
      </x:c>
      <x:c r="Y662">
        <x:f>0</x:f>
        <x:v>0</x:v>
      </x:c>
      <x:c r="Z662">
        <x:f>0</x:f>
        <x:v>0</x:v>
      </x:c>
      <x:c r="AA662">
        <x:f>0</x:f>
        <x:v>0</x:v>
      </x:c>
      <x:c r="AB662">
        <x:f>0</x:f>
        <x:v>0</x:v>
      </x:c>
      <x:c r="AC662">
        <x:f>0</x:f>
        <x:v>0</x:v>
      </x:c>
      <x:c r="AD662">
        <x:f>0</x:f>
        <x:v>0</x:v>
      </x:c>
      <x:c r="AE662">
        <x:f>-0.012931</x:f>
        <x:v>-1.2931E-2</x:v>
      </x:c>
      <x:c r="AF662">
        <x:f>0</x:f>
        <x:v>0</x:v>
      </x:c>
      <x:c r="AG662">
        <x:f>0</x:f>
        <x:v>0</x:v>
      </x:c>
    </x:row>
    <x:row r="663" spans="1:33" x14ac:dyDescent="0.25">
      <x:c r="A663" t="str">
        <x:f>"            Subversive Mental Health ETF"</x:f>
        <x:v xml:space="preserve">            Subversive Mental Health ETF</x:v>
      </x:c>
      <x:c r="B663" t="str">
        <x:f>"SANE US Equity"</x:f>
        <x:v>SANE US Equity</x:v>
      </x:c>
      <x:c r="E663" t="str">
        <x:f t="shared" si="23"/>
        <x:v>Expression</x:v>
      </x:c>
      <x:c r="F663">
        <x:f ca="1">IF(AND($B$1012=1,LEN($F$1655)&gt;0),$F$1655,HLOOKUP(INDIRECT(ADDRESS(2,COLUMN())),OFFSET($T$2,0,0,ROW()-1,14),ROW()-1,FALSE))</x:f>
        <x:v>0</x:v>
      </x:c>
      <x:c r="G663">
        <x:f ca="1">IF(AND($B$1012=1,LEN($G$1655)&gt;0),$G$1655,HLOOKUP(INDIRECT(ADDRESS(2,COLUMN())),OFFSET($T$2,0,0,ROW()-1,14),ROW()-1,FALSE))</x:f>
        <x:v>0</x:v>
      </x:c>
      <x:c r="H663">
        <x:f ca="1">IF(AND($B$1012=1,LEN($H$1655)&gt;0),$H$1655,HLOOKUP(INDIRECT(ADDRESS(2,COLUMN())),OFFSET($T$2,0,0,ROW()-1,14),ROW()-1,FALSE))</x:f>
        <x:v>0</x:v>
      </x:c>
      <x:c r="I663">
        <x:f ca="1">IF(AND($B$1012=1,LEN($I$1655)&gt;0),$I$1655,HLOOKUP(INDIRECT(ADDRESS(2,COLUMN())),OFFSET($T$2,0,0,ROW()-1,14),ROW()-1,FALSE))</x:f>
        <x:v>0</x:v>
      </x:c>
      <x:c r="J663">
        <x:f ca="1">IF(AND($B$1012=1,LEN($J$1655)&gt;0),$J$1655,HLOOKUP(INDIRECT(ADDRESS(2,COLUMN())),OFFSET($T$2,0,0,ROW()-1,14),ROW()-1,FALSE))</x:f>
        <x:v>0</x:v>
      </x:c>
      <x:c r="K663">
        <x:f ca="1">IF(AND($B$1012=1,LEN($K$1655)&gt;0),$K$1655,HLOOKUP(INDIRECT(ADDRESS(2,COLUMN())),OFFSET($T$2,0,0,ROW()-1,14),ROW()-1,FALSE))</x:f>
        <x:v>0</x:v>
      </x:c>
      <x:c r="L663">
        <x:f ca="1">IF(AND($B$1012=1,LEN($L$1655)&gt;0),$L$1655,HLOOKUP(INDIRECT(ADDRESS(2,COLUMN())),OFFSET($T$2,0,0,ROW()-1,14),ROW()-1,FALSE))</x:f>
        <x:v>0</x:v>
      </x:c>
      <x:c r="M663">
        <x:f ca="1">IF(AND($B$1012=1,LEN($M$1655)&gt;0),$M$1655,HLOOKUP(INDIRECT(ADDRESS(2,COLUMN())),OFFSET($T$2,0,0,ROW()-1,14),ROW()-1,FALSE))</x:f>
        <x:v>0</x:v>
      </x:c>
      <x:c r="N663">
        <x:f ca="1">IF(AND($B$1012=1,LEN($N$1655)&gt;0),$N$1655,HLOOKUP(INDIRECT(ADDRESS(2,COLUMN())),OFFSET($T$2,0,0,ROW()-1,14),ROW()-1,FALSE))</x:f>
        <x:v>0</x:v>
      </x:c>
      <x:c r="O663">
        <x:f ca="1">IF(AND($B$1012=1,LEN($O$1655)&gt;0),$O$1655,HLOOKUP(INDIRECT(ADDRESS(2,COLUMN())),OFFSET($T$2,0,0,ROW()-1,14),ROW()-1,FALSE))</x:f>
        <x:v>0</x:v>
      </x:c>
      <x:c r="P663">
        <x:f ca="1">IF(AND($B$1012=1,LEN($P$1655)&gt;0),$P$1655,HLOOKUP(INDIRECT(ADDRESS(2,COLUMN())),OFFSET($T$2,0,0,ROW()-1,14),ROW()-1,FALSE))</x:f>
        <x:v>0</x:v>
      </x:c>
      <x:c r="Q663">
        <x:f ca="1">IF(AND($B$1012=1,LEN($Q$1655)&gt;0),$Q$1655,HLOOKUP(INDIRECT(ADDRESS(2,COLUMN())),OFFSET($T$2,0,0,ROW()-1,14),ROW()-1,FALSE))</x:f>
        <x:v>0.62290500000000004</x:v>
      </x:c>
      <x:c r="R663" t="str">
        <x:f ca="1">IF(AND($B$1012=1,LEN($R$1655)&gt;0),$R$1655,HLOOKUP(INDIRECT(ADDRESS(2,COLUMN())),OFFSET($T$2,0,0,ROW()-1,14),ROW()-1,FALSE))</x:f>
        <x:v/>
      </x:c>
      <x:c r="S663" t="str">
        <x:f ca="1">IF(AND($B$1012=1,LEN($S$1655)&gt;0),$S$1655,HLOOKUP(INDIRECT(ADDRESS(2,COLUMN())),OFFSET($T$2,0,0,ROW()-1,14),ROW()-1,FALSE))</x:f>
        <x:v/>
      </x:c>
      <x:c r="T663">
        <x:f>0</x:f>
        <x:v>0</x:v>
      </x:c>
      <x:c r="U663">
        <x:f>0</x:f>
        <x:v>0</x:v>
      </x:c>
      <x:c r="V663">
        <x:f>0</x:f>
        <x:v>0</x:v>
      </x:c>
      <x:c r="W663">
        <x:f>0</x:f>
        <x:v>0</x:v>
      </x:c>
      <x:c r="X663">
        <x:f>0</x:f>
        <x:v>0</x:v>
      </x:c>
      <x:c r="Y663">
        <x:f>0</x:f>
        <x:v>0</x:v>
      </x:c>
      <x:c r="Z663">
        <x:f>0</x:f>
        <x:v>0</x:v>
      </x:c>
      <x:c r="AA663">
        <x:f>0</x:f>
        <x:v>0</x:v>
      </x:c>
      <x:c r="AB663">
        <x:f>0</x:f>
        <x:v>0</x:v>
      </x:c>
      <x:c r="AC663">
        <x:f>0</x:f>
        <x:v>0</x:v>
      </x:c>
      <x:c r="AD663">
        <x:f>0</x:f>
        <x:v>0</x:v>
      </x:c>
      <x:c r="AE663">
        <x:f>0.622905</x:f>
        <x:v>0.62290500000000004</x:v>
      </x:c>
      <x:c r="AF663" t="str">
        <x:f>""</x:f>
        <x:v/>
      </x:c>
      <x:c r="AG663" t="str">
        <x:f>""</x:f>
        <x:v/>
      </x:c>
    </x:row>
    <x:row r="664" spans="1:33" x14ac:dyDescent="0.25">
      <x:c r="A664" t="str">
        <x:f>"            iShares Genomics Immunology an"</x:f>
        <x:v xml:space="preserve">            iShares Genomics Immunology an</x:v>
      </x:c>
      <x:c r="B664" t="str">
        <x:f>"IDNA US Equity"</x:f>
        <x:v>IDNA US Equity</x:v>
      </x:c>
      <x:c r="E664" t="str">
        <x:f t="shared" si="23"/>
        <x:v>Expression</x:v>
      </x:c>
      <x:c r="F664">
        <x:f ca="1">IF(AND($B$1012=1,LEN($F$1656)&gt;0),$F$1656,HLOOKUP(INDIRECT(ADDRESS(2,COLUMN())),OFFSET($T$2,0,0,ROW()-1,14),ROW()-1,FALSE))</x:f>
        <x:v>-2.7816139999999998</x:v>
      </x:c>
      <x:c r="G664">
        <x:f ca="1">IF(AND($B$1012=1,LEN($G$1656)&gt;0),$G$1656,HLOOKUP(INDIRECT(ADDRESS(2,COLUMN())),OFFSET($T$2,0,0,ROW()-1,14),ROW()-1,FALSE))</x:f>
        <x:v>0</x:v>
      </x:c>
      <x:c r="H664">
        <x:f ca="1">IF(AND($B$1012=1,LEN($H$1656)&gt;0),$H$1656,HLOOKUP(INDIRECT(ADDRESS(2,COLUMN())),OFFSET($T$2,0,0,ROW()-1,14),ROW()-1,FALSE))</x:f>
        <x:v>2.21713</x:v>
      </x:c>
      <x:c r="I664">
        <x:f ca="1">IF(AND($B$1012=1,LEN($I$1656)&gt;0),$I$1656,HLOOKUP(INDIRECT(ADDRESS(2,COLUMN())),OFFSET($T$2,0,0,ROW()-1,14),ROW()-1,FALSE))</x:f>
        <x:v>-2.2020900000000001</x:v>
      </x:c>
      <x:c r="J664">
        <x:f ca="1">IF(AND($B$1012=1,LEN($J$1656)&gt;0),$J$1656,HLOOKUP(INDIRECT(ADDRESS(2,COLUMN())),OFFSET($T$2,0,0,ROW()-1,14),ROW()-1,FALSE))</x:f>
        <x:v>-1.2868599999999999</x:v>
      </x:c>
      <x:c r="K664">
        <x:f ca="1">IF(AND($B$1012=1,LEN($K$1656)&gt;0),$K$1656,HLOOKUP(INDIRECT(ADDRESS(2,COLUMN())),OFFSET($T$2,0,0,ROW()-1,14),ROW()-1,FALSE))</x:f>
        <x:v>-1.230405</x:v>
      </x:c>
      <x:c r="L664">
        <x:f ca="1">IF(AND($B$1012=1,LEN($L$1656)&gt;0),$L$1656,HLOOKUP(INDIRECT(ADDRESS(2,COLUMN())),OFFSET($T$2,0,0,ROW()-1,14),ROW()-1,FALSE))</x:f>
        <x:v>0</x:v>
      </x:c>
      <x:c r="M664">
        <x:f ca="1">IF(AND($B$1012=1,LEN($M$1656)&gt;0),$M$1656,HLOOKUP(INDIRECT(ADDRESS(2,COLUMN())),OFFSET($T$2,0,0,ROW()-1,14),ROW()-1,FALSE))</x:f>
        <x:v>-1.16191</x:v>
      </x:c>
      <x:c r="N664">
        <x:f ca="1">IF(AND($B$1012=1,LEN($N$1656)&gt;0),$N$1656,HLOOKUP(INDIRECT(ADDRESS(2,COLUMN())),OFFSET($T$2,0,0,ROW()-1,14),ROW()-1,FALSE))</x:f>
        <x:v>0</x:v>
      </x:c>
      <x:c r="O664">
        <x:f ca="1">IF(AND($B$1012=1,LEN($O$1656)&gt;0),$O$1656,HLOOKUP(INDIRECT(ADDRESS(2,COLUMN())),OFFSET($T$2,0,0,ROW()-1,14),ROW()-1,FALSE))</x:f>
        <x:v>1.3622050000000001</x:v>
      </x:c>
      <x:c r="P664">
        <x:f ca="1">IF(AND($B$1012=1,LEN($P$1656)&gt;0),$P$1656,HLOOKUP(INDIRECT(ADDRESS(2,COLUMN())),OFFSET($T$2,0,0,ROW()-1,14),ROW()-1,FALSE))</x:f>
        <x:v>0</x:v>
      </x:c>
      <x:c r="Q664">
        <x:f ca="1">IF(AND($B$1012=1,LEN($Q$1656)&gt;0),$Q$1656,HLOOKUP(INDIRECT(ADDRESS(2,COLUMN())),OFFSET($T$2,0,0,ROW()-1,14),ROW()-1,FALSE))</x:f>
        <x:v>-9.4563600000000001</x:v>
      </x:c>
      <x:c r="R664">
        <x:f ca="1">IF(AND($B$1012=1,LEN($R$1656)&gt;0),$R$1656,HLOOKUP(INDIRECT(ADDRESS(2,COLUMN())),OFFSET($T$2,0,0,ROW()-1,14),ROW()-1,FALSE))</x:f>
        <x:v>1.31999</x:v>
      </x:c>
      <x:c r="S664">
        <x:f ca="1">IF(AND($B$1012=1,LEN($S$1656)&gt;0),$S$1656,HLOOKUP(INDIRECT(ADDRESS(2,COLUMN())),OFFSET($T$2,0,0,ROW()-1,14),ROW()-1,FALSE))</x:f>
        <x:v>0</x:v>
      </x:c>
      <x:c r="T664">
        <x:f>-2.781614</x:f>
        <x:v>-2.7816139999999998</x:v>
      </x:c>
      <x:c r="U664">
        <x:f>0</x:f>
        <x:v>0</x:v>
      </x:c>
      <x:c r="V664">
        <x:f>2.21713</x:f>
        <x:v>2.21713</x:v>
      </x:c>
      <x:c r="W664">
        <x:f>-2.20209</x:f>
        <x:v>-2.2020900000000001</x:v>
      </x:c>
      <x:c r="X664">
        <x:f>-1.28686</x:f>
        <x:v>-1.2868599999999999</x:v>
      </x:c>
      <x:c r="Y664">
        <x:f>-1.230405</x:f>
        <x:v>-1.230405</x:v>
      </x:c>
      <x:c r="Z664">
        <x:f>0</x:f>
        <x:v>0</x:v>
      </x:c>
      <x:c r="AA664">
        <x:f>-1.16191</x:f>
        <x:v>-1.16191</x:v>
      </x:c>
      <x:c r="AB664">
        <x:f>0</x:f>
        <x:v>0</x:v>
      </x:c>
      <x:c r="AC664">
        <x:f>1.362205</x:f>
        <x:v>1.3622050000000001</x:v>
      </x:c>
      <x:c r="AD664">
        <x:f>0</x:f>
        <x:v>0</x:v>
      </x:c>
      <x:c r="AE664">
        <x:f>-9.45636</x:f>
        <x:v>-9.4563600000000001</x:v>
      </x:c>
      <x:c r="AF664">
        <x:f>1.31999</x:f>
        <x:v>1.31999</x:v>
      </x:c>
      <x:c r="AG664">
        <x:f>0</x:f>
        <x:v>0</x:v>
      </x:c>
    </x:row>
    <x:row r="665" spans="1:33" x14ac:dyDescent="0.25">
      <x:c r="A665" t="str">
        <x:f>"        Clean Energy"</x:f>
        <x:v xml:space="preserve">        Clean Energy</x:v>
      </x:c>
      <x:c r="B665" t="str">
        <x:f>""</x:f>
        <x:v/>
      </x:c>
      <x:c r="E665" t="str">
        <x:f>"Sum"</x:f>
        <x:v>Sum</x:v>
      </x:c>
      <x:c r="F665">
        <x:f ca="1">IF(ISERROR(IF(SUM($F$666:$F$700) = 0, "", SUM($F$666:$F$700))), "", (IF(SUM($F$666:$F$700) = 0, "", SUM($F$666:$F$700))))</x:f>
        <x:v>-127.79249299999996</x:v>
      </x:c>
      <x:c r="G665">
        <x:f ca="1">IF(ISERROR(IF(SUM($G$666:$G$700) = 0, "", SUM($G$666:$G$700))), "", (IF(SUM($G$666:$G$700) = 0, "", SUM($G$666:$G$700))))</x:f>
        <x:v>-196.53841100000002</x:v>
      </x:c>
      <x:c r="H665">
        <x:f ca="1">IF(ISERROR(IF(SUM($H$666:$H$700) = 0, "", SUM($H$666:$H$700))), "", (IF(SUM($H$666:$H$700) = 0, "", SUM($H$666:$H$700))))</x:f>
        <x:v>-14.505708999999987</x:v>
      </x:c>
      <x:c r="I665">
        <x:f ca="1">IF(ISERROR(IF(SUM($I$666:$I$700) = 0, "", SUM($I$666:$I$700))), "", (IF(SUM($I$666:$I$700) = 0, "", SUM($I$666:$I$700))))</x:f>
        <x:v>-254.65766899999994</x:v>
      </x:c>
      <x:c r="J665">
        <x:f ca="1">IF(ISERROR(IF(SUM($J$666:$J$700) = 0, "", SUM($J$666:$J$700))), "", (IF(SUM($J$666:$J$700) = 0, "", SUM($J$666:$J$700))))</x:f>
        <x:v>23.173425000000005</x:v>
      </x:c>
      <x:c r="K665">
        <x:f ca="1">IF(ISERROR(IF(SUM($K$666:$K$700) = 0, "", SUM($K$666:$K$700))), "", (IF(SUM($K$666:$K$700) = 0, "", SUM($K$666:$K$700))))</x:f>
        <x:v>7.2741609999999968</x:v>
      </x:c>
      <x:c r="L665">
        <x:f ca="1">IF(ISERROR(IF(SUM($L$666:$L$700) = 0, "", SUM($L$666:$L$700))), "", (IF(SUM($L$666:$L$700) = 0, "", SUM($L$666:$L$700))))</x:f>
        <x:v>-77.226740000000021</x:v>
      </x:c>
      <x:c r="M665">
        <x:f ca="1">IF(ISERROR(IF(SUM($M$666:$M$700) = 0, "", SUM($M$666:$M$700))), "", (IF(SUM($M$666:$M$700) = 0, "", SUM($M$666:$M$700))))</x:f>
        <x:v>112.50708900000004</x:v>
      </x:c>
      <x:c r="N665">
        <x:f ca="1">IF(ISERROR(IF(SUM($N$666:$N$700) = 0, "", SUM($N$666:$N$700))), "", (IF(SUM($N$666:$N$700) = 0, "", SUM($N$666:$N$700))))</x:f>
        <x:v>-173.19280399999997</x:v>
      </x:c>
      <x:c r="O665">
        <x:f ca="1">IF(ISERROR(IF(SUM($O$666:$O$700) = 0, "", SUM($O$666:$O$700))), "", (IF(SUM($O$666:$O$700) = 0, "", SUM($O$666:$O$700))))</x:f>
        <x:v>-273.09977199999997</x:v>
      </x:c>
      <x:c r="P665">
        <x:f ca="1">IF(ISERROR(IF(SUM($P$666:$P$700) = 0, "", SUM($P$666:$P$700))), "", (IF(SUM($P$666:$P$700) = 0, "", SUM($P$666:$P$700))))</x:f>
        <x:v>-99.433458000000002</x:v>
      </x:c>
      <x:c r="Q665">
        <x:f ca="1">IF(ISERROR(IF(SUM($Q$666:$Q$700) = 0, "", SUM($Q$666:$Q$700))), "", (IF(SUM($Q$666:$Q$700) = 0, "", SUM($Q$666:$Q$700))))</x:f>
        <x:v>-310.18768400000005</x:v>
      </x:c>
      <x:c r="R665">
        <x:f ca="1">IF(ISERROR(IF(SUM($R$666:$R$700) = 0, "", SUM($R$666:$R$700))), "", (IF(SUM($R$666:$R$700) = 0, "", SUM($R$666:$R$700))))</x:f>
        <x:v>357.45499999999998</x:v>
      </x:c>
      <x:c r="S665">
        <x:f ca="1">IF(ISERROR(IF(SUM($S$666:$S$700) = 0, "", SUM($S$666:$S$700))), "", (IF(SUM($S$666:$S$700) = 0, "", SUM($S$666:$S$700))))</x:f>
        <x:v>-283.63120099999998</x:v>
      </x:c>
      <x:c r="T665">
        <x:f>-127.792493</x:f>
        <x:v>-127.79249299999999</x:v>
      </x:c>
      <x:c r="U665">
        <x:f>-196.538411</x:f>
        <x:v>-196.538411</x:v>
      </x:c>
      <x:c r="V665">
        <x:f>-14.505709</x:f>
        <x:v>-14.505709</x:v>
      </x:c>
      <x:c r="W665">
        <x:f>-254.657669</x:f>
        <x:v>-254.657669</x:v>
      </x:c>
      <x:c r="X665">
        <x:f>23.173425</x:f>
        <x:v>23.173425000000002</x:v>
      </x:c>
      <x:c r="Y665">
        <x:f>7.274161</x:f>
        <x:v>7.2741610000000003</x:v>
      </x:c>
      <x:c r="Z665">
        <x:f>-77.22674</x:f>
        <x:v>-77.226740000000007</x:v>
      </x:c>
      <x:c r="AA665">
        <x:f>112.507089</x:f>
        <x:v>112.50708899999999</x:v>
      </x:c>
      <x:c r="AB665">
        <x:f>-173.192804</x:f>
        <x:v>-173.192804</x:v>
      </x:c>
      <x:c r="AC665">
        <x:f>-273.099772</x:f>
        <x:v>-273.09977199999997</x:v>
      </x:c>
      <x:c r="AD665">
        <x:f>-99.433458</x:f>
        <x:v>-99.433458000000002</x:v>
      </x:c>
      <x:c r="AE665">
        <x:f>-310.187684</x:f>
        <x:v>-310.18768399999999</x:v>
      </x:c>
      <x:c r="AF665">
        <x:f>357.455</x:f>
        <x:v>357.45499999999998</x:v>
      </x:c>
      <x:c r="AG665">
        <x:f>-283.631201</x:f>
        <x:v>-283.63120099999998</x:v>
      </x:c>
    </x:row>
    <x:row r="666" spans="1:33" x14ac:dyDescent="0.25">
      <x:c r="A666" t="str">
        <x:f>"            Invesco WilderHill Clean Energ"</x:f>
        <x:v xml:space="preserve">            Invesco WilderHill Clean Energ</x:v>
      </x:c>
      <x:c r="B666" t="str">
        <x:f>"PBW US Equity"</x:f>
        <x:v>PBW US Equity</x:v>
      </x:c>
      <x:c r="E666" t="str">
        <x:f t="shared" ref="E666:E700" si="24">"Expression"</x:f>
        <x:v>Expression</x:v>
      </x:c>
      <x:c r="F666">
        <x:f ca="1">IF(AND($B$1012=1,LEN($F$1657)&gt;0),$F$1657,HLOOKUP(INDIRECT(ADDRESS(2,COLUMN())),OFFSET($T$2,0,0,ROW()-1,14),ROW()-1,FALSE))</x:f>
        <x:v>23.929255999999999</x:v>
      </x:c>
      <x:c r="G666">
        <x:f ca="1">IF(AND($B$1012=1,LEN($G$1657)&gt;0),$G$1657,HLOOKUP(INDIRECT(ADDRESS(2,COLUMN())),OFFSET($T$2,0,0,ROW()-1,14),ROW()-1,FALSE))</x:f>
        <x:v>-3.4250219999999998</x:v>
      </x:c>
      <x:c r="H666">
        <x:f ca="1">IF(AND($B$1012=1,LEN($H$1657)&gt;0),$H$1657,HLOOKUP(INDIRECT(ADDRESS(2,COLUMN())),OFFSET($T$2,0,0,ROW()-1,14),ROW()-1,FALSE))</x:f>
        <x:v>-9.2401009999999992</x:v>
      </x:c>
      <x:c r="I666">
        <x:f ca="1">IF(AND($B$1012=1,LEN($I$1657)&gt;0),$I$1657,HLOOKUP(INDIRECT(ADDRESS(2,COLUMN())),OFFSET($T$2,0,0,ROW()-1,14),ROW()-1,FALSE))</x:f>
        <x:v>-33.320340000000002</x:v>
      </x:c>
      <x:c r="J666">
        <x:f ca="1">IF(AND($B$1012=1,LEN($J$1657)&gt;0),$J$1657,HLOOKUP(INDIRECT(ADDRESS(2,COLUMN())),OFFSET($T$2,0,0,ROW()-1,14),ROW()-1,FALSE))</x:f>
        <x:v>-13.599978999999999</x:v>
      </x:c>
      <x:c r="K666">
        <x:f ca="1">IF(AND($B$1012=1,LEN($K$1657)&gt;0),$K$1657,HLOOKUP(INDIRECT(ADDRESS(2,COLUMN())),OFFSET($T$2,0,0,ROW()-1,14),ROW()-1,FALSE))</x:f>
        <x:v>-19.222954999999999</x:v>
      </x:c>
      <x:c r="L666">
        <x:f ca="1">IF(AND($B$1012=1,LEN($L$1657)&gt;0),$L$1657,HLOOKUP(INDIRECT(ADDRESS(2,COLUMN())),OFFSET($T$2,0,0,ROW()-1,14),ROW()-1,FALSE))</x:f>
        <x:v>-9.6830180000000006</x:v>
      </x:c>
      <x:c r="M666">
        <x:f ca="1">IF(AND($B$1012=1,LEN($M$1657)&gt;0),$M$1657,HLOOKUP(INDIRECT(ADDRESS(2,COLUMN())),OFFSET($T$2,0,0,ROW()-1,14),ROW()-1,FALSE))</x:f>
        <x:v>-24.377372999999999</x:v>
      </x:c>
      <x:c r="N666">
        <x:f ca="1">IF(AND($B$1012=1,LEN($N$1657)&gt;0),$N$1657,HLOOKUP(INDIRECT(ADDRESS(2,COLUMN())),OFFSET($T$2,0,0,ROW()-1,14),ROW()-1,FALSE))</x:f>
        <x:v>4.8459029999999998</x:v>
      </x:c>
      <x:c r="O666">
        <x:f ca="1">IF(AND($B$1012=1,LEN($O$1657)&gt;0),$O$1657,HLOOKUP(INDIRECT(ADDRESS(2,COLUMN())),OFFSET($T$2,0,0,ROW()-1,14),ROW()-1,FALSE))</x:f>
        <x:v>-18.392173</x:v>
      </x:c>
      <x:c r="P666">
        <x:f ca="1">IF(AND($B$1012=1,LEN($P$1657)&gt;0),$P$1657,HLOOKUP(INDIRECT(ADDRESS(2,COLUMN())),OFFSET($T$2,0,0,ROW()-1,14),ROW()-1,FALSE))</x:f>
        <x:v>-2.0125130000000002</x:v>
      </x:c>
      <x:c r="Q666">
        <x:f ca="1">IF(AND($B$1012=1,LEN($Q$1657)&gt;0),$Q$1657,HLOOKUP(INDIRECT(ADDRESS(2,COLUMN())),OFFSET($T$2,0,0,ROW()-1,14),ROW()-1,FALSE))</x:f>
        <x:v>-43.279482999999999</x:v>
      </x:c>
      <x:c r="R666">
        <x:f ca="1">IF(AND($B$1012=1,LEN($R$1657)&gt;0),$R$1657,HLOOKUP(INDIRECT(ADDRESS(2,COLUMN())),OFFSET($T$2,0,0,ROW()-1,14),ROW()-1,FALSE))</x:f>
        <x:v>10.745618</x:v>
      </x:c>
      <x:c r="S666">
        <x:f ca="1">IF(AND($B$1012=1,LEN($S$1657)&gt;0),$S$1657,HLOOKUP(INDIRECT(ADDRESS(2,COLUMN())),OFFSET($T$2,0,0,ROW()-1,14),ROW()-1,FALSE))</x:f>
        <x:v>-29.998505000000002</x:v>
      </x:c>
      <x:c r="T666">
        <x:f>23.929256</x:f>
        <x:v>23.929255999999999</x:v>
      </x:c>
      <x:c r="U666">
        <x:f>-3.425022</x:f>
        <x:v>-3.4250219999999998</x:v>
      </x:c>
      <x:c r="V666">
        <x:f>-9.240101</x:f>
        <x:v>-9.2401009999999992</x:v>
      </x:c>
      <x:c r="W666">
        <x:f>-33.32034</x:f>
        <x:v>-33.320340000000002</x:v>
      </x:c>
      <x:c r="X666">
        <x:f>-13.599979</x:f>
        <x:v>-13.599978999999999</x:v>
      </x:c>
      <x:c r="Y666">
        <x:f>-19.222955</x:f>
        <x:v>-19.222954999999999</x:v>
      </x:c>
      <x:c r="Z666">
        <x:f>-9.683018</x:f>
        <x:v>-9.6830180000000006</x:v>
      </x:c>
      <x:c r="AA666">
        <x:f>-24.377373</x:f>
        <x:v>-24.377372999999999</x:v>
      </x:c>
      <x:c r="AB666">
        <x:f>4.845903</x:f>
        <x:v>4.8459029999999998</x:v>
      </x:c>
      <x:c r="AC666">
        <x:f>-18.392173</x:f>
        <x:v>-18.392173</x:v>
      </x:c>
      <x:c r="AD666">
        <x:f>-2.012513</x:f>
        <x:v>-2.0125130000000002</x:v>
      </x:c>
      <x:c r="AE666">
        <x:f>-43.279483</x:f>
        <x:v>-43.279482999999999</x:v>
      </x:c>
      <x:c r="AF666">
        <x:f>10.745618</x:f>
        <x:v>10.745618</x:v>
      </x:c>
      <x:c r="AG666">
        <x:f>-29.998505</x:f>
        <x:v>-29.998505000000002</x:v>
      </x:c>
    </x:row>
    <x:row r="667" spans="1:33" x14ac:dyDescent="0.25">
      <x:c r="A667" t="str">
        <x:f>"            Invesco MSCI Sustainable Futur"</x:f>
        <x:v xml:space="preserve">            Invesco MSCI Sustainable Futur</x:v>
      </x:c>
      <x:c r="B667" t="str">
        <x:f>"PZD US Equity"</x:f>
        <x:v>PZD US Equity</x:v>
      </x:c>
      <x:c r="E667" t="str">
        <x:f t="shared" si="24"/>
        <x:v>Expression</x:v>
      </x:c>
      <x:c r="F667">
        <x:f ca="1">IF(AND($B$1012=1,LEN($F$1658)&gt;0),$F$1658,HLOOKUP(INDIRECT(ADDRESS(2,COLUMN())),OFFSET($T$2,0,0,ROW()-1,14),ROW()-1,FALSE))</x:f>
        <x:v>-2.023736</x:v>
      </x:c>
      <x:c r="G667">
        <x:f ca="1">IF(AND($B$1012=1,LEN($G$1658)&gt;0),$G$1658,HLOOKUP(INDIRECT(ADDRESS(2,COLUMN())),OFFSET($T$2,0,0,ROW()-1,14),ROW()-1,FALSE))</x:f>
        <x:v>-3.0231000000000001E-2</x:v>
      </x:c>
      <x:c r="H667">
        <x:f ca="1">IF(AND($B$1012=1,LEN($H$1658)&gt;0),$H$1658,HLOOKUP(INDIRECT(ADDRESS(2,COLUMN())),OFFSET($T$2,0,0,ROW()-1,14),ROW()-1,FALSE))</x:f>
        <x:v>-4.6323239999999997</x:v>
      </x:c>
      <x:c r="I667">
        <x:f ca="1">IF(AND($B$1012=1,LEN($I$1658)&gt;0),$I$1658,HLOOKUP(INDIRECT(ADDRESS(2,COLUMN())),OFFSET($T$2,0,0,ROW()-1,14),ROW()-1,FALSE))</x:f>
        <x:v>0</x:v>
      </x:c>
      <x:c r="J667">
        <x:f ca="1">IF(AND($B$1012=1,LEN($J$1658)&gt;0),$J$1658,HLOOKUP(INDIRECT(ADDRESS(2,COLUMN())),OFFSET($T$2,0,0,ROW()-1,14),ROW()-1,FALSE))</x:f>
        <x:v>-10.074573000000001</x:v>
      </x:c>
      <x:c r="K667">
        <x:f ca="1">IF(AND($B$1012=1,LEN($K$1658)&gt;0),$K$1658,HLOOKUP(INDIRECT(ADDRESS(2,COLUMN())),OFFSET($T$2,0,0,ROW()-1,14),ROW()-1,FALSE))</x:f>
        <x:v>-9.6613539999999993</x:v>
      </x:c>
      <x:c r="L667">
        <x:f ca="1">IF(AND($B$1012=1,LEN($L$1658)&gt;0),$L$1658,HLOOKUP(INDIRECT(ADDRESS(2,COLUMN())),OFFSET($T$2,0,0,ROW()-1,14),ROW()-1,FALSE))</x:f>
        <x:v>-2.3181790000000002</x:v>
      </x:c>
      <x:c r="M667">
        <x:f ca="1">IF(AND($B$1012=1,LEN($M$1658)&gt;0),$M$1658,HLOOKUP(INDIRECT(ADDRESS(2,COLUMN())),OFFSET($T$2,0,0,ROW()-1,14),ROW()-1,FALSE))</x:f>
        <x:v>-7.0948659999999997</x:v>
      </x:c>
      <x:c r="N667">
        <x:f ca="1">IF(AND($B$1012=1,LEN($N$1658)&gt;0),$N$1658,HLOOKUP(INDIRECT(ADDRESS(2,COLUMN())),OFFSET($T$2,0,0,ROW()-1,14),ROW()-1,FALSE))</x:f>
        <x:v>-2.4701439999999999</x:v>
      </x:c>
      <x:c r="O667">
        <x:f ca="1">IF(AND($B$1012=1,LEN($O$1658)&gt;0),$O$1658,HLOOKUP(INDIRECT(ADDRESS(2,COLUMN())),OFFSET($T$2,0,0,ROW()-1,14),ROW()-1,FALSE))</x:f>
        <x:v>-2.4772539999999998</x:v>
      </x:c>
      <x:c r="P667">
        <x:f ca="1">IF(AND($B$1012=1,LEN($P$1658)&gt;0),$P$1658,HLOOKUP(INDIRECT(ADDRESS(2,COLUMN())),OFFSET($T$2,0,0,ROW()-1,14),ROW()-1,FALSE))</x:f>
        <x:v>-4.8931129999999996</x:v>
      </x:c>
      <x:c r="Q667">
        <x:f ca="1">IF(AND($B$1012=1,LEN($Q$1658)&gt;0),$Q$1658,HLOOKUP(INDIRECT(ADDRESS(2,COLUMN())),OFFSET($T$2,0,0,ROW()-1,14),ROW()-1,FALSE))</x:f>
        <x:v>0</x:v>
      </x:c>
      <x:c r="R667">
        <x:f ca="1">IF(AND($B$1012=1,LEN($R$1658)&gt;0),$R$1658,HLOOKUP(INDIRECT(ADDRESS(2,COLUMN())),OFFSET($T$2,0,0,ROW()-1,14),ROW()-1,FALSE))</x:f>
        <x:v>-5.3001069999999997</x:v>
      </x:c>
      <x:c r="S667">
        <x:f ca="1">IF(AND($B$1012=1,LEN($S$1658)&gt;0),$S$1658,HLOOKUP(INDIRECT(ADDRESS(2,COLUMN())),OFFSET($T$2,0,0,ROW()-1,14),ROW()-1,FALSE))</x:f>
        <x:v>0</x:v>
      </x:c>
      <x:c r="T667">
        <x:f>-2.023736</x:f>
        <x:v>-2.023736</x:v>
      </x:c>
      <x:c r="U667">
        <x:f>-0.030231</x:f>
        <x:v>-3.0231000000000001E-2</x:v>
      </x:c>
      <x:c r="V667">
        <x:f>-4.632324</x:f>
        <x:v>-4.6323239999999997</x:v>
      </x:c>
      <x:c r="W667">
        <x:f>0</x:f>
        <x:v>0</x:v>
      </x:c>
      <x:c r="X667">
        <x:f>-10.074573</x:f>
        <x:v>-10.074573000000001</x:v>
      </x:c>
      <x:c r="Y667">
        <x:f>-9.661354</x:f>
        <x:v>-9.6613539999999993</x:v>
      </x:c>
      <x:c r="Z667">
        <x:f>-2.318179</x:f>
        <x:v>-2.3181790000000002</x:v>
      </x:c>
      <x:c r="AA667">
        <x:f>-7.094866</x:f>
        <x:v>-7.0948659999999997</x:v>
      </x:c>
      <x:c r="AB667">
        <x:f>-2.470144</x:f>
        <x:v>-2.4701439999999999</x:v>
      </x:c>
      <x:c r="AC667">
        <x:f>-2.477254</x:f>
        <x:v>-2.4772539999999998</x:v>
      </x:c>
      <x:c r="AD667">
        <x:f>-4.893113</x:f>
        <x:v>-4.8931129999999996</x:v>
      </x:c>
      <x:c r="AE667">
        <x:f>0</x:f>
        <x:v>0</x:v>
      </x:c>
      <x:c r="AF667">
        <x:f>-5.300107</x:f>
        <x:v>-5.3001069999999997</x:v>
      </x:c>
      <x:c r="AG667">
        <x:f>0</x:f>
        <x:v>0</x:v>
      </x:c>
    </x:row>
    <x:row r="668" spans="1:33" x14ac:dyDescent="0.25">
      <x:c r="A668" t="str">
        <x:f>"            Invesco Global Clean Energy ET"</x:f>
        <x:v xml:space="preserve">            Invesco Global Clean Energy ET</x:v>
      </x:c>
      <x:c r="B668" t="str">
        <x:f>"PBD US Equity"</x:f>
        <x:v>PBD US Equity</x:v>
      </x:c>
      <x:c r="E668" t="str">
        <x:f t="shared" si="24"/>
        <x:v>Expression</x:v>
      </x:c>
      <x:c r="F668">
        <x:f ca="1">IF(AND($B$1012=1,LEN($F$1659)&gt;0),$F$1659,HLOOKUP(INDIRECT(ADDRESS(2,COLUMN())),OFFSET($T$2,0,0,ROW()-1,14),ROW()-1,FALSE))</x:f>
        <x:v>-5.0493829999999997</x:v>
      </x:c>
      <x:c r="G668">
        <x:f ca="1">IF(AND($B$1012=1,LEN($G$1659)&gt;0),$G$1659,HLOOKUP(INDIRECT(ADDRESS(2,COLUMN())),OFFSET($T$2,0,0,ROW()-1,14),ROW()-1,FALSE))</x:f>
        <x:v>-1.3714649999999999</x:v>
      </x:c>
      <x:c r="H668">
        <x:f ca="1">IF(AND($B$1012=1,LEN($H$1659)&gt;0),$H$1659,HLOOKUP(INDIRECT(ADDRESS(2,COLUMN())),OFFSET($T$2,0,0,ROW()-1,14),ROW()-1,FALSE))</x:f>
        <x:v>-3.8768400000000001</x:v>
      </x:c>
      <x:c r="I668">
        <x:f ca="1">IF(AND($B$1012=1,LEN($I$1659)&gt;0),$I$1659,HLOOKUP(INDIRECT(ADDRESS(2,COLUMN())),OFFSET($T$2,0,0,ROW()-1,14),ROW()-1,FALSE))</x:f>
        <x:v>-1.759155</x:v>
      </x:c>
      <x:c r="J668">
        <x:f ca="1">IF(AND($B$1012=1,LEN($J$1659)&gt;0),$J$1659,HLOOKUP(INDIRECT(ADDRESS(2,COLUMN())),OFFSET($T$2,0,0,ROW()-1,14),ROW()-1,FALSE))</x:f>
        <x:v>-5.7705489999999999</x:v>
      </x:c>
      <x:c r="K668">
        <x:f ca="1">IF(AND($B$1012=1,LEN($K$1659)&gt;0),$K$1659,HLOOKUP(INDIRECT(ADDRESS(2,COLUMN())),OFFSET($T$2,0,0,ROW()-1,14),ROW()-1,FALSE))</x:f>
        <x:v>0</x:v>
      </x:c>
      <x:c r="L668">
        <x:f ca="1">IF(AND($B$1012=1,LEN($L$1659)&gt;0),$L$1659,HLOOKUP(INDIRECT(ADDRESS(2,COLUMN())),OFFSET($T$2,0,0,ROW()-1,14),ROW()-1,FALSE))</x:f>
        <x:v>-2.7946170000000001</x:v>
      </x:c>
      <x:c r="M668">
        <x:f ca="1">IF(AND($B$1012=1,LEN($M$1659)&gt;0),$M$1659,HLOOKUP(INDIRECT(ADDRESS(2,COLUMN())),OFFSET($T$2,0,0,ROW()-1,14),ROW()-1,FALSE))</x:f>
        <x:v>-0.94702799999999998</x:v>
      </x:c>
      <x:c r="N668">
        <x:f ca="1">IF(AND($B$1012=1,LEN($N$1659)&gt;0),$N$1659,HLOOKUP(INDIRECT(ADDRESS(2,COLUMN())),OFFSET($T$2,0,0,ROW()-1,14),ROW()-1,FALSE))</x:f>
        <x:v>0</x:v>
      </x:c>
      <x:c r="O668">
        <x:f ca="1">IF(AND($B$1012=1,LEN($O$1659)&gt;0),$O$1659,HLOOKUP(INDIRECT(ADDRESS(2,COLUMN())),OFFSET($T$2,0,0,ROW()-1,14),ROW()-1,FALSE))</x:f>
        <x:v>-0.98420600000000003</x:v>
      </x:c>
      <x:c r="P668">
        <x:f ca="1">IF(AND($B$1012=1,LEN($P$1659)&gt;0),$P$1659,HLOOKUP(INDIRECT(ADDRESS(2,COLUMN())),OFFSET($T$2,0,0,ROW()-1,14),ROW()-1,FALSE))</x:f>
        <x:v>-2.8662920000000001</x:v>
      </x:c>
      <x:c r="Q668">
        <x:f ca="1">IF(AND($B$1012=1,LEN($Q$1659)&gt;0),$Q$1659,HLOOKUP(INDIRECT(ADDRESS(2,COLUMN())),OFFSET($T$2,0,0,ROW()-1,14),ROW()-1,FALSE))</x:f>
        <x:v>-3.0242360000000001</x:v>
      </x:c>
      <x:c r="R668">
        <x:f ca="1">IF(AND($B$1012=1,LEN($R$1659)&gt;0),$R$1659,HLOOKUP(INDIRECT(ADDRESS(2,COLUMN())),OFFSET($T$2,0,0,ROW()-1,14),ROW()-1,FALSE))</x:f>
        <x:v>-6.0408419999999996</x:v>
      </x:c>
      <x:c r="S668">
        <x:f ca="1">IF(AND($B$1012=1,LEN($S$1659)&gt;0),$S$1659,HLOOKUP(INDIRECT(ADDRESS(2,COLUMN())),OFFSET($T$2,0,0,ROW()-1,14),ROW()-1,FALSE))</x:f>
        <x:v>1.9859579999999999</x:v>
      </x:c>
      <x:c r="T668">
        <x:f>-5.049383</x:f>
        <x:v>-5.0493829999999997</x:v>
      </x:c>
      <x:c r="U668">
        <x:f>-1.371465</x:f>
        <x:v>-1.3714649999999999</x:v>
      </x:c>
      <x:c r="V668">
        <x:f>-3.87684</x:f>
        <x:v>-3.8768400000000001</x:v>
      </x:c>
      <x:c r="W668">
        <x:f>-1.759155</x:f>
        <x:v>-1.759155</x:v>
      </x:c>
      <x:c r="X668">
        <x:f>-5.770549</x:f>
        <x:v>-5.7705489999999999</x:v>
      </x:c>
      <x:c r="Y668">
        <x:f>0</x:f>
        <x:v>0</x:v>
      </x:c>
      <x:c r="Z668">
        <x:f>-2.794617</x:f>
        <x:v>-2.7946170000000001</x:v>
      </x:c>
      <x:c r="AA668">
        <x:f>-0.947028</x:f>
        <x:v>-0.94702799999999998</x:v>
      </x:c>
      <x:c r="AB668">
        <x:f>0</x:f>
        <x:v>0</x:v>
      </x:c>
      <x:c r="AC668">
        <x:f>-0.984206</x:f>
        <x:v>-0.98420600000000003</x:v>
      </x:c>
      <x:c r="AD668">
        <x:f>-2.866292</x:f>
        <x:v>-2.8662920000000001</x:v>
      </x:c>
      <x:c r="AE668">
        <x:f>-3.024236</x:f>
        <x:v>-3.0242360000000001</x:v>
      </x:c>
      <x:c r="AF668">
        <x:f>-6.040842</x:f>
        <x:v>-6.0408419999999996</x:v>
      </x:c>
      <x:c r="AG668">
        <x:f>1.985958</x:f>
        <x:v>1.9859579999999999</x:v>
      </x:c>
    </x:row>
    <x:row r="669" spans="1:33" x14ac:dyDescent="0.25">
      <x:c r="A669" t="str">
        <x:f>"            First Trust NASDAQ Clean Edge"</x:f>
        <x:v xml:space="preserve">            First Trust NASDAQ Clean Edge</x:v>
      </x:c>
      <x:c r="B669" t="str">
        <x:f>"GRID US Equity"</x:f>
        <x:v>GRID US Equity</x:v>
      </x:c>
      <x:c r="E669" t="str">
        <x:f t="shared" si="24"/>
        <x:v>Expression</x:v>
      </x:c>
      <x:c r="F669">
        <x:f ca="1">IF(AND($B$1012=1,LEN($F$1660)&gt;0),$F$1660,HLOOKUP(INDIRECT(ADDRESS(2,COLUMN())),OFFSET($T$2,0,0,ROW()-1,14),ROW()-1,FALSE))</x:f>
        <x:v>-121.318713</x:v>
      </x:c>
      <x:c r="G669">
        <x:f ca="1">IF(AND($B$1012=1,LEN($G$1660)&gt;0),$G$1660,HLOOKUP(INDIRECT(ADDRESS(2,COLUMN())),OFFSET($T$2,0,0,ROW()-1,14),ROW()-1,FALSE))</x:f>
        <x:v>-64.648335000000003</x:v>
      </x:c>
      <x:c r="H669">
        <x:f ca="1">IF(AND($B$1012=1,LEN($H$1660)&gt;0),$H$1660,HLOOKUP(INDIRECT(ADDRESS(2,COLUMN())),OFFSET($T$2,0,0,ROW()-1,14),ROW()-1,FALSE))</x:f>
        <x:v>-10.094954</x:v>
      </x:c>
      <x:c r="I669">
        <x:f ca="1">IF(AND($B$1012=1,LEN($I$1660)&gt;0),$I$1660,HLOOKUP(INDIRECT(ADDRESS(2,COLUMN())),OFFSET($T$2,0,0,ROW()-1,14),ROW()-1,FALSE))</x:f>
        <x:v>-4.370304</x:v>
      </x:c>
      <x:c r="J669">
        <x:f ca="1">IF(AND($B$1012=1,LEN($J$1660)&gt;0),$J$1660,HLOOKUP(INDIRECT(ADDRESS(2,COLUMN())),OFFSET($T$2,0,0,ROW()-1,14),ROW()-1,FALSE))</x:f>
        <x:v>244.79949999999999</x:v>
      </x:c>
      <x:c r="K669">
        <x:f ca="1">IF(AND($B$1012=1,LEN($K$1660)&gt;0),$K$1660,HLOOKUP(INDIRECT(ADDRESS(2,COLUMN())),OFFSET($T$2,0,0,ROW()-1,14),ROW()-1,FALSE))</x:f>
        <x:v>88.366500000000002</x:v>
      </x:c>
      <x:c r="L669">
        <x:f ca="1">IF(AND($B$1012=1,LEN($L$1660)&gt;0),$L$1660,HLOOKUP(INDIRECT(ADDRESS(2,COLUMN())),OFFSET($T$2,0,0,ROW()-1,14),ROW()-1,FALSE))</x:f>
        <x:v>24.122499999999999</x:v>
      </x:c>
      <x:c r="M669">
        <x:f ca="1">IF(AND($B$1012=1,LEN($M$1660)&gt;0),$M$1660,HLOOKUP(INDIRECT(ADDRESS(2,COLUMN())),OFFSET($T$2,0,0,ROW()-1,14),ROW()-1,FALSE))</x:f>
        <x:v>14.726000000000001</x:v>
      </x:c>
      <x:c r="N669">
        <x:f ca="1">IF(AND($B$1012=1,LEN($N$1660)&gt;0),$N$1660,HLOOKUP(INDIRECT(ADDRESS(2,COLUMN())),OFFSET($T$2,0,0,ROW()-1,14),ROW()-1,FALSE))</x:f>
        <x:v>-9.1745000000000001</x:v>
      </x:c>
      <x:c r="O669">
        <x:f ca="1">IF(AND($B$1012=1,LEN($O$1660)&gt;0),$O$1660,HLOOKUP(INDIRECT(ADDRESS(2,COLUMN())),OFFSET($T$2,0,0,ROW()-1,14),ROW()-1,FALSE))</x:f>
        <x:v>4.6740000000000004</x:v>
      </x:c>
      <x:c r="P669">
        <x:f ca="1">IF(AND($B$1012=1,LEN($P$1660)&gt;0),$P$1660,HLOOKUP(INDIRECT(ADDRESS(2,COLUMN())),OFFSET($T$2,0,0,ROW()-1,14),ROW()-1,FALSE))</x:f>
        <x:v>14.205500000000001</x:v>
      </x:c>
      <x:c r="Q669">
        <x:f ca="1">IF(AND($B$1012=1,LEN($Q$1660)&gt;0),$Q$1660,HLOOKUP(INDIRECT(ADDRESS(2,COLUMN())),OFFSET($T$2,0,0,ROW()-1,14),ROW()-1,FALSE))</x:f>
        <x:v>10.364144</x:v>
      </x:c>
      <x:c r="R669">
        <x:f ca="1">IF(AND($B$1012=1,LEN($R$1660)&gt;0),$R$1660,HLOOKUP(INDIRECT(ADDRESS(2,COLUMN())),OFFSET($T$2,0,0,ROW()-1,14),ROW()-1,FALSE))</x:f>
        <x:v>5.277876</x:v>
      </x:c>
      <x:c r="S669">
        <x:f ca="1">IF(AND($B$1012=1,LEN($S$1660)&gt;0),$S$1660,HLOOKUP(INDIRECT(ADDRESS(2,COLUMN())),OFFSET($T$2,0,0,ROW()-1,14),ROW()-1,FALSE))</x:f>
        <x:v>0</x:v>
      </x:c>
      <x:c r="T669">
        <x:f>-121.318713</x:f>
        <x:v>-121.318713</x:v>
      </x:c>
      <x:c r="U669">
        <x:f>-64.648335</x:f>
        <x:v>-64.648335000000003</x:v>
      </x:c>
      <x:c r="V669">
        <x:f>-10.094954</x:f>
        <x:v>-10.094954</x:v>
      </x:c>
      <x:c r="W669">
        <x:f>-4.370304</x:f>
        <x:v>-4.370304</x:v>
      </x:c>
      <x:c r="X669">
        <x:f>244.7995</x:f>
        <x:v>244.79949999999999</x:v>
      </x:c>
      <x:c r="Y669">
        <x:f>88.3665</x:f>
        <x:v>88.366500000000002</x:v>
      </x:c>
      <x:c r="Z669">
        <x:f>24.1225</x:f>
        <x:v>24.122499999999999</x:v>
      </x:c>
      <x:c r="AA669">
        <x:f>14.726</x:f>
        <x:v>14.726000000000001</x:v>
      </x:c>
      <x:c r="AB669">
        <x:f>-9.1745</x:f>
        <x:v>-9.1745000000000001</x:v>
      </x:c>
      <x:c r="AC669">
        <x:f>4.674</x:f>
        <x:v>4.6740000000000004</x:v>
      </x:c>
      <x:c r="AD669">
        <x:f>14.2055</x:f>
        <x:v>14.205500000000001</x:v>
      </x:c>
      <x:c r="AE669">
        <x:f>10.364144</x:f>
        <x:v>10.364144</x:v>
      </x:c>
      <x:c r="AF669">
        <x:f>5.277876</x:f>
        <x:v>5.277876</x:v>
      </x:c>
      <x:c r="AG669">
        <x:f>0</x:f>
        <x:v>0</x:v>
      </x:c>
    </x:row>
    <x:row r="670" spans="1:33" x14ac:dyDescent="0.25">
      <x:c r="A670" t="str">
        <x:f>"            SPDR S&amp;P Kensho Clean Power ET"</x:f>
        <x:v xml:space="preserve">            SPDR S&amp;P Kensho Clean Power ET</x:v>
      </x:c>
      <x:c r="B670" t="str">
        <x:f>"CNRG US Equity"</x:f>
        <x:v>CNRG US Equity</x:v>
      </x:c>
      <x:c r="E670" t="str">
        <x:f t="shared" si="24"/>
        <x:v>Expression</x:v>
      </x:c>
      <x:c r="F670">
        <x:f ca="1">IF(AND($B$1012=1,LEN($F$1661)&gt;0),$F$1661,HLOOKUP(INDIRECT(ADDRESS(2,COLUMN())),OFFSET($T$2,0,0,ROW()-1,14),ROW()-1,FALSE))</x:f>
        <x:v>-8.5674860000000006</x:v>
      </x:c>
      <x:c r="G670">
        <x:f ca="1">IF(AND($B$1012=1,LEN($G$1661)&gt;0),$G$1661,HLOOKUP(INDIRECT(ADDRESS(2,COLUMN())),OFFSET($T$2,0,0,ROW()-1,14),ROW()-1,FALSE))</x:f>
        <x:v>-6.5246279999999999</x:v>
      </x:c>
      <x:c r="H670">
        <x:f ca="1">IF(AND($B$1012=1,LEN($H$1661)&gt;0),$H$1661,HLOOKUP(INDIRECT(ADDRESS(2,COLUMN())),OFFSET($T$2,0,0,ROW()-1,14),ROW()-1,FALSE))</x:f>
        <x:v>-9.4571909999999999</x:v>
      </x:c>
      <x:c r="I670">
        <x:f ca="1">IF(AND($B$1012=1,LEN($I$1661)&gt;0),$I$1661,HLOOKUP(INDIRECT(ADDRESS(2,COLUMN())),OFFSET($T$2,0,0,ROW()-1,14),ROW()-1,FALSE))</x:f>
        <x:v>-0.96796199999999999</x:v>
      </x:c>
      <x:c r="J670">
        <x:f ca="1">IF(AND($B$1012=1,LEN($J$1661)&gt;0),$J$1661,HLOOKUP(INDIRECT(ADDRESS(2,COLUMN())),OFFSET($T$2,0,0,ROW()-1,14),ROW()-1,FALSE))</x:f>
        <x:v>-2.614957</x:v>
      </x:c>
      <x:c r="K670">
        <x:f ca="1">IF(AND($B$1012=1,LEN($K$1661)&gt;0),$K$1661,HLOOKUP(INDIRECT(ADDRESS(2,COLUMN())),OFFSET($T$2,0,0,ROW()-1,14),ROW()-1,FALSE))</x:f>
        <x:v>-0.81691499999999995</x:v>
      </x:c>
      <x:c r="L670">
        <x:f ca="1">IF(AND($B$1012=1,LEN($L$1661)&gt;0),$L$1661,HLOOKUP(INDIRECT(ADDRESS(2,COLUMN())),OFFSET($T$2,0,0,ROW()-1,14),ROW()-1,FALSE))</x:f>
        <x:v>-5.6449720000000001</x:v>
      </x:c>
      <x:c r="M670">
        <x:f ca="1">IF(AND($B$1012=1,LEN($M$1661)&gt;0),$M$1661,HLOOKUP(INDIRECT(ADDRESS(2,COLUMN())),OFFSET($T$2,0,0,ROW()-1,14),ROW()-1,FALSE))</x:f>
        <x:v>0.87036000000000002</x:v>
      </x:c>
      <x:c r="N670">
        <x:f ca="1">IF(AND($B$1012=1,LEN($N$1661)&gt;0),$N$1661,HLOOKUP(INDIRECT(ADDRESS(2,COLUMN())),OFFSET($T$2,0,0,ROW()-1,14),ROW()-1,FALSE))</x:f>
        <x:v>4.2868979999999999</x:v>
      </x:c>
      <x:c r="O670">
        <x:f ca="1">IF(AND($B$1012=1,LEN($O$1661)&gt;0),$O$1661,HLOOKUP(INDIRECT(ADDRESS(2,COLUMN())),OFFSET($T$2,0,0,ROW()-1,14),ROW()-1,FALSE))</x:f>
        <x:v>6.2988679999999997</x:v>
      </x:c>
      <x:c r="P670">
        <x:f ca="1">IF(AND($B$1012=1,LEN($P$1661)&gt;0),$P$1661,HLOOKUP(INDIRECT(ADDRESS(2,COLUMN())),OFFSET($T$2,0,0,ROW()-1,14),ROW()-1,FALSE))</x:f>
        <x:v>-2.5749810000000002</x:v>
      </x:c>
      <x:c r="Q670">
        <x:f ca="1">IF(AND($B$1012=1,LEN($Q$1661)&gt;0),$Q$1661,HLOOKUP(INDIRECT(ADDRESS(2,COLUMN())),OFFSET($T$2,0,0,ROW()-1,14),ROW()-1,FALSE))</x:f>
        <x:v>2.6743579999999998</x:v>
      </x:c>
      <x:c r="R670">
        <x:f ca="1">IF(AND($B$1012=1,LEN($R$1661)&gt;0),$R$1661,HLOOKUP(INDIRECT(ADDRESS(2,COLUMN())),OFFSET($T$2,0,0,ROW()-1,14),ROW()-1,FALSE))</x:f>
        <x:v>8.7831390000000003</x:v>
      </x:c>
      <x:c r="S670">
        <x:f ca="1">IF(AND($B$1012=1,LEN($S$1661)&gt;0),$S$1661,HLOOKUP(INDIRECT(ADDRESS(2,COLUMN())),OFFSET($T$2,0,0,ROW()-1,14),ROW()-1,FALSE))</x:f>
        <x:v>9.1426909999999992</x:v>
      </x:c>
      <x:c r="T670">
        <x:f>-8.567486</x:f>
        <x:v>-8.5674860000000006</x:v>
      </x:c>
      <x:c r="U670">
        <x:f>-6.524628</x:f>
        <x:v>-6.5246279999999999</x:v>
      </x:c>
      <x:c r="V670">
        <x:f>-9.457191</x:f>
        <x:v>-9.4571909999999999</x:v>
      </x:c>
      <x:c r="W670">
        <x:f>-0.967962</x:f>
        <x:v>-0.96796199999999999</x:v>
      </x:c>
      <x:c r="X670">
        <x:f>-2.614957</x:f>
        <x:v>-2.614957</x:v>
      </x:c>
      <x:c r="Y670">
        <x:f>-0.816915</x:f>
        <x:v>-0.81691499999999995</x:v>
      </x:c>
      <x:c r="Z670">
        <x:f>-5.644972</x:f>
        <x:v>-5.6449720000000001</x:v>
      </x:c>
      <x:c r="AA670">
        <x:f>0.87036</x:f>
        <x:v>0.87036000000000002</x:v>
      </x:c>
      <x:c r="AB670">
        <x:f>4.286898</x:f>
        <x:v>4.2868979999999999</x:v>
      </x:c>
      <x:c r="AC670">
        <x:f>6.298868</x:f>
        <x:v>6.2988679999999997</x:v>
      </x:c>
      <x:c r="AD670">
        <x:f>-2.574981</x:f>
        <x:v>-2.5749810000000002</x:v>
      </x:c>
      <x:c r="AE670">
        <x:f>2.674358</x:f>
        <x:v>2.6743579999999998</x:v>
      </x:c>
      <x:c r="AF670">
        <x:f>8.783139</x:f>
        <x:v>8.7831390000000003</x:v>
      </x:c>
      <x:c r="AG670">
        <x:f>9.142691</x:f>
        <x:v>9.1426909999999992</x:v>
      </x:c>
    </x:row>
    <x:row r="671" spans="1:33" x14ac:dyDescent="0.25">
      <x:c r="A671" t="str">
        <x:f>"            ALPS Clean Energy ETF"</x:f>
        <x:v xml:space="preserve">            ALPS Clean Energy ETF</x:v>
      </x:c>
      <x:c r="B671" t="str">
        <x:f>"ACES US Equity"</x:f>
        <x:v>ACES US Equity</x:v>
      </x:c>
      <x:c r="E671" t="str">
        <x:f t="shared" si="24"/>
        <x:v>Expression</x:v>
      </x:c>
      <x:c r="F671">
        <x:f ca="1">IF(AND($B$1012=1,LEN($F$1662)&gt;0),$F$1662,HLOOKUP(INDIRECT(ADDRESS(2,COLUMN())),OFFSET($T$2,0,0,ROW()-1,14),ROW()-1,FALSE))</x:f>
        <x:v>-19.118065000000001</x:v>
      </x:c>
      <x:c r="G671">
        <x:f ca="1">IF(AND($B$1012=1,LEN($G$1662)&gt;0),$G$1662,HLOOKUP(INDIRECT(ADDRESS(2,COLUMN())),OFFSET($T$2,0,0,ROW()-1,14),ROW()-1,FALSE))</x:f>
        <x:v>8.9630419999999997</x:v>
      </x:c>
      <x:c r="H671">
        <x:f ca="1">IF(AND($B$1012=1,LEN($H$1662)&gt;0),$H$1662,HLOOKUP(INDIRECT(ADDRESS(2,COLUMN())),OFFSET($T$2,0,0,ROW()-1,14),ROW()-1,FALSE))</x:f>
        <x:v>-5.0380019999999996</x:v>
      </x:c>
      <x:c r="I671">
        <x:f ca="1">IF(AND($B$1012=1,LEN($I$1662)&gt;0),$I$1662,HLOOKUP(INDIRECT(ADDRESS(2,COLUMN())),OFFSET($T$2,0,0,ROW()-1,14),ROW()-1,FALSE))</x:f>
        <x:v>-2.2165360000000001</x:v>
      </x:c>
      <x:c r="J671">
        <x:f ca="1">IF(AND($B$1012=1,LEN($J$1662)&gt;0),$J$1662,HLOOKUP(INDIRECT(ADDRESS(2,COLUMN())),OFFSET($T$2,0,0,ROW()-1,14),ROW()-1,FALSE))</x:f>
        <x:v>-17.991326999999998</x:v>
      </x:c>
      <x:c r="K671">
        <x:f ca="1">IF(AND($B$1012=1,LEN($K$1662)&gt;0),$K$1662,HLOOKUP(INDIRECT(ADDRESS(2,COLUMN())),OFFSET($T$2,0,0,ROW()-1,14),ROW()-1,FALSE))</x:f>
        <x:v>4.0435739999999996</x:v>
      </x:c>
      <x:c r="L671">
        <x:f ca="1">IF(AND($B$1012=1,LEN($L$1662)&gt;0),$L$1662,HLOOKUP(INDIRECT(ADDRESS(2,COLUMN())),OFFSET($T$2,0,0,ROW()-1,14),ROW()-1,FALSE))</x:f>
        <x:v>-12.814838</x:v>
      </x:c>
      <x:c r="M671">
        <x:f ca="1">IF(AND($B$1012=1,LEN($M$1662)&gt;0),$M$1662,HLOOKUP(INDIRECT(ADDRESS(2,COLUMN())),OFFSET($T$2,0,0,ROW()-1,14),ROW()-1,FALSE))</x:f>
        <x:v>5.8974469999999997</x:v>
      </x:c>
      <x:c r="N671">
        <x:f ca="1">IF(AND($B$1012=1,LEN($N$1662)&gt;0),$N$1662,HLOOKUP(INDIRECT(ADDRESS(2,COLUMN())),OFFSET($T$2,0,0,ROW()-1,14),ROW()-1,FALSE))</x:f>
        <x:v>-13.615066000000001</x:v>
      </x:c>
      <x:c r="O671">
        <x:f ca="1">IF(AND($B$1012=1,LEN($O$1662)&gt;0),$O$1662,HLOOKUP(INDIRECT(ADDRESS(2,COLUMN())),OFFSET($T$2,0,0,ROW()-1,14),ROW()-1,FALSE))</x:f>
        <x:v>-42.104759000000001</x:v>
      </x:c>
      <x:c r="P671">
        <x:f ca="1">IF(AND($B$1012=1,LEN($P$1662)&gt;0),$P$1662,HLOOKUP(INDIRECT(ADDRESS(2,COLUMN())),OFFSET($T$2,0,0,ROW()-1,14),ROW()-1,FALSE))</x:f>
        <x:v>-16.641798000000001</x:v>
      </x:c>
      <x:c r="Q671">
        <x:f ca="1">IF(AND($B$1012=1,LEN($Q$1662)&gt;0),$Q$1662,HLOOKUP(INDIRECT(ADDRESS(2,COLUMN())),OFFSET($T$2,0,0,ROW()-1,14),ROW()-1,FALSE))</x:f>
        <x:v>-17.071739999999998</x:v>
      </x:c>
      <x:c r="R671">
        <x:f ca="1">IF(AND($B$1012=1,LEN($R$1662)&gt;0),$R$1662,HLOOKUP(INDIRECT(ADDRESS(2,COLUMN())),OFFSET($T$2,0,0,ROW()-1,14),ROW()-1,FALSE))</x:f>
        <x:v>2.6290719999999999</x:v>
      </x:c>
      <x:c r="S671">
        <x:f ca="1">IF(AND($B$1012=1,LEN($S$1662)&gt;0),$S$1662,HLOOKUP(INDIRECT(ADDRESS(2,COLUMN())),OFFSET($T$2,0,0,ROW()-1,14),ROW()-1,FALSE))</x:f>
        <x:v>-17.134266</x:v>
      </x:c>
      <x:c r="T671">
        <x:f>-19.118065</x:f>
        <x:v>-19.118065000000001</x:v>
      </x:c>
      <x:c r="U671">
        <x:f>8.963042</x:f>
        <x:v>8.9630419999999997</x:v>
      </x:c>
      <x:c r="V671">
        <x:f>-5.038002</x:f>
        <x:v>-5.0380019999999996</x:v>
      </x:c>
      <x:c r="W671">
        <x:f>-2.216536</x:f>
        <x:v>-2.2165360000000001</x:v>
      </x:c>
      <x:c r="X671">
        <x:f>-17.991327</x:f>
        <x:v>-17.991326999999998</x:v>
      </x:c>
      <x:c r="Y671">
        <x:f>4.043574</x:f>
        <x:v>4.0435739999999996</x:v>
      </x:c>
      <x:c r="Z671">
        <x:f>-12.814838</x:f>
        <x:v>-12.814838</x:v>
      </x:c>
      <x:c r="AA671">
        <x:f>5.897447</x:f>
        <x:v>5.8974469999999997</x:v>
      </x:c>
      <x:c r="AB671">
        <x:f>-13.615066</x:f>
        <x:v>-13.615066000000001</x:v>
      </x:c>
      <x:c r="AC671">
        <x:f>-42.104759</x:f>
        <x:v>-42.104759000000001</x:v>
      </x:c>
      <x:c r="AD671">
        <x:f>-16.641798</x:f>
        <x:v>-16.641798000000001</x:v>
      </x:c>
      <x:c r="AE671">
        <x:f>-17.07174</x:f>
        <x:v>-17.071739999999998</x:v>
      </x:c>
      <x:c r="AF671">
        <x:f>2.629072</x:f>
        <x:v>2.6290719999999999</x:v>
      </x:c>
      <x:c r="AG671">
        <x:f>-17.134266</x:f>
        <x:v>-17.134266</x:v>
      </x:c>
    </x:row>
    <x:row r="672" spans="1:33" x14ac:dyDescent="0.25">
      <x:c r="A672" t="str">
        <x:f>"            iShares Global Clean Energy ET"</x:f>
        <x:v xml:space="preserve">            iShares Global Clean Energy ET</x:v>
      </x:c>
      <x:c r="B672" t="str">
        <x:f>"ICLN US Equity"</x:f>
        <x:v>ICLN US Equity</x:v>
      </x:c>
      <x:c r="E672" t="str">
        <x:f t="shared" si="24"/>
        <x:v>Expression</x:v>
      </x:c>
      <x:c r="F672">
        <x:f ca="1">IF(AND($B$1012=1,LEN($F$1663)&gt;0),$F$1663,HLOOKUP(INDIRECT(ADDRESS(2,COLUMN())),OFFSET($T$2,0,0,ROW()-1,14),ROW()-1,FALSE))</x:f>
        <x:v>-50.274546000000001</x:v>
      </x:c>
      <x:c r="G672">
        <x:f ca="1">IF(AND($B$1012=1,LEN($G$1663)&gt;0),$G$1663,HLOOKUP(INDIRECT(ADDRESS(2,COLUMN())),OFFSET($T$2,0,0,ROW()-1,14),ROW()-1,FALSE))</x:f>
        <x:v>-184.26940400000001</x:v>
      </x:c>
      <x:c r="H672">
        <x:f ca="1">IF(AND($B$1012=1,LEN($H$1663)&gt;0),$H$1663,HLOOKUP(INDIRECT(ADDRESS(2,COLUMN())),OFFSET($T$2,0,0,ROW()-1,14),ROW()-1,FALSE))</x:f>
        <x:v>-46.413449</x:v>
      </x:c>
      <x:c r="I672">
        <x:f ca="1">IF(AND($B$1012=1,LEN($I$1663)&gt;0),$I$1663,HLOOKUP(INDIRECT(ADDRESS(2,COLUMN())),OFFSET($T$2,0,0,ROW()-1,14),ROW()-1,FALSE))</x:f>
        <x:v>-114.88158</x:v>
      </x:c>
      <x:c r="J672">
        <x:f ca="1">IF(AND($B$1012=1,LEN($J$1663)&gt;0),$J$1663,HLOOKUP(INDIRECT(ADDRESS(2,COLUMN())),OFFSET($T$2,0,0,ROW()-1,14),ROW()-1,FALSE))</x:f>
        <x:v>-131.67305999999999</x:v>
      </x:c>
      <x:c r="K672">
        <x:f ca="1">IF(AND($B$1012=1,LEN($K$1663)&gt;0),$K$1663,HLOOKUP(INDIRECT(ADDRESS(2,COLUMN())),OFFSET($T$2,0,0,ROW()-1,14),ROW()-1,FALSE))</x:f>
        <x:v>-96.974130000000002</x:v>
      </x:c>
      <x:c r="L672">
        <x:f ca="1">IF(AND($B$1012=1,LEN($L$1663)&gt;0),$L$1663,HLOOKUP(INDIRECT(ADDRESS(2,COLUMN())),OFFSET($T$2,0,0,ROW()-1,14),ROW()-1,FALSE))</x:f>
        <x:v>-154.06568999999999</x:v>
      </x:c>
      <x:c r="M672">
        <x:f ca="1">IF(AND($B$1012=1,LEN($M$1663)&gt;0),$M$1663,HLOOKUP(INDIRECT(ADDRESS(2,COLUMN())),OFFSET($T$2,0,0,ROW()-1,14),ROW()-1,FALSE))</x:f>
        <x:v>-29.421679999999999</x:v>
      </x:c>
      <x:c r="N672">
        <x:f ca="1">IF(AND($B$1012=1,LEN($N$1663)&gt;0),$N$1663,HLOOKUP(INDIRECT(ADDRESS(2,COLUMN())),OFFSET($T$2,0,0,ROW()-1,14),ROW()-1,FALSE))</x:f>
        <x:v>-51.890360000000001</x:v>
      </x:c>
      <x:c r="O672">
        <x:f ca="1">IF(AND($B$1012=1,LEN($O$1663)&gt;0),$O$1663,HLOOKUP(INDIRECT(ADDRESS(2,COLUMN())),OFFSET($T$2,0,0,ROW()-1,14),ROW()-1,FALSE))</x:f>
        <x:v>-80.872050000000002</x:v>
      </x:c>
      <x:c r="P672">
        <x:f ca="1">IF(AND($B$1012=1,LEN($P$1663)&gt;0),$P$1663,HLOOKUP(INDIRECT(ADDRESS(2,COLUMN())),OFFSET($T$2,0,0,ROW()-1,14),ROW()-1,FALSE))</x:f>
        <x:v>-105.41985</x:v>
      </x:c>
      <x:c r="Q672">
        <x:f ca="1">IF(AND($B$1012=1,LEN($Q$1663)&gt;0),$Q$1663,HLOOKUP(INDIRECT(ADDRESS(2,COLUMN())),OFFSET($T$2,0,0,ROW()-1,14),ROW()-1,FALSE))</x:f>
        <x:v>-13.93812</x:v>
      </x:c>
      <x:c r="R672">
        <x:f ca="1">IF(AND($B$1012=1,LEN($R$1663)&gt;0),$R$1663,HLOOKUP(INDIRECT(ADDRESS(2,COLUMN())),OFFSET($T$2,0,0,ROW()-1,14),ROW()-1,FALSE))</x:f>
        <x:v>97.133240000000001</x:v>
      </x:c>
      <x:c r="S672">
        <x:f ca="1">IF(AND($B$1012=1,LEN($S$1663)&gt;0),$S$1663,HLOOKUP(INDIRECT(ADDRESS(2,COLUMN())),OFFSET($T$2,0,0,ROW()-1,14),ROW()-1,FALSE))</x:f>
        <x:v>-8.8180700000000005</x:v>
      </x:c>
      <x:c r="T672">
        <x:f>-50.274546</x:f>
        <x:v>-50.274546000000001</x:v>
      </x:c>
      <x:c r="U672">
        <x:f>-184.269404</x:f>
        <x:v>-184.26940400000001</x:v>
      </x:c>
      <x:c r="V672">
        <x:f>-46.413449</x:f>
        <x:v>-46.413449</x:v>
      </x:c>
      <x:c r="W672">
        <x:f>-114.88158</x:f>
        <x:v>-114.88158</x:v>
      </x:c>
      <x:c r="X672">
        <x:f>-131.67306</x:f>
        <x:v>-131.67305999999999</x:v>
      </x:c>
      <x:c r="Y672">
        <x:f>-96.97413</x:f>
        <x:v>-96.974130000000002</x:v>
      </x:c>
      <x:c r="Z672">
        <x:f>-154.06569</x:f>
        <x:v>-154.06568999999999</x:v>
      </x:c>
      <x:c r="AA672">
        <x:f>-29.42168</x:f>
        <x:v>-29.421679999999999</x:v>
      </x:c>
      <x:c r="AB672">
        <x:f>-51.89036</x:f>
        <x:v>-51.890360000000001</x:v>
      </x:c>
      <x:c r="AC672">
        <x:f>-80.87205</x:f>
        <x:v>-80.872050000000002</x:v>
      </x:c>
      <x:c r="AD672">
        <x:f>-105.41985</x:f>
        <x:v>-105.41985</x:v>
      </x:c>
      <x:c r="AE672">
        <x:f>-13.93812</x:f>
        <x:v>-13.93812</x:v>
      </x:c>
      <x:c r="AF672">
        <x:f>97.13324</x:f>
        <x:v>97.133240000000001</x:v>
      </x:c>
      <x:c r="AG672">
        <x:f>-8.81807</x:f>
        <x:v>-8.8180700000000005</x:v>
      </x:c>
    </x:row>
    <x:row r="673" spans="1:33" x14ac:dyDescent="0.25">
      <x:c r="A673" t="str">
        <x:f>"            First Trust NASDAQ Clean Edge"</x:f>
        <x:v xml:space="preserve">            First Trust NASDAQ Clean Edge</x:v>
      </x:c>
      <x:c r="B673" t="str">
        <x:f>"QCLN US Equity"</x:f>
        <x:v>QCLN US Equity</x:v>
      </x:c>
      <x:c r="E673" t="str">
        <x:f t="shared" si="24"/>
        <x:v>Expression</x:v>
      </x:c>
      <x:c r="F673">
        <x:f ca="1">IF(AND($B$1012=1,LEN($F$1664)&gt;0),$F$1664,HLOOKUP(INDIRECT(ADDRESS(2,COLUMN())),OFFSET($T$2,0,0,ROW()-1,14),ROW()-1,FALSE))</x:f>
        <x:v>-15.717102000000001</x:v>
      </x:c>
      <x:c r="G673">
        <x:f ca="1">IF(AND($B$1012=1,LEN($G$1664)&gt;0),$G$1664,HLOOKUP(INDIRECT(ADDRESS(2,COLUMN())),OFFSET($T$2,0,0,ROW()-1,14),ROW()-1,FALSE))</x:f>
        <x:v>-24.515678999999999</x:v>
      </x:c>
      <x:c r="H673">
        <x:f ca="1">IF(AND($B$1012=1,LEN($H$1664)&gt;0),$H$1664,HLOOKUP(INDIRECT(ADDRESS(2,COLUMN())),OFFSET($T$2,0,0,ROW()-1,14),ROW()-1,FALSE))</x:f>
        <x:v>-21.895344999999999</x:v>
      </x:c>
      <x:c r="I673">
        <x:f ca="1">IF(AND($B$1012=1,LEN($I$1664)&gt;0),$I$1664,HLOOKUP(INDIRECT(ADDRESS(2,COLUMN())),OFFSET($T$2,0,0,ROW()-1,14),ROW()-1,FALSE))</x:f>
        <x:v>-75.465733999999998</x:v>
      </x:c>
      <x:c r="J673">
        <x:f ca="1">IF(AND($B$1012=1,LEN($J$1664)&gt;0),$J$1664,HLOOKUP(INDIRECT(ADDRESS(2,COLUMN())),OFFSET($T$2,0,0,ROW()-1,14),ROW()-1,FALSE))</x:f>
        <x:v>22.129000000000001</x:v>
      </x:c>
      <x:c r="K673">
        <x:f ca="1">IF(AND($B$1012=1,LEN($K$1664)&gt;0),$K$1664,HLOOKUP(INDIRECT(ADDRESS(2,COLUMN())),OFFSET($T$2,0,0,ROW()-1,14),ROW()-1,FALSE))</x:f>
        <x:v>-20.265000000000001</x:v>
      </x:c>
      <x:c r="L673">
        <x:f ca="1">IF(AND($B$1012=1,LEN($L$1664)&gt;0),$L$1664,HLOOKUP(INDIRECT(ADDRESS(2,COLUMN())),OFFSET($T$2,0,0,ROW()-1,14),ROW()-1,FALSE))</x:f>
        <x:v>-15.9625</x:v>
      </x:c>
      <x:c r="M673">
        <x:f ca="1">IF(AND($B$1012=1,LEN($M$1664)&gt;0),$M$1664,HLOOKUP(INDIRECT(ADDRESS(2,COLUMN())),OFFSET($T$2,0,0,ROW()-1,14),ROW()-1,FALSE))</x:f>
        <x:v>-26.154</x:v>
      </x:c>
      <x:c r="N673">
        <x:f ca="1">IF(AND($B$1012=1,LEN($N$1664)&gt;0),$N$1664,HLOOKUP(INDIRECT(ADDRESS(2,COLUMN())),OFFSET($T$2,0,0,ROW()-1,14),ROW()-1,FALSE))</x:f>
        <x:v>-33.168999999999997</x:v>
      </x:c>
      <x:c r="O673">
        <x:f ca="1">IF(AND($B$1012=1,LEN($O$1664)&gt;0),$O$1664,HLOOKUP(INDIRECT(ADDRESS(2,COLUMN())),OFFSET($T$2,0,0,ROW()-1,14),ROW()-1,FALSE))</x:f>
        <x:v>-28.357500000000002</x:v>
      </x:c>
      <x:c r="P673">
        <x:f ca="1">IF(AND($B$1012=1,LEN($P$1664)&gt;0),$P$1664,HLOOKUP(INDIRECT(ADDRESS(2,COLUMN())),OFFSET($T$2,0,0,ROW()-1,14),ROW()-1,FALSE))</x:f>
        <x:v>-20.361999999999998</x:v>
      </x:c>
      <x:c r="Q673">
        <x:f ca="1">IF(AND($B$1012=1,LEN($Q$1664)&gt;0),$Q$1664,HLOOKUP(INDIRECT(ADDRESS(2,COLUMN())),OFFSET($T$2,0,0,ROW()-1,14),ROW()-1,FALSE))</x:f>
        <x:v>-61.557526000000003</x:v>
      </x:c>
      <x:c r="R673">
        <x:f ca="1">IF(AND($B$1012=1,LEN($R$1664)&gt;0),$R$1664,HLOOKUP(INDIRECT(ADDRESS(2,COLUMN())),OFFSET($T$2,0,0,ROW()-1,14),ROW()-1,FALSE))</x:f>
        <x:v>-38.687711</x:v>
      </x:c>
      <x:c r="S673">
        <x:f ca="1">IF(AND($B$1012=1,LEN($S$1664)&gt;0),$S$1664,HLOOKUP(INDIRECT(ADDRESS(2,COLUMN())),OFFSET($T$2,0,0,ROW()-1,14),ROW()-1,FALSE))</x:f>
        <x:v>-59.514339999999997</x:v>
      </x:c>
      <x:c r="T673">
        <x:f>-15.717102</x:f>
        <x:v>-15.717102000000001</x:v>
      </x:c>
      <x:c r="U673">
        <x:f>-24.515679</x:f>
        <x:v>-24.515678999999999</x:v>
      </x:c>
      <x:c r="V673">
        <x:f>-21.895345</x:f>
        <x:v>-21.895344999999999</x:v>
      </x:c>
      <x:c r="W673">
        <x:f>-75.465734</x:f>
        <x:v>-75.465733999999998</x:v>
      </x:c>
      <x:c r="X673">
        <x:f>22.129</x:f>
        <x:v>22.129000000000001</x:v>
      </x:c>
      <x:c r="Y673">
        <x:f>-20.265</x:f>
        <x:v>-20.265000000000001</x:v>
      </x:c>
      <x:c r="Z673">
        <x:f>-15.9625</x:f>
        <x:v>-15.9625</x:v>
      </x:c>
      <x:c r="AA673">
        <x:f>-26.154</x:f>
        <x:v>-26.154</x:v>
      </x:c>
      <x:c r="AB673">
        <x:f>-33.169</x:f>
        <x:v>-33.168999999999997</x:v>
      </x:c>
      <x:c r="AC673">
        <x:f>-28.3575</x:f>
        <x:v>-28.357500000000002</x:v>
      </x:c>
      <x:c r="AD673">
        <x:f>-20.362</x:f>
        <x:v>-20.361999999999998</x:v>
      </x:c>
      <x:c r="AE673">
        <x:f>-61.557526</x:f>
        <x:v>-61.557526000000003</x:v>
      </x:c>
      <x:c r="AF673">
        <x:f>-38.687711</x:f>
        <x:v>-38.687711</x:v>
      </x:c>
      <x:c r="AG673">
        <x:f>-59.51434</x:f>
        <x:v>-59.514339999999997</x:v>
      </x:c>
    </x:row>
    <x:row r="674" spans="1:33" x14ac:dyDescent="0.25">
      <x:c r="A674" t="str">
        <x:f>"            VanEck Low Carbon Energy ETF"</x:f>
        <x:v xml:space="preserve">            VanEck Low Carbon Energy ETF</x:v>
      </x:c>
      <x:c r="B674" t="str">
        <x:f>"SMOG US Equity"</x:f>
        <x:v>SMOG US Equity</x:v>
      </x:c>
      <x:c r="E674" t="str">
        <x:f t="shared" si="24"/>
        <x:v>Expression</x:v>
      </x:c>
      <x:c r="F674">
        <x:f ca="1">IF(AND($B$1012=1,LEN($F$1665)&gt;0),$F$1665,HLOOKUP(INDIRECT(ADDRESS(2,COLUMN())),OFFSET($T$2,0,0,ROW()-1,14),ROW()-1,FALSE))</x:f>
        <x:v>0</x:v>
      </x:c>
      <x:c r="G674">
        <x:f ca="1">IF(AND($B$1012=1,LEN($G$1665)&gt;0),$G$1665,HLOOKUP(INDIRECT(ADDRESS(2,COLUMN())),OFFSET($T$2,0,0,ROW()-1,14),ROW()-1,FALSE))</x:f>
        <x:v>-9.7991589999999995</x:v>
      </x:c>
      <x:c r="H674">
        <x:f ca="1">IF(AND($B$1012=1,LEN($H$1665)&gt;0),$H$1665,HLOOKUP(INDIRECT(ADDRESS(2,COLUMN())),OFFSET($T$2,0,0,ROW()-1,14),ROW()-1,FALSE))</x:f>
        <x:v>0</x:v>
      </x:c>
      <x:c r="I674">
        <x:f ca="1">IF(AND($B$1012=1,LEN($I$1665)&gt;0),$I$1665,HLOOKUP(INDIRECT(ADDRESS(2,COLUMN())),OFFSET($T$2,0,0,ROW()-1,14),ROW()-1,FALSE))</x:f>
        <x:v>-5.6798970000000004</x:v>
      </x:c>
      <x:c r="J674">
        <x:f ca="1">IF(AND($B$1012=1,LEN($J$1665)&gt;0),$J$1665,HLOOKUP(INDIRECT(ADDRESS(2,COLUMN())),OFFSET($T$2,0,0,ROW()-1,14),ROW()-1,FALSE))</x:f>
        <x:v>0</x:v>
      </x:c>
      <x:c r="K674">
        <x:f ca="1">IF(AND($B$1012=1,LEN($K$1665)&gt;0),$K$1665,HLOOKUP(INDIRECT(ADDRESS(2,COLUMN())),OFFSET($T$2,0,0,ROW()-1,14),ROW()-1,FALSE))</x:f>
        <x:v>-6.0129239999999999</x:v>
      </x:c>
      <x:c r="L674">
        <x:f ca="1">IF(AND($B$1012=1,LEN($L$1665)&gt;0),$L$1665,HLOOKUP(INDIRECT(ADDRESS(2,COLUMN())),OFFSET($T$2,0,0,ROW()-1,14),ROW()-1,FALSE))</x:f>
        <x:v>-5.8183410000000002</x:v>
      </x:c>
      <x:c r="M674">
        <x:f ca="1">IF(AND($B$1012=1,LEN($M$1665)&gt;0),$M$1665,HLOOKUP(INDIRECT(ADDRESS(2,COLUMN())),OFFSET($T$2,0,0,ROW()-1,14),ROW()-1,FALSE))</x:f>
        <x:v>-8.7246000000000004E-2</x:v>
      </x:c>
      <x:c r="N674">
        <x:f ca="1">IF(AND($B$1012=1,LEN($N$1665)&gt;0),$N$1665,HLOOKUP(INDIRECT(ADDRESS(2,COLUMN())),OFFSET($T$2,0,0,ROW()-1,14),ROW()-1,FALSE))</x:f>
        <x:v>0</x:v>
      </x:c>
      <x:c r="O674">
        <x:f ca="1">IF(AND($B$1012=1,LEN($O$1665)&gt;0),$O$1665,HLOOKUP(INDIRECT(ADDRESS(2,COLUMN())),OFFSET($T$2,0,0,ROW()-1,14),ROW()-1,FALSE))</x:f>
        <x:v>0</x:v>
      </x:c>
      <x:c r="P674">
        <x:f ca="1">IF(AND($B$1012=1,LEN($P$1665)&gt;0),$P$1665,HLOOKUP(INDIRECT(ADDRESS(2,COLUMN())),OFFSET($T$2,0,0,ROW()-1,14),ROW()-1,FALSE))</x:f>
        <x:v>-6.002453</x:v>
      </x:c>
      <x:c r="Q674">
        <x:f ca="1">IF(AND($B$1012=1,LEN($Q$1665)&gt;0),$Q$1665,HLOOKUP(INDIRECT(ADDRESS(2,COLUMN())),OFFSET($T$2,0,0,ROW()-1,14),ROW()-1,FALSE))</x:f>
        <x:v>0</x:v>
      </x:c>
      <x:c r="R674">
        <x:f ca="1">IF(AND($B$1012=1,LEN($R$1665)&gt;0),$R$1665,HLOOKUP(INDIRECT(ADDRESS(2,COLUMN())),OFFSET($T$2,0,0,ROW()-1,14),ROW()-1,FALSE))</x:f>
        <x:v>0</x:v>
      </x:c>
      <x:c r="S674">
        <x:f ca="1">IF(AND($B$1012=1,LEN($S$1665)&gt;0),$S$1665,HLOOKUP(INDIRECT(ADDRESS(2,COLUMN())),OFFSET($T$2,0,0,ROW()-1,14),ROW()-1,FALSE))</x:f>
        <x:v>0</x:v>
      </x:c>
      <x:c r="T674">
        <x:f>0</x:f>
        <x:v>0</x:v>
      </x:c>
      <x:c r="U674">
        <x:f>-9.799159</x:f>
        <x:v>-9.7991589999999995</x:v>
      </x:c>
      <x:c r="V674">
        <x:f>0</x:f>
        <x:v>0</x:v>
      </x:c>
      <x:c r="W674">
        <x:f>-5.679897</x:f>
        <x:v>-5.6798970000000004</x:v>
      </x:c>
      <x:c r="X674">
        <x:f>0</x:f>
        <x:v>0</x:v>
      </x:c>
      <x:c r="Y674">
        <x:f>-6.012924</x:f>
        <x:v>-6.0129239999999999</x:v>
      </x:c>
      <x:c r="Z674">
        <x:f>-5.818341</x:f>
        <x:v>-5.8183410000000002</x:v>
      </x:c>
      <x:c r="AA674">
        <x:f>-0.087246</x:f>
        <x:v>-8.7246000000000004E-2</x:v>
      </x:c>
      <x:c r="AB674">
        <x:f>0</x:f>
        <x:v>0</x:v>
      </x:c>
      <x:c r="AC674">
        <x:f>0</x:f>
        <x:v>0</x:v>
      </x:c>
      <x:c r="AD674">
        <x:f>-6.002453</x:f>
        <x:v>-6.002453</x:v>
      </x:c>
      <x:c r="AE674">
        <x:f>0</x:f>
        <x:v>0</x:v>
      </x:c>
      <x:c r="AF674">
        <x:f>0</x:f>
        <x:v>0</x:v>
      </x:c>
      <x:c r="AG674">
        <x:f>0</x:f>
        <x:v>0</x:v>
      </x:c>
    </x:row>
    <x:row r="675" spans="1:33" x14ac:dyDescent="0.25">
      <x:c r="A675" t="str">
        <x:f>"            First Trust Global Wind Energy"</x:f>
        <x:v xml:space="preserve">            First Trust Global Wind Energy</x:v>
      </x:c>
      <x:c r="B675" t="str">
        <x:f>"FAN US Equity"</x:f>
        <x:v>FAN US Equity</x:v>
      </x:c>
      <x:c r="E675" t="str">
        <x:f t="shared" si="24"/>
        <x:v>Expression</x:v>
      </x:c>
      <x:c r="F675">
        <x:f ca="1">IF(AND($B$1012=1,LEN($F$1666)&gt;0),$F$1666,HLOOKUP(INDIRECT(ADDRESS(2,COLUMN())),OFFSET($T$2,0,0,ROW()-1,14),ROW()-1,FALSE))</x:f>
        <x:v>-2.8929239999999998</x:v>
      </x:c>
      <x:c r="G675">
        <x:f ca="1">IF(AND($B$1012=1,LEN($G$1666)&gt;0),$G$1666,HLOOKUP(INDIRECT(ADDRESS(2,COLUMN())),OFFSET($T$2,0,0,ROW()-1,14),ROW()-1,FALSE))</x:f>
        <x:v>-8.4197980000000001</x:v>
      </x:c>
      <x:c r="H675">
        <x:f ca="1">IF(AND($B$1012=1,LEN($H$1666)&gt;0),$H$1666,HLOOKUP(INDIRECT(ADDRESS(2,COLUMN())),OFFSET($T$2,0,0,ROW()-1,14),ROW()-1,FALSE))</x:f>
        <x:v>0</x:v>
      </x:c>
      <x:c r="I675">
        <x:f ca="1">IF(AND($B$1012=1,LEN($I$1666)&gt;0),$I$1666,HLOOKUP(INDIRECT(ADDRESS(2,COLUMN())),OFFSET($T$2,0,0,ROW()-1,14),ROW()-1,FALSE))</x:f>
        <x:v>-3.2196220000000002</x:v>
      </x:c>
      <x:c r="J675">
        <x:f ca="1">IF(AND($B$1012=1,LEN($J$1666)&gt;0),$J$1666,HLOOKUP(INDIRECT(ADDRESS(2,COLUMN())),OFFSET($T$2,0,0,ROW()-1,14),ROW()-1,FALSE))</x:f>
        <x:v>-7.6364999999999998</x:v>
      </x:c>
      <x:c r="K675">
        <x:f ca="1">IF(AND($B$1012=1,LEN($K$1666)&gt;0),$K$1666,HLOOKUP(INDIRECT(ADDRESS(2,COLUMN())),OFFSET($T$2,0,0,ROW()-1,14),ROW()-1,FALSE))</x:f>
        <x:v>-9.7204999999999995</x:v>
      </x:c>
      <x:c r="L675">
        <x:f ca="1">IF(AND($B$1012=1,LEN($L$1666)&gt;0),$L$1666,HLOOKUP(INDIRECT(ADDRESS(2,COLUMN())),OFFSET($T$2,0,0,ROW()-1,14),ROW()-1,FALSE))</x:f>
        <x:v>-7.9844999999999997</x:v>
      </x:c>
      <x:c r="M675">
        <x:f ca="1">IF(AND($B$1012=1,LEN($M$1666)&gt;0),$M$1666,HLOOKUP(INDIRECT(ADDRESS(2,COLUMN())),OFFSET($T$2,0,0,ROW()-1,14),ROW()-1,FALSE))</x:f>
        <x:v>-3.621</x:v>
      </x:c>
      <x:c r="N675">
        <x:f ca="1">IF(AND($B$1012=1,LEN($N$1666)&gt;0),$N$1666,HLOOKUP(INDIRECT(ADDRESS(2,COLUMN())),OFFSET($T$2,0,0,ROW()-1,14),ROW()-1,FALSE))</x:f>
        <x:v>-9.5109999999999992</x:v>
      </x:c>
      <x:c r="O675">
        <x:f ca="1">IF(AND($B$1012=1,LEN($O$1666)&gt;0),$O$1666,HLOOKUP(INDIRECT(ADDRESS(2,COLUMN())),OFFSET($T$2,0,0,ROW()-1,14),ROW()-1,FALSE))</x:f>
        <x:v>2.806</x:v>
      </x:c>
      <x:c r="P675">
        <x:f ca="1">IF(AND($B$1012=1,LEN($P$1666)&gt;0),$P$1666,HLOOKUP(INDIRECT(ADDRESS(2,COLUMN())),OFFSET($T$2,0,0,ROW()-1,14),ROW()-1,FALSE))</x:f>
        <x:v>6.45</x:v>
      </x:c>
      <x:c r="Q675">
        <x:f ca="1">IF(AND($B$1012=1,LEN($Q$1666)&gt;0),$Q$1666,HLOOKUP(INDIRECT(ADDRESS(2,COLUMN())),OFFSET($T$2,0,0,ROW()-1,14),ROW()-1,FALSE))</x:f>
        <x:v>-5.2302229999999996</x:v>
      </x:c>
      <x:c r="R675">
        <x:f ca="1">IF(AND($B$1012=1,LEN($R$1666)&gt;0),$R$1666,HLOOKUP(INDIRECT(ADDRESS(2,COLUMN())),OFFSET($T$2,0,0,ROW()-1,14),ROW()-1,FALSE))</x:f>
        <x:v>1.739365</x:v>
      </x:c>
      <x:c r="S675">
        <x:f ca="1">IF(AND($B$1012=1,LEN($S$1666)&gt;0),$S$1666,HLOOKUP(INDIRECT(ADDRESS(2,COLUMN())),OFFSET($T$2,0,0,ROW()-1,14),ROW()-1,FALSE))</x:f>
        <x:v>1.582052</x:v>
      </x:c>
      <x:c r="T675">
        <x:f>-2.892924</x:f>
        <x:v>-2.8929239999999998</x:v>
      </x:c>
      <x:c r="U675">
        <x:f>-8.419798</x:f>
        <x:v>-8.4197980000000001</x:v>
      </x:c>
      <x:c r="V675">
        <x:f>0</x:f>
        <x:v>0</x:v>
      </x:c>
      <x:c r="W675">
        <x:f>-3.219622</x:f>
        <x:v>-3.2196220000000002</x:v>
      </x:c>
      <x:c r="X675">
        <x:f>-7.6365</x:f>
        <x:v>-7.6364999999999998</x:v>
      </x:c>
      <x:c r="Y675">
        <x:f>-9.7205</x:f>
        <x:v>-9.7204999999999995</x:v>
      </x:c>
      <x:c r="Z675">
        <x:f>-7.9845</x:f>
        <x:v>-7.9844999999999997</x:v>
      </x:c>
      <x:c r="AA675">
        <x:f>-3.621</x:f>
        <x:v>-3.621</x:v>
      </x:c>
      <x:c r="AB675">
        <x:f>-9.511</x:f>
        <x:v>-9.5109999999999992</x:v>
      </x:c>
      <x:c r="AC675">
        <x:f>2.806</x:f>
        <x:v>2.806</x:v>
      </x:c>
      <x:c r="AD675">
        <x:f>6.45</x:f>
        <x:v>6.45</x:v>
      </x:c>
      <x:c r="AE675">
        <x:f>-5.230223</x:f>
        <x:v>-5.2302229999999996</x:v>
      </x:c>
      <x:c r="AF675">
        <x:f>1.739365</x:f>
        <x:v>1.739365</x:v>
      </x:c>
      <x:c r="AG675">
        <x:f>1.582052</x:f>
        <x:v>1.582052</x:v>
      </x:c>
    </x:row>
    <x:row r="676" spans="1:33" x14ac:dyDescent="0.25">
      <x:c r="A676" t="str">
        <x:f>"            Global X Uranium ETF"</x:f>
        <x:v xml:space="preserve">            Global X Uranium ETF</x:v>
      </x:c>
      <x:c r="B676" t="str">
        <x:f>"URA US Equity"</x:f>
        <x:v>URA US Equity</x:v>
      </x:c>
      <x:c r="E676" t="str">
        <x:f t="shared" si="24"/>
        <x:v>Expression</x:v>
      </x:c>
      <x:c r="F676">
        <x:f ca="1">IF(AND($B$1012=1,LEN($F$1667)&gt;0),$F$1667,HLOOKUP(INDIRECT(ADDRESS(2,COLUMN())),OFFSET($T$2,0,0,ROW()-1,14),ROW()-1,FALSE))</x:f>
        <x:v>53.4666</x:v>
      </x:c>
      <x:c r="G676">
        <x:f ca="1">IF(AND($B$1012=1,LEN($G$1667)&gt;0),$G$1667,HLOOKUP(INDIRECT(ADDRESS(2,COLUMN())),OFFSET($T$2,0,0,ROW()-1,14),ROW()-1,FALSE))</x:f>
        <x:v>105.3796</x:v>
      </x:c>
      <x:c r="H676">
        <x:f ca="1">IF(AND($B$1012=1,LEN($H$1667)&gt;0),$H$1667,HLOOKUP(INDIRECT(ADDRESS(2,COLUMN())),OFFSET($T$2,0,0,ROW()-1,14),ROW()-1,FALSE))</x:f>
        <x:v>83.4255</x:v>
      </x:c>
      <x:c r="I676">
        <x:f ca="1">IF(AND($B$1012=1,LEN($I$1667)&gt;0),$I$1667,HLOOKUP(INDIRECT(ADDRESS(2,COLUMN())),OFFSET($T$2,0,0,ROW()-1,14),ROW()-1,FALSE))</x:f>
        <x:v>74.812200000000004</x:v>
      </x:c>
      <x:c r="J676">
        <x:f ca="1">IF(AND($B$1012=1,LEN($J$1667)&gt;0),$J$1667,HLOOKUP(INDIRECT(ADDRESS(2,COLUMN())),OFFSET($T$2,0,0,ROW()-1,14),ROW()-1,FALSE))</x:f>
        <x:v>-15.063700000000001</x:v>
      </x:c>
      <x:c r="K676">
        <x:f ca="1">IF(AND($B$1012=1,LEN($K$1667)&gt;0),$K$1667,HLOOKUP(INDIRECT(ADDRESS(2,COLUMN())),OFFSET($T$2,0,0,ROW()-1,14),ROW()-1,FALSE))</x:f>
        <x:v>58.824199999999998</x:v>
      </x:c>
      <x:c r="L676">
        <x:f ca="1">IF(AND($B$1012=1,LEN($L$1667)&gt;0),$L$1667,HLOOKUP(INDIRECT(ADDRESS(2,COLUMN())),OFFSET($T$2,0,0,ROW()-1,14),ROW()-1,FALSE))</x:f>
        <x:v>26.868200000000002</x:v>
      </x:c>
      <x:c r="M676">
        <x:f ca="1">IF(AND($B$1012=1,LEN($M$1667)&gt;0),$M$1667,HLOOKUP(INDIRECT(ADDRESS(2,COLUMN())),OFFSET($T$2,0,0,ROW()-1,14),ROW()-1,FALSE))</x:f>
        <x:v>-38.618400000000001</x:v>
      </x:c>
      <x:c r="N676">
        <x:f ca="1">IF(AND($B$1012=1,LEN($N$1667)&gt;0),$N$1667,HLOOKUP(INDIRECT(ADDRESS(2,COLUMN())),OFFSET($T$2,0,0,ROW()-1,14),ROW()-1,FALSE))</x:f>
        <x:v>-45.464100000000002</x:v>
      </x:c>
      <x:c r="O676">
        <x:f ca="1">IF(AND($B$1012=1,LEN($O$1667)&gt;0),$O$1667,HLOOKUP(INDIRECT(ADDRESS(2,COLUMN())),OFFSET($T$2,0,0,ROW()-1,14),ROW()-1,FALSE))</x:f>
        <x:v>-98.166899999999998</x:v>
      </x:c>
      <x:c r="P676">
        <x:f ca="1">IF(AND($B$1012=1,LEN($P$1667)&gt;0),$P$1667,HLOOKUP(INDIRECT(ADDRESS(2,COLUMN())),OFFSET($T$2,0,0,ROW()-1,14),ROW()-1,FALSE))</x:f>
        <x:v>56.447099999999999</x:v>
      </x:c>
      <x:c r="Q676">
        <x:f ca="1">IF(AND($B$1012=1,LEN($Q$1667)&gt;0),$Q$1667,HLOOKUP(INDIRECT(ADDRESS(2,COLUMN())),OFFSET($T$2,0,0,ROW()-1,14),ROW()-1,FALSE))</x:f>
        <x:v>-60.7622</x:v>
      </x:c>
      <x:c r="R676">
        <x:f ca="1">IF(AND($B$1012=1,LEN($R$1667)&gt;0),$R$1667,HLOOKUP(INDIRECT(ADDRESS(2,COLUMN())),OFFSET($T$2,0,0,ROW()-1,14),ROW()-1,FALSE))</x:f>
        <x:v>-13.927</x:v>
      </x:c>
      <x:c r="S676">
        <x:f ca="1">IF(AND($B$1012=1,LEN($S$1667)&gt;0),$S$1667,HLOOKUP(INDIRECT(ADDRESS(2,COLUMN())),OFFSET($T$2,0,0,ROW()-1,14),ROW()-1,FALSE))</x:f>
        <x:v>25.181000000000001</x:v>
      </x:c>
      <x:c r="T676">
        <x:f>53.4666</x:f>
        <x:v>53.4666</x:v>
      </x:c>
      <x:c r="U676">
        <x:f>105.3796</x:f>
        <x:v>105.3796</x:v>
      </x:c>
      <x:c r="V676">
        <x:f>83.4255</x:f>
        <x:v>83.4255</x:v>
      </x:c>
      <x:c r="W676">
        <x:f>74.8122</x:f>
        <x:v>74.812200000000004</x:v>
      </x:c>
      <x:c r="X676">
        <x:f>-15.0637</x:f>
        <x:v>-15.063700000000001</x:v>
      </x:c>
      <x:c r="Y676">
        <x:f>58.8242</x:f>
        <x:v>58.824199999999998</x:v>
      </x:c>
      <x:c r="Z676">
        <x:f>26.8682</x:f>
        <x:v>26.868200000000002</x:v>
      </x:c>
      <x:c r="AA676">
        <x:f>-38.6184</x:f>
        <x:v>-38.618400000000001</x:v>
      </x:c>
      <x:c r="AB676">
        <x:f>-45.4641</x:f>
        <x:v>-45.464100000000002</x:v>
      </x:c>
      <x:c r="AC676">
        <x:f>-98.1669</x:f>
        <x:v>-98.166899999999998</x:v>
      </x:c>
      <x:c r="AD676">
        <x:f>56.4471</x:f>
        <x:v>56.447099999999999</x:v>
      </x:c>
      <x:c r="AE676">
        <x:f>-60.7622</x:f>
        <x:v>-60.7622</x:v>
      </x:c>
      <x:c r="AF676">
        <x:f>-13.927</x:f>
        <x:v>-13.927</x:v>
      </x:c>
      <x:c r="AG676">
        <x:f>25.181</x:f>
        <x:v>25.181000000000001</x:v>
      </x:c>
    </x:row>
    <x:row r="677" spans="1:33" x14ac:dyDescent="0.25">
      <x:c r="A677" t="str">
        <x:f>"            First Trust EIP Carbon Impact"</x:f>
        <x:v xml:space="preserve">            First Trust EIP Carbon Impact</x:v>
      </x:c>
      <x:c r="B677" t="str">
        <x:f>"ECLN US Equity"</x:f>
        <x:v>ECLN US Equity</x:v>
      </x:c>
      <x:c r="E677" t="str">
        <x:f t="shared" si="24"/>
        <x:v>Expression</x:v>
      </x:c>
      <x:c r="F677">
        <x:f ca="1">IF(AND($B$1012=1,LEN($F$1668)&gt;0),$F$1668,HLOOKUP(INDIRECT(ADDRESS(2,COLUMN())),OFFSET($T$2,0,0,ROW()-1,14),ROW()-1,FALSE))</x:f>
        <x:v>0</x:v>
      </x:c>
      <x:c r="G677">
        <x:f ca="1">IF(AND($B$1012=1,LEN($G$1668)&gt;0),$G$1668,HLOOKUP(INDIRECT(ADDRESS(2,COLUMN())),OFFSET($T$2,0,0,ROW()-1,14),ROW()-1,FALSE))</x:f>
        <x:v>-1.1391869999999999</x:v>
      </x:c>
      <x:c r="H677">
        <x:f ca="1">IF(AND($B$1012=1,LEN($H$1668)&gt;0),$H$1668,HLOOKUP(INDIRECT(ADDRESS(2,COLUMN())),OFFSET($T$2,0,0,ROW()-1,14),ROW()-1,FALSE))</x:f>
        <x:v>0</x:v>
      </x:c>
      <x:c r="I677">
        <x:f ca="1">IF(AND($B$1012=1,LEN($I$1668)&gt;0),$I$1668,HLOOKUP(INDIRECT(ADDRESS(2,COLUMN())),OFFSET($T$2,0,0,ROW()-1,14),ROW()-1,FALSE))</x:f>
        <x:v>-1.236</x:v>
      </x:c>
      <x:c r="J677">
        <x:f ca="1">IF(AND($B$1012=1,LEN($J$1668)&gt;0),$J$1668,HLOOKUP(INDIRECT(ADDRESS(2,COLUMN())),OFFSET($T$2,0,0,ROW()-1,14),ROW()-1,FALSE))</x:f>
        <x:v>1.8499999999999999E-2</x:v>
      </x:c>
      <x:c r="K677">
        <x:f ca="1">IF(AND($B$1012=1,LEN($K$1668)&gt;0),$K$1668,HLOOKUP(INDIRECT(ADDRESS(2,COLUMN())),OFFSET($T$2,0,0,ROW()-1,14),ROW()-1,FALSE))</x:f>
        <x:v>0</x:v>
      </x:c>
      <x:c r="L677">
        <x:f ca="1">IF(AND($B$1012=1,LEN($L$1668)&gt;0),$L$1668,HLOOKUP(INDIRECT(ADDRESS(2,COLUMN())),OFFSET($T$2,0,0,ROW()-1,14),ROW()-1,FALSE))</x:f>
        <x:v>1.268</x:v>
      </x:c>
      <x:c r="M677">
        <x:f ca="1">IF(AND($B$1012=1,LEN($M$1668)&gt;0),$M$1668,HLOOKUP(INDIRECT(ADDRESS(2,COLUMN())),OFFSET($T$2,0,0,ROW()-1,14),ROW()-1,FALSE))</x:f>
        <x:v>1.2835000000000001</x:v>
      </x:c>
      <x:c r="N677">
        <x:f ca="1">IF(AND($B$1012=1,LEN($N$1668)&gt;0),$N$1668,HLOOKUP(INDIRECT(ADDRESS(2,COLUMN())),OFFSET($T$2,0,0,ROW()-1,14),ROW()-1,FALSE))</x:f>
        <x:v>0</x:v>
      </x:c>
      <x:c r="O677">
        <x:f ca="1">IF(AND($B$1012=1,LEN($O$1668)&gt;0),$O$1668,HLOOKUP(INDIRECT(ADDRESS(2,COLUMN())),OFFSET($T$2,0,0,ROW()-1,14),ROW()-1,FALSE))</x:f>
        <x:v>5.0000000000000001E-3</x:v>
      </x:c>
      <x:c r="P677">
        <x:f ca="1">IF(AND($B$1012=1,LEN($P$1668)&gt;0),$P$1668,HLOOKUP(INDIRECT(ADDRESS(2,COLUMN())),OFFSET($T$2,0,0,ROW()-1,14),ROW()-1,FALSE))</x:f>
        <x:v>0</x:v>
      </x:c>
      <x:c r="Q677">
        <x:f ca="1">IF(AND($B$1012=1,LEN($Q$1668)&gt;0),$Q$1668,HLOOKUP(INDIRECT(ADDRESS(2,COLUMN())),OFFSET($T$2,0,0,ROW()-1,14),ROW()-1,FALSE))</x:f>
        <x:v>1.2839510000000001</x:v>
      </x:c>
      <x:c r="R677">
        <x:f ca="1">IF(AND($B$1012=1,LEN($R$1668)&gt;0),$R$1668,HLOOKUP(INDIRECT(ADDRESS(2,COLUMN())),OFFSET($T$2,0,0,ROW()-1,14),ROW()-1,FALSE))</x:f>
        <x:v>1.2959830000000001</x:v>
      </x:c>
      <x:c r="S677">
        <x:f ca="1">IF(AND($B$1012=1,LEN($S$1668)&gt;0),$S$1668,HLOOKUP(INDIRECT(ADDRESS(2,COLUMN())),OFFSET($T$2,0,0,ROW()-1,14),ROW()-1,FALSE))</x:f>
        <x:v>4.8604250000000002</x:v>
      </x:c>
      <x:c r="T677">
        <x:f>0</x:f>
        <x:v>0</x:v>
      </x:c>
      <x:c r="U677">
        <x:f>-1.139187</x:f>
        <x:v>-1.1391869999999999</x:v>
      </x:c>
      <x:c r="V677">
        <x:f>0</x:f>
        <x:v>0</x:v>
      </x:c>
      <x:c r="W677">
        <x:f>-1.236</x:f>
        <x:v>-1.236</x:v>
      </x:c>
      <x:c r="X677">
        <x:f>0.0185</x:f>
        <x:v>1.8499999999999999E-2</x:v>
      </x:c>
      <x:c r="Y677">
        <x:f>0</x:f>
        <x:v>0</x:v>
      </x:c>
      <x:c r="Z677">
        <x:f>1.268</x:f>
        <x:v>1.268</x:v>
      </x:c>
      <x:c r="AA677">
        <x:f>1.2835</x:f>
        <x:v>1.2835000000000001</x:v>
      </x:c>
      <x:c r="AB677">
        <x:f>0</x:f>
        <x:v>0</x:v>
      </x:c>
      <x:c r="AC677">
        <x:f>0.005</x:f>
        <x:v>5.0000000000000001E-3</x:v>
      </x:c>
      <x:c r="AD677">
        <x:f>0</x:f>
        <x:v>0</x:v>
      </x:c>
      <x:c r="AE677">
        <x:f>1.283951</x:f>
        <x:v>1.2839510000000001</x:v>
      </x:c>
      <x:c r="AF677">
        <x:f>1.295983</x:f>
        <x:v>1.2959830000000001</x:v>
      </x:c>
      <x:c r="AG677">
        <x:f>4.860425</x:f>
        <x:v>4.8604250000000002</x:v>
      </x:c>
    </x:row>
    <x:row r="678" spans="1:33" x14ac:dyDescent="0.25">
      <x:c r="A678" t="str">
        <x:f>"            Global X CleanTech ETF"</x:f>
        <x:v xml:space="preserve">            Global X CleanTech ETF</x:v>
      </x:c>
      <x:c r="B678" t="str">
        <x:f>"CTEC US Equity"</x:f>
        <x:v>CTEC US Equity</x:v>
      </x:c>
      <x:c r="E678" t="str">
        <x:f t="shared" si="24"/>
        <x:v>Expression</x:v>
      </x:c>
      <x:c r="F678">
        <x:f ca="1">IF(AND($B$1012=1,LEN($F$1669)&gt;0),$F$1669,HLOOKUP(INDIRECT(ADDRESS(2,COLUMN())),OFFSET($T$2,0,0,ROW()-1,14),ROW()-1,FALSE))</x:f>
        <x:v>-2.0280999999999998</x:v>
      </x:c>
      <x:c r="G678">
        <x:f ca="1">IF(AND($B$1012=1,LEN($G$1669)&gt;0),$G$1669,HLOOKUP(INDIRECT(ADDRESS(2,COLUMN())),OFFSET($T$2,0,0,ROW()-1,14),ROW()-1,FALSE))</x:f>
        <x:v>0</x:v>
      </x:c>
      <x:c r="H678">
        <x:f ca="1">IF(AND($B$1012=1,LEN($H$1669)&gt;0),$H$1669,HLOOKUP(INDIRECT(ADDRESS(2,COLUMN())),OFFSET($T$2,0,0,ROW()-1,14),ROW()-1,FALSE))</x:f>
        <x:v>-2.3915000000000002</x:v>
      </x:c>
      <x:c r="I678">
        <x:f ca="1">IF(AND($B$1012=1,LEN($I$1669)&gt;0),$I$1669,HLOOKUP(INDIRECT(ADDRESS(2,COLUMN())),OFFSET($T$2,0,0,ROW()-1,14),ROW()-1,FALSE))</x:f>
        <x:v>-3.1402000000000001</x:v>
      </x:c>
      <x:c r="J678">
        <x:f ca="1">IF(AND($B$1012=1,LEN($J$1669)&gt;0),$J$1669,HLOOKUP(INDIRECT(ADDRESS(2,COLUMN())),OFFSET($T$2,0,0,ROW()-1,14),ROW()-1,FALSE))</x:f>
        <x:v>-1.8156000000000001</x:v>
      </x:c>
      <x:c r="K678">
        <x:f ca="1">IF(AND($B$1012=1,LEN($K$1669)&gt;0),$K$1669,HLOOKUP(INDIRECT(ADDRESS(2,COLUMN())),OFFSET($T$2,0,0,ROW()-1,14),ROW()-1,FALSE))</x:f>
        <x:v>-2.4131999999999998</x:v>
      </x:c>
      <x:c r="L678">
        <x:f ca="1">IF(AND($B$1012=1,LEN($L$1669)&gt;0),$L$1669,HLOOKUP(INDIRECT(ADDRESS(2,COLUMN())),OFFSET($T$2,0,0,ROW()-1,14),ROW()-1,FALSE))</x:f>
        <x:v>-3.7172000000000001</x:v>
      </x:c>
      <x:c r="M678">
        <x:f ca="1">IF(AND($B$1012=1,LEN($M$1669)&gt;0),$M$1669,HLOOKUP(INDIRECT(ADDRESS(2,COLUMN())),OFFSET($T$2,0,0,ROW()-1,14),ROW()-1,FALSE))</x:f>
        <x:v>-4.6712999999999996</x:v>
      </x:c>
      <x:c r="N678">
        <x:f ca="1">IF(AND($B$1012=1,LEN($N$1669)&gt;0),$N$1669,HLOOKUP(INDIRECT(ADDRESS(2,COLUMN())),OFFSET($T$2,0,0,ROW()-1,14),ROW()-1,FALSE))</x:f>
        <x:v>-2.1474000000000002</x:v>
      </x:c>
      <x:c r="O678">
        <x:f ca="1">IF(AND($B$1012=1,LEN($O$1669)&gt;0),$O$1669,HLOOKUP(INDIRECT(ADDRESS(2,COLUMN())),OFFSET($T$2,0,0,ROW()-1,14),ROW()-1,FALSE))</x:f>
        <x:v>-4.4273999999999996</x:v>
      </x:c>
      <x:c r="P678">
        <x:f ca="1">IF(AND($B$1012=1,LEN($P$1669)&gt;0),$P$1669,HLOOKUP(INDIRECT(ADDRESS(2,COLUMN())),OFFSET($T$2,0,0,ROW()-1,14),ROW()-1,FALSE))</x:f>
        <x:v>0</x:v>
      </x:c>
      <x:c r="Q678">
        <x:f ca="1">IF(AND($B$1012=1,LEN($Q$1669)&gt;0),$Q$1669,HLOOKUP(INDIRECT(ADDRESS(2,COLUMN())),OFFSET($T$2,0,0,ROW()-1,14),ROW()-1,FALSE))</x:f>
        <x:v>2.0941999999999998</x:v>
      </x:c>
      <x:c r="R678">
        <x:f ca="1">IF(AND($B$1012=1,LEN($R$1669)&gt;0),$R$1669,HLOOKUP(INDIRECT(ADDRESS(2,COLUMN())),OFFSET($T$2,0,0,ROW()-1,14),ROW()-1,FALSE))</x:f>
        <x:v>0.47520000000000001</x:v>
      </x:c>
      <x:c r="S678">
        <x:f ca="1">IF(AND($B$1012=1,LEN($S$1669)&gt;0),$S$1669,HLOOKUP(INDIRECT(ADDRESS(2,COLUMN())),OFFSET($T$2,0,0,ROW()-1,14),ROW()-1,FALSE))</x:f>
        <x:v>0</x:v>
      </x:c>
      <x:c r="T678">
        <x:f>-2.0281</x:f>
        <x:v>-2.0280999999999998</x:v>
      </x:c>
      <x:c r="U678">
        <x:f>0</x:f>
        <x:v>0</x:v>
      </x:c>
      <x:c r="V678">
        <x:f>-2.3915</x:f>
        <x:v>-2.3915000000000002</x:v>
      </x:c>
      <x:c r="W678">
        <x:f>-3.1402</x:f>
        <x:v>-3.1402000000000001</x:v>
      </x:c>
      <x:c r="X678">
        <x:f>-1.8156</x:f>
        <x:v>-1.8156000000000001</x:v>
      </x:c>
      <x:c r="Y678">
        <x:f>-2.4132</x:f>
        <x:v>-2.4131999999999998</x:v>
      </x:c>
      <x:c r="Z678">
        <x:f>-3.7172</x:f>
        <x:v>-3.7172000000000001</x:v>
      </x:c>
      <x:c r="AA678">
        <x:f>-4.6713</x:f>
        <x:v>-4.6712999999999996</x:v>
      </x:c>
      <x:c r="AB678">
        <x:f>-2.1474</x:f>
        <x:v>-2.1474000000000002</x:v>
      </x:c>
      <x:c r="AC678">
        <x:f>-4.4274</x:f>
        <x:v>-4.4273999999999996</x:v>
      </x:c>
      <x:c r="AD678">
        <x:f>0</x:f>
        <x:v>0</x:v>
      </x:c>
      <x:c r="AE678">
        <x:f>2.0942</x:f>
        <x:v>2.0941999999999998</x:v>
      </x:c>
      <x:c r="AF678">
        <x:f>0.4752</x:f>
        <x:v>0.47520000000000001</x:v>
      </x:c>
      <x:c r="AG678">
        <x:f>0</x:f>
        <x:v>0</x:v>
      </x:c>
    </x:row>
    <x:row r="679" spans="1:33" x14ac:dyDescent="0.25">
      <x:c r="A679" t="str">
        <x:f>"            SmartETFs Sustainable Energy I"</x:f>
        <x:v xml:space="preserve">            SmartETFs Sustainable Energy I</x:v>
      </x:c>
      <x:c r="B679" t="str">
        <x:f>"SULR US Equity"</x:f>
        <x:v>SULR US Equity</x:v>
      </x:c>
      <x:c r="E679" t="str">
        <x:f t="shared" si="24"/>
        <x:v>Expression</x:v>
      </x:c>
      <x:c r="F679">
        <x:f ca="1">IF(AND($B$1012=1,LEN($F$1670)&gt;0),$F$1670,HLOOKUP(INDIRECT(ADDRESS(2,COLUMN())),OFFSET($T$2,0,0,ROW()-1,14),ROW()-1,FALSE))</x:f>
        <x:v>0</x:v>
      </x:c>
      <x:c r="G679">
        <x:f ca="1">IF(AND($B$1012=1,LEN($G$1670)&gt;0),$G$1670,HLOOKUP(INDIRECT(ADDRESS(2,COLUMN())),OFFSET($T$2,0,0,ROW()-1,14),ROW()-1,FALSE))</x:f>
        <x:v>0</x:v>
      </x:c>
      <x:c r="H679">
        <x:f ca="1">IF(AND($B$1012=1,LEN($H$1670)&gt;0),$H$1670,HLOOKUP(INDIRECT(ADDRESS(2,COLUMN())),OFFSET($T$2,0,0,ROW()-1,14),ROW()-1,FALSE))</x:f>
        <x:v>0</x:v>
      </x:c>
      <x:c r="I679">
        <x:f ca="1">IF(AND($B$1012=1,LEN($I$1670)&gt;0),$I$1670,HLOOKUP(INDIRECT(ADDRESS(2,COLUMN())),OFFSET($T$2,0,0,ROW()-1,14),ROW()-1,FALSE))</x:f>
        <x:v>0</x:v>
      </x:c>
      <x:c r="J679">
        <x:f ca="1">IF(AND($B$1012=1,LEN($J$1670)&gt;0),$J$1670,HLOOKUP(INDIRECT(ADDRESS(2,COLUMN())),OFFSET($T$2,0,0,ROW()-1,14),ROW()-1,FALSE))</x:f>
        <x:v>0</x:v>
      </x:c>
      <x:c r="K679">
        <x:f ca="1">IF(AND($B$1012=1,LEN($K$1670)&gt;0),$K$1670,HLOOKUP(INDIRECT(ADDRESS(2,COLUMN())),OFFSET($T$2,0,0,ROW()-1,14),ROW()-1,FALSE))</x:f>
        <x:v>0</x:v>
      </x:c>
      <x:c r="L679">
        <x:f ca="1">IF(AND($B$1012=1,LEN($L$1670)&gt;0),$L$1670,HLOOKUP(INDIRECT(ADDRESS(2,COLUMN())),OFFSET($T$2,0,0,ROW()-1,14),ROW()-1,FALSE))</x:f>
        <x:v>0</x:v>
      </x:c>
      <x:c r="M679">
        <x:f ca="1">IF(AND($B$1012=1,LEN($M$1670)&gt;0),$M$1670,HLOOKUP(INDIRECT(ADDRESS(2,COLUMN())),OFFSET($T$2,0,0,ROW()-1,14),ROW()-1,FALSE))</x:f>
        <x:v>0</x:v>
      </x:c>
      <x:c r="N679">
        <x:f ca="1">IF(AND($B$1012=1,LEN($N$1670)&gt;0),$N$1670,HLOOKUP(INDIRECT(ADDRESS(2,COLUMN())),OFFSET($T$2,0,0,ROW()-1,14),ROW()-1,FALSE))</x:f>
        <x:v>0</x:v>
      </x:c>
      <x:c r="O679">
        <x:f ca="1">IF(AND($B$1012=1,LEN($O$1670)&gt;0),$O$1670,HLOOKUP(INDIRECT(ADDRESS(2,COLUMN())),OFFSET($T$2,0,0,ROW()-1,14),ROW()-1,FALSE))</x:f>
        <x:v>0</x:v>
      </x:c>
      <x:c r="P679">
        <x:f ca="1">IF(AND($B$1012=1,LEN($P$1670)&gt;0),$P$1670,HLOOKUP(INDIRECT(ADDRESS(2,COLUMN())),OFFSET($T$2,0,0,ROW()-1,14),ROW()-1,FALSE))</x:f>
        <x:v>0</x:v>
      </x:c>
      <x:c r="Q679">
        <x:f ca="1">IF(AND($B$1012=1,LEN($Q$1670)&gt;0),$Q$1670,HLOOKUP(INDIRECT(ADDRESS(2,COLUMN())),OFFSET($T$2,0,0,ROW()-1,14),ROW()-1,FALSE))</x:f>
        <x:v>0</x:v>
      </x:c>
      <x:c r="R679">
        <x:f ca="1">IF(AND($B$1012=1,LEN($R$1670)&gt;0),$R$1670,HLOOKUP(INDIRECT(ADDRESS(2,COLUMN())),OFFSET($T$2,0,0,ROW()-1,14),ROW()-1,FALSE))</x:f>
        <x:v>0</x:v>
      </x:c>
      <x:c r="S679">
        <x:f ca="1">IF(AND($B$1012=1,LEN($S$1670)&gt;0),$S$1670,HLOOKUP(INDIRECT(ADDRESS(2,COLUMN())),OFFSET($T$2,0,0,ROW()-1,14),ROW()-1,FALSE))</x:f>
        <x:v>0</x:v>
      </x:c>
      <x:c r="T679">
        <x:f>0</x:f>
        <x:v>0</x:v>
      </x:c>
      <x:c r="U679">
        <x:f>0</x:f>
        <x:v>0</x:v>
      </x:c>
      <x:c r="V679">
        <x:f>0</x:f>
        <x:v>0</x:v>
      </x:c>
      <x:c r="W679">
        <x:f>0</x:f>
        <x:v>0</x:v>
      </x:c>
      <x:c r="X679">
        <x:f>0</x:f>
        <x:v>0</x:v>
      </x:c>
      <x:c r="Y679">
        <x:f>0</x:f>
        <x:v>0</x:v>
      </x:c>
      <x:c r="Z679">
        <x:f>0</x:f>
        <x:v>0</x:v>
      </x:c>
      <x:c r="AA679">
        <x:f>0</x:f>
        <x:v>0</x:v>
      </x:c>
      <x:c r="AB679">
        <x:f>0</x:f>
        <x:v>0</x:v>
      </x:c>
      <x:c r="AC679">
        <x:f>0</x:f>
        <x:v>0</x:v>
      </x:c>
      <x:c r="AD679">
        <x:f>0</x:f>
        <x:v>0</x:v>
      </x:c>
      <x:c r="AE679">
        <x:f>0</x:f>
        <x:v>0</x:v>
      </x:c>
      <x:c r="AF679">
        <x:f>0</x:f>
        <x:v>0</x:v>
      </x:c>
      <x:c r="AG679">
        <x:f>0</x:f>
        <x:v>0</x:v>
      </x:c>
    </x:row>
    <x:row r="680" spans="1:33" x14ac:dyDescent="0.25">
      <x:c r="A680" t="str">
        <x:f>"            Blue Horizon New Energy Econom"</x:f>
        <x:v xml:space="preserve">            Blue Horizon New Energy Econom</x:v>
      </x:c>
      <x:c r="B680" t="str">
        <x:f>"BNE US Equity"</x:f>
        <x:v>BNE US Equity</x:v>
      </x:c>
      <x:c r="E680" t="str">
        <x:f t="shared" si="24"/>
        <x:v>Expression</x:v>
      </x:c>
      <x:c r="F680">
        <x:f ca="1">IF(AND($B$1012=1,LEN($F$1671)&gt;0),$F$1671,HLOOKUP(INDIRECT(ADDRESS(2,COLUMN())),OFFSET($T$2,0,0,ROW()-1,14),ROW()-1,FALSE))</x:f>
        <x:v>0</x:v>
      </x:c>
      <x:c r="G680">
        <x:f ca="1">IF(AND($B$1012=1,LEN($G$1671)&gt;0),$G$1671,HLOOKUP(INDIRECT(ADDRESS(2,COLUMN())),OFFSET($T$2,0,0,ROW()-1,14),ROW()-1,FALSE))</x:f>
        <x:v>0</x:v>
      </x:c>
      <x:c r="H680">
        <x:f ca="1">IF(AND($B$1012=1,LEN($H$1671)&gt;0),$H$1671,HLOOKUP(INDIRECT(ADDRESS(2,COLUMN())),OFFSET($T$2,0,0,ROW()-1,14),ROW()-1,FALSE))</x:f>
        <x:v>0</x:v>
      </x:c>
      <x:c r="I680">
        <x:f ca="1">IF(AND($B$1012=1,LEN($I$1671)&gt;0),$I$1671,HLOOKUP(INDIRECT(ADDRESS(2,COLUMN())),OFFSET($T$2,0,0,ROW()-1,14),ROW()-1,FALSE))</x:f>
        <x:v>0</x:v>
      </x:c>
      <x:c r="J680">
        <x:f ca="1">IF(AND($B$1012=1,LEN($J$1671)&gt;0),$J$1671,HLOOKUP(INDIRECT(ADDRESS(2,COLUMN())),OFFSET($T$2,0,0,ROW()-1,14),ROW()-1,FALSE))</x:f>
        <x:v>-2.0638570000000001</x:v>
      </x:c>
      <x:c r="K680">
        <x:f ca="1">IF(AND($B$1012=1,LEN($K$1671)&gt;0),$K$1671,HLOOKUP(INDIRECT(ADDRESS(2,COLUMN())),OFFSET($T$2,0,0,ROW()-1,14),ROW()-1,FALSE))</x:f>
        <x:v>0</x:v>
      </x:c>
      <x:c r="L680">
        <x:f ca="1">IF(AND($B$1012=1,LEN($L$1671)&gt;0),$L$1671,HLOOKUP(INDIRECT(ADDRESS(2,COLUMN())),OFFSET($T$2,0,0,ROW()-1,14),ROW()-1,FALSE))</x:f>
        <x:v>0</x:v>
      </x:c>
      <x:c r="M680">
        <x:f ca="1">IF(AND($B$1012=1,LEN($M$1671)&gt;0),$M$1671,HLOOKUP(INDIRECT(ADDRESS(2,COLUMN())),OFFSET($T$2,0,0,ROW()-1,14),ROW()-1,FALSE))</x:f>
        <x:v>0</x:v>
      </x:c>
      <x:c r="N680">
        <x:f ca="1">IF(AND($B$1012=1,LEN($N$1671)&gt;0),$N$1671,HLOOKUP(INDIRECT(ADDRESS(2,COLUMN())),OFFSET($T$2,0,0,ROW()-1,14),ROW()-1,FALSE))</x:f>
        <x:v>-1.27084</x:v>
      </x:c>
      <x:c r="O680">
        <x:f ca="1">IF(AND($B$1012=1,LEN($O$1671)&gt;0),$O$1671,HLOOKUP(INDIRECT(ADDRESS(2,COLUMN())),OFFSET($T$2,0,0,ROW()-1,14),ROW()-1,FALSE))</x:f>
        <x:v>1.9135450000000001</x:v>
      </x:c>
      <x:c r="P680">
        <x:f ca="1">IF(AND($B$1012=1,LEN($P$1671)&gt;0),$P$1671,HLOOKUP(INDIRECT(ADDRESS(2,COLUMN())),OFFSET($T$2,0,0,ROW()-1,14),ROW()-1,FALSE))</x:f>
        <x:v>0</x:v>
      </x:c>
      <x:c r="Q680">
        <x:f ca="1">IF(AND($B$1012=1,LEN($Q$1671)&gt;0),$Q$1671,HLOOKUP(INDIRECT(ADDRESS(2,COLUMN())),OFFSET($T$2,0,0,ROW()-1,14),ROW()-1,FALSE))</x:f>
        <x:v>0</x:v>
      </x:c>
      <x:c r="R680">
        <x:f ca="1">IF(AND($B$1012=1,LEN($R$1671)&gt;0),$R$1671,HLOOKUP(INDIRECT(ADDRESS(2,COLUMN())),OFFSET($T$2,0,0,ROW()-1,14),ROW()-1,FALSE))</x:f>
        <x:v>0</x:v>
      </x:c>
      <x:c r="S680">
        <x:f ca="1">IF(AND($B$1012=1,LEN($S$1671)&gt;0),$S$1671,HLOOKUP(INDIRECT(ADDRESS(2,COLUMN())),OFFSET($T$2,0,0,ROW()-1,14),ROW()-1,FALSE))</x:f>
        <x:v>0</x:v>
      </x:c>
      <x:c r="T680">
        <x:f>0</x:f>
        <x:v>0</x:v>
      </x:c>
      <x:c r="U680">
        <x:f>0</x:f>
        <x:v>0</x:v>
      </x:c>
      <x:c r="V680">
        <x:f>0</x:f>
        <x:v>0</x:v>
      </x:c>
      <x:c r="W680">
        <x:f>0</x:f>
        <x:v>0</x:v>
      </x:c>
      <x:c r="X680">
        <x:f>-2.063857</x:f>
        <x:v>-2.0638570000000001</x:v>
      </x:c>
      <x:c r="Y680">
        <x:f>0</x:f>
        <x:v>0</x:v>
      </x:c>
      <x:c r="Z680">
        <x:f>0</x:f>
        <x:v>0</x:v>
      </x:c>
      <x:c r="AA680">
        <x:f>0</x:f>
        <x:v>0</x:v>
      </x:c>
      <x:c r="AB680">
        <x:f>-1.27084</x:f>
        <x:v>-1.27084</x:v>
      </x:c>
      <x:c r="AC680">
        <x:f>1.913545</x:f>
        <x:v>1.9135450000000001</x:v>
      </x:c>
      <x:c r="AD680">
        <x:f>0</x:f>
        <x:v>0</x:v>
      </x:c>
      <x:c r="AE680">
        <x:f>0</x:f>
        <x:v>0</x:v>
      </x:c>
      <x:c r="AF680">
        <x:f>0</x:f>
        <x:v>0</x:v>
      </x:c>
      <x:c r="AG680">
        <x:f>0</x:f>
        <x:v>0</x:v>
      </x:c>
    </x:row>
    <x:row r="681" spans="1:33" x14ac:dyDescent="0.25">
      <x:c r="A681" t="str">
        <x:f>"            Invesco Solar ETF"</x:f>
        <x:v xml:space="preserve">            Invesco Solar ETF</x:v>
      </x:c>
      <x:c r="B681" t="str">
        <x:f>"TAN US Equity"</x:f>
        <x:v>TAN US Equity</x:v>
      </x:c>
      <x:c r="E681" t="str">
        <x:f t="shared" si="24"/>
        <x:v>Expression</x:v>
      </x:c>
      <x:c r="F681">
        <x:f ca="1">IF(AND($B$1012=1,LEN($F$1672)&gt;0),$F$1672,HLOOKUP(INDIRECT(ADDRESS(2,COLUMN())),OFFSET($T$2,0,0,ROW()-1,14),ROW()-1,FALSE))</x:f>
        <x:v>14.546950000000001</x:v>
      </x:c>
      <x:c r="G681">
        <x:f ca="1">IF(AND($B$1012=1,LEN($G$1672)&gt;0),$G$1672,HLOOKUP(INDIRECT(ADDRESS(2,COLUMN())),OFFSET($T$2,0,0,ROW()-1,14),ROW()-1,FALSE))</x:f>
        <x:v>4.0706319999999998</x:v>
      </x:c>
      <x:c r="H681">
        <x:f ca="1">IF(AND($B$1012=1,LEN($H$1672)&gt;0),$H$1672,HLOOKUP(INDIRECT(ADDRESS(2,COLUMN())),OFFSET($T$2,0,0,ROW()-1,14),ROW()-1,FALSE))</x:f>
        <x:v>13.216526</x:v>
      </x:c>
      <x:c r="I681">
        <x:f ca="1">IF(AND($B$1012=1,LEN($I$1672)&gt;0),$I$1672,HLOOKUP(INDIRECT(ADDRESS(2,COLUMN())),OFFSET($T$2,0,0,ROW()-1,14),ROW()-1,FALSE))</x:f>
        <x:v>-60.217519000000003</x:v>
      </x:c>
      <x:c r="J681">
        <x:f ca="1">IF(AND($B$1012=1,LEN($J$1672)&gt;0),$J$1672,HLOOKUP(INDIRECT(ADDRESS(2,COLUMN())),OFFSET($T$2,0,0,ROW()-1,14),ROW()-1,FALSE))</x:f>
        <x:v>-16.232810000000001</x:v>
      </x:c>
      <x:c r="K681">
        <x:f ca="1">IF(AND($B$1012=1,LEN($K$1672)&gt;0),$K$1672,HLOOKUP(INDIRECT(ADDRESS(2,COLUMN())),OFFSET($T$2,0,0,ROW()-1,14),ROW()-1,FALSE))</x:f>
        <x:v>17.295117000000001</x:v>
      </x:c>
      <x:c r="L681">
        <x:f ca="1">IF(AND($B$1012=1,LEN($L$1672)&gt;0),$L$1672,HLOOKUP(INDIRECT(ADDRESS(2,COLUMN())),OFFSET($T$2,0,0,ROW()-1,14),ROW()-1,FALSE))</x:f>
        <x:v>-73.446470000000005</x:v>
      </x:c>
      <x:c r="M681">
        <x:f ca="1">IF(AND($B$1012=1,LEN($M$1672)&gt;0),$M$1672,HLOOKUP(INDIRECT(ADDRESS(2,COLUMN())),OFFSET($T$2,0,0,ROW()-1,14),ROW()-1,FALSE))</x:f>
        <x:v>-65.425025000000005</x:v>
      </x:c>
      <x:c r="N681">
        <x:f ca="1">IF(AND($B$1012=1,LEN($N$1672)&gt;0),$N$1672,HLOOKUP(INDIRECT(ADDRESS(2,COLUMN())),OFFSET($T$2,0,0,ROW()-1,14),ROW()-1,FALSE))</x:f>
        <x:v>-23.446290000000001</x:v>
      </x:c>
      <x:c r="O681">
        <x:f ca="1">IF(AND($B$1012=1,LEN($O$1672)&gt;0),$O$1672,HLOOKUP(INDIRECT(ADDRESS(2,COLUMN())),OFFSET($T$2,0,0,ROW()-1,14),ROW()-1,FALSE))</x:f>
        <x:v>-68.449393000000001</x:v>
      </x:c>
      <x:c r="P681">
        <x:f ca="1">IF(AND($B$1012=1,LEN($P$1672)&gt;0),$P$1672,HLOOKUP(INDIRECT(ADDRESS(2,COLUMN())),OFFSET($T$2,0,0,ROW()-1,14),ROW()-1,FALSE))</x:f>
        <x:v>-36.098858999999997</x:v>
      </x:c>
      <x:c r="Q681">
        <x:f ca="1">IF(AND($B$1012=1,LEN($Q$1672)&gt;0),$Q$1672,HLOOKUP(INDIRECT(ADDRESS(2,COLUMN())),OFFSET($T$2,0,0,ROW()-1,14),ROW()-1,FALSE))</x:f>
        <x:v>-121.945233</x:v>
      </x:c>
      <x:c r="R681">
        <x:f ca="1">IF(AND($B$1012=1,LEN($R$1672)&gt;0),$R$1672,HLOOKUP(INDIRECT(ADDRESS(2,COLUMN())),OFFSET($T$2,0,0,ROW()-1,14),ROW()-1,FALSE))</x:f>
        <x:v>213.53755100000001</x:v>
      </x:c>
      <x:c r="S681">
        <x:f ca="1">IF(AND($B$1012=1,LEN($S$1672)&gt;0),$S$1672,HLOOKUP(INDIRECT(ADDRESS(2,COLUMN())),OFFSET($T$2,0,0,ROW()-1,14),ROW()-1,FALSE))</x:f>
        <x:v>-211.02170699999999</x:v>
      </x:c>
      <x:c r="T681">
        <x:f>14.54695</x:f>
        <x:v>14.546950000000001</x:v>
      </x:c>
      <x:c r="U681">
        <x:f>4.070632</x:f>
        <x:v>4.0706319999999998</x:v>
      </x:c>
      <x:c r="V681">
        <x:f>13.216526</x:f>
        <x:v>13.216526</x:v>
      </x:c>
      <x:c r="W681">
        <x:f>-60.217519</x:f>
        <x:v>-60.217519000000003</x:v>
      </x:c>
      <x:c r="X681">
        <x:f>-16.23281</x:f>
        <x:v>-16.232810000000001</x:v>
      </x:c>
      <x:c r="Y681">
        <x:f>17.295117</x:f>
        <x:v>17.295117000000001</x:v>
      </x:c>
      <x:c r="Z681">
        <x:f>-73.44647</x:f>
        <x:v>-73.446470000000005</x:v>
      </x:c>
      <x:c r="AA681">
        <x:f>-65.425025</x:f>
        <x:v>-65.425025000000005</x:v>
      </x:c>
      <x:c r="AB681">
        <x:f>-23.44629</x:f>
        <x:v>-23.446290000000001</x:v>
      </x:c>
      <x:c r="AC681">
        <x:f>-68.449393</x:f>
        <x:v>-68.449393000000001</x:v>
      </x:c>
      <x:c r="AD681">
        <x:f>-36.098859</x:f>
        <x:v>-36.098858999999997</x:v>
      </x:c>
      <x:c r="AE681">
        <x:f>-121.945233</x:f>
        <x:v>-121.945233</x:v>
      </x:c>
      <x:c r="AF681">
        <x:f>213.537551</x:f>
        <x:v>213.53755100000001</x:v>
      </x:c>
      <x:c r="AG681">
        <x:f>-211.021707</x:f>
        <x:v>-211.02170699999999</x:v>
      </x:c>
    </x:row>
    <x:row r="682" spans="1:33" x14ac:dyDescent="0.25">
      <x:c r="A682" t="str">
        <x:f>"            Defiance Next Gen H2 ETF"</x:f>
        <x:v xml:space="preserve">            Defiance Next Gen H2 ETF</x:v>
      </x:c>
      <x:c r="B682" t="str">
        <x:f>"HDRO US Equity"</x:f>
        <x:v>HDRO US Equity</x:v>
      </x:c>
      <x:c r="E682" t="str">
        <x:f t="shared" si="24"/>
        <x:v>Expression</x:v>
      </x:c>
      <x:c r="F682">
        <x:f ca="1">IF(AND($B$1012=1,LEN($F$1673)&gt;0),$F$1673,HLOOKUP(INDIRECT(ADDRESS(2,COLUMN())),OFFSET($T$2,0,0,ROW()-1,14),ROW()-1,FALSE))</x:f>
        <x:v>0</x:v>
      </x:c>
      <x:c r="G682">
        <x:f ca="1">IF(AND($B$1012=1,LEN($G$1673)&gt;0),$G$1673,HLOOKUP(INDIRECT(ADDRESS(2,COLUMN())),OFFSET($T$2,0,0,ROW()-1,14),ROW()-1,FALSE))</x:f>
        <x:v>0</x:v>
      </x:c>
      <x:c r="H682">
        <x:f ca="1">IF(AND($B$1012=1,LEN($H$1673)&gt;0),$H$1673,HLOOKUP(INDIRECT(ADDRESS(2,COLUMN())),OFFSET($T$2,0,0,ROW()-1,14),ROW()-1,FALSE))</x:f>
        <x:v>-0.181668</x:v>
      </x:c>
      <x:c r="I682">
        <x:f ca="1">IF(AND($B$1012=1,LEN($I$1673)&gt;0),$I$1673,HLOOKUP(INDIRECT(ADDRESS(2,COLUMN())),OFFSET($T$2,0,0,ROW()-1,14),ROW()-1,FALSE))</x:f>
        <x:v>0</x:v>
      </x:c>
      <x:c r="J682">
        <x:f ca="1">IF(AND($B$1012=1,LEN($J$1673)&gt;0),$J$1673,HLOOKUP(INDIRECT(ADDRESS(2,COLUMN())),OFFSET($T$2,0,0,ROW()-1,14),ROW()-1,FALSE))</x:f>
        <x:v>-1.0995619999999999</x:v>
      </x:c>
      <x:c r="K682">
        <x:f ca="1">IF(AND($B$1012=1,LEN($K$1673)&gt;0),$K$1673,HLOOKUP(INDIRECT(ADDRESS(2,COLUMN())),OFFSET($T$2,0,0,ROW()-1,14),ROW()-1,FALSE))</x:f>
        <x:v>0.62536499999999995</x:v>
      </x:c>
      <x:c r="L682">
        <x:f ca="1">IF(AND($B$1012=1,LEN($L$1673)&gt;0),$L$1673,HLOOKUP(INDIRECT(ADDRESS(2,COLUMN())),OFFSET($T$2,0,0,ROW()-1,14),ROW()-1,FALSE))</x:f>
        <x:v>0</x:v>
      </x:c>
      <x:c r="M682">
        <x:f ca="1">IF(AND($B$1012=1,LEN($M$1673)&gt;0),$M$1673,HLOOKUP(INDIRECT(ADDRESS(2,COLUMN())),OFFSET($T$2,0,0,ROW()-1,14),ROW()-1,FALSE))</x:f>
        <x:v>0.44622000000000001</x:v>
      </x:c>
      <x:c r="N682">
        <x:f ca="1">IF(AND($B$1012=1,LEN($N$1673)&gt;0),$N$1673,HLOOKUP(INDIRECT(ADDRESS(2,COLUMN())),OFFSET($T$2,0,0,ROW()-1,14),ROW()-1,FALSE))</x:f>
        <x:v>-0.988375</x:v>
      </x:c>
      <x:c r="O682">
        <x:f ca="1">IF(AND($B$1012=1,LEN($O$1673)&gt;0),$O$1673,HLOOKUP(INDIRECT(ADDRESS(2,COLUMN())),OFFSET($T$2,0,0,ROW()-1,14),ROW()-1,FALSE))</x:f>
        <x:v>1.5994550000000001</x:v>
      </x:c>
      <x:c r="P682">
        <x:f ca="1">IF(AND($B$1012=1,LEN($P$1673)&gt;0),$P$1673,HLOOKUP(INDIRECT(ADDRESS(2,COLUMN())),OFFSET($T$2,0,0,ROW()-1,14),ROW()-1,FALSE))</x:f>
        <x:v>-0.73823499999999997</x:v>
      </x:c>
      <x:c r="Q682">
        <x:f ca="1">IF(AND($B$1012=1,LEN($Q$1673)&gt;0),$Q$1673,HLOOKUP(INDIRECT(ADDRESS(2,COLUMN())),OFFSET($T$2,0,0,ROW()-1,14),ROW()-1,FALSE))</x:f>
        <x:v>0</x:v>
      </x:c>
      <x:c r="R682">
        <x:f ca="1">IF(AND($B$1012=1,LEN($R$1673)&gt;0),$R$1673,HLOOKUP(INDIRECT(ADDRESS(2,COLUMN())),OFFSET($T$2,0,0,ROW()-1,14),ROW()-1,FALSE))</x:f>
        <x:v>0.46455999999999997</x:v>
      </x:c>
      <x:c r="S682">
        <x:f ca="1">IF(AND($B$1012=1,LEN($S$1673)&gt;0),$S$1673,HLOOKUP(INDIRECT(ADDRESS(2,COLUMN())),OFFSET($T$2,0,0,ROW()-1,14),ROW()-1,FALSE))</x:f>
        <x:v>-1.50288</x:v>
      </x:c>
      <x:c r="T682">
        <x:f>0</x:f>
        <x:v>0</x:v>
      </x:c>
      <x:c r="U682">
        <x:f>0</x:f>
        <x:v>0</x:v>
      </x:c>
      <x:c r="V682">
        <x:f>-0.181668</x:f>
        <x:v>-0.181668</x:v>
      </x:c>
      <x:c r="W682">
        <x:f>0</x:f>
        <x:v>0</x:v>
      </x:c>
      <x:c r="X682">
        <x:f>-1.099562</x:f>
        <x:v>-1.0995619999999999</x:v>
      </x:c>
      <x:c r="Y682">
        <x:f>0.625365</x:f>
        <x:v>0.62536499999999995</x:v>
      </x:c>
      <x:c r="Z682">
        <x:f>0</x:f>
        <x:v>0</x:v>
      </x:c>
      <x:c r="AA682">
        <x:f>0.44622</x:f>
        <x:v>0.44622000000000001</x:v>
      </x:c>
      <x:c r="AB682">
        <x:f>-0.988375</x:f>
        <x:v>-0.988375</x:v>
      </x:c>
      <x:c r="AC682">
        <x:f>1.599455</x:f>
        <x:v>1.5994550000000001</x:v>
      </x:c>
      <x:c r="AD682">
        <x:f>-0.738235</x:f>
        <x:v>-0.73823499999999997</x:v>
      </x:c>
      <x:c r="AE682">
        <x:f>0</x:f>
        <x:v>0</x:v>
      </x:c>
      <x:c r="AF682">
        <x:f>0.46456</x:f>
        <x:v>0.46455999999999997</x:v>
      </x:c>
      <x:c r="AG682">
        <x:f>-1.50288</x:f>
        <x:v>-1.50288</x:v>
      </x:c>
    </x:row>
    <x:row r="683" spans="1:33" x14ac:dyDescent="0.25">
      <x:c r="A683" t="str">
        <x:f>"            Direxion Hydrogen ETF"</x:f>
        <x:v xml:space="preserve">            Direxion Hydrogen ETF</x:v>
      </x:c>
      <x:c r="B683" t="str">
        <x:f>"HJEN US Equity"</x:f>
        <x:v>HJEN US Equity</x:v>
      </x:c>
      <x:c r="E683" t="str">
        <x:f t="shared" si="24"/>
        <x:v>Expression</x:v>
      </x:c>
      <x:c r="F683">
        <x:f ca="1">IF(AND($B$1012=1,LEN($F$1674)&gt;0),$F$1674,HLOOKUP(INDIRECT(ADDRESS(2,COLUMN())),OFFSET($T$2,0,0,ROW()-1,14),ROW()-1,FALSE))</x:f>
        <x:v>0</x:v>
      </x:c>
      <x:c r="G683">
        <x:f ca="1">IF(AND($B$1012=1,LEN($G$1674)&gt;0),$G$1674,HLOOKUP(INDIRECT(ADDRESS(2,COLUMN())),OFFSET($T$2,0,0,ROW()-1,14),ROW()-1,FALSE))</x:f>
        <x:v>1.172763</x:v>
      </x:c>
      <x:c r="H683">
        <x:f ca="1">IF(AND($B$1012=1,LEN($H$1674)&gt;0),$H$1674,HLOOKUP(INDIRECT(ADDRESS(2,COLUMN())),OFFSET($T$2,0,0,ROW()-1,14),ROW()-1,FALSE))</x:f>
        <x:v>0</x:v>
      </x:c>
      <x:c r="I683">
        <x:f ca="1">IF(AND($B$1012=1,LEN($I$1674)&gt;0),$I$1674,HLOOKUP(INDIRECT(ADDRESS(2,COLUMN())),OFFSET($T$2,0,0,ROW()-1,14),ROW()-1,FALSE))</x:f>
        <x:v>0</x:v>
      </x:c>
      <x:c r="J683">
        <x:f ca="1">IF(AND($B$1012=1,LEN($J$1674)&gt;0),$J$1674,HLOOKUP(INDIRECT(ADDRESS(2,COLUMN())),OFFSET($T$2,0,0,ROW()-1,14),ROW()-1,FALSE))</x:f>
        <x:v>-1.7469170000000001</x:v>
      </x:c>
      <x:c r="K683">
        <x:f ca="1">IF(AND($B$1012=1,LEN($K$1674)&gt;0),$K$1674,HLOOKUP(INDIRECT(ADDRESS(2,COLUMN())),OFFSET($T$2,0,0,ROW()-1,14),ROW()-1,FALSE))</x:f>
        <x:v>1.3731599999999999</x:v>
      </x:c>
      <x:c r="L683">
        <x:f ca="1">IF(AND($B$1012=1,LEN($L$1674)&gt;0),$L$1674,HLOOKUP(INDIRECT(ADDRESS(2,COLUMN())),OFFSET($T$2,0,0,ROW()-1,14),ROW()-1,FALSE))</x:f>
        <x:v>0</x:v>
      </x:c>
      <x:c r="M683">
        <x:f ca="1">IF(AND($B$1012=1,LEN($M$1674)&gt;0),$M$1674,HLOOKUP(INDIRECT(ADDRESS(2,COLUMN())),OFFSET($T$2,0,0,ROW()-1,14),ROW()-1,FALSE))</x:f>
        <x:v>0</x:v>
      </x:c>
      <x:c r="N683">
        <x:f ca="1">IF(AND($B$1012=1,LEN($N$1674)&gt;0),$N$1674,HLOOKUP(INDIRECT(ADDRESS(2,COLUMN())),OFFSET($T$2,0,0,ROW()-1,14),ROW()-1,FALSE))</x:f>
        <x:v>2.7891780000000002</x:v>
      </x:c>
      <x:c r="O683">
        <x:f ca="1">IF(AND($B$1012=1,LEN($O$1674)&gt;0),$O$1674,HLOOKUP(INDIRECT(ADDRESS(2,COLUMN())),OFFSET($T$2,0,0,ROW()-1,14),ROW()-1,FALSE))</x:f>
        <x:v>3.8890009999999999</x:v>
      </x:c>
      <x:c r="P683">
        <x:f ca="1">IF(AND($B$1012=1,LEN($P$1674)&gt;0),$P$1674,HLOOKUP(INDIRECT(ADDRESS(2,COLUMN())),OFFSET($T$2,0,0,ROW()-1,14),ROW()-1,FALSE))</x:f>
        <x:v>0</x:v>
      </x:c>
      <x:c r="Q683">
        <x:f ca="1">IF(AND($B$1012=1,LEN($Q$1674)&gt;0),$Q$1674,HLOOKUP(INDIRECT(ADDRESS(2,COLUMN())),OFFSET($T$2,0,0,ROW()-1,14),ROW()-1,FALSE))</x:f>
        <x:v>0</x:v>
      </x:c>
      <x:c r="R683">
        <x:f ca="1">IF(AND($B$1012=1,LEN($R$1674)&gt;0),$R$1674,HLOOKUP(INDIRECT(ADDRESS(2,COLUMN())),OFFSET($T$2,0,0,ROW()-1,14),ROW()-1,FALSE))</x:f>
        <x:v>2.8390620000000002</x:v>
      </x:c>
      <x:c r="S683">
        <x:f ca="1">IF(AND($B$1012=1,LEN($S$1674)&gt;0),$S$1674,HLOOKUP(INDIRECT(ADDRESS(2,COLUMN())),OFFSET($T$2,0,0,ROW()-1,14),ROW()-1,FALSE))</x:f>
        <x:v>0</x:v>
      </x:c>
      <x:c r="T683">
        <x:f>0</x:f>
        <x:v>0</x:v>
      </x:c>
      <x:c r="U683">
        <x:f>1.172763</x:f>
        <x:v>1.172763</x:v>
      </x:c>
      <x:c r="V683">
        <x:f>0</x:f>
        <x:v>0</x:v>
      </x:c>
      <x:c r="W683">
        <x:f>0</x:f>
        <x:v>0</x:v>
      </x:c>
      <x:c r="X683">
        <x:f>-1.746917</x:f>
        <x:v>-1.7469170000000001</x:v>
      </x:c>
      <x:c r="Y683">
        <x:f>1.37316</x:f>
        <x:v>1.3731599999999999</x:v>
      </x:c>
      <x:c r="Z683">
        <x:f>0</x:f>
        <x:v>0</x:v>
      </x:c>
      <x:c r="AA683">
        <x:f>0</x:f>
        <x:v>0</x:v>
      </x:c>
      <x:c r="AB683">
        <x:f>2.789178</x:f>
        <x:v>2.7891780000000002</x:v>
      </x:c>
      <x:c r="AC683">
        <x:f>3.889001</x:f>
        <x:v>3.8890009999999999</x:v>
      </x:c>
      <x:c r="AD683">
        <x:f>0</x:f>
        <x:v>0</x:v>
      </x:c>
      <x:c r="AE683">
        <x:f>0</x:f>
        <x:v>0</x:v>
      </x:c>
      <x:c r="AF683">
        <x:f>2.839062</x:f>
        <x:v>2.8390620000000002</x:v>
      </x:c>
      <x:c r="AG683">
        <x:f>0</x:f>
        <x:v>0</x:v>
      </x:c>
    </x:row>
    <x:row r="684" spans="1:33" x14ac:dyDescent="0.25">
      <x:c r="A684" t="str">
        <x:f>"            Global X Hydrogen ETF"</x:f>
        <x:v xml:space="preserve">            Global X Hydrogen ETF</x:v>
      </x:c>
      <x:c r="B684" t="str">
        <x:f>"HYDR US Equity"</x:f>
        <x:v>HYDR US Equity</x:v>
      </x:c>
      <x:c r="E684" t="str">
        <x:f t="shared" si="24"/>
        <x:v>Expression</x:v>
      </x:c>
      <x:c r="F684">
        <x:f ca="1">IF(AND($B$1012=1,LEN($F$1675)&gt;0),$F$1675,HLOOKUP(INDIRECT(ADDRESS(2,COLUMN())),OFFSET($T$2,0,0,ROW()-1,14),ROW()-1,FALSE))</x:f>
        <x:v>0</x:v>
      </x:c>
      <x:c r="G684">
        <x:f ca="1">IF(AND($B$1012=1,LEN($G$1675)&gt;0),$G$1675,HLOOKUP(INDIRECT(ADDRESS(2,COLUMN())),OFFSET($T$2,0,0,ROW()-1,14),ROW()-1,FALSE))</x:f>
        <x:v>0</x:v>
      </x:c>
      <x:c r="H684">
        <x:f ca="1">IF(AND($B$1012=1,LEN($H$1675)&gt;0),$H$1675,HLOOKUP(INDIRECT(ADDRESS(2,COLUMN())),OFFSET($T$2,0,0,ROW()-1,14),ROW()-1,FALSE))</x:f>
        <x:v>0</x:v>
      </x:c>
      <x:c r="I684">
        <x:f ca="1">IF(AND($B$1012=1,LEN($I$1675)&gt;0),$I$1675,HLOOKUP(INDIRECT(ADDRESS(2,COLUMN())),OFFSET($T$2,0,0,ROW()-1,14),ROW()-1,FALSE))</x:f>
        <x:v>3.0259</x:v>
      </x:c>
      <x:c r="J684">
        <x:f ca="1">IF(AND($B$1012=1,LEN($J$1675)&gt;0),$J$1675,HLOOKUP(INDIRECT(ADDRESS(2,COLUMN())),OFFSET($T$2,0,0,ROW()-1,14),ROW()-1,FALSE))</x:f>
        <x:v>4.1102999999999996</x:v>
      </x:c>
      <x:c r="K684">
        <x:f ca="1">IF(AND($B$1012=1,LEN($K$1675)&gt;0),$K$1675,HLOOKUP(INDIRECT(ADDRESS(2,COLUMN())),OFFSET($T$2,0,0,ROW()-1,14),ROW()-1,FALSE))</x:f>
        <x:v>8.2520000000000007</x:v>
      </x:c>
      <x:c r="L684">
        <x:f ca="1">IF(AND($B$1012=1,LEN($L$1675)&gt;0),$L$1675,HLOOKUP(INDIRECT(ADDRESS(2,COLUMN())),OFFSET($T$2,0,0,ROW()-1,14),ROW()-1,FALSE))</x:f>
        <x:v>0.44950000000000001</x:v>
      </x:c>
      <x:c r="M684">
        <x:f ca="1">IF(AND($B$1012=1,LEN($M$1675)&gt;0),$M$1675,HLOOKUP(INDIRECT(ADDRESS(2,COLUMN())),OFFSET($T$2,0,0,ROW()-1,14),ROW()-1,FALSE))</x:f>
        <x:v>0</x:v>
      </x:c>
      <x:c r="N684">
        <x:f ca="1">IF(AND($B$1012=1,LEN($N$1675)&gt;0),$N$1675,HLOOKUP(INDIRECT(ADDRESS(2,COLUMN())),OFFSET($T$2,0,0,ROW()-1,14),ROW()-1,FALSE))</x:f>
        <x:v>1.7624</x:v>
      </x:c>
      <x:c r="O684">
        <x:f ca="1">IF(AND($B$1012=1,LEN($O$1675)&gt;0),$O$1675,HLOOKUP(INDIRECT(ADDRESS(2,COLUMN())),OFFSET($T$2,0,0,ROW()-1,14),ROW()-1,FALSE))</x:f>
        <x:v>3.0021</x:v>
      </x:c>
      <x:c r="P684">
        <x:f ca="1">IF(AND($B$1012=1,LEN($P$1675)&gt;0),$P$1675,HLOOKUP(INDIRECT(ADDRESS(2,COLUMN())),OFFSET($T$2,0,0,ROW()-1,14),ROW()-1,FALSE))</x:f>
        <x:v>1.9024000000000001</x:v>
      </x:c>
      <x:c r="Q684">
        <x:f ca="1">IF(AND($B$1012=1,LEN($Q$1675)&gt;0),$Q$1675,HLOOKUP(INDIRECT(ADDRESS(2,COLUMN())),OFFSET($T$2,0,0,ROW()-1,14),ROW()-1,FALSE))</x:f>
        <x:v>0.1084</x:v>
      </x:c>
      <x:c r="R684">
        <x:f ca="1">IF(AND($B$1012=1,LEN($R$1675)&gt;0),$R$1675,HLOOKUP(INDIRECT(ADDRESS(2,COLUMN())),OFFSET($T$2,0,0,ROW()-1,14),ROW()-1,FALSE))</x:f>
        <x:v>2.4598</x:v>
      </x:c>
      <x:c r="S684">
        <x:f ca="1">IF(AND($B$1012=1,LEN($S$1675)&gt;0),$S$1675,HLOOKUP(INDIRECT(ADDRESS(2,COLUMN())),OFFSET($T$2,0,0,ROW()-1,14),ROW()-1,FALSE))</x:f>
        <x:v>-0.90810000000000002</x:v>
      </x:c>
      <x:c r="T684">
        <x:f>0</x:f>
        <x:v>0</x:v>
      </x:c>
      <x:c r="U684">
        <x:f>0</x:f>
        <x:v>0</x:v>
      </x:c>
      <x:c r="V684">
        <x:f>0</x:f>
        <x:v>0</x:v>
      </x:c>
      <x:c r="W684">
        <x:f>3.0259</x:f>
        <x:v>3.0259</x:v>
      </x:c>
      <x:c r="X684">
        <x:f>4.1103</x:f>
        <x:v>4.1102999999999996</x:v>
      </x:c>
      <x:c r="Y684">
        <x:f>8.252</x:f>
        <x:v>8.2520000000000007</x:v>
      </x:c>
      <x:c r="Z684">
        <x:f>0.4495</x:f>
        <x:v>0.44950000000000001</x:v>
      </x:c>
      <x:c r="AA684">
        <x:f>0</x:f>
        <x:v>0</x:v>
      </x:c>
      <x:c r="AB684">
        <x:f>1.7624</x:f>
        <x:v>1.7624</x:v>
      </x:c>
      <x:c r="AC684">
        <x:f>3.0021</x:f>
        <x:v>3.0021</x:v>
      </x:c>
      <x:c r="AD684">
        <x:f>1.9024</x:f>
        <x:v>1.9024000000000001</x:v>
      </x:c>
      <x:c r="AE684">
        <x:f>0.1084</x:f>
        <x:v>0.1084</x:v>
      </x:c>
      <x:c r="AF684">
        <x:f>2.4598</x:f>
        <x:v>2.4598</x:v>
      </x:c>
      <x:c r="AG684">
        <x:f>-0.9081</x:f>
        <x:v>-0.90810000000000002</x:v>
      </x:c>
    </x:row>
    <x:row r="685" spans="1:33" x14ac:dyDescent="0.25">
      <x:c r="A685" t="str">
        <x:f>"            Fidelity Clean Energy ETF"</x:f>
        <x:v xml:space="preserve">            Fidelity Clean Energy ETF</x:v>
      </x:c>
      <x:c r="B685" t="str">
        <x:f>"FRNW US Equity"</x:f>
        <x:v>FRNW US Equity</x:v>
      </x:c>
      <x:c r="E685" t="str">
        <x:f t="shared" si="24"/>
        <x:v>Expression</x:v>
      </x:c>
      <x:c r="F685">
        <x:f ca="1">IF(AND($B$1012=1,LEN($F$1676)&gt;0),$F$1676,HLOOKUP(INDIRECT(ADDRESS(2,COLUMN())),OFFSET($T$2,0,0,ROW()-1,14),ROW()-1,FALSE))</x:f>
        <x:v>0</x:v>
      </x:c>
      <x:c r="G685">
        <x:f ca="1">IF(AND($B$1012=1,LEN($G$1676)&gt;0),$G$1676,HLOOKUP(INDIRECT(ADDRESS(2,COLUMN())),OFFSET($T$2,0,0,ROW()-1,14),ROW()-1,FALSE))</x:f>
        <x:v>0</x:v>
      </x:c>
      <x:c r="H685">
        <x:f ca="1">IF(AND($B$1012=1,LEN($H$1676)&gt;0),$H$1676,HLOOKUP(INDIRECT(ADDRESS(2,COLUMN())),OFFSET($T$2,0,0,ROW()-1,14),ROW()-1,FALSE))</x:f>
        <x:v>0</x:v>
      </x:c>
      <x:c r="I685">
        <x:f ca="1">IF(AND($B$1012=1,LEN($I$1676)&gt;0),$I$1676,HLOOKUP(INDIRECT(ADDRESS(2,COLUMN())),OFFSET($T$2,0,0,ROW()-1,14),ROW()-1,FALSE))</x:f>
        <x:v>-0.96925300000000003</x:v>
      </x:c>
      <x:c r="J685">
        <x:f ca="1">IF(AND($B$1012=1,LEN($J$1676)&gt;0),$J$1676,HLOOKUP(INDIRECT(ADDRESS(2,COLUMN())),OFFSET($T$2,0,0,ROW()-1,14),ROW()-1,FALSE))</x:f>
        <x:v>0</x:v>
      </x:c>
      <x:c r="K685">
        <x:f ca="1">IF(AND($B$1012=1,LEN($K$1676)&gt;0),$K$1676,HLOOKUP(INDIRECT(ADDRESS(2,COLUMN())),OFFSET($T$2,0,0,ROW()-1,14),ROW()-1,FALSE))</x:f>
        <x:v>0</x:v>
      </x:c>
      <x:c r="L685">
        <x:f ca="1">IF(AND($B$1012=1,LEN($L$1676)&gt;0),$L$1676,HLOOKUP(INDIRECT(ADDRESS(2,COLUMN())),OFFSET($T$2,0,0,ROW()-1,14),ROW()-1,FALSE))</x:f>
        <x:v>0</x:v>
      </x:c>
      <x:c r="M685">
        <x:f ca="1">IF(AND($B$1012=1,LEN($M$1676)&gt;0),$M$1676,HLOOKUP(INDIRECT(ADDRESS(2,COLUMN())),OFFSET($T$2,0,0,ROW()-1,14),ROW()-1,FALSE))</x:f>
        <x:v>0</x:v>
      </x:c>
      <x:c r="N685">
        <x:f ca="1">IF(AND($B$1012=1,LEN($N$1676)&gt;0),$N$1676,HLOOKUP(INDIRECT(ADDRESS(2,COLUMN())),OFFSET($T$2,0,0,ROW()-1,14),ROW()-1,FALSE))</x:f>
        <x:v>-1.0029429999999999</x:v>
      </x:c>
      <x:c r="O685">
        <x:f ca="1">IF(AND($B$1012=1,LEN($O$1676)&gt;0),$O$1676,HLOOKUP(INDIRECT(ADDRESS(2,COLUMN())),OFFSET($T$2,0,0,ROW()-1,14),ROW()-1,FALSE))</x:f>
        <x:v>0</x:v>
      </x:c>
      <x:c r="P685">
        <x:f ca="1">IF(AND($B$1012=1,LEN($P$1676)&gt;0),$P$1676,HLOOKUP(INDIRECT(ADDRESS(2,COLUMN())),OFFSET($T$2,0,0,ROW()-1,14),ROW()-1,FALSE))</x:f>
        <x:v>3.4926659999999998</x:v>
      </x:c>
      <x:c r="Q685">
        <x:f ca="1">IF(AND($B$1012=1,LEN($Q$1676)&gt;0),$Q$1676,HLOOKUP(INDIRECT(ADDRESS(2,COLUMN())),OFFSET($T$2,0,0,ROW()-1,14),ROW()-1,FALSE))</x:f>
        <x:v>0</x:v>
      </x:c>
      <x:c r="R685">
        <x:f ca="1">IF(AND($B$1012=1,LEN($R$1676)&gt;0),$R$1676,HLOOKUP(INDIRECT(ADDRESS(2,COLUMN())),OFFSET($T$2,0,0,ROW()-1,14),ROW()-1,FALSE))</x:f>
        <x:v>1.15316</x:v>
      </x:c>
      <x:c r="S685">
        <x:f ca="1">IF(AND($B$1012=1,LEN($S$1676)&gt;0),$S$1676,HLOOKUP(INDIRECT(ADDRESS(2,COLUMN())),OFFSET($T$2,0,0,ROW()-1,14),ROW()-1,FALSE))</x:f>
        <x:v>0</x:v>
      </x:c>
      <x:c r="T685">
        <x:f>0</x:f>
        <x:v>0</x:v>
      </x:c>
      <x:c r="U685">
        <x:f>0</x:f>
        <x:v>0</x:v>
      </x:c>
      <x:c r="V685">
        <x:f>0</x:f>
        <x:v>0</x:v>
      </x:c>
      <x:c r="W685">
        <x:f>-0.969253</x:f>
        <x:v>-0.96925300000000003</x:v>
      </x:c>
      <x:c r="X685">
        <x:f>0</x:f>
        <x:v>0</x:v>
      </x:c>
      <x:c r="Y685">
        <x:f>0</x:f>
        <x:v>0</x:v>
      </x:c>
      <x:c r="Z685">
        <x:f>0</x:f>
        <x:v>0</x:v>
      </x:c>
      <x:c r="AA685">
        <x:f>0</x:f>
        <x:v>0</x:v>
      </x:c>
      <x:c r="AB685">
        <x:f>-1.002943</x:f>
        <x:v>-1.0029429999999999</x:v>
      </x:c>
      <x:c r="AC685">
        <x:f>0</x:f>
        <x:v>0</x:v>
      </x:c>
      <x:c r="AD685">
        <x:f>3.492666</x:f>
        <x:v>3.4926659999999998</x:v>
      </x:c>
      <x:c r="AE685">
        <x:f>0</x:f>
        <x:v>0</x:v>
      </x:c>
      <x:c r="AF685">
        <x:f>1.15316</x:f>
        <x:v>1.15316</x:v>
      </x:c>
      <x:c r="AG685">
        <x:f>0</x:f>
        <x:v>0</x:v>
      </x:c>
    </x:row>
    <x:row r="686" spans="1:33" x14ac:dyDescent="0.25">
      <x:c r="A686" t="str">
        <x:f>"            Global X Wind Energy ETF"</x:f>
        <x:v xml:space="preserve">            Global X Wind Energy ETF</x:v>
      </x:c>
      <x:c r="B686" t="str">
        <x:f>"WNDY US Equity"</x:f>
        <x:v>WNDY US Equity</x:v>
      </x:c>
      <x:c r="E686" t="str">
        <x:f t="shared" si="24"/>
        <x:v>Expression</x:v>
      </x:c>
      <x:c r="F686">
        <x:f ca="1">IF(AND($B$1012=1,LEN($F$1677)&gt;0),$F$1677,HLOOKUP(INDIRECT(ADDRESS(2,COLUMN())),OFFSET($T$2,0,0,ROW()-1,14),ROW()-1,FALSE))</x:f>
        <x:v>0</x:v>
      </x:c>
      <x:c r="G686">
        <x:f ca="1">IF(AND($B$1012=1,LEN($G$1677)&gt;0),$G$1677,HLOOKUP(INDIRECT(ADDRESS(2,COLUMN())),OFFSET($T$2,0,0,ROW()-1,14),ROW()-1,FALSE))</x:f>
        <x:v>-0.97950000000000004</x:v>
      </x:c>
      <x:c r="H686">
        <x:f ca="1">IF(AND($B$1012=1,LEN($H$1677)&gt;0),$H$1677,HLOOKUP(INDIRECT(ADDRESS(2,COLUMN())),OFFSET($T$2,0,0,ROW()-1,14),ROW()-1,FALSE))</x:f>
        <x:v>0</x:v>
      </x:c>
      <x:c r="I686">
        <x:f ca="1">IF(AND($B$1012=1,LEN($I$1677)&gt;0),$I$1677,HLOOKUP(INDIRECT(ADDRESS(2,COLUMN())),OFFSET($T$2,0,0,ROW()-1,14),ROW()-1,FALSE))</x:f>
        <x:v>0</x:v>
      </x:c>
      <x:c r="J686">
        <x:f ca="1">IF(AND($B$1012=1,LEN($J$1677)&gt;0),$J$1677,HLOOKUP(INDIRECT(ADDRESS(2,COLUMN())),OFFSET($T$2,0,0,ROW()-1,14),ROW()-1,FALSE))</x:f>
        <x:v>-0.4788</x:v>
      </x:c>
      <x:c r="K686">
        <x:f ca="1">IF(AND($B$1012=1,LEN($K$1677)&gt;0),$K$1677,HLOOKUP(INDIRECT(ADDRESS(2,COLUMN())),OFFSET($T$2,0,0,ROW()-1,14),ROW()-1,FALSE))</x:f>
        <x:v>0</x:v>
      </x:c>
      <x:c r="L686">
        <x:f ca="1">IF(AND($B$1012=1,LEN($L$1677)&gt;0),$L$1677,HLOOKUP(INDIRECT(ADDRESS(2,COLUMN())),OFFSET($T$2,0,0,ROW()-1,14),ROW()-1,FALSE))</x:f>
        <x:v>0</x:v>
      </x:c>
      <x:c r="M686">
        <x:f ca="1">IF(AND($B$1012=1,LEN($M$1677)&gt;0),$M$1677,HLOOKUP(INDIRECT(ADDRESS(2,COLUMN())),OFFSET($T$2,0,0,ROW()-1,14),ROW()-1,FALSE))</x:f>
        <x:v>-0.52049999999999996</x:v>
      </x:c>
      <x:c r="N686">
        <x:f ca="1">IF(AND($B$1012=1,LEN($N$1677)&gt;0),$N$1677,HLOOKUP(INDIRECT(ADDRESS(2,COLUMN())),OFFSET($T$2,0,0,ROW()-1,14),ROW()-1,FALSE))</x:f>
        <x:v>-8.7262000000000004</x:v>
      </x:c>
      <x:c r="O686">
        <x:f ca="1">IF(AND($B$1012=1,LEN($O$1677)&gt;0),$O$1677,HLOOKUP(INDIRECT(ADDRESS(2,COLUMN())),OFFSET($T$2,0,0,ROW()-1,14),ROW()-1,FALSE))</x:f>
        <x:v>5.4219999999999997</x:v>
      </x:c>
      <x:c r="P686">
        <x:f ca="1">IF(AND($B$1012=1,LEN($P$1677)&gt;0),$P$1677,HLOOKUP(INDIRECT(ADDRESS(2,COLUMN())),OFFSET($T$2,0,0,ROW()-1,14),ROW()-1,FALSE))</x:f>
        <x:v>7.2454000000000001</x:v>
      </x:c>
      <x:c r="Q686">
        <x:f ca="1">IF(AND($B$1012=1,LEN($Q$1677)&gt;0),$Q$1677,HLOOKUP(INDIRECT(ADDRESS(2,COLUMN())),OFFSET($T$2,0,0,ROW()-1,14),ROW()-1,FALSE))</x:f>
        <x:v>0</x:v>
      </x:c>
      <x:c r="R686">
        <x:f ca="1">IF(AND($B$1012=1,LEN($R$1677)&gt;0),$R$1677,HLOOKUP(INDIRECT(ADDRESS(2,COLUMN())),OFFSET($T$2,0,0,ROW()-1,14),ROW()-1,FALSE))</x:f>
        <x:v>0</x:v>
      </x:c>
      <x:c r="S686">
        <x:f ca="1">IF(AND($B$1012=1,LEN($S$1677)&gt;0),$S$1677,HLOOKUP(INDIRECT(ADDRESS(2,COLUMN())),OFFSET($T$2,0,0,ROW()-1,14),ROW()-1,FALSE))</x:f>
        <x:v>0</x:v>
      </x:c>
      <x:c r="T686">
        <x:f>0</x:f>
        <x:v>0</x:v>
      </x:c>
      <x:c r="U686">
        <x:f>-0.9795</x:f>
        <x:v>-0.97950000000000004</x:v>
      </x:c>
      <x:c r="V686">
        <x:f>0</x:f>
        <x:v>0</x:v>
      </x:c>
      <x:c r="W686">
        <x:f>0</x:f>
        <x:v>0</x:v>
      </x:c>
      <x:c r="X686">
        <x:f>-0.4788</x:f>
        <x:v>-0.4788</x:v>
      </x:c>
      <x:c r="Y686">
        <x:f>0</x:f>
        <x:v>0</x:v>
      </x:c>
      <x:c r="Z686">
        <x:f>0</x:f>
        <x:v>0</x:v>
      </x:c>
      <x:c r="AA686">
        <x:f>-0.5205</x:f>
        <x:v>-0.52049999999999996</x:v>
      </x:c>
      <x:c r="AB686">
        <x:f>-8.7262</x:f>
        <x:v>-8.7262000000000004</x:v>
      </x:c>
      <x:c r="AC686">
        <x:f>5.422</x:f>
        <x:v>5.4219999999999997</x:v>
      </x:c>
      <x:c r="AD686">
        <x:f>7.2454</x:f>
        <x:v>7.2454000000000001</x:v>
      </x:c>
      <x:c r="AE686">
        <x:f>0</x:f>
        <x:v>0</x:v>
      </x:c>
      <x:c r="AF686">
        <x:f>0</x:f>
        <x:v>0</x:v>
      </x:c>
      <x:c r="AG686">
        <x:f>0</x:f>
        <x:v>0</x:v>
      </x:c>
    </x:row>
    <x:row r="687" spans="1:33" x14ac:dyDescent="0.25">
      <x:c r="A687" t="str">
        <x:f>"            Global X Solar ETF"</x:f>
        <x:v xml:space="preserve">            Global X Solar ETF</x:v>
      </x:c>
      <x:c r="B687" t="str">
        <x:f>"RAYS US Equity"</x:f>
        <x:v>RAYS US Equity</x:v>
      </x:c>
      <x:c r="E687" t="str">
        <x:f t="shared" si="24"/>
        <x:v>Expression</x:v>
      </x:c>
      <x:c r="F687">
        <x:f ca="1">IF(AND($B$1012=1,LEN($F$1678)&gt;0),$F$1678,HLOOKUP(INDIRECT(ADDRESS(2,COLUMN())),OFFSET($T$2,0,0,ROW()-1,14),ROW()-1,FALSE))</x:f>
        <x:v>0</x:v>
      </x:c>
      <x:c r="G687">
        <x:f ca="1">IF(AND($B$1012=1,LEN($G$1678)&gt;0),$G$1678,HLOOKUP(INDIRECT(ADDRESS(2,COLUMN())),OFFSET($T$2,0,0,ROW()-1,14),ROW()-1,FALSE))</x:f>
        <x:v>0</x:v>
      </x:c>
      <x:c r="H687">
        <x:f ca="1">IF(AND($B$1012=1,LEN($H$1678)&gt;0),$H$1678,HLOOKUP(INDIRECT(ADDRESS(2,COLUMN())),OFFSET($T$2,0,0,ROW()-1,14),ROW()-1,FALSE))</x:f>
        <x:v>4.2977999999999996</x:v>
      </x:c>
      <x:c r="I687">
        <x:f ca="1">IF(AND($B$1012=1,LEN($I$1678)&gt;0),$I$1678,HLOOKUP(INDIRECT(ADDRESS(2,COLUMN())),OFFSET($T$2,0,0,ROW()-1,14),ROW()-1,FALSE))</x:f>
        <x:v>0</x:v>
      </x:c>
      <x:c r="J687">
        <x:f ca="1">IF(AND($B$1012=1,LEN($J$1678)&gt;0),$J$1678,HLOOKUP(INDIRECT(ADDRESS(2,COLUMN())),OFFSET($T$2,0,0,ROW()-1,14),ROW()-1,FALSE))</x:f>
        <x:v>0</x:v>
      </x:c>
      <x:c r="K687">
        <x:f ca="1">IF(AND($B$1012=1,LEN($K$1678)&gt;0),$K$1678,HLOOKUP(INDIRECT(ADDRESS(2,COLUMN())),OFFSET($T$2,0,0,ROW()-1,14),ROW()-1,FALSE))</x:f>
        <x:v>0</x:v>
      </x:c>
      <x:c r="L687">
        <x:f ca="1">IF(AND($B$1012=1,LEN($L$1678)&gt;0),$L$1678,HLOOKUP(INDIRECT(ADDRESS(2,COLUMN())),OFFSET($T$2,0,0,ROW()-1,14),ROW()-1,FALSE))</x:f>
        <x:v>0</x:v>
      </x:c>
      <x:c r="M687">
        <x:f ca="1">IF(AND($B$1012=1,LEN($M$1678)&gt;0),$M$1678,HLOOKUP(INDIRECT(ADDRESS(2,COLUMN())),OFFSET($T$2,0,0,ROW()-1,14),ROW()-1,FALSE))</x:f>
        <x:v>0</x:v>
      </x:c>
      <x:c r="N687">
        <x:f ca="1">IF(AND($B$1012=1,LEN($N$1678)&gt;0),$N$1678,HLOOKUP(INDIRECT(ADDRESS(2,COLUMN())),OFFSET($T$2,0,0,ROW()-1,14),ROW()-1,FALSE))</x:f>
        <x:v>0</x:v>
      </x:c>
      <x:c r="O687">
        <x:f ca="1">IF(AND($B$1012=1,LEN($O$1678)&gt;0),$O$1678,HLOOKUP(INDIRECT(ADDRESS(2,COLUMN())),OFFSET($T$2,0,0,ROW()-1,14),ROW()-1,FALSE))</x:f>
        <x:v>0</x:v>
      </x:c>
      <x:c r="P687">
        <x:f ca="1">IF(AND($B$1012=1,LEN($P$1678)&gt;0),$P$1678,HLOOKUP(INDIRECT(ADDRESS(2,COLUMN())),OFFSET($T$2,0,0,ROW()-1,14),ROW()-1,FALSE))</x:f>
        <x:v>0</x:v>
      </x:c>
      <x:c r="Q687">
        <x:f ca="1">IF(AND($B$1012=1,LEN($Q$1678)&gt;0),$Q$1678,HLOOKUP(INDIRECT(ADDRESS(2,COLUMN())),OFFSET($T$2,0,0,ROW()-1,14),ROW()-1,FALSE))</x:f>
        <x:v>-1.0620000000000001</x:v>
      </x:c>
      <x:c r="R687">
        <x:f ca="1">IF(AND($B$1012=1,LEN($R$1678)&gt;0),$R$1678,HLOOKUP(INDIRECT(ADDRESS(2,COLUMN())),OFFSET($T$2,0,0,ROW()-1,14),ROW()-1,FALSE))</x:f>
        <x:v>-1.0449999999999999</x:v>
      </x:c>
      <x:c r="S687">
        <x:f ca="1">IF(AND($B$1012=1,LEN($S$1678)&gt;0),$S$1678,HLOOKUP(INDIRECT(ADDRESS(2,COLUMN())),OFFSET($T$2,0,0,ROW()-1,14),ROW()-1,FALSE))</x:f>
        <x:v>0</x:v>
      </x:c>
      <x:c r="T687">
        <x:f>0</x:f>
        <x:v>0</x:v>
      </x:c>
      <x:c r="U687">
        <x:f>0</x:f>
        <x:v>0</x:v>
      </x:c>
      <x:c r="V687">
        <x:f>4.2978</x:f>
        <x:v>4.2977999999999996</x:v>
      </x:c>
      <x:c r="W687">
        <x:f>0</x:f>
        <x:v>0</x:v>
      </x:c>
      <x:c r="X687">
        <x:f>0</x:f>
        <x:v>0</x:v>
      </x:c>
      <x:c r="Y687">
        <x:f>0</x:f>
        <x:v>0</x:v>
      </x:c>
      <x:c r="Z687">
        <x:f>0</x:f>
        <x:v>0</x:v>
      </x:c>
      <x:c r="AA687">
        <x:f>0</x:f>
        <x:v>0</x:v>
      </x:c>
      <x:c r="AB687">
        <x:f>0</x:f>
        <x:v>0</x:v>
      </x:c>
      <x:c r="AC687">
        <x:f>0</x:f>
        <x:v>0</x:v>
      </x:c>
      <x:c r="AD687">
        <x:f>0</x:f>
        <x:v>0</x:v>
      </x:c>
      <x:c r="AE687">
        <x:f>-1.062</x:f>
        <x:v>-1.0620000000000001</x:v>
      </x:c>
      <x:c r="AF687">
        <x:f>-1.045</x:f>
        <x:v>-1.0449999999999999</x:v>
      </x:c>
      <x:c r="AG687">
        <x:f>0</x:f>
        <x:v>0</x:v>
      </x:c>
    </x:row>
    <x:row r="688" spans="1:33" x14ac:dyDescent="0.25">
      <x:c r="A688" t="str">
        <x:f>"            Proshares S&amp;P Kensho Cleantech"</x:f>
        <x:v xml:space="preserve">            Proshares S&amp;P Kensho Cleantech</x:v>
      </x:c>
      <x:c r="B688" t="str">
        <x:f>"CTEX US Equity"</x:f>
        <x:v>CTEX US Equity</x:v>
      </x:c>
      <x:c r="E688" t="str">
        <x:f t="shared" si="24"/>
        <x:v>Expression</x:v>
      </x:c>
      <x:c r="F688">
        <x:f ca="1">IF(AND($B$1012=1,LEN($F$1679)&gt;0),$F$1679,HLOOKUP(INDIRECT(ADDRESS(2,COLUMN())),OFFSET($T$2,0,0,ROW()-1,14),ROW()-1,FALSE))</x:f>
        <x:v>0</x:v>
      </x:c>
      <x:c r="G688">
        <x:f ca="1">IF(AND($B$1012=1,LEN($G$1679)&gt;0),$G$1679,HLOOKUP(INDIRECT(ADDRESS(2,COLUMN())),OFFSET($T$2,0,0,ROW()-1,14),ROW()-1,FALSE))</x:f>
        <x:v>0</x:v>
      </x:c>
      <x:c r="H688">
        <x:f ca="1">IF(AND($B$1012=1,LEN($H$1679)&gt;0),$H$1679,HLOOKUP(INDIRECT(ADDRESS(2,COLUMN())),OFFSET($T$2,0,0,ROW()-1,14),ROW()-1,FALSE))</x:f>
        <x:v>0</x:v>
      </x:c>
      <x:c r="I688">
        <x:f ca="1">IF(AND($B$1012=1,LEN($I$1679)&gt;0),$I$1679,HLOOKUP(INDIRECT(ADDRESS(2,COLUMN())),OFFSET($T$2,0,0,ROW()-1,14),ROW()-1,FALSE))</x:f>
        <x:v>0</x:v>
      </x:c>
      <x:c r="J688">
        <x:f ca="1">IF(AND($B$1012=1,LEN($J$1679)&gt;0),$J$1679,HLOOKUP(INDIRECT(ADDRESS(2,COLUMN())),OFFSET($T$2,0,0,ROW()-1,14),ROW()-1,FALSE))</x:f>
        <x:v>0</x:v>
      </x:c>
      <x:c r="K688">
        <x:f ca="1">IF(AND($B$1012=1,LEN($K$1679)&gt;0),$K$1679,HLOOKUP(INDIRECT(ADDRESS(2,COLUMN())),OFFSET($T$2,0,0,ROW()-1,14),ROW()-1,FALSE))</x:f>
        <x:v>0</x:v>
      </x:c>
      <x:c r="L688">
        <x:f ca="1">IF(AND($B$1012=1,LEN($L$1679)&gt;0),$L$1679,HLOOKUP(INDIRECT(ADDRESS(2,COLUMN())),OFFSET($T$2,0,0,ROW()-1,14),ROW()-1,FALSE))</x:f>
        <x:v>0</x:v>
      </x:c>
      <x:c r="M688">
        <x:f ca="1">IF(AND($B$1012=1,LEN($M$1679)&gt;0),$M$1679,HLOOKUP(INDIRECT(ADDRESS(2,COLUMN())),OFFSET($T$2,0,0,ROW()-1,14),ROW()-1,FALSE))</x:f>
        <x:v>0</x:v>
      </x:c>
      <x:c r="N688">
        <x:f ca="1">IF(AND($B$1012=1,LEN($N$1679)&gt;0),$N$1679,HLOOKUP(INDIRECT(ADDRESS(2,COLUMN())),OFFSET($T$2,0,0,ROW()-1,14),ROW()-1,FALSE))</x:f>
        <x:v>-0.87136999999999998</x:v>
      </x:c>
      <x:c r="O688">
        <x:f ca="1">IF(AND($B$1012=1,LEN($O$1679)&gt;0),$O$1679,HLOOKUP(INDIRECT(ADDRESS(2,COLUMN())),OFFSET($T$2,0,0,ROW()-1,14),ROW()-1,FALSE))</x:f>
        <x:v>0.907497</x:v>
      </x:c>
      <x:c r="P688">
        <x:f ca="1">IF(AND($B$1012=1,LEN($P$1679)&gt;0),$P$1679,HLOOKUP(INDIRECT(ADDRESS(2,COLUMN())),OFFSET($T$2,0,0,ROW()-1,14),ROW()-1,FALSE))</x:f>
        <x:v>0.86217999999999995</x:v>
      </x:c>
      <x:c r="Q688">
        <x:f ca="1">IF(AND($B$1012=1,LEN($Q$1679)&gt;0),$Q$1679,HLOOKUP(INDIRECT(ADDRESS(2,COLUMN())),OFFSET($T$2,0,0,ROW()-1,14),ROW()-1,FALSE))</x:f>
        <x:v>0</x:v>
      </x:c>
      <x:c r="R688">
        <x:f ca="1">IF(AND($B$1012=1,LEN($R$1679)&gt;0),$R$1679,HLOOKUP(INDIRECT(ADDRESS(2,COLUMN())),OFFSET($T$2,0,0,ROW()-1,14),ROW()-1,FALSE))</x:f>
        <x:v>0</x:v>
      </x:c>
      <x:c r="S688">
        <x:f ca="1">IF(AND($B$1012=1,LEN($S$1679)&gt;0),$S$1679,HLOOKUP(INDIRECT(ADDRESS(2,COLUMN())),OFFSET($T$2,0,0,ROW()-1,14),ROW()-1,FALSE))</x:f>
        <x:v>0</x:v>
      </x:c>
      <x:c r="T688">
        <x:f>0</x:f>
        <x:v>0</x:v>
      </x:c>
      <x:c r="U688">
        <x:f>0</x:f>
        <x:v>0</x:v>
      </x:c>
      <x:c r="V688">
        <x:f>0</x:f>
        <x:v>0</x:v>
      </x:c>
      <x:c r="W688">
        <x:f>0</x:f>
        <x:v>0</x:v>
      </x:c>
      <x:c r="X688">
        <x:f>0</x:f>
        <x:v>0</x:v>
      </x:c>
      <x:c r="Y688">
        <x:f>0</x:f>
        <x:v>0</x:v>
      </x:c>
      <x:c r="Z688">
        <x:f>0</x:f>
        <x:v>0</x:v>
      </x:c>
      <x:c r="AA688">
        <x:f>0</x:f>
        <x:v>0</x:v>
      </x:c>
      <x:c r="AB688">
        <x:f>-0.87137</x:f>
        <x:v>-0.87136999999999998</x:v>
      </x:c>
      <x:c r="AC688">
        <x:f>0.907497</x:f>
        <x:v>0.907497</x:v>
      </x:c>
      <x:c r="AD688">
        <x:f>0.86218</x:f>
        <x:v>0.86217999999999995</x:v>
      </x:c>
      <x:c r="AE688">
        <x:f>0</x:f>
        <x:v>0</x:v>
      </x:c>
      <x:c r="AF688">
        <x:f>0</x:f>
        <x:v>0</x:v>
      </x:c>
      <x:c r="AG688">
        <x:f>0</x:f>
        <x:v>0</x:v>
      </x:c>
    </x:row>
    <x:row r="689" spans="1:33" x14ac:dyDescent="0.25">
      <x:c r="A689" t="str">
        <x:f>"            Direxion Daily Global Clean En"</x:f>
        <x:v xml:space="preserve">            Direxion Daily Global Clean En</x:v>
      </x:c>
      <x:c r="B689" t="str">
        <x:f>"KLNE US Equity"</x:f>
        <x:v>KLNE US Equity</x:v>
      </x:c>
      <x:c r="E689" t="str">
        <x:f t="shared" si="24"/>
        <x:v>Expression</x:v>
      </x:c>
      <x:c r="F689">
        <x:f ca="1">IF(AND($B$1012=1,LEN($F$1680)&gt;0),$F$1680,HLOOKUP(INDIRECT(ADDRESS(2,COLUMN())),OFFSET($T$2,0,0,ROW()-1,14),ROW()-1,FALSE))</x:f>
        <x:v>0</x:v>
      </x:c>
      <x:c r="G689">
        <x:f ca="1">IF(AND($B$1012=1,LEN($G$1680)&gt;0),$G$1680,HLOOKUP(INDIRECT(ADDRESS(2,COLUMN())),OFFSET($T$2,0,0,ROW()-1,14),ROW()-1,FALSE))</x:f>
        <x:v>0</x:v>
      </x:c>
      <x:c r="H689">
        <x:f ca="1">IF(AND($B$1012=1,LEN($H$1680)&gt;0),$H$1680,HLOOKUP(INDIRECT(ADDRESS(2,COLUMN())),OFFSET($T$2,0,0,ROW()-1,14),ROW()-1,FALSE))</x:f>
        <x:v>0.45247199999999999</x:v>
      </x:c>
      <x:c r="I689">
        <x:f ca="1">IF(AND($B$1012=1,LEN($I$1680)&gt;0),$I$1680,HLOOKUP(INDIRECT(ADDRESS(2,COLUMN())),OFFSET($T$2,0,0,ROW()-1,14),ROW()-1,FALSE))</x:f>
        <x:v>0.48202</x:v>
      </x:c>
      <x:c r="J689">
        <x:f ca="1">IF(AND($B$1012=1,LEN($J$1680)&gt;0),$J$1680,HLOOKUP(INDIRECT(ADDRESS(2,COLUMN())),OFFSET($T$2,0,0,ROW()-1,14),ROW()-1,FALSE))</x:f>
        <x:v>0.61808200000000002</x:v>
      </x:c>
      <x:c r="K689">
        <x:f ca="1">IF(AND($B$1012=1,LEN($K$1680)&gt;0),$K$1680,HLOOKUP(INDIRECT(ADDRESS(2,COLUMN())),OFFSET($T$2,0,0,ROW()-1,14),ROW()-1,FALSE))</x:f>
        <x:v>0</x:v>
      </x:c>
      <x:c r="L689">
        <x:f ca="1">IF(AND($B$1012=1,LEN($L$1680)&gt;0),$L$1680,HLOOKUP(INDIRECT(ADDRESS(2,COLUMN())),OFFSET($T$2,0,0,ROW()-1,14),ROW()-1,FALSE))</x:f>
        <x:v>0</x:v>
      </x:c>
      <x:c r="M689">
        <x:f ca="1">IF(AND($B$1012=1,LEN($M$1680)&gt;0),$M$1680,HLOOKUP(INDIRECT(ADDRESS(2,COLUMN())),OFFSET($T$2,0,0,ROW()-1,14),ROW()-1,FALSE))</x:f>
        <x:v>0</x:v>
      </x:c>
      <x:c r="N689">
        <x:f ca="1">IF(AND($B$1012=1,LEN($N$1680)&gt;0),$N$1680,HLOOKUP(INDIRECT(ADDRESS(2,COLUMN())),OFFSET($T$2,0,0,ROW()-1,14),ROW()-1,FALSE))</x:f>
        <x:v>0</x:v>
      </x:c>
      <x:c r="O689">
        <x:f ca="1">IF(AND($B$1012=1,LEN($O$1680)&gt;0),$O$1680,HLOOKUP(INDIRECT(ADDRESS(2,COLUMN())),OFFSET($T$2,0,0,ROW()-1,14),ROW()-1,FALSE))</x:f>
        <x:v>0</x:v>
      </x:c>
      <x:c r="P689">
        <x:f ca="1">IF(AND($B$1012=1,LEN($P$1680)&gt;0),$P$1680,HLOOKUP(INDIRECT(ADDRESS(2,COLUMN())),OFFSET($T$2,0,0,ROW()-1,14),ROW()-1,FALSE))</x:f>
        <x:v>-0.76134299999999999</x:v>
      </x:c>
      <x:c r="Q689">
        <x:f ca="1">IF(AND($B$1012=1,LEN($Q$1680)&gt;0),$Q$1680,HLOOKUP(INDIRECT(ADDRESS(2,COLUMN())),OFFSET($T$2,0,0,ROW()-1,14),ROW()-1,FALSE))</x:f>
        <x:v>0.82754799999999995</x:v>
      </x:c>
      <x:c r="R689">
        <x:f ca="1">IF(AND($B$1012=1,LEN($R$1680)&gt;0),$R$1680,HLOOKUP(INDIRECT(ADDRESS(2,COLUMN())),OFFSET($T$2,0,0,ROW()-1,14),ROW()-1,FALSE))</x:f>
        <x:v>0</x:v>
      </x:c>
      <x:c r="S689">
        <x:f ca="1">IF(AND($B$1012=1,LEN($S$1680)&gt;0),$S$1680,HLOOKUP(INDIRECT(ADDRESS(2,COLUMN())),OFFSET($T$2,0,0,ROW()-1,14),ROW()-1,FALSE))</x:f>
        <x:v>-1.437093</x:v>
      </x:c>
      <x:c r="T689">
        <x:f>0</x:f>
        <x:v>0</x:v>
      </x:c>
      <x:c r="U689">
        <x:f>0</x:f>
        <x:v>0</x:v>
      </x:c>
      <x:c r="V689">
        <x:f>0.452472</x:f>
        <x:v>0.45247199999999999</x:v>
      </x:c>
      <x:c r="W689">
        <x:f>0.48202</x:f>
        <x:v>0.48202</x:v>
      </x:c>
      <x:c r="X689">
        <x:f>0.618082</x:f>
        <x:v>0.61808200000000002</x:v>
      </x:c>
      <x:c r="Y689">
        <x:f>0</x:f>
        <x:v>0</x:v>
      </x:c>
      <x:c r="Z689">
        <x:f>0</x:f>
        <x:v>0</x:v>
      </x:c>
      <x:c r="AA689">
        <x:f>0</x:f>
        <x:v>0</x:v>
      </x:c>
      <x:c r="AB689">
        <x:f>0</x:f>
        <x:v>0</x:v>
      </x:c>
      <x:c r="AC689">
        <x:f>0</x:f>
        <x:v>0</x:v>
      </x:c>
      <x:c r="AD689">
        <x:f>-0.761343</x:f>
        <x:v>-0.76134299999999999</x:v>
      </x:c>
      <x:c r="AE689">
        <x:f>0.827548</x:f>
        <x:v>0.82754799999999995</x:v>
      </x:c>
      <x:c r="AF689">
        <x:f>0</x:f>
        <x:v>0</x:v>
      </x:c>
      <x:c r="AG689">
        <x:f>-1.437093</x:f>
        <x:v>-1.437093</x:v>
      </x:c>
    </x:row>
    <x:row r="690" spans="1:33" x14ac:dyDescent="0.25">
      <x:c r="A690" t="str">
        <x:f>"            iClima Climate Change Solution"</x:f>
        <x:v xml:space="preserve">            iClima Climate Change Solution</x:v>
      </x:c>
      <x:c r="B690" t="str">
        <x:f>"CLMA US Equity"</x:f>
        <x:v>CLMA US Equity</x:v>
      </x:c>
      <x:c r="E690" t="str">
        <x:f t="shared" si="24"/>
        <x:v>Expression</x:v>
      </x:c>
      <x:c r="F690" t="str">
        <x:f ca="1">IF(AND($B$1012=1,LEN($F$1681)&gt;0),$F$1681,HLOOKUP(INDIRECT(ADDRESS(2,COLUMN())),OFFSET($T$2,0,0,ROW()-1,14),ROW()-1,FALSE))</x:f>
        <x:v/>
      </x:c>
      <x:c r="G690" t="str">
        <x:f ca="1">IF(AND($B$1012=1,LEN($G$1681)&gt;0),$G$1681,HLOOKUP(INDIRECT(ADDRESS(2,COLUMN())),OFFSET($T$2,0,0,ROW()-1,14),ROW()-1,FALSE))</x:f>
        <x:v/>
      </x:c>
      <x:c r="H690" t="str">
        <x:f ca="1">IF(AND($B$1012=1,LEN($H$1681)&gt;0),$H$1681,HLOOKUP(INDIRECT(ADDRESS(2,COLUMN())),OFFSET($T$2,0,0,ROW()-1,14),ROW()-1,FALSE))</x:f>
        <x:v/>
      </x:c>
      <x:c r="I690" t="str">
        <x:f ca="1">IF(AND($B$1012=1,LEN($I$1681)&gt;0),$I$1681,HLOOKUP(INDIRECT(ADDRESS(2,COLUMN())),OFFSET($T$2,0,0,ROW()-1,14),ROW()-1,FALSE))</x:f>
        <x:v/>
      </x:c>
      <x:c r="J690" t="str">
        <x:f ca="1">IF(AND($B$1012=1,LEN($J$1681)&gt;0),$J$1681,HLOOKUP(INDIRECT(ADDRESS(2,COLUMN())),OFFSET($T$2,0,0,ROW()-1,14),ROW()-1,FALSE))</x:f>
        <x:v/>
      </x:c>
      <x:c r="K690" t="str">
        <x:f ca="1">IF(AND($B$1012=1,LEN($K$1681)&gt;0),$K$1681,HLOOKUP(INDIRECT(ADDRESS(2,COLUMN())),OFFSET($T$2,0,0,ROW()-1,14),ROW()-1,FALSE))</x:f>
        <x:v/>
      </x:c>
      <x:c r="L690" t="str">
        <x:f ca="1">IF(AND($B$1012=1,LEN($L$1681)&gt;0),$L$1681,HLOOKUP(INDIRECT(ADDRESS(2,COLUMN())),OFFSET($T$2,0,0,ROW()-1,14),ROW()-1,FALSE))</x:f>
        <x:v/>
      </x:c>
      <x:c r="M690" t="str">
        <x:f ca="1">IF(AND($B$1012=1,LEN($M$1681)&gt;0),$M$1681,HLOOKUP(INDIRECT(ADDRESS(2,COLUMN())),OFFSET($T$2,0,0,ROW()-1,14),ROW()-1,FALSE))</x:f>
        <x:v/>
      </x:c>
      <x:c r="N690" t="str">
        <x:f ca="1">IF(AND($B$1012=1,LEN($N$1681)&gt;0),$N$1681,HLOOKUP(INDIRECT(ADDRESS(2,COLUMN())),OFFSET($T$2,0,0,ROW()-1,14),ROW()-1,FALSE))</x:f>
        <x:v/>
      </x:c>
      <x:c r="O690" t="str">
        <x:f ca="1">IF(AND($B$1012=1,LEN($O$1681)&gt;0),$O$1681,HLOOKUP(INDIRECT(ADDRESS(2,COLUMN())),OFFSET($T$2,0,0,ROW()-1,14),ROW()-1,FALSE))</x:f>
        <x:v/>
      </x:c>
      <x:c r="P690" t="str">
        <x:f ca="1">IF(AND($B$1012=1,LEN($P$1681)&gt;0),$P$1681,HLOOKUP(INDIRECT(ADDRESS(2,COLUMN())),OFFSET($T$2,0,0,ROW()-1,14),ROW()-1,FALSE))</x:f>
        <x:v/>
      </x:c>
      <x:c r="Q690" t="str">
        <x:f ca="1">IF(AND($B$1012=1,LEN($Q$1681)&gt;0),$Q$1681,HLOOKUP(INDIRECT(ADDRESS(2,COLUMN())),OFFSET($T$2,0,0,ROW()-1,14),ROW()-1,FALSE))</x:f>
        <x:v/>
      </x:c>
      <x:c r="R690" t="str">
        <x:f ca="1">IF(AND($B$1012=1,LEN($R$1681)&gt;0),$R$1681,HLOOKUP(INDIRECT(ADDRESS(2,COLUMN())),OFFSET($T$2,0,0,ROW()-1,14),ROW()-1,FALSE))</x:f>
        <x:v/>
      </x:c>
      <x:c r="S690" t="str">
        <x:f ca="1">IF(AND($B$1012=1,LEN($S$1681)&gt;0),$S$1681,HLOOKUP(INDIRECT(ADDRESS(2,COLUMN())),OFFSET($T$2,0,0,ROW()-1,14),ROW()-1,FALSE))</x:f>
        <x:v/>
      </x:c>
      <x:c r="T690" t="str">
        <x:f>""</x:f>
        <x:v/>
      </x:c>
      <x:c r="U690" t="str">
        <x:f>""</x:f>
        <x:v/>
      </x:c>
      <x:c r="V690" t="str">
        <x:f>""</x:f>
        <x:v/>
      </x:c>
      <x:c r="W690" t="str">
        <x:f>""</x:f>
        <x:v/>
      </x:c>
      <x:c r="X690" t="str">
        <x:f>""</x:f>
        <x:v/>
      </x:c>
      <x:c r="Y690" t="str">
        <x:f>""</x:f>
        <x:v/>
      </x:c>
      <x:c r="Z690" t="str">
        <x:f>""</x:f>
        <x:v/>
      </x:c>
      <x:c r="AA690" t="str">
        <x:f>""</x:f>
        <x:v/>
      </x:c>
      <x:c r="AB690" t="str">
        <x:f>""</x:f>
        <x:v/>
      </x:c>
      <x:c r="AC690" t="str">
        <x:f>""</x:f>
        <x:v/>
      </x:c>
      <x:c r="AD690" t="str">
        <x:f>""</x:f>
        <x:v/>
      </x:c>
      <x:c r="AE690" t="str">
        <x:f>""</x:f>
        <x:v/>
      </x:c>
      <x:c r="AF690" t="str">
        <x:f>""</x:f>
        <x:v/>
      </x:c>
      <x:c r="AG690" t="str">
        <x:f>""</x:f>
        <x:v/>
      </x:c>
    </x:row>
    <x:row r="691" spans="1:33" x14ac:dyDescent="0.25">
      <x:c r="A691" t="str">
        <x:f>"            SoFi Smart Energy ETF"</x:f>
        <x:v xml:space="preserve">            SoFi Smart Energy ETF</x:v>
      </x:c>
      <x:c r="B691" t="str">
        <x:f>"SHFT US Equity"</x:f>
        <x:v>SHFT US Equity</x:v>
      </x:c>
      <x:c r="E691" t="str">
        <x:f t="shared" si="24"/>
        <x:v>Expression</x:v>
      </x:c>
      <x:c r="F691">
        <x:f ca="1">IF(AND($B$1012=1,LEN($F$1682)&gt;0),$F$1682,HLOOKUP(INDIRECT(ADDRESS(2,COLUMN())),OFFSET($T$2,0,0,ROW()-1,14),ROW()-1,FALSE))</x:f>
        <x:v>0</x:v>
      </x:c>
      <x:c r="G691">
        <x:f ca="1">IF(AND($B$1012=1,LEN($G$1682)&gt;0),$G$1682,HLOOKUP(INDIRECT(ADDRESS(2,COLUMN())),OFFSET($T$2,0,0,ROW()-1,14),ROW()-1,FALSE))</x:f>
        <x:v>0</x:v>
      </x:c>
      <x:c r="H691">
        <x:f ca="1">IF(AND($B$1012=1,LEN($H$1682)&gt;0),$H$1682,HLOOKUP(INDIRECT(ADDRESS(2,COLUMN())),OFFSET($T$2,0,0,ROW()-1,14),ROW()-1,FALSE))</x:f>
        <x:v>0</x:v>
      </x:c>
      <x:c r="I691">
        <x:f ca="1">IF(AND($B$1012=1,LEN($I$1682)&gt;0),$I$1682,HLOOKUP(INDIRECT(ADDRESS(2,COLUMN())),OFFSET($T$2,0,0,ROW()-1,14),ROW()-1,FALSE))</x:f>
        <x:v>-0.138798</x:v>
      </x:c>
      <x:c r="J691">
        <x:f ca="1">IF(AND($B$1012=1,LEN($J$1682)&gt;0),$J$1682,HLOOKUP(INDIRECT(ADDRESS(2,COLUMN())),OFFSET($T$2,0,0,ROW()-1,14),ROW()-1,FALSE))</x:f>
        <x:v>0</x:v>
      </x:c>
      <x:c r="K691">
        <x:f ca="1">IF(AND($B$1012=1,LEN($K$1682)&gt;0),$K$1682,HLOOKUP(INDIRECT(ADDRESS(2,COLUMN())),OFFSET($T$2,0,0,ROW()-1,14),ROW()-1,FALSE))</x:f>
        <x:v>0</x:v>
      </x:c>
      <x:c r="L691">
        <x:f ca="1">IF(AND($B$1012=1,LEN($L$1682)&gt;0),$L$1682,HLOOKUP(INDIRECT(ADDRESS(2,COLUMN())),OFFSET($T$2,0,0,ROW()-1,14),ROW()-1,FALSE))</x:f>
        <x:v>-0.36260199999999998</x:v>
      </x:c>
      <x:c r="M691">
        <x:f ca="1">IF(AND($B$1012=1,LEN($M$1682)&gt;0),$M$1682,HLOOKUP(INDIRECT(ADDRESS(2,COLUMN())),OFFSET($T$2,0,0,ROW()-1,14),ROW()-1,FALSE))</x:f>
        <x:v>-0.36402000000000001</x:v>
      </x:c>
      <x:c r="N691">
        <x:f ca="1">IF(AND($B$1012=1,LEN($N$1682)&gt;0),$N$1682,HLOOKUP(INDIRECT(ADDRESS(2,COLUMN())),OFFSET($T$2,0,0,ROW()-1,14),ROW()-1,FALSE))</x:f>
        <x:v>0</x:v>
      </x:c>
      <x:c r="O691">
        <x:f ca="1">IF(AND($B$1012=1,LEN($O$1682)&gt;0),$O$1682,HLOOKUP(INDIRECT(ADDRESS(2,COLUMN())),OFFSET($T$2,0,0,ROW()-1,14),ROW()-1,FALSE))</x:f>
        <x:v>-4.7875000000000001E-2</x:v>
      </x:c>
      <x:c r="P691">
        <x:f ca="1">IF(AND($B$1012=1,LEN($P$1682)&gt;0),$P$1682,HLOOKUP(INDIRECT(ADDRESS(2,COLUMN())),OFFSET($T$2,0,0,ROW()-1,14),ROW()-1,FALSE))</x:f>
        <x:v>0</x:v>
      </x:c>
      <x:c r="Q691">
        <x:f ca="1">IF(AND($B$1012=1,LEN($Q$1682)&gt;0),$Q$1682,HLOOKUP(INDIRECT(ADDRESS(2,COLUMN())),OFFSET($T$2,0,0,ROW()-1,14),ROW()-1,FALSE))</x:f>
        <x:v>0</x:v>
      </x:c>
      <x:c r="R691">
        <x:f ca="1">IF(AND($B$1012=1,LEN($R$1682)&gt;0),$R$1682,HLOOKUP(INDIRECT(ADDRESS(2,COLUMN())),OFFSET($T$2,0,0,ROW()-1,14),ROW()-1,FALSE))</x:f>
        <x:v>0</x:v>
      </x:c>
      <x:c r="S691">
        <x:f ca="1">IF(AND($B$1012=1,LEN($S$1682)&gt;0),$S$1682,HLOOKUP(INDIRECT(ADDRESS(2,COLUMN())),OFFSET($T$2,0,0,ROW()-1,14),ROW()-1,FALSE))</x:f>
        <x:v>0</x:v>
      </x:c>
      <x:c r="T691">
        <x:f>0</x:f>
        <x:v>0</x:v>
      </x:c>
      <x:c r="U691">
        <x:f>0</x:f>
        <x:v>0</x:v>
      </x:c>
      <x:c r="V691">
        <x:f>0</x:f>
        <x:v>0</x:v>
      </x:c>
      <x:c r="W691">
        <x:f>-0.138798</x:f>
        <x:v>-0.138798</x:v>
      </x:c>
      <x:c r="X691">
        <x:f>0</x:f>
        <x:v>0</x:v>
      </x:c>
      <x:c r="Y691">
        <x:f>0</x:f>
        <x:v>0</x:v>
      </x:c>
      <x:c r="Z691">
        <x:f>-0.362602</x:f>
        <x:v>-0.36260199999999998</x:v>
      </x:c>
      <x:c r="AA691">
        <x:f>-0.36402</x:f>
        <x:v>-0.36402000000000001</x:v>
      </x:c>
      <x:c r="AB691">
        <x:f>0</x:f>
        <x:v>0</x:v>
      </x:c>
      <x:c r="AC691">
        <x:f>-0.047875</x:f>
        <x:v>-4.7875000000000001E-2</x:v>
      </x:c>
      <x:c r="AD691">
        <x:f>0</x:f>
        <x:v>0</x:v>
      </x:c>
      <x:c r="AE691">
        <x:f>0</x:f>
        <x:v>0</x:v>
      </x:c>
      <x:c r="AF691">
        <x:f>0</x:f>
        <x:v>0</x:v>
      </x:c>
      <x:c r="AG691">
        <x:f>0</x:f>
        <x:v>0</x:v>
      </x:c>
    </x:row>
    <x:row r="692" spans="1:33" x14ac:dyDescent="0.25">
      <x:c r="A692" t="str">
        <x:f>"            Virtus Duff &amp; Phelps Clean Ene"</x:f>
        <x:v xml:space="preserve">            Virtus Duff &amp; Phelps Clean Ene</x:v>
      </x:c>
      <x:c r="B692" t="str">
        <x:f>"VCLN US Equity"</x:f>
        <x:v>VCLN US Equity</x:v>
      </x:c>
      <x:c r="E692" t="str">
        <x:f t="shared" si="24"/>
        <x:v>Expression</x:v>
      </x:c>
      <x:c r="F692">
        <x:f ca="1">IF(AND($B$1012=1,LEN($F$1683)&gt;0),$F$1683,HLOOKUP(INDIRECT(ADDRESS(2,COLUMN())),OFFSET($T$2,0,0,ROW()-1,14),ROW()-1,FALSE))</x:f>
        <x:v>0</x:v>
      </x:c>
      <x:c r="G692">
        <x:f ca="1">IF(AND($B$1012=1,LEN($G$1683)&gt;0),$G$1683,HLOOKUP(INDIRECT(ADDRESS(2,COLUMN())),OFFSET($T$2,0,0,ROW()-1,14),ROW()-1,FALSE))</x:f>
        <x:v>0</x:v>
      </x:c>
      <x:c r="H692">
        <x:f ca="1">IF(AND($B$1012=1,LEN($H$1683)&gt;0),$H$1683,HLOOKUP(INDIRECT(ADDRESS(2,COLUMN())),OFFSET($T$2,0,0,ROW()-1,14),ROW()-1,FALSE))</x:f>
        <x:v>0</x:v>
      </x:c>
      <x:c r="I692">
        <x:f ca="1">IF(AND($B$1012=1,LEN($I$1683)&gt;0),$I$1683,HLOOKUP(INDIRECT(ADDRESS(2,COLUMN())),OFFSET($T$2,0,0,ROW()-1,14),ROW()-1,FALSE))</x:f>
        <x:v>4.6466149999999997</x:v>
      </x:c>
      <x:c r="J692">
        <x:f ca="1">IF(AND($B$1012=1,LEN($J$1683)&gt;0),$J$1683,HLOOKUP(INDIRECT(ADDRESS(2,COLUMN())),OFFSET($T$2,0,0,ROW()-1,14),ROW()-1,FALSE))</x:f>
        <x:v>0</x:v>
      </x:c>
      <x:c r="K692">
        <x:f ca="1">IF(AND($B$1012=1,LEN($K$1683)&gt;0),$K$1683,HLOOKUP(INDIRECT(ADDRESS(2,COLUMN())),OFFSET($T$2,0,0,ROW()-1,14),ROW()-1,FALSE))</x:f>
        <x:v>0</x:v>
      </x:c>
      <x:c r="L692">
        <x:f ca="1">IF(AND($B$1012=1,LEN($L$1683)&gt;0),$L$1683,HLOOKUP(INDIRECT(ADDRESS(2,COLUMN())),OFFSET($T$2,0,0,ROW()-1,14),ROW()-1,FALSE))</x:f>
        <x:v>0</x:v>
      </x:c>
      <x:c r="M692">
        <x:f ca="1">IF(AND($B$1012=1,LEN($M$1683)&gt;0),$M$1683,HLOOKUP(INDIRECT(ADDRESS(2,COLUMN())),OFFSET($T$2,0,0,ROW()-1,14),ROW()-1,FALSE))</x:f>
        <x:v>0</x:v>
      </x:c>
      <x:c r="N692">
        <x:f ca="1">IF(AND($B$1012=1,LEN($N$1683)&gt;0),$N$1683,HLOOKUP(INDIRECT(ADDRESS(2,COLUMN())),OFFSET($T$2,0,0,ROW()-1,14),ROW()-1,FALSE))</x:f>
        <x:v>0</x:v>
      </x:c>
      <x:c r="O692">
        <x:f ca="1">IF(AND($B$1012=1,LEN($O$1683)&gt;0),$O$1683,HLOOKUP(INDIRECT(ADDRESS(2,COLUMN())),OFFSET($T$2,0,0,ROW()-1,14),ROW()-1,FALSE))</x:f>
        <x:v>0</x:v>
      </x:c>
      <x:c r="P692">
        <x:f ca="1">IF(AND($B$1012=1,LEN($P$1683)&gt;0),$P$1683,HLOOKUP(INDIRECT(ADDRESS(2,COLUMN())),OFFSET($T$2,0,0,ROW()-1,14),ROW()-1,FALSE))</x:f>
        <x:v>0</x:v>
      </x:c>
      <x:c r="Q692">
        <x:f ca="1">IF(AND($B$1012=1,LEN($Q$1683)&gt;0),$Q$1683,HLOOKUP(INDIRECT(ADDRESS(2,COLUMN())),OFFSET($T$2,0,0,ROW()-1,14),ROW()-1,FALSE))</x:f>
        <x:v>0</x:v>
      </x:c>
      <x:c r="R692">
        <x:f ca="1">IF(AND($B$1012=1,LEN($R$1683)&gt;0),$R$1683,HLOOKUP(INDIRECT(ADDRESS(2,COLUMN())),OFFSET($T$2,0,0,ROW()-1,14),ROW()-1,FALSE))</x:f>
        <x:v>0</x:v>
      </x:c>
      <x:c r="S692">
        <x:f ca="1">IF(AND($B$1012=1,LEN($S$1683)&gt;0),$S$1683,HLOOKUP(INDIRECT(ADDRESS(2,COLUMN())),OFFSET($T$2,0,0,ROW()-1,14),ROW()-1,FALSE))</x:f>
        <x:v>0</x:v>
      </x:c>
      <x:c r="T692">
        <x:f>0</x:f>
        <x:v>0</x:v>
      </x:c>
      <x:c r="U692">
        <x:f>0</x:f>
        <x:v>0</x:v>
      </x:c>
      <x:c r="V692">
        <x:f>0</x:f>
        <x:v>0</x:v>
      </x:c>
      <x:c r="W692">
        <x:f>4.646615</x:f>
        <x:v>4.6466149999999997</x:v>
      </x:c>
      <x:c r="X692">
        <x:f>0</x:f>
        <x:v>0</x:v>
      </x:c>
      <x:c r="Y692">
        <x:f>0</x:f>
        <x:v>0</x:v>
      </x:c>
      <x:c r="Z692">
        <x:f>0</x:f>
        <x:v>0</x:v>
      </x:c>
      <x:c r="AA692">
        <x:f>0</x:f>
        <x:v>0</x:v>
      </x:c>
      <x:c r="AB692">
        <x:f>0</x:f>
        <x:v>0</x:v>
      </x:c>
      <x:c r="AC692">
        <x:f>0</x:f>
        <x:v>0</x:v>
      </x:c>
      <x:c r="AD692">
        <x:f>0</x:f>
        <x:v>0</x:v>
      </x:c>
      <x:c r="AE692">
        <x:f>0</x:f>
        <x:v>0</x:v>
      </x:c>
      <x:c r="AF692">
        <x:f>0</x:f>
        <x:v>0</x:v>
      </x:c>
      <x:c r="AG692">
        <x:f>0</x:f>
        <x:v>0</x:v>
      </x:c>
    </x:row>
    <x:row r="693" spans="1:33" x14ac:dyDescent="0.25">
      <x:c r="A693" t="str">
        <x:f>"            iShares Paris - Aligned Climat"</x:f>
        <x:v xml:space="preserve">            iShares Paris - Aligned Climat</x:v>
      </x:c>
      <x:c r="B693" t="str">
        <x:f>"PABU US Equity"</x:f>
        <x:v>PABU US Equity</x:v>
      </x:c>
      <x:c r="E693" t="str">
        <x:f t="shared" si="24"/>
        <x:v>Expression</x:v>
      </x:c>
      <x:c r="F693">
        <x:f ca="1">IF(AND($B$1012=1,LEN($F$1684)&gt;0),$F$1684,HLOOKUP(INDIRECT(ADDRESS(2,COLUMN())),OFFSET($T$2,0,0,ROW()-1,14),ROW()-1,FALSE))</x:f>
        <x:v>0</x:v>
      </x:c>
      <x:c r="G693">
        <x:f ca="1">IF(AND($B$1012=1,LEN($G$1684)&gt;0),$G$1684,HLOOKUP(INDIRECT(ADDRESS(2,COLUMN())),OFFSET($T$2,0,0,ROW()-1,14),ROW()-1,FALSE))</x:f>
        <x:v>0</x:v>
      </x:c>
      <x:c r="H693">
        <x:f ca="1">IF(AND($B$1012=1,LEN($H$1684)&gt;0),$H$1684,HLOOKUP(INDIRECT(ADDRESS(2,COLUMN())),OFFSET($T$2,0,0,ROW()-1,14),ROW()-1,FALSE))</x:f>
        <x:v>-7.408487</x:v>
      </x:c>
      <x:c r="I693">
        <x:f ca="1">IF(AND($B$1012=1,LEN($I$1684)&gt;0),$I$1684,HLOOKUP(INDIRECT(ADDRESS(2,COLUMN())),OFFSET($T$2,0,0,ROW()-1,14),ROW()-1,FALSE))</x:f>
        <x:v>-47.072685</x:v>
      </x:c>
      <x:c r="J693">
        <x:f ca="1">IF(AND($B$1012=1,LEN($J$1684)&gt;0),$J$1684,HLOOKUP(INDIRECT(ADDRESS(2,COLUMN())),OFFSET($T$2,0,0,ROW()-1,14),ROW()-1,FALSE))</x:f>
        <x:v>-24.406949999999998</x:v>
      </x:c>
      <x:c r="K693">
        <x:f ca="1">IF(AND($B$1012=1,LEN($K$1684)&gt;0),$K$1684,HLOOKUP(INDIRECT(ADDRESS(2,COLUMN())),OFFSET($T$2,0,0,ROW()-1,14),ROW()-1,FALSE))</x:f>
        <x:v>-2.4036249999999999</x:v>
      </x:c>
      <x:c r="L693">
        <x:f ca="1">IF(AND($B$1012=1,LEN($L$1684)&gt;0),$L$1684,HLOOKUP(INDIRECT(ADDRESS(2,COLUMN())),OFFSET($T$2,0,0,ROW()-1,14),ROW()-1,FALSE))</x:f>
        <x:v>163.68074999999999</x:v>
      </x:c>
      <x:c r="M693">
        <x:f ca="1">IF(AND($B$1012=1,LEN($M$1684)&gt;0),$M$1684,HLOOKUP(INDIRECT(ADDRESS(2,COLUMN())),OFFSET($T$2,0,0,ROW()-1,14),ROW()-1,FALSE))</x:f>
        <x:v>290.58600000000001</x:v>
      </x:c>
      <x:c r="N693">
        <x:f ca="1">IF(AND($B$1012=1,LEN($N$1684)&gt;0),$N$1684,HLOOKUP(INDIRECT(ADDRESS(2,COLUMN())),OFFSET($T$2,0,0,ROW()-1,14),ROW()-1,FALSE))</x:f>
        <x:v>0</x:v>
      </x:c>
      <x:c r="O693">
        <x:f ca="1">IF(AND($B$1012=1,LEN($O$1684)&gt;0),$O$1684,HLOOKUP(INDIRECT(ADDRESS(2,COLUMN())),OFFSET($T$2,0,0,ROW()-1,14),ROW()-1,FALSE))</x:f>
        <x:v>25.998069999999998</x:v>
      </x:c>
      <x:c r="P693">
        <x:f ca="1">IF(AND($B$1012=1,LEN($P$1684)&gt;0),$P$1684,HLOOKUP(INDIRECT(ADDRESS(2,COLUMN())),OFFSET($T$2,0,0,ROW()-1,14),ROW()-1,FALSE))</x:f>
        <x:v>0</x:v>
      </x:c>
      <x:c r="Q693">
        <x:f ca="1">IF(AND($B$1012=1,LEN($Q$1684)&gt;0),$Q$1684,HLOOKUP(INDIRECT(ADDRESS(2,COLUMN())),OFFSET($T$2,0,0,ROW()-1,14),ROW()-1,FALSE))</x:f>
        <x:v>2.128965</x:v>
      </x:c>
      <x:c r="R693">
        <x:f ca="1">IF(AND($B$1012=1,LEN($R$1684)&gt;0),$R$1684,HLOOKUP(INDIRECT(ADDRESS(2,COLUMN())),OFFSET($T$2,0,0,ROW()-1,14),ROW()-1,FALSE))</x:f>
        <x:v>74.96405</x:v>
      </x:c>
      <x:c r="S693">
        <x:f ca="1">IF(AND($B$1012=1,LEN($S$1684)&gt;0),$S$1684,HLOOKUP(INDIRECT(ADDRESS(2,COLUMN())),OFFSET($T$2,0,0,ROW()-1,14),ROW()-1,FALSE))</x:f>
        <x:v>-2.0274999999999999</x:v>
      </x:c>
      <x:c r="T693">
        <x:f>0</x:f>
        <x:v>0</x:v>
      </x:c>
      <x:c r="U693">
        <x:f>0</x:f>
        <x:v>0</x:v>
      </x:c>
      <x:c r="V693">
        <x:f>-7.408487</x:f>
        <x:v>-7.408487</x:v>
      </x:c>
      <x:c r="W693">
        <x:f>-47.072685</x:f>
        <x:v>-47.072685</x:v>
      </x:c>
      <x:c r="X693">
        <x:f>-24.40695</x:f>
        <x:v>-24.406949999999998</x:v>
      </x:c>
      <x:c r="Y693">
        <x:f>-2.403625</x:f>
        <x:v>-2.4036249999999999</x:v>
      </x:c>
      <x:c r="Z693">
        <x:f>163.68075</x:f>
        <x:v>163.68074999999999</x:v>
      </x:c>
      <x:c r="AA693">
        <x:f>290.586</x:f>
        <x:v>290.58600000000001</x:v>
      </x:c>
      <x:c r="AB693">
        <x:f>0</x:f>
        <x:v>0</x:v>
      </x:c>
      <x:c r="AC693">
        <x:f>25.99807</x:f>
        <x:v>25.998069999999998</x:v>
      </x:c>
      <x:c r="AD693">
        <x:f>0</x:f>
        <x:v>0</x:v>
      </x:c>
      <x:c r="AE693">
        <x:f>2.128965</x:f>
        <x:v>2.128965</x:v>
      </x:c>
      <x:c r="AF693">
        <x:f>74.96405</x:f>
        <x:v>74.96405</x:v>
      </x:c>
      <x:c r="AG693">
        <x:f>-2.0275</x:f>
        <x:v>-2.0274999999999999</x:v>
      </x:c>
    </x:row>
    <x:row r="694" spans="1:33" x14ac:dyDescent="0.25">
      <x:c r="A694" t="str">
        <x:f>"            Goldman Sachs Bloomberg Clean"</x:f>
        <x:v xml:space="preserve">            Goldman Sachs Bloomberg Clean</x:v>
      </x:c>
      <x:c r="B694" t="str">
        <x:f>"GCLN US Equity"</x:f>
        <x:v>GCLN US Equity</x:v>
      </x:c>
      <x:c r="E694" t="str">
        <x:f t="shared" si="24"/>
        <x:v>Expression</x:v>
      </x:c>
      <x:c r="F694">
        <x:f ca="1">IF(AND($B$1012=1,LEN($F$1685)&gt;0),$F$1685,HLOOKUP(INDIRECT(ADDRESS(2,COLUMN())),OFFSET($T$2,0,0,ROW()-1,14),ROW()-1,FALSE))</x:f>
        <x:v>3.1269360000000002</x:v>
      </x:c>
      <x:c r="G694">
        <x:f ca="1">IF(AND($B$1012=1,LEN($G$1685)&gt;0),$G$1685,HLOOKUP(INDIRECT(ADDRESS(2,COLUMN())),OFFSET($T$2,0,0,ROW()-1,14),ROW()-1,FALSE))</x:f>
        <x:v>0</x:v>
      </x:c>
      <x:c r="H694">
        <x:f ca="1">IF(AND($B$1012=1,LEN($H$1685)&gt;0),$H$1685,HLOOKUP(INDIRECT(ADDRESS(2,COLUMN())),OFFSET($T$2,0,0,ROW()-1,14),ROW()-1,FALSE))</x:f>
        <x:v>0</x:v>
      </x:c>
      <x:c r="I694">
        <x:f ca="1">IF(AND($B$1012=1,LEN($I$1685)&gt;0),$I$1685,HLOOKUP(INDIRECT(ADDRESS(2,COLUMN())),OFFSET($T$2,0,0,ROW()-1,14),ROW()-1,FALSE))</x:f>
        <x:v>0</x:v>
      </x:c>
      <x:c r="J694">
        <x:f ca="1">IF(AND($B$1012=1,LEN($J$1685)&gt;0),$J$1685,HLOOKUP(INDIRECT(ADDRESS(2,COLUMN())),OFFSET($T$2,0,0,ROW()-1,14),ROW()-1,FALSE))</x:f>
        <x:v>0</x:v>
      </x:c>
      <x:c r="K694">
        <x:f ca="1">IF(AND($B$1012=1,LEN($K$1685)&gt;0),$K$1685,HLOOKUP(INDIRECT(ADDRESS(2,COLUMN())),OFFSET($T$2,0,0,ROW()-1,14),ROW()-1,FALSE))</x:f>
        <x:v>0</x:v>
      </x:c>
      <x:c r="L694">
        <x:f ca="1">IF(AND($B$1012=1,LEN($L$1685)&gt;0),$L$1685,HLOOKUP(INDIRECT(ADDRESS(2,COLUMN())),OFFSET($T$2,0,0,ROW()-1,14),ROW()-1,FALSE))</x:f>
        <x:v>0</x:v>
      </x:c>
      <x:c r="M694">
        <x:f ca="1">IF(AND($B$1012=1,LEN($M$1685)&gt;0),$M$1685,HLOOKUP(INDIRECT(ADDRESS(2,COLUMN())),OFFSET($T$2,0,0,ROW()-1,14),ROW()-1,FALSE))</x:f>
        <x:v>0</x:v>
      </x:c>
      <x:c r="N694">
        <x:f ca="1">IF(AND($B$1012=1,LEN($N$1685)&gt;0),$N$1685,HLOOKUP(INDIRECT(ADDRESS(2,COLUMN())),OFFSET($T$2,0,0,ROW()-1,14),ROW()-1,FALSE))</x:f>
        <x:v>0</x:v>
      </x:c>
      <x:c r="O694">
        <x:f ca="1">IF(AND($B$1012=1,LEN($O$1685)&gt;0),$O$1685,HLOOKUP(INDIRECT(ADDRESS(2,COLUMN())),OFFSET($T$2,0,0,ROW()-1,14),ROW()-1,FALSE))</x:f>
        <x:v>0</x:v>
      </x:c>
      <x:c r="P694">
        <x:f ca="1">IF(AND($B$1012=1,LEN($P$1685)&gt;0),$P$1685,HLOOKUP(INDIRECT(ADDRESS(2,COLUMN())),OFFSET($T$2,0,0,ROW()-1,14),ROW()-1,FALSE))</x:f>
        <x:v>1.837556</x:v>
      </x:c>
      <x:c r="Q694">
        <x:f ca="1">IF(AND($B$1012=1,LEN($Q$1685)&gt;0),$Q$1685,HLOOKUP(INDIRECT(ADDRESS(2,COLUMN())),OFFSET($T$2,0,0,ROW()-1,14),ROW()-1,FALSE))</x:f>
        <x:v>0</x:v>
      </x:c>
      <x:c r="R694">
        <x:f ca="1">IF(AND($B$1012=1,LEN($R$1685)&gt;0),$R$1685,HLOOKUP(INDIRECT(ADDRESS(2,COLUMN())),OFFSET($T$2,0,0,ROW()-1,14),ROW()-1,FALSE))</x:f>
        <x:v>0</x:v>
      </x:c>
      <x:c r="S694">
        <x:f ca="1">IF(AND($B$1012=1,LEN($S$1685)&gt;0),$S$1685,HLOOKUP(INDIRECT(ADDRESS(2,COLUMN())),OFFSET($T$2,0,0,ROW()-1,14),ROW()-1,FALSE))</x:f>
        <x:v>0</x:v>
      </x:c>
      <x:c r="T694">
        <x:f>3.126936</x:f>
        <x:v>3.1269360000000002</x:v>
      </x:c>
      <x:c r="U694">
        <x:f>0</x:f>
        <x:v>0</x:v>
      </x:c>
      <x:c r="V694">
        <x:f>0</x:f>
        <x:v>0</x:v>
      </x:c>
      <x:c r="W694">
        <x:f>0</x:f>
        <x:v>0</x:v>
      </x:c>
      <x:c r="X694">
        <x:f>0</x:f>
        <x:v>0</x:v>
      </x:c>
      <x:c r="Y694">
        <x:f>0</x:f>
        <x:v>0</x:v>
      </x:c>
      <x:c r="Z694">
        <x:f>0</x:f>
        <x:v>0</x:v>
      </x:c>
      <x:c r="AA694">
        <x:f>0</x:f>
        <x:v>0</x:v>
      </x:c>
      <x:c r="AB694">
        <x:f>0</x:f>
        <x:v>0</x:v>
      </x:c>
      <x:c r="AC694">
        <x:f>0</x:f>
        <x:v>0</x:v>
      </x:c>
      <x:c r="AD694">
        <x:f>1.837556</x:f>
        <x:v>1.837556</x:v>
      </x:c>
      <x:c r="AE694">
        <x:f>0</x:f>
        <x:v>0</x:v>
      </x:c>
      <x:c r="AF694">
        <x:f>0</x:f>
        <x:v>0</x:v>
      </x:c>
      <x:c r="AG694">
        <x:f>0</x:f>
        <x:v>0</x:v>
      </x:c>
    </x:row>
    <x:row r="695" spans="1:33" x14ac:dyDescent="0.25">
      <x:c r="A695" t="str">
        <x:f>"            Strategy Shares Halt Climate C"</x:f>
        <x:v xml:space="preserve">            Strategy Shares Halt Climate C</x:v>
      </x:c>
      <x:c r="B695" t="str">
        <x:f>"NZRO US Equity"</x:f>
        <x:v>NZRO US Equity</x:v>
      </x:c>
      <x:c r="E695" t="str">
        <x:f t="shared" si="24"/>
        <x:v>Expression</x:v>
      </x:c>
      <x:c r="F695" t="str">
        <x:f ca="1">IF(AND($B$1012=1,LEN($F$1686)&gt;0),$F$1686,HLOOKUP(INDIRECT(ADDRESS(2,COLUMN())),OFFSET($T$2,0,0,ROW()-1,14),ROW()-1,FALSE))</x:f>
        <x:v/>
      </x:c>
      <x:c r="G695">
        <x:f ca="1">IF(AND($B$1012=1,LEN($G$1686)&gt;0),$G$1686,HLOOKUP(INDIRECT(ADDRESS(2,COLUMN())),OFFSET($T$2,0,0,ROW()-1,14),ROW()-1,FALSE))</x:f>
        <x:v>0</x:v>
      </x:c>
      <x:c r="H695">
        <x:f ca="1">IF(AND($B$1012=1,LEN($H$1686)&gt;0),$H$1686,HLOOKUP(INDIRECT(ADDRESS(2,COLUMN())),OFFSET($T$2,0,0,ROW()-1,14),ROW()-1,FALSE))</x:f>
        <x:v>0</x:v>
      </x:c>
      <x:c r="I695">
        <x:f ca="1">IF(AND($B$1012=1,LEN($I$1686)&gt;0),$I$1686,HLOOKUP(INDIRECT(ADDRESS(2,COLUMN())),OFFSET($T$2,0,0,ROW()-1,14),ROW()-1,FALSE))</x:f>
        <x:v>0</x:v>
      </x:c>
      <x:c r="J695">
        <x:f ca="1">IF(AND($B$1012=1,LEN($J$1686)&gt;0),$J$1686,HLOOKUP(INDIRECT(ADDRESS(2,COLUMN())),OFFSET($T$2,0,0,ROW()-1,14),ROW()-1,FALSE))</x:f>
        <x:v>0</x:v>
      </x:c>
      <x:c r="K695">
        <x:f ca="1">IF(AND($B$1012=1,LEN($K$1686)&gt;0),$K$1686,HLOOKUP(INDIRECT(ADDRESS(2,COLUMN())),OFFSET($T$2,0,0,ROW()-1,14),ROW()-1,FALSE))</x:f>
        <x:v>0</x:v>
      </x:c>
      <x:c r="L695">
        <x:f ca="1">IF(AND($B$1012=1,LEN($L$1686)&gt;0),$L$1686,HLOOKUP(INDIRECT(ADDRESS(2,COLUMN())),OFFSET($T$2,0,0,ROW()-1,14),ROW()-1,FALSE))</x:f>
        <x:v>0</x:v>
      </x:c>
      <x:c r="M695">
        <x:f ca="1">IF(AND($B$1012=1,LEN($M$1686)&gt;0),$M$1686,HLOOKUP(INDIRECT(ADDRESS(2,COLUMN())),OFFSET($T$2,0,0,ROW()-1,14),ROW()-1,FALSE))</x:f>
        <x:v>0</x:v>
      </x:c>
      <x:c r="N695">
        <x:f ca="1">IF(AND($B$1012=1,LEN($N$1686)&gt;0),$N$1686,HLOOKUP(INDIRECT(ADDRESS(2,COLUMN())),OFFSET($T$2,0,0,ROW()-1,14),ROW()-1,FALSE))</x:f>
        <x:v>0</x:v>
      </x:c>
      <x:c r="O695">
        <x:f ca="1">IF(AND($B$1012=1,LEN($O$1686)&gt;0),$O$1686,HLOOKUP(INDIRECT(ADDRESS(2,COLUMN())),OFFSET($T$2,0,0,ROW()-1,14),ROW()-1,FALSE))</x:f>
        <x:v>0</x:v>
      </x:c>
      <x:c r="P695">
        <x:f ca="1">IF(AND($B$1012=1,LEN($P$1686)&gt;0),$P$1686,HLOOKUP(INDIRECT(ADDRESS(2,COLUMN())),OFFSET($T$2,0,0,ROW()-1,14),ROW()-1,FALSE))</x:f>
        <x:v>0</x:v>
      </x:c>
      <x:c r="Q695">
        <x:f ca="1">IF(AND($B$1012=1,LEN($Q$1686)&gt;0),$Q$1686,HLOOKUP(INDIRECT(ADDRESS(2,COLUMN())),OFFSET($T$2,0,0,ROW()-1,14),ROW()-1,FALSE))</x:f>
        <x:v>0</x:v>
      </x:c>
      <x:c r="R695">
        <x:f ca="1">IF(AND($B$1012=1,LEN($R$1686)&gt;0),$R$1686,HLOOKUP(INDIRECT(ADDRESS(2,COLUMN())),OFFSET($T$2,0,0,ROW()-1,14),ROW()-1,FALSE))</x:f>
        <x:v>0</x:v>
      </x:c>
      <x:c r="S695">
        <x:f ca="1">IF(AND($B$1012=1,LEN($S$1686)&gt;0),$S$1686,HLOOKUP(INDIRECT(ADDRESS(2,COLUMN())),OFFSET($T$2,0,0,ROW()-1,14),ROW()-1,FALSE))</x:f>
        <x:v>0</x:v>
      </x:c>
      <x:c r="T695" t="str">
        <x:f>""</x:f>
        <x:v/>
      </x:c>
      <x:c r="U695">
        <x:f>0</x:f>
        <x:v>0</x:v>
      </x:c>
      <x:c r="V695">
        <x:f>0</x:f>
        <x:v>0</x:v>
      </x:c>
      <x:c r="W695">
        <x:f>0</x:f>
        <x:v>0</x:v>
      </x:c>
      <x:c r="X695">
        <x:f>0</x:f>
        <x:v>0</x:v>
      </x:c>
      <x:c r="Y695">
        <x:f>0</x:f>
        <x:v>0</x:v>
      </x:c>
      <x:c r="Z695">
        <x:f>0</x:f>
        <x:v>0</x:v>
      </x:c>
      <x:c r="AA695">
        <x:f>0</x:f>
        <x:v>0</x:v>
      </x:c>
      <x:c r="AB695">
        <x:f>0</x:f>
        <x:v>0</x:v>
      </x:c>
      <x:c r="AC695">
        <x:f>0</x:f>
        <x:v>0</x:v>
      </x:c>
      <x:c r="AD695">
        <x:f>0</x:f>
        <x:v>0</x:v>
      </x:c>
      <x:c r="AE695">
        <x:f>0</x:f>
        <x:v>0</x:v>
      </x:c>
      <x:c r="AF695">
        <x:f>0</x:f>
        <x:v>0</x:v>
      </x:c>
      <x:c r="AG695">
        <x:f>0</x:f>
        <x:v>0</x:v>
      </x:c>
    </x:row>
    <x:row r="696" spans="1:33" x14ac:dyDescent="0.25">
      <x:c r="A696" t="str">
        <x:f>"            Engine NO 1 Transform Climate"</x:f>
        <x:v xml:space="preserve">            Engine NO 1 Transform Climate</x:v>
      </x:c>
      <x:c r="B696" t="str">
        <x:f>"NETZ US Equity"</x:f>
        <x:v>NETZ US Equity</x:v>
      </x:c>
      <x:c r="E696" t="str">
        <x:f t="shared" si="24"/>
        <x:v>Expression</x:v>
      </x:c>
      <x:c r="F696">
        <x:f ca="1">IF(AND($B$1012=1,LEN($F$1687)&gt;0),$F$1687,HLOOKUP(INDIRECT(ADDRESS(2,COLUMN())),OFFSET($T$2,0,0,ROW()-1,14),ROW()-1,FALSE))</x:f>
        <x:v>4.1278199999999998</x:v>
      </x:c>
      <x:c r="G696">
        <x:f ca="1">IF(AND($B$1012=1,LEN($G$1687)&gt;0),$G$1687,HLOOKUP(INDIRECT(ADDRESS(2,COLUMN())),OFFSET($T$2,0,0,ROW()-1,14),ROW()-1,FALSE))</x:f>
        <x:v>-11.002039999999999</x:v>
      </x:c>
      <x:c r="H696">
        <x:f ca="1">IF(AND($B$1012=1,LEN($H$1687)&gt;0),$H$1687,HLOOKUP(INDIRECT(ADDRESS(2,COLUMN())),OFFSET($T$2,0,0,ROW()-1,14),ROW()-1,FALSE))</x:f>
        <x:v>4.1541040000000002</x:v>
      </x:c>
      <x:c r="I696">
        <x:f ca="1">IF(AND($B$1012=1,LEN($I$1687)&gt;0),$I$1687,HLOOKUP(INDIRECT(ADDRESS(2,COLUMN())),OFFSET($T$2,0,0,ROW()-1,14),ROW()-1,FALSE))</x:f>
        <x:v>17.031181</x:v>
      </x:c>
      <x:c r="J696">
        <x:f ca="1">IF(AND($B$1012=1,LEN($J$1687)&gt;0),$J$1687,HLOOKUP(INDIRECT(ADDRESS(2,COLUMN())),OFFSET($T$2,0,0,ROW()-1,14),ROW()-1,FALSE))</x:f>
        <x:v>3.1189339999999999</x:v>
      </x:c>
      <x:c r="K696">
        <x:f ca="1">IF(AND($B$1012=1,LEN($K$1687)&gt;0),$K$1687,HLOOKUP(INDIRECT(ADDRESS(2,COLUMN())),OFFSET($T$2,0,0,ROW()-1,14),ROW()-1,FALSE))</x:f>
        <x:v>-4.0151519999999996</x:v>
      </x:c>
      <x:c r="L696">
        <x:f ca="1">IF(AND($B$1012=1,LEN($L$1687)&gt;0),$L$1687,HLOOKUP(INDIRECT(ADDRESS(2,COLUMN())),OFFSET($T$2,0,0,ROW()-1,14),ROW()-1,FALSE))</x:f>
        <x:v>0.99723700000000004</x:v>
      </x:c>
      <x:c r="M696">
        <x:f ca="1">IF(AND($B$1012=1,LEN($M$1687)&gt;0),$M$1687,HLOOKUP(INDIRECT(ADDRESS(2,COLUMN())),OFFSET($T$2,0,0,ROW()-1,14),ROW()-1,FALSE))</x:f>
        <x:v>0</x:v>
      </x:c>
      <x:c r="N696">
        <x:f ca="1">IF(AND($B$1012=1,LEN($N$1687)&gt;0),$N$1687,HLOOKUP(INDIRECT(ADDRESS(2,COLUMN())),OFFSET($T$2,0,0,ROW()-1,14),ROW()-1,FALSE))</x:f>
        <x:v>16.264647</x:v>
      </x:c>
      <x:c r="O696">
        <x:f ca="1">IF(AND($B$1012=1,LEN($O$1687)&gt;0),$O$1687,HLOOKUP(INDIRECT(ADDRESS(2,COLUMN())),OFFSET($T$2,0,0,ROW()-1,14),ROW()-1,FALSE))</x:f>
        <x:v>1.005932</x:v>
      </x:c>
      <x:c r="P696">
        <x:f ca="1">IF(AND($B$1012=1,LEN($P$1687)&gt;0),$P$1687,HLOOKUP(INDIRECT(ADDRESS(2,COLUMN())),OFFSET($T$2,0,0,ROW()-1,14),ROW()-1,FALSE))</x:f>
        <x:v>0.99325699999999995</x:v>
      </x:c>
      <x:c r="Q696">
        <x:f ca="1">IF(AND($B$1012=1,LEN($Q$1687)&gt;0),$Q$1687,HLOOKUP(INDIRECT(ADDRESS(2,COLUMN())),OFFSET($T$2,0,0,ROW()-1,14),ROW()-1,FALSE))</x:f>
        <x:v>-1.798489</x:v>
      </x:c>
      <x:c r="R696">
        <x:f ca="1">IF(AND($B$1012=1,LEN($R$1687)&gt;0),$R$1687,HLOOKUP(INDIRECT(ADDRESS(2,COLUMN())),OFFSET($T$2,0,0,ROW()-1,14),ROW()-1,FALSE))</x:f>
        <x:v>-1.0420160000000001</x:v>
      </x:c>
      <x:c r="S696">
        <x:f ca="1">IF(AND($B$1012=1,LEN($S$1687)&gt;0),$S$1687,HLOOKUP(INDIRECT(ADDRESS(2,COLUMN())),OFFSET($T$2,0,0,ROW()-1,14),ROW()-1,FALSE))</x:f>
        <x:v>5.9791340000000002</x:v>
      </x:c>
      <x:c r="T696">
        <x:f>4.12782</x:f>
        <x:v>4.1278199999999998</x:v>
      </x:c>
      <x:c r="U696">
        <x:f>-11.00204</x:f>
        <x:v>-11.002039999999999</x:v>
      </x:c>
      <x:c r="V696">
        <x:f>4.154104</x:f>
        <x:v>4.1541040000000002</x:v>
      </x:c>
      <x:c r="W696">
        <x:f>17.031181</x:f>
        <x:v>17.031181</x:v>
      </x:c>
      <x:c r="X696">
        <x:f>3.118934</x:f>
        <x:v>3.1189339999999999</x:v>
      </x:c>
      <x:c r="Y696">
        <x:f>-4.015152</x:f>
        <x:v>-4.0151519999999996</x:v>
      </x:c>
      <x:c r="Z696">
        <x:f>0.997237</x:f>
        <x:v>0.99723700000000004</x:v>
      </x:c>
      <x:c r="AA696">
        <x:f>0</x:f>
        <x:v>0</x:v>
      </x:c>
      <x:c r="AB696">
        <x:f>16.264647</x:f>
        <x:v>16.264647</x:v>
      </x:c>
      <x:c r="AC696">
        <x:f>1.005932</x:f>
        <x:v>1.005932</x:v>
      </x:c>
      <x:c r="AD696">
        <x:f>0.993257</x:f>
        <x:v>0.99325699999999995</x:v>
      </x:c>
      <x:c r="AE696">
        <x:f>-1.798489</x:f>
        <x:v>-1.798489</x:v>
      </x:c>
      <x:c r="AF696">
        <x:f>-1.042016</x:f>
        <x:v>-1.0420160000000001</x:v>
      </x:c>
      <x:c r="AG696">
        <x:f>5.979134</x:f>
        <x:v>5.9791340000000002</x:v>
      </x:c>
    </x:row>
    <x:row r="697" spans="1:33" x14ac:dyDescent="0.25">
      <x:c r="A697" t="str">
        <x:f>"            Kraneshares Global Carbon Tran"</x:f>
        <x:v xml:space="preserve">            Kraneshares Global Carbon Tran</x:v>
      </x:c>
      <x:c r="B697" t="str">
        <x:f>"KGHG US Equity"</x:f>
        <x:v>KGHG US Equity</x:v>
      </x:c>
      <x:c r="E697" t="str">
        <x:f t="shared" si="24"/>
        <x:v>Expression</x:v>
      </x:c>
      <x:c r="F697" t="str">
        <x:f ca="1">IF(AND($B$1012=1,LEN($F$1688)&gt;0),$F$1688,HLOOKUP(INDIRECT(ADDRESS(2,COLUMN())),OFFSET($T$2,0,0,ROW()-1,14),ROW()-1,FALSE))</x:f>
        <x:v/>
      </x:c>
      <x:c r="G697" t="str">
        <x:f ca="1">IF(AND($B$1012=1,LEN($G$1688)&gt;0),$G$1688,HLOOKUP(INDIRECT(ADDRESS(2,COLUMN())),OFFSET($T$2,0,0,ROW()-1,14),ROW()-1,FALSE))</x:f>
        <x:v/>
      </x:c>
      <x:c r="H697" t="str">
        <x:f ca="1">IF(AND($B$1012=1,LEN($H$1688)&gt;0),$H$1688,HLOOKUP(INDIRECT(ADDRESS(2,COLUMN())),OFFSET($T$2,0,0,ROW()-1,14),ROW()-1,FALSE))</x:f>
        <x:v/>
      </x:c>
      <x:c r="I697" t="str">
        <x:f ca="1">IF(AND($B$1012=1,LEN($I$1688)&gt;0),$I$1688,HLOOKUP(INDIRECT(ADDRESS(2,COLUMN())),OFFSET($T$2,0,0,ROW()-1,14),ROW()-1,FALSE))</x:f>
        <x:v/>
      </x:c>
      <x:c r="J697" t="str">
        <x:f ca="1">IF(AND($B$1012=1,LEN($J$1688)&gt;0),$J$1688,HLOOKUP(INDIRECT(ADDRESS(2,COLUMN())),OFFSET($T$2,0,0,ROW()-1,14),ROW()-1,FALSE))</x:f>
        <x:v/>
      </x:c>
      <x:c r="K697" t="str">
        <x:f ca="1">IF(AND($B$1012=1,LEN($K$1688)&gt;0),$K$1688,HLOOKUP(INDIRECT(ADDRESS(2,COLUMN())),OFFSET($T$2,0,0,ROW()-1,14),ROW()-1,FALSE))</x:f>
        <x:v/>
      </x:c>
      <x:c r="L697">
        <x:f ca="1">IF(AND($B$1012=1,LEN($L$1688)&gt;0),$L$1688,HLOOKUP(INDIRECT(ADDRESS(2,COLUMN())),OFFSET($T$2,0,0,ROW()-1,14),ROW()-1,FALSE))</x:f>
        <x:v>0</x:v>
      </x:c>
      <x:c r="M697">
        <x:f ca="1">IF(AND($B$1012=1,LEN($M$1688)&gt;0),$M$1688,HLOOKUP(INDIRECT(ADDRESS(2,COLUMN())),OFFSET($T$2,0,0,ROW()-1,14),ROW()-1,FALSE))</x:f>
        <x:v>0</x:v>
      </x:c>
      <x:c r="N697">
        <x:f ca="1">IF(AND($B$1012=1,LEN($N$1688)&gt;0),$N$1688,HLOOKUP(INDIRECT(ADDRESS(2,COLUMN())),OFFSET($T$2,0,0,ROW()-1,14),ROW()-1,FALSE))</x:f>
        <x:v>0</x:v>
      </x:c>
      <x:c r="O697">
        <x:f ca="1">IF(AND($B$1012=1,LEN($O$1688)&gt;0),$O$1688,HLOOKUP(INDIRECT(ADDRESS(2,COLUMN())),OFFSET($T$2,0,0,ROW()-1,14),ROW()-1,FALSE))</x:f>
        <x:v>0</x:v>
      </x:c>
      <x:c r="P697">
        <x:f ca="1">IF(AND($B$1012=1,LEN($P$1688)&gt;0),$P$1688,HLOOKUP(INDIRECT(ADDRESS(2,COLUMN())),OFFSET($T$2,0,0,ROW()-1,14),ROW()-1,FALSE))</x:f>
        <x:v>0</x:v>
      </x:c>
      <x:c r="Q697">
        <x:f ca="1">IF(AND($B$1012=1,LEN($Q$1688)&gt;0),$Q$1688,HLOOKUP(INDIRECT(ADDRESS(2,COLUMN())),OFFSET($T$2,0,0,ROW()-1,14),ROW()-1,FALSE))</x:f>
        <x:v>0</x:v>
      </x:c>
      <x:c r="R697">
        <x:f ca="1">IF(AND($B$1012=1,LEN($R$1688)&gt;0),$R$1688,HLOOKUP(INDIRECT(ADDRESS(2,COLUMN())),OFFSET($T$2,0,0,ROW()-1,14),ROW()-1,FALSE))</x:f>
        <x:v>0</x:v>
      </x:c>
      <x:c r="S697">
        <x:f ca="1">IF(AND($B$1012=1,LEN($S$1688)&gt;0),$S$1688,HLOOKUP(INDIRECT(ADDRESS(2,COLUMN())),OFFSET($T$2,0,0,ROW()-1,14),ROW()-1,FALSE))</x:f>
        <x:v>0</x:v>
      </x:c>
      <x:c r="T697" t="str">
        <x:f>""</x:f>
        <x:v/>
      </x:c>
      <x:c r="U697" t="str">
        <x:f>""</x:f>
        <x:v/>
      </x:c>
      <x:c r="V697" t="str">
        <x:f>""</x:f>
        <x:v/>
      </x:c>
      <x:c r="W697" t="str">
        <x:f>""</x:f>
        <x:v/>
      </x:c>
      <x:c r="X697" t="str">
        <x:f>""</x:f>
        <x:v/>
      </x:c>
      <x:c r="Y697" t="str">
        <x:f>""</x:f>
        <x:v/>
      </x:c>
      <x:c r="Z697">
        <x:f>0</x:f>
        <x:v>0</x:v>
      </x:c>
      <x:c r="AA697">
        <x:f>0</x:f>
        <x:v>0</x:v>
      </x:c>
      <x:c r="AB697">
        <x:f>0</x:f>
        <x:v>0</x:v>
      </x:c>
      <x:c r="AC697">
        <x:f>0</x:f>
        <x:v>0</x:v>
      </x:c>
      <x:c r="AD697">
        <x:f>0</x:f>
        <x:v>0</x:v>
      </x:c>
      <x:c r="AE697">
        <x:f>0</x:f>
        <x:v>0</x:v>
      </x:c>
      <x:c r="AF697">
        <x:f>0</x:f>
        <x:v>0</x:v>
      </x:c>
      <x:c r="AG697">
        <x:f>0</x:f>
        <x:v>0</x:v>
      </x:c>
    </x:row>
    <x:row r="698" spans="1:33" x14ac:dyDescent="0.25">
      <x:c r="A698" t="str">
        <x:f>"            Neuberger Berman Carbon Transi"</x:f>
        <x:v xml:space="preserve">            Neuberger Berman Carbon Transi</x:v>
      </x:c>
      <x:c r="B698" t="str">
        <x:f>"NBCT US Equity"</x:f>
        <x:v>NBCT US Equity</x:v>
      </x:c>
      <x:c r="E698" t="str">
        <x:f t="shared" si="24"/>
        <x:v>Expression</x:v>
      </x:c>
      <x:c r="F698">
        <x:f ca="1">IF(AND($B$1012=1,LEN($F$1689)&gt;0),$F$1689,HLOOKUP(INDIRECT(ADDRESS(2,COLUMN())),OFFSET($T$2,0,0,ROW()-1,14),ROW()-1,FALSE))</x:f>
        <x:v>0</x:v>
      </x:c>
      <x:c r="G698">
        <x:f ca="1">IF(AND($B$1012=1,LEN($G$1689)&gt;0),$G$1689,HLOOKUP(INDIRECT(ADDRESS(2,COLUMN())),OFFSET($T$2,0,0,ROW()-1,14),ROW()-1,FALSE))</x:f>
        <x:v>0</x:v>
      </x:c>
      <x:c r="H698">
        <x:f ca="1">IF(AND($B$1012=1,LEN($H$1689)&gt;0),$H$1689,HLOOKUP(INDIRECT(ADDRESS(2,COLUMN())),OFFSET($T$2,0,0,ROW()-1,14),ROW()-1,FALSE))</x:f>
        <x:v>0.57774999999999999</x:v>
      </x:c>
      <x:c r="I698">
        <x:f ca="1">IF(AND($B$1012=1,LEN($I$1689)&gt;0),$I$1689,HLOOKUP(INDIRECT(ADDRESS(2,COLUMN())),OFFSET($T$2,0,0,ROW()-1,14),ROW()-1,FALSE))</x:f>
        <x:v>0</x:v>
      </x:c>
      <x:c r="J698">
        <x:f ca="1">IF(AND($B$1012=1,LEN($J$1689)&gt;0),$J$1689,HLOOKUP(INDIRECT(ADDRESS(2,COLUMN())),OFFSET($T$2,0,0,ROW()-1,14),ROW()-1,FALSE))</x:f>
        <x:v>0.64824999999999999</x:v>
      </x:c>
      <x:c r="K698">
        <x:f ca="1">IF(AND($B$1012=1,LEN($K$1689)&gt;0),$K$1689,HLOOKUP(INDIRECT(ADDRESS(2,COLUMN())),OFFSET($T$2,0,0,ROW()-1,14),ROW()-1,FALSE))</x:f>
        <x:v>0</x:v>
      </x:c>
      <x:c r="L698">
        <x:f ca="1">IF(AND($B$1012=1,LEN($L$1689)&gt;0),$L$1689,HLOOKUP(INDIRECT(ADDRESS(2,COLUMN())),OFFSET($T$2,0,0,ROW()-1,14),ROW()-1,FALSE))</x:f>
        <x:v>0</x:v>
      </x:c>
      <x:c r="M698">
        <x:f ca="1">IF(AND($B$1012=1,LEN($M$1689)&gt;0),$M$1689,HLOOKUP(INDIRECT(ADDRESS(2,COLUMN())),OFFSET($T$2,0,0,ROW()-1,14),ROW()-1,FALSE))</x:f>
        <x:v>0</x:v>
      </x:c>
      <x:c r="N698">
        <x:f ca="1">IF(AND($B$1012=1,LEN($N$1689)&gt;0),$N$1689,HLOOKUP(INDIRECT(ADDRESS(2,COLUMN())),OFFSET($T$2,0,0,ROW()-1,14),ROW()-1,FALSE))</x:f>
        <x:v>0.60575800000000002</x:v>
      </x:c>
      <x:c r="O698">
        <x:f ca="1">IF(AND($B$1012=1,LEN($O$1689)&gt;0),$O$1689,HLOOKUP(INDIRECT(ADDRESS(2,COLUMN())),OFFSET($T$2,0,0,ROW()-1,14),ROW()-1,FALSE))</x:f>
        <x:v>13.65827</x:v>
      </x:c>
      <x:c r="P698">
        <x:f ca="1">IF(AND($B$1012=1,LEN($P$1689)&gt;0),$P$1689,HLOOKUP(INDIRECT(ADDRESS(2,COLUMN())),OFFSET($T$2,0,0,ROW()-1,14),ROW()-1,FALSE))</x:f>
        <x:v>5.5019200000000001</x:v>
      </x:c>
      <x:c r="Q698">
        <x:f ca="1">IF(AND($B$1012=1,LEN($Q$1689)&gt;0),$Q$1689,HLOOKUP(INDIRECT(ADDRESS(2,COLUMN())),OFFSET($T$2,0,0,ROW()-1,14),ROW()-1,FALSE))</x:f>
        <x:v>0</x:v>
      </x:c>
      <x:c r="R698">
        <x:f ca="1">IF(AND($B$1012=1,LEN($R$1689)&gt;0),$R$1689,HLOOKUP(INDIRECT(ADDRESS(2,COLUMN())),OFFSET($T$2,0,0,ROW()-1,14),ROW()-1,FALSE))</x:f>
        <x:v>0</x:v>
      </x:c>
      <x:c r="S698">
        <x:f ca="1">IF(AND($B$1012=1,LEN($S$1689)&gt;0),$S$1689,HLOOKUP(INDIRECT(ADDRESS(2,COLUMN())),OFFSET($T$2,0,0,ROW()-1,14),ROW()-1,FALSE))</x:f>
        <x:v>0</x:v>
      </x:c>
      <x:c r="T698">
        <x:f>0</x:f>
        <x:v>0</x:v>
      </x:c>
      <x:c r="U698">
        <x:f>0</x:f>
        <x:v>0</x:v>
      </x:c>
      <x:c r="V698">
        <x:f>0.57775</x:f>
        <x:v>0.57774999999999999</x:v>
      </x:c>
      <x:c r="W698">
        <x:f>0</x:f>
        <x:v>0</x:v>
      </x:c>
      <x:c r="X698">
        <x:f>0.64825</x:f>
        <x:v>0.64824999999999999</x:v>
      </x:c>
      <x:c r="Y698">
        <x:f>0</x:f>
        <x:v>0</x:v>
      </x:c>
      <x:c r="Z698">
        <x:f>0</x:f>
        <x:v>0</x:v>
      </x:c>
      <x:c r="AA698">
        <x:f>0</x:f>
        <x:v>0</x:v>
      </x:c>
      <x:c r="AB698">
        <x:f>0.605758</x:f>
        <x:v>0.60575800000000002</x:v>
      </x:c>
      <x:c r="AC698">
        <x:f>13.65827</x:f>
        <x:v>13.65827</x:v>
      </x:c>
      <x:c r="AD698">
        <x:f>5.50192</x:f>
        <x:v>5.5019200000000001</x:v>
      </x:c>
      <x:c r="AE698">
        <x:f>0</x:f>
        <x:v>0</x:v>
      </x:c>
      <x:c r="AF698">
        <x:f>0</x:f>
        <x:v>0</x:v>
      </x:c>
      <x:c r="AG698">
        <x:f>0</x:f>
        <x:v>0</x:v>
      </x:c>
    </x:row>
    <x:row r="699" spans="1:33" x14ac:dyDescent="0.25">
      <x:c r="A699" t="str">
        <x:f>"            BlackRock Future Climate and S"</x:f>
        <x:v xml:space="preserve">            BlackRock Future Climate and S</x:v>
      </x:c>
      <x:c r="B699" t="str">
        <x:f>"BECO US Equity"</x:f>
        <x:v>BECO US Equity</x:v>
      </x:c>
      <x:c r="E699" t="str">
        <x:f t="shared" si="24"/>
        <x:v>Expression</x:v>
      </x:c>
      <x:c r="F699">
        <x:f ca="1">IF(AND($B$1012=1,LEN($F$1690)&gt;0),$F$1690,HLOOKUP(INDIRECT(ADDRESS(2,COLUMN())),OFFSET($T$2,0,0,ROW()-1,14),ROW()-1,FALSE))</x:f>
        <x:v>0</x:v>
      </x:c>
      <x:c r="G699">
        <x:f ca="1">IF(AND($B$1012=1,LEN($G$1690)&gt;0),$G$1690,HLOOKUP(INDIRECT(ADDRESS(2,COLUMN())),OFFSET($T$2,0,0,ROW()-1,14),ROW()-1,FALSE))</x:f>
        <x:v>0</x:v>
      </x:c>
      <x:c r="H699">
        <x:f ca="1">IF(AND($B$1012=1,LEN($H$1690)&gt;0),$H$1690,HLOOKUP(INDIRECT(ADDRESS(2,COLUMN())),OFFSET($T$2,0,0,ROW()-1,14),ROW()-1,FALSE))</x:f>
        <x:v>0</x:v>
      </x:c>
      <x:c r="I699">
        <x:f ca="1">IF(AND($B$1012=1,LEN($I$1690)&gt;0),$I$1690,HLOOKUP(INDIRECT(ADDRESS(2,COLUMN())),OFFSET($T$2,0,0,ROW()-1,14),ROW()-1,FALSE))</x:f>
        <x:v>0</x:v>
      </x:c>
      <x:c r="J699">
        <x:f ca="1">IF(AND($B$1012=1,LEN($J$1690)&gt;0),$J$1690,HLOOKUP(INDIRECT(ADDRESS(2,COLUMN())),OFFSET($T$2,0,0,ROW()-1,14),ROW()-1,FALSE))</x:f>
        <x:v>0</x:v>
      </x:c>
      <x:c r="K699">
        <x:f ca="1">IF(AND($B$1012=1,LEN($K$1690)&gt;0),$K$1690,HLOOKUP(INDIRECT(ADDRESS(2,COLUMN())),OFFSET($T$2,0,0,ROW()-1,14),ROW()-1,FALSE))</x:f>
        <x:v>0</x:v>
      </x:c>
      <x:c r="L699">
        <x:f ca="1">IF(AND($B$1012=1,LEN($L$1690)&gt;0),$L$1690,HLOOKUP(INDIRECT(ADDRESS(2,COLUMN())),OFFSET($T$2,0,0,ROW()-1,14),ROW()-1,FALSE))</x:f>
        <x:v>0</x:v>
      </x:c>
      <x:c r="M699">
        <x:f ca="1">IF(AND($B$1012=1,LEN($M$1690)&gt;0),$M$1690,HLOOKUP(INDIRECT(ADDRESS(2,COLUMN())),OFFSET($T$2,0,0,ROW()-1,14),ROW()-1,FALSE))</x:f>
        <x:v>0</x:v>
      </x:c>
      <x:c r="N699">
        <x:f ca="1">IF(AND($B$1012=1,LEN($N$1690)&gt;0),$N$1690,HLOOKUP(INDIRECT(ADDRESS(2,COLUMN())),OFFSET($T$2,0,0,ROW()-1,14),ROW()-1,FALSE))</x:f>
        <x:v>0</x:v>
      </x:c>
      <x:c r="O699">
        <x:f ca="1">IF(AND($B$1012=1,LEN($O$1690)&gt;0),$O$1690,HLOOKUP(INDIRECT(ADDRESS(2,COLUMN())),OFFSET($T$2,0,0,ROW()-1,14),ROW()-1,FALSE))</x:f>
        <x:v>0</x:v>
      </x:c>
      <x:c r="P699">
        <x:f ca="1">IF(AND($B$1012=1,LEN($P$1690)&gt;0),$P$1690,HLOOKUP(INDIRECT(ADDRESS(2,COLUMN())),OFFSET($T$2,0,0,ROW()-1,14),ROW()-1,FALSE))</x:f>
        <x:v>0</x:v>
      </x:c>
      <x:c r="Q699">
        <x:f ca="1">IF(AND($B$1012=1,LEN($Q$1690)&gt;0),$Q$1690,HLOOKUP(INDIRECT(ADDRESS(2,COLUMN())),OFFSET($T$2,0,0,ROW()-1,14),ROW()-1,FALSE))</x:f>
        <x:v>0</x:v>
      </x:c>
      <x:c r="R699">
        <x:f ca="1">IF(AND($B$1012=1,LEN($R$1690)&gt;0),$R$1690,HLOOKUP(INDIRECT(ADDRESS(2,COLUMN())),OFFSET($T$2,0,0,ROW()-1,14),ROW()-1,FALSE))</x:f>
        <x:v>0</x:v>
      </x:c>
      <x:c r="S699">
        <x:f ca="1">IF(AND($B$1012=1,LEN($S$1690)&gt;0),$S$1690,HLOOKUP(INDIRECT(ADDRESS(2,COLUMN())),OFFSET($T$2,0,0,ROW()-1,14),ROW()-1,FALSE))</x:f>
        <x:v>0</x:v>
      </x:c>
      <x:c r="T699">
        <x:f>0</x:f>
        <x:v>0</x:v>
      </x:c>
      <x:c r="U699">
        <x:f>0</x:f>
        <x:v>0</x:v>
      </x:c>
      <x:c r="V699">
        <x:f>0</x:f>
        <x:v>0</x:v>
      </x:c>
      <x:c r="W699">
        <x:f>0</x:f>
        <x:v>0</x:v>
      </x:c>
      <x:c r="X699">
        <x:f>0</x:f>
        <x:v>0</x:v>
      </x:c>
      <x:c r="Y699">
        <x:f>0</x:f>
        <x:v>0</x:v>
      </x:c>
      <x:c r="Z699">
        <x:f>0</x:f>
        <x:v>0</x:v>
      </x:c>
      <x:c r="AA699">
        <x:f>0</x:f>
        <x:v>0</x:v>
      </x:c>
      <x:c r="AB699">
        <x:f>0</x:f>
        <x:v>0</x:v>
      </x:c>
      <x:c r="AC699">
        <x:f>0</x:f>
        <x:v>0</x:v>
      </x:c>
      <x:c r="AD699">
        <x:f>0</x:f>
        <x:v>0</x:v>
      </x:c>
      <x:c r="AE699">
        <x:f>0</x:f>
        <x:v>0</x:v>
      </x:c>
      <x:c r="AF699">
        <x:f>0</x:f>
        <x:v>0</x:v>
      </x:c>
      <x:c r="AG699">
        <x:f>0</x:f>
        <x:v>0</x:v>
      </x:c>
    </x:row>
    <x:row r="700" spans="1:33" x14ac:dyDescent="0.25">
      <x:c r="A700" t="str">
        <x:f>"            Ishares Breakthrough Environme"</x:f>
        <x:v xml:space="preserve">            Ishares Breakthrough Environme</x:v>
      </x:c>
      <x:c r="B700" t="str">
        <x:f>"ETEC US Equity"</x:f>
        <x:v>ETEC US Equity</x:v>
      </x:c>
      <x:c r="E700" t="str">
        <x:f t="shared" si="24"/>
        <x:v>Expression</x:v>
      </x:c>
      <x:c r="F700">
        <x:f ca="1">IF(AND($B$1012=1,LEN($F$1691)&gt;0),$F$1691,HLOOKUP(INDIRECT(ADDRESS(2,COLUMN())),OFFSET($T$2,0,0,ROW()-1,14),ROW()-1,FALSE))</x:f>
        <x:v>0</x:v>
      </x:c>
      <x:c r="G700">
        <x:f ca="1">IF(AND($B$1012=1,LEN($G$1691)&gt;0),$G$1691,HLOOKUP(INDIRECT(ADDRESS(2,COLUMN())),OFFSET($T$2,0,0,ROW()-1,14),ROW()-1,FALSE))</x:f>
        <x:v>0</x:v>
      </x:c>
      <x:c r="H700">
        <x:f ca="1">IF(AND($B$1012=1,LEN($H$1691)&gt;0),$H$1691,HLOOKUP(INDIRECT(ADDRESS(2,COLUMN())),OFFSET($T$2,0,0,ROW()-1,14),ROW()-1,FALSE))</x:f>
        <x:v>0</x:v>
      </x:c>
      <x:c r="I700">
        <x:f ca="1">IF(AND($B$1012=1,LEN($I$1691)&gt;0),$I$1691,HLOOKUP(INDIRECT(ADDRESS(2,COLUMN())),OFFSET($T$2,0,0,ROW()-1,14),ROW()-1,FALSE))</x:f>
        <x:v>0</x:v>
      </x:c>
      <x:c r="J700">
        <x:f ca="1">IF(AND($B$1012=1,LEN($J$1691)&gt;0),$J$1691,HLOOKUP(INDIRECT(ADDRESS(2,COLUMN())),OFFSET($T$2,0,0,ROW()-1,14),ROW()-1,FALSE))</x:f>
        <x:v>0</x:v>
      </x:c>
      <x:c r="K700">
        <x:f ca="1">IF(AND($B$1012=1,LEN($K$1691)&gt;0),$K$1691,HLOOKUP(INDIRECT(ADDRESS(2,COLUMN())),OFFSET($T$2,0,0,ROW()-1,14),ROW()-1,FALSE))</x:f>
        <x:v>0</x:v>
      </x:c>
      <x:c r="L700">
        <x:f ca="1">IF(AND($B$1012=1,LEN($L$1691)&gt;0),$L$1691,HLOOKUP(INDIRECT(ADDRESS(2,COLUMN())),OFFSET($T$2,0,0,ROW()-1,14),ROW()-1,FALSE))</x:f>
        <x:v>0</x:v>
      </x:c>
      <x:c r="M700">
        <x:f ca="1">IF(AND($B$1012=1,LEN($M$1691)&gt;0),$M$1691,HLOOKUP(INDIRECT(ADDRESS(2,COLUMN())),OFFSET($T$2,0,0,ROW()-1,14),ROW()-1,FALSE))</x:f>
        <x:v>0</x:v>
      </x:c>
      <x:c r="N700">
        <x:f ca="1">IF(AND($B$1012=1,LEN($N$1691)&gt;0),$N$1691,HLOOKUP(INDIRECT(ADDRESS(2,COLUMN())),OFFSET($T$2,0,0,ROW()-1,14),ROW()-1,FALSE))</x:f>
        <x:v>0</x:v>
      </x:c>
      <x:c r="O700" t="str">
        <x:f ca="1">IF(AND($B$1012=1,LEN($O$1691)&gt;0),$O$1691,HLOOKUP(INDIRECT(ADDRESS(2,COLUMN())),OFFSET($T$2,0,0,ROW()-1,14),ROW()-1,FALSE))</x:f>
        <x:v/>
      </x:c>
      <x:c r="P700" t="str">
        <x:f ca="1">IF(AND($B$1012=1,LEN($P$1691)&gt;0),$P$1691,HLOOKUP(INDIRECT(ADDRESS(2,COLUMN())),OFFSET($T$2,0,0,ROW()-1,14),ROW()-1,FALSE))</x:f>
        <x:v/>
      </x:c>
      <x:c r="Q700" t="str">
        <x:f ca="1">IF(AND($B$1012=1,LEN($Q$1691)&gt;0),$Q$1691,HLOOKUP(INDIRECT(ADDRESS(2,COLUMN())),OFFSET($T$2,0,0,ROW()-1,14),ROW()-1,FALSE))</x:f>
        <x:v/>
      </x:c>
      <x:c r="R700" t="str">
        <x:f ca="1">IF(AND($B$1012=1,LEN($R$1691)&gt;0),$R$1691,HLOOKUP(INDIRECT(ADDRESS(2,COLUMN())),OFFSET($T$2,0,0,ROW()-1,14),ROW()-1,FALSE))</x:f>
        <x:v/>
      </x:c>
      <x:c r="S700" t="str">
        <x:f ca="1">IF(AND($B$1012=1,LEN($S$1691)&gt;0),$S$1691,HLOOKUP(INDIRECT(ADDRESS(2,COLUMN())),OFFSET($T$2,0,0,ROW()-1,14),ROW()-1,FALSE))</x:f>
        <x:v/>
      </x:c>
      <x:c r="T700">
        <x:f>0</x:f>
        <x:v>0</x:v>
      </x:c>
      <x:c r="U700">
        <x:f>0</x:f>
        <x:v>0</x:v>
      </x:c>
      <x:c r="V700">
        <x:f>0</x:f>
        <x:v>0</x:v>
      </x:c>
      <x:c r="W700">
        <x:f>0</x:f>
        <x:v>0</x:v>
      </x:c>
      <x:c r="X700">
        <x:f>0</x:f>
        <x:v>0</x:v>
      </x:c>
      <x:c r="Y700">
        <x:f>0</x:f>
        <x:v>0</x:v>
      </x:c>
      <x:c r="Z700">
        <x:f>0</x:f>
        <x:v>0</x:v>
      </x:c>
      <x:c r="AA700">
        <x:f>0</x:f>
        <x:v>0</x:v>
      </x:c>
      <x:c r="AB700">
        <x:f>0</x:f>
        <x:v>0</x:v>
      </x:c>
      <x:c r="AC700" t="str">
        <x:f>""</x:f>
        <x:v/>
      </x:c>
      <x:c r="AD700" t="str">
        <x:f>""</x:f>
        <x:v/>
      </x:c>
      <x:c r="AE700" t="str">
        <x:f>""</x:f>
        <x:v/>
      </x:c>
      <x:c r="AF700" t="str">
        <x:f>""</x:f>
        <x:v/>
      </x:c>
      <x:c r="AG700" t="str">
        <x:f>""</x:f>
        <x:v/>
      </x:c>
    </x:row>
    <x:row r="701" spans="1:33" x14ac:dyDescent="0.25">
      <x:c r="A701" t="str">
        <x:f>"        Cloud Computing"</x:f>
        <x:v xml:space="preserve">        Cloud Computing</x:v>
      </x:c>
      <x:c r="B701" t="str">
        <x:f>""</x:f>
        <x:v/>
      </x:c>
      <x:c r="E701" t="str">
        <x:f>"Sum"</x:f>
        <x:v>Sum</x:v>
      </x:c>
      <x:c r="F701">
        <x:f ca="1">IF(ISERROR(IF(SUM($F$702:$F$710) = 0, "", SUM($F$702:$F$710))), "", (IF(SUM($F$702:$F$710) = 0, "", SUM($F$702:$F$710))))</x:f>
        <x:v>-20.154705000000003</x:v>
      </x:c>
      <x:c r="G701">
        <x:f ca="1">IF(ISERROR(IF(SUM($G$702:$G$710) = 0, "", SUM($G$702:$G$710))), "", (IF(SUM($G$702:$G$710) = 0, "", SUM($G$702:$G$710))))</x:f>
        <x:v>-64.036701999999991</x:v>
      </x:c>
      <x:c r="H701">
        <x:f ca="1">IF(ISERROR(IF(SUM($H$702:$H$710) = 0, "", SUM($H$702:$H$710))), "", (IF(SUM($H$702:$H$710) = 0, "", SUM($H$702:$H$710))))</x:f>
        <x:v>-76.050971999999987</x:v>
      </x:c>
      <x:c r="I701">
        <x:f ca="1">IF(ISERROR(IF(SUM($I$702:$I$710) = 0, "", SUM($I$702:$I$710))), "", (IF(SUM($I$702:$I$710) = 0, "", SUM($I$702:$I$710))))</x:f>
        <x:v>-50.040694000000002</x:v>
      </x:c>
      <x:c r="J701">
        <x:f ca="1">IF(ISERROR(IF(SUM($J$702:$J$710) = 0, "", SUM($J$702:$J$710))), "", (IF(SUM($J$702:$J$710) = 0, "", SUM($J$702:$J$710))))</x:f>
        <x:v>-183.96635999999998</x:v>
      </x:c>
      <x:c r="K701">
        <x:f ca="1">IF(ISERROR(IF(SUM($K$702:$K$710) = 0, "", SUM($K$702:$K$710))), "", (IF(SUM($K$702:$K$710) = 0, "", SUM($K$702:$K$710))))</x:f>
        <x:v>-2.837273999999999</x:v>
      </x:c>
      <x:c r="L701">
        <x:f ca="1">IF(ISERROR(IF(SUM($L$702:$L$710) = 0, "", SUM($L$702:$L$710))), "", (IF(SUM($L$702:$L$710) = 0, "", SUM($L$702:$L$710))))</x:f>
        <x:v>-38.875063999999995</x:v>
      </x:c>
      <x:c r="M701">
        <x:f ca="1">IF(ISERROR(IF(SUM($M$702:$M$710) = 0, "", SUM($M$702:$M$710))), "", (IF(SUM($M$702:$M$710) = 0, "", SUM($M$702:$M$710))))</x:f>
        <x:v>-206.97343599999999</x:v>
      </x:c>
      <x:c r="N701">
        <x:f ca="1">IF(ISERROR(IF(SUM($N$702:$N$710) = 0, "", SUM($N$702:$N$710))), "", (IF(SUM($N$702:$N$710) = 0, "", SUM($N$702:$N$710))))</x:f>
        <x:v>-62.140445</x:v>
      </x:c>
      <x:c r="O701">
        <x:f ca="1">IF(ISERROR(IF(SUM($O$702:$O$710) = 0, "", SUM($O$702:$O$710))), "", (IF(SUM($O$702:$O$710) = 0, "", SUM($O$702:$O$710))))</x:f>
        <x:v>-68.848271999999994</x:v>
      </x:c>
      <x:c r="P701">
        <x:f ca="1">IF(ISERROR(IF(SUM($P$702:$P$710) = 0, "", SUM($P$702:$P$710))), "", (IF(SUM($P$702:$P$710) = 0, "", SUM($P$702:$P$710))))</x:f>
        <x:v>-142.64025599999999</x:v>
      </x:c>
      <x:c r="Q701">
        <x:f ca="1">IF(ISERROR(IF(SUM($Q$702:$Q$710) = 0, "", SUM($Q$702:$Q$710))), "", (IF(SUM($Q$702:$Q$710) = 0, "", SUM($Q$702:$Q$710))))</x:f>
        <x:v>-152.59308799999999</x:v>
      </x:c>
      <x:c r="R701">
        <x:f ca="1">IF(ISERROR(IF(SUM($R$702:$R$710) = 0, "", SUM($R$702:$R$710))), "", (IF(SUM($R$702:$R$710) = 0, "", SUM($R$702:$R$710))))</x:f>
        <x:v>-71.377924000000007</x:v>
      </x:c>
      <x:c r="S701">
        <x:f ca="1">IF(ISERROR(IF(SUM($S$702:$S$710) = 0, "", SUM($S$702:$S$710))), "", (IF(SUM($S$702:$S$710) = 0, "", SUM($S$702:$S$710))))</x:f>
        <x:v>-87.292387999999988</x:v>
      </x:c>
      <x:c r="T701">
        <x:f>-20.154705</x:f>
        <x:v>-20.154705</x:v>
      </x:c>
      <x:c r="U701">
        <x:f>-64.036702</x:f>
        <x:v>-64.036702000000005</x:v>
      </x:c>
      <x:c r="V701">
        <x:f>-76.050972</x:f>
        <x:v>-76.050972000000002</x:v>
      </x:c>
      <x:c r="W701">
        <x:f>-50.040694</x:f>
        <x:v>-50.040694000000002</x:v>
      </x:c>
      <x:c r="X701">
        <x:f>-183.96636</x:f>
        <x:v>-183.96636000000001</x:v>
      </x:c>
      <x:c r="Y701">
        <x:f>-2.837274</x:f>
        <x:v>-2.8372739999999999</x:v>
      </x:c>
      <x:c r="Z701">
        <x:f>-38.875064</x:f>
        <x:v>-38.875064000000002</x:v>
      </x:c>
      <x:c r="AA701">
        <x:f>-206.973436</x:f>
        <x:v>-206.97343599999999</x:v>
      </x:c>
      <x:c r="AB701">
        <x:f>-62.140445</x:f>
        <x:v>-62.140445</x:v>
      </x:c>
      <x:c r="AC701">
        <x:f>-68.848272</x:f>
        <x:v>-68.848271999999994</x:v>
      </x:c>
      <x:c r="AD701">
        <x:f>-142.640256</x:f>
        <x:v>-142.64025599999999</x:v>
      </x:c>
      <x:c r="AE701">
        <x:f>-152.593088</x:f>
        <x:v>-152.59308799999999</x:v>
      </x:c>
      <x:c r="AF701">
        <x:f>-71.377924</x:f>
        <x:v>-71.377923999999993</x:v>
      </x:c>
      <x:c r="AG701">
        <x:f>-87.292388</x:f>
        <x:v>-87.292388000000003</x:v>
      </x:c>
    </x:row>
    <x:row r="702" spans="1:33" x14ac:dyDescent="0.25">
      <x:c r="A702" t="str">
        <x:f>"            Global X Cloud Computing ETF"</x:f>
        <x:v xml:space="preserve">            Global X Cloud Computing ETF</x:v>
      </x:c>
      <x:c r="B702" t="str">
        <x:f>"CLOU US Equity"</x:f>
        <x:v>CLOU US Equity</x:v>
      </x:c>
      <x:c r="E702" t="str">
        <x:f t="shared" ref="E702:E710" si="25">"Expression"</x:f>
        <x:v>Expression</x:v>
      </x:c>
      <x:c r="F702">
        <x:f ca="1">IF(AND($B$1012=1,LEN($F$1692)&gt;0),$F$1692,HLOOKUP(INDIRECT(ADDRESS(2,COLUMN())),OFFSET($T$2,0,0,ROW()-1,14),ROW()-1,FALSE))</x:f>
        <x:v>-0.29759999999999998</x:v>
      </x:c>
      <x:c r="G702">
        <x:f ca="1">IF(AND($B$1012=1,LEN($G$1692)&gt;0),$G$1692,HLOOKUP(INDIRECT(ADDRESS(2,COLUMN())),OFFSET($T$2,0,0,ROW()-1,14),ROW()-1,FALSE))</x:f>
        <x:v>0</x:v>
      </x:c>
      <x:c r="H702">
        <x:f ca="1">IF(AND($B$1012=1,LEN($H$1692)&gt;0),$H$1692,HLOOKUP(INDIRECT(ADDRESS(2,COLUMN())),OFFSET($T$2,0,0,ROW()-1,14),ROW()-1,FALSE))</x:f>
        <x:v>-9.5777999999999999</x:v>
      </x:c>
      <x:c r="I702">
        <x:f ca="1">IF(AND($B$1012=1,LEN($I$1692)&gt;0),$I$1692,HLOOKUP(INDIRECT(ADDRESS(2,COLUMN())),OFFSET($T$2,0,0,ROW()-1,14),ROW()-1,FALSE))</x:f>
        <x:v>-24.8306</x:v>
      </x:c>
      <x:c r="J702">
        <x:f ca="1">IF(AND($B$1012=1,LEN($J$1692)&gt;0),$J$1692,HLOOKUP(INDIRECT(ADDRESS(2,COLUMN())),OFFSET($T$2,0,0,ROW()-1,14),ROW()-1,FALSE))</x:f>
        <x:v>-9.5847999999999995</x:v>
      </x:c>
      <x:c r="K702">
        <x:f ca="1">IF(AND($B$1012=1,LEN($K$1692)&gt;0),$K$1692,HLOOKUP(INDIRECT(ADDRESS(2,COLUMN())),OFFSET($T$2,0,0,ROW()-1,14),ROW()-1,FALSE))</x:f>
        <x:v>3.2625000000000002</x:v>
      </x:c>
      <x:c r="L702">
        <x:f ca="1">IF(AND($B$1012=1,LEN($L$1692)&gt;0),$L$1692,HLOOKUP(INDIRECT(ADDRESS(2,COLUMN())),OFFSET($T$2,0,0,ROW()-1,14),ROW()-1,FALSE))</x:f>
        <x:v>-13.4734</x:v>
      </x:c>
      <x:c r="M702">
        <x:f ca="1">IF(AND($B$1012=1,LEN($M$1692)&gt;0),$M$1692,HLOOKUP(INDIRECT(ADDRESS(2,COLUMN())),OFFSET($T$2,0,0,ROW()-1,14),ROW()-1,FALSE))</x:f>
        <x:v>-13.589499999999999</x:v>
      </x:c>
      <x:c r="N702">
        <x:f ca="1">IF(AND($B$1012=1,LEN($N$1692)&gt;0),$N$1692,HLOOKUP(INDIRECT(ADDRESS(2,COLUMN())),OFFSET($T$2,0,0,ROW()-1,14),ROW()-1,FALSE))</x:f>
        <x:v>-18.000699999999998</x:v>
      </x:c>
      <x:c r="O702">
        <x:f ca="1">IF(AND($B$1012=1,LEN($O$1692)&gt;0),$O$1692,HLOOKUP(INDIRECT(ADDRESS(2,COLUMN())),OFFSET($T$2,0,0,ROW()-1,14),ROW()-1,FALSE))</x:f>
        <x:v>-2.7303999999999999</x:v>
      </x:c>
      <x:c r="P702">
        <x:f ca="1">IF(AND($B$1012=1,LEN($P$1692)&gt;0),$P$1692,HLOOKUP(INDIRECT(ADDRESS(2,COLUMN())),OFFSET($T$2,0,0,ROW()-1,14),ROW()-1,FALSE))</x:f>
        <x:v>-6.2176</x:v>
      </x:c>
      <x:c r="Q702">
        <x:f ca="1">IF(AND($B$1012=1,LEN($Q$1692)&gt;0),$Q$1692,HLOOKUP(INDIRECT(ADDRESS(2,COLUMN())),OFFSET($T$2,0,0,ROW()-1,14),ROW()-1,FALSE))</x:f>
        <x:v>-30.826599999999999</x:v>
      </x:c>
      <x:c r="R702">
        <x:f ca="1">IF(AND($B$1012=1,LEN($R$1692)&gt;0),$R$1692,HLOOKUP(INDIRECT(ADDRESS(2,COLUMN())),OFFSET($T$2,0,0,ROW()-1,14),ROW()-1,FALSE))</x:f>
        <x:v>-10.7446</x:v>
      </x:c>
      <x:c r="S702">
        <x:f ca="1">IF(AND($B$1012=1,LEN($S$1692)&gt;0),$S$1692,HLOOKUP(INDIRECT(ADDRESS(2,COLUMN())),OFFSET($T$2,0,0,ROW()-1,14),ROW()-1,FALSE))</x:f>
        <x:v>-17.3782</x:v>
      </x:c>
      <x:c r="T702">
        <x:f>-0.2976</x:f>
        <x:v>-0.29759999999999998</x:v>
      </x:c>
      <x:c r="U702">
        <x:f>0</x:f>
        <x:v>0</x:v>
      </x:c>
      <x:c r="V702">
        <x:f>-9.5778</x:f>
        <x:v>-9.5777999999999999</x:v>
      </x:c>
      <x:c r="W702">
        <x:f>-24.8306</x:f>
        <x:v>-24.8306</x:v>
      </x:c>
      <x:c r="X702">
        <x:f>-9.5848</x:f>
        <x:v>-9.5847999999999995</x:v>
      </x:c>
      <x:c r="Y702">
        <x:f>3.2625</x:f>
        <x:v>3.2625000000000002</x:v>
      </x:c>
      <x:c r="Z702">
        <x:f>-13.4734</x:f>
        <x:v>-13.4734</x:v>
      </x:c>
      <x:c r="AA702">
        <x:f>-13.5895</x:f>
        <x:v>-13.589499999999999</x:v>
      </x:c>
      <x:c r="AB702">
        <x:f>-18.0007</x:f>
        <x:v>-18.000699999999998</x:v>
      </x:c>
      <x:c r="AC702">
        <x:f>-2.7304</x:f>
        <x:v>-2.7303999999999999</x:v>
      </x:c>
      <x:c r="AD702">
        <x:f>-6.2176</x:f>
        <x:v>-6.2176</x:v>
      </x:c>
      <x:c r="AE702">
        <x:f>-30.8266</x:f>
        <x:v>-30.826599999999999</x:v>
      </x:c>
      <x:c r="AF702">
        <x:f>-10.7446</x:f>
        <x:v>-10.7446</x:v>
      </x:c>
      <x:c r="AG702">
        <x:f>-17.3782</x:f>
        <x:v>-17.3782</x:v>
      </x:c>
    </x:row>
    <x:row r="703" spans="1:33" x14ac:dyDescent="0.25">
      <x:c r="A703" t="str">
        <x:f>"            First Trust Cloud Computing ET"</x:f>
        <x:v xml:space="preserve">            First Trust Cloud Computing ET</x:v>
      </x:c>
      <x:c r="B703" t="str">
        <x:f>"SKYY US Equity"</x:f>
        <x:v>SKYY US Equity</x:v>
      </x:c>
      <x:c r="E703" t="str">
        <x:f t="shared" si="25"/>
        <x:v>Expression</x:v>
      </x:c>
      <x:c r="F703">
        <x:f ca="1">IF(AND($B$1012=1,LEN($F$1693)&gt;0),$F$1693,HLOOKUP(INDIRECT(ADDRESS(2,COLUMN())),OFFSET($T$2,0,0,ROW()-1,14),ROW()-1,FALSE))</x:f>
        <x:v>-11.469067000000001</x:v>
      </x:c>
      <x:c r="G703">
        <x:f ca="1">IF(AND($B$1012=1,LEN($G$1693)&gt;0),$G$1693,HLOOKUP(INDIRECT(ADDRESS(2,COLUMN())),OFFSET($T$2,0,0,ROW()-1,14),ROW()-1,FALSE))</x:f>
        <x:v>-78.744389999999996</x:v>
      </x:c>
      <x:c r="H703">
        <x:f ca="1">IF(AND($B$1012=1,LEN($H$1693)&gt;0),$H$1693,HLOOKUP(INDIRECT(ADDRESS(2,COLUMN())),OFFSET($T$2,0,0,ROW()-1,14),ROW()-1,FALSE))</x:f>
        <x:v>-34.266931</x:v>
      </x:c>
      <x:c r="I703">
        <x:f ca="1">IF(AND($B$1012=1,LEN($I$1693)&gt;0),$I$1693,HLOOKUP(INDIRECT(ADDRESS(2,COLUMN())),OFFSET($T$2,0,0,ROW()-1,14),ROW()-1,FALSE))</x:f>
        <x:v>-19.426856999999998</x:v>
      </x:c>
      <x:c r="J703">
        <x:f ca="1">IF(AND($B$1012=1,LEN($J$1693)&gt;0),$J$1693,HLOOKUP(INDIRECT(ADDRESS(2,COLUMN())),OFFSET($T$2,0,0,ROW()-1,14),ROW()-1,FALSE))</x:f>
        <x:v>-191.10849999999999</x:v>
      </x:c>
      <x:c r="K703">
        <x:f ca="1">IF(AND($B$1012=1,LEN($K$1693)&gt;0),$K$1693,HLOOKUP(INDIRECT(ADDRESS(2,COLUMN())),OFFSET($T$2,0,0,ROW()-1,14),ROW()-1,FALSE))</x:f>
        <x:v>-4.0419999999999998</x:v>
      </x:c>
      <x:c r="L703">
        <x:f ca="1">IF(AND($B$1012=1,LEN($L$1693)&gt;0),$L$1693,HLOOKUP(INDIRECT(ADDRESS(2,COLUMN())),OFFSET($T$2,0,0,ROW()-1,14),ROW()-1,FALSE))</x:f>
        <x:v>-19.024999999999999</x:v>
      </x:c>
      <x:c r="M703">
        <x:f ca="1">IF(AND($B$1012=1,LEN($M$1693)&gt;0),$M$1693,HLOOKUP(INDIRECT(ADDRESS(2,COLUMN())),OFFSET($T$2,0,0,ROW()-1,14),ROW()-1,FALSE))</x:f>
        <x:v>-191.48050000000001</x:v>
      </x:c>
      <x:c r="N703">
        <x:f ca="1">IF(AND($B$1012=1,LEN($N$1693)&gt;0),$N$1693,HLOOKUP(INDIRECT(ADDRESS(2,COLUMN())),OFFSET($T$2,0,0,ROW()-1,14),ROW()-1,FALSE))</x:f>
        <x:v>-31.666</x:v>
      </x:c>
      <x:c r="O703">
        <x:f ca="1">IF(AND($B$1012=1,LEN($O$1693)&gt;0),$O$1693,HLOOKUP(INDIRECT(ADDRESS(2,COLUMN())),OFFSET($T$2,0,0,ROW()-1,14),ROW()-1,FALSE))</x:f>
        <x:v>-58.720999999999997</x:v>
      </x:c>
      <x:c r="P703">
        <x:f ca="1">IF(AND($B$1012=1,LEN($P$1693)&gt;0),$P$1693,HLOOKUP(INDIRECT(ADDRESS(2,COLUMN())),OFFSET($T$2,0,0,ROW()-1,14),ROW()-1,FALSE))</x:f>
        <x:v>-138.58600000000001</x:v>
      </x:c>
      <x:c r="Q703">
        <x:f ca="1">IF(AND($B$1012=1,LEN($Q$1693)&gt;0),$Q$1693,HLOOKUP(INDIRECT(ADDRESS(2,COLUMN())),OFFSET($T$2,0,0,ROW()-1,14),ROW()-1,FALSE))</x:f>
        <x:v>-107.512075</x:v>
      </x:c>
      <x:c r="R703">
        <x:f ca="1">IF(AND($B$1012=1,LEN($R$1693)&gt;0),$R$1693,HLOOKUP(INDIRECT(ADDRESS(2,COLUMN())),OFFSET($T$2,0,0,ROW()-1,14),ROW()-1,FALSE))</x:f>
        <x:v>-80.640433000000002</x:v>
      </x:c>
      <x:c r="S703">
        <x:f ca="1">IF(AND($B$1012=1,LEN($S$1693)&gt;0),$S$1693,HLOOKUP(INDIRECT(ADDRESS(2,COLUMN())),OFFSET($T$2,0,0,ROW()-1,14),ROW()-1,FALSE))</x:f>
        <x:v>-54.591838000000003</x:v>
      </x:c>
      <x:c r="T703">
        <x:f>-11.469067</x:f>
        <x:v>-11.469067000000001</x:v>
      </x:c>
      <x:c r="U703">
        <x:f>-78.74439</x:f>
        <x:v>-78.744389999999996</x:v>
      </x:c>
      <x:c r="V703">
        <x:f>-34.266931</x:f>
        <x:v>-34.266931</x:v>
      </x:c>
      <x:c r="W703">
        <x:f>-19.426857</x:f>
        <x:v>-19.426856999999998</x:v>
      </x:c>
      <x:c r="X703">
        <x:f>-191.1085</x:f>
        <x:v>-191.10849999999999</x:v>
      </x:c>
      <x:c r="Y703">
        <x:f>-4.042</x:f>
        <x:v>-4.0419999999999998</x:v>
      </x:c>
      <x:c r="Z703">
        <x:f>-19.025</x:f>
        <x:v>-19.024999999999999</x:v>
      </x:c>
      <x:c r="AA703">
        <x:f>-191.4805</x:f>
        <x:v>-191.48050000000001</x:v>
      </x:c>
      <x:c r="AB703">
        <x:f>-31.666</x:f>
        <x:v>-31.666</x:v>
      </x:c>
      <x:c r="AC703">
        <x:f>-58.721</x:f>
        <x:v>-58.720999999999997</x:v>
      </x:c>
      <x:c r="AD703">
        <x:f>-138.586</x:f>
        <x:v>-138.58600000000001</x:v>
      </x:c>
      <x:c r="AE703">
        <x:f>-107.512075</x:f>
        <x:v>-107.512075</x:v>
      </x:c>
      <x:c r="AF703">
        <x:f>-80.640433</x:f>
        <x:v>-80.640433000000002</x:v>
      </x:c>
      <x:c r="AG703">
        <x:f>-54.591838</x:f>
        <x:v>-54.591838000000003</x:v>
      </x:c>
    </x:row>
    <x:row r="704" spans="1:33" x14ac:dyDescent="0.25">
      <x:c r="A704" t="str">
        <x:f>"            Tortoise Cloud Infrastructure"</x:f>
        <x:v xml:space="preserve">            Tortoise Cloud Infrastructure</x:v>
      </x:c>
      <x:c r="B704" t="str">
        <x:f>"TCLD US Equity"</x:f>
        <x:v>TCLD US Equity</x:v>
      </x:c>
      <x:c r="E704" t="str">
        <x:f t="shared" si="25"/>
        <x:v>Expression</x:v>
      </x:c>
      <x:c r="F704" t="str">
        <x:f ca="1">IF(AND($B$1012=1,LEN($F$1694)&gt;0),$F$1694,HLOOKUP(INDIRECT(ADDRESS(2,COLUMN())),OFFSET($T$2,0,0,ROW()-1,14),ROW()-1,FALSE))</x:f>
        <x:v/>
      </x:c>
      <x:c r="G704" t="str">
        <x:f ca="1">IF(AND($B$1012=1,LEN($G$1694)&gt;0),$G$1694,HLOOKUP(INDIRECT(ADDRESS(2,COLUMN())),OFFSET($T$2,0,0,ROW()-1,14),ROW()-1,FALSE))</x:f>
        <x:v/>
      </x:c>
      <x:c r="H704" t="str">
        <x:f ca="1">IF(AND($B$1012=1,LEN($H$1694)&gt;0),$H$1694,HLOOKUP(INDIRECT(ADDRESS(2,COLUMN())),OFFSET($T$2,0,0,ROW()-1,14),ROW()-1,FALSE))</x:f>
        <x:v/>
      </x:c>
      <x:c r="I704" t="str">
        <x:f ca="1">IF(AND($B$1012=1,LEN($I$1694)&gt;0),$I$1694,HLOOKUP(INDIRECT(ADDRESS(2,COLUMN())),OFFSET($T$2,0,0,ROW()-1,14),ROW()-1,FALSE))</x:f>
        <x:v/>
      </x:c>
      <x:c r="J704" t="str">
        <x:f ca="1">IF(AND($B$1012=1,LEN($J$1694)&gt;0),$J$1694,HLOOKUP(INDIRECT(ADDRESS(2,COLUMN())),OFFSET($T$2,0,0,ROW()-1,14),ROW()-1,FALSE))</x:f>
        <x:v/>
      </x:c>
      <x:c r="K704" t="str">
        <x:f ca="1">IF(AND($B$1012=1,LEN($K$1694)&gt;0),$K$1694,HLOOKUP(INDIRECT(ADDRESS(2,COLUMN())),OFFSET($T$2,0,0,ROW()-1,14),ROW()-1,FALSE))</x:f>
        <x:v/>
      </x:c>
      <x:c r="L704" t="str">
        <x:f ca="1">IF(AND($B$1012=1,LEN($L$1694)&gt;0),$L$1694,HLOOKUP(INDIRECT(ADDRESS(2,COLUMN())),OFFSET($T$2,0,0,ROW()-1,14),ROW()-1,FALSE))</x:f>
        <x:v/>
      </x:c>
      <x:c r="M704" t="str">
        <x:f ca="1">IF(AND($B$1012=1,LEN($M$1694)&gt;0),$M$1694,HLOOKUP(INDIRECT(ADDRESS(2,COLUMN())),OFFSET($T$2,0,0,ROW()-1,14),ROW()-1,FALSE))</x:f>
        <x:v/>
      </x:c>
      <x:c r="N704" t="str">
        <x:f ca="1">IF(AND($B$1012=1,LEN($N$1694)&gt;0),$N$1694,HLOOKUP(INDIRECT(ADDRESS(2,COLUMN())),OFFSET($T$2,0,0,ROW()-1,14),ROW()-1,FALSE))</x:f>
        <x:v/>
      </x:c>
      <x:c r="O704" t="str">
        <x:f ca="1">IF(AND($B$1012=1,LEN($O$1694)&gt;0),$O$1694,HLOOKUP(INDIRECT(ADDRESS(2,COLUMN())),OFFSET($T$2,0,0,ROW()-1,14),ROW()-1,FALSE))</x:f>
        <x:v/>
      </x:c>
      <x:c r="P704" t="str">
        <x:f ca="1">IF(AND($B$1012=1,LEN($P$1694)&gt;0),$P$1694,HLOOKUP(INDIRECT(ADDRESS(2,COLUMN())),OFFSET($T$2,0,0,ROW()-1,14),ROW()-1,FALSE))</x:f>
        <x:v/>
      </x:c>
      <x:c r="Q704" t="str">
        <x:f ca="1">IF(AND($B$1012=1,LEN($Q$1694)&gt;0),$Q$1694,HLOOKUP(INDIRECT(ADDRESS(2,COLUMN())),OFFSET($T$2,0,0,ROW()-1,14),ROW()-1,FALSE))</x:f>
        <x:v/>
      </x:c>
      <x:c r="R704" t="str">
        <x:f ca="1">IF(AND($B$1012=1,LEN($R$1694)&gt;0),$R$1694,HLOOKUP(INDIRECT(ADDRESS(2,COLUMN())),OFFSET($T$2,0,0,ROW()-1,14),ROW()-1,FALSE))</x:f>
        <x:v/>
      </x:c>
      <x:c r="S704" t="str">
        <x:f ca="1">IF(AND($B$1012=1,LEN($S$1694)&gt;0),$S$1694,HLOOKUP(INDIRECT(ADDRESS(2,COLUMN())),OFFSET($T$2,0,0,ROW()-1,14),ROW()-1,FALSE))</x:f>
        <x:v/>
      </x:c>
      <x:c r="T704" t="str">
        <x:f>""</x:f>
        <x:v/>
      </x:c>
      <x:c r="U704" t="str">
        <x:f>""</x:f>
        <x:v/>
      </x:c>
      <x:c r="V704" t="str">
        <x:f>""</x:f>
        <x:v/>
      </x:c>
      <x:c r="W704" t="str">
        <x:f>""</x:f>
        <x:v/>
      </x:c>
      <x:c r="X704" t="str">
        <x:f>""</x:f>
        <x:v/>
      </x:c>
      <x:c r="Y704" t="str">
        <x:f>""</x:f>
        <x:v/>
      </x:c>
      <x:c r="Z704" t="str">
        <x:f>""</x:f>
        <x:v/>
      </x:c>
      <x:c r="AA704" t="str">
        <x:f>""</x:f>
        <x:v/>
      </x:c>
      <x:c r="AB704" t="str">
        <x:f>""</x:f>
        <x:v/>
      </x:c>
      <x:c r="AC704" t="str">
        <x:f>""</x:f>
        <x:v/>
      </x:c>
      <x:c r="AD704" t="str">
        <x:f>""</x:f>
        <x:v/>
      </x:c>
      <x:c r="AE704" t="str">
        <x:f>""</x:f>
        <x:v/>
      </x:c>
      <x:c r="AF704" t="str">
        <x:f>""</x:f>
        <x:v/>
      </x:c>
      <x:c r="AG704" t="str">
        <x:f>""</x:f>
        <x:v/>
      </x:c>
    </x:row>
    <x:row r="705" spans="1:33" x14ac:dyDescent="0.25">
      <x:c r="A705" t="str">
        <x:f>"            WisdomTree Cloud Computing Fun"</x:f>
        <x:v xml:space="preserve">            WisdomTree Cloud Computing Fun</x:v>
      </x:c>
      <x:c r="B705" t="str">
        <x:f>"WCLD US Equity"</x:f>
        <x:v>WCLD US Equity</x:v>
      </x:c>
      <x:c r="E705" t="str">
        <x:f t="shared" si="25"/>
        <x:v>Expression</x:v>
      </x:c>
      <x:c r="F705">
        <x:f ca="1">IF(AND($B$1012=1,LEN($F$1695)&gt;0),$F$1695,HLOOKUP(INDIRECT(ADDRESS(2,COLUMN())),OFFSET($T$2,0,0,ROW()-1,14),ROW()-1,FALSE))</x:f>
        <x:v>-7.5705220000000004</x:v>
      </x:c>
      <x:c r="G705">
        <x:f ca="1">IF(AND($B$1012=1,LEN($G$1695)&gt;0),$G$1695,HLOOKUP(INDIRECT(ADDRESS(2,COLUMN())),OFFSET($T$2,0,0,ROW()-1,14),ROW()-1,FALSE))</x:f>
        <x:v>14.518489000000001</x:v>
      </x:c>
      <x:c r="H705">
        <x:f ca="1">IF(AND($B$1012=1,LEN($H$1695)&gt;0),$H$1695,HLOOKUP(INDIRECT(ADDRESS(2,COLUMN())),OFFSET($T$2,0,0,ROW()-1,14),ROW()-1,FALSE))</x:f>
        <x:v>-32.990313999999998</x:v>
      </x:c>
      <x:c r="I705">
        <x:f ca="1">IF(AND($B$1012=1,LEN($I$1695)&gt;0),$I$1695,HLOOKUP(INDIRECT(ADDRESS(2,COLUMN())),OFFSET($T$2,0,0,ROW()-1,14),ROW()-1,FALSE))</x:f>
        <x:v>-6.537884</x:v>
      </x:c>
      <x:c r="J705">
        <x:f ca="1">IF(AND($B$1012=1,LEN($J$1695)&gt;0),$J$1695,HLOOKUP(INDIRECT(ADDRESS(2,COLUMN())),OFFSET($T$2,0,0,ROW()-1,14),ROW()-1,FALSE))</x:f>
        <x:v>11.757009999999999</x:v>
      </x:c>
      <x:c r="K705">
        <x:f ca="1">IF(AND($B$1012=1,LEN($K$1695)&gt;0),$K$1695,HLOOKUP(INDIRECT(ADDRESS(2,COLUMN())),OFFSET($T$2,0,0,ROW()-1,14),ROW()-1,FALSE))</x:f>
        <x:v>-9.6064989999999995</x:v>
      </x:c>
      <x:c r="L705">
        <x:f ca="1">IF(AND($B$1012=1,LEN($L$1695)&gt;0),$L$1695,HLOOKUP(INDIRECT(ADDRESS(2,COLUMN())),OFFSET($T$2,0,0,ROW()-1,14),ROW()-1,FALSE))</x:f>
        <x:v>-6.3766639999999999</x:v>
      </x:c>
      <x:c r="M705">
        <x:f ca="1">IF(AND($B$1012=1,LEN($M$1695)&gt;0),$M$1695,HLOOKUP(INDIRECT(ADDRESS(2,COLUMN())),OFFSET($T$2,0,0,ROW()-1,14),ROW()-1,FALSE))</x:f>
        <x:v>-1.2710859999999999</x:v>
      </x:c>
      <x:c r="N705">
        <x:f ca="1">IF(AND($B$1012=1,LEN($N$1695)&gt;0),$N$1695,HLOOKUP(INDIRECT(ADDRESS(2,COLUMN())),OFFSET($T$2,0,0,ROW()-1,14),ROW()-1,FALSE))</x:f>
        <x:v>-12.355259999999999</x:v>
      </x:c>
      <x:c r="O705">
        <x:f ca="1">IF(AND($B$1012=1,LEN($O$1695)&gt;0),$O$1695,HLOOKUP(INDIRECT(ADDRESS(2,COLUMN())),OFFSET($T$2,0,0,ROW()-1,14),ROW()-1,FALSE))</x:f>
        <x:v>-8.7832050000000006</x:v>
      </x:c>
      <x:c r="P705">
        <x:f ca="1">IF(AND($B$1012=1,LEN($P$1695)&gt;0),$P$1695,HLOOKUP(INDIRECT(ADDRESS(2,COLUMN())),OFFSET($T$2,0,0,ROW()-1,14),ROW()-1,FALSE))</x:f>
        <x:v>2.9526129999999999</x:v>
      </x:c>
      <x:c r="Q705">
        <x:f ca="1">IF(AND($B$1012=1,LEN($Q$1695)&gt;0),$Q$1695,HLOOKUP(INDIRECT(ADDRESS(2,COLUMN())),OFFSET($T$2,0,0,ROW()-1,14),ROW()-1,FALSE))</x:f>
        <x:v>-14.748861</x:v>
      </x:c>
      <x:c r="R705">
        <x:f ca="1">IF(AND($B$1012=1,LEN($R$1695)&gt;0),$R$1695,HLOOKUP(INDIRECT(ADDRESS(2,COLUMN())),OFFSET($T$2,0,0,ROW()-1,14),ROW()-1,FALSE))</x:f>
        <x:v>18.591915</x:v>
      </x:c>
      <x:c r="S705">
        <x:f ca="1">IF(AND($B$1012=1,LEN($S$1695)&gt;0),$S$1695,HLOOKUP(INDIRECT(ADDRESS(2,COLUMN())),OFFSET($T$2,0,0,ROW()-1,14),ROW()-1,FALSE))</x:f>
        <x:v>-15.765978</x:v>
      </x:c>
      <x:c r="T705">
        <x:f>-7.570522</x:f>
        <x:v>-7.5705220000000004</x:v>
      </x:c>
      <x:c r="U705">
        <x:f>14.518489</x:f>
        <x:v>14.518489000000001</x:v>
      </x:c>
      <x:c r="V705">
        <x:f>-32.990314</x:f>
        <x:v>-32.990313999999998</x:v>
      </x:c>
      <x:c r="W705">
        <x:f>-6.537884</x:f>
        <x:v>-6.537884</x:v>
      </x:c>
      <x:c r="X705">
        <x:f>11.75701</x:f>
        <x:v>11.757009999999999</x:v>
      </x:c>
      <x:c r="Y705">
        <x:f>-9.606499</x:f>
        <x:v>-9.6064989999999995</x:v>
      </x:c>
      <x:c r="Z705">
        <x:f>-6.376664</x:f>
        <x:v>-6.3766639999999999</x:v>
      </x:c>
      <x:c r="AA705">
        <x:f>-1.271086</x:f>
        <x:v>-1.2710859999999999</x:v>
      </x:c>
      <x:c r="AB705">
        <x:f>-12.35526</x:f>
        <x:v>-12.355259999999999</x:v>
      </x:c>
      <x:c r="AC705">
        <x:f>-8.783205</x:f>
        <x:v>-8.7832050000000006</x:v>
      </x:c>
      <x:c r="AD705">
        <x:f>2.952613</x:f>
        <x:v>2.9526129999999999</x:v>
      </x:c>
      <x:c r="AE705">
        <x:f>-14.748861</x:f>
        <x:v>-14.748861</x:v>
      </x:c>
      <x:c r="AF705">
        <x:f>18.591915</x:f>
        <x:v>18.591915</x:v>
      </x:c>
      <x:c r="AG705">
        <x:f>-15.765978</x:f>
        <x:v>-15.765978</x:v>
      </x:c>
    </x:row>
    <x:row r="706" spans="1:33" x14ac:dyDescent="0.25">
      <x:c r="A706" t="str">
        <x:f>"            Simplify Volt Cloud &amp; Cybersec"</x:f>
        <x:v xml:space="preserve">            Simplify Volt Cloud &amp; Cybersec</x:v>
      </x:c>
      <x:c r="B706" t="str">
        <x:f>"VCLO US Equity"</x:f>
        <x:v>VCLO US Equity</x:v>
      </x:c>
      <x:c r="E706" t="str">
        <x:f t="shared" si="25"/>
        <x:v>Expression</x:v>
      </x:c>
      <x:c r="F706" t="str">
        <x:f ca="1">IF(AND($B$1012=1,LEN($F$1696)&gt;0),$F$1696,HLOOKUP(INDIRECT(ADDRESS(2,COLUMN())),OFFSET($T$2,0,0,ROW()-1,14),ROW()-1,FALSE))</x:f>
        <x:v/>
      </x:c>
      <x:c r="G706" t="str">
        <x:f ca="1">IF(AND($B$1012=1,LEN($G$1696)&gt;0),$G$1696,HLOOKUP(INDIRECT(ADDRESS(2,COLUMN())),OFFSET($T$2,0,0,ROW()-1,14),ROW()-1,FALSE))</x:f>
        <x:v/>
      </x:c>
      <x:c r="H706" t="str">
        <x:f ca="1">IF(AND($B$1012=1,LEN($H$1696)&gt;0),$H$1696,HLOOKUP(INDIRECT(ADDRESS(2,COLUMN())),OFFSET($T$2,0,0,ROW()-1,14),ROW()-1,FALSE))</x:f>
        <x:v/>
      </x:c>
      <x:c r="I706" t="str">
        <x:f ca="1">IF(AND($B$1012=1,LEN($I$1696)&gt;0),$I$1696,HLOOKUP(INDIRECT(ADDRESS(2,COLUMN())),OFFSET($T$2,0,0,ROW()-1,14),ROW()-1,FALSE))</x:f>
        <x:v/>
      </x:c>
      <x:c r="J706" t="str">
        <x:f ca="1">IF(AND($B$1012=1,LEN($J$1696)&gt;0),$J$1696,HLOOKUP(INDIRECT(ADDRESS(2,COLUMN())),OFFSET($T$2,0,0,ROW()-1,14),ROW()-1,FALSE))</x:f>
        <x:v/>
      </x:c>
      <x:c r="K706" t="str">
        <x:f ca="1">IF(AND($B$1012=1,LEN($K$1696)&gt;0),$K$1696,HLOOKUP(INDIRECT(ADDRESS(2,COLUMN())),OFFSET($T$2,0,0,ROW()-1,14),ROW()-1,FALSE))</x:f>
        <x:v/>
      </x:c>
      <x:c r="L706" t="str">
        <x:f ca="1">IF(AND($B$1012=1,LEN($L$1696)&gt;0),$L$1696,HLOOKUP(INDIRECT(ADDRESS(2,COLUMN())),OFFSET($T$2,0,0,ROW()-1,14),ROW()-1,FALSE))</x:f>
        <x:v/>
      </x:c>
      <x:c r="M706">
        <x:f ca="1">IF(AND($B$1012=1,LEN($M$1696)&gt;0),$M$1696,HLOOKUP(INDIRECT(ADDRESS(2,COLUMN())),OFFSET($T$2,0,0,ROW()-1,14),ROW()-1,FALSE))</x:f>
        <x:v>0</x:v>
      </x:c>
      <x:c r="N706">
        <x:f ca="1">IF(AND($B$1012=1,LEN($N$1696)&gt;0),$N$1696,HLOOKUP(INDIRECT(ADDRESS(2,COLUMN())),OFFSET($T$2,0,0,ROW()-1,14),ROW()-1,FALSE))</x:f>
        <x:v>-0.11848499999999999</x:v>
      </x:c>
      <x:c r="O706">
        <x:f ca="1">IF(AND($B$1012=1,LEN($O$1696)&gt;0),$O$1696,HLOOKUP(INDIRECT(ADDRESS(2,COLUMN())),OFFSET($T$2,0,0,ROW()-1,14),ROW()-1,FALSE))</x:f>
        <x:v>0</x:v>
      </x:c>
      <x:c r="P706">
        <x:f ca="1">IF(AND($B$1012=1,LEN($P$1696)&gt;0),$P$1696,HLOOKUP(INDIRECT(ADDRESS(2,COLUMN())),OFFSET($T$2,0,0,ROW()-1,14),ROW()-1,FALSE))</x:f>
        <x:v>-0.11919100000000001</x:v>
      </x:c>
      <x:c r="Q706">
        <x:f ca="1">IF(AND($B$1012=1,LEN($Q$1696)&gt;0),$Q$1696,HLOOKUP(INDIRECT(ADDRESS(2,COLUMN())),OFFSET($T$2,0,0,ROW()-1,14),ROW()-1,FALSE))</x:f>
        <x:v>0</x:v>
      </x:c>
      <x:c r="R706">
        <x:f ca="1">IF(AND($B$1012=1,LEN($R$1696)&gt;0),$R$1696,HLOOKUP(INDIRECT(ADDRESS(2,COLUMN())),OFFSET($T$2,0,0,ROW()-1,14),ROW()-1,FALSE))</x:f>
        <x:v>0</x:v>
      </x:c>
      <x:c r="S706">
        <x:f ca="1">IF(AND($B$1012=1,LEN($S$1696)&gt;0),$S$1696,HLOOKUP(INDIRECT(ADDRESS(2,COLUMN())),OFFSET($T$2,0,0,ROW()-1,14),ROW()-1,FALSE))</x:f>
        <x:v>-0.17691999999999999</x:v>
      </x:c>
      <x:c r="T706" t="str">
        <x:f>""</x:f>
        <x:v/>
      </x:c>
      <x:c r="U706" t="str">
        <x:f>""</x:f>
        <x:v/>
      </x:c>
      <x:c r="V706" t="str">
        <x:f>""</x:f>
        <x:v/>
      </x:c>
      <x:c r="W706" t="str">
        <x:f>""</x:f>
        <x:v/>
      </x:c>
      <x:c r="X706" t="str">
        <x:f>""</x:f>
        <x:v/>
      </x:c>
      <x:c r="Y706" t="str">
        <x:f>""</x:f>
        <x:v/>
      </x:c>
      <x:c r="Z706" t="str">
        <x:f>""</x:f>
        <x:v/>
      </x:c>
      <x:c r="AA706">
        <x:f>0</x:f>
        <x:v>0</x:v>
      </x:c>
      <x:c r="AB706">
        <x:f>-0.118485</x:f>
        <x:v>-0.11848499999999999</x:v>
      </x:c>
      <x:c r="AC706">
        <x:f>0</x:f>
        <x:v>0</x:v>
      </x:c>
      <x:c r="AD706">
        <x:f>-0.119191</x:f>
        <x:v>-0.11919100000000001</x:v>
      </x:c>
      <x:c r="AE706">
        <x:f>0</x:f>
        <x:v>0</x:v>
      </x:c>
      <x:c r="AF706">
        <x:f>0</x:f>
        <x:v>0</x:v>
      </x:c>
      <x:c r="AG706">
        <x:f>-0.17692</x:f>
        <x:v>-0.17691999999999999</x:v>
      </x:c>
    </x:row>
    <x:row r="707" spans="1:33" x14ac:dyDescent="0.25">
      <x:c r="A707" t="str">
        <x:f>"            Direxion Daily Cloud Computing"</x:f>
        <x:v xml:space="preserve">            Direxion Daily Cloud Computing</x:v>
      </x:c>
      <x:c r="B707" t="str">
        <x:f>"CLDL US Equity"</x:f>
        <x:v>CLDL US Equity</x:v>
      </x:c>
      <x:c r="E707" t="str">
        <x:f t="shared" si="25"/>
        <x:v>Expression</x:v>
      </x:c>
      <x:c r="F707">
        <x:f ca="1">IF(AND($B$1012=1,LEN($F$1697)&gt;0),$F$1697,HLOOKUP(INDIRECT(ADDRESS(2,COLUMN())),OFFSET($T$2,0,0,ROW()-1,14),ROW()-1,FALSE))</x:f>
        <x:v>-0.81751600000000002</x:v>
      </x:c>
      <x:c r="G707">
        <x:f ca="1">IF(AND($B$1012=1,LEN($G$1697)&gt;0),$G$1697,HLOOKUP(INDIRECT(ADDRESS(2,COLUMN())),OFFSET($T$2,0,0,ROW()-1,14),ROW()-1,FALSE))</x:f>
        <x:v>-0.181814</x:v>
      </x:c>
      <x:c r="H707">
        <x:f ca="1">IF(AND($B$1012=1,LEN($H$1697)&gt;0),$H$1697,HLOOKUP(INDIRECT(ADDRESS(2,COLUMN())),OFFSET($T$2,0,0,ROW()-1,14),ROW()-1,FALSE))</x:f>
        <x:v>-0.20274500000000001</x:v>
      </x:c>
      <x:c r="I707">
        <x:f ca="1">IF(AND($B$1012=1,LEN($I$1697)&gt;0),$I$1697,HLOOKUP(INDIRECT(ADDRESS(2,COLUMN())),OFFSET($T$2,0,0,ROW()-1,14),ROW()-1,FALSE))</x:f>
        <x:v>-0.39819100000000002</x:v>
      </x:c>
      <x:c r="J707">
        <x:f ca="1">IF(AND($B$1012=1,LEN($J$1697)&gt;0),$J$1697,HLOOKUP(INDIRECT(ADDRESS(2,COLUMN())),OFFSET($T$2,0,0,ROW()-1,14),ROW()-1,FALSE))</x:f>
        <x:v>0.71340199999999998</x:v>
      </x:c>
      <x:c r="K707">
        <x:f ca="1">IF(AND($B$1012=1,LEN($K$1697)&gt;0),$K$1697,HLOOKUP(INDIRECT(ADDRESS(2,COLUMN())),OFFSET($T$2,0,0,ROW()-1,14),ROW()-1,FALSE))</x:f>
        <x:v>-0.59475100000000003</x:v>
      </x:c>
      <x:c r="L707">
        <x:f ca="1">IF(AND($B$1012=1,LEN($L$1697)&gt;0),$L$1697,HLOOKUP(INDIRECT(ADDRESS(2,COLUMN())),OFFSET($T$2,0,0,ROW()-1,14),ROW()-1,FALSE))</x:f>
        <x:v>0</x:v>
      </x:c>
      <x:c r="M707">
        <x:f ca="1">IF(AND($B$1012=1,LEN($M$1697)&gt;0),$M$1697,HLOOKUP(INDIRECT(ADDRESS(2,COLUMN())),OFFSET($T$2,0,0,ROW()-1,14),ROW()-1,FALSE))</x:f>
        <x:v>-0.34201999999999999</x:v>
      </x:c>
      <x:c r="N707">
        <x:f ca="1">IF(AND($B$1012=1,LEN($N$1697)&gt;0),$N$1697,HLOOKUP(INDIRECT(ADDRESS(2,COLUMN())),OFFSET($T$2,0,0,ROW()-1,14),ROW()-1,FALSE))</x:f>
        <x:v>0</x:v>
      </x:c>
      <x:c r="O707">
        <x:f ca="1">IF(AND($B$1012=1,LEN($O$1697)&gt;0),$O$1697,HLOOKUP(INDIRECT(ADDRESS(2,COLUMN())),OFFSET($T$2,0,0,ROW()-1,14),ROW()-1,FALSE))</x:f>
        <x:v>-0.36116199999999998</x:v>
      </x:c>
      <x:c r="P707">
        <x:f ca="1">IF(AND($B$1012=1,LEN($P$1697)&gt;0),$P$1697,HLOOKUP(INDIRECT(ADDRESS(2,COLUMN())),OFFSET($T$2,0,0,ROW()-1,14),ROW()-1,FALSE))</x:f>
        <x:v>-0.67007799999999995</x:v>
      </x:c>
      <x:c r="Q707">
        <x:f ca="1">IF(AND($B$1012=1,LEN($Q$1697)&gt;0),$Q$1697,HLOOKUP(INDIRECT(ADDRESS(2,COLUMN())),OFFSET($T$2,0,0,ROW()-1,14),ROW()-1,FALSE))</x:f>
        <x:v>0.79012800000000005</x:v>
      </x:c>
      <x:c r="R707">
        <x:f ca="1">IF(AND($B$1012=1,LEN($R$1697)&gt;0),$R$1697,HLOOKUP(INDIRECT(ADDRESS(2,COLUMN())),OFFSET($T$2,0,0,ROW()-1,14),ROW()-1,FALSE))</x:f>
        <x:v>-0.40915499999999999</x:v>
      </x:c>
      <x:c r="S707">
        <x:f ca="1">IF(AND($B$1012=1,LEN($S$1697)&gt;0),$S$1697,HLOOKUP(INDIRECT(ADDRESS(2,COLUMN())),OFFSET($T$2,0,0,ROW()-1,14),ROW()-1,FALSE))</x:f>
        <x:v>0.307668</x:v>
      </x:c>
      <x:c r="T707">
        <x:f>-0.817516</x:f>
        <x:v>-0.81751600000000002</x:v>
      </x:c>
      <x:c r="U707">
        <x:f>-0.181814</x:f>
        <x:v>-0.181814</x:v>
      </x:c>
      <x:c r="V707">
        <x:f>-0.202745</x:f>
        <x:v>-0.20274500000000001</x:v>
      </x:c>
      <x:c r="W707">
        <x:f>-0.398191</x:f>
        <x:v>-0.39819100000000002</x:v>
      </x:c>
      <x:c r="X707">
        <x:f>0.713402</x:f>
        <x:v>0.71340199999999998</x:v>
      </x:c>
      <x:c r="Y707">
        <x:f>-0.594751</x:f>
        <x:v>-0.59475100000000003</x:v>
      </x:c>
      <x:c r="Z707">
        <x:f>0</x:f>
        <x:v>0</x:v>
      </x:c>
      <x:c r="AA707">
        <x:f>-0.34202</x:f>
        <x:v>-0.34201999999999999</x:v>
      </x:c>
      <x:c r="AB707">
        <x:f>0</x:f>
        <x:v>0</x:v>
      </x:c>
      <x:c r="AC707">
        <x:f>-0.361162</x:f>
        <x:v>-0.36116199999999998</x:v>
      </x:c>
      <x:c r="AD707">
        <x:f>-0.670078</x:f>
        <x:v>-0.67007799999999995</x:v>
      </x:c>
      <x:c r="AE707">
        <x:f>0.790128</x:f>
        <x:v>0.79012800000000005</x:v>
      </x:c>
      <x:c r="AF707">
        <x:f>-0.409155</x:f>
        <x:v>-0.40915499999999999</x:v>
      </x:c>
      <x:c r="AG707">
        <x:f>0.307668</x:f>
        <x:v>0.307668</x:v>
      </x:c>
    </x:row>
    <x:row r="708" spans="1:33" x14ac:dyDescent="0.25">
      <x:c r="A708" t="str">
        <x:f>"            Direxion Daily Cloud Computing"</x:f>
        <x:v xml:space="preserve">            Direxion Daily Cloud Computing</x:v>
      </x:c>
      <x:c r="B708" t="str">
        <x:f>"CLDS US Equity"</x:f>
        <x:v>CLDS US Equity</x:v>
      </x:c>
      <x:c r="E708" t="str">
        <x:f t="shared" si="25"/>
        <x:v>Expression</x:v>
      </x:c>
      <x:c r="F708" t="str">
        <x:f ca="1">IF(AND($B$1012=1,LEN($F$1698)&gt;0),$F$1698,HLOOKUP(INDIRECT(ADDRESS(2,COLUMN())),OFFSET($T$2,0,0,ROW()-1,14),ROW()-1,FALSE))</x:f>
        <x:v/>
      </x:c>
      <x:c r="G708" t="str">
        <x:f ca="1">IF(AND($B$1012=1,LEN($G$1698)&gt;0),$G$1698,HLOOKUP(INDIRECT(ADDRESS(2,COLUMN())),OFFSET($T$2,0,0,ROW()-1,14),ROW()-1,FALSE))</x:f>
        <x:v/>
      </x:c>
      <x:c r="H708" t="str">
        <x:f ca="1">IF(AND($B$1012=1,LEN($H$1698)&gt;0),$H$1698,HLOOKUP(INDIRECT(ADDRESS(2,COLUMN())),OFFSET($T$2,0,0,ROW()-1,14),ROW()-1,FALSE))</x:f>
        <x:v/>
      </x:c>
      <x:c r="I708" t="str">
        <x:f ca="1">IF(AND($B$1012=1,LEN($I$1698)&gt;0),$I$1698,HLOOKUP(INDIRECT(ADDRESS(2,COLUMN())),OFFSET($T$2,0,0,ROW()-1,14),ROW()-1,FALSE))</x:f>
        <x:v/>
      </x:c>
      <x:c r="J708" t="str">
        <x:f ca="1">IF(AND($B$1012=1,LEN($J$1698)&gt;0),$J$1698,HLOOKUP(INDIRECT(ADDRESS(2,COLUMN())),OFFSET($T$2,0,0,ROW()-1,14),ROW()-1,FALSE))</x:f>
        <x:v/>
      </x:c>
      <x:c r="K708" t="str">
        <x:f ca="1">IF(AND($B$1012=1,LEN($K$1698)&gt;0),$K$1698,HLOOKUP(INDIRECT(ADDRESS(2,COLUMN())),OFFSET($T$2,0,0,ROW()-1,14),ROW()-1,FALSE))</x:f>
        <x:v/>
      </x:c>
      <x:c r="L708" t="str">
        <x:f ca="1">IF(AND($B$1012=1,LEN($L$1698)&gt;0),$L$1698,HLOOKUP(INDIRECT(ADDRESS(2,COLUMN())),OFFSET($T$2,0,0,ROW()-1,14),ROW()-1,FALSE))</x:f>
        <x:v/>
      </x:c>
      <x:c r="M708" t="str">
        <x:f ca="1">IF(AND($B$1012=1,LEN($M$1698)&gt;0),$M$1698,HLOOKUP(INDIRECT(ADDRESS(2,COLUMN())),OFFSET($T$2,0,0,ROW()-1,14),ROW()-1,FALSE))</x:f>
        <x:v/>
      </x:c>
      <x:c r="N708" t="str">
        <x:f ca="1">IF(AND($B$1012=1,LEN($N$1698)&gt;0),$N$1698,HLOOKUP(INDIRECT(ADDRESS(2,COLUMN())),OFFSET($T$2,0,0,ROW()-1,14),ROW()-1,FALSE))</x:f>
        <x:v/>
      </x:c>
      <x:c r="O708" t="str">
        <x:f ca="1">IF(AND($B$1012=1,LEN($O$1698)&gt;0),$O$1698,HLOOKUP(INDIRECT(ADDRESS(2,COLUMN())),OFFSET($T$2,0,0,ROW()-1,14),ROW()-1,FALSE))</x:f>
        <x:v/>
      </x:c>
      <x:c r="P708" t="str">
        <x:f ca="1">IF(AND($B$1012=1,LEN($P$1698)&gt;0),$P$1698,HLOOKUP(INDIRECT(ADDRESS(2,COLUMN())),OFFSET($T$2,0,0,ROW()-1,14),ROW()-1,FALSE))</x:f>
        <x:v/>
      </x:c>
      <x:c r="Q708" t="str">
        <x:f ca="1">IF(AND($B$1012=1,LEN($Q$1698)&gt;0),$Q$1698,HLOOKUP(INDIRECT(ADDRESS(2,COLUMN())),OFFSET($T$2,0,0,ROW()-1,14),ROW()-1,FALSE))</x:f>
        <x:v/>
      </x:c>
      <x:c r="R708" t="str">
        <x:f ca="1">IF(AND($B$1012=1,LEN($R$1698)&gt;0),$R$1698,HLOOKUP(INDIRECT(ADDRESS(2,COLUMN())),OFFSET($T$2,0,0,ROW()-1,14),ROW()-1,FALSE))</x:f>
        <x:v/>
      </x:c>
      <x:c r="S708" t="str">
        <x:f ca="1">IF(AND($B$1012=1,LEN($S$1698)&gt;0),$S$1698,HLOOKUP(INDIRECT(ADDRESS(2,COLUMN())),OFFSET($T$2,0,0,ROW()-1,14),ROW()-1,FALSE))</x:f>
        <x:v/>
      </x:c>
      <x:c r="T708" t="str">
        <x:f>""</x:f>
        <x:v/>
      </x:c>
      <x:c r="U708" t="str">
        <x:f>""</x:f>
        <x:v/>
      </x:c>
      <x:c r="V708" t="str">
        <x:f>""</x:f>
        <x:v/>
      </x:c>
      <x:c r="W708" t="str">
        <x:f>""</x:f>
        <x:v/>
      </x:c>
      <x:c r="X708" t="str">
        <x:f>""</x:f>
        <x:v/>
      </x:c>
      <x:c r="Y708" t="str">
        <x:f>""</x:f>
        <x:v/>
      </x:c>
      <x:c r="Z708" t="str">
        <x:f>""</x:f>
        <x:v/>
      </x:c>
      <x:c r="AA708" t="str">
        <x:f>""</x:f>
        <x:v/>
      </x:c>
      <x:c r="AB708" t="str">
        <x:f>""</x:f>
        <x:v/>
      </x:c>
      <x:c r="AC708" t="str">
        <x:f>""</x:f>
        <x:v/>
      </x:c>
      <x:c r="AD708" t="str">
        <x:f>""</x:f>
        <x:v/>
      </x:c>
      <x:c r="AE708" t="str">
        <x:f>""</x:f>
        <x:v/>
      </x:c>
      <x:c r="AF708" t="str">
        <x:f>""</x:f>
        <x:v/>
      </x:c>
      <x:c r="AG708" t="str">
        <x:f>""</x:f>
        <x:v/>
      </x:c>
    </x:row>
    <x:row r="709" spans="1:33" x14ac:dyDescent="0.25">
      <x:c r="A709" t="str">
        <x:f>"            ProShares Ultra Nasdaq Cloud C"</x:f>
        <x:v xml:space="preserve">            ProShares Ultra Nasdaq Cloud C</x:v>
      </x:c>
      <x:c r="B709" t="str">
        <x:f>"SKYU US Equity"</x:f>
        <x:v>SKYU US Equity</x:v>
      </x:c>
      <x:c r="E709" t="str">
        <x:f t="shared" si="25"/>
        <x:v>Expression</x:v>
      </x:c>
      <x:c r="F709">
        <x:f ca="1">IF(AND($B$1012=1,LEN($F$1699)&gt;0),$F$1699,HLOOKUP(INDIRECT(ADDRESS(2,COLUMN())),OFFSET($T$2,0,0,ROW()-1,14),ROW()-1,FALSE))</x:f>
        <x:v>0</x:v>
      </x:c>
      <x:c r="G709">
        <x:f ca="1">IF(AND($B$1012=1,LEN($G$1699)&gt;0),$G$1699,HLOOKUP(INDIRECT(ADDRESS(2,COLUMN())),OFFSET($T$2,0,0,ROW()-1,14),ROW()-1,FALSE))</x:f>
        <x:v>0.37101299999999998</x:v>
      </x:c>
      <x:c r="H709">
        <x:f ca="1">IF(AND($B$1012=1,LEN($H$1699)&gt;0),$H$1699,HLOOKUP(INDIRECT(ADDRESS(2,COLUMN())),OFFSET($T$2,0,0,ROW()-1,14),ROW()-1,FALSE))</x:f>
        <x:v>0</x:v>
      </x:c>
      <x:c r="I709">
        <x:f ca="1">IF(AND($B$1012=1,LEN($I$1699)&gt;0),$I$1699,HLOOKUP(INDIRECT(ADDRESS(2,COLUMN())),OFFSET($T$2,0,0,ROW()-1,14),ROW()-1,FALSE))</x:f>
        <x:v>0.17841399999999999</x:v>
      </x:c>
      <x:c r="J709">
        <x:f ca="1">IF(AND($B$1012=1,LEN($J$1699)&gt;0),$J$1699,HLOOKUP(INDIRECT(ADDRESS(2,COLUMN())),OFFSET($T$2,0,0,ROW()-1,14),ROW()-1,FALSE))</x:f>
        <x:v>0.18387500000000001</x:v>
      </x:c>
      <x:c r="K709">
        <x:f ca="1">IF(AND($B$1012=1,LEN($K$1699)&gt;0),$K$1699,HLOOKUP(INDIRECT(ADDRESS(2,COLUMN())),OFFSET($T$2,0,0,ROW()-1,14),ROW()-1,FALSE))</x:f>
        <x:v>0.44102000000000002</x:v>
      </x:c>
      <x:c r="L709">
        <x:f ca="1">IF(AND($B$1012=1,LEN($L$1699)&gt;0),$L$1699,HLOOKUP(INDIRECT(ADDRESS(2,COLUMN())),OFFSET($T$2,0,0,ROW()-1,14),ROW()-1,FALSE))</x:f>
        <x:v>0</x:v>
      </x:c>
      <x:c r="M709">
        <x:f ca="1">IF(AND($B$1012=1,LEN($M$1699)&gt;0),$M$1699,HLOOKUP(INDIRECT(ADDRESS(2,COLUMN())),OFFSET($T$2,0,0,ROW()-1,14),ROW()-1,FALSE))</x:f>
        <x:v>-0.29032999999999998</x:v>
      </x:c>
      <x:c r="N709">
        <x:f ca="1">IF(AND($B$1012=1,LEN($N$1699)&gt;0),$N$1699,HLOOKUP(INDIRECT(ADDRESS(2,COLUMN())),OFFSET($T$2,0,0,ROW()-1,14),ROW()-1,FALSE))</x:f>
        <x:v>0</x:v>
      </x:c>
      <x:c r="O709">
        <x:f ca="1">IF(AND($B$1012=1,LEN($O$1699)&gt;0),$O$1699,HLOOKUP(INDIRECT(ADDRESS(2,COLUMN())),OFFSET($T$2,0,0,ROW()-1,14),ROW()-1,FALSE))</x:f>
        <x:v>0</x:v>
      </x:c>
      <x:c r="P709">
        <x:f ca="1">IF(AND($B$1012=1,LEN($P$1699)&gt;0),$P$1699,HLOOKUP(INDIRECT(ADDRESS(2,COLUMN())),OFFSET($T$2,0,0,ROW()-1,14),ROW()-1,FALSE))</x:f>
        <x:v>0</x:v>
      </x:c>
      <x:c r="Q709">
        <x:f ca="1">IF(AND($B$1012=1,LEN($Q$1699)&gt;0),$Q$1699,HLOOKUP(INDIRECT(ADDRESS(2,COLUMN())),OFFSET($T$2,0,0,ROW()-1,14),ROW()-1,FALSE))</x:f>
        <x:v>-0.29568</x:v>
      </x:c>
      <x:c r="R709">
        <x:f ca="1">IF(AND($B$1012=1,LEN($R$1699)&gt;0),$R$1699,HLOOKUP(INDIRECT(ADDRESS(2,COLUMN())),OFFSET($T$2,0,0,ROW()-1,14),ROW()-1,FALSE))</x:f>
        <x:v>0.39318500000000001</x:v>
      </x:c>
      <x:c r="S709">
        <x:f ca="1">IF(AND($B$1012=1,LEN($S$1699)&gt;0),$S$1699,HLOOKUP(INDIRECT(ADDRESS(2,COLUMN())),OFFSET($T$2,0,0,ROW()-1,14),ROW()-1,FALSE))</x:f>
        <x:v>0.31287999999999999</x:v>
      </x:c>
      <x:c r="T709">
        <x:f>0</x:f>
        <x:v>0</x:v>
      </x:c>
      <x:c r="U709">
        <x:f>0.371013</x:f>
        <x:v>0.37101299999999998</x:v>
      </x:c>
      <x:c r="V709">
        <x:f>0</x:f>
        <x:v>0</x:v>
      </x:c>
      <x:c r="W709">
        <x:f>0.178414</x:f>
        <x:v>0.17841399999999999</x:v>
      </x:c>
      <x:c r="X709">
        <x:f>0.183875</x:f>
        <x:v>0.18387500000000001</x:v>
      </x:c>
      <x:c r="Y709">
        <x:f>0.44102</x:f>
        <x:v>0.44102000000000002</x:v>
      </x:c>
      <x:c r="Z709">
        <x:f>0</x:f>
        <x:v>0</x:v>
      </x:c>
      <x:c r="AA709">
        <x:f>-0.29033</x:f>
        <x:v>-0.29032999999999998</x:v>
      </x:c>
      <x:c r="AB709">
        <x:f>0</x:f>
        <x:v>0</x:v>
      </x:c>
      <x:c r="AC709">
        <x:f>0</x:f>
        <x:v>0</x:v>
      </x:c>
      <x:c r="AD709">
        <x:f>0</x:f>
        <x:v>0</x:v>
      </x:c>
      <x:c r="AE709">
        <x:f>-0.29568</x:f>
        <x:v>-0.29568</x:v>
      </x:c>
      <x:c r="AF709">
        <x:f>0.393185</x:f>
        <x:v>0.39318500000000001</x:v>
      </x:c>
      <x:c r="AG709">
        <x:f>0.31288</x:f>
        <x:v>0.31287999999999999</x:v>
      </x:c>
    </x:row>
    <x:row r="710" spans="1:33" x14ac:dyDescent="0.25">
      <x:c r="A710" t="str">
        <x:f>"            Fidelity Cloud Computing ETF"</x:f>
        <x:v xml:space="preserve">            Fidelity Cloud Computing ETF</x:v>
      </x:c>
      <x:c r="B710" t="str">
        <x:f>"FCLD US Equity"</x:f>
        <x:v>FCLD US Equity</x:v>
      </x:c>
      <x:c r="E710" t="str">
        <x:f t="shared" si="25"/>
        <x:v>Expression</x:v>
      </x:c>
      <x:c r="F710">
        <x:f ca="1">IF(AND($B$1012=1,LEN($F$1700)&gt;0),$F$1700,HLOOKUP(INDIRECT(ADDRESS(2,COLUMN())),OFFSET($T$2,0,0,ROW()-1,14),ROW()-1,FALSE))</x:f>
        <x:v>0</x:v>
      </x:c>
      <x:c r="G710">
        <x:f ca="1">IF(AND($B$1012=1,LEN($G$1700)&gt;0),$G$1700,HLOOKUP(INDIRECT(ADDRESS(2,COLUMN())),OFFSET($T$2,0,0,ROW()-1,14),ROW()-1,FALSE))</x:f>
        <x:v>0</x:v>
      </x:c>
      <x:c r="H710">
        <x:f ca="1">IF(AND($B$1012=1,LEN($H$1700)&gt;0),$H$1700,HLOOKUP(INDIRECT(ADDRESS(2,COLUMN())),OFFSET($T$2,0,0,ROW()-1,14),ROW()-1,FALSE))</x:f>
        <x:v>0.98681799999999997</x:v>
      </x:c>
      <x:c r="I710">
        <x:f ca="1">IF(AND($B$1012=1,LEN($I$1700)&gt;0),$I$1700,HLOOKUP(INDIRECT(ADDRESS(2,COLUMN())),OFFSET($T$2,0,0,ROW()-1,14),ROW()-1,FALSE))</x:f>
        <x:v>0.97442399999999996</x:v>
      </x:c>
      <x:c r="J710">
        <x:f ca="1">IF(AND($B$1012=1,LEN($J$1700)&gt;0),$J$1700,HLOOKUP(INDIRECT(ADDRESS(2,COLUMN())),OFFSET($T$2,0,0,ROW()-1,14),ROW()-1,FALSE))</x:f>
        <x:v>4.0726529999999999</x:v>
      </x:c>
      <x:c r="K710">
        <x:f ca="1">IF(AND($B$1012=1,LEN($K$1700)&gt;0),$K$1700,HLOOKUP(INDIRECT(ADDRESS(2,COLUMN())),OFFSET($T$2,0,0,ROW()-1,14),ROW()-1,FALSE))</x:f>
        <x:v>7.7024559999999997</x:v>
      </x:c>
      <x:c r="L710">
        <x:f ca="1">IF(AND($B$1012=1,LEN($L$1700)&gt;0),$L$1700,HLOOKUP(INDIRECT(ADDRESS(2,COLUMN())),OFFSET($T$2,0,0,ROW()-1,14),ROW()-1,FALSE))</x:f>
        <x:v>0</x:v>
      </x:c>
      <x:c r="M710">
        <x:f ca="1">IF(AND($B$1012=1,LEN($M$1700)&gt;0),$M$1700,HLOOKUP(INDIRECT(ADDRESS(2,COLUMN())),OFFSET($T$2,0,0,ROW()-1,14),ROW()-1,FALSE))</x:f>
        <x:v>0</x:v>
      </x:c>
      <x:c r="N710">
        <x:f ca="1">IF(AND($B$1012=1,LEN($N$1700)&gt;0),$N$1700,HLOOKUP(INDIRECT(ADDRESS(2,COLUMN())),OFFSET($T$2,0,0,ROW()-1,14),ROW()-1,FALSE))</x:f>
        <x:v>0</x:v>
      </x:c>
      <x:c r="O710">
        <x:f ca="1">IF(AND($B$1012=1,LEN($O$1700)&gt;0),$O$1700,HLOOKUP(INDIRECT(ADDRESS(2,COLUMN())),OFFSET($T$2,0,0,ROW()-1,14),ROW()-1,FALSE))</x:f>
        <x:v>1.747495</x:v>
      </x:c>
      <x:c r="P710">
        <x:f ca="1">IF(AND($B$1012=1,LEN($P$1700)&gt;0),$P$1700,HLOOKUP(INDIRECT(ADDRESS(2,COLUMN())),OFFSET($T$2,0,0,ROW()-1,14),ROW()-1,FALSE))</x:f>
        <x:v>0</x:v>
      </x:c>
      <x:c r="Q710">
        <x:f ca="1">IF(AND($B$1012=1,LEN($Q$1700)&gt;0),$Q$1700,HLOOKUP(INDIRECT(ADDRESS(2,COLUMN())),OFFSET($T$2,0,0,ROW()-1,14),ROW()-1,FALSE))</x:f>
        <x:v>0</x:v>
      </x:c>
      <x:c r="R710">
        <x:f ca="1">IF(AND($B$1012=1,LEN($R$1700)&gt;0),$R$1700,HLOOKUP(INDIRECT(ADDRESS(2,COLUMN())),OFFSET($T$2,0,0,ROW()-1,14),ROW()-1,FALSE))</x:f>
        <x:v>1.4311640000000001</x:v>
      </x:c>
      <x:c r="S710">
        <x:f ca="1">IF(AND($B$1012=1,LEN($S$1700)&gt;0),$S$1700,HLOOKUP(INDIRECT(ADDRESS(2,COLUMN())),OFFSET($T$2,0,0,ROW()-1,14),ROW()-1,FALSE))</x:f>
        <x:v>0</x:v>
      </x:c>
      <x:c r="T710">
        <x:f>0</x:f>
        <x:v>0</x:v>
      </x:c>
      <x:c r="U710">
        <x:f>0</x:f>
        <x:v>0</x:v>
      </x:c>
      <x:c r="V710">
        <x:f>0.986818</x:f>
        <x:v>0.98681799999999997</x:v>
      </x:c>
      <x:c r="W710">
        <x:f>0.974424</x:f>
        <x:v>0.97442399999999996</x:v>
      </x:c>
      <x:c r="X710">
        <x:f>4.072653</x:f>
        <x:v>4.0726529999999999</x:v>
      </x:c>
      <x:c r="Y710">
        <x:f>7.702456</x:f>
        <x:v>7.7024559999999997</x:v>
      </x:c>
      <x:c r="Z710">
        <x:f>0</x:f>
        <x:v>0</x:v>
      </x:c>
      <x:c r="AA710">
        <x:f>0</x:f>
        <x:v>0</x:v>
      </x:c>
      <x:c r="AB710">
        <x:f>0</x:f>
        <x:v>0</x:v>
      </x:c>
      <x:c r="AC710">
        <x:f>1.747495</x:f>
        <x:v>1.747495</x:v>
      </x:c>
      <x:c r="AD710">
        <x:f>0</x:f>
        <x:v>0</x:v>
      </x:c>
      <x:c r="AE710">
        <x:f>0</x:f>
        <x:v>0</x:v>
      </x:c>
      <x:c r="AF710">
        <x:f>1.431164</x:f>
        <x:v>1.4311640000000001</x:v>
      </x:c>
      <x:c r="AG710">
        <x:f>0</x:f>
        <x:v>0</x:v>
      </x:c>
    </x:row>
    <x:row r="711" spans="1:33" x14ac:dyDescent="0.25">
      <x:c r="A711" t="str">
        <x:f>"        Robotics &amp; AI"</x:f>
        <x:v xml:space="preserve">        Robotics &amp; AI</x:v>
      </x:c>
      <x:c r="B711" t="str">
        <x:f>""</x:f>
        <x:v/>
      </x:c>
      <x:c r="E711" t="str">
        <x:f>"Sum"</x:f>
        <x:v>Sum</x:v>
      </x:c>
      <x:c r="F711">
        <x:f ca="1">IF(ISERROR(IF(SUM($F$712:$F$726) = 0, "", SUM($F$712:$F$726))), "", (IF(SUM($F$712:$F$726) = 0, "", SUM($F$712:$F$726))))</x:f>
        <x:v>56.261880999999995</x:v>
      </x:c>
      <x:c r="G711">
        <x:f ca="1">IF(ISERROR(IF(SUM($G$712:$G$726) = 0, "", SUM($G$712:$G$726))), "", (IF(SUM($G$712:$G$726) = 0, "", SUM($G$712:$G$726))))</x:f>
        <x:v>-38.814480999999986</x:v>
      </x:c>
      <x:c r="H711">
        <x:f ca="1">IF(ISERROR(IF(SUM($H$712:$H$726) = 0, "", SUM($H$712:$H$726))), "", (IF(SUM($H$712:$H$726) = 0, "", SUM($H$712:$H$726))))</x:f>
        <x:v>86.709553999999997</x:v>
      </x:c>
      <x:c r="I711">
        <x:f ca="1">IF(ISERROR(IF(SUM($I$712:$I$726) = 0, "", SUM($I$712:$I$726))), "", (IF(SUM($I$712:$I$726) = 0, "", SUM($I$712:$I$726))))</x:f>
        <x:v>-30.252657999999997</x:v>
      </x:c>
      <x:c r="J711">
        <x:f ca="1">IF(ISERROR(IF(SUM($J$712:$J$726) = 0, "", SUM($J$712:$J$726))), "", (IF(SUM($J$712:$J$726) = 0, "", SUM($J$712:$J$726))))</x:f>
        <x:v>328.361513</x:v>
      </x:c>
      <x:c r="K711">
        <x:f ca="1">IF(ISERROR(IF(SUM($K$712:$K$726) = 0, "", SUM($K$712:$K$726))), "", (IF(SUM($K$712:$K$726) = 0, "", SUM($K$712:$K$726))))</x:f>
        <x:v>708.09531200000004</x:v>
      </x:c>
      <x:c r="L711">
        <x:f ca="1">IF(ISERROR(IF(SUM($L$712:$L$726) = 0, "", SUM($L$712:$L$726))), "", (IF(SUM($L$712:$L$726) = 0, "", SUM($L$712:$L$726))))</x:f>
        <x:v>438.39222400000006</x:v>
      </x:c>
      <x:c r="M711">
        <x:f ca="1">IF(ISERROR(IF(SUM($M$712:$M$726) = 0, "", SUM($M$712:$M$726))), "", (IF(SUM($M$712:$M$726) = 0, "", SUM($M$712:$M$726))))</x:f>
        <x:v>41.638822000000005</x:v>
      </x:c>
      <x:c r="N711">
        <x:f ca="1">IF(ISERROR(IF(SUM($N$712:$N$726) = 0, "", SUM($N$712:$N$726))), "", (IF(SUM($N$712:$N$726) = 0, "", SUM($N$712:$N$726))))</x:f>
        <x:v>113.042063</x:v>
      </x:c>
      <x:c r="O711">
        <x:f ca="1">IF(ISERROR(IF(SUM($O$712:$O$726) = 0, "", SUM($O$712:$O$726))), "", (IF(SUM($O$712:$O$726) = 0, "", SUM($O$712:$O$726))))</x:f>
        <x:v>58.361364999999999</x:v>
      </x:c>
      <x:c r="P711">
        <x:f ca="1">IF(ISERROR(IF(SUM($P$712:$P$726) = 0, "", SUM($P$712:$P$726))), "", (IF(SUM($P$712:$P$726) = 0, "", SUM($P$712:$P$726))))</x:f>
        <x:v>32.061525000000003</x:v>
      </x:c>
      <x:c r="Q711">
        <x:f ca="1">IF(ISERROR(IF(SUM($Q$712:$Q$726) = 0, "", SUM($Q$712:$Q$726))), "", (IF(SUM($Q$712:$Q$726) = 0, "", SUM($Q$712:$Q$726))))</x:f>
        <x:v>-83.968778</x:v>
      </x:c>
      <x:c r="R711">
        <x:f ca="1">IF(ISERROR(IF(SUM($R$712:$R$726) = 0, "", SUM($R$712:$R$726))), "", (IF(SUM($R$712:$R$726) = 0, "", SUM($R$712:$R$726))))</x:f>
        <x:v>-90.346294</x:v>
      </x:c>
      <x:c r="S711">
        <x:f ca="1">IF(ISERROR(IF(SUM($S$712:$S$726) = 0, "", SUM($S$712:$S$726))), "", (IF(SUM($S$712:$S$726) = 0, "", SUM($S$712:$S$726))))</x:f>
        <x:v>-47.317346999999998</x:v>
      </x:c>
      <x:c r="T711">
        <x:f>56.261881</x:f>
        <x:v>56.261881000000002</x:v>
      </x:c>
      <x:c r="U711">
        <x:f>-38.814481</x:f>
        <x:v>-38.814481000000001</x:v>
      </x:c>
      <x:c r="V711">
        <x:f>86.709554</x:f>
        <x:v>86.709553999999997</x:v>
      </x:c>
      <x:c r="W711">
        <x:f>-30.252658</x:f>
        <x:v>-30.252658</x:v>
      </x:c>
      <x:c r="X711">
        <x:f>328.361513</x:f>
        <x:v>328.361513</x:v>
      </x:c>
      <x:c r="Y711">
        <x:f>708.095312</x:f>
        <x:v>708.09531200000004</x:v>
      </x:c>
      <x:c r="Z711">
        <x:f>438.392224</x:f>
        <x:v>438.392224</x:v>
      </x:c>
      <x:c r="AA711">
        <x:f>41.638822</x:f>
        <x:v>41.638821999999998</x:v>
      </x:c>
      <x:c r="AB711">
        <x:f>113.042063</x:f>
        <x:v>113.042063</x:v>
      </x:c>
      <x:c r="AC711">
        <x:f>58.361365</x:f>
        <x:v>58.361364999999999</x:v>
      </x:c>
      <x:c r="AD711">
        <x:f>32.061525</x:f>
        <x:v>32.061525000000003</x:v>
      </x:c>
      <x:c r="AE711">
        <x:f>-83.968778</x:f>
        <x:v>-83.968778</x:v>
      </x:c>
      <x:c r="AF711">
        <x:f>-90.346294</x:f>
        <x:v>-90.346294</x:v>
      </x:c>
      <x:c r="AG711">
        <x:f>-47.317347</x:f>
        <x:v>-47.317346999999998</x:v>
      </x:c>
    </x:row>
    <x:row r="712" spans="1:33" x14ac:dyDescent="0.25">
      <x:c r="A712" t="str">
        <x:f>"            First Trust Nasdaq Artificial"</x:f>
        <x:v xml:space="preserve">            First Trust Nasdaq Artificial</x:v>
      </x:c>
      <x:c r="B712" t="str">
        <x:f>"ROBT US Equity"</x:f>
        <x:v>ROBT US Equity</x:v>
      </x:c>
      <x:c r="E712" t="str">
        <x:f t="shared" ref="E712:E726" si="26">"Expression"</x:f>
        <x:v>Expression</x:v>
      </x:c>
      <x:c r="F712">
        <x:f ca="1">IF(AND($B$1012=1,LEN($F$1701)&gt;0),$F$1701,HLOOKUP(INDIRECT(ADDRESS(2,COLUMN())),OFFSET($T$2,0,0,ROW()-1,14),ROW()-1,FALSE))</x:f>
        <x:v>4.0285669999999998</x:v>
      </x:c>
      <x:c r="G712">
        <x:f ca="1">IF(AND($B$1012=1,LEN($G$1701)&gt;0),$G$1701,HLOOKUP(INDIRECT(ADDRESS(2,COLUMN())),OFFSET($T$2,0,0,ROW()-1,14),ROW()-1,FALSE))</x:f>
        <x:v>1.9204399999999999</x:v>
      </x:c>
      <x:c r="H712">
        <x:f ca="1">IF(AND($B$1012=1,LEN($H$1701)&gt;0),$H$1701,HLOOKUP(INDIRECT(ADDRESS(2,COLUMN())),OFFSET($T$2,0,0,ROW()-1,14),ROW()-1,FALSE))</x:f>
        <x:v>14.323135000000001</x:v>
      </x:c>
      <x:c r="I712">
        <x:f ca="1">IF(AND($B$1012=1,LEN($I$1701)&gt;0),$I$1701,HLOOKUP(INDIRECT(ADDRESS(2,COLUMN())),OFFSET($T$2,0,0,ROW()-1,14),ROW()-1,FALSE))</x:f>
        <x:v>19.302747</x:v>
      </x:c>
      <x:c r="J712">
        <x:f ca="1">IF(AND($B$1012=1,LEN($J$1701)&gt;0),$J$1701,HLOOKUP(INDIRECT(ADDRESS(2,COLUMN())),OFFSET($T$2,0,0,ROW()-1,14),ROW()-1,FALSE))</x:f>
        <x:v>50.713354000000002</x:v>
      </x:c>
      <x:c r="K712">
        <x:f ca="1">IF(AND($B$1012=1,LEN($K$1701)&gt;0),$K$1701,HLOOKUP(INDIRECT(ADDRESS(2,COLUMN())),OFFSET($T$2,0,0,ROW()-1,14),ROW()-1,FALSE))</x:f>
        <x:v>66.526605000000004</x:v>
      </x:c>
      <x:c r="L712">
        <x:f ca="1">IF(AND($B$1012=1,LEN($L$1701)&gt;0),$L$1701,HLOOKUP(INDIRECT(ADDRESS(2,COLUMN())),OFFSET($T$2,0,0,ROW()-1,14),ROW()-1,FALSE))</x:f>
        <x:v>50.707863000000003</x:v>
      </x:c>
      <x:c r="M712">
        <x:f ca="1">IF(AND($B$1012=1,LEN($M$1701)&gt;0),$M$1701,HLOOKUP(INDIRECT(ADDRESS(2,COLUMN())),OFFSET($T$2,0,0,ROW()-1,14),ROW()-1,FALSE))</x:f>
        <x:v>4.1409159999999998</x:v>
      </x:c>
      <x:c r="N712">
        <x:f ca="1">IF(AND($B$1012=1,LEN($N$1701)&gt;0),$N$1701,HLOOKUP(INDIRECT(ADDRESS(2,COLUMN())),OFFSET($T$2,0,0,ROW()-1,14),ROW()-1,FALSE))</x:f>
        <x:v>18.396111000000001</x:v>
      </x:c>
      <x:c r="O712">
        <x:f ca="1">IF(AND($B$1012=1,LEN($O$1701)&gt;0),$O$1701,HLOOKUP(INDIRECT(ADDRESS(2,COLUMN())),OFFSET($T$2,0,0,ROW()-1,14),ROW()-1,FALSE))</x:f>
        <x:v>16.664024999999999</x:v>
      </x:c>
      <x:c r="P712">
        <x:f ca="1">IF(AND($B$1012=1,LEN($P$1701)&gt;0),$P$1701,HLOOKUP(INDIRECT(ADDRESS(2,COLUMN())),OFFSET($T$2,0,0,ROW()-1,14),ROW()-1,FALSE))</x:f>
        <x:v>-1.8040419999999999</x:v>
      </x:c>
      <x:c r="Q712">
        <x:f ca="1">IF(AND($B$1012=1,LEN($Q$1701)&gt;0),$Q$1701,HLOOKUP(INDIRECT(ADDRESS(2,COLUMN())),OFFSET($T$2,0,0,ROW()-1,14),ROW()-1,FALSE))</x:f>
        <x:v>-7.2728349999999997</x:v>
      </x:c>
      <x:c r="R712">
        <x:f ca="1">IF(AND($B$1012=1,LEN($R$1701)&gt;0),$R$1701,HLOOKUP(INDIRECT(ADDRESS(2,COLUMN())),OFFSET($T$2,0,0,ROW()-1,14),ROW()-1,FALSE))</x:f>
        <x:v>-3.8075220000000001</x:v>
      </x:c>
      <x:c r="S712">
        <x:f ca="1">IF(AND($B$1012=1,LEN($S$1701)&gt;0),$S$1701,HLOOKUP(INDIRECT(ADDRESS(2,COLUMN())),OFFSET($T$2,0,0,ROW()-1,14),ROW()-1,FALSE))</x:f>
        <x:v>0</x:v>
      </x:c>
      <x:c r="T712">
        <x:f>4.028567</x:f>
        <x:v>4.0285669999999998</x:v>
      </x:c>
      <x:c r="U712">
        <x:f>1.92044</x:f>
        <x:v>1.9204399999999999</x:v>
      </x:c>
      <x:c r="V712">
        <x:f>14.323135</x:f>
        <x:v>14.323135000000001</x:v>
      </x:c>
      <x:c r="W712">
        <x:f>19.302747</x:f>
        <x:v>19.302747</x:v>
      </x:c>
      <x:c r="X712">
        <x:f>50.713354</x:f>
        <x:v>50.713354000000002</x:v>
      </x:c>
      <x:c r="Y712">
        <x:f>66.526605</x:f>
        <x:v>66.526605000000004</x:v>
      </x:c>
      <x:c r="Z712">
        <x:f>50.707863</x:f>
        <x:v>50.707863000000003</x:v>
      </x:c>
      <x:c r="AA712">
        <x:f>4.140916</x:f>
        <x:v>4.1409159999999998</x:v>
      </x:c>
      <x:c r="AB712">
        <x:f>18.396111</x:f>
        <x:v>18.396111000000001</x:v>
      </x:c>
      <x:c r="AC712">
        <x:f>16.664025</x:f>
        <x:v>16.664024999999999</x:v>
      </x:c>
      <x:c r="AD712">
        <x:f>-1.804042</x:f>
        <x:v>-1.8040419999999999</x:v>
      </x:c>
      <x:c r="AE712">
        <x:f>-7.272835</x:f>
        <x:v>-7.2728349999999997</x:v>
      </x:c>
      <x:c r="AF712">
        <x:f>-3.807522</x:f>
        <x:v>-3.8075220000000001</x:v>
      </x:c>
      <x:c r="AG712">
        <x:f>0</x:f>
        <x:v>0</x:v>
      </x:c>
    </x:row>
    <x:row r="713" spans="1:33" x14ac:dyDescent="0.25">
      <x:c r="A713" t="str">
        <x:f>"            ARK Autonomous Technology &amp; Ro"</x:f>
        <x:v xml:space="preserve">            ARK Autonomous Technology &amp; Ro</x:v>
      </x:c>
      <x:c r="B713" t="str">
        <x:f>"ARKQ US Equity"</x:f>
        <x:v>ARKQ US Equity</x:v>
      </x:c>
      <x:c r="E713" t="str">
        <x:f t="shared" si="26"/>
        <x:v>Expression</x:v>
      </x:c>
      <x:c r="F713">
        <x:f ca="1">IF(AND($B$1012=1,LEN($F$1702)&gt;0),$F$1702,HLOOKUP(INDIRECT(ADDRESS(2,COLUMN())),OFFSET($T$2,0,0,ROW()-1,14),ROW()-1,FALSE))</x:f>
        <x:v>-4.835782</x:v>
      </x:c>
      <x:c r="G713">
        <x:f ca="1">IF(AND($B$1012=1,LEN($G$1702)&gt;0),$G$1702,HLOOKUP(INDIRECT(ADDRESS(2,COLUMN())),OFFSET($T$2,0,0,ROW()-1,14),ROW()-1,FALSE))</x:f>
        <x:v>-25.134581000000001</x:v>
      </x:c>
      <x:c r="H713">
        <x:f ca="1">IF(AND($B$1012=1,LEN($H$1702)&gt;0),$H$1702,HLOOKUP(INDIRECT(ADDRESS(2,COLUMN())),OFFSET($T$2,0,0,ROW()-1,14),ROW()-1,FALSE))</x:f>
        <x:v>-10.595672</x:v>
      </x:c>
      <x:c r="I713">
        <x:f ca="1">IF(AND($B$1012=1,LEN($I$1702)&gt;0),$I$1702,HLOOKUP(INDIRECT(ADDRESS(2,COLUMN())),OFFSET($T$2,0,0,ROW()-1,14),ROW()-1,FALSE))</x:f>
        <x:v>-28.895745999999999</x:v>
      </x:c>
      <x:c r="J713">
        <x:f ca="1">IF(AND($B$1012=1,LEN($J$1702)&gt;0),$J$1702,HLOOKUP(INDIRECT(ADDRESS(2,COLUMN())),OFFSET($T$2,0,0,ROW()-1,14),ROW()-1,FALSE))</x:f>
        <x:v>17.384029999999999</x:v>
      </x:c>
      <x:c r="K713">
        <x:f ca="1">IF(AND($B$1012=1,LEN($K$1702)&gt;0),$K$1702,HLOOKUP(INDIRECT(ADDRESS(2,COLUMN())),OFFSET($T$2,0,0,ROW()-1,14),ROW()-1,FALSE))</x:f>
        <x:v>39.956128999999997</x:v>
      </x:c>
      <x:c r="L713">
        <x:f ca="1">IF(AND($B$1012=1,LEN($L$1702)&gt;0),$L$1702,HLOOKUP(INDIRECT(ADDRESS(2,COLUMN())),OFFSET($T$2,0,0,ROW()-1,14),ROW()-1,FALSE))</x:f>
        <x:v>4.6654369999999998</x:v>
      </x:c>
      <x:c r="M713">
        <x:f ca="1">IF(AND($B$1012=1,LEN($M$1702)&gt;0),$M$1702,HLOOKUP(INDIRECT(ADDRESS(2,COLUMN())),OFFSET($T$2,0,0,ROW()-1,14),ROW()-1,FALSE))</x:f>
        <x:v>-2.2675990000000001</x:v>
      </x:c>
      <x:c r="N713">
        <x:f ca="1">IF(AND($B$1012=1,LEN($N$1702)&gt;0),$N$1702,HLOOKUP(INDIRECT(ADDRESS(2,COLUMN())),OFFSET($T$2,0,0,ROW()-1,14),ROW()-1,FALSE))</x:f>
        <x:v>-14.498860000000001</x:v>
      </x:c>
      <x:c r="O713">
        <x:f ca="1">IF(AND($B$1012=1,LEN($O$1702)&gt;0),$O$1702,HLOOKUP(INDIRECT(ADDRESS(2,COLUMN())),OFFSET($T$2,0,0,ROW()-1,14),ROW()-1,FALSE))</x:f>
        <x:v>2.571421</x:v>
      </x:c>
      <x:c r="P713">
        <x:f ca="1">IF(AND($B$1012=1,LEN($P$1702)&gt;0),$P$1702,HLOOKUP(INDIRECT(ADDRESS(2,COLUMN())),OFFSET($T$2,0,0,ROW()-1,14),ROW()-1,FALSE))</x:f>
        <x:v>-11.017073999999999</x:v>
      </x:c>
      <x:c r="Q713">
        <x:f ca="1">IF(AND($B$1012=1,LEN($Q$1702)&gt;0),$Q$1702,HLOOKUP(INDIRECT(ADDRESS(2,COLUMN())),OFFSET($T$2,0,0,ROW()-1,14),ROW()-1,FALSE))</x:f>
        <x:v>-27.178940000000001</x:v>
      </x:c>
      <x:c r="R713">
        <x:f ca="1">IF(AND($B$1012=1,LEN($R$1702)&gt;0),$R$1702,HLOOKUP(INDIRECT(ADDRESS(2,COLUMN())),OFFSET($T$2,0,0,ROW()-1,14),ROW()-1,FALSE))</x:f>
        <x:v>-17.855018000000001</x:v>
      </x:c>
      <x:c r="S713">
        <x:f ca="1">IF(AND($B$1012=1,LEN($S$1702)&gt;0),$S$1702,HLOOKUP(INDIRECT(ADDRESS(2,COLUMN())),OFFSET($T$2,0,0,ROW()-1,14),ROW()-1,FALSE))</x:f>
        <x:v>-19.703187</x:v>
      </x:c>
      <x:c r="T713">
        <x:f>-4.835782</x:f>
        <x:v>-4.835782</x:v>
      </x:c>
      <x:c r="U713">
        <x:f>-25.134581</x:f>
        <x:v>-25.134581000000001</x:v>
      </x:c>
      <x:c r="V713">
        <x:f>-10.595672</x:f>
        <x:v>-10.595672</x:v>
      </x:c>
      <x:c r="W713">
        <x:f>-28.895746</x:f>
        <x:v>-28.895745999999999</x:v>
      </x:c>
      <x:c r="X713">
        <x:f>17.38403</x:f>
        <x:v>17.384029999999999</x:v>
      </x:c>
      <x:c r="Y713">
        <x:f>39.956129</x:f>
        <x:v>39.956128999999997</x:v>
      </x:c>
      <x:c r="Z713">
        <x:f>4.665437</x:f>
        <x:v>4.6654369999999998</x:v>
      </x:c>
      <x:c r="AA713">
        <x:f>-2.267599</x:f>
        <x:v>-2.2675990000000001</x:v>
      </x:c>
      <x:c r="AB713">
        <x:f>-14.49886</x:f>
        <x:v>-14.498860000000001</x:v>
      </x:c>
      <x:c r="AC713">
        <x:f>2.571421</x:f>
        <x:v>2.571421</x:v>
      </x:c>
      <x:c r="AD713">
        <x:f>-11.017074</x:f>
        <x:v>-11.017073999999999</x:v>
      </x:c>
      <x:c r="AE713">
        <x:f>-27.17894</x:f>
        <x:v>-27.178940000000001</x:v>
      </x:c>
      <x:c r="AF713">
        <x:f>-17.855018</x:f>
        <x:v>-17.855018000000001</x:v>
      </x:c>
      <x:c r="AG713">
        <x:f>-19.703187</x:f>
        <x:v>-19.703187</x:v>
      </x:c>
    </x:row>
    <x:row r="714" spans="1:33" x14ac:dyDescent="0.25">
      <x:c r="A714" t="str">
        <x:f>"            Global X Artificial Intelligen"</x:f>
        <x:v xml:space="preserve">            Global X Artificial Intelligen</x:v>
      </x:c>
      <x:c r="B714" t="str">
        <x:f>"AIQ US Equity"</x:f>
        <x:v>AIQ US Equity</x:v>
      </x:c>
      <x:c r="E714" t="str">
        <x:f t="shared" si="26"/>
        <x:v>Expression</x:v>
      </x:c>
      <x:c r="F714">
        <x:f ca="1">IF(AND($B$1012=1,LEN($F$1703)&gt;0),$F$1703,HLOOKUP(INDIRECT(ADDRESS(2,COLUMN())),OFFSET($T$2,0,0,ROW()-1,14),ROW()-1,FALSE))</x:f>
        <x:v>33.4694</x:v>
      </x:c>
      <x:c r="G714">
        <x:f ca="1">IF(AND($B$1012=1,LEN($G$1703)&gt;0),$G$1703,HLOOKUP(INDIRECT(ADDRESS(2,COLUMN())),OFFSET($T$2,0,0,ROW()-1,14),ROW()-1,FALSE))</x:f>
        <x:v>74.532600000000002</x:v>
      </x:c>
      <x:c r="H714">
        <x:f ca="1">IF(AND($B$1012=1,LEN($H$1703)&gt;0),$H$1703,HLOOKUP(INDIRECT(ADDRESS(2,COLUMN())),OFFSET($T$2,0,0,ROW()-1,14),ROW()-1,FALSE))</x:f>
        <x:v>64.729600000000005</x:v>
      </x:c>
      <x:c r="I714">
        <x:f ca="1">IF(AND($B$1012=1,LEN($I$1703)&gt;0),$I$1703,HLOOKUP(INDIRECT(ADDRESS(2,COLUMN())),OFFSET($T$2,0,0,ROW()-1,14),ROW()-1,FALSE))</x:f>
        <x:v>52.783700000000003</x:v>
      </x:c>
      <x:c r="J714">
        <x:f ca="1">IF(AND($B$1012=1,LEN($J$1703)&gt;0),$J$1703,HLOOKUP(INDIRECT(ADDRESS(2,COLUMN())),OFFSET($T$2,0,0,ROW()-1,14),ROW()-1,FALSE))</x:f>
        <x:v>102.2722</x:v>
      </x:c>
      <x:c r="K714">
        <x:f ca="1">IF(AND($B$1012=1,LEN($K$1703)&gt;0),$K$1703,HLOOKUP(INDIRECT(ADDRESS(2,COLUMN())),OFFSET($T$2,0,0,ROW()-1,14),ROW()-1,FALSE))</x:f>
        <x:v>134.435</x:v>
      </x:c>
      <x:c r="L714">
        <x:f ca="1">IF(AND($B$1012=1,LEN($L$1703)&gt;0),$L$1703,HLOOKUP(INDIRECT(ADDRESS(2,COLUMN())),OFFSET($T$2,0,0,ROW()-1,14),ROW()-1,FALSE))</x:f>
        <x:v>65.041200000000003</x:v>
      </x:c>
      <x:c r="M714">
        <x:f ca="1">IF(AND($B$1012=1,LEN($M$1703)&gt;0),$M$1703,HLOOKUP(INDIRECT(ADDRESS(2,COLUMN())),OFFSET($T$2,0,0,ROW()-1,14),ROW()-1,FALSE))</x:f>
        <x:v>9.2738999999999994</x:v>
      </x:c>
      <x:c r="N714">
        <x:f ca="1">IF(AND($B$1012=1,LEN($N$1703)&gt;0),$N$1703,HLOOKUP(INDIRECT(ADDRESS(2,COLUMN())),OFFSET($T$2,0,0,ROW()-1,14),ROW()-1,FALSE))</x:f>
        <x:v>3.5855999999999999</x:v>
      </x:c>
      <x:c r="O714">
        <x:f ca="1">IF(AND($B$1012=1,LEN($O$1703)&gt;0),$O$1703,HLOOKUP(INDIRECT(ADDRESS(2,COLUMN())),OFFSET($T$2,0,0,ROW()-1,14),ROW()-1,FALSE))</x:f>
        <x:v>2.5264000000000002</x:v>
      </x:c>
      <x:c r="P714">
        <x:f ca="1">IF(AND($B$1012=1,LEN($P$1703)&gt;0),$P$1703,HLOOKUP(INDIRECT(ADDRESS(2,COLUMN())),OFFSET($T$2,0,0,ROW()-1,14),ROW()-1,FALSE))</x:f>
        <x:v>-15.2888</x:v>
      </x:c>
      <x:c r="Q714">
        <x:f ca="1">IF(AND($B$1012=1,LEN($Q$1703)&gt;0),$Q$1703,HLOOKUP(INDIRECT(ADDRESS(2,COLUMN())),OFFSET($T$2,0,0,ROW()-1,14),ROW()-1,FALSE))</x:f>
        <x:v>-13.1723</x:v>
      </x:c>
      <x:c r="R714">
        <x:f ca="1">IF(AND($B$1012=1,LEN($R$1703)&gt;0),$R$1703,HLOOKUP(INDIRECT(ADDRESS(2,COLUMN())),OFFSET($T$2,0,0,ROW()-1,14),ROW()-1,FALSE))</x:f>
        <x:v>-2.2010999999999998</x:v>
      </x:c>
      <x:c r="S714">
        <x:f ca="1">IF(AND($B$1012=1,LEN($S$1703)&gt;0),$S$1703,HLOOKUP(INDIRECT(ADDRESS(2,COLUMN())),OFFSET($T$2,0,0,ROW()-1,14),ROW()-1,FALSE))</x:f>
        <x:v>0</x:v>
      </x:c>
      <x:c r="T714">
        <x:f>33.4694</x:f>
        <x:v>33.4694</x:v>
      </x:c>
      <x:c r="U714">
        <x:f>74.5326</x:f>
        <x:v>74.532600000000002</x:v>
      </x:c>
      <x:c r="V714">
        <x:f>64.7296</x:f>
        <x:v>64.729600000000005</x:v>
      </x:c>
      <x:c r="W714">
        <x:f>52.7837</x:f>
        <x:v>52.783700000000003</x:v>
      </x:c>
      <x:c r="X714">
        <x:f>102.2722</x:f>
        <x:v>102.2722</x:v>
      </x:c>
      <x:c r="Y714">
        <x:f>134.435</x:f>
        <x:v>134.435</x:v>
      </x:c>
      <x:c r="Z714">
        <x:f>65.0412</x:f>
        <x:v>65.041200000000003</x:v>
      </x:c>
      <x:c r="AA714">
        <x:f>9.2739</x:f>
        <x:v>9.2738999999999994</x:v>
      </x:c>
      <x:c r="AB714">
        <x:f>3.5856</x:f>
        <x:v>3.5855999999999999</x:v>
      </x:c>
      <x:c r="AC714">
        <x:f>2.5264</x:f>
        <x:v>2.5264000000000002</x:v>
      </x:c>
      <x:c r="AD714">
        <x:f>-15.2888</x:f>
        <x:v>-15.2888</x:v>
      </x:c>
      <x:c r="AE714">
        <x:f>-13.1723</x:f>
        <x:v>-13.1723</x:v>
      </x:c>
      <x:c r="AF714">
        <x:f>-2.2011</x:f>
        <x:v>-2.2010999999999998</x:v>
      </x:c>
      <x:c r="AG714">
        <x:f>0</x:f>
        <x:v>0</x:v>
      </x:c>
    </x:row>
    <x:row r="715" spans="1:33" x14ac:dyDescent="0.25">
      <x:c r="A715" t="str">
        <x:f>"            ROBO Global Robotics and Autom"</x:f>
        <x:v xml:space="preserve">            ROBO Global Robotics and Autom</x:v>
      </x:c>
      <x:c r="B715" t="str">
        <x:f>"ROBO US Equity"</x:f>
        <x:v>ROBO US Equity</x:v>
      </x:c>
      <x:c r="E715" t="str">
        <x:f t="shared" si="26"/>
        <x:v>Expression</x:v>
      </x:c>
      <x:c r="F715">
        <x:f ca="1">IF(AND($B$1012=1,LEN($F$1704)&gt;0),$F$1704,HLOOKUP(INDIRECT(ADDRESS(2,COLUMN())),OFFSET($T$2,0,0,ROW()-1,14),ROW()-1,FALSE))</x:f>
        <x:v>-7.4207489999999998</x:v>
      </x:c>
      <x:c r="G715">
        <x:f ca="1">IF(AND($B$1012=1,LEN($G$1704)&gt;0),$G$1704,HLOOKUP(INDIRECT(ADDRESS(2,COLUMN())),OFFSET($T$2,0,0,ROW()-1,14),ROW()-1,FALSE))</x:f>
        <x:v>-26.739281999999999</x:v>
      </x:c>
      <x:c r="H715">
        <x:f ca="1">IF(AND($B$1012=1,LEN($H$1704)&gt;0),$H$1704,HLOOKUP(INDIRECT(ADDRESS(2,COLUMN())),OFFSET($T$2,0,0,ROW()-1,14),ROW()-1,FALSE))</x:f>
        <x:v>-14.326784999999999</x:v>
      </x:c>
      <x:c r="I715">
        <x:f ca="1">IF(AND($B$1012=1,LEN($I$1704)&gt;0),$I$1704,HLOOKUP(INDIRECT(ADDRESS(2,COLUMN())),OFFSET($T$2,0,0,ROW()-1,14),ROW()-1,FALSE))</x:f>
        <x:v>-20.419708</x:v>
      </x:c>
      <x:c r="J715">
        <x:f ca="1">IF(AND($B$1012=1,LEN($J$1704)&gt;0),$J$1704,HLOOKUP(INDIRECT(ADDRESS(2,COLUMN())),OFFSET($T$2,0,0,ROW()-1,14),ROW()-1,FALSE))</x:f>
        <x:v>10.231730000000001</x:v>
      </x:c>
      <x:c r="K715">
        <x:f ca="1">IF(AND($B$1012=1,LEN($K$1704)&gt;0),$K$1704,HLOOKUP(INDIRECT(ADDRESS(2,COLUMN())),OFFSET($T$2,0,0,ROW()-1,14),ROW()-1,FALSE))</x:f>
        <x:v>29.821992000000002</x:v>
      </x:c>
      <x:c r="L715">
        <x:f ca="1">IF(AND($B$1012=1,LEN($L$1704)&gt;0),$L$1704,HLOOKUP(INDIRECT(ADDRESS(2,COLUMN())),OFFSET($T$2,0,0,ROW()-1,14),ROW()-1,FALSE))</x:f>
        <x:v>9.4868810000000003</x:v>
      </x:c>
      <x:c r="M715">
        <x:f ca="1">IF(AND($B$1012=1,LEN($M$1704)&gt;0),$M$1704,HLOOKUP(INDIRECT(ADDRESS(2,COLUMN())),OFFSET($T$2,0,0,ROW()-1,14),ROW()-1,FALSE))</x:f>
        <x:v>-1.3462499999999999</x:v>
      </x:c>
      <x:c r="N715">
        <x:f ca="1">IF(AND($B$1012=1,LEN($N$1704)&gt;0),$N$1704,HLOOKUP(INDIRECT(ADDRESS(2,COLUMN())),OFFSET($T$2,0,0,ROW()-1,14),ROW()-1,FALSE))</x:f>
        <x:v>7.9299720000000002</x:v>
      </x:c>
      <x:c r="O715">
        <x:f ca="1">IF(AND($B$1012=1,LEN($O$1704)&gt;0),$O$1704,HLOOKUP(INDIRECT(ADDRESS(2,COLUMN())),OFFSET($T$2,0,0,ROW()-1,14),ROW()-1,FALSE))</x:f>
        <x:v>-19.189304</x:v>
      </x:c>
      <x:c r="P715">
        <x:f ca="1">IF(AND($B$1012=1,LEN($P$1704)&gt;0),$P$1704,HLOOKUP(INDIRECT(ADDRESS(2,COLUMN())),OFFSET($T$2,0,0,ROW()-1,14),ROW()-1,FALSE))</x:f>
        <x:v>34.450691999999997</x:v>
      </x:c>
      <x:c r="Q715">
        <x:f ca="1">IF(AND($B$1012=1,LEN($Q$1704)&gt;0),$Q$1704,HLOOKUP(INDIRECT(ADDRESS(2,COLUMN())),OFFSET($T$2,0,0,ROW()-1,14),ROW()-1,FALSE))</x:f>
        <x:v>-14.201924</x:v>
      </x:c>
      <x:c r="R715">
        <x:f ca="1">IF(AND($B$1012=1,LEN($R$1704)&gt;0),$R$1704,HLOOKUP(INDIRECT(ADDRESS(2,COLUMN())),OFFSET($T$2,0,0,ROW()-1,14),ROW()-1,FALSE))</x:f>
        <x:v>-25.063209000000001</x:v>
      </x:c>
      <x:c r="S715">
        <x:f ca="1">IF(AND($B$1012=1,LEN($S$1704)&gt;0),$S$1704,HLOOKUP(INDIRECT(ADDRESS(2,COLUMN())),OFFSET($T$2,0,0,ROW()-1,14),ROW()-1,FALSE))</x:f>
        <x:v>-12.503</x:v>
      </x:c>
      <x:c r="T715">
        <x:f>-7.420749</x:f>
        <x:v>-7.4207489999999998</x:v>
      </x:c>
      <x:c r="U715">
        <x:f>-26.739282</x:f>
        <x:v>-26.739281999999999</x:v>
      </x:c>
      <x:c r="V715">
        <x:f>-14.326785</x:f>
        <x:v>-14.326784999999999</x:v>
      </x:c>
      <x:c r="W715">
        <x:f>-20.419708</x:f>
        <x:v>-20.419708</x:v>
      </x:c>
      <x:c r="X715">
        <x:f>10.23173</x:f>
        <x:v>10.231730000000001</x:v>
      </x:c>
      <x:c r="Y715">
        <x:f>29.821992</x:f>
        <x:v>29.821992000000002</x:v>
      </x:c>
      <x:c r="Z715">
        <x:f>9.486881</x:f>
        <x:v>9.4868810000000003</x:v>
      </x:c>
      <x:c r="AA715">
        <x:f>-1.34625</x:f>
        <x:v>-1.3462499999999999</x:v>
      </x:c>
      <x:c r="AB715">
        <x:f>7.929972</x:f>
        <x:v>7.9299720000000002</x:v>
      </x:c>
      <x:c r="AC715">
        <x:f>-19.189304</x:f>
        <x:v>-19.189304</x:v>
      </x:c>
      <x:c r="AD715">
        <x:f>34.450692</x:f>
        <x:v>34.450691999999997</x:v>
      </x:c>
      <x:c r="AE715">
        <x:f>-14.201924</x:f>
        <x:v>-14.201924</x:v>
      </x:c>
      <x:c r="AF715">
        <x:f>-25.063209</x:f>
        <x:v>-25.063209000000001</x:v>
      </x:c>
      <x:c r="AG715">
        <x:f>-12.503</x:f>
        <x:v>-12.503</x:v>
      </x:c>
    </x:row>
    <x:row r="716" spans="1:33" x14ac:dyDescent="0.25">
      <x:c r="A716" t="str">
        <x:f>"            iShares Robotics &amp; Artificial"</x:f>
        <x:v xml:space="preserve">            iShares Robotics &amp; Artificial</x:v>
      </x:c>
      <x:c r="B716" t="str">
        <x:f>"IRBO US Equity"</x:f>
        <x:v>IRBO US Equity</x:v>
      </x:c>
      <x:c r="E716" t="str">
        <x:f t="shared" si="26"/>
        <x:v>Expression</x:v>
      </x:c>
      <x:c r="F716">
        <x:f ca="1">IF(AND($B$1012=1,LEN($F$1705)&gt;0),$F$1705,HLOOKUP(INDIRECT(ADDRESS(2,COLUMN())),OFFSET($T$2,0,0,ROW()-1,14),ROW()-1,FALSE))</x:f>
        <x:v>18.819217999999999</x:v>
      </x:c>
      <x:c r="G716">
        <x:f ca="1">IF(AND($B$1012=1,LEN($G$1705)&gt;0),$G$1705,HLOOKUP(INDIRECT(ADDRESS(2,COLUMN())),OFFSET($T$2,0,0,ROW()-1,14),ROW()-1,FALSE))</x:f>
        <x:v>0</x:v>
      </x:c>
      <x:c r="H716">
        <x:f ca="1">IF(AND($B$1012=1,LEN($H$1705)&gt;0),$H$1705,HLOOKUP(INDIRECT(ADDRESS(2,COLUMN())),OFFSET($T$2,0,0,ROW()-1,14),ROW()-1,FALSE))</x:f>
        <x:v>12.415100000000001</x:v>
      </x:c>
      <x:c r="I716">
        <x:f ca="1">IF(AND($B$1012=1,LEN($I$1705)&gt;0),$I$1705,HLOOKUP(INDIRECT(ADDRESS(2,COLUMN())),OFFSET($T$2,0,0,ROW()-1,14),ROW()-1,FALSE))</x:f>
        <x:v>13.20012</x:v>
      </x:c>
      <x:c r="J716">
        <x:f ca="1">IF(AND($B$1012=1,LEN($J$1705)&gt;0),$J$1705,HLOOKUP(INDIRECT(ADDRESS(2,COLUMN())),OFFSET($T$2,0,0,ROW()-1,14),ROW()-1,FALSE))</x:f>
        <x:v>54.353740000000002</x:v>
      </x:c>
      <x:c r="K716">
        <x:f ca="1">IF(AND($B$1012=1,LEN($K$1705)&gt;0),$K$1705,HLOOKUP(INDIRECT(ADDRESS(2,COLUMN())),OFFSET($T$2,0,0,ROW()-1,14),ROW()-1,FALSE))</x:f>
        <x:v>70.844059999999999</x:v>
      </x:c>
      <x:c r="L716">
        <x:f ca="1">IF(AND($B$1012=1,LEN($L$1705)&gt;0),$L$1705,HLOOKUP(INDIRECT(ADDRESS(2,COLUMN())),OFFSET($T$2,0,0,ROW()-1,14),ROW()-1,FALSE))</x:f>
        <x:v>17.847799999999999</x:v>
      </x:c>
      <x:c r="M716">
        <x:f ca="1">IF(AND($B$1012=1,LEN($M$1705)&gt;0),$M$1705,HLOOKUP(INDIRECT(ADDRESS(2,COLUMN())),OFFSET($T$2,0,0,ROW()-1,14),ROW()-1,FALSE))</x:f>
        <x:v>18.129000000000001</x:v>
      </x:c>
      <x:c r="N716">
        <x:f ca="1">IF(AND($B$1012=1,LEN($N$1705)&gt;0),$N$1705,HLOOKUP(INDIRECT(ADDRESS(2,COLUMN())),OFFSET($T$2,0,0,ROW()-1,14),ROW()-1,FALSE))</x:f>
        <x:v>17.848140000000001</x:v>
      </x:c>
      <x:c r="O716">
        <x:f ca="1">IF(AND($B$1012=1,LEN($O$1705)&gt;0),$O$1705,HLOOKUP(INDIRECT(ADDRESS(2,COLUMN())),OFFSET($T$2,0,0,ROW()-1,14),ROW()-1,FALSE))</x:f>
        <x:v>18.42746</x:v>
      </x:c>
      <x:c r="P716">
        <x:f ca="1">IF(AND($B$1012=1,LEN($P$1705)&gt;0),$P$1705,HLOOKUP(INDIRECT(ADDRESS(2,COLUMN())),OFFSET($T$2,0,0,ROW()-1,14),ROW()-1,FALSE))</x:f>
        <x:v>0</x:v>
      </x:c>
      <x:c r="Q716">
        <x:f ca="1">IF(AND($B$1012=1,LEN($Q$1705)&gt;0),$Q$1705,HLOOKUP(INDIRECT(ADDRESS(2,COLUMN())),OFFSET($T$2,0,0,ROW()-1,14),ROW()-1,FALSE))</x:f>
        <x:v>0</x:v>
      </x:c>
      <x:c r="R716">
        <x:f ca="1">IF(AND($B$1012=1,LEN($R$1705)&gt;0),$R$1705,HLOOKUP(INDIRECT(ADDRESS(2,COLUMN())),OFFSET($T$2,0,0,ROW()-1,14),ROW()-1,FALSE))</x:f>
        <x:v>-10.38278</x:v>
      </x:c>
      <x:c r="S716">
        <x:f ca="1">IF(AND($B$1012=1,LEN($S$1705)&gt;0),$S$1705,HLOOKUP(INDIRECT(ADDRESS(2,COLUMN())),OFFSET($T$2,0,0,ROW()-1,14),ROW()-1,FALSE))</x:f>
        <x:v>-4.8849600000000004</x:v>
      </x:c>
      <x:c r="T716">
        <x:f>18.819218</x:f>
        <x:v>18.819217999999999</x:v>
      </x:c>
      <x:c r="U716">
        <x:f>0</x:f>
        <x:v>0</x:v>
      </x:c>
      <x:c r="V716">
        <x:f>12.4151</x:f>
        <x:v>12.415100000000001</x:v>
      </x:c>
      <x:c r="W716">
        <x:f>13.20012</x:f>
        <x:v>13.20012</x:v>
      </x:c>
      <x:c r="X716">
        <x:f>54.35374</x:f>
        <x:v>54.353740000000002</x:v>
      </x:c>
      <x:c r="Y716">
        <x:f>70.84406</x:f>
        <x:v>70.844059999999999</x:v>
      </x:c>
      <x:c r="Z716">
        <x:f>17.8478</x:f>
        <x:v>17.847799999999999</x:v>
      </x:c>
      <x:c r="AA716">
        <x:f>18.129</x:f>
        <x:v>18.129000000000001</x:v>
      </x:c>
      <x:c r="AB716">
        <x:f>17.84814</x:f>
        <x:v>17.848140000000001</x:v>
      </x:c>
      <x:c r="AC716">
        <x:f>18.42746</x:f>
        <x:v>18.42746</x:v>
      </x:c>
      <x:c r="AD716">
        <x:f>0</x:f>
        <x:v>0</x:v>
      </x:c>
      <x:c r="AE716">
        <x:f>0</x:f>
        <x:v>0</x:v>
      </x:c>
      <x:c r="AF716">
        <x:f>-10.38278</x:f>
        <x:v>-10.38278</x:v>
      </x:c>
      <x:c r="AG716">
        <x:f>-4.88496</x:f>
        <x:v>-4.8849600000000004</x:v>
      </x:c>
    </x:row>
    <x:row r="717" spans="1:33" x14ac:dyDescent="0.25">
      <x:c r="A717" t="str">
        <x:f>"            Direxion Daily Robotics Artifi"</x:f>
        <x:v xml:space="preserve">            Direxion Daily Robotics Artifi</x:v>
      </x:c>
      <x:c r="B717" t="str">
        <x:f>"UBOT US Equity"</x:f>
        <x:v>UBOT US Equity</x:v>
      </x:c>
      <x:c r="E717" t="str">
        <x:f t="shared" si="26"/>
        <x:v>Expression</x:v>
      </x:c>
      <x:c r="F717">
        <x:f ca="1">IF(AND($B$1012=1,LEN($F$1706)&gt;0),$F$1706,HLOOKUP(INDIRECT(ADDRESS(2,COLUMN())),OFFSET($T$2,0,0,ROW()-1,14),ROW()-1,FALSE))</x:f>
        <x:v>0</x:v>
      </x:c>
      <x:c r="G717">
        <x:f ca="1">IF(AND($B$1012=1,LEN($G$1706)&gt;0),$G$1706,HLOOKUP(INDIRECT(ADDRESS(2,COLUMN())),OFFSET($T$2,0,0,ROW()-1,14),ROW()-1,FALSE))</x:f>
        <x:v>0</x:v>
      </x:c>
      <x:c r="H717">
        <x:f ca="1">IF(AND($B$1012=1,LEN($H$1706)&gt;0),$H$1706,HLOOKUP(INDIRECT(ADDRESS(2,COLUMN())),OFFSET($T$2,0,0,ROW()-1,14),ROW()-1,FALSE))</x:f>
        <x:v>-2.4791460000000001</x:v>
      </x:c>
      <x:c r="I717">
        <x:f ca="1">IF(AND($B$1012=1,LEN($I$1706)&gt;0),$I$1706,HLOOKUP(INDIRECT(ADDRESS(2,COLUMN())),OFFSET($T$2,0,0,ROW()-1,14),ROW()-1,FALSE))</x:f>
        <x:v>-0.93120199999999997</x:v>
      </x:c>
      <x:c r="J717">
        <x:f ca="1">IF(AND($B$1012=1,LEN($J$1706)&gt;0),$J$1706,HLOOKUP(INDIRECT(ADDRESS(2,COLUMN())),OFFSET($T$2,0,0,ROW()-1,14),ROW()-1,FALSE))</x:f>
        <x:v>1.154989</x:v>
      </x:c>
      <x:c r="K717">
        <x:f ca="1">IF(AND($B$1012=1,LEN($K$1706)&gt;0),$K$1706,HLOOKUP(INDIRECT(ADDRESS(2,COLUMN())),OFFSET($T$2,0,0,ROW()-1,14),ROW()-1,FALSE))</x:f>
        <x:v>7.8327520000000002</x:v>
      </x:c>
      <x:c r="L717">
        <x:f ca="1">IF(AND($B$1012=1,LEN($L$1706)&gt;0),$L$1706,HLOOKUP(INDIRECT(ADDRESS(2,COLUMN())),OFFSET($T$2,0,0,ROW()-1,14),ROW()-1,FALSE))</x:f>
        <x:v>2.9621629999999999</x:v>
      </x:c>
      <x:c r="M717">
        <x:f ca="1">IF(AND($B$1012=1,LEN($M$1706)&gt;0),$M$1706,HLOOKUP(INDIRECT(ADDRESS(2,COLUMN())),OFFSET($T$2,0,0,ROW()-1,14),ROW()-1,FALSE))</x:f>
        <x:v>1.7316819999999999</x:v>
      </x:c>
      <x:c r="N717">
        <x:f ca="1">IF(AND($B$1012=1,LEN($N$1706)&gt;0),$N$1706,HLOOKUP(INDIRECT(ADDRESS(2,COLUMN())),OFFSET($T$2,0,0,ROW()-1,14),ROW()-1,FALSE))</x:f>
        <x:v>0</x:v>
      </x:c>
      <x:c r="O717">
        <x:f ca="1">IF(AND($B$1012=1,LEN($O$1706)&gt;0),$O$1706,HLOOKUP(INDIRECT(ADDRESS(2,COLUMN())),OFFSET($T$2,0,0,ROW()-1,14),ROW()-1,FALSE))</x:f>
        <x:v>0</x:v>
      </x:c>
      <x:c r="P717">
        <x:f ca="1">IF(AND($B$1012=1,LEN($P$1706)&gt;0),$P$1706,HLOOKUP(INDIRECT(ADDRESS(2,COLUMN())),OFFSET($T$2,0,0,ROW()-1,14),ROW()-1,FALSE))</x:f>
        <x:v>2.324665</x:v>
      </x:c>
      <x:c r="Q717">
        <x:f ca="1">IF(AND($B$1012=1,LEN($Q$1706)&gt;0),$Q$1706,HLOOKUP(INDIRECT(ADDRESS(2,COLUMN())),OFFSET($T$2,0,0,ROW()-1,14),ROW()-1,FALSE))</x:f>
        <x:v>-0.603599</x:v>
      </x:c>
      <x:c r="R717">
        <x:f ca="1">IF(AND($B$1012=1,LEN($R$1706)&gt;0),$R$1706,HLOOKUP(INDIRECT(ADDRESS(2,COLUMN())),OFFSET($T$2,0,0,ROW()-1,14),ROW()-1,FALSE))</x:f>
        <x:v>0.63493500000000003</x:v>
      </x:c>
      <x:c r="S717">
        <x:f ca="1">IF(AND($B$1012=1,LEN($S$1706)&gt;0),$S$1706,HLOOKUP(INDIRECT(ADDRESS(2,COLUMN())),OFFSET($T$2,0,0,ROW()-1,14),ROW()-1,FALSE))</x:f>
        <x:v>0</x:v>
      </x:c>
      <x:c r="T717">
        <x:f>0</x:f>
        <x:v>0</x:v>
      </x:c>
      <x:c r="U717">
        <x:f>0</x:f>
        <x:v>0</x:v>
      </x:c>
      <x:c r="V717">
        <x:f>-2.479146</x:f>
        <x:v>-2.4791460000000001</x:v>
      </x:c>
      <x:c r="W717">
        <x:f>-0.931202</x:f>
        <x:v>-0.93120199999999997</x:v>
      </x:c>
      <x:c r="X717">
        <x:f>1.154989</x:f>
        <x:v>1.154989</x:v>
      </x:c>
      <x:c r="Y717">
        <x:f>7.832752</x:f>
        <x:v>7.8327520000000002</x:v>
      </x:c>
      <x:c r="Z717">
        <x:f>2.962163</x:f>
        <x:v>2.9621629999999999</x:v>
      </x:c>
      <x:c r="AA717">
        <x:f>1.731682</x:f>
        <x:v>1.7316819999999999</x:v>
      </x:c>
      <x:c r="AB717">
        <x:f>0</x:f>
        <x:v>0</x:v>
      </x:c>
      <x:c r="AC717">
        <x:f>0</x:f>
        <x:v>0</x:v>
      </x:c>
      <x:c r="AD717">
        <x:f>2.324665</x:f>
        <x:v>2.324665</x:v>
      </x:c>
      <x:c r="AE717">
        <x:f>-0.603599</x:f>
        <x:v>-0.603599</x:v>
      </x:c>
      <x:c r="AF717">
        <x:f>0.634935</x:f>
        <x:v>0.63493500000000003</x:v>
      </x:c>
      <x:c r="AG717">
        <x:f>0</x:f>
        <x:v>0</x:v>
      </x:c>
    </x:row>
    <x:row r="718" spans="1:33" x14ac:dyDescent="0.25">
      <x:c r="A718" t="str">
        <x:f>"            Global X Robotics &amp; Artificial"</x:f>
        <x:v xml:space="preserve">            Global X Robotics &amp; Artificial</x:v>
      </x:c>
      <x:c r="B718" t="str">
        <x:f>"BOTZ US Equity"</x:f>
        <x:v>BOTZ US Equity</x:v>
      </x:c>
      <x:c r="E718" t="str">
        <x:f t="shared" si="26"/>
        <x:v>Expression</x:v>
      </x:c>
      <x:c r="F718">
        <x:f ca="1">IF(AND($B$1012=1,LEN($F$1707)&gt;0),$F$1707,HLOOKUP(INDIRECT(ADDRESS(2,COLUMN())),OFFSET($T$2,0,0,ROW()-1,14),ROW()-1,FALSE))</x:f>
        <x:v>-15.855499999999999</x:v>
      </x:c>
      <x:c r="G718">
        <x:f ca="1">IF(AND($B$1012=1,LEN($G$1707)&gt;0),$G$1707,HLOOKUP(INDIRECT(ADDRESS(2,COLUMN())),OFFSET($T$2,0,0,ROW()-1,14),ROW()-1,FALSE))</x:f>
        <x:v>-58.399099999999997</x:v>
      </x:c>
      <x:c r="H718">
        <x:f ca="1">IF(AND($B$1012=1,LEN($H$1707)&gt;0),$H$1707,HLOOKUP(INDIRECT(ADDRESS(2,COLUMN())),OFFSET($T$2,0,0,ROW()-1,14),ROW()-1,FALSE))</x:f>
        <x:v>1.6712</x:v>
      </x:c>
      <x:c r="I718">
        <x:f ca="1">IF(AND($B$1012=1,LEN($I$1707)&gt;0),$I$1707,HLOOKUP(INDIRECT(ADDRESS(2,COLUMN())),OFFSET($T$2,0,0,ROW()-1,14),ROW()-1,FALSE))</x:f>
        <x:v>-72.848500000000001</x:v>
      </x:c>
      <x:c r="J718">
        <x:f ca="1">IF(AND($B$1012=1,LEN($J$1707)&gt;0),$J$1707,HLOOKUP(INDIRECT(ADDRESS(2,COLUMN())),OFFSET($T$2,0,0,ROW()-1,14),ROW()-1,FALSE))</x:f>
        <x:v>41.918100000000003</x:v>
      </x:c>
      <x:c r="K718">
        <x:f ca="1">IF(AND($B$1012=1,LEN($K$1707)&gt;0),$K$1707,HLOOKUP(INDIRECT(ADDRESS(2,COLUMN())),OFFSET($T$2,0,0,ROW()-1,14),ROW()-1,FALSE))</x:f>
        <x:v>270.26080000000002</x:v>
      </x:c>
      <x:c r="L718">
        <x:f ca="1">IF(AND($B$1012=1,LEN($L$1707)&gt;0),$L$1707,HLOOKUP(INDIRECT(ADDRESS(2,COLUMN())),OFFSET($T$2,0,0,ROW()-1,14),ROW()-1,FALSE))</x:f>
        <x:v>234.8219</x:v>
      </x:c>
      <x:c r="M718">
        <x:f ca="1">IF(AND($B$1012=1,LEN($M$1707)&gt;0),$M$1707,HLOOKUP(INDIRECT(ADDRESS(2,COLUMN())),OFFSET($T$2,0,0,ROW()-1,14),ROW()-1,FALSE))</x:f>
        <x:v>7.0814000000000004</x:v>
      </x:c>
      <x:c r="N718">
        <x:f ca="1">IF(AND($B$1012=1,LEN($N$1707)&gt;0),$N$1707,HLOOKUP(INDIRECT(ADDRESS(2,COLUMN())),OFFSET($T$2,0,0,ROW()-1,14),ROW()-1,FALSE))</x:f>
        <x:v>79.781099999999995</x:v>
      </x:c>
      <x:c r="O718">
        <x:f ca="1">IF(AND($B$1012=1,LEN($O$1707)&gt;0),$O$1707,HLOOKUP(INDIRECT(ADDRESS(2,COLUMN())),OFFSET($T$2,0,0,ROW()-1,14),ROW()-1,FALSE))</x:f>
        <x:v>30.5167</x:v>
      </x:c>
      <x:c r="P718">
        <x:f ca="1">IF(AND($B$1012=1,LEN($P$1707)&gt;0),$P$1707,HLOOKUP(INDIRECT(ADDRESS(2,COLUMN())),OFFSET($T$2,0,0,ROW()-1,14),ROW()-1,FALSE))</x:f>
        <x:v>24.5749</x:v>
      </x:c>
      <x:c r="Q718">
        <x:f ca="1">IF(AND($B$1012=1,LEN($Q$1707)&gt;0),$Q$1707,HLOOKUP(INDIRECT(ADDRESS(2,COLUMN())),OFFSET($T$2,0,0,ROW()-1,14),ROW()-1,FALSE))</x:f>
        <x:v>-20.332999999999998</x:v>
      </x:c>
      <x:c r="R718">
        <x:f ca="1">IF(AND($B$1012=1,LEN($R$1707)&gt;0),$R$1707,HLOOKUP(INDIRECT(ADDRESS(2,COLUMN())),OFFSET($T$2,0,0,ROW()-1,14),ROW()-1,FALSE))</x:f>
        <x:v>-31.671600000000002</x:v>
      </x:c>
      <x:c r="S718">
        <x:f ca="1">IF(AND($B$1012=1,LEN($S$1707)&gt;0),$S$1707,HLOOKUP(INDIRECT(ADDRESS(2,COLUMN())),OFFSET($T$2,0,0,ROW()-1,14),ROW()-1,FALSE))</x:f>
        <x:v>-10.2262</x:v>
      </x:c>
      <x:c r="T718">
        <x:f>-15.8555</x:f>
        <x:v>-15.855499999999999</x:v>
      </x:c>
      <x:c r="U718">
        <x:f>-58.3991</x:f>
        <x:v>-58.399099999999997</x:v>
      </x:c>
      <x:c r="V718">
        <x:f>1.6712</x:f>
        <x:v>1.6712</x:v>
      </x:c>
      <x:c r="W718">
        <x:f>-72.8485</x:f>
        <x:v>-72.848500000000001</x:v>
      </x:c>
      <x:c r="X718">
        <x:f>41.9181</x:f>
        <x:v>41.918100000000003</x:v>
      </x:c>
      <x:c r="Y718">
        <x:f>270.2608</x:f>
        <x:v>270.26080000000002</x:v>
      </x:c>
      <x:c r="Z718">
        <x:f>234.8219</x:f>
        <x:v>234.8219</x:v>
      </x:c>
      <x:c r="AA718">
        <x:f>7.0814</x:f>
        <x:v>7.0814000000000004</x:v>
      </x:c>
      <x:c r="AB718">
        <x:f>79.7811</x:f>
        <x:v>79.781099999999995</x:v>
      </x:c>
      <x:c r="AC718">
        <x:f>30.5167</x:f>
        <x:v>30.5167</x:v>
      </x:c>
      <x:c r="AD718">
        <x:f>24.5749</x:f>
        <x:v>24.5749</x:v>
      </x:c>
      <x:c r="AE718">
        <x:f>-20.333</x:f>
        <x:v>-20.332999999999998</x:v>
      </x:c>
      <x:c r="AF718">
        <x:f>-31.6716</x:f>
        <x:v>-31.671600000000002</x:v>
      </x:c>
      <x:c r="AG718">
        <x:f>-10.2262</x:f>
        <x:v>-10.2262</x:v>
      </x:c>
    </x:row>
    <x:row r="719" spans="1:33" x14ac:dyDescent="0.25">
      <x:c r="A719" t="str">
        <x:f>"            Franklin Intelligent Machines"</x:f>
        <x:v xml:space="preserve">            Franklin Intelligent Machines</x:v>
      </x:c>
      <x:c r="B719" t="str">
        <x:f>"IQM US Equity"</x:f>
        <x:v>IQM US Equity</x:v>
      </x:c>
      <x:c r="E719" t="str">
        <x:f t="shared" si="26"/>
        <x:v>Expression</x:v>
      </x:c>
      <x:c r="F719">
        <x:f ca="1">IF(AND($B$1012=1,LEN($F$1708)&gt;0),$F$1708,HLOOKUP(INDIRECT(ADDRESS(2,COLUMN())),OFFSET($T$2,0,0,ROW()-1,14),ROW()-1,FALSE))</x:f>
        <x:v>0</x:v>
      </x:c>
      <x:c r="G719">
        <x:f ca="1">IF(AND($B$1012=1,LEN($G$1708)&gt;0),$G$1708,HLOOKUP(INDIRECT(ADDRESS(2,COLUMN())),OFFSET($T$2,0,0,ROW()-1,14),ROW()-1,FALSE))</x:f>
        <x:v>0</x:v>
      </x:c>
      <x:c r="H719">
        <x:f ca="1">IF(AND($B$1012=1,LEN($H$1708)&gt;0),$H$1708,HLOOKUP(INDIRECT(ADDRESS(2,COLUMN())),OFFSET($T$2,0,0,ROW()-1,14),ROW()-1,FALSE))</x:f>
        <x:v>0</x:v>
      </x:c>
      <x:c r="I719">
        <x:f ca="1">IF(AND($B$1012=1,LEN($I$1708)&gt;0),$I$1708,HLOOKUP(INDIRECT(ADDRESS(2,COLUMN())),OFFSET($T$2,0,0,ROW()-1,14),ROW()-1,FALSE))</x:f>
        <x:v>-2.3947620000000001</x:v>
      </x:c>
      <x:c r="J719">
        <x:f ca="1">IF(AND($B$1012=1,LEN($J$1708)&gt;0),$J$1708,HLOOKUP(INDIRECT(ADDRESS(2,COLUMN())),OFFSET($T$2,0,0,ROW()-1,14),ROW()-1,FALSE))</x:f>
        <x:v>12.165514</x:v>
      </x:c>
      <x:c r="K719">
        <x:f ca="1">IF(AND($B$1012=1,LEN($K$1708)&gt;0),$K$1708,HLOOKUP(INDIRECT(ADDRESS(2,COLUMN())),OFFSET($T$2,0,0,ROW()-1,14),ROW()-1,FALSE))</x:f>
        <x:v>0</x:v>
      </x:c>
      <x:c r="L719">
        <x:f ca="1">IF(AND($B$1012=1,LEN($L$1708)&gt;0),$L$1708,HLOOKUP(INDIRECT(ADDRESS(2,COLUMN())),OFFSET($T$2,0,0,ROW()-1,14),ROW()-1,FALSE))</x:f>
        <x:v>2.3054929999999998</x:v>
      </x:c>
      <x:c r="M719">
        <x:f ca="1">IF(AND($B$1012=1,LEN($M$1708)&gt;0),$M$1708,HLOOKUP(INDIRECT(ADDRESS(2,COLUMN())),OFFSET($T$2,0,0,ROW()-1,14),ROW()-1,FALSE))</x:f>
        <x:v>0</x:v>
      </x:c>
      <x:c r="N719">
        <x:f ca="1">IF(AND($B$1012=1,LEN($N$1708)&gt;0),$N$1708,HLOOKUP(INDIRECT(ADDRESS(2,COLUMN())),OFFSET($T$2,0,0,ROW()-1,14),ROW()-1,FALSE))</x:f>
        <x:v>0</x:v>
      </x:c>
      <x:c r="O719">
        <x:f ca="1">IF(AND($B$1012=1,LEN($O$1708)&gt;0),$O$1708,HLOOKUP(INDIRECT(ADDRESS(2,COLUMN())),OFFSET($T$2,0,0,ROW()-1,14),ROW()-1,FALSE))</x:f>
        <x:v>0</x:v>
      </x:c>
      <x:c r="P719">
        <x:f ca="1">IF(AND($B$1012=1,LEN($P$1708)&gt;0),$P$1708,HLOOKUP(INDIRECT(ADDRESS(2,COLUMN())),OFFSET($T$2,0,0,ROW()-1,14),ROW()-1,FALSE))</x:f>
        <x:v>0</x:v>
      </x:c>
      <x:c r="Q719">
        <x:f ca="1">IF(AND($B$1012=1,LEN($Q$1708)&gt;0),$Q$1708,HLOOKUP(INDIRECT(ADDRESS(2,COLUMN())),OFFSET($T$2,0,0,ROW()-1,14),ROW()-1,FALSE))</x:f>
        <x:v>0</x:v>
      </x:c>
      <x:c r="R719">
        <x:f ca="1">IF(AND($B$1012=1,LEN($R$1708)&gt;0),$R$1708,HLOOKUP(INDIRECT(ADDRESS(2,COLUMN())),OFFSET($T$2,0,0,ROW()-1,14),ROW()-1,FALSE))</x:f>
        <x:v>0</x:v>
      </x:c>
      <x:c r="S719">
        <x:f ca="1">IF(AND($B$1012=1,LEN($S$1708)&gt;0),$S$1708,HLOOKUP(INDIRECT(ADDRESS(2,COLUMN())),OFFSET($T$2,0,0,ROW()-1,14),ROW()-1,FALSE))</x:f>
        <x:v>0</x:v>
      </x:c>
      <x:c r="T719">
        <x:f>0</x:f>
        <x:v>0</x:v>
      </x:c>
      <x:c r="U719">
        <x:f>0</x:f>
        <x:v>0</x:v>
      </x:c>
      <x:c r="V719">
        <x:f>0</x:f>
        <x:v>0</x:v>
      </x:c>
      <x:c r="W719">
        <x:f>-2.394762</x:f>
        <x:v>-2.3947620000000001</x:v>
      </x:c>
      <x:c r="X719">
        <x:f>12.165514</x:f>
        <x:v>12.165514</x:v>
      </x:c>
      <x:c r="Y719">
        <x:f>0</x:f>
        <x:v>0</x:v>
      </x:c>
      <x:c r="Z719">
        <x:f>2.305493</x:f>
        <x:v>2.3054929999999998</x:v>
      </x:c>
      <x:c r="AA719">
        <x:f>0</x:f>
        <x:v>0</x:v>
      </x:c>
      <x:c r="AB719">
        <x:f>0</x:f>
        <x:v>0</x:v>
      </x:c>
      <x:c r="AC719">
        <x:f>0</x:f>
        <x:v>0</x:v>
      </x:c>
      <x:c r="AD719">
        <x:f>0</x:f>
        <x:v>0</x:v>
      </x:c>
      <x:c r="AE719">
        <x:f>0</x:f>
        <x:v>0</x:v>
      </x:c>
      <x:c r="AF719">
        <x:f>0</x:f>
        <x:v>0</x:v>
      </x:c>
      <x:c r="AG719">
        <x:f>0</x:f>
        <x:v>0</x:v>
      </x:c>
    </x:row>
    <x:row r="720" spans="1:33" x14ac:dyDescent="0.25">
      <x:c r="A720" t="str">
        <x:f>"            Listed Funds Trust TrueMark Te"</x:f>
        <x:v xml:space="preserve">            Listed Funds Trust TrueMark Te</x:v>
      </x:c>
      <x:c r="B720" t="str">
        <x:f>"LRNZ US Equity"</x:f>
        <x:v>LRNZ US Equity</x:v>
      </x:c>
      <x:c r="E720" t="str">
        <x:f t="shared" si="26"/>
        <x:v>Expression</x:v>
      </x:c>
      <x:c r="F720">
        <x:f ca="1">IF(AND($B$1012=1,LEN($F$1709)&gt;0),$F$1709,HLOOKUP(INDIRECT(ADDRESS(2,COLUMN())),OFFSET($T$2,0,0,ROW()-1,14),ROW()-1,FALSE))</x:f>
        <x:v>0</x:v>
      </x:c>
      <x:c r="G720">
        <x:f ca="1">IF(AND($B$1012=1,LEN($G$1709)&gt;0),$G$1709,HLOOKUP(INDIRECT(ADDRESS(2,COLUMN())),OFFSET($T$2,0,0,ROW()-1,14),ROW()-1,FALSE))</x:f>
        <x:v>-2.5129090000000001</x:v>
      </x:c>
      <x:c r="H720">
        <x:f ca="1">IF(AND($B$1012=1,LEN($H$1709)&gt;0),$H$1709,HLOOKUP(INDIRECT(ADDRESS(2,COLUMN())),OFFSET($T$2,0,0,ROW()-1,14),ROW()-1,FALSE))</x:f>
        <x:v>-0.61155000000000004</x:v>
      </x:c>
      <x:c r="I720">
        <x:f ca="1">IF(AND($B$1012=1,LEN($I$1709)&gt;0),$I$1709,HLOOKUP(INDIRECT(ADDRESS(2,COLUMN())),OFFSET($T$2,0,0,ROW()-1,14),ROW()-1,FALSE))</x:f>
        <x:v>-1.7901149999999999</x:v>
      </x:c>
      <x:c r="J720">
        <x:f ca="1">IF(AND($B$1012=1,LEN($J$1709)&gt;0),$J$1709,HLOOKUP(INDIRECT(ADDRESS(2,COLUMN())),OFFSET($T$2,0,0,ROW()-1,14),ROW()-1,FALSE))</x:f>
        <x:v>0.29331099999999999</x:v>
      </x:c>
      <x:c r="K720">
        <x:f ca="1">IF(AND($B$1012=1,LEN($K$1709)&gt;0),$K$1709,HLOOKUP(INDIRECT(ADDRESS(2,COLUMN())),OFFSET($T$2,0,0,ROW()-1,14),ROW()-1,FALSE))</x:f>
        <x:v>11.418732</x:v>
      </x:c>
      <x:c r="L720">
        <x:f ca="1">IF(AND($B$1012=1,LEN($L$1709)&gt;0),$L$1709,HLOOKUP(INDIRECT(ADDRESS(2,COLUMN())),OFFSET($T$2,0,0,ROW()-1,14),ROW()-1,FALSE))</x:f>
        <x:v>3.319966</x:v>
      </x:c>
      <x:c r="M720">
        <x:f ca="1">IF(AND($B$1012=1,LEN($M$1709)&gt;0),$M$1709,HLOOKUP(INDIRECT(ADDRESS(2,COLUMN())),OFFSET($T$2,0,0,ROW()-1,14),ROW()-1,FALSE))</x:f>
        <x:v>0</x:v>
      </x:c>
      <x:c r="N720">
        <x:f ca="1">IF(AND($B$1012=1,LEN($N$1709)&gt;0),$N$1709,HLOOKUP(INDIRECT(ADDRESS(2,COLUMN())),OFFSET($T$2,0,0,ROW()-1,14),ROW()-1,FALSE))</x:f>
        <x:v>0</x:v>
      </x:c>
      <x:c r="O720">
        <x:f ca="1">IF(AND($B$1012=1,LEN($O$1709)&gt;0),$O$1709,HLOOKUP(INDIRECT(ADDRESS(2,COLUMN())),OFFSET($T$2,0,0,ROW()-1,14),ROW()-1,FALSE))</x:f>
        <x:v>0</x:v>
      </x:c>
      <x:c r="P720">
        <x:f ca="1">IF(AND($B$1012=1,LEN($P$1709)&gt;0),$P$1709,HLOOKUP(INDIRECT(ADDRESS(2,COLUMN())),OFFSET($T$2,0,0,ROW()-1,14),ROW()-1,FALSE))</x:f>
        <x:v>-0.62228499999999998</x:v>
      </x:c>
      <x:c r="Q720">
        <x:f ca="1">IF(AND($B$1012=1,LEN($Q$1709)&gt;0),$Q$1709,HLOOKUP(INDIRECT(ADDRESS(2,COLUMN())),OFFSET($T$2,0,0,ROW()-1,14),ROW()-1,FALSE))</x:f>
        <x:v>-1.20618</x:v>
      </x:c>
      <x:c r="R720">
        <x:f ca="1">IF(AND($B$1012=1,LEN($R$1709)&gt;0),$R$1709,HLOOKUP(INDIRECT(ADDRESS(2,COLUMN())),OFFSET($T$2,0,0,ROW()-1,14),ROW()-1,FALSE))</x:f>
        <x:v>0</x:v>
      </x:c>
      <x:c r="S720">
        <x:f ca="1">IF(AND($B$1012=1,LEN($S$1709)&gt;0),$S$1709,HLOOKUP(INDIRECT(ADDRESS(2,COLUMN())),OFFSET($T$2,0,0,ROW()-1,14),ROW()-1,FALSE))</x:f>
        <x:v>0</x:v>
      </x:c>
      <x:c r="T720">
        <x:f>0</x:f>
        <x:v>0</x:v>
      </x:c>
      <x:c r="U720">
        <x:f>-2.512909</x:f>
        <x:v>-2.5129090000000001</x:v>
      </x:c>
      <x:c r="V720">
        <x:f>-0.61155</x:f>
        <x:v>-0.61155000000000004</x:v>
      </x:c>
      <x:c r="W720">
        <x:f>-1.790115</x:f>
        <x:v>-1.7901149999999999</x:v>
      </x:c>
      <x:c r="X720">
        <x:f>0.293311</x:f>
        <x:v>0.29331099999999999</x:v>
      </x:c>
      <x:c r="Y720">
        <x:f>11.418732</x:f>
        <x:v>11.418732</x:v>
      </x:c>
      <x:c r="Z720">
        <x:f>3.319966</x:f>
        <x:v>3.319966</x:v>
      </x:c>
      <x:c r="AA720">
        <x:f>0</x:f>
        <x:v>0</x:v>
      </x:c>
      <x:c r="AB720">
        <x:f>0</x:f>
        <x:v>0</x:v>
      </x:c>
      <x:c r="AC720">
        <x:f>0</x:f>
        <x:v>0</x:v>
      </x:c>
      <x:c r="AD720">
        <x:f>-0.622285</x:f>
        <x:v>-0.62228499999999998</x:v>
      </x:c>
      <x:c r="AE720">
        <x:f>-1.20618</x:f>
        <x:v>-1.20618</x:v>
      </x:c>
      <x:c r="AF720">
        <x:f>0</x:f>
        <x:v>0</x:v>
      </x:c>
      <x:c r="AG720">
        <x:f>0</x:f>
        <x:v>0</x:v>
      </x:c>
    </x:row>
    <x:row r="721" spans="1:33" x14ac:dyDescent="0.25">
      <x:c r="A721" t="str">
        <x:f>"            Robo Global Artificial Intelli"</x:f>
        <x:v xml:space="preserve">            Robo Global Artificial Intelli</x:v>
      </x:c>
      <x:c r="B721" t="str">
        <x:f>"THNQ US Equity"</x:f>
        <x:v>THNQ US Equity</x:v>
      </x:c>
      <x:c r="E721" t="str">
        <x:f t="shared" si="26"/>
        <x:v>Expression</x:v>
      </x:c>
      <x:c r="F721">
        <x:f ca="1">IF(AND($B$1012=1,LEN($F$1710)&gt;0),$F$1710,HLOOKUP(INDIRECT(ADDRESS(2,COLUMN())),OFFSET($T$2,0,0,ROW()-1,14),ROW()-1,FALSE))</x:f>
        <x:v>20.167815000000001</x:v>
      </x:c>
      <x:c r="G721">
        <x:f ca="1">IF(AND($B$1012=1,LEN($G$1710)&gt;0),$G$1710,HLOOKUP(INDIRECT(ADDRESS(2,COLUMN())),OFFSET($T$2,0,0,ROW()-1,14),ROW()-1,FALSE))</x:f>
        <x:v>-0.82757899999999995</x:v>
      </x:c>
      <x:c r="H721">
        <x:f ca="1">IF(AND($B$1012=1,LEN($H$1710)&gt;0),$H$1710,HLOOKUP(INDIRECT(ADDRESS(2,COLUMN())),OFFSET($T$2,0,0,ROW()-1,14),ROW()-1,FALSE))</x:f>
        <x:v>21.583672</x:v>
      </x:c>
      <x:c r="I721">
        <x:f ca="1">IF(AND($B$1012=1,LEN($I$1710)&gt;0),$I$1710,HLOOKUP(INDIRECT(ADDRESS(2,COLUMN())),OFFSET($T$2,0,0,ROW()-1,14),ROW()-1,FALSE))</x:f>
        <x:v>4.6813560000000001</x:v>
      </x:c>
      <x:c r="J721">
        <x:f ca="1">IF(AND($B$1012=1,LEN($J$1710)&gt;0),$J$1710,HLOOKUP(INDIRECT(ADDRESS(2,COLUMN())),OFFSET($T$2,0,0,ROW()-1,14),ROW()-1,FALSE))</x:f>
        <x:v>7.3208320000000002</x:v>
      </x:c>
      <x:c r="K721">
        <x:f ca="1">IF(AND($B$1012=1,LEN($K$1710)&gt;0),$K$1710,HLOOKUP(INDIRECT(ADDRESS(2,COLUMN())),OFFSET($T$2,0,0,ROW()-1,14),ROW()-1,FALSE))</x:f>
        <x:v>14.865178999999999</x:v>
      </x:c>
      <x:c r="L721">
        <x:f ca="1">IF(AND($B$1012=1,LEN($L$1710)&gt;0),$L$1710,HLOOKUP(INDIRECT(ADDRESS(2,COLUMN())),OFFSET($T$2,0,0,ROW()-1,14),ROW()-1,FALSE))</x:f>
        <x:v>3.3321879999999999</x:v>
      </x:c>
      <x:c r="M721">
        <x:f ca="1">IF(AND($B$1012=1,LEN($M$1710)&gt;0),$M$1710,HLOOKUP(INDIRECT(ADDRESS(2,COLUMN())),OFFSET($T$2,0,0,ROW()-1,14),ROW()-1,FALSE))</x:f>
        <x:v>0.78093100000000004</x:v>
      </x:c>
      <x:c r="N721">
        <x:f ca="1">IF(AND($B$1012=1,LEN($N$1710)&gt;0),$N$1710,HLOOKUP(INDIRECT(ADDRESS(2,COLUMN())),OFFSET($T$2,0,0,ROW()-1,14),ROW()-1,FALSE))</x:f>
        <x:v>0</x:v>
      </x:c>
      <x:c r="O721">
        <x:f ca="1">IF(AND($B$1012=1,LEN($O$1710)&gt;0),$O$1710,HLOOKUP(INDIRECT(ADDRESS(2,COLUMN())),OFFSET($T$2,0,0,ROW()-1,14),ROW()-1,FALSE))</x:f>
        <x:v>-0.79920899999999995</x:v>
      </x:c>
      <x:c r="P721">
        <x:f ca="1">IF(AND($B$1012=1,LEN($P$1710)&gt;0),$P$1710,HLOOKUP(INDIRECT(ADDRESS(2,COLUMN())),OFFSET($T$2,0,0,ROW()-1,14),ROW()-1,FALSE))</x:f>
        <x:v>-0.66096100000000002</x:v>
      </x:c>
      <x:c r="Q721">
        <x:f ca="1">IF(AND($B$1012=1,LEN($Q$1710)&gt;0),$Q$1710,HLOOKUP(INDIRECT(ADDRESS(2,COLUMN())),OFFSET($T$2,0,0,ROW()-1,14),ROW()-1,FALSE))</x:f>
        <x:v>0</x:v>
      </x:c>
      <x:c r="R721">
        <x:f ca="1">IF(AND($B$1012=1,LEN($R$1710)&gt;0),$R$1710,HLOOKUP(INDIRECT(ADDRESS(2,COLUMN())),OFFSET($T$2,0,0,ROW()-1,14),ROW()-1,FALSE))</x:f>
        <x:v>0</x:v>
      </x:c>
      <x:c r="S721">
        <x:f ca="1">IF(AND($B$1012=1,LEN($S$1710)&gt;0),$S$1710,HLOOKUP(INDIRECT(ADDRESS(2,COLUMN())),OFFSET($T$2,0,0,ROW()-1,14),ROW()-1,FALSE))</x:f>
        <x:v>0</x:v>
      </x:c>
      <x:c r="T721">
        <x:f>20.167815</x:f>
        <x:v>20.167815000000001</x:v>
      </x:c>
      <x:c r="U721">
        <x:f>-0.827579</x:f>
        <x:v>-0.82757899999999995</x:v>
      </x:c>
      <x:c r="V721">
        <x:f>21.583672</x:f>
        <x:v>21.583672</x:v>
      </x:c>
      <x:c r="W721">
        <x:f>4.681356</x:f>
        <x:v>4.6813560000000001</x:v>
      </x:c>
      <x:c r="X721">
        <x:f>7.320832</x:f>
        <x:v>7.3208320000000002</x:v>
      </x:c>
      <x:c r="Y721">
        <x:f>14.865179</x:f>
        <x:v>14.865178999999999</x:v>
      </x:c>
      <x:c r="Z721">
        <x:f>3.332188</x:f>
        <x:v>3.3321879999999999</x:v>
      </x:c>
      <x:c r="AA721">
        <x:f>0.780931</x:f>
        <x:v>0.78093100000000004</x:v>
      </x:c>
      <x:c r="AB721">
        <x:f>0</x:f>
        <x:v>0</x:v>
      </x:c>
      <x:c r="AC721">
        <x:f>-0.799209</x:f>
        <x:v>-0.79920899999999995</x:v>
      </x:c>
      <x:c r="AD721">
        <x:f>-0.660961</x:f>
        <x:v>-0.66096100000000002</x:v>
      </x:c>
      <x:c r="AE721">
        <x:f>0</x:f>
        <x:v>0</x:v>
      </x:c>
      <x:c r="AF721">
        <x:f>0</x:f>
        <x:v>0</x:v>
      </x:c>
      <x:c r="AG721">
        <x:f>0</x:f>
        <x:v>0</x:v>
      </x:c>
    </x:row>
    <x:row r="722" spans="1:33" x14ac:dyDescent="0.25">
      <x:c r="A722" t="str">
        <x:f>"            Defiance Next Gen Big Data ETF"</x:f>
        <x:v xml:space="preserve">            Defiance Next Gen Big Data ETF</x:v>
      </x:c>
      <x:c r="B722" t="str">
        <x:f>"BIGY US Equity"</x:f>
        <x:v>BIGY US Equity</x:v>
      </x:c>
      <x:c r="E722" t="str">
        <x:f t="shared" si="26"/>
        <x:v>Expression</x:v>
      </x:c>
      <x:c r="F722" t="str">
        <x:f ca="1">IF(AND($B$1012=1,LEN($F$1711)&gt;0),$F$1711,HLOOKUP(INDIRECT(ADDRESS(2,COLUMN())),OFFSET($T$2,0,0,ROW()-1,14),ROW()-1,FALSE))</x:f>
        <x:v/>
      </x:c>
      <x:c r="G722" t="str">
        <x:f ca="1">IF(AND($B$1012=1,LEN($G$1711)&gt;0),$G$1711,HLOOKUP(INDIRECT(ADDRESS(2,COLUMN())),OFFSET($T$2,0,0,ROW()-1,14),ROW()-1,FALSE))</x:f>
        <x:v/>
      </x:c>
      <x:c r="H722" t="str">
        <x:f ca="1">IF(AND($B$1012=1,LEN($H$1711)&gt;0),$H$1711,HLOOKUP(INDIRECT(ADDRESS(2,COLUMN())),OFFSET($T$2,0,0,ROW()-1,14),ROW()-1,FALSE))</x:f>
        <x:v/>
      </x:c>
      <x:c r="I722" t="str">
        <x:f ca="1">IF(AND($B$1012=1,LEN($I$1711)&gt;0),$I$1711,HLOOKUP(INDIRECT(ADDRESS(2,COLUMN())),OFFSET($T$2,0,0,ROW()-1,14),ROW()-1,FALSE))</x:f>
        <x:v/>
      </x:c>
      <x:c r="J722" t="str">
        <x:f ca="1">IF(AND($B$1012=1,LEN($J$1711)&gt;0),$J$1711,HLOOKUP(INDIRECT(ADDRESS(2,COLUMN())),OFFSET($T$2,0,0,ROW()-1,14),ROW()-1,FALSE))</x:f>
        <x:v/>
      </x:c>
      <x:c r="K722" t="str">
        <x:f ca="1">IF(AND($B$1012=1,LEN($K$1711)&gt;0),$K$1711,HLOOKUP(INDIRECT(ADDRESS(2,COLUMN())),OFFSET($T$2,0,0,ROW()-1,14),ROW()-1,FALSE))</x:f>
        <x:v/>
      </x:c>
      <x:c r="L722" t="str">
        <x:f ca="1">IF(AND($B$1012=1,LEN($L$1711)&gt;0),$L$1711,HLOOKUP(INDIRECT(ADDRESS(2,COLUMN())),OFFSET($T$2,0,0,ROW()-1,14),ROW()-1,FALSE))</x:f>
        <x:v/>
      </x:c>
      <x:c r="M722" t="str">
        <x:f ca="1">IF(AND($B$1012=1,LEN($M$1711)&gt;0),$M$1711,HLOOKUP(INDIRECT(ADDRESS(2,COLUMN())),OFFSET($T$2,0,0,ROW()-1,14),ROW()-1,FALSE))</x:f>
        <x:v/>
      </x:c>
      <x:c r="N722" t="str">
        <x:f ca="1">IF(AND($B$1012=1,LEN($N$1711)&gt;0),$N$1711,HLOOKUP(INDIRECT(ADDRESS(2,COLUMN())),OFFSET($T$2,0,0,ROW()-1,14),ROW()-1,FALSE))</x:f>
        <x:v/>
      </x:c>
      <x:c r="O722" t="str">
        <x:f ca="1">IF(AND($B$1012=1,LEN($O$1711)&gt;0),$O$1711,HLOOKUP(INDIRECT(ADDRESS(2,COLUMN())),OFFSET($T$2,0,0,ROW()-1,14),ROW()-1,FALSE))</x:f>
        <x:v/>
      </x:c>
      <x:c r="P722" t="str">
        <x:f ca="1">IF(AND($B$1012=1,LEN($P$1711)&gt;0),$P$1711,HLOOKUP(INDIRECT(ADDRESS(2,COLUMN())),OFFSET($T$2,0,0,ROW()-1,14),ROW()-1,FALSE))</x:f>
        <x:v/>
      </x:c>
      <x:c r="Q722" t="str">
        <x:f ca="1">IF(AND($B$1012=1,LEN($Q$1711)&gt;0),$Q$1711,HLOOKUP(INDIRECT(ADDRESS(2,COLUMN())),OFFSET($T$2,0,0,ROW()-1,14),ROW()-1,FALSE))</x:f>
        <x:v/>
      </x:c>
      <x:c r="R722" t="str">
        <x:f ca="1">IF(AND($B$1012=1,LEN($R$1711)&gt;0),$R$1711,HLOOKUP(INDIRECT(ADDRESS(2,COLUMN())),OFFSET($T$2,0,0,ROW()-1,14),ROW()-1,FALSE))</x:f>
        <x:v/>
      </x:c>
      <x:c r="S722" t="str">
        <x:f ca="1">IF(AND($B$1012=1,LEN($S$1711)&gt;0),$S$1711,HLOOKUP(INDIRECT(ADDRESS(2,COLUMN())),OFFSET($T$2,0,0,ROW()-1,14),ROW()-1,FALSE))</x:f>
        <x:v/>
      </x:c>
      <x:c r="T722" t="str">
        <x:f>""</x:f>
        <x:v/>
      </x:c>
      <x:c r="U722" t="str">
        <x:f>""</x:f>
        <x:v/>
      </x:c>
      <x:c r="V722" t="str">
        <x:f>""</x:f>
        <x:v/>
      </x:c>
      <x:c r="W722" t="str">
        <x:f>""</x:f>
        <x:v/>
      </x:c>
      <x:c r="X722" t="str">
        <x:f>""</x:f>
        <x:v/>
      </x:c>
      <x:c r="Y722" t="str">
        <x:f>""</x:f>
        <x:v/>
      </x:c>
      <x:c r="Z722" t="str">
        <x:f>""</x:f>
        <x:v/>
      </x:c>
      <x:c r="AA722" t="str">
        <x:f>""</x:f>
        <x:v/>
      </x:c>
      <x:c r="AB722" t="str">
        <x:f>""</x:f>
        <x:v/>
      </x:c>
      <x:c r="AC722" t="str">
        <x:f>""</x:f>
        <x:v/>
      </x:c>
      <x:c r="AD722" t="str">
        <x:f>""</x:f>
        <x:v/>
      </x:c>
      <x:c r="AE722" t="str">
        <x:f>""</x:f>
        <x:v/>
      </x:c>
      <x:c r="AF722" t="str">
        <x:f>""</x:f>
        <x:v/>
      </x:c>
      <x:c r="AG722" t="str">
        <x:f>""</x:f>
        <x:v/>
      </x:c>
    </x:row>
    <x:row r="723" spans="1:33" x14ac:dyDescent="0.25">
      <x:c r="A723" t="str">
        <x:f>"            Wisdomtree Artificial Intellig"</x:f>
        <x:v xml:space="preserve">            Wisdomtree Artificial Intellig</x:v>
      </x:c>
      <x:c r="B723" t="str">
        <x:f>"WTAI US Equity"</x:f>
        <x:v>WTAI US Equity</x:v>
      </x:c>
      <x:c r="E723" t="str">
        <x:f t="shared" si="26"/>
        <x:v>Expression</x:v>
      </x:c>
      <x:c r="F723">
        <x:f ca="1">IF(AND($B$1012=1,LEN($F$1712)&gt;0),$F$1712,HLOOKUP(INDIRECT(ADDRESS(2,COLUMN())),OFFSET($T$2,0,0,ROW()-1,14),ROW()-1,FALSE))</x:f>
        <x:v>7.8889120000000004</x:v>
      </x:c>
      <x:c r="G723">
        <x:f ca="1">IF(AND($B$1012=1,LEN($G$1712)&gt;0),$G$1712,HLOOKUP(INDIRECT(ADDRESS(2,COLUMN())),OFFSET($T$2,0,0,ROW()-1,14),ROW()-1,FALSE))</x:f>
        <x:v>-1.200671</x:v>
      </x:c>
      <x:c r="H723">
        <x:f ca="1">IF(AND($B$1012=1,LEN($H$1712)&gt;0),$H$1712,HLOOKUP(INDIRECT(ADDRESS(2,COLUMN())),OFFSET($T$2,0,0,ROW()-1,14),ROW()-1,FALSE))</x:f>
        <x:v>0</x:v>
      </x:c>
      <x:c r="I723">
        <x:f ca="1">IF(AND($B$1012=1,LEN($I$1712)&gt;0),$I$1712,HLOOKUP(INDIRECT(ADDRESS(2,COLUMN())),OFFSET($T$2,0,0,ROW()-1,14),ROW()-1,FALSE))</x:f>
        <x:v>7.0594520000000003</x:v>
      </x:c>
      <x:c r="J723">
        <x:f ca="1">IF(AND($B$1012=1,LEN($J$1712)&gt;0),$J$1712,HLOOKUP(INDIRECT(ADDRESS(2,COLUMN())),OFFSET($T$2,0,0,ROW()-1,14),ROW()-1,FALSE))</x:f>
        <x:v>30.553712999999998</x:v>
      </x:c>
      <x:c r="K723">
        <x:f ca="1">IF(AND($B$1012=1,LEN($K$1712)&gt;0),$K$1712,HLOOKUP(INDIRECT(ADDRESS(2,COLUMN())),OFFSET($T$2,0,0,ROW()-1,14),ROW()-1,FALSE))</x:f>
        <x:v>62.134062999999998</x:v>
      </x:c>
      <x:c r="L723">
        <x:f ca="1">IF(AND($B$1012=1,LEN($L$1712)&gt;0),$L$1712,HLOOKUP(INDIRECT(ADDRESS(2,COLUMN())),OFFSET($T$2,0,0,ROW()-1,14),ROW()-1,FALSE))</x:f>
        <x:v>43.797573</x:v>
      </x:c>
      <x:c r="M723">
        <x:f ca="1">IF(AND($B$1012=1,LEN($M$1712)&gt;0),$M$1712,HLOOKUP(INDIRECT(ADDRESS(2,COLUMN())),OFFSET($T$2,0,0,ROW()-1,14),ROW()-1,FALSE))</x:f>
        <x:v>4.1148420000000003</x:v>
      </x:c>
      <x:c r="N723">
        <x:f ca="1">IF(AND($B$1012=1,LEN($N$1712)&gt;0),$N$1712,HLOOKUP(INDIRECT(ADDRESS(2,COLUMN())),OFFSET($T$2,0,0,ROW()-1,14),ROW()-1,FALSE))</x:f>
        <x:v>0</x:v>
      </x:c>
      <x:c r="O723">
        <x:f ca="1">IF(AND($B$1012=1,LEN($O$1712)&gt;0),$O$1712,HLOOKUP(INDIRECT(ADDRESS(2,COLUMN())),OFFSET($T$2,0,0,ROW()-1,14),ROW()-1,FALSE))</x:f>
        <x:v>7.643872</x:v>
      </x:c>
      <x:c r="P723">
        <x:f ca="1">IF(AND($B$1012=1,LEN($P$1712)&gt;0),$P$1712,HLOOKUP(INDIRECT(ADDRESS(2,COLUMN())),OFFSET($T$2,0,0,ROW()-1,14),ROW()-1,FALSE))</x:f>
        <x:v>0</x:v>
      </x:c>
      <x:c r="Q723">
        <x:f ca="1">IF(AND($B$1012=1,LEN($Q$1712)&gt;0),$Q$1712,HLOOKUP(INDIRECT(ADDRESS(2,COLUMN())),OFFSET($T$2,0,0,ROW()-1,14),ROW()-1,FALSE))</x:f>
        <x:v>0</x:v>
      </x:c>
      <x:c r="R723">
        <x:f ca="1">IF(AND($B$1012=1,LEN($R$1712)&gt;0),$R$1712,HLOOKUP(INDIRECT(ADDRESS(2,COLUMN())),OFFSET($T$2,0,0,ROW()-1,14),ROW()-1,FALSE))</x:f>
        <x:v>0</x:v>
      </x:c>
      <x:c r="S723">
        <x:f ca="1">IF(AND($B$1012=1,LEN($S$1712)&gt;0),$S$1712,HLOOKUP(INDIRECT(ADDRESS(2,COLUMN())),OFFSET($T$2,0,0,ROW()-1,14),ROW()-1,FALSE))</x:f>
        <x:v>0</x:v>
      </x:c>
      <x:c r="T723">
        <x:f>7.888912</x:f>
        <x:v>7.8889120000000004</x:v>
      </x:c>
      <x:c r="U723">
        <x:f>-1.200671</x:f>
        <x:v>-1.200671</x:v>
      </x:c>
      <x:c r="V723">
        <x:f>0</x:f>
        <x:v>0</x:v>
      </x:c>
      <x:c r="W723">
        <x:f>7.059452</x:f>
        <x:v>7.0594520000000003</x:v>
      </x:c>
      <x:c r="X723">
        <x:f>30.553713</x:f>
        <x:v>30.553712999999998</x:v>
      </x:c>
      <x:c r="Y723">
        <x:f>62.134063</x:f>
        <x:v>62.134062999999998</x:v>
      </x:c>
      <x:c r="Z723">
        <x:f>43.797573</x:f>
        <x:v>43.797573</x:v>
      </x:c>
      <x:c r="AA723">
        <x:f>4.114842</x:f>
        <x:v>4.1148420000000003</x:v>
      </x:c>
      <x:c r="AB723">
        <x:f>0</x:f>
        <x:v>0</x:v>
      </x:c>
      <x:c r="AC723">
        <x:f>7.643872</x:f>
        <x:v>7.643872</x:v>
      </x:c>
      <x:c r="AD723">
        <x:f>0</x:f>
        <x:v>0</x:v>
      </x:c>
      <x:c r="AE723">
        <x:f>0</x:f>
        <x:v>0</x:v>
      </x:c>
      <x:c r="AF723">
        <x:f>0</x:f>
        <x:v>0</x:v>
      </x:c>
      <x:c r="AG723">
        <x:f>0</x:f>
        <x:v>0</x:v>
      </x:c>
    </x:row>
    <x:row r="724" spans="1:33" x14ac:dyDescent="0.25">
      <x:c r="A724" t="str">
        <x:f>"            Gabelli Automation ETF"</x:f>
        <x:v xml:space="preserve">            Gabelli Automation ETF</x:v>
      </x:c>
      <x:c r="B724" t="str">
        <x:f>"GAST US Equity"</x:f>
        <x:v>GAST US Equity</x:v>
      </x:c>
      <x:c r="E724" t="str">
        <x:f t="shared" si="26"/>
        <x:v>Expression</x:v>
      </x:c>
      <x:c r="F724">
        <x:f ca="1">IF(AND($B$1012=1,LEN($F$1713)&gt;0),$F$1713,HLOOKUP(INDIRECT(ADDRESS(2,COLUMN())),OFFSET($T$2,0,0,ROW()-1,14),ROW()-1,FALSE))</x:f>
        <x:v>0</x:v>
      </x:c>
      <x:c r="G724">
        <x:f ca="1">IF(AND($B$1012=1,LEN($G$1713)&gt;0),$G$1713,HLOOKUP(INDIRECT(ADDRESS(2,COLUMN())),OFFSET($T$2,0,0,ROW()-1,14),ROW()-1,FALSE))</x:f>
        <x:v>-0.453399</x:v>
      </x:c>
      <x:c r="H724">
        <x:f ca="1">IF(AND($B$1012=1,LEN($H$1713)&gt;0),$H$1713,HLOOKUP(INDIRECT(ADDRESS(2,COLUMN())),OFFSET($T$2,0,0,ROW()-1,14),ROW()-1,FALSE))</x:f>
        <x:v>0</x:v>
      </x:c>
      <x:c r="I724">
        <x:f ca="1">IF(AND($B$1012=1,LEN($I$1713)&gt;0),$I$1713,HLOOKUP(INDIRECT(ADDRESS(2,COLUMN())),OFFSET($T$2,0,0,ROW()-1,14),ROW()-1,FALSE))</x:f>
        <x:v>0</x:v>
      </x:c>
      <x:c r="J724">
        <x:f ca="1">IF(AND($B$1012=1,LEN($J$1713)&gt;0),$J$1713,HLOOKUP(INDIRECT(ADDRESS(2,COLUMN())),OFFSET($T$2,0,0,ROW()-1,14),ROW()-1,FALSE))</x:f>
        <x:v>0</x:v>
      </x:c>
      <x:c r="K724">
        <x:f ca="1">IF(AND($B$1012=1,LEN($K$1713)&gt;0),$K$1713,HLOOKUP(INDIRECT(ADDRESS(2,COLUMN())),OFFSET($T$2,0,0,ROW()-1,14),ROW()-1,FALSE))</x:f>
        <x:v>0</x:v>
      </x:c>
      <x:c r="L724">
        <x:f ca="1">IF(AND($B$1012=1,LEN($L$1713)&gt;0),$L$1713,HLOOKUP(INDIRECT(ADDRESS(2,COLUMN())),OFFSET($T$2,0,0,ROW()-1,14),ROW()-1,FALSE))</x:f>
        <x:v>0</x:v>
      </x:c>
      <x:c r="M724">
        <x:f ca="1">IF(AND($B$1012=1,LEN($M$1713)&gt;0),$M$1713,HLOOKUP(INDIRECT(ADDRESS(2,COLUMN())),OFFSET($T$2,0,0,ROW()-1,14),ROW()-1,FALSE))</x:f>
        <x:v>0</x:v>
      </x:c>
      <x:c r="N724">
        <x:f ca="1">IF(AND($B$1012=1,LEN($N$1713)&gt;0),$N$1713,HLOOKUP(INDIRECT(ADDRESS(2,COLUMN())),OFFSET($T$2,0,0,ROW()-1,14),ROW()-1,FALSE))</x:f>
        <x:v>0</x:v>
      </x:c>
      <x:c r="O724">
        <x:f ca="1">IF(AND($B$1012=1,LEN($O$1713)&gt;0),$O$1713,HLOOKUP(INDIRECT(ADDRESS(2,COLUMN())),OFFSET($T$2,0,0,ROW()-1,14),ROW()-1,FALSE))</x:f>
        <x:v>0</x:v>
      </x:c>
      <x:c r="P724">
        <x:f ca="1">IF(AND($B$1012=1,LEN($P$1713)&gt;0),$P$1713,HLOOKUP(INDIRECT(ADDRESS(2,COLUMN())),OFFSET($T$2,0,0,ROW()-1,14),ROW()-1,FALSE))</x:f>
        <x:v>0</x:v>
      </x:c>
      <x:c r="Q724">
        <x:f ca="1">IF(AND($B$1012=1,LEN($Q$1713)&gt;0),$Q$1713,HLOOKUP(INDIRECT(ADDRESS(2,COLUMN())),OFFSET($T$2,0,0,ROW()-1,14),ROW()-1,FALSE))</x:f>
        <x:v>0</x:v>
      </x:c>
      <x:c r="R724">
        <x:f ca="1">IF(AND($B$1012=1,LEN($R$1713)&gt;0),$R$1713,HLOOKUP(INDIRECT(ADDRESS(2,COLUMN())),OFFSET($T$2,0,0,ROW()-1,14),ROW()-1,FALSE))</x:f>
        <x:v>0</x:v>
      </x:c>
      <x:c r="S724">
        <x:f ca="1">IF(AND($B$1012=1,LEN($S$1713)&gt;0),$S$1713,HLOOKUP(INDIRECT(ADDRESS(2,COLUMN())),OFFSET($T$2,0,0,ROW()-1,14),ROW()-1,FALSE))</x:f>
        <x:v>0</x:v>
      </x:c>
      <x:c r="T724">
        <x:f>0</x:f>
        <x:v>0</x:v>
      </x:c>
      <x:c r="U724">
        <x:f>-0.453399</x:f>
        <x:v>-0.453399</x:v>
      </x:c>
      <x:c r="V724">
        <x:f>0</x:f>
        <x:v>0</x:v>
      </x:c>
      <x:c r="W724">
        <x:f>0</x:f>
        <x:v>0</x:v>
      </x:c>
      <x:c r="X724">
        <x:f>0</x:f>
        <x:v>0</x:v>
      </x:c>
      <x:c r="Y724">
        <x:f>0</x:f>
        <x:v>0</x:v>
      </x:c>
      <x:c r="Z724">
        <x:f>0</x:f>
        <x:v>0</x:v>
      </x:c>
      <x:c r="AA724">
        <x:f>0</x:f>
        <x:v>0</x:v>
      </x:c>
      <x:c r="AB724">
        <x:f>0</x:f>
        <x:v>0</x:v>
      </x:c>
      <x:c r="AC724">
        <x:f>0</x:f>
        <x:v>0</x:v>
      </x:c>
      <x:c r="AD724">
        <x:f>0</x:f>
        <x:v>0</x:v>
      </x:c>
      <x:c r="AE724">
        <x:f>0</x:f>
        <x:v>0</x:v>
      </x:c>
      <x:c r="AF724">
        <x:f>0</x:f>
        <x:v>0</x:v>
      </x:c>
      <x:c r="AG724">
        <x:f>0</x:f>
        <x:v>0</x:v>
      </x:c>
    </x:row>
    <x:row r="725" spans="1:33" x14ac:dyDescent="0.25">
      <x:c r="A725" t="str">
        <x:f>"            iShares Neuroscience And Healt"</x:f>
        <x:v xml:space="preserve">            iShares Neuroscience And Healt</x:v>
      </x:c>
      <x:c r="B725" t="str">
        <x:f>"IBRN US Equity"</x:f>
        <x:v>IBRN US Equity</x:v>
      </x:c>
      <x:c r="E725" t="str">
        <x:f t="shared" si="26"/>
        <x:v>Expression</x:v>
      </x:c>
      <x:c r="F725">
        <x:f ca="1">IF(AND($B$1012=1,LEN($F$1714)&gt;0),$F$1714,HLOOKUP(INDIRECT(ADDRESS(2,COLUMN())),OFFSET($T$2,0,0,ROW()-1,14),ROW()-1,FALSE))</x:f>
        <x:v>0</x:v>
      </x:c>
      <x:c r="G725">
        <x:f ca="1">IF(AND($B$1012=1,LEN($G$1714)&gt;0),$G$1714,HLOOKUP(INDIRECT(ADDRESS(2,COLUMN())),OFFSET($T$2,0,0,ROW()-1,14),ROW()-1,FALSE))</x:f>
        <x:v>0</x:v>
      </x:c>
      <x:c r="H725">
        <x:f ca="1">IF(AND($B$1012=1,LEN($H$1714)&gt;0),$H$1714,HLOOKUP(INDIRECT(ADDRESS(2,COLUMN())),OFFSET($T$2,0,0,ROW()-1,14),ROW()-1,FALSE))</x:f>
        <x:v>0</x:v>
      </x:c>
      <x:c r="I725">
        <x:f ca="1">IF(AND($B$1012=1,LEN($I$1714)&gt;0),$I$1714,HLOOKUP(INDIRECT(ADDRESS(2,COLUMN())),OFFSET($T$2,0,0,ROW()-1,14),ROW()-1,FALSE))</x:f>
        <x:v>0</x:v>
      </x:c>
      <x:c r="J725">
        <x:f ca="1">IF(AND($B$1012=1,LEN($J$1714)&gt;0),$J$1714,HLOOKUP(INDIRECT(ADDRESS(2,COLUMN())),OFFSET($T$2,0,0,ROW()-1,14),ROW()-1,FALSE))</x:f>
        <x:v>0</x:v>
      </x:c>
      <x:c r="K725">
        <x:f ca="1">IF(AND($B$1012=1,LEN($K$1714)&gt;0),$K$1714,HLOOKUP(INDIRECT(ADDRESS(2,COLUMN())),OFFSET($T$2,0,0,ROW()-1,14),ROW()-1,FALSE))</x:f>
        <x:v>0</x:v>
      </x:c>
      <x:c r="L725">
        <x:f ca="1">IF(AND($B$1012=1,LEN($L$1714)&gt;0),$L$1714,HLOOKUP(INDIRECT(ADDRESS(2,COLUMN())),OFFSET($T$2,0,0,ROW()-1,14),ROW()-1,FALSE))</x:f>
        <x:v>0</x:v>
      </x:c>
      <x:c r="M725">
        <x:f ca="1">IF(AND($B$1012=1,LEN($M$1714)&gt;0),$M$1714,HLOOKUP(INDIRECT(ADDRESS(2,COLUMN())),OFFSET($T$2,0,0,ROW()-1,14),ROW()-1,FALSE))</x:f>
        <x:v>0</x:v>
      </x:c>
      <x:c r="N725">
        <x:f ca="1">IF(AND($B$1012=1,LEN($N$1714)&gt;0),$N$1714,HLOOKUP(INDIRECT(ADDRESS(2,COLUMN())),OFFSET($T$2,0,0,ROW()-1,14),ROW()-1,FALSE))</x:f>
        <x:v>0</x:v>
      </x:c>
      <x:c r="O725">
        <x:f ca="1">IF(AND($B$1012=1,LEN($O$1714)&gt;0),$O$1714,HLOOKUP(INDIRECT(ADDRESS(2,COLUMN())),OFFSET($T$2,0,0,ROW()-1,14),ROW()-1,FALSE))</x:f>
        <x:v>0</x:v>
      </x:c>
      <x:c r="P725">
        <x:f ca="1">IF(AND($B$1012=1,LEN($P$1714)&gt;0),$P$1714,HLOOKUP(INDIRECT(ADDRESS(2,COLUMN())),OFFSET($T$2,0,0,ROW()-1,14),ROW()-1,FALSE))</x:f>
        <x:v>0</x:v>
      </x:c>
      <x:c r="Q725">
        <x:f ca="1">IF(AND($B$1012=1,LEN($Q$1714)&gt;0),$Q$1714,HLOOKUP(INDIRECT(ADDRESS(2,COLUMN())),OFFSET($T$2,0,0,ROW()-1,14),ROW()-1,FALSE))</x:f>
        <x:v>0</x:v>
      </x:c>
      <x:c r="R725">
        <x:f ca="1">IF(AND($B$1012=1,LEN($R$1714)&gt;0),$R$1714,HLOOKUP(INDIRECT(ADDRESS(2,COLUMN())),OFFSET($T$2,0,0,ROW()-1,14),ROW()-1,FALSE))</x:f>
        <x:v>0</x:v>
      </x:c>
      <x:c r="S725">
        <x:f ca="1">IF(AND($B$1012=1,LEN($S$1714)&gt;0),$S$1714,HLOOKUP(INDIRECT(ADDRESS(2,COLUMN())),OFFSET($T$2,0,0,ROW()-1,14),ROW()-1,FALSE))</x:f>
        <x:v>0</x:v>
      </x:c>
      <x:c r="T725">
        <x:f>0</x:f>
        <x:v>0</x:v>
      </x:c>
      <x:c r="U725">
        <x:f>0</x:f>
        <x:v>0</x:v>
      </x:c>
      <x:c r="V725">
        <x:f>0</x:f>
        <x:v>0</x:v>
      </x:c>
      <x:c r="W725">
        <x:f>0</x:f>
        <x:v>0</x:v>
      </x:c>
      <x:c r="X725">
        <x:f>0</x:f>
        <x:v>0</x:v>
      </x:c>
      <x:c r="Y725">
        <x:f>0</x:f>
        <x:v>0</x:v>
      </x:c>
      <x:c r="Z725">
        <x:f>0</x:f>
        <x:v>0</x:v>
      </x:c>
      <x:c r="AA725">
        <x:f>0</x:f>
        <x:v>0</x:v>
      </x:c>
      <x:c r="AB725">
        <x:f>0</x:f>
        <x:v>0</x:v>
      </x:c>
      <x:c r="AC725">
        <x:f>0</x:f>
        <x:v>0</x:v>
      </x:c>
      <x:c r="AD725">
        <x:f>0</x:f>
        <x:v>0</x:v>
      </x:c>
      <x:c r="AE725">
        <x:f>0</x:f>
        <x:v>0</x:v>
      </x:c>
      <x:c r="AF725">
        <x:f>0</x:f>
        <x:v>0</x:v>
      </x:c>
      <x:c r="AG725">
        <x:f>0</x:f>
        <x:v>0</x:v>
      </x:c>
    </x:row>
    <x:row r="726" spans="1:33" x14ac:dyDescent="0.25">
      <x:c r="A726" t="str">
        <x:f>"            AdvisorShares Drone Tech ETF"</x:f>
        <x:v xml:space="preserve">            AdvisorShares Drone Tech ETF</x:v>
      </x:c>
      <x:c r="B726" t="str">
        <x:f>"UAV US Equity"</x:f>
        <x:v>UAV US Equity</x:v>
      </x:c>
      <x:c r="E726" t="str">
        <x:f t="shared" si="26"/>
        <x:v>Expression</x:v>
      </x:c>
      <x:c r="F726" t="str">
        <x:f ca="1">IF(AND($B$1012=1,LEN($F$1715)&gt;0),$F$1715,HLOOKUP(INDIRECT(ADDRESS(2,COLUMN())),OFFSET($T$2,0,0,ROW()-1,14),ROW()-1,FALSE))</x:f>
        <x:v/>
      </x:c>
      <x:c r="G726" t="str">
        <x:f ca="1">IF(AND($B$1012=1,LEN($G$1715)&gt;0),$G$1715,HLOOKUP(INDIRECT(ADDRESS(2,COLUMN())),OFFSET($T$2,0,0,ROW()-1,14),ROW()-1,FALSE))</x:f>
        <x:v/>
      </x:c>
      <x:c r="H726" t="str">
        <x:f ca="1">IF(AND($B$1012=1,LEN($H$1715)&gt;0),$H$1715,HLOOKUP(INDIRECT(ADDRESS(2,COLUMN())),OFFSET($T$2,0,0,ROW()-1,14),ROW()-1,FALSE))</x:f>
        <x:v/>
      </x:c>
      <x:c r="I726" t="str">
        <x:f ca="1">IF(AND($B$1012=1,LEN($I$1715)&gt;0),$I$1715,HLOOKUP(INDIRECT(ADDRESS(2,COLUMN())),OFFSET($T$2,0,0,ROW()-1,14),ROW()-1,FALSE))</x:f>
        <x:v/>
      </x:c>
      <x:c r="J726" t="str">
        <x:f ca="1">IF(AND($B$1012=1,LEN($J$1715)&gt;0),$J$1715,HLOOKUP(INDIRECT(ADDRESS(2,COLUMN())),OFFSET($T$2,0,0,ROW()-1,14),ROW()-1,FALSE))</x:f>
        <x:v/>
      </x:c>
      <x:c r="K726">
        <x:f ca="1">IF(AND($B$1012=1,LEN($K$1715)&gt;0),$K$1715,HLOOKUP(INDIRECT(ADDRESS(2,COLUMN())),OFFSET($T$2,0,0,ROW()-1,14),ROW()-1,FALSE))</x:f>
        <x:v>0</x:v>
      </x:c>
      <x:c r="L726">
        <x:f ca="1">IF(AND($B$1012=1,LEN($L$1715)&gt;0),$L$1715,HLOOKUP(INDIRECT(ADDRESS(2,COLUMN())),OFFSET($T$2,0,0,ROW()-1,14),ROW()-1,FALSE))</x:f>
        <x:v>0.10376000000000001</x:v>
      </x:c>
      <x:c r="M726">
        <x:f ca="1">IF(AND($B$1012=1,LEN($M$1715)&gt;0),$M$1715,HLOOKUP(INDIRECT(ADDRESS(2,COLUMN())),OFFSET($T$2,0,0,ROW()-1,14),ROW()-1,FALSE))</x:f>
        <x:v>0</x:v>
      </x:c>
      <x:c r="N726">
        <x:f ca="1">IF(AND($B$1012=1,LEN($N$1715)&gt;0),$N$1715,HLOOKUP(INDIRECT(ADDRESS(2,COLUMN())),OFFSET($T$2,0,0,ROW()-1,14),ROW()-1,FALSE))</x:f>
        <x:v>0</x:v>
      </x:c>
      <x:c r="O726">
        <x:f ca="1">IF(AND($B$1012=1,LEN($O$1715)&gt;0),$O$1715,HLOOKUP(INDIRECT(ADDRESS(2,COLUMN())),OFFSET($T$2,0,0,ROW()-1,14),ROW()-1,FALSE))</x:f>
        <x:v>0</x:v>
      </x:c>
      <x:c r="P726">
        <x:f ca="1">IF(AND($B$1012=1,LEN($P$1715)&gt;0),$P$1715,HLOOKUP(INDIRECT(ADDRESS(2,COLUMN())),OFFSET($T$2,0,0,ROW()-1,14),ROW()-1,FALSE))</x:f>
        <x:v>0.10443</x:v>
      </x:c>
      <x:c r="Q726">
        <x:f ca="1">IF(AND($B$1012=1,LEN($Q$1715)&gt;0),$Q$1715,HLOOKUP(INDIRECT(ADDRESS(2,COLUMN())),OFFSET($T$2,0,0,ROW()-1,14),ROW()-1,FALSE))</x:f>
        <x:v>0</x:v>
      </x:c>
      <x:c r="R726">
        <x:f ca="1">IF(AND($B$1012=1,LEN($R$1715)&gt;0),$R$1715,HLOOKUP(INDIRECT(ADDRESS(2,COLUMN())),OFFSET($T$2,0,0,ROW()-1,14),ROW()-1,FALSE))</x:f>
        <x:v>0</x:v>
      </x:c>
      <x:c r="S726">
        <x:f ca="1">IF(AND($B$1012=1,LEN($S$1715)&gt;0),$S$1715,HLOOKUP(INDIRECT(ADDRESS(2,COLUMN())),OFFSET($T$2,0,0,ROW()-1,14),ROW()-1,FALSE))</x:f>
        <x:v>0</x:v>
      </x:c>
      <x:c r="T726" t="str">
        <x:f>""</x:f>
        <x:v/>
      </x:c>
      <x:c r="U726" t="str">
        <x:f>""</x:f>
        <x:v/>
      </x:c>
      <x:c r="V726" t="str">
        <x:f>""</x:f>
        <x:v/>
      </x:c>
      <x:c r="W726" t="str">
        <x:f>""</x:f>
        <x:v/>
      </x:c>
      <x:c r="X726" t="str">
        <x:f>""</x:f>
        <x:v/>
      </x:c>
      <x:c r="Y726">
        <x:f>0</x:f>
        <x:v>0</x:v>
      </x:c>
      <x:c r="Z726">
        <x:f>0.10376</x:f>
        <x:v>0.10376000000000001</x:v>
      </x:c>
      <x:c r="AA726">
        <x:f>0</x:f>
        <x:v>0</x:v>
      </x:c>
      <x:c r="AB726">
        <x:f>0</x:f>
        <x:v>0</x:v>
      </x:c>
      <x:c r="AC726">
        <x:f>0</x:f>
        <x:v>0</x:v>
      </x:c>
      <x:c r="AD726">
        <x:f>0.10443</x:f>
        <x:v>0.10443</x:v>
      </x:c>
      <x:c r="AE726">
        <x:f>0</x:f>
        <x:v>0</x:v>
      </x:c>
      <x:c r="AF726">
        <x:f>0</x:f>
        <x:v>0</x:v>
      </x:c>
      <x:c r="AG726">
        <x:f>0</x:f>
        <x:v>0</x:v>
      </x:c>
    </x:row>
    <x:row r="727" spans="1:33" x14ac:dyDescent="0.25">
      <x:c r="A727" t="str">
        <x:f>"        Natural Resources"</x:f>
        <x:v xml:space="preserve">        Natural Resources</x:v>
      </x:c>
      <x:c r="B727" t="str">
        <x:f>""</x:f>
        <x:v/>
      </x:c>
      <x:c r="E727" t="str">
        <x:f>"Sum"</x:f>
        <x:v>Sum</x:v>
      </x:c>
      <x:c r="F727">
        <x:f ca="1">IF(ISERROR(IF(SUM($F$728:$F$743) = 0, "", SUM($F$728:$F$743))), "", (IF(SUM($F$728:$F$743) = 0, "", SUM($F$728:$F$743))))</x:f>
        <x:v>-12.178929999999996</x:v>
      </x:c>
      <x:c r="G727">
        <x:f ca="1">IF(ISERROR(IF(SUM($G$728:$G$743) = 0, "", SUM($G$728:$G$743))), "", (IF(SUM($G$728:$G$743) = 0, "", SUM($G$728:$G$743))))</x:f>
        <x:v>90.303288000000009</x:v>
      </x:c>
      <x:c r="H727">
        <x:f ca="1">IF(ISERROR(IF(SUM($H$728:$H$743) = 0, "", SUM($H$728:$H$743))), "", (IF(SUM($H$728:$H$743) = 0, "", SUM($H$728:$H$743))))</x:f>
        <x:v>178.63761199999996</x:v>
      </x:c>
      <x:c r="I727">
        <x:f ca="1">IF(ISERROR(IF(SUM($I$728:$I$743) = 0, "", SUM($I$728:$I$743))), "", (IF(SUM($I$728:$I$743) = 0, "", SUM($I$728:$I$743))))</x:f>
        <x:v>34.312324999999994</x:v>
      </x:c>
      <x:c r="J727">
        <x:f ca="1">IF(ISERROR(IF(SUM($J$728:$J$743) = 0, "", SUM($J$728:$J$743))), "", (IF(SUM($J$728:$J$743) = 0, "", SUM($J$728:$J$743))))</x:f>
        <x:v>43.128723999999998</x:v>
      </x:c>
      <x:c r="K727">
        <x:f ca="1">IF(ISERROR(IF(SUM($K$728:$K$743) = 0, "", SUM($K$728:$K$743))), "", (IF(SUM($K$728:$K$743) = 0, "", SUM($K$728:$K$743))))</x:f>
        <x:v>-98.429243999999997</x:v>
      </x:c>
      <x:c r="L727">
        <x:f ca="1">IF(ISERROR(IF(SUM($L$728:$L$743) = 0, "", SUM($L$728:$L$743))), "", (IF(SUM($L$728:$L$743) = 0, "", SUM($L$728:$L$743))))</x:f>
        <x:v>-364.48338099999989</x:v>
      </x:c>
      <x:c r="M727">
        <x:f ca="1">IF(ISERROR(IF(SUM($M$728:$M$743) = 0, "", SUM($M$728:$M$743))), "", (IF(SUM($M$728:$M$743) = 0, "", SUM($M$728:$M$743))))</x:f>
        <x:v>28.562470999999988</x:v>
      </x:c>
      <x:c r="N727">
        <x:f ca="1">IF(ISERROR(IF(SUM($N$728:$N$743) = 0, "", SUM($N$728:$N$743))), "", (IF(SUM($N$728:$N$743) = 0, "", SUM($N$728:$N$743))))</x:f>
        <x:v>26.837192000000002</x:v>
      </x:c>
      <x:c r="O727">
        <x:f ca="1">IF(ISERROR(IF(SUM($O$728:$O$743) = 0, "", SUM($O$728:$O$743))), "", (IF(SUM($O$728:$O$743) = 0, "", SUM($O$728:$O$743))))</x:f>
        <x:v>35.133683000000005</x:v>
      </x:c>
      <x:c r="P727">
        <x:f ca="1">IF(ISERROR(IF(SUM($P$728:$P$743) = 0, "", SUM($P$728:$P$743))), "", (IF(SUM($P$728:$P$743) = 0, "", SUM($P$728:$P$743))))</x:f>
        <x:v>183.94078900000002</x:v>
      </x:c>
      <x:c r="Q727">
        <x:f ca="1">IF(ISERROR(IF(SUM($Q$728:$Q$743) = 0, "", SUM($Q$728:$Q$743))), "", (IF(SUM($Q$728:$Q$743) = 0, "", SUM($Q$728:$Q$743))))</x:f>
        <x:v>380.04897200000005</x:v>
      </x:c>
      <x:c r="R727">
        <x:f ca="1">IF(ISERROR(IF(SUM($R$728:$R$743) = 0, "", SUM($R$728:$R$743))), "", (IF(SUM($R$728:$R$743) = 0, "", SUM($R$728:$R$743))))</x:f>
        <x:v>46.780006999999998</x:v>
      </x:c>
      <x:c r="S727">
        <x:f ca="1">IF(ISERROR(IF(SUM($S$728:$S$743) = 0, "", SUM($S$728:$S$743))), "", (IF(SUM($S$728:$S$743) = 0, "", SUM($S$728:$S$743))))</x:f>
        <x:v>-218.71059599999998</x:v>
      </x:c>
      <x:c r="T727">
        <x:f>-12.17893</x:f>
        <x:v>-12.178929999999999</x:v>
      </x:c>
      <x:c r="U727">
        <x:f>90.303288</x:f>
        <x:v>90.303287999999995</x:v>
      </x:c>
      <x:c r="V727">
        <x:f>178.637612</x:f>
        <x:v>178.63761199999999</x:v>
      </x:c>
      <x:c r="W727">
        <x:f>34.312325</x:f>
        <x:v>34.312325000000001</x:v>
      </x:c>
      <x:c r="X727">
        <x:f>43.128724</x:f>
        <x:v>43.128723999999998</x:v>
      </x:c>
      <x:c r="Y727">
        <x:f>-98.429244</x:f>
        <x:v>-98.429243999999997</x:v>
      </x:c>
      <x:c r="Z727">
        <x:f>-364.483381</x:f>
        <x:v>-364.48338100000001</x:v>
      </x:c>
      <x:c r="AA727">
        <x:f>28.562471</x:f>
        <x:v>28.562470999999999</x:v>
      </x:c>
      <x:c r="AB727">
        <x:f>26.837192</x:f>
        <x:v>26.837192000000002</x:v>
      </x:c>
      <x:c r="AC727">
        <x:f>35.133683</x:f>
        <x:v>35.133682999999998</x:v>
      </x:c>
      <x:c r="AD727">
        <x:f>183.940789</x:f>
        <x:v>183.940789</x:v>
      </x:c>
      <x:c r="AE727">
        <x:f>380.048972</x:f>
        <x:v>380.04897199999999</x:v>
      </x:c>
      <x:c r="AF727">
        <x:f>46.780007</x:f>
        <x:v>46.780006999999998</x:v>
      </x:c>
      <x:c r="AG727">
        <x:f>-218.710596</x:f>
        <x:v>-218.71059600000001</x:v>
      </x:c>
    </x:row>
    <x:row r="728" spans="1:33" x14ac:dyDescent="0.25">
      <x:c r="A728" t="str">
        <x:f>"            FlexShares Morningstar Global"</x:f>
        <x:v xml:space="preserve">            FlexShares Morningstar Global</x:v>
      </x:c>
      <x:c r="B728" t="str">
        <x:f>"GUNR US Equity"</x:f>
        <x:v>GUNR US Equity</x:v>
      </x:c>
      <x:c r="E728" t="str">
        <x:f t="shared" ref="E728:E743" si="27">"Expression"</x:f>
        <x:v>Expression</x:v>
      </x:c>
      <x:c r="F728">
        <x:f ca="1">IF(AND($B$1012=1,LEN($F$1716)&gt;0),$F$1716,HLOOKUP(INDIRECT(ADDRESS(2,COLUMN())),OFFSET($T$2,0,0,ROW()-1,14),ROW()-1,FALSE))</x:f>
        <x:v>-8.0293200000000002</x:v>
      </x:c>
      <x:c r="G728">
        <x:f ca="1">IF(AND($B$1012=1,LEN($G$1716)&gt;0),$G$1716,HLOOKUP(INDIRECT(ADDRESS(2,COLUMN())),OFFSET($T$2,0,0,ROW()-1,14),ROW()-1,FALSE))</x:f>
        <x:v>0</x:v>
      </x:c>
      <x:c r="H728">
        <x:f ca="1">IF(AND($B$1012=1,LEN($H$1716)&gt;0),$H$1716,HLOOKUP(INDIRECT(ADDRESS(2,COLUMN())),OFFSET($T$2,0,0,ROW()-1,14),ROW()-1,FALSE))</x:f>
        <x:v>28.470800000000001</x:v>
      </x:c>
      <x:c r="I728">
        <x:f ca="1">IF(AND($B$1012=1,LEN($I$1716)&gt;0),$I$1716,HLOOKUP(INDIRECT(ADDRESS(2,COLUMN())),OFFSET($T$2,0,0,ROW()-1,14),ROW()-1,FALSE))</x:f>
        <x:v>0</x:v>
      </x:c>
      <x:c r="J728">
        <x:f ca="1">IF(AND($B$1012=1,LEN($J$1716)&gt;0),$J$1716,HLOOKUP(INDIRECT(ADDRESS(2,COLUMN())),OFFSET($T$2,0,0,ROW()-1,14),ROW()-1,FALSE))</x:f>
        <x:v>27.018055</x:v>
      </x:c>
      <x:c r="K728">
        <x:f ca="1">IF(AND($B$1012=1,LEN($K$1716)&gt;0),$K$1716,HLOOKUP(INDIRECT(ADDRESS(2,COLUMN())),OFFSET($T$2,0,0,ROW()-1,14),ROW()-1,FALSE))</x:f>
        <x:v>48.471164999999999</x:v>
      </x:c>
      <x:c r="L728">
        <x:f ca="1">IF(AND($B$1012=1,LEN($L$1716)&gt;0),$L$1716,HLOOKUP(INDIRECT(ADDRESS(2,COLUMN())),OFFSET($T$2,0,0,ROW()-1,14),ROW()-1,FALSE))</x:f>
        <x:v>25.008240000000001</x:v>
      </x:c>
      <x:c r="M728">
        <x:f ca="1">IF(AND($B$1012=1,LEN($M$1716)&gt;0),$M$1716,HLOOKUP(INDIRECT(ADDRESS(2,COLUMN())),OFFSET($T$2,0,0,ROW()-1,14),ROW()-1,FALSE))</x:f>
        <x:v>71.857309999999998</x:v>
      </x:c>
      <x:c r="N728">
        <x:f ca="1">IF(AND($B$1012=1,LEN($N$1716)&gt;0),$N$1716,HLOOKUP(INDIRECT(ADDRESS(2,COLUMN())),OFFSET($T$2,0,0,ROW()-1,14),ROW()-1,FALSE))</x:f>
        <x:v>36.975810000000003</x:v>
      </x:c>
      <x:c r="O728">
        <x:f ca="1">IF(AND($B$1012=1,LEN($O$1716)&gt;0),$O$1716,HLOOKUP(INDIRECT(ADDRESS(2,COLUMN())),OFFSET($T$2,0,0,ROW()-1,14),ROW()-1,FALSE))</x:f>
        <x:v>70.242315000000005</x:v>
      </x:c>
      <x:c r="P728">
        <x:f ca="1">IF(AND($B$1012=1,LEN($P$1716)&gt;0),$P$1716,HLOOKUP(INDIRECT(ADDRESS(2,COLUMN())),OFFSET($T$2,0,0,ROW()-1,14),ROW()-1,FALSE))</x:f>
        <x:v>83.692070000000001</x:v>
      </x:c>
      <x:c r="Q728">
        <x:f ca="1">IF(AND($B$1012=1,LEN($Q$1716)&gt;0),$Q$1716,HLOOKUP(INDIRECT(ADDRESS(2,COLUMN())),OFFSET($T$2,0,0,ROW()-1,14),ROW()-1,FALSE))</x:f>
        <x:v>218.14618999999999</x:v>
      </x:c>
      <x:c r="R728">
        <x:f ca="1">IF(AND($B$1012=1,LEN($R$1716)&gt;0),$R$1716,HLOOKUP(INDIRECT(ADDRESS(2,COLUMN())),OFFSET($T$2,0,0,ROW()-1,14),ROW()-1,FALSE))</x:f>
        <x:v>8.7438800000000008</x:v>
      </x:c>
      <x:c r="S728">
        <x:f ca="1">IF(AND($B$1012=1,LEN($S$1716)&gt;0),$S$1716,HLOOKUP(INDIRECT(ADDRESS(2,COLUMN())),OFFSET($T$2,0,0,ROW()-1,14),ROW()-1,FALSE))</x:f>
        <x:v>-143.722015</x:v>
      </x:c>
      <x:c r="T728">
        <x:f>-8.02932</x:f>
        <x:v>-8.0293200000000002</x:v>
      </x:c>
      <x:c r="U728">
        <x:f>0</x:f>
        <x:v>0</x:v>
      </x:c>
      <x:c r="V728">
        <x:f>28.4708</x:f>
        <x:v>28.470800000000001</x:v>
      </x:c>
      <x:c r="W728">
        <x:f>0</x:f>
        <x:v>0</x:v>
      </x:c>
      <x:c r="X728">
        <x:f>27.018055</x:f>
        <x:v>27.018055</x:v>
      </x:c>
      <x:c r="Y728">
        <x:f>48.471165</x:f>
        <x:v>48.471164999999999</x:v>
      </x:c>
      <x:c r="Z728">
        <x:f>25.00824</x:f>
        <x:v>25.008240000000001</x:v>
      </x:c>
      <x:c r="AA728">
        <x:f>71.85731</x:f>
        <x:v>71.857309999999998</x:v>
      </x:c>
      <x:c r="AB728">
        <x:f>36.97581</x:f>
        <x:v>36.975810000000003</x:v>
      </x:c>
      <x:c r="AC728">
        <x:f>70.242315</x:f>
        <x:v>70.242315000000005</x:v>
      </x:c>
      <x:c r="AD728">
        <x:f>83.69207</x:f>
        <x:v>83.692070000000001</x:v>
      </x:c>
      <x:c r="AE728">
        <x:f>218.14619</x:f>
        <x:v>218.14618999999999</x:v>
      </x:c>
      <x:c r="AF728">
        <x:f>8.74388</x:f>
        <x:v>8.7438800000000008</x:v>
      </x:c>
      <x:c r="AG728">
        <x:f>-143.722015</x:f>
        <x:v>-143.722015</x:v>
      </x:c>
    </x:row>
    <x:row r="729" spans="1:33" x14ac:dyDescent="0.25">
      <x:c r="A729" t="str">
        <x:f>"            VanEck Natural Resources ETF"</x:f>
        <x:v xml:space="preserve">            VanEck Natural Resources ETF</x:v>
      </x:c>
      <x:c r="B729" t="str">
        <x:f>"HAP US Equity"</x:f>
        <x:v>HAP US Equity</x:v>
      </x:c>
      <x:c r="E729" t="str">
        <x:f t="shared" si="27"/>
        <x:v>Expression</x:v>
      </x:c>
      <x:c r="F729">
        <x:f ca="1">IF(AND($B$1012=1,LEN($F$1717)&gt;0),$F$1717,HLOOKUP(INDIRECT(ADDRESS(2,COLUMN())),OFFSET($T$2,0,0,ROW()-1,14),ROW()-1,FALSE))</x:f>
        <x:v>-4.8561360000000002</x:v>
      </x:c>
      <x:c r="G729">
        <x:f ca="1">IF(AND($B$1012=1,LEN($G$1717)&gt;0),$G$1717,HLOOKUP(INDIRECT(ADDRESS(2,COLUMN())),OFFSET($T$2,0,0,ROW()-1,14),ROW()-1,FALSE))</x:f>
        <x:v>7.3745130000000003</x:v>
      </x:c>
      <x:c r="H729">
        <x:f ca="1">IF(AND($B$1012=1,LEN($H$1717)&gt;0),$H$1717,HLOOKUP(INDIRECT(ADDRESS(2,COLUMN())),OFFSET($T$2,0,0,ROW()-1,14),ROW()-1,FALSE))</x:f>
        <x:v>0</x:v>
      </x:c>
      <x:c r="I729">
        <x:f ca="1">IF(AND($B$1012=1,LEN($I$1717)&gt;0),$I$1717,HLOOKUP(INDIRECT(ADDRESS(2,COLUMN())),OFFSET($T$2,0,0,ROW()-1,14),ROW()-1,FALSE))</x:f>
        <x:v>4.7416010000000002</x:v>
      </x:c>
      <x:c r="J729">
        <x:f ca="1">IF(AND($B$1012=1,LEN($J$1717)&gt;0),$J$1717,HLOOKUP(INDIRECT(ADDRESS(2,COLUMN())),OFFSET($T$2,0,0,ROW()-1,14),ROW()-1,FALSE))</x:f>
        <x:v>-7.3298810000000003</x:v>
      </x:c>
      <x:c r="K729">
        <x:f ca="1">IF(AND($B$1012=1,LEN($K$1717)&gt;0),$K$1717,HLOOKUP(INDIRECT(ADDRESS(2,COLUMN())),OFFSET($T$2,0,0,ROW()-1,14),ROW()-1,FALSE))</x:f>
        <x:v>-7.2284040000000003</x:v>
      </x:c>
      <x:c r="L729">
        <x:f ca="1">IF(AND($B$1012=1,LEN($L$1717)&gt;0),$L$1717,HLOOKUP(INDIRECT(ADDRESS(2,COLUMN())),OFFSET($T$2,0,0,ROW()-1,14),ROW()-1,FALSE))</x:f>
        <x:v>11.541342999999999</x:v>
      </x:c>
      <x:c r="M729">
        <x:f ca="1">IF(AND($B$1012=1,LEN($M$1717)&gt;0),$M$1717,HLOOKUP(INDIRECT(ADDRESS(2,COLUMN())),OFFSET($T$2,0,0,ROW()-1,14),ROW()-1,FALSE))</x:f>
        <x:v>0</x:v>
      </x:c>
      <x:c r="N729">
        <x:f ca="1">IF(AND($B$1012=1,LEN($N$1717)&gt;0),$N$1717,HLOOKUP(INDIRECT(ADDRESS(2,COLUMN())),OFFSET($T$2,0,0,ROW()-1,14),ROW()-1,FALSE))</x:f>
        <x:v>-2.535031</x:v>
      </x:c>
      <x:c r="O729">
        <x:f ca="1">IF(AND($B$1012=1,LEN($O$1717)&gt;0),$O$1717,HLOOKUP(INDIRECT(ADDRESS(2,COLUMN())),OFFSET($T$2,0,0,ROW()-1,14),ROW()-1,FALSE))</x:f>
        <x:v>-7.54739</x:v>
      </x:c>
      <x:c r="P729">
        <x:f ca="1">IF(AND($B$1012=1,LEN($P$1717)&gt;0),$P$1717,HLOOKUP(INDIRECT(ADDRESS(2,COLUMN())),OFFSET($T$2,0,0,ROW()-1,14),ROW()-1,FALSE))</x:f>
        <x:v>0</x:v>
      </x:c>
      <x:c r="Q729">
        <x:f ca="1">IF(AND($B$1012=1,LEN($Q$1717)&gt;0),$Q$1717,HLOOKUP(INDIRECT(ADDRESS(2,COLUMN())),OFFSET($T$2,0,0,ROW()-1,14),ROW()-1,FALSE))</x:f>
        <x:v>7.6922860000000002</x:v>
      </x:c>
      <x:c r="R729">
        <x:f ca="1">IF(AND($B$1012=1,LEN($R$1717)&gt;0),$R$1717,HLOOKUP(INDIRECT(ADDRESS(2,COLUMN())),OFFSET($T$2,0,0,ROW()-1,14),ROW()-1,FALSE))</x:f>
        <x:v>2.603958</x:v>
      </x:c>
      <x:c r="S729">
        <x:f ca="1">IF(AND($B$1012=1,LEN($S$1717)&gt;0),$S$1717,HLOOKUP(INDIRECT(ADDRESS(2,COLUMN())),OFFSET($T$2,0,0,ROW()-1,14),ROW()-1,FALSE))</x:f>
        <x:v>0</x:v>
      </x:c>
      <x:c r="T729">
        <x:f>-4.856136</x:f>
        <x:v>-4.8561360000000002</x:v>
      </x:c>
      <x:c r="U729">
        <x:f>7.374513</x:f>
        <x:v>7.3745130000000003</x:v>
      </x:c>
      <x:c r="V729">
        <x:f>0</x:f>
        <x:v>0</x:v>
      </x:c>
      <x:c r="W729">
        <x:f>4.741601</x:f>
        <x:v>4.7416010000000002</x:v>
      </x:c>
      <x:c r="X729">
        <x:f>-7.329881</x:f>
        <x:v>-7.3298810000000003</x:v>
      </x:c>
      <x:c r="Y729">
        <x:f>-7.228404</x:f>
        <x:v>-7.2284040000000003</x:v>
      </x:c>
      <x:c r="Z729">
        <x:f>11.541343</x:f>
        <x:v>11.541342999999999</x:v>
      </x:c>
      <x:c r="AA729">
        <x:f>0</x:f>
        <x:v>0</x:v>
      </x:c>
      <x:c r="AB729">
        <x:f>-2.535031</x:f>
        <x:v>-2.535031</x:v>
      </x:c>
      <x:c r="AC729">
        <x:f>-7.54739</x:f>
        <x:v>-7.54739</x:v>
      </x:c>
      <x:c r="AD729">
        <x:f>0</x:f>
        <x:v>0</x:v>
      </x:c>
      <x:c r="AE729">
        <x:f>7.692286</x:f>
        <x:v>7.6922860000000002</x:v>
      </x:c>
      <x:c r="AF729">
        <x:f>2.603958</x:f>
        <x:v>2.603958</x:v>
      </x:c>
      <x:c r="AG729">
        <x:f>0</x:f>
        <x:v>0</x:v>
      </x:c>
    </x:row>
    <x:row r="730" spans="1:33" x14ac:dyDescent="0.25">
      <x:c r="A730" t="str">
        <x:f>"            First Trust Indxx Global Natur"</x:f>
        <x:v xml:space="preserve">            First Trust Indxx Global Natur</x:v>
      </x:c>
      <x:c r="B730" t="str">
        <x:f>"FTRI US Equity"</x:f>
        <x:v>FTRI US Equity</x:v>
      </x:c>
      <x:c r="E730" t="str">
        <x:f t="shared" si="27"/>
        <x:v>Expression</x:v>
      </x:c>
      <x:c r="F730">
        <x:f ca="1">IF(AND($B$1012=1,LEN($F$1718)&gt;0),$F$1718,HLOOKUP(INDIRECT(ADDRESS(2,COLUMN())),OFFSET($T$2,0,0,ROW()-1,14),ROW()-1,FALSE))</x:f>
        <x:v>-5.6130100000000001</x:v>
      </x:c>
      <x:c r="G730">
        <x:f ca="1">IF(AND($B$1012=1,LEN($G$1718)&gt;0),$G$1718,HLOOKUP(INDIRECT(ADDRESS(2,COLUMN())),OFFSET($T$2,0,0,ROW()-1,14),ROW()-1,FALSE))</x:f>
        <x:v>-5.6602480000000002</x:v>
      </x:c>
      <x:c r="H730">
        <x:f ca="1">IF(AND($B$1012=1,LEN($H$1718)&gt;0),$H$1718,HLOOKUP(INDIRECT(ADDRESS(2,COLUMN())),OFFSET($T$2,0,0,ROW()-1,14),ROW()-1,FALSE))</x:f>
        <x:v>-3.913141</x:v>
      </x:c>
      <x:c r="I730">
        <x:f ca="1">IF(AND($B$1012=1,LEN($I$1718)&gt;0),$I$1718,HLOOKUP(INDIRECT(ADDRESS(2,COLUMN())),OFFSET($T$2,0,0,ROW()-1,14),ROW()-1,FALSE))</x:f>
        <x:v>0.64937199999999995</x:v>
      </x:c>
      <x:c r="J730">
        <x:f ca="1">IF(AND($B$1012=1,LEN($J$1718)&gt;0),$J$1718,HLOOKUP(INDIRECT(ADDRESS(2,COLUMN())),OFFSET($T$2,0,0,ROW()-1,14),ROW()-1,FALSE))</x:f>
        <x:v>-0.61599999999999999</x:v>
      </x:c>
      <x:c r="K730">
        <x:f ca="1">IF(AND($B$1012=1,LEN($K$1718)&gt;0),$K$1718,HLOOKUP(INDIRECT(ADDRESS(2,COLUMN())),OFFSET($T$2,0,0,ROW()-1,14),ROW()-1,FALSE))</x:f>
        <x:v>-18.049499999999998</x:v>
      </x:c>
      <x:c r="L730">
        <x:f ca="1">IF(AND($B$1012=1,LEN($L$1718)&gt;0),$L$1718,HLOOKUP(INDIRECT(ADDRESS(2,COLUMN())),OFFSET($T$2,0,0,ROW()-1,14),ROW()-1,FALSE))</x:f>
        <x:v>-21.224499999999999</x:v>
      </x:c>
      <x:c r="M730">
        <x:f ca="1">IF(AND($B$1012=1,LEN($M$1718)&gt;0),$M$1718,HLOOKUP(INDIRECT(ADDRESS(2,COLUMN())),OFFSET($T$2,0,0,ROW()-1,14),ROW()-1,FALSE))</x:f>
        <x:v>-4.0830000000000002</x:v>
      </x:c>
      <x:c r="N730">
        <x:f ca="1">IF(AND($B$1012=1,LEN($N$1718)&gt;0),$N$1718,HLOOKUP(INDIRECT(ADDRESS(2,COLUMN())),OFFSET($T$2,0,0,ROW()-1,14),ROW()-1,FALSE))</x:f>
        <x:v>-9.6910000000000007</x:v>
      </x:c>
      <x:c r="O730">
        <x:f ca="1">IF(AND($B$1012=1,LEN($O$1718)&gt;0),$O$1718,HLOOKUP(INDIRECT(ADDRESS(2,COLUMN())),OFFSET($T$2,0,0,ROW()-1,14),ROW()-1,FALSE))</x:f>
        <x:v>9.8859999999999992</x:v>
      </x:c>
      <x:c r="P730">
        <x:f ca="1">IF(AND($B$1012=1,LEN($P$1718)&gt;0),$P$1718,HLOOKUP(INDIRECT(ADDRESS(2,COLUMN())),OFFSET($T$2,0,0,ROW()-1,14),ROW()-1,FALSE))</x:f>
        <x:v>38.052235000000003</x:v>
      </x:c>
      <x:c r="Q730">
        <x:f ca="1">IF(AND($B$1012=1,LEN($Q$1718)&gt;0),$Q$1718,HLOOKUP(INDIRECT(ADDRESS(2,COLUMN())),OFFSET($T$2,0,0,ROW()-1,14),ROW()-1,FALSE))</x:f>
        <x:v>16.677828000000002</x:v>
      </x:c>
      <x:c r="R730">
        <x:f ca="1">IF(AND($B$1012=1,LEN($R$1718)&gt;0),$R$1718,HLOOKUP(INDIRECT(ADDRESS(2,COLUMN())),OFFSET($T$2,0,0,ROW()-1,14),ROW()-1,FALSE))</x:f>
        <x:v>17.136517000000001</x:v>
      </x:c>
      <x:c r="S730">
        <x:f ca="1">IF(AND($B$1012=1,LEN($S$1718)&gt;0),$S$1718,HLOOKUP(INDIRECT(ADDRESS(2,COLUMN())),OFFSET($T$2,0,0,ROW()-1,14),ROW()-1,FALSE))</x:f>
        <x:v>7.7798619999999996</x:v>
      </x:c>
      <x:c r="T730">
        <x:f>-5.61301</x:f>
        <x:v>-5.6130100000000001</x:v>
      </x:c>
      <x:c r="U730">
        <x:f>-5.660248</x:f>
        <x:v>-5.6602480000000002</x:v>
      </x:c>
      <x:c r="V730">
        <x:f>-3.913141</x:f>
        <x:v>-3.913141</x:v>
      </x:c>
      <x:c r="W730">
        <x:f>0.649372</x:f>
        <x:v>0.64937199999999995</x:v>
      </x:c>
      <x:c r="X730">
        <x:f>-0.616</x:f>
        <x:v>-0.61599999999999999</x:v>
      </x:c>
      <x:c r="Y730">
        <x:f>-18.0495</x:f>
        <x:v>-18.049499999999998</x:v>
      </x:c>
      <x:c r="Z730">
        <x:f>-21.2245</x:f>
        <x:v>-21.224499999999999</x:v>
      </x:c>
      <x:c r="AA730">
        <x:f>-4.083</x:f>
        <x:v>-4.0830000000000002</x:v>
      </x:c>
      <x:c r="AB730">
        <x:f>-9.691</x:f>
        <x:v>-9.6910000000000007</x:v>
      </x:c>
      <x:c r="AC730">
        <x:f>9.886</x:f>
        <x:v>9.8859999999999992</x:v>
      </x:c>
      <x:c r="AD730">
        <x:f>38.052235</x:f>
        <x:v>38.052235000000003</x:v>
      </x:c>
      <x:c r="AE730">
        <x:f>16.677828</x:f>
        <x:v>16.677828000000002</x:v>
      </x:c>
      <x:c r="AF730">
        <x:f>17.136517</x:f>
        <x:v>17.136517000000001</x:v>
      </x:c>
      <x:c r="AG730">
        <x:f>7.779862</x:f>
        <x:v>7.7798619999999996</x:v>
      </x:c>
    </x:row>
    <x:row r="731" spans="1:33" x14ac:dyDescent="0.25">
      <x:c r="A731" t="str">
        <x:f>"            iShares North American Natural"</x:f>
        <x:v xml:space="preserve">            iShares North American Natural</x:v>
      </x:c>
      <x:c r="B731" t="str">
        <x:f>"IGE US Equity"</x:f>
        <x:v>IGE US Equity</x:v>
      </x:c>
      <x:c r="E731" t="str">
        <x:f t="shared" si="27"/>
        <x:v>Expression</x:v>
      </x:c>
      <x:c r="F731">
        <x:f ca="1">IF(AND($B$1012=1,LEN($F$1719)&gt;0),$F$1719,HLOOKUP(INDIRECT(ADDRESS(2,COLUMN())),OFFSET($T$2,0,0,ROW()-1,14),ROW()-1,FALSE))</x:f>
        <x:v>4.0529229999999998</x:v>
      </x:c>
      <x:c r="G731">
        <x:f ca="1">IF(AND($B$1012=1,LEN($G$1719)&gt;0),$G$1719,HLOOKUP(INDIRECT(ADDRESS(2,COLUMN())),OFFSET($T$2,0,0,ROW()-1,14),ROW()-1,FALSE))</x:f>
        <x:v>-3.706159</x:v>
      </x:c>
      <x:c r="H731">
        <x:f ca="1">IF(AND($B$1012=1,LEN($H$1719)&gt;0),$H$1719,HLOOKUP(INDIRECT(ADDRESS(2,COLUMN())),OFFSET($T$2,0,0,ROW()-1,14),ROW()-1,FALSE))</x:f>
        <x:v>14.94731</x:v>
      </x:c>
      <x:c r="I731">
        <x:f ca="1">IF(AND($B$1012=1,LEN($I$1719)&gt;0),$I$1719,HLOOKUP(INDIRECT(ADDRESS(2,COLUMN())),OFFSET($T$2,0,0,ROW()-1,14),ROW()-1,FALSE))</x:f>
        <x:v>-6.1371950000000002</x:v>
      </x:c>
      <x:c r="J731">
        <x:f ca="1">IF(AND($B$1012=1,LEN($J$1719)&gt;0),$J$1719,HLOOKUP(INDIRECT(ADDRESS(2,COLUMN())),OFFSET($T$2,0,0,ROW()-1,14),ROW()-1,FALSE))</x:f>
        <x:v>-33.930700000000002</x:v>
      </x:c>
      <x:c r="K731">
        <x:f ca="1">IF(AND($B$1012=1,LEN($K$1719)&gt;0),$K$1719,HLOOKUP(INDIRECT(ADDRESS(2,COLUMN())),OFFSET($T$2,0,0,ROW()-1,14),ROW()-1,FALSE))</x:f>
        <x:v>-130.71995000000001</x:v>
      </x:c>
      <x:c r="L731">
        <x:f ca="1">IF(AND($B$1012=1,LEN($L$1719)&gt;0),$L$1719,HLOOKUP(INDIRECT(ADDRESS(2,COLUMN())),OFFSET($T$2,0,0,ROW()-1,14),ROW()-1,FALSE))</x:f>
        <x:v>-49.518155</x:v>
      </x:c>
      <x:c r="M731">
        <x:f ca="1">IF(AND($B$1012=1,LEN($M$1719)&gt;0),$M$1719,HLOOKUP(INDIRECT(ADDRESS(2,COLUMN())),OFFSET($T$2,0,0,ROW()-1,14),ROW()-1,FALSE))</x:f>
        <x:v>-26.216750000000001</x:v>
      </x:c>
      <x:c r="N731">
        <x:f ca="1">IF(AND($B$1012=1,LEN($N$1719)&gt;0),$N$1719,HLOOKUP(INDIRECT(ADDRESS(2,COLUMN())),OFFSET($T$2,0,0,ROW()-1,14),ROW()-1,FALSE))</x:f>
        <x:v>-15.716469999999999</x:v>
      </x:c>
      <x:c r="O731">
        <x:f ca="1">IF(AND($B$1012=1,LEN($O$1719)&gt;0),$O$1719,HLOOKUP(INDIRECT(ADDRESS(2,COLUMN())),OFFSET($T$2,0,0,ROW()-1,14),ROW()-1,FALSE))</x:f>
        <x:v>-28.737964999999999</x:v>
      </x:c>
      <x:c r="P731">
        <x:f ca="1">IF(AND($B$1012=1,LEN($P$1719)&gt;0),$P$1719,HLOOKUP(INDIRECT(ADDRESS(2,COLUMN())),OFFSET($T$2,0,0,ROW()-1,14),ROW()-1,FALSE))</x:f>
        <x:v>-27.241025</x:v>
      </x:c>
      <x:c r="Q731">
        <x:f ca="1">IF(AND($B$1012=1,LEN($Q$1719)&gt;0),$Q$1719,HLOOKUP(INDIRECT(ADDRESS(2,COLUMN())),OFFSET($T$2,0,0,ROW()-1,14),ROW()-1,FALSE))</x:f>
        <x:v>9.9114999999999995E-2</x:v>
      </x:c>
      <x:c r="R731">
        <x:f ca="1">IF(AND($B$1012=1,LEN($R$1719)&gt;0),$R$1719,HLOOKUP(INDIRECT(ADDRESS(2,COLUMN())),OFFSET($T$2,0,0,ROW()-1,14),ROW()-1,FALSE))</x:f>
        <x:v>37.722270000000002</x:v>
      </x:c>
      <x:c r="S731">
        <x:f ca="1">IF(AND($B$1012=1,LEN($S$1719)&gt;0),$S$1719,HLOOKUP(INDIRECT(ADDRESS(2,COLUMN())),OFFSET($T$2,0,0,ROW()-1,14),ROW()-1,FALSE))</x:f>
        <x:v>-26.508510000000001</x:v>
      </x:c>
      <x:c r="T731">
        <x:f>4.052923</x:f>
        <x:v>4.0529229999999998</x:v>
      </x:c>
      <x:c r="U731">
        <x:f>-3.706159</x:f>
        <x:v>-3.706159</x:v>
      </x:c>
      <x:c r="V731">
        <x:f>14.94731</x:f>
        <x:v>14.94731</x:v>
      </x:c>
      <x:c r="W731">
        <x:f>-6.137195</x:f>
        <x:v>-6.1371950000000002</x:v>
      </x:c>
      <x:c r="X731">
        <x:f>-33.9307</x:f>
        <x:v>-33.930700000000002</x:v>
      </x:c>
      <x:c r="Y731">
        <x:f>-130.71995</x:f>
        <x:v>-130.71995000000001</x:v>
      </x:c>
      <x:c r="Z731">
        <x:f>-49.518155</x:f>
        <x:v>-49.518155</x:v>
      </x:c>
      <x:c r="AA731">
        <x:f>-26.21675</x:f>
        <x:v>-26.216750000000001</x:v>
      </x:c>
      <x:c r="AB731">
        <x:f>-15.71647</x:f>
        <x:v>-15.716469999999999</x:v>
      </x:c>
      <x:c r="AC731">
        <x:f>-28.737965</x:f>
        <x:v>-28.737964999999999</x:v>
      </x:c>
      <x:c r="AD731">
        <x:f>-27.241025</x:f>
        <x:v>-27.241025</x:v>
      </x:c>
      <x:c r="AE731">
        <x:f>0.099115</x:f>
        <x:v>9.9114999999999995E-2</x:v>
      </x:c>
      <x:c r="AF731">
        <x:f>37.72227</x:f>
        <x:v>37.722270000000002</x:v>
      </x:c>
      <x:c r="AG731">
        <x:f>-26.50851</x:f>
        <x:v>-26.508510000000001</x:v>
      </x:c>
    </x:row>
    <x:row r="732" spans="1:33" x14ac:dyDescent="0.25">
      <x:c r="A732" t="str">
        <x:f>"            SPDR S&amp;P Global Natural Resour"</x:f>
        <x:v xml:space="preserve">            SPDR S&amp;P Global Natural Resour</x:v>
      </x:c>
      <x:c r="B732" t="str">
        <x:f>"GNR US Equity"</x:f>
        <x:v>GNR US Equity</x:v>
      </x:c>
      <x:c r="E732" t="str">
        <x:f t="shared" si="27"/>
        <x:v>Expression</x:v>
      </x:c>
      <x:c r="F732">
        <x:f ca="1">IF(AND($B$1012=1,LEN($F$1720)&gt;0),$F$1720,HLOOKUP(INDIRECT(ADDRESS(2,COLUMN())),OFFSET($T$2,0,0,ROW()-1,14),ROW()-1,FALSE))</x:f>
        <x:v>44.607328000000003</x:v>
      </x:c>
      <x:c r="G732">
        <x:f ca="1">IF(AND($B$1012=1,LEN($G$1720)&gt;0),$G$1720,HLOOKUP(INDIRECT(ADDRESS(2,COLUMN())),OFFSET($T$2,0,0,ROW()-1,14),ROW()-1,FALSE))</x:f>
        <x:v>163.224808</x:v>
      </x:c>
      <x:c r="H732">
        <x:f ca="1">IF(AND($B$1012=1,LEN($H$1720)&gt;0),$H$1720,HLOOKUP(INDIRECT(ADDRESS(2,COLUMN())),OFFSET($T$2,0,0,ROW()-1,14),ROW()-1,FALSE))</x:f>
        <x:v>144.08596900000001</x:v>
      </x:c>
      <x:c r="I732">
        <x:f ca="1">IF(AND($B$1012=1,LEN($I$1720)&gt;0),$I$1720,HLOOKUP(INDIRECT(ADDRESS(2,COLUMN())),OFFSET($T$2,0,0,ROW()-1,14),ROW()-1,FALSE))</x:f>
        <x:v>27.455407999999998</x:v>
      </x:c>
      <x:c r="J732">
        <x:f ca="1">IF(AND($B$1012=1,LEN($J$1720)&gt;0),$J$1720,HLOOKUP(INDIRECT(ADDRESS(2,COLUMN())),OFFSET($T$2,0,0,ROW()-1,14),ROW()-1,FALSE))</x:f>
        <x:v>57.950789</x:v>
      </x:c>
      <x:c r="K732">
        <x:f ca="1">IF(AND($B$1012=1,LEN($K$1720)&gt;0),$K$1720,HLOOKUP(INDIRECT(ADDRESS(2,COLUMN())),OFFSET($T$2,0,0,ROW()-1,14),ROW()-1,FALSE))</x:f>
        <x:v>0</x:v>
      </x:c>
      <x:c r="L732">
        <x:f ca="1">IF(AND($B$1012=1,LEN($L$1720)&gt;0),$L$1720,HLOOKUP(INDIRECT(ADDRESS(2,COLUMN())),OFFSET($T$2,0,0,ROW()-1,14),ROW()-1,FALSE))</x:f>
        <x:v>-280.08968599999997</x:v>
      </x:c>
      <x:c r="M732">
        <x:f ca="1">IF(AND($B$1012=1,LEN($M$1720)&gt;0),$M$1720,HLOOKUP(INDIRECT(ADDRESS(2,COLUMN())),OFFSET($T$2,0,0,ROW()-1,14),ROW()-1,FALSE))</x:f>
        <x:v>-7.6224030000000003</x:v>
      </x:c>
      <x:c r="N732">
        <x:f ca="1">IF(AND($B$1012=1,LEN($N$1720)&gt;0),$N$1720,HLOOKUP(INDIRECT(ADDRESS(2,COLUMN())),OFFSET($T$2,0,0,ROW()-1,14),ROW()-1,FALSE))</x:f>
        <x:v>12.303691000000001</x:v>
      </x:c>
      <x:c r="O732">
        <x:f ca="1">IF(AND($B$1012=1,LEN($O$1720)&gt;0),$O$1720,HLOOKUP(INDIRECT(ADDRESS(2,COLUMN())),OFFSET($T$2,0,0,ROW()-1,14),ROW()-1,FALSE))</x:f>
        <x:v>46.084147000000002</x:v>
      </x:c>
      <x:c r="P732">
        <x:f ca="1">IF(AND($B$1012=1,LEN($P$1720)&gt;0),$P$1720,HLOOKUP(INDIRECT(ADDRESS(2,COLUMN())),OFFSET($T$2,0,0,ROW()-1,14),ROW()-1,FALSE))</x:f>
        <x:v>136.66505100000001</x:v>
      </x:c>
      <x:c r="Q732">
        <x:f ca="1">IF(AND($B$1012=1,LEN($Q$1720)&gt;0),$Q$1720,HLOOKUP(INDIRECT(ADDRESS(2,COLUMN())),OFFSET($T$2,0,0,ROW()-1,14),ROW()-1,FALSE))</x:f>
        <x:v>128.31513200000001</x:v>
      </x:c>
      <x:c r="R732">
        <x:f ca="1">IF(AND($B$1012=1,LEN($R$1720)&gt;0),$R$1720,HLOOKUP(INDIRECT(ADDRESS(2,COLUMN())),OFFSET($T$2,0,0,ROW()-1,14),ROW()-1,FALSE))</x:f>
        <x:v>-4.0152890000000001</x:v>
      </x:c>
      <x:c r="S732">
        <x:f ca="1">IF(AND($B$1012=1,LEN($S$1720)&gt;0),$S$1720,HLOOKUP(INDIRECT(ADDRESS(2,COLUMN())),OFFSET($T$2,0,0,ROW()-1,14),ROW()-1,FALSE))</x:f>
        <x:v>-21.018757999999998</x:v>
      </x:c>
      <x:c r="T732">
        <x:f>44.607328</x:f>
        <x:v>44.607328000000003</x:v>
      </x:c>
      <x:c r="U732">
        <x:f>163.224808</x:f>
        <x:v>163.224808</x:v>
      </x:c>
      <x:c r="V732">
        <x:f>144.085969</x:f>
        <x:v>144.08596900000001</x:v>
      </x:c>
      <x:c r="W732">
        <x:f>27.455408</x:f>
        <x:v>27.455407999999998</x:v>
      </x:c>
      <x:c r="X732">
        <x:f>57.950789</x:f>
        <x:v>57.950789</x:v>
      </x:c>
      <x:c r="Y732">
        <x:f>0</x:f>
        <x:v>0</x:v>
      </x:c>
      <x:c r="Z732">
        <x:f>-280.089686</x:f>
        <x:v>-280.08968599999997</x:v>
      </x:c>
      <x:c r="AA732">
        <x:f>-7.622403</x:f>
        <x:v>-7.6224030000000003</x:v>
      </x:c>
      <x:c r="AB732">
        <x:f>12.303691</x:f>
        <x:v>12.303691000000001</x:v>
      </x:c>
      <x:c r="AC732">
        <x:f>46.084147</x:f>
        <x:v>46.084147000000002</x:v>
      </x:c>
      <x:c r="AD732">
        <x:f>136.665051</x:f>
        <x:v>136.66505100000001</x:v>
      </x:c>
      <x:c r="AE732">
        <x:f>128.315132</x:f>
        <x:v>128.31513200000001</x:v>
      </x:c>
      <x:c r="AF732">
        <x:f>-4.015289</x:f>
        <x:v>-4.0152890000000001</x:v>
      </x:c>
      <x:c r="AG732">
        <x:f>-21.018758</x:f>
        <x:v>-21.018757999999998</x:v>
      </x:c>
    </x:row>
    <x:row r="733" spans="1:33" x14ac:dyDescent="0.25">
      <x:c r="A733" t="str">
        <x:f>"            USCF SummerHaven SHPEN Index F"</x:f>
        <x:v xml:space="preserve">            USCF SummerHaven SHPEN Index F</x:v>
      </x:c>
      <x:c r="B733" t="str">
        <x:f>"BUYN US Equity"</x:f>
        <x:v>BUYN US Equity</x:v>
      </x:c>
      <x:c r="E733" t="str">
        <x:f t="shared" si="27"/>
        <x:v>Expression</x:v>
      </x:c>
      <x:c r="F733" t="str">
        <x:f ca="1">IF(AND($B$1012=1,LEN($F$1721)&gt;0),$F$1721,HLOOKUP(INDIRECT(ADDRESS(2,COLUMN())),OFFSET($T$2,0,0,ROW()-1,14),ROW()-1,FALSE))</x:f>
        <x:v/>
      </x:c>
      <x:c r="G733" t="str">
        <x:f ca="1">IF(AND($B$1012=1,LEN($G$1721)&gt;0),$G$1721,HLOOKUP(INDIRECT(ADDRESS(2,COLUMN())),OFFSET($T$2,0,0,ROW()-1,14),ROW()-1,FALSE))</x:f>
        <x:v/>
      </x:c>
      <x:c r="H733" t="str">
        <x:f ca="1">IF(AND($B$1012=1,LEN($H$1721)&gt;0),$H$1721,HLOOKUP(INDIRECT(ADDRESS(2,COLUMN())),OFFSET($T$2,0,0,ROW()-1,14),ROW()-1,FALSE))</x:f>
        <x:v/>
      </x:c>
      <x:c r="I733" t="str">
        <x:f ca="1">IF(AND($B$1012=1,LEN($I$1721)&gt;0),$I$1721,HLOOKUP(INDIRECT(ADDRESS(2,COLUMN())),OFFSET($T$2,0,0,ROW()-1,14),ROW()-1,FALSE))</x:f>
        <x:v/>
      </x:c>
      <x:c r="J733" t="str">
        <x:f ca="1">IF(AND($B$1012=1,LEN($J$1721)&gt;0),$J$1721,HLOOKUP(INDIRECT(ADDRESS(2,COLUMN())),OFFSET($T$2,0,0,ROW()-1,14),ROW()-1,FALSE))</x:f>
        <x:v/>
      </x:c>
      <x:c r="K733" t="str">
        <x:f ca="1">IF(AND($B$1012=1,LEN($K$1721)&gt;0),$K$1721,HLOOKUP(INDIRECT(ADDRESS(2,COLUMN())),OFFSET($T$2,0,0,ROW()-1,14),ROW()-1,FALSE))</x:f>
        <x:v/>
      </x:c>
      <x:c r="L733" t="str">
        <x:f ca="1">IF(AND($B$1012=1,LEN($L$1721)&gt;0),$L$1721,HLOOKUP(INDIRECT(ADDRESS(2,COLUMN())),OFFSET($T$2,0,0,ROW()-1,14),ROW()-1,FALSE))</x:f>
        <x:v/>
      </x:c>
      <x:c r="M733" t="str">
        <x:f ca="1">IF(AND($B$1012=1,LEN($M$1721)&gt;0),$M$1721,HLOOKUP(INDIRECT(ADDRESS(2,COLUMN())),OFFSET($T$2,0,0,ROW()-1,14),ROW()-1,FALSE))</x:f>
        <x:v/>
      </x:c>
      <x:c r="N733" t="str">
        <x:f ca="1">IF(AND($B$1012=1,LEN($N$1721)&gt;0),$N$1721,HLOOKUP(INDIRECT(ADDRESS(2,COLUMN())),OFFSET($T$2,0,0,ROW()-1,14),ROW()-1,FALSE))</x:f>
        <x:v/>
      </x:c>
      <x:c r="O733" t="str">
        <x:f ca="1">IF(AND($B$1012=1,LEN($O$1721)&gt;0),$O$1721,HLOOKUP(INDIRECT(ADDRESS(2,COLUMN())),OFFSET($T$2,0,0,ROW()-1,14),ROW()-1,FALSE))</x:f>
        <x:v/>
      </x:c>
      <x:c r="P733" t="str">
        <x:f ca="1">IF(AND($B$1012=1,LEN($P$1721)&gt;0),$P$1721,HLOOKUP(INDIRECT(ADDRESS(2,COLUMN())),OFFSET($T$2,0,0,ROW()-1,14),ROW()-1,FALSE))</x:f>
        <x:v/>
      </x:c>
      <x:c r="Q733" t="str">
        <x:f ca="1">IF(AND($B$1012=1,LEN($Q$1721)&gt;0),$Q$1721,HLOOKUP(INDIRECT(ADDRESS(2,COLUMN())),OFFSET($T$2,0,0,ROW()-1,14),ROW()-1,FALSE))</x:f>
        <x:v/>
      </x:c>
      <x:c r="R733" t="str">
        <x:f ca="1">IF(AND($B$1012=1,LEN($R$1721)&gt;0),$R$1721,HLOOKUP(INDIRECT(ADDRESS(2,COLUMN())),OFFSET($T$2,0,0,ROW()-1,14),ROW()-1,FALSE))</x:f>
        <x:v/>
      </x:c>
      <x:c r="S733" t="str">
        <x:f ca="1">IF(AND($B$1012=1,LEN($S$1721)&gt;0),$S$1721,HLOOKUP(INDIRECT(ADDRESS(2,COLUMN())),OFFSET($T$2,0,0,ROW()-1,14),ROW()-1,FALSE))</x:f>
        <x:v/>
      </x:c>
      <x:c r="T733" t="str">
        <x:f>""</x:f>
        <x:v/>
      </x:c>
      <x:c r="U733" t="str">
        <x:f>""</x:f>
        <x:v/>
      </x:c>
      <x:c r="V733" t="str">
        <x:f>""</x:f>
        <x:v/>
      </x:c>
      <x:c r="W733" t="str">
        <x:f>""</x:f>
        <x:v/>
      </x:c>
      <x:c r="X733" t="str">
        <x:f>""</x:f>
        <x:v/>
      </x:c>
      <x:c r="Y733" t="str">
        <x:f>""</x:f>
        <x:v/>
      </x:c>
      <x:c r="Z733" t="str">
        <x:f>""</x:f>
        <x:v/>
      </x:c>
      <x:c r="AA733" t="str">
        <x:f>""</x:f>
        <x:v/>
      </x:c>
      <x:c r="AB733" t="str">
        <x:f>""</x:f>
        <x:v/>
      </x:c>
      <x:c r="AC733" t="str">
        <x:f>""</x:f>
        <x:v/>
      </x:c>
      <x:c r="AD733" t="str">
        <x:f>""</x:f>
        <x:v/>
      </x:c>
      <x:c r="AE733" t="str">
        <x:f>""</x:f>
        <x:v/>
      </x:c>
      <x:c r="AF733" t="str">
        <x:f>""</x:f>
        <x:v/>
      </x:c>
      <x:c r="AG733" t="str">
        <x:f>""</x:f>
        <x:v/>
      </x:c>
    </x:row>
    <x:row r="734" spans="1:33" x14ac:dyDescent="0.25">
      <x:c r="A734" t="str">
        <x:f>"            Invesco Global Water ETF"</x:f>
        <x:v xml:space="preserve">            Invesco Global Water ETF</x:v>
      </x:c>
      <x:c r="B734" t="str">
        <x:f>"PIO US Equity"</x:f>
        <x:v>PIO US Equity</x:v>
      </x:c>
      <x:c r="E734" t="str">
        <x:f t="shared" si="27"/>
        <x:v>Expression</x:v>
      </x:c>
      <x:c r="F734">
        <x:f ca="1">IF(AND($B$1012=1,LEN($F$1722)&gt;0),$F$1722,HLOOKUP(INDIRECT(ADDRESS(2,COLUMN())),OFFSET($T$2,0,0,ROW()-1,14),ROW()-1,FALSE))</x:f>
        <x:v>-5.1789870000000002</x:v>
      </x:c>
      <x:c r="G734">
        <x:f ca="1">IF(AND($B$1012=1,LEN($G$1722)&gt;0),$G$1722,HLOOKUP(INDIRECT(ADDRESS(2,COLUMN())),OFFSET($T$2,0,0,ROW()-1,14),ROW()-1,FALSE))</x:f>
        <x:v>0</x:v>
      </x:c>
      <x:c r="H734">
        <x:f ca="1">IF(AND($B$1012=1,LEN($H$1722)&gt;0),$H$1722,HLOOKUP(INDIRECT(ADDRESS(2,COLUMN())),OFFSET($T$2,0,0,ROW()-1,14),ROW()-1,FALSE))</x:f>
        <x:v>-3.4926940000000002</x:v>
      </x:c>
      <x:c r="I734">
        <x:f ca="1">IF(AND($B$1012=1,LEN($I$1722)&gt;0),$I$1722,HLOOKUP(INDIRECT(ADDRESS(2,COLUMN())),OFFSET($T$2,0,0,ROW()-1,14),ROW()-1,FALSE))</x:f>
        <x:v>0</x:v>
      </x:c>
      <x:c r="J734">
        <x:f ca="1">IF(AND($B$1012=1,LEN($J$1722)&gt;0),$J$1722,HLOOKUP(INDIRECT(ADDRESS(2,COLUMN())),OFFSET($T$2,0,0,ROW()-1,14),ROW()-1,FALSE))</x:f>
        <x:v>-12.576824999999999</x:v>
      </x:c>
      <x:c r="K734">
        <x:f ca="1">IF(AND($B$1012=1,LEN($K$1722)&gt;0),$K$1722,HLOOKUP(INDIRECT(ADDRESS(2,COLUMN())),OFFSET($T$2,0,0,ROW()-1,14),ROW()-1,FALSE))</x:f>
        <x:v>-1.797434</x:v>
      </x:c>
      <x:c r="L734">
        <x:f ca="1">IF(AND($B$1012=1,LEN($L$1722)&gt;0),$L$1722,HLOOKUP(INDIRECT(ADDRESS(2,COLUMN())),OFFSET($T$2,0,0,ROW()-1,14),ROW()-1,FALSE))</x:f>
        <x:v>-5.2767030000000004</x:v>
      </x:c>
      <x:c r="M734">
        <x:f ca="1">IF(AND($B$1012=1,LEN($M$1722)&gt;0),$M$1722,HLOOKUP(INDIRECT(ADDRESS(2,COLUMN())),OFFSET($T$2,0,0,ROW()-1,14),ROW()-1,FALSE))</x:f>
        <x:v>0</x:v>
      </x:c>
      <x:c r="N734">
        <x:f ca="1">IF(AND($B$1012=1,LEN($N$1722)&gt;0),$N$1722,HLOOKUP(INDIRECT(ADDRESS(2,COLUMN())),OFFSET($T$2,0,0,ROW()-1,14),ROW()-1,FALSE))</x:f>
        <x:v>-1.671959</x:v>
      </x:c>
      <x:c r="O734">
        <x:f ca="1">IF(AND($B$1012=1,LEN($O$1722)&gt;0),$O$1722,HLOOKUP(INDIRECT(ADDRESS(2,COLUMN())),OFFSET($T$2,0,0,ROW()-1,14),ROW()-1,FALSE))</x:f>
        <x:v>0</x:v>
      </x:c>
      <x:c r="P734">
        <x:f ca="1">IF(AND($B$1012=1,LEN($P$1722)&gt;0),$P$1722,HLOOKUP(INDIRECT(ADDRESS(2,COLUMN())),OFFSET($T$2,0,0,ROW()-1,14),ROW()-1,FALSE))</x:f>
        <x:v>-1.768095</x:v>
      </x:c>
      <x:c r="Q734">
        <x:f ca="1">IF(AND($B$1012=1,LEN($Q$1722)&gt;0),$Q$1722,HLOOKUP(INDIRECT(ADDRESS(2,COLUMN())),OFFSET($T$2,0,0,ROW()-1,14),ROW()-1,FALSE))</x:f>
        <x:v>-4.9939730000000004</x:v>
      </x:c>
      <x:c r="R734">
        <x:f ca="1">IF(AND($B$1012=1,LEN($R$1722)&gt;0),$R$1722,HLOOKUP(INDIRECT(ADDRESS(2,COLUMN())),OFFSET($T$2,0,0,ROW()-1,14),ROW()-1,FALSE))</x:f>
        <x:v>-3.3710119999999999</x:v>
      </x:c>
      <x:c r="S734">
        <x:f ca="1">IF(AND($B$1012=1,LEN($S$1722)&gt;0),$S$1722,HLOOKUP(INDIRECT(ADDRESS(2,COLUMN())),OFFSET($T$2,0,0,ROW()-1,14),ROW()-1,FALSE))</x:f>
        <x:v>2.872655</x:v>
      </x:c>
      <x:c r="T734">
        <x:f>-5.178987</x:f>
        <x:v>-5.1789870000000002</x:v>
      </x:c>
      <x:c r="U734">
        <x:f>0</x:f>
        <x:v>0</x:v>
      </x:c>
      <x:c r="V734">
        <x:f>-3.492694</x:f>
        <x:v>-3.4926940000000002</x:v>
      </x:c>
      <x:c r="W734">
        <x:f>0</x:f>
        <x:v>0</x:v>
      </x:c>
      <x:c r="X734">
        <x:f>-12.576825</x:f>
        <x:v>-12.576824999999999</x:v>
      </x:c>
      <x:c r="Y734">
        <x:f>-1.797434</x:f>
        <x:v>-1.797434</x:v>
      </x:c>
      <x:c r="Z734">
        <x:f>-5.276703</x:f>
        <x:v>-5.2767030000000004</x:v>
      </x:c>
      <x:c r="AA734">
        <x:f>0</x:f>
        <x:v>0</x:v>
      </x:c>
      <x:c r="AB734">
        <x:f>-1.671959</x:f>
        <x:v>-1.671959</x:v>
      </x:c>
      <x:c r="AC734">
        <x:f>0</x:f>
        <x:v>0</x:v>
      </x:c>
      <x:c r="AD734">
        <x:f>-1.768095</x:f>
        <x:v>-1.768095</x:v>
      </x:c>
      <x:c r="AE734">
        <x:f>-4.993973</x:f>
        <x:v>-4.9939730000000004</x:v>
      </x:c>
      <x:c r="AF734">
        <x:f>-3.371012</x:f>
        <x:v>-3.3710119999999999</x:v>
      </x:c>
      <x:c r="AG734">
        <x:f>2.872655</x:f>
        <x:v>2.872655</x:v>
      </x:c>
    </x:row>
    <x:row r="735" spans="1:33" x14ac:dyDescent="0.25">
      <x:c r="A735" t="str">
        <x:f>"            Invesco Water Resources ETF"</x:f>
        <x:v xml:space="preserve">            Invesco Water Resources ETF</x:v>
      </x:c>
      <x:c r="B735" t="str">
        <x:f>"PHO US Equity"</x:f>
        <x:v>PHO US Equity</x:v>
      </x:c>
      <x:c r="E735" t="str">
        <x:f t="shared" si="27"/>
        <x:v>Expression</x:v>
      </x:c>
      <x:c r="F735">
        <x:f ca="1">IF(AND($B$1012=1,LEN($F$1723)&gt;0),$F$1723,HLOOKUP(INDIRECT(ADDRESS(2,COLUMN())),OFFSET($T$2,0,0,ROW()-1,14),ROW()-1,FALSE))</x:f>
        <x:v>-8.3732530000000001</x:v>
      </x:c>
      <x:c r="G735">
        <x:f ca="1">IF(AND($B$1012=1,LEN($G$1723)&gt;0),$G$1723,HLOOKUP(INDIRECT(ADDRESS(2,COLUMN())),OFFSET($T$2,0,0,ROW()-1,14),ROW()-1,FALSE))</x:f>
        <x:v>-17.543240000000001</x:v>
      </x:c>
      <x:c r="H735">
        <x:f ca="1">IF(AND($B$1012=1,LEN($H$1723)&gt;0),$H$1723,HLOOKUP(INDIRECT(ADDRESS(2,COLUMN())),OFFSET($T$2,0,0,ROW()-1,14),ROW()-1,FALSE))</x:f>
        <x:v>-9.1498830000000009</x:v>
      </x:c>
      <x:c r="I735">
        <x:f ca="1">IF(AND($B$1012=1,LEN($I$1723)&gt;0),$I$1723,HLOOKUP(INDIRECT(ADDRESS(2,COLUMN())),OFFSET($T$2,0,0,ROW()-1,14),ROW()-1,FALSE))</x:f>
        <x:v>3.4536009999999999</x:v>
      </x:c>
      <x:c r="J735">
        <x:f ca="1">IF(AND($B$1012=1,LEN($J$1723)&gt;0),$J$1723,HLOOKUP(INDIRECT(ADDRESS(2,COLUMN())),OFFSET($T$2,0,0,ROW()-1,14),ROW()-1,FALSE))</x:f>
        <x:v>10.935025</x:v>
      </x:c>
      <x:c r="K735">
        <x:f ca="1">IF(AND($B$1012=1,LEN($K$1723)&gt;0),$K$1723,HLOOKUP(INDIRECT(ADDRESS(2,COLUMN())),OFFSET($T$2,0,0,ROW()-1,14),ROW()-1,FALSE))</x:f>
        <x:v>4.7820489999999998</x:v>
      </x:c>
      <x:c r="L735">
        <x:f ca="1">IF(AND($B$1012=1,LEN($L$1723)&gt;0),$L$1723,HLOOKUP(INDIRECT(ADDRESS(2,COLUMN())),OFFSET($T$2,0,0,ROW()-1,14),ROW()-1,FALSE))</x:f>
        <x:v>-10.404627</x:v>
      </x:c>
      <x:c r="M735">
        <x:f ca="1">IF(AND($B$1012=1,LEN($M$1723)&gt;0),$M$1723,HLOOKUP(INDIRECT(ADDRESS(2,COLUMN())),OFFSET($T$2,0,0,ROW()-1,14),ROW()-1,FALSE))</x:f>
        <x:v>-11.463768</x:v>
      </x:c>
      <x:c r="N735">
        <x:f ca="1">IF(AND($B$1012=1,LEN($N$1723)&gt;0),$N$1723,HLOOKUP(INDIRECT(ADDRESS(2,COLUMN())),OFFSET($T$2,0,0,ROW()-1,14),ROW()-1,FALSE))</x:f>
        <x:v>-7.11015</x:v>
      </x:c>
      <x:c r="O735">
        <x:f ca="1">IF(AND($B$1012=1,LEN($O$1723)&gt;0),$O$1723,HLOOKUP(INDIRECT(ADDRESS(2,COLUMN())),OFFSET($T$2,0,0,ROW()-1,14),ROW()-1,FALSE))</x:f>
        <x:v>24.571899999999999</x:v>
      </x:c>
      <x:c r="P735">
        <x:f ca="1">IF(AND($B$1012=1,LEN($P$1723)&gt;0),$P$1723,HLOOKUP(INDIRECT(ADDRESS(2,COLUMN())),OFFSET($T$2,0,0,ROW()-1,14),ROW()-1,FALSE))</x:f>
        <x:v>-6.3480780000000001</x:v>
      </x:c>
      <x:c r="Q735">
        <x:f ca="1">IF(AND($B$1012=1,LEN($Q$1723)&gt;0),$Q$1723,HLOOKUP(INDIRECT(ADDRESS(2,COLUMN())),OFFSET($T$2,0,0,ROW()-1,14),ROW()-1,FALSE))</x:f>
        <x:v>1.8655060000000001</x:v>
      </x:c>
      <x:c r="R735">
        <x:f ca="1">IF(AND($B$1012=1,LEN($R$1723)&gt;0),$R$1723,HLOOKUP(INDIRECT(ADDRESS(2,COLUMN())),OFFSET($T$2,0,0,ROW()-1,14),ROW()-1,FALSE))</x:f>
        <x:v>-8.9345510000000008</x:v>
      </x:c>
      <x:c r="S735">
        <x:f ca="1">IF(AND($B$1012=1,LEN($S$1723)&gt;0),$S$1723,HLOOKUP(INDIRECT(ADDRESS(2,COLUMN())),OFFSET($T$2,0,0,ROW()-1,14),ROW()-1,FALSE))</x:f>
        <x:v>-0.52579699999999996</x:v>
      </x:c>
      <x:c r="T735">
        <x:f>-8.373253</x:f>
        <x:v>-8.3732530000000001</x:v>
      </x:c>
      <x:c r="U735">
        <x:f>-17.54324</x:f>
        <x:v>-17.543240000000001</x:v>
      </x:c>
      <x:c r="V735">
        <x:f>-9.149883</x:f>
        <x:v>-9.1498830000000009</x:v>
      </x:c>
      <x:c r="W735">
        <x:f>3.453601</x:f>
        <x:v>3.4536009999999999</x:v>
      </x:c>
      <x:c r="X735">
        <x:f>10.935025</x:f>
        <x:v>10.935025</x:v>
      </x:c>
      <x:c r="Y735">
        <x:f>4.782049</x:f>
        <x:v>4.7820489999999998</x:v>
      </x:c>
      <x:c r="Z735">
        <x:f>-10.404627</x:f>
        <x:v>-10.404627</x:v>
      </x:c>
      <x:c r="AA735">
        <x:f>-11.463768</x:f>
        <x:v>-11.463768</x:v>
      </x:c>
      <x:c r="AB735">
        <x:f>-7.11015</x:f>
        <x:v>-7.11015</x:v>
      </x:c>
      <x:c r="AC735">
        <x:f>24.5719</x:f>
        <x:v>24.571899999999999</x:v>
      </x:c>
      <x:c r="AD735">
        <x:f>-6.348078</x:f>
        <x:v>-6.3480780000000001</x:v>
      </x:c>
      <x:c r="AE735">
        <x:f>1.865506</x:f>
        <x:v>1.8655060000000001</x:v>
      </x:c>
      <x:c r="AF735">
        <x:f>-8.934551</x:f>
        <x:v>-8.9345510000000008</x:v>
      </x:c>
      <x:c r="AG735">
        <x:f>-0.525797</x:f>
        <x:v>-0.52579699999999996</x:v>
      </x:c>
    </x:row>
    <x:row r="736" spans="1:33" x14ac:dyDescent="0.25">
      <x:c r="A736" t="str">
        <x:f>"            Invesco S&amp;P Global Water Index"</x:f>
        <x:v xml:space="preserve">            Invesco S&amp;P Global Water Index</x:v>
      </x:c>
      <x:c r="B736" t="str">
        <x:f>"CGW US Equity"</x:f>
        <x:v>CGW US Equity</x:v>
      </x:c>
      <x:c r="E736" t="str">
        <x:f t="shared" si="27"/>
        <x:v>Expression</x:v>
      </x:c>
      <x:c r="F736">
        <x:f ca="1">IF(AND($B$1012=1,LEN($F$1724)&gt;0),$F$1724,HLOOKUP(INDIRECT(ADDRESS(2,COLUMN())),OFFSET($T$2,0,0,ROW()-1,14),ROW()-1,FALSE))</x:f>
        <x:v>-11.737114</x:v>
      </x:c>
      <x:c r="G736">
        <x:f ca="1">IF(AND($B$1012=1,LEN($G$1724)&gt;0),$G$1724,HLOOKUP(INDIRECT(ADDRESS(2,COLUMN())),OFFSET($T$2,0,0,ROW()-1,14),ROW()-1,FALSE))</x:f>
        <x:v>-18.412780999999999</x:v>
      </x:c>
      <x:c r="H736">
        <x:f ca="1">IF(AND($B$1012=1,LEN($H$1724)&gt;0),$H$1724,HLOOKUP(INDIRECT(ADDRESS(2,COLUMN())),OFFSET($T$2,0,0,ROW()-1,14),ROW()-1,FALSE))</x:f>
        <x:v>-3.8050329999999999</x:v>
      </x:c>
      <x:c r="I736">
        <x:f ca="1">IF(AND($B$1012=1,LEN($I$1724)&gt;0),$I$1724,HLOOKUP(INDIRECT(ADDRESS(2,COLUMN())),OFFSET($T$2,0,0,ROW()-1,14),ROW()-1,FALSE))</x:f>
        <x:v>-8.0946859999999994</x:v>
      </x:c>
      <x:c r="J736">
        <x:f ca="1">IF(AND($B$1012=1,LEN($J$1724)&gt;0),$J$1724,HLOOKUP(INDIRECT(ADDRESS(2,COLUMN())),OFFSET($T$2,0,0,ROW()-1,14),ROW()-1,FALSE))</x:f>
        <x:v>-8.6660810000000001</x:v>
      </x:c>
      <x:c r="K736">
        <x:f ca="1">IF(AND($B$1012=1,LEN($K$1724)&gt;0),$K$1724,HLOOKUP(INDIRECT(ADDRESS(2,COLUMN())),OFFSET($T$2,0,0,ROW()-1,14),ROW()-1,FALSE))</x:f>
        <x:v>-4.0673899999999996</x:v>
      </x:c>
      <x:c r="L736">
        <x:f ca="1">IF(AND($B$1012=1,LEN($L$1724)&gt;0),$L$1724,HLOOKUP(INDIRECT(ADDRESS(2,COLUMN())),OFFSET($T$2,0,0,ROW()-1,14),ROW()-1,FALSE))</x:f>
        <x:v>-11.807153</x:v>
      </x:c>
      <x:c r="M736">
        <x:f ca="1">IF(AND($B$1012=1,LEN($M$1724)&gt;0),$M$1724,HLOOKUP(INDIRECT(ADDRESS(2,COLUMN())),OFFSET($T$2,0,0,ROW()-1,14),ROW()-1,FALSE))</x:f>
        <x:v>-0.49200199999999999</x:v>
      </x:c>
      <x:c r="N736">
        <x:f ca="1">IF(AND($B$1012=1,LEN($N$1724)&gt;0),$N$1724,HLOOKUP(INDIRECT(ADDRESS(2,COLUMN())),OFFSET($T$2,0,0,ROW()-1,14),ROW()-1,FALSE))</x:f>
        <x:v>-3.8462990000000001</x:v>
      </x:c>
      <x:c r="O736">
        <x:f ca="1">IF(AND($B$1012=1,LEN($O$1724)&gt;0),$O$1724,HLOOKUP(INDIRECT(ADDRESS(2,COLUMN())),OFFSET($T$2,0,0,ROW()-1,14),ROW()-1,FALSE))</x:f>
        <x:v>-36.519781999999999</x:v>
      </x:c>
      <x:c r="P736">
        <x:f ca="1">IF(AND($B$1012=1,LEN($P$1724)&gt;0),$P$1724,HLOOKUP(INDIRECT(ADDRESS(2,COLUMN())),OFFSET($T$2,0,0,ROW()-1,14),ROW()-1,FALSE))</x:f>
        <x:v>3.9867919999999999</x:v>
      </x:c>
      <x:c r="Q736">
        <x:f ca="1">IF(AND($B$1012=1,LEN($Q$1724)&gt;0),$Q$1724,HLOOKUP(INDIRECT(ADDRESS(2,COLUMN())),OFFSET($T$2,0,0,ROW()-1,14),ROW()-1,FALSE))</x:f>
        <x:v>0</x:v>
      </x:c>
      <x:c r="R736">
        <x:f ca="1">IF(AND($B$1012=1,LEN($R$1724)&gt;0),$R$1724,HLOOKUP(INDIRECT(ADDRESS(2,COLUMN())),OFFSET($T$2,0,0,ROW()-1,14),ROW()-1,FALSE))</x:f>
        <x:v>-3.9195000000000002</x:v>
      </x:c>
      <x:c r="S736">
        <x:f ca="1">IF(AND($B$1012=1,LEN($S$1724)&gt;0),$S$1724,HLOOKUP(INDIRECT(ADDRESS(2,COLUMN())),OFFSET($T$2,0,0,ROW()-1,14),ROW()-1,FALSE))</x:f>
        <x:v>0</x:v>
      </x:c>
      <x:c r="T736">
        <x:f>-11.737114</x:f>
        <x:v>-11.737114</x:v>
      </x:c>
      <x:c r="U736">
        <x:f>-18.412781</x:f>
        <x:v>-18.412780999999999</x:v>
      </x:c>
      <x:c r="V736">
        <x:f>-3.805033</x:f>
        <x:v>-3.8050329999999999</x:v>
      </x:c>
      <x:c r="W736">
        <x:f>-8.094686</x:f>
        <x:v>-8.0946859999999994</x:v>
      </x:c>
      <x:c r="X736">
        <x:f>-8.666081</x:f>
        <x:v>-8.6660810000000001</x:v>
      </x:c>
      <x:c r="Y736">
        <x:f>-4.06739</x:f>
        <x:v>-4.0673899999999996</x:v>
      </x:c>
      <x:c r="Z736">
        <x:f>-11.807153</x:f>
        <x:v>-11.807153</x:v>
      </x:c>
      <x:c r="AA736">
        <x:f>-0.492002</x:f>
        <x:v>-0.49200199999999999</x:v>
      </x:c>
      <x:c r="AB736">
        <x:f>-3.846299</x:f>
        <x:v>-3.8462990000000001</x:v>
      </x:c>
      <x:c r="AC736">
        <x:f>-36.519782</x:f>
        <x:v>-36.519781999999999</x:v>
      </x:c>
      <x:c r="AD736">
        <x:f>3.986792</x:f>
        <x:v>3.9867919999999999</x:v>
      </x:c>
      <x:c r="AE736">
        <x:f>0</x:f>
        <x:v>0</x:v>
      </x:c>
      <x:c r="AF736">
        <x:f>-3.9195</x:f>
        <x:v>-3.9195000000000002</x:v>
      </x:c>
      <x:c r="AG736">
        <x:f>0</x:f>
        <x:v>0</x:v>
      </x:c>
    </x:row>
    <x:row r="737" spans="1:33" x14ac:dyDescent="0.25">
      <x:c r="A737" t="str">
        <x:f>"            Ecofin Global Water ESG Fund"</x:f>
        <x:v xml:space="preserve">            Ecofin Global Water ESG Fund</x:v>
      </x:c>
      <x:c r="B737" t="str">
        <x:f>"EBLU US Equity"</x:f>
        <x:v>EBLU US Equity</x:v>
      </x:c>
      <x:c r="E737" t="str">
        <x:f t="shared" si="27"/>
        <x:v>Expression</x:v>
      </x:c>
      <x:c r="F737">
        <x:f ca="1">IF(AND($B$1012=1,LEN($F$1725)&gt;0),$F$1725,HLOOKUP(INDIRECT(ADDRESS(2,COLUMN())),OFFSET($T$2,0,0,ROW()-1,14),ROW()-1,FALSE))</x:f>
        <x:v>0</x:v>
      </x:c>
      <x:c r="G737">
        <x:f ca="1">IF(AND($B$1012=1,LEN($G$1725)&gt;0),$G$1725,HLOOKUP(INDIRECT(ADDRESS(2,COLUMN())),OFFSET($T$2,0,0,ROW()-1,14),ROW()-1,FALSE))</x:f>
        <x:v>0</x:v>
      </x:c>
      <x:c r="H737">
        <x:f ca="1">IF(AND($B$1012=1,LEN($H$1725)&gt;0),$H$1725,HLOOKUP(INDIRECT(ADDRESS(2,COLUMN())),OFFSET($T$2,0,0,ROW()-1,14),ROW()-1,FALSE))</x:f>
        <x:v>-1.9808349999999999</x:v>
      </x:c>
      <x:c r="I737">
        <x:f ca="1">IF(AND($B$1012=1,LEN($I$1725)&gt;0),$I$1725,HLOOKUP(INDIRECT(ADDRESS(2,COLUMN())),OFFSET($T$2,0,0,ROW()-1,14),ROW()-1,FALSE))</x:f>
        <x:v>0</x:v>
      </x:c>
      <x:c r="J737">
        <x:f ca="1">IF(AND($B$1012=1,LEN($J$1725)&gt;0),$J$1725,HLOOKUP(INDIRECT(ADDRESS(2,COLUMN())),OFFSET($T$2,0,0,ROW()-1,14),ROW()-1,FALSE))</x:f>
        <x:v>0</x:v>
      </x:c>
      <x:c r="K737">
        <x:f ca="1">IF(AND($B$1012=1,LEN($K$1725)&gt;0),$K$1725,HLOOKUP(INDIRECT(ADDRESS(2,COLUMN())),OFFSET($T$2,0,0,ROW()-1,14),ROW()-1,FALSE))</x:f>
        <x:v>0</x:v>
      </x:c>
      <x:c r="L737">
        <x:f ca="1">IF(AND($B$1012=1,LEN($L$1725)&gt;0),$L$1725,HLOOKUP(INDIRECT(ADDRESS(2,COLUMN())),OFFSET($T$2,0,0,ROW()-1,14),ROW()-1,FALSE))</x:f>
        <x:v>0</x:v>
      </x:c>
      <x:c r="M737">
        <x:f ca="1">IF(AND($B$1012=1,LEN($M$1725)&gt;0),$M$1725,HLOOKUP(INDIRECT(ADDRESS(2,COLUMN())),OFFSET($T$2,0,0,ROW()-1,14),ROW()-1,FALSE))</x:f>
        <x:v>-1.9825649999999999</x:v>
      </x:c>
      <x:c r="N737">
        <x:f ca="1">IF(AND($B$1012=1,LEN($N$1725)&gt;0),$N$1725,HLOOKUP(INDIRECT(ADDRESS(2,COLUMN())),OFFSET($T$2,0,0,ROW()-1,14),ROW()-1,FALSE))</x:f>
        <x:v>-1.89622</x:v>
      </x:c>
      <x:c r="O737">
        <x:f ca="1">IF(AND($B$1012=1,LEN($O$1725)&gt;0),$O$1725,HLOOKUP(INDIRECT(ADDRESS(2,COLUMN())),OFFSET($T$2,0,0,ROW()-1,14),ROW()-1,FALSE))</x:f>
        <x:v>0</x:v>
      </x:c>
      <x:c r="P737">
        <x:f ca="1">IF(AND($B$1012=1,LEN($P$1725)&gt;0),$P$1725,HLOOKUP(INDIRECT(ADDRESS(2,COLUMN())),OFFSET($T$2,0,0,ROW()-1,14),ROW()-1,FALSE))</x:f>
        <x:v>-9.7608999999999995</x:v>
      </x:c>
      <x:c r="Q737">
        <x:f ca="1">IF(AND($B$1012=1,LEN($Q$1725)&gt;0),$Q$1725,HLOOKUP(INDIRECT(ADDRESS(2,COLUMN())),OFFSET($T$2,0,0,ROW()-1,14),ROW()-1,FALSE))</x:f>
        <x:v>-1.864045</x:v>
      </x:c>
      <x:c r="R737">
        <x:f ca="1">IF(AND($B$1012=1,LEN($R$1725)&gt;0),$R$1725,HLOOKUP(INDIRECT(ADDRESS(2,COLUMN())),OFFSET($T$2,0,0,ROW()-1,14),ROW()-1,FALSE))</x:f>
        <x:v>-1.7499150000000001</x:v>
      </x:c>
      <x:c r="S737">
        <x:f ca="1">IF(AND($B$1012=1,LEN($S$1725)&gt;0),$S$1725,HLOOKUP(INDIRECT(ADDRESS(2,COLUMN())),OFFSET($T$2,0,0,ROW()-1,14),ROW()-1,FALSE))</x:f>
        <x:v>0</x:v>
      </x:c>
      <x:c r="T737">
        <x:f>0</x:f>
        <x:v>0</x:v>
      </x:c>
      <x:c r="U737">
        <x:f>0</x:f>
        <x:v>0</x:v>
      </x:c>
      <x:c r="V737">
        <x:f>-1.980835</x:f>
        <x:v>-1.9808349999999999</x:v>
      </x:c>
      <x:c r="W737">
        <x:f>0</x:f>
        <x:v>0</x:v>
      </x:c>
      <x:c r="X737">
        <x:f>0</x:f>
        <x:v>0</x:v>
      </x:c>
      <x:c r="Y737">
        <x:f>0</x:f>
        <x:v>0</x:v>
      </x:c>
      <x:c r="Z737">
        <x:f>0</x:f>
        <x:v>0</x:v>
      </x:c>
      <x:c r="AA737">
        <x:f>-1.982565</x:f>
        <x:v>-1.9825649999999999</x:v>
      </x:c>
      <x:c r="AB737">
        <x:f>-1.89622</x:f>
        <x:v>-1.89622</x:v>
      </x:c>
      <x:c r="AC737">
        <x:f>0</x:f>
        <x:v>0</x:v>
      </x:c>
      <x:c r="AD737">
        <x:f>-9.7609</x:f>
        <x:v>-9.7608999999999995</x:v>
      </x:c>
      <x:c r="AE737">
        <x:f>-1.864045</x:f>
        <x:v>-1.864045</x:v>
      </x:c>
      <x:c r="AF737">
        <x:f>-1.749915</x:f>
        <x:v>-1.7499150000000001</x:v>
      </x:c>
      <x:c r="AG737">
        <x:f>0</x:f>
        <x:v>0</x:v>
      </x:c>
    </x:row>
    <x:row r="738" spans="1:33" x14ac:dyDescent="0.25">
      <x:c r="A738" t="str">
        <x:f>"            First Trust Water ETF"</x:f>
        <x:v xml:space="preserve">            First Trust Water ETF</x:v>
      </x:c>
      <x:c r="B738" t="str">
        <x:f>"FIW US Equity"</x:f>
        <x:v>FIW US Equity</x:v>
      </x:c>
      <x:c r="E738" t="str">
        <x:f t="shared" si="27"/>
        <x:v>Expression</x:v>
      </x:c>
      <x:c r="F738">
        <x:f ca="1">IF(AND($B$1012=1,LEN($F$1726)&gt;0),$F$1726,HLOOKUP(INDIRECT(ADDRESS(2,COLUMN())),OFFSET($T$2,0,0,ROW()-1,14),ROW()-1,FALSE))</x:f>
        <x:v>-3.9383490000000001</x:v>
      </x:c>
      <x:c r="G738">
        <x:f ca="1">IF(AND($B$1012=1,LEN($G$1726)&gt;0),$G$1726,HLOOKUP(INDIRECT(ADDRESS(2,COLUMN())),OFFSET($T$2,0,0,ROW()-1,14),ROW()-1,FALSE))</x:f>
        <x:v>-8.1658589999999993</x:v>
      </x:c>
      <x:c r="H738">
        <x:f ca="1">IF(AND($B$1012=1,LEN($H$1726)&gt;0),$H$1726,HLOOKUP(INDIRECT(ADDRESS(2,COLUMN())),OFFSET($T$2,0,0,ROW()-1,14),ROW()-1,FALSE))</x:f>
        <x:v>5.0781859999999996</x:v>
      </x:c>
      <x:c r="I738">
        <x:f ca="1">IF(AND($B$1012=1,LEN($I$1726)&gt;0),$I$1726,HLOOKUP(INDIRECT(ADDRESS(2,COLUMN())),OFFSET($T$2,0,0,ROW()-1,14),ROW()-1,FALSE))</x:f>
        <x:v>8.9849999999999994</x:v>
      </x:c>
      <x:c r="J738">
        <x:f ca="1">IF(AND($B$1012=1,LEN($J$1726)&gt;0),$J$1726,HLOOKUP(INDIRECT(ADDRESS(2,COLUMN())),OFFSET($T$2,0,0,ROW()-1,14),ROW()-1,FALSE))</x:f>
        <x:v>9.0545000000000009</x:v>
      </x:c>
      <x:c r="K738">
        <x:f ca="1">IF(AND($B$1012=1,LEN($K$1726)&gt;0),$K$1726,HLOOKUP(INDIRECT(ADDRESS(2,COLUMN())),OFFSET($T$2,0,0,ROW()-1,14),ROW()-1,FALSE))</x:f>
        <x:v>8.8544999999999998</x:v>
      </x:c>
      <x:c r="L738">
        <x:f ca="1">IF(AND($B$1012=1,LEN($L$1726)&gt;0),$L$1726,HLOOKUP(INDIRECT(ADDRESS(2,COLUMN())),OFFSET($T$2,0,0,ROW()-1,14),ROW()-1,FALSE))</x:f>
        <x:v>16.728999999999999</x:v>
      </x:c>
      <x:c r="M738">
        <x:f ca="1">IF(AND($B$1012=1,LEN($M$1726)&gt;0),$M$1726,HLOOKUP(INDIRECT(ADDRESS(2,COLUMN())),OFFSET($T$2,0,0,ROW()-1,14),ROW()-1,FALSE))</x:f>
        <x:v>12.180999999999999</x:v>
      </x:c>
      <x:c r="N738">
        <x:f ca="1">IF(AND($B$1012=1,LEN($N$1726)&gt;0),$N$1726,HLOOKUP(INDIRECT(ADDRESS(2,COLUMN())),OFFSET($T$2,0,0,ROW()-1,14),ROW()-1,FALSE))</x:f>
        <x:v>-2.8969999999999998</x:v>
      </x:c>
      <x:c r="O738">
        <x:f ca="1">IF(AND($B$1012=1,LEN($O$1726)&gt;0),$O$1726,HLOOKUP(INDIRECT(ADDRESS(2,COLUMN())),OFFSET($T$2,0,0,ROW()-1,14),ROW()-1,FALSE))</x:f>
        <x:v>4.2575000000000003</x:v>
      </x:c>
      <x:c r="P738">
        <x:f ca="1">IF(AND($B$1012=1,LEN($P$1726)&gt;0),$P$1726,HLOOKUP(INDIRECT(ADDRESS(2,COLUMN())),OFFSET($T$2,0,0,ROW()-1,14),ROW()-1,FALSE))</x:f>
        <x:v>-20.616499999999998</x:v>
      </x:c>
      <x:c r="Q738">
        <x:f ca="1">IF(AND($B$1012=1,LEN($Q$1726)&gt;0),$Q$1726,HLOOKUP(INDIRECT(ADDRESS(2,COLUMN())),OFFSET($T$2,0,0,ROW()-1,14),ROW()-1,FALSE))</x:f>
        <x:v>0</x:v>
      </x:c>
      <x:c r="R738">
        <x:f ca="1">IF(AND($B$1012=1,LEN($R$1726)&gt;0),$R$1726,HLOOKUP(INDIRECT(ADDRESS(2,COLUMN())),OFFSET($T$2,0,0,ROW()-1,14),ROW()-1,FALSE))</x:f>
        <x:v>-11.647243</x:v>
      </x:c>
      <x:c r="S738">
        <x:f ca="1">IF(AND($B$1012=1,LEN($S$1726)&gt;0),$S$1726,HLOOKUP(INDIRECT(ADDRESS(2,COLUMN())),OFFSET($T$2,0,0,ROW()-1,14),ROW()-1,FALSE))</x:f>
        <x:v>-3.6780349999999999</x:v>
      </x:c>
      <x:c r="T738">
        <x:f>-3.938349</x:f>
        <x:v>-3.9383490000000001</x:v>
      </x:c>
      <x:c r="U738">
        <x:f>-8.165859</x:f>
        <x:v>-8.1658589999999993</x:v>
      </x:c>
      <x:c r="V738">
        <x:f>5.078186</x:f>
        <x:v>5.0781859999999996</x:v>
      </x:c>
      <x:c r="W738">
        <x:f>8.985</x:f>
        <x:v>8.9849999999999994</x:v>
      </x:c>
      <x:c r="X738">
        <x:f>9.0545</x:f>
        <x:v>9.0545000000000009</x:v>
      </x:c>
      <x:c r="Y738">
        <x:f>8.8545</x:f>
        <x:v>8.8544999999999998</x:v>
      </x:c>
      <x:c r="Z738">
        <x:f>16.729</x:f>
        <x:v>16.728999999999999</x:v>
      </x:c>
      <x:c r="AA738">
        <x:f>12.181</x:f>
        <x:v>12.180999999999999</x:v>
      </x:c>
      <x:c r="AB738">
        <x:f>-2.897</x:f>
        <x:v>-2.8969999999999998</x:v>
      </x:c>
      <x:c r="AC738">
        <x:f>4.2575</x:f>
        <x:v>4.2575000000000003</x:v>
      </x:c>
      <x:c r="AD738">
        <x:f>-20.6165</x:f>
        <x:v>-20.616499999999998</x:v>
      </x:c>
      <x:c r="AE738">
        <x:f>0</x:f>
        <x:v>0</x:v>
      </x:c>
      <x:c r="AF738">
        <x:f>-11.647243</x:f>
        <x:v>-11.647243</x:v>
      </x:c>
      <x:c r="AG738">
        <x:f>-3.678035</x:f>
        <x:v>-3.6780349999999999</x:v>
      </x:c>
    </x:row>
    <x:row r="739" spans="1:33" x14ac:dyDescent="0.25">
      <x:c r="A739" t="str">
        <x:f>"            Global X Clean Water ETF"</x:f>
        <x:v xml:space="preserve">            Global X Clean Water ETF</x:v>
      </x:c>
      <x:c r="B739" t="str">
        <x:f>"AQWA US Equity"</x:f>
        <x:v>AQWA US Equity</x:v>
      </x:c>
      <x:c r="E739" t="str">
        <x:f t="shared" si="27"/>
        <x:v>Expression</x:v>
      </x:c>
      <x:c r="F739">
        <x:f ca="1">IF(AND($B$1012=1,LEN($F$1727)&gt;0),$F$1727,HLOOKUP(INDIRECT(ADDRESS(2,COLUMN())),OFFSET($T$2,0,0,ROW()-1,14),ROW()-1,FALSE))</x:f>
        <x:v>0</x:v>
      </x:c>
      <x:c r="G739">
        <x:f ca="1">IF(AND($B$1012=1,LEN($G$1727)&gt;0),$G$1727,HLOOKUP(INDIRECT(ADDRESS(2,COLUMN())),OFFSET($T$2,0,0,ROW()-1,14),ROW()-1,FALSE))</x:f>
        <x:v>0</x:v>
      </x:c>
      <x:c r="H739">
        <x:f ca="1">IF(AND($B$1012=1,LEN($H$1727)&gt;0),$H$1727,HLOOKUP(INDIRECT(ADDRESS(2,COLUMN())),OFFSET($T$2,0,0,ROW()-1,14),ROW()-1,FALSE))</x:f>
        <x:v>0</x:v>
      </x:c>
      <x:c r="I739">
        <x:f ca="1">IF(AND($B$1012=1,LEN($I$1727)&gt;0),$I$1727,HLOOKUP(INDIRECT(ADDRESS(2,COLUMN())),OFFSET($T$2,0,0,ROW()-1,14),ROW()-1,FALSE))</x:f>
        <x:v>0.61199999999999999</x:v>
      </x:c>
      <x:c r="J739">
        <x:f ca="1">IF(AND($B$1012=1,LEN($J$1727)&gt;0),$J$1727,HLOOKUP(INDIRECT(ADDRESS(2,COLUMN())),OFFSET($T$2,0,0,ROW()-1,14),ROW()-1,FALSE))</x:f>
        <x:v>0.312</x:v>
      </x:c>
      <x:c r="K739">
        <x:f ca="1">IF(AND($B$1012=1,LEN($K$1727)&gt;0),$K$1727,HLOOKUP(INDIRECT(ADDRESS(2,COLUMN())),OFFSET($T$2,0,0,ROW()-1,14),ROW()-1,FALSE))</x:f>
        <x:v>-0.45929999999999999</x:v>
      </x:c>
      <x:c r="L739">
        <x:f ca="1">IF(AND($B$1012=1,LEN($L$1727)&gt;0),$L$1727,HLOOKUP(INDIRECT(ADDRESS(2,COLUMN())),OFFSET($T$2,0,0,ROW()-1,14),ROW()-1,FALSE))</x:f>
        <x:v>0</x:v>
      </x:c>
      <x:c r="M739">
        <x:f ca="1">IF(AND($B$1012=1,LEN($M$1727)&gt;0),$M$1727,HLOOKUP(INDIRECT(ADDRESS(2,COLUMN())),OFFSET($T$2,0,0,ROW()-1,14),ROW()-1,FALSE))</x:f>
        <x:v>0</x:v>
      </x:c>
      <x:c r="N739">
        <x:f ca="1">IF(AND($B$1012=1,LEN($N$1727)&gt;0),$N$1727,HLOOKUP(INDIRECT(ADDRESS(2,COLUMN())),OFFSET($T$2,0,0,ROW()-1,14),ROW()-1,FALSE))</x:f>
        <x:v>0</x:v>
      </x:c>
      <x:c r="O739">
        <x:f ca="1">IF(AND($B$1012=1,LEN($O$1727)&gt;0),$O$1727,HLOOKUP(INDIRECT(ADDRESS(2,COLUMN())),OFFSET($T$2,0,0,ROW()-1,14),ROW()-1,FALSE))</x:f>
        <x:v>0</x:v>
      </x:c>
      <x:c r="P739">
        <x:f ca="1">IF(AND($B$1012=1,LEN($P$1727)&gt;0),$P$1727,HLOOKUP(INDIRECT(ADDRESS(2,COLUMN())),OFFSET($T$2,0,0,ROW()-1,14),ROW()-1,FALSE))</x:f>
        <x:v>0</x:v>
      </x:c>
      <x:c r="Q739">
        <x:f ca="1">IF(AND($B$1012=1,LEN($Q$1727)&gt;0),$Q$1727,HLOOKUP(INDIRECT(ADDRESS(2,COLUMN())),OFFSET($T$2,0,0,ROW()-1,14),ROW()-1,FALSE))</x:f>
        <x:v>0.71199999999999997</x:v>
      </x:c>
      <x:c r="R739">
        <x:f ca="1">IF(AND($B$1012=1,LEN($R$1727)&gt;0),$R$1727,HLOOKUP(INDIRECT(ADDRESS(2,COLUMN())),OFFSET($T$2,0,0,ROW()-1,14),ROW()-1,FALSE))</x:f>
        <x:v>0</x:v>
      </x:c>
      <x:c r="S739">
        <x:f ca="1">IF(AND($B$1012=1,LEN($S$1727)&gt;0),$S$1727,HLOOKUP(INDIRECT(ADDRESS(2,COLUMN())),OFFSET($T$2,0,0,ROW()-1,14),ROW()-1,FALSE))</x:f>
        <x:v>0</x:v>
      </x:c>
      <x:c r="T739">
        <x:f>0</x:f>
        <x:v>0</x:v>
      </x:c>
      <x:c r="U739">
        <x:f>0</x:f>
        <x:v>0</x:v>
      </x:c>
      <x:c r="V739">
        <x:f>0</x:f>
        <x:v>0</x:v>
      </x:c>
      <x:c r="W739">
        <x:f>0.612</x:f>
        <x:v>0.61199999999999999</x:v>
      </x:c>
      <x:c r="X739">
        <x:f>0.312</x:f>
        <x:v>0.312</x:v>
      </x:c>
      <x:c r="Y739">
        <x:f>-0.4593</x:f>
        <x:v>-0.45929999999999999</x:v>
      </x:c>
      <x:c r="Z739">
        <x:f>0</x:f>
        <x:v>0</x:v>
      </x:c>
      <x:c r="AA739">
        <x:f>0</x:f>
        <x:v>0</x:v>
      </x:c>
      <x:c r="AB739">
        <x:f>0</x:f>
        <x:v>0</x:v>
      </x:c>
      <x:c r="AC739">
        <x:f>0</x:f>
        <x:v>0</x:v>
      </x:c>
      <x:c r="AD739">
        <x:f>0</x:f>
        <x:v>0</x:v>
      </x:c>
      <x:c r="AE739">
        <x:f>0.712</x:f>
        <x:v>0.71199999999999997</x:v>
      </x:c>
      <x:c r="AF739">
        <x:f>0</x:f>
        <x:v>0</x:v>
      </x:c>
      <x:c r="AG739">
        <x:f>0</x:f>
        <x:v>0</x:v>
      </x:c>
    </x:row>
    <x:row r="740" spans="1:33" x14ac:dyDescent="0.25">
      <x:c r="A740" t="str">
        <x:f>"            iShares MSCI Water Management"</x:f>
        <x:v xml:space="preserve">            iShares MSCI Water Management</x:v>
      </x:c>
      <x:c r="B740" t="str">
        <x:f>"IWTR US Equity"</x:f>
        <x:v>IWTR US Equity</x:v>
      </x:c>
      <x:c r="E740" t="str">
        <x:f t="shared" si="27"/>
        <x:v>Expression</x:v>
      </x:c>
      <x:c r="F740">
        <x:f ca="1">IF(AND($B$1012=1,LEN($F$1728)&gt;0),$F$1728,HLOOKUP(INDIRECT(ADDRESS(2,COLUMN())),OFFSET($T$2,0,0,ROW()-1,14),ROW()-1,FALSE))</x:f>
        <x:v>0</x:v>
      </x:c>
      <x:c r="G740">
        <x:f ca="1">IF(AND($B$1012=1,LEN($G$1728)&gt;0),$G$1728,HLOOKUP(INDIRECT(ADDRESS(2,COLUMN())),OFFSET($T$2,0,0,ROW()-1,14),ROW()-1,FALSE))</x:f>
        <x:v>0</x:v>
      </x:c>
      <x:c r="H740">
        <x:f ca="1">IF(AND($B$1012=1,LEN($H$1728)&gt;0),$H$1728,HLOOKUP(INDIRECT(ADDRESS(2,COLUMN())),OFFSET($T$2,0,0,ROW()-1,14),ROW()-1,FALSE))</x:f>
        <x:v>0</x:v>
      </x:c>
      <x:c r="I740">
        <x:f ca="1">IF(AND($B$1012=1,LEN($I$1728)&gt;0),$I$1728,HLOOKUP(INDIRECT(ADDRESS(2,COLUMN())),OFFSET($T$2,0,0,ROW()-1,14),ROW()-1,FALSE))</x:f>
        <x:v>0</x:v>
      </x:c>
      <x:c r="J740">
        <x:f ca="1">IF(AND($B$1012=1,LEN($J$1728)&gt;0),$J$1728,HLOOKUP(INDIRECT(ADDRESS(2,COLUMN())),OFFSET($T$2,0,0,ROW()-1,14),ROW()-1,FALSE))</x:f>
        <x:v>0</x:v>
      </x:c>
      <x:c r="K740">
        <x:f ca="1">IF(AND($B$1012=1,LEN($K$1728)&gt;0),$K$1728,HLOOKUP(INDIRECT(ADDRESS(2,COLUMN())),OFFSET($T$2,0,0,ROW()-1,14),ROW()-1,FALSE))</x:f>
        <x:v>0</x:v>
      </x:c>
      <x:c r="L740">
        <x:f ca="1">IF(AND($B$1012=1,LEN($L$1728)&gt;0),$L$1728,HLOOKUP(INDIRECT(ADDRESS(2,COLUMN())),OFFSET($T$2,0,0,ROW()-1,14),ROW()-1,FALSE))</x:f>
        <x:v>0</x:v>
      </x:c>
      <x:c r="M740">
        <x:f ca="1">IF(AND($B$1012=1,LEN($M$1728)&gt;0),$M$1728,HLOOKUP(INDIRECT(ADDRESS(2,COLUMN())),OFFSET($T$2,0,0,ROW()-1,14),ROW()-1,FALSE))</x:f>
        <x:v>0</x:v>
      </x:c>
      <x:c r="N740">
        <x:f ca="1">IF(AND($B$1012=1,LEN($N$1728)&gt;0),$N$1728,HLOOKUP(INDIRECT(ADDRESS(2,COLUMN())),OFFSET($T$2,0,0,ROW()-1,14),ROW()-1,FALSE))</x:f>
        <x:v>0</x:v>
      </x:c>
      <x:c r="O740">
        <x:f ca="1">IF(AND($B$1012=1,LEN($O$1728)&gt;0),$O$1728,HLOOKUP(INDIRECT(ADDRESS(2,COLUMN())),OFFSET($T$2,0,0,ROW()-1,14),ROW()-1,FALSE))</x:f>
        <x:v>0</x:v>
      </x:c>
      <x:c r="P740">
        <x:f ca="1">IF(AND($B$1012=1,LEN($P$1728)&gt;0),$P$1728,HLOOKUP(INDIRECT(ADDRESS(2,COLUMN())),OFFSET($T$2,0,0,ROW()-1,14),ROW()-1,FALSE))</x:f>
        <x:v>0</x:v>
      </x:c>
      <x:c r="Q740">
        <x:f ca="1">IF(AND($B$1012=1,LEN($Q$1728)&gt;0),$Q$1728,HLOOKUP(INDIRECT(ADDRESS(2,COLUMN())),OFFSET($T$2,0,0,ROW()-1,14),ROW()-1,FALSE))</x:f>
        <x:v>0</x:v>
      </x:c>
      <x:c r="R740">
        <x:f ca="1">IF(AND($B$1012=1,LEN($R$1728)&gt;0),$R$1728,HLOOKUP(INDIRECT(ADDRESS(2,COLUMN())),OFFSET($T$2,0,0,ROW()-1,14),ROW()-1,FALSE))</x:f>
        <x:v>0</x:v>
      </x:c>
      <x:c r="S740">
        <x:f ca="1">IF(AND($B$1012=1,LEN($S$1728)&gt;0),$S$1728,HLOOKUP(INDIRECT(ADDRESS(2,COLUMN())),OFFSET($T$2,0,0,ROW()-1,14),ROW()-1,FALSE))</x:f>
        <x:v>0</x:v>
      </x:c>
      <x:c r="T740">
        <x:f>0</x:f>
        <x:v>0</x:v>
      </x:c>
      <x:c r="U740">
        <x:f>0</x:f>
        <x:v>0</x:v>
      </x:c>
      <x:c r="V740">
        <x:f>0</x:f>
        <x:v>0</x:v>
      </x:c>
      <x:c r="W740">
        <x:f>0</x:f>
        <x:v>0</x:v>
      </x:c>
      <x:c r="X740">
        <x:f>0</x:f>
        <x:v>0</x:v>
      </x:c>
      <x:c r="Y740">
        <x:f>0</x:f>
        <x:v>0</x:v>
      </x:c>
      <x:c r="Z740">
        <x:f>0</x:f>
        <x:v>0</x:v>
      </x:c>
      <x:c r="AA740">
        <x:f>0</x:f>
        <x:v>0</x:v>
      </x:c>
      <x:c r="AB740">
        <x:f>0</x:f>
        <x:v>0</x:v>
      </x:c>
      <x:c r="AC740">
        <x:f>0</x:f>
        <x:v>0</x:v>
      </x:c>
      <x:c r="AD740">
        <x:f>0</x:f>
        <x:v>0</x:v>
      </x:c>
      <x:c r="AE740">
        <x:f>0</x:f>
        <x:v>0</x:v>
      </x:c>
      <x:c r="AF740">
        <x:f>0</x:f>
        <x:v>0</x:v>
      </x:c>
      <x:c r="AG740">
        <x:f>0</x:f>
        <x:v>0</x:v>
      </x:c>
    </x:row>
    <x:row r="741" spans="1:33" x14ac:dyDescent="0.25">
      <x:c r="A741" t="str">
        <x:f>"            Sprott Energy Transition Mater"</x:f>
        <x:v xml:space="preserve">            Sprott Energy Transition Mater</x:v>
      </x:c>
      <x:c r="B741" t="str">
        <x:f>"SETM US Equity"</x:f>
        <x:v>SETM US Equity</x:v>
      </x:c>
      <x:c r="E741" t="str">
        <x:f t="shared" si="27"/>
        <x:v>Expression</x:v>
      </x:c>
      <x:c r="F741">
        <x:f ca="1">IF(AND($B$1012=1,LEN($F$1729)&gt;0),$F$1729,HLOOKUP(INDIRECT(ADDRESS(2,COLUMN())),OFFSET($T$2,0,0,ROW()-1,14),ROW()-1,FALSE))</x:f>
        <x:v>1.333515</x:v>
      </x:c>
      <x:c r="G741">
        <x:f ca="1">IF(AND($B$1012=1,LEN($G$1729)&gt;0),$G$1729,HLOOKUP(INDIRECT(ADDRESS(2,COLUMN())),OFFSET($T$2,0,0,ROW()-1,14),ROW()-1,FALSE))</x:f>
        <x:v>0</x:v>
      </x:c>
      <x:c r="H741">
        <x:f ca="1">IF(AND($B$1012=1,LEN($H$1729)&gt;0),$H$1729,HLOOKUP(INDIRECT(ADDRESS(2,COLUMN())),OFFSET($T$2,0,0,ROW()-1,14),ROW()-1,FALSE))</x:f>
        <x:v>1.272537</x:v>
      </x:c>
      <x:c r="I741">
        <x:f ca="1">IF(AND($B$1012=1,LEN($I$1729)&gt;0),$I$1729,HLOOKUP(INDIRECT(ADDRESS(2,COLUMN())),OFFSET($T$2,0,0,ROW()-1,14),ROW()-1,FALSE))</x:f>
        <x:v>1.9459090000000001</x:v>
      </x:c>
      <x:c r="J741">
        <x:f ca="1">IF(AND($B$1012=1,LEN($J$1729)&gt;0),$J$1729,HLOOKUP(INDIRECT(ADDRESS(2,COLUMN())),OFFSET($T$2,0,0,ROW()-1,14),ROW()-1,FALSE))</x:f>
        <x:v>0.87820799999999999</x:v>
      </x:c>
      <x:c r="K741">
        <x:f ca="1">IF(AND($B$1012=1,LEN($K$1729)&gt;0),$K$1729,HLOOKUP(INDIRECT(ADDRESS(2,COLUMN())),OFFSET($T$2,0,0,ROW()-1,14),ROW()-1,FALSE))</x:f>
        <x:v>1.801804</x:v>
      </x:c>
      <x:c r="L741">
        <x:f ca="1">IF(AND($B$1012=1,LEN($L$1729)&gt;0),$L$1729,HLOOKUP(INDIRECT(ADDRESS(2,COLUMN())),OFFSET($T$2,0,0,ROW()-1,14),ROW()-1,FALSE))</x:f>
        <x:v>-1.3373440000000001</x:v>
      </x:c>
      <x:c r="M741">
        <x:f ca="1">IF(AND($B$1012=1,LEN($M$1729)&gt;0),$M$1729,HLOOKUP(INDIRECT(ADDRESS(2,COLUMN())),OFFSET($T$2,0,0,ROW()-1,14),ROW()-1,FALSE))</x:f>
        <x:v>0</x:v>
      </x:c>
      <x:c r="N741">
        <x:f ca="1">IF(AND($B$1012=1,LEN($N$1729)&gt;0),$N$1729,HLOOKUP(INDIRECT(ADDRESS(2,COLUMN())),OFFSET($T$2,0,0,ROW()-1,14),ROW()-1,FALSE))</x:f>
        <x:v>3.1959749999999998</x:v>
      </x:c>
      <x:c r="O741">
        <x:f ca="1">IF(AND($B$1012=1,LEN($O$1729)&gt;0),$O$1729,HLOOKUP(INDIRECT(ADDRESS(2,COLUMN())),OFFSET($T$2,0,0,ROW()-1,14),ROW()-1,FALSE))</x:f>
        <x:v>2.1341139999999998</x:v>
      </x:c>
      <x:c r="P741" t="str">
        <x:f ca="1">IF(AND($B$1012=1,LEN($P$1729)&gt;0),$P$1729,HLOOKUP(INDIRECT(ADDRESS(2,COLUMN())),OFFSET($T$2,0,0,ROW()-1,14),ROW()-1,FALSE))</x:f>
        <x:v/>
      </x:c>
      <x:c r="Q741" t="str">
        <x:f ca="1">IF(AND($B$1012=1,LEN($Q$1729)&gt;0),$Q$1729,HLOOKUP(INDIRECT(ADDRESS(2,COLUMN())),OFFSET($T$2,0,0,ROW()-1,14),ROW()-1,FALSE))</x:f>
        <x:v/>
      </x:c>
      <x:c r="R741" t="str">
        <x:f ca="1">IF(AND($B$1012=1,LEN($R$1729)&gt;0),$R$1729,HLOOKUP(INDIRECT(ADDRESS(2,COLUMN())),OFFSET($T$2,0,0,ROW()-1,14),ROW()-1,FALSE))</x:f>
        <x:v/>
      </x:c>
      <x:c r="S741" t="str">
        <x:f ca="1">IF(AND($B$1012=1,LEN($S$1729)&gt;0),$S$1729,HLOOKUP(INDIRECT(ADDRESS(2,COLUMN())),OFFSET($T$2,0,0,ROW()-1,14),ROW()-1,FALSE))</x:f>
        <x:v/>
      </x:c>
      <x:c r="T741">
        <x:f>1.333515</x:f>
        <x:v>1.333515</x:v>
      </x:c>
      <x:c r="U741">
        <x:f>0</x:f>
        <x:v>0</x:v>
      </x:c>
      <x:c r="V741">
        <x:f>1.272537</x:f>
        <x:v>1.272537</x:v>
      </x:c>
      <x:c r="W741">
        <x:f>1.945909</x:f>
        <x:v>1.9459090000000001</x:v>
      </x:c>
      <x:c r="X741">
        <x:f>0.878208</x:f>
        <x:v>0.87820799999999999</x:v>
      </x:c>
      <x:c r="Y741">
        <x:f>1.801804</x:f>
        <x:v>1.801804</x:v>
      </x:c>
      <x:c r="Z741">
        <x:f>-1.337344</x:f>
        <x:v>-1.3373440000000001</x:v>
      </x:c>
      <x:c r="AA741">
        <x:f>0</x:f>
        <x:v>0</x:v>
      </x:c>
      <x:c r="AB741">
        <x:f>3.195975</x:f>
        <x:v>3.1959749999999998</x:v>
      </x:c>
      <x:c r="AC741">
        <x:f>2.134114</x:f>
        <x:v>2.1341139999999998</x:v>
      </x:c>
      <x:c r="AD741" t="str">
        <x:f>""</x:f>
        <x:v/>
      </x:c>
      <x:c r="AE741" t="str">
        <x:f>""</x:f>
        <x:v/>
      </x:c>
      <x:c r="AF741" t="str">
        <x:f>""</x:f>
        <x:v/>
      </x:c>
      <x:c r="AG741" t="str">
        <x:f>""</x:f>
        <x:v/>
      </x:c>
    </x:row>
    <x:row r="742" spans="1:33" x14ac:dyDescent="0.25">
      <x:c r="A742" t="str">
        <x:f>"            Optica Rare Earth &amp; Critical M"</x:f>
        <x:v xml:space="preserve">            Optica Rare Earth &amp; Critical M</x:v>
      </x:c>
      <x:c r="B742" t="str">
        <x:f>"CRIT US Equity"</x:f>
        <x:v>CRIT US Equity</x:v>
      </x:c>
      <x:c r="E742" t="str">
        <x:f t="shared" si="27"/>
        <x:v>Expression</x:v>
      </x:c>
      <x:c r="F742">
        <x:f ca="1">IF(AND($B$1012=1,LEN($F$1730)&gt;0),$F$1730,HLOOKUP(INDIRECT(ADDRESS(2,COLUMN())),OFFSET($T$2,0,0,ROW()-1,14),ROW()-1,FALSE))</x:f>
        <x:v>0</x:v>
      </x:c>
      <x:c r="G742">
        <x:f ca="1">IF(AND($B$1012=1,LEN($G$1730)&gt;0),$G$1730,HLOOKUP(INDIRECT(ADDRESS(2,COLUMN())),OFFSET($T$2,0,0,ROW()-1,14),ROW()-1,FALSE))</x:f>
        <x:v>0</x:v>
      </x:c>
      <x:c r="H742">
        <x:f ca="1">IF(AND($B$1012=1,LEN($H$1730)&gt;0),$H$1730,HLOOKUP(INDIRECT(ADDRESS(2,COLUMN())),OFFSET($T$2,0,0,ROW()-1,14),ROW()-1,FALSE))</x:f>
        <x:v>0</x:v>
      </x:c>
      <x:c r="I742">
        <x:f ca="1">IF(AND($B$1012=1,LEN($I$1730)&gt;0),$I$1730,HLOOKUP(INDIRECT(ADDRESS(2,COLUMN())),OFFSET($T$2,0,0,ROW()-1,14),ROW()-1,FALSE))</x:f>
        <x:v>0</x:v>
      </x:c>
      <x:c r="J742">
        <x:f ca="1">IF(AND($B$1012=1,LEN($J$1730)&gt;0),$J$1730,HLOOKUP(INDIRECT(ADDRESS(2,COLUMN())),OFFSET($T$2,0,0,ROW()-1,14),ROW()-1,FALSE))</x:f>
        <x:v>0</x:v>
      </x:c>
      <x:c r="K742">
        <x:f ca="1">IF(AND($B$1012=1,LEN($K$1730)&gt;0),$K$1730,HLOOKUP(INDIRECT(ADDRESS(2,COLUMN())),OFFSET($T$2,0,0,ROW()-1,14),ROW()-1,FALSE))</x:f>
        <x:v>0</x:v>
      </x:c>
      <x:c r="L742">
        <x:f ca="1">IF(AND($B$1012=1,LEN($L$1730)&gt;0),$L$1730,HLOOKUP(INDIRECT(ADDRESS(2,COLUMN())),OFFSET($T$2,0,0,ROW()-1,14),ROW()-1,FALSE))</x:f>
        <x:v>0</x:v>
      </x:c>
      <x:c r="M742">
        <x:f ca="1">IF(AND($B$1012=1,LEN($M$1730)&gt;0),$M$1730,HLOOKUP(INDIRECT(ADDRESS(2,COLUMN())),OFFSET($T$2,0,0,ROW()-1,14),ROW()-1,FALSE))</x:f>
        <x:v>0.3886</x:v>
      </x:c>
      <x:c r="N742">
        <x:f ca="1">IF(AND($B$1012=1,LEN($N$1730)&gt;0),$N$1730,HLOOKUP(INDIRECT(ADDRESS(2,COLUMN())),OFFSET($T$2,0,0,ROW()-1,14),ROW()-1,FALSE))</x:f>
        <x:v>-0.2087</x:v>
      </x:c>
      <x:c r="O742">
        <x:f ca="1">IF(AND($B$1012=1,LEN($O$1730)&gt;0),$O$1730,HLOOKUP(INDIRECT(ADDRESS(2,COLUMN())),OFFSET($T$2,0,0,ROW()-1,14),ROW()-1,FALSE))</x:f>
        <x:v>0.40920000000000001</x:v>
      </x:c>
      <x:c r="P742">
        <x:f ca="1">IF(AND($B$1012=1,LEN($P$1730)&gt;0),$P$1730,HLOOKUP(INDIRECT(ADDRESS(2,COLUMN())),OFFSET($T$2,0,0,ROW()-1,14),ROW()-1,FALSE))</x:f>
        <x:v>-0.47799999999999998</x:v>
      </x:c>
      <x:c r="Q742">
        <x:f ca="1">IF(AND($B$1012=1,LEN($Q$1730)&gt;0),$Q$1730,HLOOKUP(INDIRECT(ADDRESS(2,COLUMN())),OFFSET($T$2,0,0,ROW()-1,14),ROW()-1,FALSE))</x:f>
        <x:v>0</x:v>
      </x:c>
      <x:c r="R742">
        <x:f ca="1">IF(AND($B$1012=1,LEN($R$1730)&gt;0),$R$1730,HLOOKUP(INDIRECT(ADDRESS(2,COLUMN())),OFFSET($T$2,0,0,ROW()-1,14),ROW()-1,FALSE))</x:f>
        <x:v>0</x:v>
      </x:c>
      <x:c r="S742">
        <x:f ca="1">IF(AND($B$1012=1,LEN($S$1730)&gt;0),$S$1730,HLOOKUP(INDIRECT(ADDRESS(2,COLUMN())),OFFSET($T$2,0,0,ROW()-1,14),ROW()-1,FALSE))</x:f>
        <x:v>0</x:v>
      </x:c>
      <x:c r="T742">
        <x:f>0</x:f>
        <x:v>0</x:v>
      </x:c>
      <x:c r="U742">
        <x:f>0</x:f>
        <x:v>0</x:v>
      </x:c>
      <x:c r="V742">
        <x:f>0</x:f>
        <x:v>0</x:v>
      </x:c>
      <x:c r="W742">
        <x:f>0</x:f>
        <x:v>0</x:v>
      </x:c>
      <x:c r="X742">
        <x:f>0</x:f>
        <x:v>0</x:v>
      </x:c>
      <x:c r="Y742">
        <x:f>0</x:f>
        <x:v>0</x:v>
      </x:c>
      <x:c r="Z742">
        <x:f>0</x:f>
        <x:v>0</x:v>
      </x:c>
      <x:c r="AA742">
        <x:f>0.3886</x:f>
        <x:v>0.3886</x:v>
      </x:c>
      <x:c r="AB742">
        <x:f>-0.2087</x:f>
        <x:v>-0.2087</x:v>
      </x:c>
      <x:c r="AC742">
        <x:f>0.4092</x:f>
        <x:v>0.40920000000000001</x:v>
      </x:c>
      <x:c r="AD742">
        <x:f>-0.478</x:f>
        <x:v>-0.47799999999999998</x:v>
      </x:c>
      <x:c r="AE742">
        <x:f>0</x:f>
        <x:v>0</x:v>
      </x:c>
      <x:c r="AF742">
        <x:f>0</x:f>
        <x:v>0</x:v>
      </x:c>
      <x:c r="AG742">
        <x:f>0</x:f>
        <x:v>0</x:v>
      </x:c>
    </x:row>
    <x:row r="743" spans="1:33" x14ac:dyDescent="0.25">
      <x:c r="A743" t="str">
        <x:f>"            VanEck Rare Earth/Strategic Me"</x:f>
        <x:v xml:space="preserve">            VanEck Rare Earth/Strategic Me</x:v>
      </x:c>
      <x:c r="B743" t="str">
        <x:f>"REMX US Equity"</x:f>
        <x:v>REMX US Equity</x:v>
      </x:c>
      <x:c r="E743" t="str">
        <x:f t="shared" si="27"/>
        <x:v>Expression</x:v>
      </x:c>
      <x:c r="F743">
        <x:f ca="1">IF(AND($B$1012=1,LEN($F$1731)&gt;0),$F$1731,HLOOKUP(INDIRECT(ADDRESS(2,COLUMN())),OFFSET($T$2,0,0,ROW()-1,14),ROW()-1,FALSE))</x:f>
        <x:v>-14.446527</x:v>
      </x:c>
      <x:c r="G743">
        <x:f ca="1">IF(AND($B$1012=1,LEN($G$1731)&gt;0),$G$1731,HLOOKUP(INDIRECT(ADDRESS(2,COLUMN())),OFFSET($T$2,0,0,ROW()-1,14),ROW()-1,FALSE))</x:f>
        <x:v>-26.807746000000002</x:v>
      </x:c>
      <x:c r="H743">
        <x:f ca="1">IF(AND($B$1012=1,LEN($H$1731)&gt;0),$H$1731,HLOOKUP(INDIRECT(ADDRESS(2,COLUMN())),OFFSET($T$2,0,0,ROW()-1,14),ROW()-1,FALSE))</x:f>
        <x:v>7.124396</x:v>
      </x:c>
      <x:c r="I743">
        <x:f ca="1">IF(AND($B$1012=1,LEN($I$1731)&gt;0),$I$1731,HLOOKUP(INDIRECT(ADDRESS(2,COLUMN())),OFFSET($T$2,0,0,ROW()-1,14),ROW()-1,FALSE))</x:f>
        <x:v>0.70131500000000002</x:v>
      </x:c>
      <x:c r="J743">
        <x:f ca="1">IF(AND($B$1012=1,LEN($J$1731)&gt;0),$J$1731,HLOOKUP(INDIRECT(ADDRESS(2,COLUMN())),OFFSET($T$2,0,0,ROW()-1,14),ROW()-1,FALSE))</x:f>
        <x:v>9.9634E-2</x:v>
      </x:c>
      <x:c r="K743">
        <x:f ca="1">IF(AND($B$1012=1,LEN($K$1731)&gt;0),$K$1731,HLOOKUP(INDIRECT(ADDRESS(2,COLUMN())),OFFSET($T$2,0,0,ROW()-1,14),ROW()-1,FALSE))</x:f>
        <x:v>-1.6784E-2</x:v>
      </x:c>
      <x:c r="L743">
        <x:f ca="1">IF(AND($B$1012=1,LEN($L$1731)&gt;0),$L$1731,HLOOKUP(INDIRECT(ADDRESS(2,COLUMN())),OFFSET($T$2,0,0,ROW()-1,14),ROW()-1,FALSE))</x:f>
        <x:v>-38.103796000000003</x:v>
      </x:c>
      <x:c r="M743">
        <x:f ca="1">IF(AND($B$1012=1,LEN($M$1731)&gt;0),$M$1731,HLOOKUP(INDIRECT(ADDRESS(2,COLUMN())),OFFSET($T$2,0,0,ROW()-1,14),ROW()-1,FALSE))</x:f>
        <x:v>-4.0039509999999998</x:v>
      </x:c>
      <x:c r="N743">
        <x:f ca="1">IF(AND($B$1012=1,LEN($N$1731)&gt;0),$N$1731,HLOOKUP(INDIRECT(ADDRESS(2,COLUMN())),OFFSET($T$2,0,0,ROW()-1,14),ROW()-1,FALSE))</x:f>
        <x:v>19.934545</x:v>
      </x:c>
      <x:c r="O743">
        <x:f ca="1">IF(AND($B$1012=1,LEN($O$1731)&gt;0),$O$1731,HLOOKUP(INDIRECT(ADDRESS(2,COLUMN())),OFFSET($T$2,0,0,ROW()-1,14),ROW()-1,FALSE))</x:f>
        <x:v>-49.646355999999997</x:v>
      </x:c>
      <x:c r="P743">
        <x:f ca="1">IF(AND($B$1012=1,LEN($P$1731)&gt;0),$P$1731,HLOOKUP(INDIRECT(ADDRESS(2,COLUMN())),OFFSET($T$2,0,0,ROW()-1,14),ROW()-1,FALSE))</x:f>
        <x:v>-12.242761</x:v>
      </x:c>
      <x:c r="Q743">
        <x:f ca="1">IF(AND($B$1012=1,LEN($Q$1731)&gt;0),$Q$1731,HLOOKUP(INDIRECT(ADDRESS(2,COLUMN())),OFFSET($T$2,0,0,ROW()-1,14),ROW()-1,FALSE))</x:f>
        <x:v>13.398933</x:v>
      </x:c>
      <x:c r="R743">
        <x:f ca="1">IF(AND($B$1012=1,LEN($R$1731)&gt;0),$R$1731,HLOOKUP(INDIRECT(ADDRESS(2,COLUMN())),OFFSET($T$2,0,0,ROW()-1,14),ROW()-1,FALSE))</x:f>
        <x:v>14.210891999999999</x:v>
      </x:c>
      <x:c r="S743">
        <x:f ca="1">IF(AND($B$1012=1,LEN($S$1731)&gt;0),$S$1731,HLOOKUP(INDIRECT(ADDRESS(2,COLUMN())),OFFSET($T$2,0,0,ROW()-1,14),ROW()-1,FALSE))</x:f>
        <x:v>-33.909998000000002</x:v>
      </x:c>
      <x:c r="T743">
        <x:f>-14.446527</x:f>
        <x:v>-14.446527</x:v>
      </x:c>
      <x:c r="U743">
        <x:f>-26.807746</x:f>
        <x:v>-26.807746000000002</x:v>
      </x:c>
      <x:c r="V743">
        <x:f>7.124396</x:f>
        <x:v>7.124396</x:v>
      </x:c>
      <x:c r="W743">
        <x:f>0.701315</x:f>
        <x:v>0.70131500000000002</x:v>
      </x:c>
      <x:c r="X743">
        <x:f>0.099634</x:f>
        <x:v>9.9634E-2</x:v>
      </x:c>
      <x:c r="Y743">
        <x:f>-0.016784</x:f>
        <x:v>-1.6784E-2</x:v>
      </x:c>
      <x:c r="Z743">
        <x:f>-38.103796</x:f>
        <x:v>-38.103796000000003</x:v>
      </x:c>
      <x:c r="AA743">
        <x:f>-4.003951</x:f>
        <x:v>-4.0039509999999998</x:v>
      </x:c>
      <x:c r="AB743">
        <x:f>19.934545</x:f>
        <x:v>19.934545</x:v>
      </x:c>
      <x:c r="AC743">
        <x:f>-49.646356</x:f>
        <x:v>-49.646355999999997</x:v>
      </x:c>
      <x:c r="AD743">
        <x:f>-12.242761</x:f>
        <x:v>-12.242761</x:v>
      </x:c>
      <x:c r="AE743">
        <x:f>13.398933</x:f>
        <x:v>13.398933</x:v>
      </x:c>
      <x:c r="AF743">
        <x:f>14.210892</x:f>
        <x:v>14.210891999999999</x:v>
      </x:c>
      <x:c r="AG743">
        <x:f>-33.909998</x:f>
        <x:v>-33.909998000000002</x:v>
      </x:c>
    </x:row>
    <x:row r="744" spans="1:33" x14ac:dyDescent="0.25">
      <x:c r="A744" t="str">
        <x:f>"        Infrastructure"</x:f>
        <x:v xml:space="preserve">        Infrastructure</x:v>
      </x:c>
      <x:c r="B744" t="str">
        <x:f>""</x:f>
        <x:v/>
      </x:c>
      <x:c r="E744" t="str">
        <x:f>"Sum"</x:f>
        <x:v>Sum</x:v>
      </x:c>
      <x:c r="F744">
        <x:f ca="1">IF(ISERROR(IF(SUM($F$745:$F$765) = 0, "", SUM($F$745:$F$765))), "", (IF(SUM($F$745:$F$765) = 0, "", SUM($F$745:$F$765))))</x:f>
        <x:v>81.428031000000004</x:v>
      </x:c>
      <x:c r="G744">
        <x:f ca="1">IF(ISERROR(IF(SUM($G$745:$G$765) = 0, "", SUM($G$745:$G$765))), "", (IF(SUM($G$745:$G$765) = 0, "", SUM($G$745:$G$765))))</x:f>
        <x:v>-41.738059000000007</x:v>
      </x:c>
      <x:c r="H744">
        <x:f ca="1">IF(ISERROR(IF(SUM($H$745:$H$765) = 0, "", SUM($H$745:$H$765))), "", (IF(SUM($H$745:$H$765) = 0, "", SUM($H$745:$H$765))))</x:f>
        <x:v>-38.644263000000002</x:v>
      </x:c>
      <x:c r="I744">
        <x:f ca="1">IF(ISERROR(IF(SUM($I$745:$I$765) = 0, "", SUM($I$745:$I$765))), "", (IF(SUM($I$745:$I$765) = 0, "", SUM($I$745:$I$765))))</x:f>
        <x:v>223.93315699999999</x:v>
      </x:c>
      <x:c r="J744">
        <x:f ca="1">IF(ISERROR(IF(SUM($J$745:$J$765) = 0, "", SUM($J$745:$J$765))), "", (IF(SUM($J$745:$J$765) = 0, "", SUM($J$745:$J$765))))</x:f>
        <x:v>338.01260400000001</x:v>
      </x:c>
      <x:c r="K744">
        <x:f ca="1">IF(ISERROR(IF(SUM($K$745:$K$765) = 0, "", SUM($K$745:$K$765))), "", (IF(SUM($K$745:$K$765) = 0, "", SUM($K$745:$K$765))))</x:f>
        <x:v>78.553227000000021</x:v>
      </x:c>
      <x:c r="L744">
        <x:f ca="1">IF(ISERROR(IF(SUM($L$745:$L$765) = 0, "", SUM($L$745:$L$765))), "", (IF(SUM($L$745:$L$765) = 0, "", SUM($L$745:$L$765))))</x:f>
        <x:v>41.52518400000001</x:v>
      </x:c>
      <x:c r="M744">
        <x:f ca="1">IF(ISERROR(IF(SUM($M$745:$M$765) = 0, "", SUM($M$745:$M$765))), "", (IF(SUM($M$745:$M$765) = 0, "", SUM($M$745:$M$765))))</x:f>
        <x:v>-16.847770000000004</x:v>
      </x:c>
      <x:c r="N744">
        <x:f ca="1">IF(ISERROR(IF(SUM($N$745:$N$765) = 0, "", SUM($N$745:$N$765))), "", (IF(SUM($N$745:$N$765) = 0, "", SUM($N$745:$N$765))))</x:f>
        <x:v>187.38784999999996</x:v>
      </x:c>
      <x:c r="O744">
        <x:f ca="1">IF(ISERROR(IF(SUM($O$745:$O$765) = 0, "", SUM($O$745:$O$765))), "", (IF(SUM($O$745:$O$765) = 0, "", SUM($O$745:$O$765))))</x:f>
        <x:v>-120.80783100000001</x:v>
      </x:c>
      <x:c r="P744">
        <x:f ca="1">IF(ISERROR(IF(SUM($P$745:$P$765) = 0, "", SUM($P$745:$P$765))), "", (IF(SUM($P$745:$P$765) = 0, "", SUM($P$745:$P$765))))</x:f>
        <x:v>-405.55084399999998</x:v>
      </x:c>
      <x:c r="Q744">
        <x:f ca="1">IF(ISERROR(IF(SUM($Q$745:$Q$765) = 0, "", SUM($Q$745:$Q$765))), "", (IF(SUM($Q$745:$Q$765) = 0, "", SUM($Q$745:$Q$765))))</x:f>
        <x:v>21.393010000000022</x:v>
      </x:c>
      <x:c r="R744">
        <x:f ca="1">IF(ISERROR(IF(SUM($R$745:$R$765) = 0, "", SUM($R$745:$R$765))), "", (IF(SUM($R$745:$R$765) = 0, "", SUM($R$745:$R$765))))</x:f>
        <x:v>214.26468500000001</x:v>
      </x:c>
      <x:c r="S744">
        <x:f ca="1">IF(ISERROR(IF(SUM($S$745:$S$765) = 0, "", SUM($S$745:$S$765))), "", (IF(SUM($S$745:$S$765) = 0, "", SUM($S$745:$S$765))))</x:f>
        <x:v>127.21500399999999</x:v>
      </x:c>
      <x:c r="T744">
        <x:f>81.428031</x:f>
        <x:v>81.428031000000004</x:v>
      </x:c>
      <x:c r="U744">
        <x:f>-41.738059</x:f>
        <x:v>-41.738059</x:v>
      </x:c>
      <x:c r="V744">
        <x:f>-38.644263</x:f>
        <x:v>-38.644263000000002</x:v>
      </x:c>
      <x:c r="W744">
        <x:f>223.933157</x:f>
        <x:v>223.93315699999999</x:v>
      </x:c>
      <x:c r="X744">
        <x:f>338.012604</x:f>
        <x:v>338.01260400000001</x:v>
      </x:c>
      <x:c r="Y744">
        <x:f>78.553227</x:f>
        <x:v>78.553227000000007</x:v>
      </x:c>
      <x:c r="Z744">
        <x:f>41.525184</x:f>
        <x:v>41.525184000000003</x:v>
      </x:c>
      <x:c r="AA744">
        <x:f>-16.84777</x:f>
        <x:v>-16.847770000000001</x:v>
      </x:c>
      <x:c r="AB744">
        <x:f>187.38785</x:f>
        <x:v>187.38784999999999</x:v>
      </x:c>
      <x:c r="AC744">
        <x:f>-120.807831</x:f>
        <x:v>-120.80783099999999</x:v>
      </x:c>
      <x:c r="AD744">
        <x:f>-405.550844</x:f>
        <x:v>-405.55084399999998</x:v>
      </x:c>
      <x:c r="AE744">
        <x:f>21.39301</x:f>
        <x:v>21.39301</x:v>
      </x:c>
      <x:c r="AF744">
        <x:f>214.264685</x:f>
        <x:v>214.26468499999999</x:v>
      </x:c>
      <x:c r="AG744">
        <x:f>127.215004</x:f>
        <x:v>127.21500399999999</x:v>
      </x:c>
    </x:row>
    <x:row r="745" spans="1:33" x14ac:dyDescent="0.25">
      <x:c r="A745" t="str">
        <x:f>"            KraneShares MSCI One Belt One"</x:f>
        <x:v xml:space="preserve">            KraneShares MSCI One Belt One</x:v>
      </x:c>
      <x:c r="B745" t="str">
        <x:f>"OBOR US Equity"</x:f>
        <x:v>OBOR US Equity</x:v>
      </x:c>
      <x:c r="E745" t="str">
        <x:f t="shared" ref="E745:E765" si="28">"Expression"</x:f>
        <x:v>Expression</x:v>
      </x:c>
      <x:c r="F745">
        <x:f ca="1">IF(AND($B$1012=1,LEN($F$1732)&gt;0),$F$1732,HLOOKUP(INDIRECT(ADDRESS(2,COLUMN())),OFFSET($T$2,0,0,ROW()-1,14),ROW()-1,FALSE))</x:f>
        <x:v>0</x:v>
      </x:c>
      <x:c r="G745">
        <x:f ca="1">IF(AND($B$1012=1,LEN($G$1732)&gt;0),$G$1732,HLOOKUP(INDIRECT(ADDRESS(2,COLUMN())),OFFSET($T$2,0,0,ROW()-1,14),ROW()-1,FALSE))</x:f>
        <x:v>0</x:v>
      </x:c>
      <x:c r="H745">
        <x:f ca="1">IF(AND($B$1012=1,LEN($H$1732)&gt;0),$H$1732,HLOOKUP(INDIRECT(ADDRESS(2,COLUMN())),OFFSET($T$2,0,0,ROW()-1,14),ROW()-1,FALSE))</x:f>
        <x:v>0</x:v>
      </x:c>
      <x:c r="I745">
        <x:f ca="1">IF(AND($B$1012=1,LEN($I$1732)&gt;0),$I$1732,HLOOKUP(INDIRECT(ADDRESS(2,COLUMN())),OFFSET($T$2,0,0,ROW()-1,14),ROW()-1,FALSE))</x:f>
        <x:v>0</x:v>
      </x:c>
      <x:c r="J745">
        <x:f ca="1">IF(AND($B$1012=1,LEN($J$1732)&gt;0),$J$1732,HLOOKUP(INDIRECT(ADDRESS(2,COLUMN())),OFFSET($T$2,0,0,ROW()-1,14),ROW()-1,FALSE))</x:f>
        <x:v>0</x:v>
      </x:c>
      <x:c r="K745">
        <x:f ca="1">IF(AND($B$1012=1,LEN($K$1732)&gt;0),$K$1732,HLOOKUP(INDIRECT(ADDRESS(2,COLUMN())),OFFSET($T$2,0,0,ROW()-1,14),ROW()-1,FALSE))</x:f>
        <x:v>0</x:v>
      </x:c>
      <x:c r="L745">
        <x:f ca="1">IF(AND($B$1012=1,LEN($L$1732)&gt;0),$L$1732,HLOOKUP(INDIRECT(ADDRESS(2,COLUMN())),OFFSET($T$2,0,0,ROW()-1,14),ROW()-1,FALSE))</x:f>
        <x:v>0</x:v>
      </x:c>
      <x:c r="M745">
        <x:f ca="1">IF(AND($B$1012=1,LEN($M$1732)&gt;0),$M$1732,HLOOKUP(INDIRECT(ADDRESS(2,COLUMN())),OFFSET($T$2,0,0,ROW()-1,14),ROW()-1,FALSE))</x:f>
        <x:v>0</x:v>
      </x:c>
      <x:c r="N745">
        <x:f ca="1">IF(AND($B$1012=1,LEN($N$1732)&gt;0),$N$1732,HLOOKUP(INDIRECT(ADDRESS(2,COLUMN())),OFFSET($T$2,0,0,ROW()-1,14),ROW()-1,FALSE))</x:f>
        <x:v>0</x:v>
      </x:c>
      <x:c r="O745">
        <x:f ca="1">IF(AND($B$1012=1,LEN($O$1732)&gt;0),$O$1732,HLOOKUP(INDIRECT(ADDRESS(2,COLUMN())),OFFSET($T$2,0,0,ROW()-1,14),ROW()-1,FALSE))</x:f>
        <x:v>0</x:v>
      </x:c>
      <x:c r="P745">
        <x:f ca="1">IF(AND($B$1012=1,LEN($P$1732)&gt;0),$P$1732,HLOOKUP(INDIRECT(ADDRESS(2,COLUMN())),OFFSET($T$2,0,0,ROW()-1,14),ROW()-1,FALSE))</x:f>
        <x:v>0</x:v>
      </x:c>
      <x:c r="Q745">
        <x:f ca="1">IF(AND($B$1012=1,LEN($Q$1732)&gt;0),$Q$1732,HLOOKUP(INDIRECT(ADDRESS(2,COLUMN())),OFFSET($T$2,0,0,ROW()-1,14),ROW()-1,FALSE))</x:f>
        <x:v>0</x:v>
      </x:c>
      <x:c r="R745">
        <x:f ca="1">IF(AND($B$1012=1,LEN($R$1732)&gt;0),$R$1732,HLOOKUP(INDIRECT(ADDRESS(2,COLUMN())),OFFSET($T$2,0,0,ROW()-1,14),ROW()-1,FALSE))</x:f>
        <x:v>0</x:v>
      </x:c>
      <x:c r="S745">
        <x:f ca="1">IF(AND($B$1012=1,LEN($S$1732)&gt;0),$S$1732,HLOOKUP(INDIRECT(ADDRESS(2,COLUMN())),OFFSET($T$2,0,0,ROW()-1,14),ROW()-1,FALSE))</x:f>
        <x:v>0</x:v>
      </x:c>
      <x:c r="T745">
        <x:f>0</x:f>
        <x:v>0</x:v>
      </x:c>
      <x:c r="U745">
        <x:f>0</x:f>
        <x:v>0</x:v>
      </x:c>
      <x:c r="V745">
        <x:f>0</x:f>
        <x:v>0</x:v>
      </x:c>
      <x:c r="W745">
        <x:f>0</x:f>
        <x:v>0</x:v>
      </x:c>
      <x:c r="X745">
        <x:f>0</x:f>
        <x:v>0</x:v>
      </x:c>
      <x:c r="Y745">
        <x:f>0</x:f>
        <x:v>0</x:v>
      </x:c>
      <x:c r="Z745">
        <x:f>0</x:f>
        <x:v>0</x:v>
      </x:c>
      <x:c r="AA745">
        <x:f>0</x:f>
        <x:v>0</x:v>
      </x:c>
      <x:c r="AB745">
        <x:f>0</x:f>
        <x:v>0</x:v>
      </x:c>
      <x:c r="AC745">
        <x:f>0</x:f>
        <x:v>0</x:v>
      </x:c>
      <x:c r="AD745">
        <x:f>0</x:f>
        <x:v>0</x:v>
      </x:c>
      <x:c r="AE745">
        <x:f>0</x:f>
        <x:v>0</x:v>
      </x:c>
      <x:c r="AF745">
        <x:f>0</x:f>
        <x:v>0</x:v>
      </x:c>
      <x:c r="AG745">
        <x:f>0</x:f>
        <x:v>0</x:v>
      </x:c>
    </x:row>
    <x:row r="746" spans="1:33" x14ac:dyDescent="0.25">
      <x:c r="A746" t="str">
        <x:f>"            SPDR S&amp;P Kensho Intelligent St"</x:f>
        <x:v xml:space="preserve">            SPDR S&amp;P Kensho Intelligent St</x:v>
      </x:c>
      <x:c r="B746" t="str">
        <x:f>"SIMS US Equity"</x:f>
        <x:v>SIMS US Equity</x:v>
      </x:c>
      <x:c r="E746" t="str">
        <x:f t="shared" si="28"/>
        <x:v>Expression</x:v>
      </x:c>
      <x:c r="F746">
        <x:f ca="1">IF(AND($B$1012=1,LEN($F$1733)&gt;0),$F$1733,HLOOKUP(INDIRECT(ADDRESS(2,COLUMN())),OFFSET($T$2,0,0,ROW()-1,14),ROW()-1,FALSE))</x:f>
        <x:v>0</x:v>
      </x:c>
      <x:c r="G746">
        <x:f ca="1">IF(AND($B$1012=1,LEN($G$1733)&gt;0),$G$1733,HLOOKUP(INDIRECT(ADDRESS(2,COLUMN())),OFFSET($T$2,0,0,ROW()-1,14),ROW()-1,FALSE))</x:f>
        <x:v>-0.28559899999999999</x:v>
      </x:c>
      <x:c r="H746">
        <x:f ca="1">IF(AND($B$1012=1,LEN($H$1733)&gt;0),$H$1733,HLOOKUP(INDIRECT(ADDRESS(2,COLUMN())),OFFSET($T$2,0,0,ROW()-1,14),ROW()-1,FALSE))</x:f>
        <x:v>0</x:v>
      </x:c>
      <x:c r="I746">
        <x:f ca="1">IF(AND($B$1012=1,LEN($I$1733)&gt;0),$I$1733,HLOOKUP(INDIRECT(ADDRESS(2,COLUMN())),OFFSET($T$2,0,0,ROW()-1,14),ROW()-1,FALSE))</x:f>
        <x:v>0</x:v>
      </x:c>
      <x:c r="J746">
        <x:f ca="1">IF(AND($B$1012=1,LEN($J$1733)&gt;0),$J$1733,HLOOKUP(INDIRECT(ADDRESS(2,COLUMN())),OFFSET($T$2,0,0,ROW()-1,14),ROW()-1,FALSE))</x:f>
        <x:v>0</x:v>
      </x:c>
      <x:c r="K746">
        <x:f ca="1">IF(AND($B$1012=1,LEN($K$1733)&gt;0),$K$1733,HLOOKUP(INDIRECT(ADDRESS(2,COLUMN())),OFFSET($T$2,0,0,ROW()-1,14),ROW()-1,FALSE))</x:f>
        <x:v>-0.71248900000000004</x:v>
      </x:c>
      <x:c r="L746">
        <x:f ca="1">IF(AND($B$1012=1,LEN($L$1733)&gt;0),$L$1733,HLOOKUP(INDIRECT(ADDRESS(2,COLUMN())),OFFSET($T$2,0,0,ROW()-1,14),ROW()-1,FALSE))</x:f>
        <x:v>-2.6707109999999998</x:v>
      </x:c>
      <x:c r="M746">
        <x:f ca="1">IF(AND($B$1012=1,LEN($M$1733)&gt;0),$M$1733,HLOOKUP(INDIRECT(ADDRESS(2,COLUMN())),OFFSET($T$2,0,0,ROW()-1,14),ROW()-1,FALSE))</x:f>
        <x:v>0</x:v>
      </x:c>
      <x:c r="N746">
        <x:f ca="1">IF(AND($B$1012=1,LEN($N$1733)&gt;0),$N$1733,HLOOKUP(INDIRECT(ADDRESS(2,COLUMN())),OFFSET($T$2,0,0,ROW()-1,14),ROW()-1,FALSE))</x:f>
        <x:v>0</x:v>
      </x:c>
      <x:c r="O746">
        <x:f ca="1">IF(AND($B$1012=1,LEN($O$1733)&gt;0),$O$1733,HLOOKUP(INDIRECT(ADDRESS(2,COLUMN())),OFFSET($T$2,0,0,ROW()-1,14),ROW()-1,FALSE))</x:f>
        <x:v>0.37460599999999999</x:v>
      </x:c>
      <x:c r="P746">
        <x:f ca="1">IF(AND($B$1012=1,LEN($P$1733)&gt;0),$P$1733,HLOOKUP(INDIRECT(ADDRESS(2,COLUMN())),OFFSET($T$2,0,0,ROW()-1,14),ROW()-1,FALSE))</x:f>
        <x:v>-0.35427199999999998</x:v>
      </x:c>
      <x:c r="Q746">
        <x:f ca="1">IF(AND($B$1012=1,LEN($Q$1733)&gt;0),$Q$1733,HLOOKUP(INDIRECT(ADDRESS(2,COLUMN())),OFFSET($T$2,0,0,ROW()-1,14),ROW()-1,FALSE))</x:f>
        <x:v>-2.0167039999999998</x:v>
      </x:c>
      <x:c r="R746">
        <x:f ca="1">IF(AND($B$1012=1,LEN($R$1733)&gt;0),$R$1733,HLOOKUP(INDIRECT(ADDRESS(2,COLUMN())),OFFSET($T$2,0,0,ROW()-1,14),ROW()-1,FALSE))</x:f>
        <x:v>-2.0979760000000001</x:v>
      </x:c>
      <x:c r="S746">
        <x:f ca="1">IF(AND($B$1012=1,LEN($S$1733)&gt;0),$S$1733,HLOOKUP(INDIRECT(ADDRESS(2,COLUMN())),OFFSET($T$2,0,0,ROW()-1,14),ROW()-1,FALSE))</x:f>
        <x:v>-1.25478</x:v>
      </x:c>
      <x:c r="T746">
        <x:f>0</x:f>
        <x:v>0</x:v>
      </x:c>
      <x:c r="U746">
        <x:f>-0.285599</x:f>
        <x:v>-0.28559899999999999</x:v>
      </x:c>
      <x:c r="V746">
        <x:f>0</x:f>
        <x:v>0</x:v>
      </x:c>
      <x:c r="W746">
        <x:f>0</x:f>
        <x:v>0</x:v>
      </x:c>
      <x:c r="X746">
        <x:f>0</x:f>
        <x:v>0</x:v>
      </x:c>
      <x:c r="Y746">
        <x:f>-0.712489</x:f>
        <x:v>-0.71248900000000004</x:v>
      </x:c>
      <x:c r="Z746">
        <x:f>-2.670711</x:f>
        <x:v>-2.6707109999999998</x:v>
      </x:c>
      <x:c r="AA746">
        <x:f>0</x:f>
        <x:v>0</x:v>
      </x:c>
      <x:c r="AB746">
        <x:f>0</x:f>
        <x:v>0</x:v>
      </x:c>
      <x:c r="AC746">
        <x:f>0.374606</x:f>
        <x:v>0.37460599999999999</x:v>
      </x:c>
      <x:c r="AD746">
        <x:f>-0.354272</x:f>
        <x:v>-0.35427199999999998</x:v>
      </x:c>
      <x:c r="AE746">
        <x:f>-2.016704</x:f>
        <x:v>-2.0167039999999998</x:v>
      </x:c>
      <x:c r="AF746">
        <x:f>-2.097976</x:f>
        <x:v>-2.0979760000000001</x:v>
      </x:c>
      <x:c r="AG746">
        <x:f>-1.25478</x:f>
        <x:v>-1.25478</x:v>
      </x:c>
    </x:row>
    <x:row r="747" spans="1:33" x14ac:dyDescent="0.25">
      <x:c r="A747" t="str">
        <x:f>"            iShares US Infrastructure ETF"</x:f>
        <x:v xml:space="preserve">            iShares US Infrastructure ETF</x:v>
      </x:c>
      <x:c r="B747" t="str">
        <x:f>"IFRA US Equity"</x:f>
        <x:v>IFRA US Equity</x:v>
      </x:c>
      <x:c r="E747" t="str">
        <x:f t="shared" si="28"/>
        <x:v>Expression</x:v>
      </x:c>
      <x:c r="F747">
        <x:f ca="1">IF(AND($B$1012=1,LEN($F$1734)&gt;0),$F$1734,HLOOKUP(INDIRECT(ADDRESS(2,COLUMN())),OFFSET($T$2,0,0,ROW()-1,14),ROW()-1,FALSE))</x:f>
        <x:v>14.700488</x:v>
      </x:c>
      <x:c r="G747">
        <x:f ca="1">IF(AND($B$1012=1,LEN($G$1734)&gt;0),$G$1734,HLOOKUP(INDIRECT(ADDRESS(2,COLUMN())),OFFSET($T$2,0,0,ROW()-1,14),ROW()-1,FALSE))</x:f>
        <x:v>21.459016999999999</x:v>
      </x:c>
      <x:c r="H747">
        <x:f ca="1">IF(AND($B$1012=1,LEN($H$1734)&gt;0),$H$1734,HLOOKUP(INDIRECT(ADDRESS(2,COLUMN())),OFFSET($T$2,0,0,ROW()-1,14),ROW()-1,FALSE))</x:f>
        <x:v>4.1200380000000001</x:v>
      </x:c>
      <x:c r="I747">
        <x:f ca="1">IF(AND($B$1012=1,LEN($I$1734)&gt;0),$I$1734,HLOOKUP(INDIRECT(ADDRESS(2,COLUMN())),OFFSET($T$2,0,0,ROW()-1,14),ROW()-1,FALSE))</x:f>
        <x:v>69.902680000000004</x:v>
      </x:c>
      <x:c r="J747">
        <x:f ca="1">IF(AND($B$1012=1,LEN($J$1734)&gt;0),$J$1734,HLOOKUP(INDIRECT(ADDRESS(2,COLUMN())),OFFSET($T$2,0,0,ROW()-1,14),ROW()-1,FALSE))</x:f>
        <x:v>202.71939</x:v>
      </x:c>
      <x:c r="K747">
        <x:f ca="1">IF(AND($B$1012=1,LEN($K$1734)&gt;0),$K$1734,HLOOKUP(INDIRECT(ADDRESS(2,COLUMN())),OFFSET($T$2,0,0,ROW()-1,14),ROW()-1,FALSE))</x:f>
        <x:v>5.7298150000000003</x:v>
      </x:c>
      <x:c r="L747">
        <x:f ca="1">IF(AND($B$1012=1,LEN($L$1734)&gt;0),$L$1734,HLOOKUP(INDIRECT(ADDRESS(2,COLUMN())),OFFSET($T$2,0,0,ROW()-1,14),ROW()-1,FALSE))</x:f>
        <x:v>-1.4385E-2</x:v>
      </x:c>
      <x:c r="M747">
        <x:f ca="1">IF(AND($B$1012=1,LEN($M$1734)&gt;0),$M$1734,HLOOKUP(INDIRECT(ADDRESS(2,COLUMN())),OFFSET($T$2,0,0,ROW()-1,14),ROW()-1,FALSE))</x:f>
        <x:v>3.7188349999999999</x:v>
      </x:c>
      <x:c r="N747">
        <x:f ca="1">IF(AND($B$1012=1,LEN($N$1734)&gt;0),$N$1734,HLOOKUP(INDIRECT(ADDRESS(2,COLUMN())),OFFSET($T$2,0,0,ROW()-1,14),ROW()-1,FALSE))</x:f>
        <x:v>-29.47334</x:v>
      </x:c>
      <x:c r="O747">
        <x:f ca="1">IF(AND($B$1012=1,LEN($O$1734)&gt;0),$O$1734,HLOOKUP(INDIRECT(ADDRESS(2,COLUMN())),OFFSET($T$2,0,0,ROW()-1,14),ROW()-1,FALSE))</x:f>
        <x:v>17.463480000000001</x:v>
      </x:c>
      <x:c r="P747">
        <x:f ca="1">IF(AND($B$1012=1,LEN($P$1734)&gt;0),$P$1734,HLOOKUP(INDIRECT(ADDRESS(2,COLUMN())),OFFSET($T$2,0,0,ROW()-1,14),ROW()-1,FALSE))</x:f>
        <x:v>-5.7978649999999998</x:v>
      </x:c>
      <x:c r="Q747">
        <x:f ca="1">IF(AND($B$1012=1,LEN($Q$1734)&gt;0),$Q$1734,HLOOKUP(INDIRECT(ADDRESS(2,COLUMN())),OFFSET($T$2,0,0,ROW()-1,14),ROW()-1,FALSE))</x:f>
        <x:v>5.2349449999999997</x:v>
      </x:c>
      <x:c r="R747">
        <x:f ca="1">IF(AND($B$1012=1,LEN($R$1734)&gt;0),$R$1734,HLOOKUP(INDIRECT(ADDRESS(2,COLUMN())),OFFSET($T$2,0,0,ROW()-1,14),ROW()-1,FALSE))</x:f>
        <x:v>77.780330000000006</x:v>
      </x:c>
      <x:c r="S747">
        <x:f ca="1">IF(AND($B$1012=1,LEN($S$1734)&gt;0),$S$1734,HLOOKUP(INDIRECT(ADDRESS(2,COLUMN())),OFFSET($T$2,0,0,ROW()-1,14),ROW()-1,FALSE))</x:f>
        <x:v>4.7260000000000003E-2</x:v>
      </x:c>
      <x:c r="T747">
        <x:f>14.700488</x:f>
        <x:v>14.700488</x:v>
      </x:c>
      <x:c r="U747">
        <x:f>21.459017</x:f>
        <x:v>21.459016999999999</x:v>
      </x:c>
      <x:c r="V747">
        <x:f>4.120038</x:f>
        <x:v>4.1200380000000001</x:v>
      </x:c>
      <x:c r="W747">
        <x:f>69.90268</x:f>
        <x:v>69.902680000000004</x:v>
      </x:c>
      <x:c r="X747">
        <x:f>202.71939</x:f>
        <x:v>202.71939</x:v>
      </x:c>
      <x:c r="Y747">
        <x:f>5.729815</x:f>
        <x:v>5.7298150000000003</x:v>
      </x:c>
      <x:c r="Z747">
        <x:f>-0.014385</x:f>
        <x:v>-1.4385E-2</x:v>
      </x:c>
      <x:c r="AA747">
        <x:f>3.718835</x:f>
        <x:v>3.7188349999999999</x:v>
      </x:c>
      <x:c r="AB747">
        <x:f>-29.47334</x:f>
        <x:v>-29.47334</x:v>
      </x:c>
      <x:c r="AC747">
        <x:f>17.46348</x:f>
        <x:v>17.463480000000001</x:v>
      </x:c>
      <x:c r="AD747">
        <x:f>-5.797865</x:f>
        <x:v>-5.7978649999999998</x:v>
      </x:c>
      <x:c r="AE747">
        <x:f>5.234945</x:f>
        <x:v>5.2349449999999997</x:v>
      </x:c>
      <x:c r="AF747">
        <x:f>77.78033</x:f>
        <x:v>77.780330000000006</x:v>
      </x:c>
      <x:c r="AG747">
        <x:f>0.04726</x:f>
        <x:v>4.7260000000000003E-2</x:v>
      </x:c>
    </x:row>
    <x:row r="748" spans="1:33" x14ac:dyDescent="0.25">
      <x:c r="A748" t="str">
        <x:f>"            First Trust North American Ene"</x:f>
        <x:v xml:space="preserve">            First Trust North American Ene</x:v>
      </x:c>
      <x:c r="B748" t="str">
        <x:f>"EMLP US Equity"</x:f>
        <x:v>EMLP US Equity</x:v>
      </x:c>
      <x:c r="E748" t="str">
        <x:f t="shared" si="28"/>
        <x:v>Expression</x:v>
      </x:c>
      <x:c r="F748">
        <x:f ca="1">IF(AND($B$1012=1,LEN($F$1735)&gt;0),$F$1735,HLOOKUP(INDIRECT(ADDRESS(2,COLUMN())),OFFSET($T$2,0,0,ROW()-1,14),ROW()-1,FALSE))</x:f>
        <x:v>-13.376156</x:v>
      </x:c>
      <x:c r="G748">
        <x:f ca="1">IF(AND($B$1012=1,LEN($G$1735)&gt;0),$G$1735,HLOOKUP(INDIRECT(ADDRESS(2,COLUMN())),OFFSET($T$2,0,0,ROW()-1,14),ROW()-1,FALSE))</x:f>
        <x:v>-75.576667</x:v>
      </x:c>
      <x:c r="H748">
        <x:f ca="1">IF(AND($B$1012=1,LEN($H$1735)&gt;0),$H$1735,HLOOKUP(INDIRECT(ADDRESS(2,COLUMN())),OFFSET($T$2,0,0,ROW()-1,14),ROW()-1,FALSE))</x:f>
        <x:v>14.345052000000001</x:v>
      </x:c>
      <x:c r="I748">
        <x:f ca="1">IF(AND($B$1012=1,LEN($I$1735)&gt;0),$I$1735,HLOOKUP(INDIRECT(ADDRESS(2,COLUMN())),OFFSET($T$2,0,0,ROW()-1,14),ROW()-1,FALSE))</x:f>
        <x:v>-15.119446999999999</x:v>
      </x:c>
      <x:c r="J748">
        <x:f ca="1">IF(AND($B$1012=1,LEN($J$1735)&gt;0),$J$1735,HLOOKUP(INDIRECT(ADDRESS(2,COLUMN())),OFFSET($T$2,0,0,ROW()-1,14),ROW()-1,FALSE))</x:f>
        <x:v>-5.7095000000000002</x:v>
      </x:c>
      <x:c r="K748">
        <x:f ca="1">IF(AND($B$1012=1,LEN($K$1735)&gt;0),$K$1735,HLOOKUP(INDIRECT(ADDRESS(2,COLUMN())),OFFSET($T$2,0,0,ROW()-1,14),ROW()-1,FALSE))</x:f>
        <x:v>-22.808</x:v>
      </x:c>
      <x:c r="L748">
        <x:f ca="1">IF(AND($B$1012=1,LEN($L$1735)&gt;0),$L$1735,HLOOKUP(INDIRECT(ADDRESS(2,COLUMN())),OFFSET($T$2,0,0,ROW()-1,14),ROW()-1,FALSE))</x:f>
        <x:v>-34.665999999999997</x:v>
      </x:c>
      <x:c r="M748">
        <x:f ca="1">IF(AND($B$1012=1,LEN($M$1735)&gt;0),$M$1735,HLOOKUP(INDIRECT(ADDRESS(2,COLUMN())),OFFSET($T$2,0,0,ROW()-1,14),ROW()-1,FALSE))</x:f>
        <x:v>-16.193000000000001</x:v>
      </x:c>
      <x:c r="N748">
        <x:f ca="1">IF(AND($B$1012=1,LEN($N$1735)&gt;0),$N$1735,HLOOKUP(INDIRECT(ADDRESS(2,COLUMN())),OFFSET($T$2,0,0,ROW()-1,14),ROW()-1,FALSE))</x:f>
        <x:v>-21.0975</x:v>
      </x:c>
      <x:c r="O748">
        <x:f ca="1">IF(AND($B$1012=1,LEN($O$1735)&gt;0),$O$1735,HLOOKUP(INDIRECT(ADDRESS(2,COLUMN())),OFFSET($T$2,0,0,ROW()-1,14),ROW()-1,FALSE))</x:f>
        <x:v>-88.838499999999996</x:v>
      </x:c>
      <x:c r="P748">
        <x:f ca="1">IF(AND($B$1012=1,LEN($P$1735)&gt;0),$P$1735,HLOOKUP(INDIRECT(ADDRESS(2,COLUMN())),OFFSET($T$2,0,0,ROW()-1,14),ROW()-1,FALSE))</x:f>
        <x:v>-16.3535</x:v>
      </x:c>
      <x:c r="Q748">
        <x:f ca="1">IF(AND($B$1012=1,LEN($Q$1735)&gt;0),$Q$1735,HLOOKUP(INDIRECT(ADDRESS(2,COLUMN())),OFFSET($T$2,0,0,ROW()-1,14),ROW()-1,FALSE))</x:f>
        <x:v>-2.3708E-2</x:v>
      </x:c>
      <x:c r="R748">
        <x:f ca="1">IF(AND($B$1012=1,LEN($R$1735)&gt;0),$R$1735,HLOOKUP(INDIRECT(ADDRESS(2,COLUMN())),OFFSET($T$2,0,0,ROW()-1,14),ROW()-1,FALSE))</x:f>
        <x:v>17.492804</x:v>
      </x:c>
      <x:c r="S748">
        <x:f ca="1">IF(AND($B$1012=1,LEN($S$1735)&gt;0),$S$1735,HLOOKUP(INDIRECT(ADDRESS(2,COLUMN())),OFFSET($T$2,0,0,ROW()-1,14),ROW()-1,FALSE))</x:f>
        <x:v>25.857579000000001</x:v>
      </x:c>
      <x:c r="T748">
        <x:f>-13.376156</x:f>
        <x:v>-13.376156</x:v>
      </x:c>
      <x:c r="U748">
        <x:f>-75.576667</x:f>
        <x:v>-75.576667</x:v>
      </x:c>
      <x:c r="V748">
        <x:f>14.345052</x:f>
        <x:v>14.345052000000001</x:v>
      </x:c>
      <x:c r="W748">
        <x:f>-15.119447</x:f>
        <x:v>-15.119446999999999</x:v>
      </x:c>
      <x:c r="X748">
        <x:f>-5.7095</x:f>
        <x:v>-5.7095000000000002</x:v>
      </x:c>
      <x:c r="Y748">
        <x:f>-22.808</x:f>
        <x:v>-22.808</x:v>
      </x:c>
      <x:c r="Z748">
        <x:f>-34.666</x:f>
        <x:v>-34.665999999999997</x:v>
      </x:c>
      <x:c r="AA748">
        <x:f>-16.193</x:f>
        <x:v>-16.193000000000001</x:v>
      </x:c>
      <x:c r="AB748">
        <x:f>-21.0975</x:f>
        <x:v>-21.0975</x:v>
      </x:c>
      <x:c r="AC748">
        <x:f>-88.8385</x:f>
        <x:v>-88.838499999999996</x:v>
      </x:c>
      <x:c r="AD748">
        <x:f>-16.3535</x:f>
        <x:v>-16.3535</x:v>
      </x:c>
      <x:c r="AE748">
        <x:f>-0.023708</x:f>
        <x:v>-2.3708E-2</x:v>
      </x:c>
      <x:c r="AF748">
        <x:f>17.492804</x:f>
        <x:v>17.492804</x:v>
      </x:c>
      <x:c r="AG748">
        <x:f>25.857579</x:f>
        <x:v>25.857579000000001</x:v>
      </x:c>
    </x:row>
    <x:row r="749" spans="1:33" x14ac:dyDescent="0.25">
      <x:c r="A749" t="str">
        <x:f>"            FlexShares STOXX Global Broad"</x:f>
        <x:v xml:space="preserve">            FlexShares STOXX Global Broad</x:v>
      </x:c>
      <x:c r="B749" t="str">
        <x:f>"NFRA US Equity"</x:f>
        <x:v>NFRA US Equity</x:v>
      </x:c>
      <x:c r="E749" t="str">
        <x:f t="shared" si="28"/>
        <x:v>Expression</x:v>
      </x:c>
      <x:c r="F749">
        <x:f ca="1">IF(AND($B$1012=1,LEN($F$1736)&gt;0),$F$1736,HLOOKUP(INDIRECT(ADDRESS(2,COLUMN())),OFFSET($T$2,0,0,ROW()-1,14),ROW()-1,FALSE))</x:f>
        <x:v>-17.721025000000001</x:v>
      </x:c>
      <x:c r="G749">
        <x:f ca="1">IF(AND($B$1012=1,LEN($G$1736)&gt;0),$G$1736,HLOOKUP(INDIRECT(ADDRESS(2,COLUMN())),OFFSET($T$2,0,0,ROW()-1,14),ROW()-1,FALSE))</x:f>
        <x:v>12.117095000000001</x:v>
      </x:c>
      <x:c r="H749">
        <x:f ca="1">IF(AND($B$1012=1,LEN($H$1736)&gt;0),$H$1736,HLOOKUP(INDIRECT(ADDRESS(2,COLUMN())),OFFSET($T$2,0,0,ROW()-1,14),ROW()-1,FALSE))</x:f>
        <x:v>-34.387569999999997</x:v>
      </x:c>
      <x:c r="I749">
        <x:f ca="1">IF(AND($B$1012=1,LEN($I$1736)&gt;0),$I$1736,HLOOKUP(INDIRECT(ADDRESS(2,COLUMN())),OFFSET($T$2,0,0,ROW()-1,14),ROW()-1,FALSE))</x:f>
        <x:v>-7.5442499999999999</x:v>
      </x:c>
      <x:c r="J749">
        <x:f ca="1">IF(AND($B$1012=1,LEN($J$1736)&gt;0),$J$1736,HLOOKUP(INDIRECT(ADDRESS(2,COLUMN())),OFFSET($T$2,0,0,ROW()-1,14),ROW()-1,FALSE))</x:f>
        <x:v>-5.2927</x:v>
      </x:c>
      <x:c r="K749">
        <x:f ca="1">IF(AND($B$1012=1,LEN($K$1736)&gt;0),$K$1736,HLOOKUP(INDIRECT(ADDRESS(2,COLUMN())),OFFSET($T$2,0,0,ROW()-1,14),ROW()-1,FALSE))</x:f>
        <x:v>-33.443114999999999</x:v>
      </x:c>
      <x:c r="L749">
        <x:f ca="1">IF(AND($B$1012=1,LEN($L$1736)&gt;0),$L$1736,HLOOKUP(INDIRECT(ADDRESS(2,COLUMN())),OFFSET($T$2,0,0,ROW()-1,14),ROW()-1,FALSE))</x:f>
        <x:v>-36.85192</x:v>
      </x:c>
      <x:c r="M749">
        <x:f ca="1">IF(AND($B$1012=1,LEN($M$1736)&gt;0),$M$1736,HLOOKUP(INDIRECT(ADDRESS(2,COLUMN())),OFFSET($T$2,0,0,ROW()-1,14),ROW()-1,FALSE))</x:f>
        <x:v>-31.917615000000001</x:v>
      </x:c>
      <x:c r="N749">
        <x:f ca="1">IF(AND($B$1012=1,LEN($N$1736)&gt;0),$N$1736,HLOOKUP(INDIRECT(ADDRESS(2,COLUMN())),OFFSET($T$2,0,0,ROW()-1,14),ROW()-1,FALSE))</x:f>
        <x:v>-30.349489999999999</x:v>
      </x:c>
      <x:c r="O749">
        <x:f ca="1">IF(AND($B$1012=1,LEN($O$1736)&gt;0),$O$1736,HLOOKUP(INDIRECT(ADDRESS(2,COLUMN())),OFFSET($T$2,0,0,ROW()-1,14),ROW()-1,FALSE))</x:f>
        <x:v>-41.076720000000002</x:v>
      </x:c>
      <x:c r="P749">
        <x:f ca="1">IF(AND($B$1012=1,LEN($P$1736)&gt;0),$P$1736,HLOOKUP(INDIRECT(ADDRESS(2,COLUMN())),OFFSET($T$2,0,0,ROW()-1,14),ROW()-1,FALSE))</x:f>
        <x:v>-80.229680000000002</x:v>
      </x:c>
      <x:c r="Q749">
        <x:f ca="1">IF(AND($B$1012=1,LEN($Q$1736)&gt;0),$Q$1736,HLOOKUP(INDIRECT(ADDRESS(2,COLUMN())),OFFSET($T$2,0,0,ROW()-1,14),ROW()-1,FALSE))</x:f>
        <x:v>-191.98737499999999</x:v>
      </x:c>
      <x:c r="R749">
        <x:f ca="1">IF(AND($B$1012=1,LEN($R$1736)&gt;0),$R$1736,HLOOKUP(INDIRECT(ADDRESS(2,COLUMN())),OFFSET($T$2,0,0,ROW()-1,14),ROW()-1,FALSE))</x:f>
        <x:v>0</x:v>
      </x:c>
      <x:c r="S749">
        <x:f ca="1">IF(AND($B$1012=1,LEN($S$1736)&gt;0),$S$1736,HLOOKUP(INDIRECT(ADDRESS(2,COLUMN())),OFFSET($T$2,0,0,ROW()-1,14),ROW()-1,FALSE))</x:f>
        <x:v>15.922935000000001</x:v>
      </x:c>
      <x:c r="T749">
        <x:f>-17.721025</x:f>
        <x:v>-17.721025000000001</x:v>
      </x:c>
      <x:c r="U749">
        <x:f>12.117095</x:f>
        <x:v>12.117095000000001</x:v>
      </x:c>
      <x:c r="V749">
        <x:f>-34.38757</x:f>
        <x:v>-34.387569999999997</x:v>
      </x:c>
      <x:c r="W749">
        <x:f>-7.54425</x:f>
        <x:v>-7.5442499999999999</x:v>
      </x:c>
      <x:c r="X749">
        <x:f>-5.2927</x:f>
        <x:v>-5.2927</x:v>
      </x:c>
      <x:c r="Y749">
        <x:f>-33.443115</x:f>
        <x:v>-33.443114999999999</x:v>
      </x:c>
      <x:c r="Z749">
        <x:f>-36.85192</x:f>
        <x:v>-36.85192</x:v>
      </x:c>
      <x:c r="AA749">
        <x:f>-31.917615</x:f>
        <x:v>-31.917615000000001</x:v>
      </x:c>
      <x:c r="AB749">
        <x:f>-30.34949</x:f>
        <x:v>-30.349489999999999</x:v>
      </x:c>
      <x:c r="AC749">
        <x:f>-41.07672</x:f>
        <x:v>-41.076720000000002</x:v>
      </x:c>
      <x:c r="AD749">
        <x:f>-80.22968</x:f>
        <x:v>-80.229680000000002</x:v>
      </x:c>
      <x:c r="AE749">
        <x:f>-191.987375</x:f>
        <x:v>-191.98737499999999</x:v>
      </x:c>
      <x:c r="AF749">
        <x:f>0</x:f>
        <x:v>0</x:v>
      </x:c>
      <x:c r="AG749">
        <x:f>15.922935</x:f>
        <x:v>15.922935000000001</x:v>
      </x:c>
    </x:row>
    <x:row r="750" spans="1:33" x14ac:dyDescent="0.25">
      <x:c r="A750" t="str">
        <x:f>"            Global X US Infrastructure Dev"</x:f>
        <x:v xml:space="preserve">            Global X US Infrastructure Dev</x:v>
      </x:c>
      <x:c r="B750" t="str">
        <x:f>"PAVE US Equity"</x:f>
        <x:v>PAVE US Equity</x:v>
      </x:c>
      <x:c r="E750" t="str">
        <x:f t="shared" si="28"/>
        <x:v>Expression</x:v>
      </x:c>
      <x:c r="F750">
        <x:f ca="1">IF(AND($B$1012=1,LEN($F$1737)&gt;0),$F$1737,HLOOKUP(INDIRECT(ADDRESS(2,COLUMN())),OFFSET($T$2,0,0,ROW()-1,14),ROW()-1,FALSE))</x:f>
        <x:v>72.810900000000004</x:v>
      </x:c>
      <x:c r="G750">
        <x:f ca="1">IF(AND($B$1012=1,LEN($G$1737)&gt;0),$G$1737,HLOOKUP(INDIRECT(ADDRESS(2,COLUMN())),OFFSET($T$2,0,0,ROW()-1,14),ROW()-1,FALSE))</x:f>
        <x:v>52.261499999999998</x:v>
      </x:c>
      <x:c r="H750">
        <x:f ca="1">IF(AND($B$1012=1,LEN($H$1737)&gt;0),$H$1737,HLOOKUP(INDIRECT(ADDRESS(2,COLUMN())),OFFSET($T$2,0,0,ROW()-1,14),ROW()-1,FALSE))</x:f>
        <x:v>65.645899999999997</x:v>
      </x:c>
      <x:c r="I750">
        <x:f ca="1">IF(AND($B$1012=1,LEN($I$1737)&gt;0),$I$1737,HLOOKUP(INDIRECT(ADDRESS(2,COLUMN())),OFFSET($T$2,0,0,ROW()-1,14),ROW()-1,FALSE))</x:f>
        <x:v>234.7012</x:v>
      </x:c>
      <x:c r="J750">
        <x:f ca="1">IF(AND($B$1012=1,LEN($J$1737)&gt;0),$J$1737,HLOOKUP(INDIRECT(ADDRESS(2,COLUMN())),OFFSET($T$2,0,0,ROW()-1,14),ROW()-1,FALSE))</x:f>
        <x:v>106.6793</x:v>
      </x:c>
      <x:c r="K750">
        <x:f ca="1">IF(AND($B$1012=1,LEN($K$1737)&gt;0),$K$1737,HLOOKUP(INDIRECT(ADDRESS(2,COLUMN())),OFFSET($T$2,0,0,ROW()-1,14),ROW()-1,FALSE))</x:f>
        <x:v>213.43520000000001</x:v>
      </x:c>
      <x:c r="L750">
        <x:f ca="1">IF(AND($B$1012=1,LEN($L$1737)&gt;0),$L$1737,HLOOKUP(INDIRECT(ADDRESS(2,COLUMN())),OFFSET($T$2,0,0,ROW()-1,14),ROW()-1,FALSE))</x:f>
        <x:v>111.0562</x:v>
      </x:c>
      <x:c r="M750">
        <x:f ca="1">IF(AND($B$1012=1,LEN($M$1737)&gt;0),$M$1737,HLOOKUP(INDIRECT(ADDRESS(2,COLUMN())),OFFSET($T$2,0,0,ROW()-1,14),ROW()-1,FALSE))</x:f>
        <x:v>10.966200000000001</x:v>
      </x:c>
      <x:c r="N750">
        <x:f ca="1">IF(AND($B$1012=1,LEN($N$1737)&gt;0),$N$1737,HLOOKUP(INDIRECT(ADDRESS(2,COLUMN())),OFFSET($T$2,0,0,ROW()-1,14),ROW()-1,FALSE))</x:f>
        <x:v>293.60879999999997</x:v>
      </x:c>
      <x:c r="O750">
        <x:f ca="1">IF(AND($B$1012=1,LEN($O$1737)&gt;0),$O$1737,HLOOKUP(INDIRECT(ADDRESS(2,COLUMN())),OFFSET($T$2,0,0,ROW()-1,14),ROW()-1,FALSE))</x:f>
        <x:v>69.768299999999996</x:v>
      </x:c>
      <x:c r="P750">
        <x:f ca="1">IF(AND($B$1012=1,LEN($P$1737)&gt;0),$P$1737,HLOOKUP(INDIRECT(ADDRESS(2,COLUMN())),OFFSET($T$2,0,0,ROW()-1,14),ROW()-1,FALSE))</x:f>
        <x:v>-93.823400000000007</x:v>
      </x:c>
      <x:c r="Q750">
        <x:f ca="1">IF(AND($B$1012=1,LEN($Q$1737)&gt;0),$Q$1737,HLOOKUP(INDIRECT(ADDRESS(2,COLUMN())),OFFSET($T$2,0,0,ROW()-1,14),ROW()-1,FALSE))</x:f>
        <x:v>-28.763999999999999</x:v>
      </x:c>
      <x:c r="R750">
        <x:f ca="1">IF(AND($B$1012=1,LEN($R$1737)&gt;0),$R$1737,HLOOKUP(INDIRECT(ADDRESS(2,COLUMN())),OFFSET($T$2,0,0,ROW()-1,14),ROW()-1,FALSE))</x:f>
        <x:v>-21.970199999999998</x:v>
      </x:c>
      <x:c r="S750">
        <x:f ca="1">IF(AND($B$1012=1,LEN($S$1737)&gt;0),$S$1737,HLOOKUP(INDIRECT(ADDRESS(2,COLUMN())),OFFSET($T$2,0,0,ROW()-1,14),ROW()-1,FALSE))</x:f>
        <x:v>-68.439599999999999</x:v>
      </x:c>
      <x:c r="T750">
        <x:f>72.8109</x:f>
        <x:v>72.810900000000004</x:v>
      </x:c>
      <x:c r="U750">
        <x:f>52.2615</x:f>
        <x:v>52.261499999999998</x:v>
      </x:c>
      <x:c r="V750">
        <x:f>65.6459</x:f>
        <x:v>65.645899999999997</x:v>
      </x:c>
      <x:c r="W750">
        <x:f>234.7012</x:f>
        <x:v>234.7012</x:v>
      </x:c>
      <x:c r="X750">
        <x:f>106.6793</x:f>
        <x:v>106.6793</x:v>
      </x:c>
      <x:c r="Y750">
        <x:f>213.4352</x:f>
        <x:v>213.43520000000001</x:v>
      </x:c>
      <x:c r="Z750">
        <x:f>111.0562</x:f>
        <x:v>111.0562</x:v>
      </x:c>
      <x:c r="AA750">
        <x:f>10.9662</x:f>
        <x:v>10.966200000000001</x:v>
      </x:c>
      <x:c r="AB750">
        <x:f>293.6088</x:f>
        <x:v>293.60879999999997</x:v>
      </x:c>
      <x:c r="AC750">
        <x:f>69.7683</x:f>
        <x:v>69.768299999999996</x:v>
      </x:c>
      <x:c r="AD750">
        <x:f>-93.8234</x:f>
        <x:v>-93.823400000000007</x:v>
      </x:c>
      <x:c r="AE750">
        <x:f>-28.764</x:f>
        <x:v>-28.763999999999999</x:v>
      </x:c>
      <x:c r="AF750">
        <x:f>-21.9702</x:f>
        <x:v>-21.970199999999998</x:v>
      </x:c>
      <x:c r="AG750">
        <x:f>-68.4396</x:f>
        <x:v>-68.439599999999999</x:v>
      </x:c>
    </x:row>
    <x:row r="751" spans="1:33" x14ac:dyDescent="0.25">
      <x:c r="A751" t="str">
        <x:f>"            iShares Emerging Markets Infra"</x:f>
        <x:v xml:space="preserve">            iShares Emerging Markets Infra</x:v>
      </x:c>
      <x:c r="B751" t="str">
        <x:f>"EMIF US Equity"</x:f>
        <x:v>EMIF US Equity</x:v>
      </x:c>
      <x:c r="E751" t="str">
        <x:f t="shared" si="28"/>
        <x:v>Expression</x:v>
      </x:c>
      <x:c r="F751">
        <x:f ca="1">IF(AND($B$1012=1,LEN($F$1738)&gt;0),$F$1738,HLOOKUP(INDIRECT(ADDRESS(2,COLUMN())),OFFSET($T$2,0,0,ROW()-1,14),ROW()-1,FALSE))</x:f>
        <x:v>0</x:v>
      </x:c>
      <x:c r="G751">
        <x:f ca="1">IF(AND($B$1012=1,LEN($G$1738)&gt;0),$G$1738,HLOOKUP(INDIRECT(ADDRESS(2,COLUMN())),OFFSET($T$2,0,0,ROW()-1,14),ROW()-1,FALSE))</x:f>
        <x:v>0</x:v>
      </x:c>
      <x:c r="H751">
        <x:f ca="1">IF(AND($B$1012=1,LEN($H$1738)&gt;0),$H$1738,HLOOKUP(INDIRECT(ADDRESS(2,COLUMN())),OFFSET($T$2,0,0,ROW()-1,14),ROW()-1,FALSE))</x:f>
        <x:v>0</x:v>
      </x:c>
      <x:c r="I751">
        <x:f ca="1">IF(AND($B$1012=1,LEN($I$1738)&gt;0),$I$1738,HLOOKUP(INDIRECT(ADDRESS(2,COLUMN())),OFFSET($T$2,0,0,ROW()-1,14),ROW()-1,FALSE))</x:f>
        <x:v>-1.0729649999999999</x:v>
      </x:c>
      <x:c r="J751">
        <x:f ca="1">IF(AND($B$1012=1,LEN($J$1738)&gt;0),$J$1738,HLOOKUP(INDIRECT(ADDRESS(2,COLUMN())),OFFSET($T$2,0,0,ROW()-1,14),ROW()-1,FALSE))</x:f>
        <x:v>0</x:v>
      </x:c>
      <x:c r="K751">
        <x:f ca="1">IF(AND($B$1012=1,LEN($K$1738)&gt;0),$K$1738,HLOOKUP(INDIRECT(ADDRESS(2,COLUMN())),OFFSET($T$2,0,0,ROW()-1,14),ROW()-1,FALSE))</x:f>
        <x:v>0</x:v>
      </x:c>
      <x:c r="L751">
        <x:f ca="1">IF(AND($B$1012=1,LEN($L$1738)&gt;0),$L$1738,HLOOKUP(INDIRECT(ADDRESS(2,COLUMN())),OFFSET($T$2,0,0,ROW()-1,14),ROW()-1,FALSE))</x:f>
        <x:v>0</x:v>
      </x:c>
      <x:c r="M751">
        <x:f ca="1">IF(AND($B$1012=1,LEN($M$1738)&gt;0),$M$1738,HLOOKUP(INDIRECT(ADDRESS(2,COLUMN())),OFFSET($T$2,0,0,ROW()-1,14),ROW()-1,FALSE))</x:f>
        <x:v>0</x:v>
      </x:c>
      <x:c r="N751">
        <x:f ca="1">IF(AND($B$1012=1,LEN($N$1738)&gt;0),$N$1738,HLOOKUP(INDIRECT(ADDRESS(2,COLUMN())),OFFSET($T$2,0,0,ROW()-1,14),ROW()-1,FALSE))</x:f>
        <x:v>0</x:v>
      </x:c>
      <x:c r="O751">
        <x:f ca="1">IF(AND($B$1012=1,LEN($O$1738)&gt;0),$O$1738,HLOOKUP(INDIRECT(ADDRESS(2,COLUMN())),OFFSET($T$2,0,0,ROW()-1,14),ROW()-1,FALSE))</x:f>
        <x:v>0</x:v>
      </x:c>
      <x:c r="P751">
        <x:f ca="1">IF(AND($B$1012=1,LEN($P$1738)&gt;0),$P$1738,HLOOKUP(INDIRECT(ADDRESS(2,COLUMN())),OFFSET($T$2,0,0,ROW()-1,14),ROW()-1,FALSE))</x:f>
        <x:v>0</x:v>
      </x:c>
      <x:c r="Q751">
        <x:f ca="1">IF(AND($B$1012=1,LEN($Q$1738)&gt;0),$Q$1738,HLOOKUP(INDIRECT(ADDRESS(2,COLUMN())),OFFSET($T$2,0,0,ROW()-1,14),ROW()-1,FALSE))</x:f>
        <x:v>0</x:v>
      </x:c>
      <x:c r="R751">
        <x:f ca="1">IF(AND($B$1012=1,LEN($R$1738)&gt;0),$R$1738,HLOOKUP(INDIRECT(ADDRESS(2,COLUMN())),OFFSET($T$2,0,0,ROW()-1,14),ROW()-1,FALSE))</x:f>
        <x:v>0</x:v>
      </x:c>
      <x:c r="S751">
        <x:f ca="1">IF(AND($B$1012=1,LEN($S$1738)&gt;0),$S$1738,HLOOKUP(INDIRECT(ADDRESS(2,COLUMN())),OFFSET($T$2,0,0,ROW()-1,14),ROW()-1,FALSE))</x:f>
        <x:v>0</x:v>
      </x:c>
      <x:c r="T751">
        <x:f>0</x:f>
        <x:v>0</x:v>
      </x:c>
      <x:c r="U751">
        <x:f>0</x:f>
        <x:v>0</x:v>
      </x:c>
      <x:c r="V751">
        <x:f>0</x:f>
        <x:v>0</x:v>
      </x:c>
      <x:c r="W751">
        <x:f>-1.072965</x:f>
        <x:v>-1.0729649999999999</x:v>
      </x:c>
      <x:c r="X751">
        <x:f>0</x:f>
        <x:v>0</x:v>
      </x:c>
      <x:c r="Y751">
        <x:f>0</x:f>
        <x:v>0</x:v>
      </x:c>
      <x:c r="Z751">
        <x:f>0</x:f>
        <x:v>0</x:v>
      </x:c>
      <x:c r="AA751">
        <x:f>0</x:f>
        <x:v>0</x:v>
      </x:c>
      <x:c r="AB751">
        <x:f>0</x:f>
        <x:v>0</x:v>
      </x:c>
      <x:c r="AC751">
        <x:f>0</x:f>
        <x:v>0</x:v>
      </x:c>
      <x:c r="AD751">
        <x:f>0</x:f>
        <x:v>0</x:v>
      </x:c>
      <x:c r="AE751">
        <x:f>0</x:f>
        <x:v>0</x:v>
      </x:c>
      <x:c r="AF751">
        <x:f>0</x:f>
        <x:v>0</x:v>
      </x:c>
      <x:c r="AG751">
        <x:f>0</x:f>
        <x:v>0</x:v>
      </x:c>
    </x:row>
    <x:row r="752" spans="1:33" x14ac:dyDescent="0.25">
      <x:c r="A752" t="str">
        <x:f>"            iShares Global Infrastructure"</x:f>
        <x:v xml:space="preserve">            iShares Global Infrastructure</x:v>
      </x:c>
      <x:c r="B752" t="str">
        <x:f>"IGF US Equity"</x:f>
        <x:v>IGF US Equity</x:v>
      </x:c>
      <x:c r="E752" t="str">
        <x:f t="shared" si="28"/>
        <x:v>Expression</x:v>
      </x:c>
      <x:c r="F752">
        <x:f ca="1">IF(AND($B$1012=1,LEN($F$1739)&gt;0),$F$1739,HLOOKUP(INDIRECT(ADDRESS(2,COLUMN())),OFFSET($T$2,0,0,ROW()-1,14),ROW()-1,FALSE))</x:f>
        <x:v>17.980654000000001</x:v>
      </x:c>
      <x:c r="G752">
        <x:f ca="1">IF(AND($B$1012=1,LEN($G$1739)&gt;0),$G$1739,HLOOKUP(INDIRECT(ADDRESS(2,COLUMN())),OFFSET($T$2,0,0,ROW()-1,14),ROW()-1,FALSE))</x:f>
        <x:v>-37.748843000000001</x:v>
      </x:c>
      <x:c r="H752">
        <x:f ca="1">IF(AND($B$1012=1,LEN($H$1739)&gt;0),$H$1739,HLOOKUP(INDIRECT(ADDRESS(2,COLUMN())),OFFSET($T$2,0,0,ROW()-1,14),ROW()-1,FALSE))</x:f>
        <x:v>-79.403085000000004</x:v>
      </x:c>
      <x:c r="I752">
        <x:f ca="1">IF(AND($B$1012=1,LEN($I$1739)&gt;0),$I$1739,HLOOKUP(INDIRECT(ADDRESS(2,COLUMN())),OFFSET($T$2,0,0,ROW()-1,14),ROW()-1,FALSE))</x:f>
        <x:v>-64.017600000000002</x:v>
      </x:c>
      <x:c r="J752">
        <x:f ca="1">IF(AND($B$1012=1,LEN($J$1739)&gt;0),$J$1739,HLOOKUP(INDIRECT(ADDRESS(2,COLUMN())),OFFSET($T$2,0,0,ROW()-1,14),ROW()-1,FALSE))</x:f>
        <x:v>38.014800000000001</x:v>
      </x:c>
      <x:c r="K752">
        <x:f ca="1">IF(AND($B$1012=1,LEN($K$1739)&gt;0),$K$1739,HLOOKUP(INDIRECT(ADDRESS(2,COLUMN())),OFFSET($T$2,0,0,ROW()-1,14),ROW()-1,FALSE))</x:f>
        <x:v>23.238299999999999</x:v>
      </x:c>
      <x:c r="L752">
        <x:f ca="1">IF(AND($B$1012=1,LEN($L$1739)&gt;0),$L$1739,HLOOKUP(INDIRECT(ADDRESS(2,COLUMN())),OFFSET($T$2,0,0,ROW()-1,14),ROW()-1,FALSE))</x:f>
        <x:v>0</x:v>
      </x:c>
      <x:c r="M752">
        <x:f ca="1">IF(AND($B$1012=1,LEN($M$1739)&gt;0),$M$1739,HLOOKUP(INDIRECT(ADDRESS(2,COLUMN())),OFFSET($T$2,0,0,ROW()-1,14),ROW()-1,FALSE))</x:f>
        <x:v>0</x:v>
      </x:c>
      <x:c r="N752">
        <x:f ca="1">IF(AND($B$1012=1,LEN($N$1739)&gt;0),$N$1739,HLOOKUP(INDIRECT(ADDRESS(2,COLUMN())),OFFSET($T$2,0,0,ROW()-1,14),ROW()-1,FALSE))</x:f>
        <x:v>-27.847290000000001</x:v>
      </x:c>
      <x:c r="O752">
        <x:f ca="1">IF(AND($B$1012=1,LEN($O$1739)&gt;0),$O$1739,HLOOKUP(INDIRECT(ADDRESS(2,COLUMN())),OFFSET($T$2,0,0,ROW()-1,14),ROW()-1,FALSE))</x:f>
        <x:v>-52.05415</x:v>
      </x:c>
      <x:c r="P752">
        <x:f ca="1">IF(AND($B$1012=1,LEN($P$1739)&gt;0),$P$1739,HLOOKUP(INDIRECT(ADDRESS(2,COLUMN())),OFFSET($T$2,0,0,ROW()-1,14),ROW()-1,FALSE))</x:f>
        <x:v>-175.61222000000001</x:v>
      </x:c>
      <x:c r="Q752">
        <x:f ca="1">IF(AND($B$1012=1,LEN($Q$1739)&gt;0),$Q$1739,HLOOKUP(INDIRECT(ADDRESS(2,COLUMN())),OFFSET($T$2,0,0,ROW()-1,14),ROW()-1,FALSE))</x:f>
        <x:v>231.18020000000001</x:v>
      </x:c>
      <x:c r="R752">
        <x:f ca="1">IF(AND($B$1012=1,LEN($R$1739)&gt;0),$R$1739,HLOOKUP(INDIRECT(ADDRESS(2,COLUMN())),OFFSET($T$2,0,0,ROW()-1,14),ROW()-1,FALSE))</x:f>
        <x:v>111.43983</x:v>
      </x:c>
      <x:c r="S752">
        <x:f ca="1">IF(AND($B$1012=1,LEN($S$1739)&gt;0),$S$1739,HLOOKUP(INDIRECT(ADDRESS(2,COLUMN())),OFFSET($T$2,0,0,ROW()-1,14),ROW()-1,FALSE))</x:f>
        <x:v>119.59577</x:v>
      </x:c>
      <x:c r="T752">
        <x:f>17.980654</x:f>
        <x:v>17.980654000000001</x:v>
      </x:c>
      <x:c r="U752">
        <x:f>-37.748843</x:f>
        <x:v>-37.748843000000001</x:v>
      </x:c>
      <x:c r="V752">
        <x:f>-79.403085</x:f>
        <x:v>-79.403085000000004</x:v>
      </x:c>
      <x:c r="W752">
        <x:f>-64.0176</x:f>
        <x:v>-64.017600000000002</x:v>
      </x:c>
      <x:c r="X752">
        <x:f>38.0148</x:f>
        <x:v>38.014800000000001</x:v>
      </x:c>
      <x:c r="Y752">
        <x:f>23.2383</x:f>
        <x:v>23.238299999999999</x:v>
      </x:c>
      <x:c r="Z752">
        <x:f>0</x:f>
        <x:v>0</x:v>
      </x:c>
      <x:c r="AA752">
        <x:f>0</x:f>
        <x:v>0</x:v>
      </x:c>
      <x:c r="AB752">
        <x:f>-27.84729</x:f>
        <x:v>-27.847290000000001</x:v>
      </x:c>
      <x:c r="AC752">
        <x:f>-52.05415</x:f>
        <x:v>-52.05415</x:v>
      </x:c>
      <x:c r="AD752">
        <x:f>-175.61222</x:f>
        <x:v>-175.61222000000001</x:v>
      </x:c>
      <x:c r="AE752">
        <x:f>231.1802</x:f>
        <x:v>231.18020000000001</x:v>
      </x:c>
      <x:c r="AF752">
        <x:f>111.43983</x:f>
        <x:v>111.43983</x:v>
      </x:c>
      <x:c r="AG752">
        <x:f>119.59577</x:f>
        <x:v>119.59577</x:v>
      </x:c>
    </x:row>
    <x:row r="753" spans="1:33" x14ac:dyDescent="0.25">
      <x:c r="A753" t="str">
        <x:f>"            Invesco Emerging Markets Infra"</x:f>
        <x:v xml:space="preserve">            Invesco Emerging Markets Infra</x:v>
      </x:c>
      <x:c r="B753" t="str">
        <x:f>"PXR US Equity"</x:f>
        <x:v>PXR US Equity</x:v>
      </x:c>
      <x:c r="E753" t="str">
        <x:f t="shared" si="28"/>
        <x:v>Expression</x:v>
      </x:c>
      <x:c r="F753" t="str">
        <x:f ca="1">IF(AND($B$1012=1,LEN($F$1740)&gt;0),$F$1740,HLOOKUP(INDIRECT(ADDRESS(2,COLUMN())),OFFSET($T$2,0,0,ROW()-1,14),ROW()-1,FALSE))</x:f>
        <x:v/>
      </x:c>
      <x:c r="G753" t="str">
        <x:f ca="1">IF(AND($B$1012=1,LEN($G$1740)&gt;0),$G$1740,HLOOKUP(INDIRECT(ADDRESS(2,COLUMN())),OFFSET($T$2,0,0,ROW()-1,14),ROW()-1,FALSE))</x:f>
        <x:v/>
      </x:c>
      <x:c r="H753" t="str">
        <x:f ca="1">IF(AND($B$1012=1,LEN($H$1740)&gt;0),$H$1740,HLOOKUP(INDIRECT(ADDRESS(2,COLUMN())),OFFSET($T$2,0,0,ROW()-1,14),ROW()-1,FALSE))</x:f>
        <x:v/>
      </x:c>
      <x:c r="I753" t="str">
        <x:f ca="1">IF(AND($B$1012=1,LEN($I$1740)&gt;0),$I$1740,HLOOKUP(INDIRECT(ADDRESS(2,COLUMN())),OFFSET($T$2,0,0,ROW()-1,14),ROW()-1,FALSE))</x:f>
        <x:v/>
      </x:c>
      <x:c r="J753" t="str">
        <x:f ca="1">IF(AND($B$1012=1,LEN($J$1740)&gt;0),$J$1740,HLOOKUP(INDIRECT(ADDRESS(2,COLUMN())),OFFSET($T$2,0,0,ROW()-1,14),ROW()-1,FALSE))</x:f>
        <x:v/>
      </x:c>
      <x:c r="K753" t="str">
        <x:f ca="1">IF(AND($B$1012=1,LEN($K$1740)&gt;0),$K$1740,HLOOKUP(INDIRECT(ADDRESS(2,COLUMN())),OFFSET($T$2,0,0,ROW()-1,14),ROW()-1,FALSE))</x:f>
        <x:v/>
      </x:c>
      <x:c r="L753" t="str">
        <x:f ca="1">IF(AND($B$1012=1,LEN($L$1740)&gt;0),$L$1740,HLOOKUP(INDIRECT(ADDRESS(2,COLUMN())),OFFSET($T$2,0,0,ROW()-1,14),ROW()-1,FALSE))</x:f>
        <x:v/>
      </x:c>
      <x:c r="M753" t="str">
        <x:f ca="1">IF(AND($B$1012=1,LEN($M$1740)&gt;0),$M$1740,HLOOKUP(INDIRECT(ADDRESS(2,COLUMN())),OFFSET($T$2,0,0,ROW()-1,14),ROW()-1,FALSE))</x:f>
        <x:v/>
      </x:c>
      <x:c r="N753" t="str">
        <x:f ca="1">IF(AND($B$1012=1,LEN($N$1740)&gt;0),$N$1740,HLOOKUP(INDIRECT(ADDRESS(2,COLUMN())),OFFSET($T$2,0,0,ROW()-1,14),ROW()-1,FALSE))</x:f>
        <x:v/>
      </x:c>
      <x:c r="O753" t="str">
        <x:f ca="1">IF(AND($B$1012=1,LEN($O$1740)&gt;0),$O$1740,HLOOKUP(INDIRECT(ADDRESS(2,COLUMN())),OFFSET($T$2,0,0,ROW()-1,14),ROW()-1,FALSE))</x:f>
        <x:v/>
      </x:c>
      <x:c r="P753" t="str">
        <x:f ca="1">IF(AND($B$1012=1,LEN($P$1740)&gt;0),$P$1740,HLOOKUP(INDIRECT(ADDRESS(2,COLUMN())),OFFSET($T$2,0,0,ROW()-1,14),ROW()-1,FALSE))</x:f>
        <x:v/>
      </x:c>
      <x:c r="Q753" t="str">
        <x:f ca="1">IF(AND($B$1012=1,LEN($Q$1740)&gt;0),$Q$1740,HLOOKUP(INDIRECT(ADDRESS(2,COLUMN())),OFFSET($T$2,0,0,ROW()-1,14),ROW()-1,FALSE))</x:f>
        <x:v/>
      </x:c>
      <x:c r="R753" t="str">
        <x:f ca="1">IF(AND($B$1012=1,LEN($R$1740)&gt;0),$R$1740,HLOOKUP(INDIRECT(ADDRESS(2,COLUMN())),OFFSET($T$2,0,0,ROW()-1,14),ROW()-1,FALSE))</x:f>
        <x:v/>
      </x:c>
      <x:c r="S753" t="str">
        <x:f ca="1">IF(AND($B$1012=1,LEN($S$1740)&gt;0),$S$1740,HLOOKUP(INDIRECT(ADDRESS(2,COLUMN())),OFFSET($T$2,0,0,ROW()-1,14),ROW()-1,FALSE))</x:f>
        <x:v/>
      </x:c>
      <x:c r="T753" t="str">
        <x:f>""</x:f>
        <x:v/>
      </x:c>
      <x:c r="U753" t="str">
        <x:f>""</x:f>
        <x:v/>
      </x:c>
      <x:c r="V753" t="str">
        <x:f>""</x:f>
        <x:v/>
      </x:c>
      <x:c r="W753" t="str">
        <x:f>""</x:f>
        <x:v/>
      </x:c>
      <x:c r="X753" t="str">
        <x:f>""</x:f>
        <x:v/>
      </x:c>
      <x:c r="Y753" t="str">
        <x:f>""</x:f>
        <x:v/>
      </x:c>
      <x:c r="Z753" t="str">
        <x:f>""</x:f>
        <x:v/>
      </x:c>
      <x:c r="AA753" t="str">
        <x:f>""</x:f>
        <x:v/>
      </x:c>
      <x:c r="AB753" t="str">
        <x:f>""</x:f>
        <x:v/>
      </x:c>
      <x:c r="AC753" t="str">
        <x:f>""</x:f>
        <x:v/>
      </x:c>
      <x:c r="AD753" t="str">
        <x:f>""</x:f>
        <x:v/>
      </x:c>
      <x:c r="AE753" t="str">
        <x:f>""</x:f>
        <x:v/>
      </x:c>
      <x:c r="AF753" t="str">
        <x:f>""</x:f>
        <x:v/>
      </x:c>
      <x:c r="AG753" t="str">
        <x:f>""</x:f>
        <x:v/>
      </x:c>
    </x:row>
    <x:row r="754" spans="1:33" x14ac:dyDescent="0.25">
      <x:c r="A754" t="str">
        <x:f>"            SPDR S&amp;P Global Infrastructure"</x:f>
        <x:v xml:space="preserve">            SPDR S&amp;P Global Infrastructure</x:v>
      </x:c>
      <x:c r="B754" t="str">
        <x:f>"GII US Equity"</x:f>
        <x:v>GII US Equity</x:v>
      </x:c>
      <x:c r="E754" t="str">
        <x:f t="shared" si="28"/>
        <x:v>Expression</x:v>
      </x:c>
      <x:c r="F754">
        <x:f ca="1">IF(AND($B$1012=1,LEN($F$1741)&gt;0),$F$1741,HLOOKUP(INDIRECT(ADDRESS(2,COLUMN())),OFFSET($T$2,0,0,ROW()-1,14),ROW()-1,FALSE))</x:f>
        <x:v>0</x:v>
      </x:c>
      <x:c r="G754">
        <x:f ca="1">IF(AND($B$1012=1,LEN($G$1741)&gt;0),$G$1741,HLOOKUP(INDIRECT(ADDRESS(2,COLUMN())),OFFSET($T$2,0,0,ROW()-1,14),ROW()-1,FALSE))</x:f>
        <x:v>-16.900331999999999</x:v>
      </x:c>
      <x:c r="H754">
        <x:f ca="1">IF(AND($B$1012=1,LEN($H$1741)&gt;0),$H$1741,HLOOKUP(INDIRECT(ADDRESS(2,COLUMN())),OFFSET($T$2,0,0,ROW()-1,14),ROW()-1,FALSE))</x:f>
        <x:v>-10.241077000000001</x:v>
      </x:c>
      <x:c r="I754">
        <x:f ca="1">IF(AND($B$1012=1,LEN($I$1741)&gt;0),$I$1741,HLOOKUP(INDIRECT(ADDRESS(2,COLUMN())),OFFSET($T$2,0,0,ROW()-1,14),ROW()-1,FALSE))</x:f>
        <x:v>0</x:v>
      </x:c>
      <x:c r="J754">
        <x:f ca="1">IF(AND($B$1012=1,LEN($J$1741)&gt;0),$J$1741,HLOOKUP(INDIRECT(ADDRESS(2,COLUMN())),OFFSET($T$2,0,0,ROW()-1,14),ROW()-1,FALSE))</x:f>
        <x:v>0</x:v>
      </x:c>
      <x:c r="K754">
        <x:f ca="1">IF(AND($B$1012=1,LEN($K$1741)&gt;0),$K$1741,HLOOKUP(INDIRECT(ADDRESS(2,COLUMN())),OFFSET($T$2,0,0,ROW()-1,14),ROW()-1,FALSE))</x:f>
        <x:v>-111.476467</x:v>
      </x:c>
      <x:c r="L754">
        <x:f ca="1">IF(AND($B$1012=1,LEN($L$1741)&gt;0),$L$1741,HLOOKUP(INDIRECT(ADDRESS(2,COLUMN())),OFFSET($T$2,0,0,ROW()-1,14),ROW()-1,FALSE))</x:f>
        <x:v>0</x:v>
      </x:c>
      <x:c r="M754">
        <x:f ca="1">IF(AND($B$1012=1,LEN($M$1741)&gt;0),$M$1741,HLOOKUP(INDIRECT(ADDRESS(2,COLUMN())),OFFSET($T$2,0,0,ROW()-1,14),ROW()-1,FALSE))</x:f>
        <x:v>13.825713</x:v>
      </x:c>
      <x:c r="N754">
        <x:f ca="1">IF(AND($B$1012=1,LEN($N$1741)&gt;0),$N$1741,HLOOKUP(INDIRECT(ADDRESS(2,COLUMN())),OFFSET($T$2,0,0,ROW()-1,14),ROW()-1,FALSE))</x:f>
        <x:v>0</x:v>
      </x:c>
      <x:c r="O754">
        <x:f ca="1">IF(AND($B$1012=1,LEN($O$1741)&gt;0),$O$1741,HLOOKUP(INDIRECT(ADDRESS(2,COLUMN())),OFFSET($T$2,0,0,ROW()-1,14),ROW()-1,FALSE))</x:f>
        <x:v>-5.4456410000000002</x:v>
      </x:c>
      <x:c r="P754">
        <x:f ca="1">IF(AND($B$1012=1,LEN($P$1741)&gt;0),$P$1741,HLOOKUP(INDIRECT(ADDRESS(2,COLUMN())),OFFSET($T$2,0,0,ROW()-1,14),ROW()-1,FALSE))</x:f>
        <x:v>-8.3056719999999995</x:v>
      </x:c>
      <x:c r="Q754">
        <x:f ca="1">IF(AND($B$1012=1,LEN($Q$1741)&gt;0),$Q$1741,HLOOKUP(INDIRECT(ADDRESS(2,COLUMN())),OFFSET($T$2,0,0,ROW()-1,14),ROW()-1,FALSE))</x:f>
        <x:v>0.437801</x:v>
      </x:c>
      <x:c r="R754">
        <x:f ca="1">IF(AND($B$1012=1,LEN($R$1741)&gt;0),$R$1741,HLOOKUP(INDIRECT(ADDRESS(2,COLUMN())),OFFSET($T$2,0,0,ROW()-1,14),ROW()-1,FALSE))</x:f>
        <x:v>13.244716</x:v>
      </x:c>
      <x:c r="S754">
        <x:f ca="1">IF(AND($B$1012=1,LEN($S$1741)&gt;0),$S$1741,HLOOKUP(INDIRECT(ADDRESS(2,COLUMN())),OFFSET($T$2,0,0,ROW()-1,14),ROW()-1,FALSE))</x:f>
        <x:v>14.174327999999999</x:v>
      </x:c>
      <x:c r="T754">
        <x:f>0</x:f>
        <x:v>0</x:v>
      </x:c>
      <x:c r="U754">
        <x:f>-16.900332</x:f>
        <x:v>-16.900331999999999</x:v>
      </x:c>
      <x:c r="V754">
        <x:f>-10.241077</x:f>
        <x:v>-10.241077000000001</x:v>
      </x:c>
      <x:c r="W754">
        <x:f>0</x:f>
        <x:v>0</x:v>
      </x:c>
      <x:c r="X754">
        <x:f>0</x:f>
        <x:v>0</x:v>
      </x:c>
      <x:c r="Y754">
        <x:f>-111.476467</x:f>
        <x:v>-111.476467</x:v>
      </x:c>
      <x:c r="Z754">
        <x:f>0</x:f>
        <x:v>0</x:v>
      </x:c>
      <x:c r="AA754">
        <x:f>13.825713</x:f>
        <x:v>13.825713</x:v>
      </x:c>
      <x:c r="AB754">
        <x:f>0</x:f>
        <x:v>0</x:v>
      </x:c>
      <x:c r="AC754">
        <x:f>-5.445641</x:f>
        <x:v>-5.4456410000000002</x:v>
      </x:c>
      <x:c r="AD754">
        <x:f>-8.305672</x:f>
        <x:v>-8.3056719999999995</x:v>
      </x:c>
      <x:c r="AE754">
        <x:f>0.437801</x:f>
        <x:v>0.437801</x:v>
      </x:c>
      <x:c r="AF754">
        <x:f>13.244716</x:f>
        <x:v>13.244716</x:v>
      </x:c>
      <x:c r="AG754">
        <x:f>14.174328</x:f>
        <x:v>14.174327999999999</x:v>
      </x:c>
    </x:row>
    <x:row r="755" spans="1:33" x14ac:dyDescent="0.25">
      <x:c r="A755" t="str">
        <x:f>"            ProShares DJ Brookfield Global"</x:f>
        <x:v xml:space="preserve">            ProShares DJ Brookfield Global</x:v>
      </x:c>
      <x:c r="B755" t="str">
        <x:f>"TOLZ US Equity"</x:f>
        <x:v>TOLZ US Equity</x:v>
      </x:c>
      <x:c r="E755" t="str">
        <x:f t="shared" si="28"/>
        <x:v>Expression</x:v>
      </x:c>
      <x:c r="F755">
        <x:f ca="1">IF(AND($B$1012=1,LEN($F$1742)&gt;0),$F$1742,HLOOKUP(INDIRECT(ADDRESS(2,COLUMN())),OFFSET($T$2,0,0,ROW()-1,14),ROW()-1,FALSE))</x:f>
        <x:v>0</x:v>
      </x:c>
      <x:c r="G755">
        <x:f ca="1">IF(AND($B$1012=1,LEN($G$1742)&gt;0),$G$1742,HLOOKUP(INDIRECT(ADDRESS(2,COLUMN())),OFFSET($T$2,0,0,ROW()-1,14),ROW()-1,FALSE))</x:f>
        <x:v>-0.82503800000000005</x:v>
      </x:c>
      <x:c r="H755">
        <x:f ca="1">IF(AND($B$1012=1,LEN($H$1742)&gt;0),$H$1742,HLOOKUP(INDIRECT(ADDRESS(2,COLUMN())),OFFSET($T$2,0,0,ROW()-1,14),ROW()-1,FALSE))</x:f>
        <x:v>1.2764789999999999</x:v>
      </x:c>
      <x:c r="I755">
        <x:f ca="1">IF(AND($B$1012=1,LEN($I$1742)&gt;0),$I$1742,HLOOKUP(INDIRECT(ADDRESS(2,COLUMN())),OFFSET($T$2,0,0,ROW()-1,14),ROW()-1,FALSE))</x:f>
        <x:v>2.2193200000000002</x:v>
      </x:c>
      <x:c r="J755">
        <x:f ca="1">IF(AND($B$1012=1,LEN($J$1742)&gt;0),$J$1742,HLOOKUP(INDIRECT(ADDRESS(2,COLUMN())),OFFSET($T$2,0,0,ROW()-1,14),ROW()-1,FALSE))</x:f>
        <x:v>-7.7246860000000002</x:v>
      </x:c>
      <x:c r="K755">
        <x:f ca="1">IF(AND($B$1012=1,LEN($K$1742)&gt;0),$K$1742,HLOOKUP(INDIRECT(ADDRESS(2,COLUMN())),OFFSET($T$2,0,0,ROW()-1,14),ROW()-1,FALSE))</x:f>
        <x:v>1.82504</x:v>
      </x:c>
      <x:c r="L755">
        <x:f ca="1">IF(AND($B$1012=1,LEN($L$1742)&gt;0),$L$1742,HLOOKUP(INDIRECT(ADDRESS(2,COLUMN())),OFFSET($T$2,0,0,ROW()-1,14),ROW()-1,FALSE))</x:f>
        <x:v>0</x:v>
      </x:c>
      <x:c r="M755">
        <x:f ca="1">IF(AND($B$1012=1,LEN($M$1742)&gt;0),$M$1742,HLOOKUP(INDIRECT(ADDRESS(2,COLUMN())),OFFSET($T$2,0,0,ROW()-1,14),ROW()-1,FALSE))</x:f>
        <x:v>-1.411753</x:v>
      </x:c>
      <x:c r="N755">
        <x:f ca="1">IF(AND($B$1012=1,LEN($N$1742)&gt;0),$N$1742,HLOOKUP(INDIRECT(ADDRESS(2,COLUMN())),OFFSET($T$2,0,0,ROW()-1,14),ROW()-1,FALSE))</x:f>
        <x:v>2.5466700000000002</x:v>
      </x:c>
      <x:c r="O755">
        <x:f ca="1">IF(AND($B$1012=1,LEN($O$1742)&gt;0),$O$1742,HLOOKUP(INDIRECT(ADDRESS(2,COLUMN())),OFFSET($T$2,0,0,ROW()-1,14),ROW()-1,FALSE))</x:f>
        <x:v>-20.265331</x:v>
      </x:c>
      <x:c r="P755">
        <x:f ca="1">IF(AND($B$1012=1,LEN($P$1742)&gt;0),$P$1742,HLOOKUP(INDIRECT(ADDRESS(2,COLUMN())),OFFSET($T$2,0,0,ROW()-1,14),ROW()-1,FALSE))</x:f>
        <x:v>-24.362380000000002</x:v>
      </x:c>
      <x:c r="Q755">
        <x:f ca="1">IF(AND($B$1012=1,LEN($Q$1742)&gt;0),$Q$1742,HLOOKUP(INDIRECT(ADDRESS(2,COLUMN())),OFFSET($T$2,0,0,ROW()-1,14),ROW()-1,FALSE))</x:f>
        <x:v>6.3709239999999996</x:v>
      </x:c>
      <x:c r="R755">
        <x:f ca="1">IF(AND($B$1012=1,LEN($R$1742)&gt;0),$R$1742,HLOOKUP(INDIRECT(ADDRESS(2,COLUMN())),OFFSET($T$2,0,0,ROW()-1,14),ROW()-1,FALSE))</x:f>
        <x:v>18.375181000000001</x:v>
      </x:c>
      <x:c r="S755">
        <x:f ca="1">IF(AND($B$1012=1,LEN($S$1742)&gt;0),$S$1742,HLOOKUP(INDIRECT(ADDRESS(2,COLUMN())),OFFSET($T$2,0,0,ROW()-1,14),ROW()-1,FALSE))</x:f>
        <x:v>21.311512</x:v>
      </x:c>
      <x:c r="T755">
        <x:f>0</x:f>
        <x:v>0</x:v>
      </x:c>
      <x:c r="U755">
        <x:f>-0.825038</x:f>
        <x:v>-0.82503800000000005</x:v>
      </x:c>
      <x:c r="V755">
        <x:f>1.276479</x:f>
        <x:v>1.2764789999999999</x:v>
      </x:c>
      <x:c r="W755">
        <x:f>2.21932</x:f>
        <x:v>2.2193200000000002</x:v>
      </x:c>
      <x:c r="X755">
        <x:f>-7.724686</x:f>
        <x:v>-7.7246860000000002</x:v>
      </x:c>
      <x:c r="Y755">
        <x:f>1.82504</x:f>
        <x:v>1.82504</x:v>
      </x:c>
      <x:c r="Z755">
        <x:f>0</x:f>
        <x:v>0</x:v>
      </x:c>
      <x:c r="AA755">
        <x:f>-1.411753</x:f>
        <x:v>-1.411753</x:v>
      </x:c>
      <x:c r="AB755">
        <x:f>2.54667</x:f>
        <x:v>2.5466700000000002</x:v>
      </x:c>
      <x:c r="AC755">
        <x:f>-20.265331</x:f>
        <x:v>-20.265331</x:v>
      </x:c>
      <x:c r="AD755">
        <x:f>-24.36238</x:f>
        <x:v>-24.362380000000002</x:v>
      </x:c>
      <x:c r="AE755">
        <x:f>6.370924</x:f>
        <x:v>6.3709239999999996</x:v>
      </x:c>
      <x:c r="AF755">
        <x:f>18.375181</x:f>
        <x:v>18.375181000000001</x:v>
      </x:c>
      <x:c r="AG755">
        <x:f>21.311512</x:f>
        <x:v>21.311512</x:v>
      </x:c>
    </x:row>
    <x:row r="756" spans="1:33" x14ac:dyDescent="0.25">
      <x:c r="A756" t="str">
        <x:f>"            Columbia India Infrastructure"</x:f>
        <x:v xml:space="preserve">            Columbia India Infrastructure</x:v>
      </x:c>
      <x:c r="B756" t="str">
        <x:f>"INXX US Equity"</x:f>
        <x:v>INXX US Equity</x:v>
      </x:c>
      <x:c r="E756" t="str">
        <x:f t="shared" si="28"/>
        <x:v>Expression</x:v>
      </x:c>
      <x:c r="F756" t="str">
        <x:f ca="1">IF(AND($B$1012=1,LEN($F$1743)&gt;0),$F$1743,HLOOKUP(INDIRECT(ADDRESS(2,COLUMN())),OFFSET($T$2,0,0,ROW()-1,14),ROW()-1,FALSE))</x:f>
        <x:v/>
      </x:c>
      <x:c r="G756" t="str">
        <x:f ca="1">IF(AND($B$1012=1,LEN($G$1743)&gt;0),$G$1743,HLOOKUP(INDIRECT(ADDRESS(2,COLUMN())),OFFSET($T$2,0,0,ROW()-1,14),ROW()-1,FALSE))</x:f>
        <x:v/>
      </x:c>
      <x:c r="H756" t="str">
        <x:f ca="1">IF(AND($B$1012=1,LEN($H$1743)&gt;0),$H$1743,HLOOKUP(INDIRECT(ADDRESS(2,COLUMN())),OFFSET($T$2,0,0,ROW()-1,14),ROW()-1,FALSE))</x:f>
        <x:v/>
      </x:c>
      <x:c r="I756" t="str">
        <x:f ca="1">IF(AND($B$1012=1,LEN($I$1743)&gt;0),$I$1743,HLOOKUP(INDIRECT(ADDRESS(2,COLUMN())),OFFSET($T$2,0,0,ROW()-1,14),ROW()-1,FALSE))</x:f>
        <x:v/>
      </x:c>
      <x:c r="J756" t="str">
        <x:f ca="1">IF(AND($B$1012=1,LEN($J$1743)&gt;0),$J$1743,HLOOKUP(INDIRECT(ADDRESS(2,COLUMN())),OFFSET($T$2,0,0,ROW()-1,14),ROW()-1,FALSE))</x:f>
        <x:v/>
      </x:c>
      <x:c r="K756" t="str">
        <x:f ca="1">IF(AND($B$1012=1,LEN($K$1743)&gt;0),$K$1743,HLOOKUP(INDIRECT(ADDRESS(2,COLUMN())),OFFSET($T$2,0,0,ROW()-1,14),ROW()-1,FALSE))</x:f>
        <x:v/>
      </x:c>
      <x:c r="L756" t="str">
        <x:f ca="1">IF(AND($B$1012=1,LEN($L$1743)&gt;0),$L$1743,HLOOKUP(INDIRECT(ADDRESS(2,COLUMN())),OFFSET($T$2,0,0,ROW()-1,14),ROW()-1,FALSE))</x:f>
        <x:v/>
      </x:c>
      <x:c r="M756" t="str">
        <x:f ca="1">IF(AND($B$1012=1,LEN($M$1743)&gt;0),$M$1743,HLOOKUP(INDIRECT(ADDRESS(2,COLUMN())),OFFSET($T$2,0,0,ROW()-1,14),ROW()-1,FALSE))</x:f>
        <x:v/>
      </x:c>
      <x:c r="N756" t="str">
        <x:f ca="1">IF(AND($B$1012=1,LEN($N$1743)&gt;0),$N$1743,HLOOKUP(INDIRECT(ADDRESS(2,COLUMN())),OFFSET($T$2,0,0,ROW()-1,14),ROW()-1,FALSE))</x:f>
        <x:v/>
      </x:c>
      <x:c r="O756" t="str">
        <x:f ca="1">IF(AND($B$1012=1,LEN($O$1743)&gt;0),$O$1743,HLOOKUP(INDIRECT(ADDRESS(2,COLUMN())),OFFSET($T$2,0,0,ROW()-1,14),ROW()-1,FALSE))</x:f>
        <x:v/>
      </x:c>
      <x:c r="P756" t="str">
        <x:f ca="1">IF(AND($B$1012=1,LEN($P$1743)&gt;0),$P$1743,HLOOKUP(INDIRECT(ADDRESS(2,COLUMN())),OFFSET($T$2,0,0,ROW()-1,14),ROW()-1,FALSE))</x:f>
        <x:v/>
      </x:c>
      <x:c r="Q756" t="str">
        <x:f ca="1">IF(AND($B$1012=1,LEN($Q$1743)&gt;0),$Q$1743,HLOOKUP(INDIRECT(ADDRESS(2,COLUMN())),OFFSET($T$2,0,0,ROW()-1,14),ROW()-1,FALSE))</x:f>
        <x:v/>
      </x:c>
      <x:c r="R756" t="str">
        <x:f ca="1">IF(AND($B$1012=1,LEN($R$1743)&gt;0),$R$1743,HLOOKUP(INDIRECT(ADDRESS(2,COLUMN())),OFFSET($T$2,0,0,ROW()-1,14),ROW()-1,FALSE))</x:f>
        <x:v/>
      </x:c>
      <x:c r="S756" t="str">
        <x:f ca="1">IF(AND($B$1012=1,LEN($S$1743)&gt;0),$S$1743,HLOOKUP(INDIRECT(ADDRESS(2,COLUMN())),OFFSET($T$2,0,0,ROW()-1,14),ROW()-1,FALSE))</x:f>
        <x:v/>
      </x:c>
      <x:c r="T756" t="str">
        <x:f>""</x:f>
        <x:v/>
      </x:c>
      <x:c r="U756" t="str">
        <x:f>""</x:f>
        <x:v/>
      </x:c>
      <x:c r="V756" t="str">
        <x:f>""</x:f>
        <x:v/>
      </x:c>
      <x:c r="W756" t="str">
        <x:f>""</x:f>
        <x:v/>
      </x:c>
      <x:c r="X756" t="str">
        <x:f>""</x:f>
        <x:v/>
      </x:c>
      <x:c r="Y756" t="str">
        <x:f>""</x:f>
        <x:v/>
      </x:c>
      <x:c r="Z756" t="str">
        <x:f>""</x:f>
        <x:v/>
      </x:c>
      <x:c r="AA756" t="str">
        <x:f>""</x:f>
        <x:v/>
      </x:c>
      <x:c r="AB756" t="str">
        <x:f>""</x:f>
        <x:v/>
      </x:c>
      <x:c r="AC756" t="str">
        <x:f>""</x:f>
        <x:v/>
      </x:c>
      <x:c r="AD756" t="str">
        <x:f>""</x:f>
        <x:v/>
      </x:c>
      <x:c r="AE756" t="str">
        <x:f>""</x:f>
        <x:v/>
      </x:c>
      <x:c r="AF756" t="str">
        <x:f>""</x:f>
        <x:v/>
      </x:c>
      <x:c r="AG756" t="str">
        <x:f>""</x:f>
        <x:v/>
      </x:c>
    </x:row>
    <x:row r="757" spans="1:33" x14ac:dyDescent="0.25">
      <x:c r="A757" t="str">
        <x:f>"            Cushing Transportation &amp; MLP E"</x:f>
        <x:v xml:space="preserve">            Cushing Transportation &amp; MLP E</x:v>
      </x:c>
      <x:c r="B757" t="str">
        <x:f>"XLTY US Equity"</x:f>
        <x:v>XLTY US Equity</x:v>
      </x:c>
      <x:c r="E757" t="str">
        <x:f t="shared" si="28"/>
        <x:v>Expression</x:v>
      </x:c>
      <x:c r="F757" t="str">
        <x:f ca="1">IF(AND($B$1012=1,LEN($F$1744)&gt;0),$F$1744,HLOOKUP(INDIRECT(ADDRESS(2,COLUMN())),OFFSET($T$2,0,0,ROW()-1,14),ROW()-1,FALSE))</x:f>
        <x:v/>
      </x:c>
      <x:c r="G757" t="str">
        <x:f ca="1">IF(AND($B$1012=1,LEN($G$1744)&gt;0),$G$1744,HLOOKUP(INDIRECT(ADDRESS(2,COLUMN())),OFFSET($T$2,0,0,ROW()-1,14),ROW()-1,FALSE))</x:f>
        <x:v/>
      </x:c>
      <x:c r="H757" t="str">
        <x:f ca="1">IF(AND($B$1012=1,LEN($H$1744)&gt;0),$H$1744,HLOOKUP(INDIRECT(ADDRESS(2,COLUMN())),OFFSET($T$2,0,0,ROW()-1,14),ROW()-1,FALSE))</x:f>
        <x:v/>
      </x:c>
      <x:c r="I757" t="str">
        <x:f ca="1">IF(AND($B$1012=1,LEN($I$1744)&gt;0),$I$1744,HLOOKUP(INDIRECT(ADDRESS(2,COLUMN())),OFFSET($T$2,0,0,ROW()-1,14),ROW()-1,FALSE))</x:f>
        <x:v/>
      </x:c>
      <x:c r="J757" t="str">
        <x:f ca="1">IF(AND($B$1012=1,LEN($J$1744)&gt;0),$J$1744,HLOOKUP(INDIRECT(ADDRESS(2,COLUMN())),OFFSET($T$2,0,0,ROW()-1,14),ROW()-1,FALSE))</x:f>
        <x:v/>
      </x:c>
      <x:c r="K757" t="str">
        <x:f ca="1">IF(AND($B$1012=1,LEN($K$1744)&gt;0),$K$1744,HLOOKUP(INDIRECT(ADDRESS(2,COLUMN())),OFFSET($T$2,0,0,ROW()-1,14),ROW()-1,FALSE))</x:f>
        <x:v/>
      </x:c>
      <x:c r="L757" t="str">
        <x:f ca="1">IF(AND($B$1012=1,LEN($L$1744)&gt;0),$L$1744,HLOOKUP(INDIRECT(ADDRESS(2,COLUMN())),OFFSET($T$2,0,0,ROW()-1,14),ROW()-1,FALSE))</x:f>
        <x:v/>
      </x:c>
      <x:c r="M757" t="str">
        <x:f ca="1">IF(AND($B$1012=1,LEN($M$1744)&gt;0),$M$1744,HLOOKUP(INDIRECT(ADDRESS(2,COLUMN())),OFFSET($T$2,0,0,ROW()-1,14),ROW()-1,FALSE))</x:f>
        <x:v/>
      </x:c>
      <x:c r="N757" t="str">
        <x:f ca="1">IF(AND($B$1012=1,LEN($N$1744)&gt;0),$N$1744,HLOOKUP(INDIRECT(ADDRESS(2,COLUMN())),OFFSET($T$2,0,0,ROW()-1,14),ROW()-1,FALSE))</x:f>
        <x:v/>
      </x:c>
      <x:c r="O757" t="str">
        <x:f ca="1">IF(AND($B$1012=1,LEN($O$1744)&gt;0),$O$1744,HLOOKUP(INDIRECT(ADDRESS(2,COLUMN())),OFFSET($T$2,0,0,ROW()-1,14),ROW()-1,FALSE))</x:f>
        <x:v/>
      </x:c>
      <x:c r="P757" t="str">
        <x:f ca="1">IF(AND($B$1012=1,LEN($P$1744)&gt;0),$P$1744,HLOOKUP(INDIRECT(ADDRESS(2,COLUMN())),OFFSET($T$2,0,0,ROW()-1,14),ROW()-1,FALSE))</x:f>
        <x:v/>
      </x:c>
      <x:c r="Q757" t="str">
        <x:f ca="1">IF(AND($B$1012=1,LEN($Q$1744)&gt;0),$Q$1744,HLOOKUP(INDIRECT(ADDRESS(2,COLUMN())),OFFSET($T$2,0,0,ROW()-1,14),ROW()-1,FALSE))</x:f>
        <x:v/>
      </x:c>
      <x:c r="R757" t="str">
        <x:f ca="1">IF(AND($B$1012=1,LEN($R$1744)&gt;0),$R$1744,HLOOKUP(INDIRECT(ADDRESS(2,COLUMN())),OFFSET($T$2,0,0,ROW()-1,14),ROW()-1,FALSE))</x:f>
        <x:v/>
      </x:c>
      <x:c r="S757" t="str">
        <x:f ca="1">IF(AND($B$1012=1,LEN($S$1744)&gt;0),$S$1744,HLOOKUP(INDIRECT(ADDRESS(2,COLUMN())),OFFSET($T$2,0,0,ROW()-1,14),ROW()-1,FALSE))</x:f>
        <x:v/>
      </x:c>
      <x:c r="T757" t="str">
        <x:f>""</x:f>
        <x:v/>
      </x:c>
      <x:c r="U757" t="str">
        <x:f>""</x:f>
        <x:v/>
      </x:c>
      <x:c r="V757" t="str">
        <x:f>""</x:f>
        <x:v/>
      </x:c>
      <x:c r="W757" t="str">
        <x:f>""</x:f>
        <x:v/>
      </x:c>
      <x:c r="X757" t="str">
        <x:f>""</x:f>
        <x:v/>
      </x:c>
      <x:c r="Y757" t="str">
        <x:f>""</x:f>
        <x:v/>
      </x:c>
      <x:c r="Z757" t="str">
        <x:f>""</x:f>
        <x:v/>
      </x:c>
      <x:c r="AA757" t="str">
        <x:f>""</x:f>
        <x:v/>
      </x:c>
      <x:c r="AB757" t="str">
        <x:f>""</x:f>
        <x:v/>
      </x:c>
      <x:c r="AC757" t="str">
        <x:f>""</x:f>
        <x:v/>
      </x:c>
      <x:c r="AD757" t="str">
        <x:f>""</x:f>
        <x:v/>
      </x:c>
      <x:c r="AE757" t="str">
        <x:f>""</x:f>
        <x:v/>
      </x:c>
      <x:c r="AF757" t="str">
        <x:f>""</x:f>
        <x:v/>
      </x:c>
      <x:c r="AG757" t="str">
        <x:f>""</x:f>
        <x:v/>
      </x:c>
    </x:row>
    <x:row r="758" spans="1:33" x14ac:dyDescent="0.25">
      <x:c r="A758" t="str">
        <x:f>"            AGF Global Infrastructure ET"</x:f>
        <x:v xml:space="preserve">            AGF Global Infrastructure ET</x:v>
      </x:c>
      <x:c r="B758" t="str">
        <x:f>"GLIF US Equity"</x:f>
        <x:v>GLIF US Equity</x:v>
      </x:c>
      <x:c r="E758" t="str">
        <x:f t="shared" si="28"/>
        <x:v>Expression</x:v>
      </x:c>
      <x:c r="F758">
        <x:f ca="1">IF(AND($B$1012=1,LEN($F$1745)&gt;0),$F$1745,HLOOKUP(INDIRECT(ADDRESS(2,COLUMN())),OFFSET($T$2,0,0,ROW()-1,14),ROW()-1,FALSE))</x:f>
        <x:v>0</x:v>
      </x:c>
      <x:c r="G758">
        <x:f ca="1">IF(AND($B$1012=1,LEN($G$1745)&gt;0),$G$1745,HLOOKUP(INDIRECT(ADDRESS(2,COLUMN())),OFFSET($T$2,0,0,ROW()-1,14),ROW()-1,FALSE))</x:f>
        <x:v>0</x:v>
      </x:c>
      <x:c r="H758">
        <x:f ca="1">IF(AND($B$1012=1,LEN($H$1745)&gt;0),$H$1745,HLOOKUP(INDIRECT(ADDRESS(2,COLUMN())),OFFSET($T$2,0,0,ROW()-1,14),ROW()-1,FALSE))</x:f>
        <x:v>0</x:v>
      </x:c>
      <x:c r="I758">
        <x:f ca="1">IF(AND($B$1012=1,LEN($I$1745)&gt;0),$I$1745,HLOOKUP(INDIRECT(ADDRESS(2,COLUMN())),OFFSET($T$2,0,0,ROW()-1,14),ROW()-1,FALSE))</x:f>
        <x:v>0</x:v>
      </x:c>
      <x:c r="J758">
        <x:f ca="1">IF(AND($B$1012=1,LEN($J$1745)&gt;0),$J$1745,HLOOKUP(INDIRECT(ADDRESS(2,COLUMN())),OFFSET($T$2,0,0,ROW()-1,14),ROW()-1,FALSE))</x:f>
        <x:v>0</x:v>
      </x:c>
      <x:c r="K758">
        <x:f ca="1">IF(AND($B$1012=1,LEN($K$1745)&gt;0),$K$1745,HLOOKUP(INDIRECT(ADDRESS(2,COLUMN())),OFFSET($T$2,0,0,ROW()-1,14),ROW()-1,FALSE))</x:f>
        <x:v>0</x:v>
      </x:c>
      <x:c r="L758">
        <x:f ca="1">IF(AND($B$1012=1,LEN($L$1745)&gt;0),$L$1745,HLOOKUP(INDIRECT(ADDRESS(2,COLUMN())),OFFSET($T$2,0,0,ROW()-1,14),ROW()-1,FALSE))</x:f>
        <x:v>0</x:v>
      </x:c>
      <x:c r="M758">
        <x:f ca="1">IF(AND($B$1012=1,LEN($M$1745)&gt;0),$M$1745,HLOOKUP(INDIRECT(ADDRESS(2,COLUMN())),OFFSET($T$2,0,0,ROW()-1,14),ROW()-1,FALSE))</x:f>
        <x:v>0</x:v>
      </x:c>
      <x:c r="N758">
        <x:f ca="1">IF(AND($B$1012=1,LEN($N$1745)&gt;0),$N$1745,HLOOKUP(INDIRECT(ADDRESS(2,COLUMN())),OFFSET($T$2,0,0,ROW()-1,14),ROW()-1,FALSE))</x:f>
        <x:v>0</x:v>
      </x:c>
      <x:c r="O758">
        <x:f ca="1">IF(AND($B$1012=1,LEN($O$1745)&gt;0),$O$1745,HLOOKUP(INDIRECT(ADDRESS(2,COLUMN())),OFFSET($T$2,0,0,ROW()-1,14),ROW()-1,FALSE))</x:f>
        <x:v>0</x:v>
      </x:c>
      <x:c r="P758">
        <x:f ca="1">IF(AND($B$1012=1,LEN($P$1745)&gt;0),$P$1745,HLOOKUP(INDIRECT(ADDRESS(2,COLUMN())),OFFSET($T$2,0,0,ROW()-1,14),ROW()-1,FALSE))</x:f>
        <x:v>0</x:v>
      </x:c>
      <x:c r="Q758">
        <x:f ca="1">IF(AND($B$1012=1,LEN($Q$1745)&gt;0),$Q$1745,HLOOKUP(INDIRECT(ADDRESS(2,COLUMN())),OFFSET($T$2,0,0,ROW()-1,14),ROW()-1,FALSE))</x:f>
        <x:v>0</x:v>
      </x:c>
      <x:c r="R758">
        <x:f ca="1">IF(AND($B$1012=1,LEN($R$1745)&gt;0),$R$1745,HLOOKUP(INDIRECT(ADDRESS(2,COLUMN())),OFFSET($T$2,0,0,ROW()-1,14),ROW()-1,FALSE))</x:f>
        <x:v>0</x:v>
      </x:c>
      <x:c r="S758">
        <x:f ca="1">IF(AND($B$1012=1,LEN($S$1745)&gt;0),$S$1745,HLOOKUP(INDIRECT(ADDRESS(2,COLUMN())),OFFSET($T$2,0,0,ROW()-1,14),ROW()-1,FALSE))</x:f>
        <x:v>0</x:v>
      </x:c>
      <x:c r="T758">
        <x:f>0</x:f>
        <x:v>0</x:v>
      </x:c>
      <x:c r="U758">
        <x:f>0</x:f>
        <x:v>0</x:v>
      </x:c>
      <x:c r="V758">
        <x:f>0</x:f>
        <x:v>0</x:v>
      </x:c>
      <x:c r="W758">
        <x:f>0</x:f>
        <x:v>0</x:v>
      </x:c>
      <x:c r="X758">
        <x:f>0</x:f>
        <x:v>0</x:v>
      </x:c>
      <x:c r="Y758">
        <x:f>0</x:f>
        <x:v>0</x:v>
      </x:c>
      <x:c r="Z758">
        <x:f>0</x:f>
        <x:v>0</x:v>
      </x:c>
      <x:c r="AA758">
        <x:f>0</x:f>
        <x:v>0</x:v>
      </x:c>
      <x:c r="AB758">
        <x:f>0</x:f>
        <x:v>0</x:v>
      </x:c>
      <x:c r="AC758">
        <x:f>0</x:f>
        <x:v>0</x:v>
      </x:c>
      <x:c r="AD758">
        <x:f>0</x:f>
        <x:v>0</x:v>
      </x:c>
      <x:c r="AE758">
        <x:f>0</x:f>
        <x:v>0</x:v>
      </x:c>
      <x:c r="AF758">
        <x:f>0</x:f>
        <x:v>0</x:v>
      </x:c>
      <x:c r="AG758">
        <x:f>0</x:f>
        <x:v>0</x:v>
      </x:c>
    </x:row>
    <x:row r="759" spans="1:33" x14ac:dyDescent="0.25">
      <x:c r="A759" t="str">
        <x:f>"            Sonicshares Global Shipping ET"</x:f>
        <x:v xml:space="preserve">            Sonicshares Global Shipping ET</x:v>
      </x:c>
      <x:c r="B759" t="str">
        <x:f>"BOAT US Equity"</x:f>
        <x:v>BOAT US Equity</x:v>
      </x:c>
      <x:c r="E759" t="str">
        <x:f t="shared" si="28"/>
        <x:v>Expression</x:v>
      </x:c>
      <x:c r="F759">
        <x:f ca="1">IF(AND($B$1012=1,LEN($F$1746)&gt;0),$F$1746,HLOOKUP(INDIRECT(ADDRESS(2,COLUMN())),OFFSET($T$2,0,0,ROW()-1,14),ROW()-1,FALSE))</x:f>
        <x:v>7.0331700000000001</x:v>
      </x:c>
      <x:c r="G759">
        <x:f ca="1">IF(AND($B$1012=1,LEN($G$1746)&gt;0),$G$1746,HLOOKUP(INDIRECT(ADDRESS(2,COLUMN())),OFFSET($T$2,0,0,ROW()-1,14),ROW()-1,FALSE))</x:f>
        <x:v>4.1301050000000004</x:v>
      </x:c>
      <x:c r="H759">
        <x:f ca="1">IF(AND($B$1012=1,LEN($H$1746)&gt;0),$H$1746,HLOOKUP(INDIRECT(ADDRESS(2,COLUMN())),OFFSET($T$2,0,0,ROW()-1,14),ROW()-1,FALSE))</x:f>
        <x:v>0</x:v>
      </x:c>
      <x:c r="I759">
        <x:f ca="1">IF(AND($B$1012=1,LEN($I$1746)&gt;0),$I$1746,HLOOKUP(INDIRECT(ADDRESS(2,COLUMN())),OFFSET($T$2,0,0,ROW()-1,14),ROW()-1,FALSE))</x:f>
        <x:v>0.697322</x:v>
      </x:c>
      <x:c r="J759">
        <x:f ca="1">IF(AND($B$1012=1,LEN($J$1746)&gt;0),$J$1746,HLOOKUP(INDIRECT(ADDRESS(2,COLUMN())),OFFSET($T$2,0,0,ROW()-1,14),ROW()-1,FALSE))</x:f>
        <x:v>0</x:v>
      </x:c>
      <x:c r="K759">
        <x:f ca="1">IF(AND($B$1012=1,LEN($K$1746)&gt;0),$K$1746,HLOOKUP(INDIRECT(ADDRESS(2,COLUMN())),OFFSET($T$2,0,0,ROW()-1,14),ROW()-1,FALSE))</x:f>
        <x:v>-1.414892</x:v>
      </x:c>
      <x:c r="L759">
        <x:f ca="1">IF(AND($B$1012=1,LEN($L$1746)&gt;0),$L$1746,HLOOKUP(INDIRECT(ADDRESS(2,COLUMN())),OFFSET($T$2,0,0,ROW()-1,14),ROW()-1,FALSE))</x:f>
        <x:v>0</x:v>
      </x:c>
      <x:c r="M759">
        <x:f ca="1">IF(AND($B$1012=1,LEN($M$1746)&gt;0),$M$1746,HLOOKUP(INDIRECT(ADDRESS(2,COLUMN())),OFFSET($T$2,0,0,ROW()-1,14),ROW()-1,FALSE))</x:f>
        <x:v>0</x:v>
      </x:c>
      <x:c r="N759">
        <x:f ca="1">IF(AND($B$1012=1,LEN($N$1746)&gt;0),$N$1746,HLOOKUP(INDIRECT(ADDRESS(2,COLUMN())),OFFSET($T$2,0,0,ROW()-1,14),ROW()-1,FALSE))</x:f>
        <x:v>0</x:v>
      </x:c>
      <x:c r="O759">
        <x:f ca="1">IF(AND($B$1012=1,LEN($O$1746)&gt;0),$O$1746,HLOOKUP(INDIRECT(ADDRESS(2,COLUMN())),OFFSET($T$2,0,0,ROW()-1,14),ROW()-1,FALSE))</x:f>
        <x:v>0</x:v>
      </x:c>
      <x:c r="P759">
        <x:f ca="1">IF(AND($B$1012=1,LEN($P$1746)&gt;0),$P$1746,HLOOKUP(INDIRECT(ADDRESS(2,COLUMN())),OFFSET($T$2,0,0,ROW()-1,14),ROW()-1,FALSE))</x:f>
        <x:v>0</x:v>
      </x:c>
      <x:c r="Q759">
        <x:f ca="1">IF(AND($B$1012=1,LEN($Q$1746)&gt;0),$Q$1746,HLOOKUP(INDIRECT(ADDRESS(2,COLUMN())),OFFSET($T$2,0,0,ROW()-1,14),ROW()-1,FALSE))</x:f>
        <x:v>-0.70869300000000002</x:v>
      </x:c>
      <x:c r="R759">
        <x:f ca="1">IF(AND($B$1012=1,LEN($R$1746)&gt;0),$R$1746,HLOOKUP(INDIRECT(ADDRESS(2,COLUMN())),OFFSET($T$2,0,0,ROW()-1,14),ROW()-1,FALSE))</x:f>
        <x:v>0</x:v>
      </x:c>
      <x:c r="S759">
        <x:f ca="1">IF(AND($B$1012=1,LEN($S$1746)&gt;0),$S$1746,HLOOKUP(INDIRECT(ADDRESS(2,COLUMN())),OFFSET($T$2,0,0,ROW()-1,14),ROW()-1,FALSE))</x:f>
        <x:v>0</x:v>
      </x:c>
      <x:c r="T759">
        <x:f>7.03317</x:f>
        <x:v>7.0331700000000001</x:v>
      </x:c>
      <x:c r="U759">
        <x:f>4.130105</x:f>
        <x:v>4.1301050000000004</x:v>
      </x:c>
      <x:c r="V759">
        <x:f>0</x:f>
        <x:v>0</x:v>
      </x:c>
      <x:c r="W759">
        <x:f>0.697322</x:f>
        <x:v>0.697322</x:v>
      </x:c>
      <x:c r="X759">
        <x:f>0</x:f>
        <x:v>0</x:v>
      </x:c>
      <x:c r="Y759">
        <x:f>-1.414892</x:f>
        <x:v>-1.414892</x:v>
      </x:c>
      <x:c r="Z759">
        <x:f>0</x:f>
        <x:v>0</x:v>
      </x:c>
      <x:c r="AA759">
        <x:f>0</x:f>
        <x:v>0</x:v>
      </x:c>
      <x:c r="AB759">
        <x:f>0</x:f>
        <x:v>0</x:v>
      </x:c>
      <x:c r="AC759">
        <x:f>0</x:f>
        <x:v>0</x:v>
      </x:c>
      <x:c r="AD759">
        <x:f>0</x:f>
        <x:v>0</x:v>
      </x:c>
      <x:c r="AE759">
        <x:f>-0.708693</x:f>
        <x:v>-0.70869300000000002</x:v>
      </x:c>
      <x:c r="AF759">
        <x:f>0</x:f>
        <x:v>0</x:v>
      </x:c>
      <x:c r="AG759">
        <x:f>0</x:f>
        <x:v>0</x:v>
      </x:c>
    </x:row>
    <x:row r="760" spans="1:33" x14ac:dyDescent="0.25">
      <x:c r="A760" t="str">
        <x:f>"            US Global Sea to Sky Cargo ETF"</x:f>
        <x:v xml:space="preserve">            US Global Sea to Sky Cargo ETF</x:v>
      </x:c>
      <x:c r="B760" t="str">
        <x:f>"SEA US Equity"</x:f>
        <x:v>SEA US Equity</x:v>
      </x:c>
      <x:c r="E760" t="str">
        <x:f t="shared" si="28"/>
        <x:v>Expression</x:v>
      </x:c>
      <x:c r="F760">
        <x:f ca="1">IF(AND($B$1012=1,LEN($F$1747)&gt;0),$F$1747,HLOOKUP(INDIRECT(ADDRESS(2,COLUMN())),OFFSET($T$2,0,0,ROW()-1,14),ROW()-1,FALSE))</x:f>
        <x:v>0</x:v>
      </x:c>
      <x:c r="G760">
        <x:f ca="1">IF(AND($B$1012=1,LEN($G$1747)&gt;0),$G$1747,HLOOKUP(INDIRECT(ADDRESS(2,COLUMN())),OFFSET($T$2,0,0,ROW()-1,14),ROW()-1,FALSE))</x:f>
        <x:v>0.72338000000000002</x:v>
      </x:c>
      <x:c r="H760">
        <x:f ca="1">IF(AND($B$1012=1,LEN($H$1747)&gt;0),$H$1747,HLOOKUP(INDIRECT(ADDRESS(2,COLUMN())),OFFSET($T$2,0,0,ROW()-1,14),ROW()-1,FALSE))</x:f>
        <x:v>0</x:v>
      </x:c>
      <x:c r="I760">
        <x:f ca="1">IF(AND($B$1012=1,LEN($I$1747)&gt;0),$I$1747,HLOOKUP(INDIRECT(ADDRESS(2,COLUMN())),OFFSET($T$2,0,0,ROW()-1,14),ROW()-1,FALSE))</x:f>
        <x:v>0</x:v>
      </x:c>
      <x:c r="J760">
        <x:f ca="1">IF(AND($B$1012=1,LEN($J$1747)&gt;0),$J$1747,HLOOKUP(INDIRECT(ADDRESS(2,COLUMN())),OFFSET($T$2,0,0,ROW()-1,14),ROW()-1,FALSE))</x:f>
        <x:v>0</x:v>
      </x:c>
      <x:c r="K760">
        <x:f ca="1">IF(AND($B$1012=1,LEN($K$1747)&gt;0),$K$1747,HLOOKUP(INDIRECT(ADDRESS(2,COLUMN())),OFFSET($T$2,0,0,ROW()-1,14),ROW()-1,FALSE))</x:f>
        <x:v>0</x:v>
      </x:c>
      <x:c r="L760">
        <x:f ca="1">IF(AND($B$1012=1,LEN($L$1747)&gt;0),$L$1747,HLOOKUP(INDIRECT(ADDRESS(2,COLUMN())),OFFSET($T$2,0,0,ROW()-1,14),ROW()-1,FALSE))</x:f>
        <x:v>0</x:v>
      </x:c>
      <x:c r="M760">
        <x:f ca="1">IF(AND($B$1012=1,LEN($M$1747)&gt;0),$M$1747,HLOOKUP(INDIRECT(ADDRESS(2,COLUMN())),OFFSET($T$2,0,0,ROW()-1,14),ROW()-1,FALSE))</x:f>
        <x:v>0</x:v>
      </x:c>
      <x:c r="N760">
        <x:f ca="1">IF(AND($B$1012=1,LEN($N$1747)&gt;0),$N$1747,HLOOKUP(INDIRECT(ADDRESS(2,COLUMN())),OFFSET($T$2,0,0,ROW()-1,14),ROW()-1,FALSE))</x:f>
        <x:v>0</x:v>
      </x:c>
      <x:c r="O760">
        <x:f ca="1">IF(AND($B$1012=1,LEN($O$1747)&gt;0),$O$1747,HLOOKUP(INDIRECT(ADDRESS(2,COLUMN())),OFFSET($T$2,0,0,ROW()-1,14),ROW()-1,FALSE))</x:f>
        <x:v>-0.73387500000000006</x:v>
      </x:c>
      <x:c r="P760">
        <x:f ca="1">IF(AND($B$1012=1,LEN($P$1747)&gt;0),$P$1747,HLOOKUP(INDIRECT(ADDRESS(2,COLUMN())),OFFSET($T$2,0,0,ROW()-1,14),ROW()-1,FALSE))</x:f>
        <x:v>-0.71185500000000002</x:v>
      </x:c>
      <x:c r="Q760">
        <x:f ca="1">IF(AND($B$1012=1,LEN($Q$1747)&gt;0),$Q$1747,HLOOKUP(INDIRECT(ADDRESS(2,COLUMN())),OFFSET($T$2,0,0,ROW()-1,14),ROW()-1,FALSE))</x:f>
        <x:v>0.41961999999999999</x:v>
      </x:c>
      <x:c r="R760">
        <x:f ca="1">IF(AND($B$1012=1,LEN($R$1747)&gt;0),$R$1747,HLOOKUP(INDIRECT(ADDRESS(2,COLUMN())),OFFSET($T$2,0,0,ROW()-1,14),ROW()-1,FALSE))</x:f>
        <x:v>0</x:v>
      </x:c>
      <x:c r="S760">
        <x:f ca="1">IF(AND($B$1012=1,LEN($S$1747)&gt;0),$S$1747,HLOOKUP(INDIRECT(ADDRESS(2,COLUMN())),OFFSET($T$2,0,0,ROW()-1,14),ROW()-1,FALSE))</x:f>
        <x:v>0</x:v>
      </x:c>
      <x:c r="T760">
        <x:f>0</x:f>
        <x:v>0</x:v>
      </x:c>
      <x:c r="U760">
        <x:f>0.72338</x:f>
        <x:v>0.72338000000000002</x:v>
      </x:c>
      <x:c r="V760">
        <x:f>0</x:f>
        <x:v>0</x:v>
      </x:c>
      <x:c r="W760">
        <x:f>0</x:f>
        <x:v>0</x:v>
      </x:c>
      <x:c r="X760">
        <x:f>0</x:f>
        <x:v>0</x:v>
      </x:c>
      <x:c r="Y760">
        <x:f>0</x:f>
        <x:v>0</x:v>
      </x:c>
      <x:c r="Z760">
        <x:f>0</x:f>
        <x:v>0</x:v>
      </x:c>
      <x:c r="AA760">
        <x:f>0</x:f>
        <x:v>0</x:v>
      </x:c>
      <x:c r="AB760">
        <x:f>0</x:f>
        <x:v>0</x:v>
      </x:c>
      <x:c r="AC760">
        <x:f>-0.733875</x:f>
        <x:v>-0.73387500000000006</x:v>
      </x:c>
      <x:c r="AD760">
        <x:f>-0.711855</x:f>
        <x:v>-0.71185500000000002</x:v>
      </x:c>
      <x:c r="AE760">
        <x:f>0.41962</x:f>
        <x:v>0.41961999999999999</x:v>
      </x:c>
      <x:c r="AF760">
        <x:f>0</x:f>
        <x:v>0</x:v>
      </x:c>
      <x:c r="AG760">
        <x:f>0</x:f>
        <x:v>0</x:v>
      </x:c>
    </x:row>
    <x:row r="761" spans="1:33" x14ac:dyDescent="0.25">
      <x:c r="A761" t="str">
        <x:f>"            BNY Mellon Global Infrastructu"</x:f>
        <x:v xml:space="preserve">            BNY Mellon Global Infrastructu</x:v>
      </x:c>
      <x:c r="B761" t="str">
        <x:f>"BKGI US Equity"</x:f>
        <x:v>BKGI US Equity</x:v>
      </x:c>
      <x:c r="E761" t="str">
        <x:f t="shared" si="28"/>
        <x:v>Expression</x:v>
      </x:c>
      <x:c r="F761">
        <x:f ca="1">IF(AND($B$1012=1,LEN($F$1748)&gt;0),$F$1748,HLOOKUP(INDIRECT(ADDRESS(2,COLUMN())),OFFSET($T$2,0,0,ROW()-1,14),ROW()-1,FALSE))</x:f>
        <x:v>0</x:v>
      </x:c>
      <x:c r="G761">
        <x:f ca="1">IF(AND($B$1012=1,LEN($G$1748)&gt;0),$G$1748,HLOOKUP(INDIRECT(ADDRESS(2,COLUMN())),OFFSET($T$2,0,0,ROW()-1,14),ROW()-1,FALSE))</x:f>
        <x:v>0</x:v>
      </x:c>
      <x:c r="H761">
        <x:f ca="1">IF(AND($B$1012=1,LEN($H$1748)&gt;0),$H$1748,HLOOKUP(INDIRECT(ADDRESS(2,COLUMN())),OFFSET($T$2,0,0,ROW()-1,14),ROW()-1,FALSE))</x:f>
        <x:v>0</x:v>
      </x:c>
      <x:c r="I761">
        <x:f ca="1">IF(AND($B$1012=1,LEN($I$1748)&gt;0),$I$1748,HLOOKUP(INDIRECT(ADDRESS(2,COLUMN())),OFFSET($T$2,0,0,ROW()-1,14),ROW()-1,FALSE))</x:f>
        <x:v>0</x:v>
      </x:c>
      <x:c r="J761">
        <x:f ca="1">IF(AND($B$1012=1,LEN($J$1748)&gt;0),$J$1748,HLOOKUP(INDIRECT(ADDRESS(2,COLUMN())),OFFSET($T$2,0,0,ROW()-1,14),ROW()-1,FALSE))</x:f>
        <x:v>0</x:v>
      </x:c>
      <x:c r="K761">
        <x:f ca="1">IF(AND($B$1012=1,LEN($K$1748)&gt;0),$K$1748,HLOOKUP(INDIRECT(ADDRESS(2,COLUMN())),OFFSET($T$2,0,0,ROW()-1,14),ROW()-1,FALSE))</x:f>
        <x:v>0</x:v>
      </x:c>
      <x:c r="L761">
        <x:f ca="1">IF(AND($B$1012=1,LEN($L$1748)&gt;0),$L$1748,HLOOKUP(INDIRECT(ADDRESS(2,COLUMN())),OFFSET($T$2,0,0,ROW()-1,14),ROW()-1,FALSE))</x:f>
        <x:v>0</x:v>
      </x:c>
      <x:c r="M761">
        <x:f ca="1">IF(AND($B$1012=1,LEN($M$1748)&gt;0),$M$1748,HLOOKUP(INDIRECT(ADDRESS(2,COLUMN())),OFFSET($T$2,0,0,ROW()-1,14),ROW()-1,FALSE))</x:f>
        <x:v>4.1638500000000001</x:v>
      </x:c>
      <x:c r="N761">
        <x:f ca="1">IF(AND($B$1012=1,LEN($N$1748)&gt;0),$N$1748,HLOOKUP(INDIRECT(ADDRESS(2,COLUMN())),OFFSET($T$2,0,0,ROW()-1,14),ROW()-1,FALSE))</x:f>
        <x:v>0</x:v>
      </x:c>
      <x:c r="O761">
        <x:f ca="1">IF(AND($B$1012=1,LEN($O$1748)&gt;0),$O$1748,HLOOKUP(INDIRECT(ADDRESS(2,COLUMN())),OFFSET($T$2,0,0,ROW()-1,14),ROW()-1,FALSE))</x:f>
        <x:v>0</x:v>
      </x:c>
      <x:c r="P761">
        <x:f ca="1">IF(AND($B$1012=1,LEN($P$1748)&gt;0),$P$1748,HLOOKUP(INDIRECT(ADDRESS(2,COLUMN())),OFFSET($T$2,0,0,ROW()-1,14),ROW()-1,FALSE))</x:f>
        <x:v>0</x:v>
      </x:c>
      <x:c r="Q761">
        <x:f ca="1">IF(AND($B$1012=1,LEN($Q$1748)&gt;0),$Q$1748,HLOOKUP(INDIRECT(ADDRESS(2,COLUMN())),OFFSET($T$2,0,0,ROW()-1,14),ROW()-1,FALSE))</x:f>
        <x:v>0</x:v>
      </x:c>
      <x:c r="R761">
        <x:f ca="1">IF(AND($B$1012=1,LEN($R$1748)&gt;0),$R$1748,HLOOKUP(INDIRECT(ADDRESS(2,COLUMN())),OFFSET($T$2,0,0,ROW()-1,14),ROW()-1,FALSE))</x:f>
        <x:v>0</x:v>
      </x:c>
      <x:c r="S761" t="str">
        <x:f ca="1">IF(AND($B$1012=1,LEN($S$1748)&gt;0),$S$1748,HLOOKUP(INDIRECT(ADDRESS(2,COLUMN())),OFFSET($T$2,0,0,ROW()-1,14),ROW()-1,FALSE))</x:f>
        <x:v/>
      </x:c>
      <x:c r="T761">
        <x:f>0</x:f>
        <x:v>0</x:v>
      </x:c>
      <x:c r="U761">
        <x:f>0</x:f>
        <x:v>0</x:v>
      </x:c>
      <x:c r="V761">
        <x:f>0</x:f>
        <x:v>0</x:v>
      </x:c>
      <x:c r="W761">
        <x:f>0</x:f>
        <x:v>0</x:v>
      </x:c>
      <x:c r="X761">
        <x:f>0</x:f>
        <x:v>0</x:v>
      </x:c>
      <x:c r="Y761">
        <x:f>0</x:f>
        <x:v>0</x:v>
      </x:c>
      <x:c r="Z761">
        <x:f>0</x:f>
        <x:v>0</x:v>
      </x:c>
      <x:c r="AA761">
        <x:f>4.16385</x:f>
        <x:v>4.1638500000000001</x:v>
      </x:c>
      <x:c r="AB761">
        <x:f>0</x:f>
        <x:v>0</x:v>
      </x:c>
      <x:c r="AC761">
        <x:f>0</x:f>
        <x:v>0</x:v>
      </x:c>
      <x:c r="AD761">
        <x:f>0</x:f>
        <x:v>0</x:v>
      </x:c>
      <x:c r="AE761">
        <x:f>0</x:f>
        <x:v>0</x:v>
      </x:c>
      <x:c r="AF761">
        <x:f>0</x:f>
        <x:v>0</x:v>
      </x:c>
      <x:c r="AG761" t="str">
        <x:f>""</x:f>
        <x:v/>
      </x:c>
    </x:row>
    <x:row r="762" spans="1:33" x14ac:dyDescent="0.25">
      <x:c r="A762" t="str">
        <x:f>"            JPMorgan Sustainable Infrastru"</x:f>
        <x:v xml:space="preserve">            JPMorgan Sustainable Infrastru</x:v>
      </x:c>
      <x:c r="B762" t="str">
        <x:f>"BLLD US Equity"</x:f>
        <x:v>BLLD US Equity</x:v>
      </x:c>
      <x:c r="E762" t="str">
        <x:f t="shared" si="28"/>
        <x:v>Expression</x:v>
      </x:c>
      <x:c r="F762">
        <x:f ca="1">IF(AND($B$1012=1,LEN($F$1749)&gt;0),$F$1749,HLOOKUP(INDIRECT(ADDRESS(2,COLUMN())),OFFSET($T$2,0,0,ROW()-1,14),ROW()-1,FALSE))</x:f>
        <x:v>0</x:v>
      </x:c>
      <x:c r="G762">
        <x:f ca="1">IF(AND($B$1012=1,LEN($G$1749)&gt;0),$G$1749,HLOOKUP(INDIRECT(ADDRESS(2,COLUMN())),OFFSET($T$2,0,0,ROW()-1,14),ROW()-1,FALSE))</x:f>
        <x:v>0</x:v>
      </x:c>
      <x:c r="H762">
        <x:f ca="1">IF(AND($B$1012=1,LEN($H$1749)&gt;0),$H$1749,HLOOKUP(INDIRECT(ADDRESS(2,COLUMN())),OFFSET($T$2,0,0,ROW()-1,14),ROW()-1,FALSE))</x:f>
        <x:v>0</x:v>
      </x:c>
      <x:c r="I762">
        <x:f ca="1">IF(AND($B$1012=1,LEN($I$1749)&gt;0),$I$1749,HLOOKUP(INDIRECT(ADDRESS(2,COLUMN())),OFFSET($T$2,0,0,ROW()-1,14),ROW()-1,FALSE))</x:f>
        <x:v>0</x:v>
      </x:c>
      <x:c r="J762">
        <x:f ca="1">IF(AND($B$1012=1,LEN($J$1749)&gt;0),$J$1749,HLOOKUP(INDIRECT(ADDRESS(2,COLUMN())),OFFSET($T$2,0,0,ROW()-1,14),ROW()-1,FALSE))</x:f>
        <x:v>9.3260000000000005</x:v>
      </x:c>
      <x:c r="K762">
        <x:f ca="1">IF(AND($B$1012=1,LEN($K$1749)&gt;0),$K$1749,HLOOKUP(INDIRECT(ADDRESS(2,COLUMN())),OFFSET($T$2,0,0,ROW()-1,14),ROW()-1,FALSE))</x:f>
        <x:v>0</x:v>
      </x:c>
      <x:c r="L762">
        <x:f ca="1">IF(AND($B$1012=1,LEN($L$1749)&gt;0),$L$1749,HLOOKUP(INDIRECT(ADDRESS(2,COLUMN())),OFFSET($T$2,0,0,ROW()-1,14),ROW()-1,FALSE))</x:f>
        <x:v>4.6719999999999997</x:v>
      </x:c>
      <x:c r="M762">
        <x:f ca="1">IF(AND($B$1012=1,LEN($M$1749)&gt;0),$M$1749,HLOOKUP(INDIRECT(ADDRESS(2,COLUMN())),OFFSET($T$2,0,0,ROW()-1,14),ROW()-1,FALSE))</x:f>
        <x:v>0</x:v>
      </x:c>
      <x:c r="N762">
        <x:f ca="1">IF(AND($B$1012=1,LEN($N$1749)&gt;0),$N$1749,HLOOKUP(INDIRECT(ADDRESS(2,COLUMN())),OFFSET($T$2,0,0,ROW()-1,14),ROW()-1,FALSE))</x:f>
        <x:v>0</x:v>
      </x:c>
      <x:c r="O762">
        <x:f ca="1">IF(AND($B$1012=1,LEN($O$1749)&gt;0),$O$1749,HLOOKUP(INDIRECT(ADDRESS(2,COLUMN())),OFFSET($T$2,0,0,ROW()-1,14),ROW()-1,FALSE))</x:f>
        <x:v>0</x:v>
      </x:c>
      <x:c r="P762">
        <x:f ca="1">IF(AND($B$1012=1,LEN($P$1749)&gt;0),$P$1749,HLOOKUP(INDIRECT(ADDRESS(2,COLUMN())),OFFSET($T$2,0,0,ROW()-1,14),ROW()-1,FALSE))</x:f>
        <x:v>0</x:v>
      </x:c>
      <x:c r="Q762">
        <x:f ca="1">IF(AND($B$1012=1,LEN($Q$1749)&gt;0),$Q$1749,HLOOKUP(INDIRECT(ADDRESS(2,COLUMN())),OFFSET($T$2,0,0,ROW()-1,14),ROW()-1,FALSE))</x:f>
        <x:v>0</x:v>
      </x:c>
      <x:c r="R762">
        <x:f ca="1">IF(AND($B$1012=1,LEN($R$1749)&gt;0),$R$1749,HLOOKUP(INDIRECT(ADDRESS(2,COLUMN())),OFFSET($T$2,0,0,ROW()-1,14),ROW()-1,FALSE))</x:f>
        <x:v>0</x:v>
      </x:c>
      <x:c r="S762">
        <x:f ca="1">IF(AND($B$1012=1,LEN($S$1749)&gt;0),$S$1749,HLOOKUP(INDIRECT(ADDRESS(2,COLUMN())),OFFSET($T$2,0,0,ROW()-1,14),ROW()-1,FALSE))</x:f>
        <x:v>0</x:v>
      </x:c>
      <x:c r="T762">
        <x:f>0</x:f>
        <x:v>0</x:v>
      </x:c>
      <x:c r="U762">
        <x:f>0</x:f>
        <x:v>0</x:v>
      </x:c>
      <x:c r="V762">
        <x:f>0</x:f>
        <x:v>0</x:v>
      </x:c>
      <x:c r="W762">
        <x:f>0</x:f>
        <x:v>0</x:v>
      </x:c>
      <x:c r="X762">
        <x:f>9.326</x:f>
        <x:v>9.3260000000000005</x:v>
      </x:c>
      <x:c r="Y762">
        <x:f>0</x:f>
        <x:v>0</x:v>
      </x:c>
      <x:c r="Z762">
        <x:f>4.672</x:f>
        <x:v>4.6719999999999997</x:v>
      </x:c>
      <x:c r="AA762">
        <x:f>0</x:f>
        <x:v>0</x:v>
      </x:c>
      <x:c r="AB762">
        <x:f>0</x:f>
        <x:v>0</x:v>
      </x:c>
      <x:c r="AC762">
        <x:f>0</x:f>
        <x:v>0</x:v>
      </x:c>
      <x:c r="AD762">
        <x:f>0</x:f>
        <x:v>0</x:v>
      </x:c>
      <x:c r="AE762">
        <x:f>0</x:f>
        <x:v>0</x:v>
      </x:c>
      <x:c r="AF762">
        <x:f>0</x:f>
        <x:v>0</x:v>
      </x:c>
      <x:c r="AG762">
        <x:f>0</x:f>
        <x:v>0</x:v>
      </x:c>
    </x:row>
    <x:row r="763" spans="1:33" x14ac:dyDescent="0.25">
      <x:c r="A763" t="str">
        <x:f>"            iShares Environmental Infrastr"</x:f>
        <x:v xml:space="preserve">            iShares Environmental Infrastr</x:v>
      </x:c>
      <x:c r="B763" t="str">
        <x:f>"EFRA US Equity"</x:f>
        <x:v>EFRA US Equity</x:v>
      </x:c>
      <x:c r="E763" t="str">
        <x:f t="shared" si="28"/>
        <x:v>Expression</x:v>
      </x:c>
      <x:c r="F763">
        <x:f ca="1">IF(AND($B$1012=1,LEN($F$1750)&gt;0),$F$1750,HLOOKUP(INDIRECT(ADDRESS(2,COLUMN())),OFFSET($T$2,0,0,ROW()-1,14),ROW()-1,FALSE))</x:f>
        <x:v>0</x:v>
      </x:c>
      <x:c r="G763">
        <x:f ca="1">IF(AND($B$1012=1,LEN($G$1750)&gt;0),$G$1750,HLOOKUP(INDIRECT(ADDRESS(2,COLUMN())),OFFSET($T$2,0,0,ROW()-1,14),ROW()-1,FALSE))</x:f>
        <x:v>0</x:v>
      </x:c>
      <x:c r="H763">
        <x:f ca="1">IF(AND($B$1012=1,LEN($H$1750)&gt;0),$H$1750,HLOOKUP(INDIRECT(ADDRESS(2,COLUMN())),OFFSET($T$2,0,0,ROW()-1,14),ROW()-1,FALSE))</x:f>
        <x:v>0</x:v>
      </x:c>
      <x:c r="I763">
        <x:f ca="1">IF(AND($B$1012=1,LEN($I$1750)&gt;0),$I$1750,HLOOKUP(INDIRECT(ADDRESS(2,COLUMN())),OFFSET($T$2,0,0,ROW()-1,14),ROW()-1,FALSE))</x:f>
        <x:v>0</x:v>
      </x:c>
      <x:c r="J763">
        <x:f ca="1">IF(AND($B$1012=1,LEN($J$1750)&gt;0),$J$1750,HLOOKUP(INDIRECT(ADDRESS(2,COLUMN())),OFFSET($T$2,0,0,ROW()-1,14),ROW()-1,FALSE))</x:f>
        <x:v>0</x:v>
      </x:c>
      <x:c r="K763">
        <x:f ca="1">IF(AND($B$1012=1,LEN($K$1750)&gt;0),$K$1750,HLOOKUP(INDIRECT(ADDRESS(2,COLUMN())),OFFSET($T$2,0,0,ROW()-1,14),ROW()-1,FALSE))</x:f>
        <x:v>0</x:v>
      </x:c>
      <x:c r="L763">
        <x:f ca="1">IF(AND($B$1012=1,LEN($L$1750)&gt;0),$L$1750,HLOOKUP(INDIRECT(ADDRESS(2,COLUMN())),OFFSET($T$2,0,0,ROW()-1,14),ROW()-1,FALSE))</x:f>
        <x:v>0</x:v>
      </x:c>
      <x:c r="M763">
        <x:f ca="1">IF(AND($B$1012=1,LEN($M$1750)&gt;0),$M$1750,HLOOKUP(INDIRECT(ADDRESS(2,COLUMN())),OFFSET($T$2,0,0,ROW()-1,14),ROW()-1,FALSE))</x:f>
        <x:v>0</x:v>
      </x:c>
      <x:c r="N763">
        <x:f ca="1">IF(AND($B$1012=1,LEN($N$1750)&gt;0),$N$1750,HLOOKUP(INDIRECT(ADDRESS(2,COLUMN())),OFFSET($T$2,0,0,ROW()-1,14),ROW()-1,FALSE))</x:f>
        <x:v>0</x:v>
      </x:c>
      <x:c r="O763">
        <x:f ca="1">IF(AND($B$1012=1,LEN($O$1750)&gt;0),$O$1750,HLOOKUP(INDIRECT(ADDRESS(2,COLUMN())),OFFSET($T$2,0,0,ROW()-1,14),ROW()-1,FALSE))</x:f>
        <x:v>0</x:v>
      </x:c>
      <x:c r="P763">
        <x:f ca="1">IF(AND($B$1012=1,LEN($P$1750)&gt;0),$P$1750,HLOOKUP(INDIRECT(ADDRESS(2,COLUMN())),OFFSET($T$2,0,0,ROW()-1,14),ROW()-1,FALSE))</x:f>
        <x:v>0</x:v>
      </x:c>
      <x:c r="Q763">
        <x:f ca="1">IF(AND($B$1012=1,LEN($Q$1750)&gt;0),$Q$1750,HLOOKUP(INDIRECT(ADDRESS(2,COLUMN())),OFFSET($T$2,0,0,ROW()-1,14),ROW()-1,FALSE))</x:f>
        <x:v>0</x:v>
      </x:c>
      <x:c r="R763">
        <x:f ca="1">IF(AND($B$1012=1,LEN($R$1750)&gt;0),$R$1750,HLOOKUP(INDIRECT(ADDRESS(2,COLUMN())),OFFSET($T$2,0,0,ROW()-1,14),ROW()-1,FALSE))</x:f>
        <x:v>0</x:v>
      </x:c>
      <x:c r="S763" t="str">
        <x:f ca="1">IF(AND($B$1012=1,LEN($S$1750)&gt;0),$S$1750,HLOOKUP(INDIRECT(ADDRESS(2,COLUMN())),OFFSET($T$2,0,0,ROW()-1,14),ROW()-1,FALSE))</x:f>
        <x:v/>
      </x:c>
      <x:c r="T763">
        <x:f>0</x:f>
        <x:v>0</x:v>
      </x:c>
      <x:c r="U763">
        <x:f>0</x:f>
        <x:v>0</x:v>
      </x:c>
      <x:c r="V763">
        <x:f>0</x:f>
        <x:v>0</x:v>
      </x:c>
      <x:c r="W763">
        <x:f>0</x:f>
        <x:v>0</x:v>
      </x:c>
      <x:c r="X763">
        <x:f>0</x:f>
        <x:v>0</x:v>
      </x:c>
      <x:c r="Y763">
        <x:f>0</x:f>
        <x:v>0</x:v>
      </x:c>
      <x:c r="Z763">
        <x:f>0</x:f>
        <x:v>0</x:v>
      </x:c>
      <x:c r="AA763">
        <x:f>0</x:f>
        <x:v>0</x:v>
      </x:c>
      <x:c r="AB763">
        <x:f>0</x:f>
        <x:v>0</x:v>
      </x:c>
      <x:c r="AC763">
        <x:f>0</x:f>
        <x:v>0</x:v>
      </x:c>
      <x:c r="AD763">
        <x:f>0</x:f>
        <x:v>0</x:v>
      </x:c>
      <x:c r="AE763">
        <x:f>0</x:f>
        <x:v>0</x:v>
      </x:c>
      <x:c r="AF763">
        <x:f>0</x:f>
        <x:v>0</x:v>
      </x:c>
      <x:c r="AG763" t="str">
        <x:f>""</x:f>
        <x:v/>
      </x:c>
    </x:row>
    <x:row r="764" spans="1:33" x14ac:dyDescent="0.25">
      <x:c r="A764" t="str">
        <x:f>"            Procure Disaster Recovery ETF"</x:f>
        <x:v xml:space="preserve">            Procure Disaster Recovery ETF</x:v>
      </x:c>
      <x:c r="B764" t="str">
        <x:f>"FIXT US Equity"</x:f>
        <x:v>FIXT US Equity</x:v>
      </x:c>
      <x:c r="E764" t="str">
        <x:f t="shared" si="28"/>
        <x:v>Expression</x:v>
      </x:c>
      <x:c r="F764">
        <x:f ca="1">IF(AND($B$1012=1,LEN($F$1751)&gt;0),$F$1751,HLOOKUP(INDIRECT(ADDRESS(2,COLUMN())),OFFSET($T$2,0,0,ROW()-1,14),ROW()-1,FALSE))</x:f>
        <x:v>0</x:v>
      </x:c>
      <x:c r="G764">
        <x:f ca="1">IF(AND($B$1012=1,LEN($G$1751)&gt;0),$G$1751,HLOOKUP(INDIRECT(ADDRESS(2,COLUMN())),OFFSET($T$2,0,0,ROW()-1,14),ROW()-1,FALSE))</x:f>
        <x:v>0</x:v>
      </x:c>
      <x:c r="H764">
        <x:f ca="1">IF(AND($B$1012=1,LEN($H$1751)&gt;0),$H$1751,HLOOKUP(INDIRECT(ADDRESS(2,COLUMN())),OFFSET($T$2,0,0,ROW()-1,14),ROW()-1,FALSE))</x:f>
        <x:v>0</x:v>
      </x:c>
      <x:c r="I764">
        <x:f ca="1">IF(AND($B$1012=1,LEN($I$1751)&gt;0),$I$1751,HLOOKUP(INDIRECT(ADDRESS(2,COLUMN())),OFFSET($T$2,0,0,ROW()-1,14),ROW()-1,FALSE))</x:f>
        <x:v>-2.8927399999999999</x:v>
      </x:c>
      <x:c r="J764">
        <x:f ca="1">IF(AND($B$1012=1,LEN($J$1751)&gt;0),$J$1751,HLOOKUP(INDIRECT(ADDRESS(2,COLUMN())),OFFSET($T$2,0,0,ROW()-1,14),ROW()-1,FALSE))</x:f>
        <x:v>0</x:v>
      </x:c>
      <x:c r="K764">
        <x:f ca="1">IF(AND($B$1012=1,LEN($K$1751)&gt;0),$K$1751,HLOOKUP(INDIRECT(ADDRESS(2,COLUMN())),OFFSET($T$2,0,0,ROW()-1,14),ROW()-1,FALSE))</x:f>
        <x:v>4.1798349999999997</x:v>
      </x:c>
      <x:c r="L764">
        <x:f ca="1">IF(AND($B$1012=1,LEN($L$1751)&gt;0),$L$1751,HLOOKUP(INDIRECT(ADDRESS(2,COLUMN())),OFFSET($T$2,0,0,ROW()-1,14),ROW()-1,FALSE))</x:f>
        <x:v>0</x:v>
      </x:c>
      <x:c r="M764">
        <x:f ca="1">IF(AND($B$1012=1,LEN($M$1751)&gt;0),$M$1751,HLOOKUP(INDIRECT(ADDRESS(2,COLUMN())),OFFSET($T$2,0,0,ROW()-1,14),ROW()-1,FALSE))</x:f>
        <x:v>0</x:v>
      </x:c>
      <x:c r="N764">
        <x:f ca="1">IF(AND($B$1012=1,LEN($N$1751)&gt;0),$N$1751,HLOOKUP(INDIRECT(ADDRESS(2,COLUMN())),OFFSET($T$2,0,0,ROW()-1,14),ROW()-1,FALSE))</x:f>
        <x:v>0</x:v>
      </x:c>
      <x:c r="O764">
        <x:f ca="1">IF(AND($B$1012=1,LEN($O$1751)&gt;0),$O$1751,HLOOKUP(INDIRECT(ADDRESS(2,COLUMN())),OFFSET($T$2,0,0,ROW()-1,14),ROW()-1,FALSE))</x:f>
        <x:v>0</x:v>
      </x:c>
      <x:c r="P764" t="str">
        <x:f ca="1">IF(AND($B$1012=1,LEN($P$1751)&gt;0),$P$1751,HLOOKUP(INDIRECT(ADDRESS(2,COLUMN())),OFFSET($T$2,0,0,ROW()-1,14),ROW()-1,FALSE))</x:f>
        <x:v/>
      </x:c>
      <x:c r="Q764" t="str">
        <x:f ca="1">IF(AND($B$1012=1,LEN($Q$1751)&gt;0),$Q$1751,HLOOKUP(INDIRECT(ADDRESS(2,COLUMN())),OFFSET($T$2,0,0,ROW()-1,14),ROW()-1,FALSE))</x:f>
        <x:v/>
      </x:c>
      <x:c r="R764" t="str">
        <x:f ca="1">IF(AND($B$1012=1,LEN($R$1751)&gt;0),$R$1751,HLOOKUP(INDIRECT(ADDRESS(2,COLUMN())),OFFSET($T$2,0,0,ROW()-1,14),ROW()-1,FALSE))</x:f>
        <x:v/>
      </x:c>
      <x:c r="S764" t="str">
        <x:f ca="1">IF(AND($B$1012=1,LEN($S$1751)&gt;0),$S$1751,HLOOKUP(INDIRECT(ADDRESS(2,COLUMN())),OFFSET($T$2,0,0,ROW()-1,14),ROW()-1,FALSE))</x:f>
        <x:v/>
      </x:c>
      <x:c r="T764">
        <x:f>0</x:f>
        <x:v>0</x:v>
      </x:c>
      <x:c r="U764">
        <x:f>0</x:f>
        <x:v>0</x:v>
      </x:c>
      <x:c r="V764">
        <x:f>0</x:f>
        <x:v>0</x:v>
      </x:c>
      <x:c r="W764">
        <x:f>-2.89274</x:f>
        <x:v>-2.8927399999999999</x:v>
      </x:c>
      <x:c r="X764">
        <x:f>0</x:f>
        <x:v>0</x:v>
      </x:c>
      <x:c r="Y764">
        <x:f>4.179835</x:f>
        <x:v>4.1798349999999997</x:v>
      </x:c>
      <x:c r="Z764">
        <x:f>0</x:f>
        <x:v>0</x:v>
      </x:c>
      <x:c r="AA764">
        <x:f>0</x:f>
        <x:v>0</x:v>
      </x:c>
      <x:c r="AB764">
        <x:f>0</x:f>
        <x:v>0</x:v>
      </x:c>
      <x:c r="AC764">
        <x:f>0</x:f>
        <x:v>0</x:v>
      </x:c>
      <x:c r="AD764" t="str">
        <x:f>""</x:f>
        <x:v/>
      </x:c>
      <x:c r="AE764" t="str">
        <x:f>""</x:f>
        <x:v/>
      </x:c>
      <x:c r="AF764" t="str">
        <x:f>""</x:f>
        <x:v/>
      </x:c>
      <x:c r="AG764" t="str">
        <x:f>""</x:f>
        <x:v/>
      </x:c>
    </x:row>
    <x:row r="765" spans="1:33" x14ac:dyDescent="0.25">
      <x:c r="A765" t="str">
        <x:f>"            Clearbridge Sustainable Infras"</x:f>
        <x:v xml:space="preserve">            Clearbridge Sustainable Infras</x:v>
      </x:c>
      <x:c r="B765" t="str">
        <x:f>"INFR US Equity"</x:f>
        <x:v>INFR US Equity</x:v>
      </x:c>
      <x:c r="E765" t="str">
        <x:f t="shared" si="28"/>
        <x:v>Expression</x:v>
      </x:c>
      <x:c r="F765">
        <x:f ca="1">IF(AND($B$1012=1,LEN($F$1752)&gt;0),$F$1752,HLOOKUP(INDIRECT(ADDRESS(2,COLUMN())),OFFSET($T$2,0,0,ROW()-1,14),ROW()-1,FALSE))</x:f>
        <x:v>0</x:v>
      </x:c>
      <x:c r="G765">
        <x:f ca="1">IF(AND($B$1012=1,LEN($G$1752)&gt;0),$G$1752,HLOOKUP(INDIRECT(ADDRESS(2,COLUMN())),OFFSET($T$2,0,0,ROW()-1,14),ROW()-1,FALSE))</x:f>
        <x:v>-1.0926769999999999</x:v>
      </x:c>
      <x:c r="H765">
        <x:f ca="1">IF(AND($B$1012=1,LEN($H$1752)&gt;0),$H$1752,HLOOKUP(INDIRECT(ADDRESS(2,COLUMN())),OFFSET($T$2,0,0,ROW()-1,14),ROW()-1,FALSE))</x:f>
        <x:v>0</x:v>
      </x:c>
      <x:c r="I765">
        <x:f ca="1">IF(AND($B$1012=1,LEN($I$1752)&gt;0),$I$1752,HLOOKUP(INDIRECT(ADDRESS(2,COLUMN())),OFFSET($T$2,0,0,ROW()-1,14),ROW()-1,FALSE))</x:f>
        <x:v>7.0596370000000004</x:v>
      </x:c>
      <x:c r="J765">
        <x:f ca="1">IF(AND($B$1012=1,LEN($J$1752)&gt;0),$J$1752,HLOOKUP(INDIRECT(ADDRESS(2,COLUMN())),OFFSET($T$2,0,0,ROW()-1,14),ROW()-1,FALSE))</x:f>
        <x:v>0</x:v>
      </x:c>
      <x:c r="K765">
        <x:f ca="1">IF(AND($B$1012=1,LEN($K$1752)&gt;0),$K$1752,HLOOKUP(INDIRECT(ADDRESS(2,COLUMN())),OFFSET($T$2,0,0,ROW()-1,14),ROW()-1,FALSE))</x:f>
        <x:v>0</x:v>
      </x:c>
      <x:c r="L765">
        <x:f ca="1">IF(AND($B$1012=1,LEN($L$1752)&gt;0),$L$1752,HLOOKUP(INDIRECT(ADDRESS(2,COLUMN())),OFFSET($T$2,0,0,ROW()-1,14),ROW()-1,FALSE))</x:f>
        <x:v>0</x:v>
      </x:c>
      <x:c r="M765">
        <x:f ca="1">IF(AND($B$1012=1,LEN($M$1752)&gt;0),$M$1752,HLOOKUP(INDIRECT(ADDRESS(2,COLUMN())),OFFSET($T$2,0,0,ROW()-1,14),ROW()-1,FALSE))</x:f>
        <x:v>0</x:v>
      </x:c>
      <x:c r="N765">
        <x:f ca="1">IF(AND($B$1012=1,LEN($N$1752)&gt;0),$N$1752,HLOOKUP(INDIRECT(ADDRESS(2,COLUMN())),OFFSET($T$2,0,0,ROW()-1,14),ROW()-1,FALSE))</x:f>
        <x:v>0</x:v>
      </x:c>
      <x:c r="O765">
        <x:f ca="1">IF(AND($B$1012=1,LEN($O$1752)&gt;0),$O$1752,HLOOKUP(INDIRECT(ADDRESS(2,COLUMN())),OFFSET($T$2,0,0,ROW()-1,14),ROW()-1,FALSE))</x:f>
        <x:v>0</x:v>
      </x:c>
      <x:c r="P765">
        <x:f ca="1">IF(AND($B$1012=1,LEN($P$1752)&gt;0),$P$1752,HLOOKUP(INDIRECT(ADDRESS(2,COLUMN())),OFFSET($T$2,0,0,ROW()-1,14),ROW()-1,FALSE))</x:f>
        <x:v>0</x:v>
      </x:c>
      <x:c r="Q765">
        <x:f ca="1">IF(AND($B$1012=1,LEN($Q$1752)&gt;0),$Q$1752,HLOOKUP(INDIRECT(ADDRESS(2,COLUMN())),OFFSET($T$2,0,0,ROW()-1,14),ROW()-1,FALSE))</x:f>
        <x:v>1.25</x:v>
      </x:c>
      <x:c r="R765" t="str">
        <x:f ca="1">IF(AND($B$1012=1,LEN($R$1752)&gt;0),$R$1752,HLOOKUP(INDIRECT(ADDRESS(2,COLUMN())),OFFSET($T$2,0,0,ROW()-1,14),ROW()-1,FALSE))</x:f>
        <x:v/>
      </x:c>
      <x:c r="S765" t="str">
        <x:f ca="1">IF(AND($B$1012=1,LEN($S$1752)&gt;0),$S$1752,HLOOKUP(INDIRECT(ADDRESS(2,COLUMN())),OFFSET($T$2,0,0,ROW()-1,14),ROW()-1,FALSE))</x:f>
        <x:v/>
      </x:c>
      <x:c r="T765">
        <x:f>0</x:f>
        <x:v>0</x:v>
      </x:c>
      <x:c r="U765">
        <x:f>-1.092677</x:f>
        <x:v>-1.0926769999999999</x:v>
      </x:c>
      <x:c r="V765">
        <x:f>0</x:f>
        <x:v>0</x:v>
      </x:c>
      <x:c r="W765">
        <x:f>7.059637</x:f>
        <x:v>7.0596370000000004</x:v>
      </x:c>
      <x:c r="X765">
        <x:f>0</x:f>
        <x:v>0</x:v>
      </x:c>
      <x:c r="Y765">
        <x:f>0</x:f>
        <x:v>0</x:v>
      </x:c>
      <x:c r="Z765">
        <x:f>0</x:f>
        <x:v>0</x:v>
      </x:c>
      <x:c r="AA765">
        <x:f>0</x:f>
        <x:v>0</x:v>
      </x:c>
      <x:c r="AB765">
        <x:f>0</x:f>
        <x:v>0</x:v>
      </x:c>
      <x:c r="AC765">
        <x:f>0</x:f>
        <x:v>0</x:v>
      </x:c>
      <x:c r="AD765">
        <x:f>0</x:f>
        <x:v>0</x:v>
      </x:c>
      <x:c r="AE765">
        <x:f>1.25</x:f>
        <x:v>1.25</x:v>
      </x:c>
      <x:c r="AF765" t="str">
        <x:f>""</x:f>
        <x:v/>
      </x:c>
      <x:c r="AG765" t="str">
        <x:f>""</x:f>
        <x:v/>
      </x:c>
    </x:row>
    <x:row r="766" spans="1:33" x14ac:dyDescent="0.25">
      <x:c r="A766" t="str">
        <x:f>"        EM Tech"</x:f>
        <x:v xml:space="preserve">        EM Tech</x:v>
      </x:c>
      <x:c r="B766" t="str">
        <x:f>""</x:f>
        <x:v/>
      </x:c>
      <x:c r="E766" t="str">
        <x:f>"Sum"</x:f>
        <x:v>Sum</x:v>
      </x:c>
      <x:c r="F766">
        <x:f ca="1">IF(ISERROR(IF(SUM($F$767:$F$776) = 0, "", SUM($F$767:$F$776))), "", (IF(SUM($F$767:$F$776) = 0, "", SUM($F$767:$F$776))))</x:f>
        <x:v>147.770478</x:v>
      </x:c>
      <x:c r="G766">
        <x:f ca="1">IF(ISERROR(IF(SUM($G$767:$G$776) = 0, "", SUM($G$767:$G$776))), "", (IF(SUM($G$767:$G$776) = 0, "", SUM($G$767:$G$776))))</x:f>
        <x:v>-97.514813000000004</x:v>
      </x:c>
      <x:c r="H766">
        <x:f ca="1">IF(ISERROR(IF(SUM($H$767:$H$776) = 0, "", SUM($H$767:$H$776))), "", (IF(SUM($H$767:$H$776) = 0, "", SUM($H$767:$H$776))))</x:f>
        <x:v>10.523691000000001</x:v>
      </x:c>
      <x:c r="I766">
        <x:f ca="1">IF(ISERROR(IF(SUM($I$767:$I$776) = 0, "", SUM($I$767:$I$776))), "", (IF(SUM($I$767:$I$776) = 0, "", SUM($I$767:$I$776))))</x:f>
        <x:v>352.56730999999996</x:v>
      </x:c>
      <x:c r="J766">
        <x:f ca="1">IF(ISERROR(IF(SUM($J$767:$J$776) = 0, "", SUM($J$767:$J$776))), "", (IF(SUM($J$767:$J$776) = 0, "", SUM($J$767:$J$776))))</x:f>
        <x:v>497.09906700000005</x:v>
      </x:c>
      <x:c r="K766">
        <x:f ca="1">IF(ISERROR(IF(SUM($K$767:$K$776) = 0, "", SUM($K$767:$K$776))), "", (IF(SUM($K$767:$K$776) = 0, "", SUM($K$767:$K$776))))</x:f>
        <x:v>-21.243480999999992</x:v>
      </x:c>
      <x:c r="L766">
        <x:f ca="1">IF(ISERROR(IF(SUM($L$767:$L$776) = 0, "", SUM($L$767:$L$776))), "", (IF(SUM($L$767:$L$776) = 0, "", SUM($L$767:$L$776))))</x:f>
        <x:v>-279.65035399999994</x:v>
      </x:c>
      <x:c r="M766">
        <x:f ca="1">IF(ISERROR(IF(SUM($M$767:$M$776) = 0, "", SUM($M$767:$M$776))), "", (IF(SUM($M$767:$M$776) = 0, "", SUM($M$767:$M$776))))</x:f>
        <x:v>-82.806930000000023</x:v>
      </x:c>
      <x:c r="N766">
        <x:f ca="1">IF(ISERROR(IF(SUM($N$767:$N$776) = 0, "", SUM($N$767:$N$776))), "", (IF(SUM($N$767:$N$776) = 0, "", SUM($N$767:$N$776))))</x:f>
        <x:v>-391.87785600000001</x:v>
      </x:c>
      <x:c r="O766">
        <x:f ca="1">IF(ISERROR(IF(SUM($O$767:$O$776) = 0, "", SUM($O$767:$O$776))), "", (IF(SUM($O$767:$O$776) = 0, "", SUM($O$767:$O$776))))</x:f>
        <x:v>-527.79833200000007</x:v>
      </x:c>
      <x:c r="P766">
        <x:f ca="1">IF(ISERROR(IF(SUM($P$767:$P$776) = 0, "", SUM($P$767:$P$776))), "", (IF(SUM($P$767:$P$776) = 0, "", SUM($P$767:$P$776))))</x:f>
        <x:v>425.65919000000002</x:v>
      </x:c>
      <x:c r="Q766">
        <x:f ca="1">IF(ISERROR(IF(SUM($Q$767:$Q$776) = 0, "", SUM($Q$767:$Q$776))), "", (IF(SUM($Q$767:$Q$776) = 0, "", SUM($Q$767:$Q$776))))</x:f>
        <x:v>120.83516400000003</x:v>
      </x:c>
      <x:c r="R766">
        <x:f ca="1">IF(ISERROR(IF(SUM($R$767:$R$776) = 0, "", SUM($R$767:$R$776))), "", (IF(SUM($R$767:$R$776) = 0, "", SUM($R$767:$R$776))))</x:f>
        <x:v>31.963424999999997</x:v>
      </x:c>
      <x:c r="S766">
        <x:f ca="1">IF(ISERROR(IF(SUM($S$767:$S$776) = 0, "", SUM($S$767:$S$776))), "", (IF(SUM($S$767:$S$776) = 0, "", SUM($S$767:$S$776))))</x:f>
        <x:v>-79.320991000000006</x:v>
      </x:c>
      <x:c r="T766">
        <x:f>147.770478</x:f>
        <x:v>147.770478</x:v>
      </x:c>
      <x:c r="U766">
        <x:f>-97.514813</x:f>
        <x:v>-97.514813000000004</x:v>
      </x:c>
      <x:c r="V766">
        <x:f>10.523691</x:f>
        <x:v>10.523690999999999</x:v>
      </x:c>
      <x:c r="W766">
        <x:f>352.56731</x:f>
        <x:v>352.56731000000002</x:v>
      </x:c>
      <x:c r="X766">
        <x:f>497.099067</x:f>
        <x:v>497.09906699999999</x:v>
      </x:c>
      <x:c r="Y766">
        <x:f>-21.243481</x:f>
        <x:v>-21.243480999999999</x:v>
      </x:c>
      <x:c r="Z766">
        <x:f>-279.650354</x:f>
        <x:v>-279.65035399999999</x:v>
      </x:c>
      <x:c r="AA766">
        <x:f>-82.80693</x:f>
        <x:v>-82.806929999999994</x:v>
      </x:c>
      <x:c r="AB766">
        <x:f>-391.877856</x:f>
        <x:v>-391.87785600000001</x:v>
      </x:c>
      <x:c r="AC766">
        <x:f>-527.798332</x:f>
        <x:v>-527.79833199999996</x:v>
      </x:c>
      <x:c r="AD766">
        <x:f>425.65919</x:f>
        <x:v>425.65919000000002</x:v>
      </x:c>
      <x:c r="AE766">
        <x:f>120.835164</x:f>
        <x:v>120.83516400000001</x:v>
      </x:c>
      <x:c r="AF766">
        <x:f>31.963425</x:f>
        <x:v>31.963425000000001</x:v>
      </x:c>
      <x:c r="AG766">
        <x:f>-79.320991</x:f>
        <x:v>-79.320991000000006</x:v>
      </x:c>
    </x:row>
    <x:row r="767" spans="1:33" x14ac:dyDescent="0.25">
      <x:c r="A767" t="str">
        <x:f>"            KraneShares CSI China Internet"</x:f>
        <x:v xml:space="preserve">            KraneShares CSI China Internet</x:v>
      </x:c>
      <x:c r="B767" t="str">
        <x:f>"KWEB US Equity"</x:f>
        <x:v>KWEB US Equity</x:v>
      </x:c>
      <x:c r="E767" t="str">
        <x:f t="shared" ref="E767:E776" si="29">"Expression"</x:f>
        <x:v>Expression</x:v>
      </x:c>
      <x:c r="F767">
        <x:f ca="1">IF(AND($B$1012=1,LEN($F$1753)&gt;0),$F$1753,HLOOKUP(INDIRECT(ADDRESS(2,COLUMN())),OFFSET($T$2,0,0,ROW()-1,14),ROW()-1,FALSE))</x:f>
        <x:v>169.23249999999999</x:v>
      </x:c>
      <x:c r="G767">
        <x:f ca="1">IF(AND($B$1012=1,LEN($G$1753)&gt;0),$G$1753,HLOOKUP(INDIRECT(ADDRESS(2,COLUMN())),OFFSET($T$2,0,0,ROW()-1,14),ROW()-1,FALSE))</x:f>
        <x:v>-83.912999999999997</x:v>
      </x:c>
      <x:c r="H767">
        <x:f ca="1">IF(AND($B$1012=1,LEN($H$1753)&gt;0),$H$1753,HLOOKUP(INDIRECT(ADDRESS(2,COLUMN())),OFFSET($T$2,0,0,ROW()-1,14),ROW()-1,FALSE))</x:f>
        <x:v>-22.279499999999999</x:v>
      </x:c>
      <x:c r="I767">
        <x:f ca="1">IF(AND($B$1012=1,LEN($I$1753)&gt;0),$I$1753,HLOOKUP(INDIRECT(ADDRESS(2,COLUMN())),OFFSET($T$2,0,0,ROW()-1,14),ROW()-1,FALSE))</x:f>
        <x:v>310.0455</x:v>
      </x:c>
      <x:c r="J767">
        <x:f ca="1">IF(AND($B$1012=1,LEN($J$1753)&gt;0),$J$1753,HLOOKUP(INDIRECT(ADDRESS(2,COLUMN())),OFFSET($T$2,0,0,ROW()-1,14),ROW()-1,FALSE))</x:f>
        <x:v>472.5095</x:v>
      </x:c>
      <x:c r="K767">
        <x:f ca="1">IF(AND($B$1012=1,LEN($K$1753)&gt;0),$K$1753,HLOOKUP(INDIRECT(ADDRESS(2,COLUMN())),OFFSET($T$2,0,0,ROW()-1,14),ROW()-1,FALSE))</x:f>
        <x:v>-69.466499999999996</x:v>
      </x:c>
      <x:c r="L767">
        <x:f ca="1">IF(AND($B$1012=1,LEN($L$1753)&gt;0),$L$1753,HLOOKUP(INDIRECT(ADDRESS(2,COLUMN())),OFFSET($T$2,0,0,ROW()-1,14),ROW()-1,FALSE))</x:f>
        <x:v>-305.60599999999999</x:v>
      </x:c>
      <x:c r="M767">
        <x:f ca="1">IF(AND($B$1012=1,LEN($M$1753)&gt;0),$M$1753,HLOOKUP(INDIRECT(ADDRESS(2,COLUMN())),OFFSET($T$2,0,0,ROW()-1,14),ROW()-1,FALSE))</x:f>
        <x:v>-91.197000000000003</x:v>
      </x:c>
      <x:c r="N767">
        <x:f ca="1">IF(AND($B$1012=1,LEN($N$1753)&gt;0),$N$1753,HLOOKUP(INDIRECT(ADDRESS(2,COLUMN())),OFFSET($T$2,0,0,ROW()-1,14),ROW()-1,FALSE))</x:f>
        <x:v>-401.76749999999998</x:v>
      </x:c>
      <x:c r="O767">
        <x:f ca="1">IF(AND($B$1012=1,LEN($O$1753)&gt;0),$O$1753,HLOOKUP(INDIRECT(ADDRESS(2,COLUMN())),OFFSET($T$2,0,0,ROW()-1,14),ROW()-1,FALSE))</x:f>
        <x:v>-539.11199999999997</x:v>
      </x:c>
      <x:c r="P767">
        <x:f ca="1">IF(AND($B$1012=1,LEN($P$1753)&gt;0),$P$1753,HLOOKUP(INDIRECT(ADDRESS(2,COLUMN())),OFFSET($T$2,0,0,ROW()-1,14),ROW()-1,FALSE))</x:f>
        <x:v>415.32799999999997</x:v>
      </x:c>
      <x:c r="Q767">
        <x:f ca="1">IF(AND($B$1012=1,LEN($Q$1753)&gt;0),$Q$1753,HLOOKUP(INDIRECT(ADDRESS(2,COLUMN())),OFFSET($T$2,0,0,ROW()-1,14),ROW()-1,FALSE))</x:f>
        <x:v>168.07400000000001</x:v>
      </x:c>
      <x:c r="R767">
        <x:f ca="1">IF(AND($B$1012=1,LEN($R$1753)&gt;0),$R$1753,HLOOKUP(INDIRECT(ADDRESS(2,COLUMN())),OFFSET($T$2,0,0,ROW()-1,14),ROW()-1,FALSE))</x:f>
        <x:v>38.523499999999999</x:v>
      </x:c>
      <x:c r="S767">
        <x:f ca="1">IF(AND($B$1012=1,LEN($S$1753)&gt;0),$S$1753,HLOOKUP(INDIRECT(ADDRESS(2,COLUMN())),OFFSET($T$2,0,0,ROW()-1,14),ROW()-1,FALSE))</x:f>
        <x:v>-93.373000000000005</x:v>
      </x:c>
      <x:c r="T767">
        <x:f>169.2325</x:f>
        <x:v>169.23249999999999</x:v>
      </x:c>
      <x:c r="U767">
        <x:f>-83.913</x:f>
        <x:v>-83.912999999999997</x:v>
      </x:c>
      <x:c r="V767">
        <x:f>-22.2795</x:f>
        <x:v>-22.279499999999999</x:v>
      </x:c>
      <x:c r="W767">
        <x:f>310.0455</x:f>
        <x:v>310.0455</x:v>
      </x:c>
      <x:c r="X767">
        <x:f>472.5095</x:f>
        <x:v>472.5095</x:v>
      </x:c>
      <x:c r="Y767">
        <x:f>-69.4665</x:f>
        <x:v>-69.466499999999996</x:v>
      </x:c>
      <x:c r="Z767">
        <x:f>-305.606</x:f>
        <x:v>-305.60599999999999</x:v>
      </x:c>
      <x:c r="AA767">
        <x:f>-91.197</x:f>
        <x:v>-91.197000000000003</x:v>
      </x:c>
      <x:c r="AB767">
        <x:f>-401.7675</x:f>
        <x:v>-401.76749999999998</x:v>
      </x:c>
      <x:c r="AC767">
        <x:f>-539.112</x:f>
        <x:v>-539.11199999999997</x:v>
      </x:c>
      <x:c r="AD767">
        <x:f>415.328</x:f>
        <x:v>415.32799999999997</x:v>
      </x:c>
      <x:c r="AE767">
        <x:f>168.074</x:f>
        <x:v>168.07400000000001</x:v>
      </x:c>
      <x:c r="AF767">
        <x:f>38.5235</x:f>
        <x:v>38.523499999999999</x:v>
      </x:c>
      <x:c r="AG767">
        <x:f>-93.373</x:f>
        <x:v>-93.373000000000005</x:v>
      </x:c>
    </x:row>
    <x:row r="768" spans="1:33" x14ac:dyDescent="0.25">
      <x:c r="A768" t="str">
        <x:f>"            Direxion Daily CSI China Inter"</x:f>
        <x:v xml:space="preserve">            Direxion Daily CSI China Inter</x:v>
      </x:c>
      <x:c r="B768" t="str">
        <x:f>"CWEB US Equity"</x:f>
        <x:v>CWEB US Equity</x:v>
      </x:c>
      <x:c r="E768" t="str">
        <x:f t="shared" si="29"/>
        <x:v>Expression</x:v>
      </x:c>
      <x:c r="F768">
        <x:f ca="1">IF(AND($B$1012=1,LEN($F$1754)&gt;0),$F$1754,HLOOKUP(INDIRECT(ADDRESS(2,COLUMN())),OFFSET($T$2,0,0,ROW()-1,14),ROW()-1,FALSE))</x:f>
        <x:v>-6.4367720000000004</x:v>
      </x:c>
      <x:c r="G768">
        <x:f ca="1">IF(AND($B$1012=1,LEN($G$1754)&gt;0),$G$1754,HLOOKUP(INDIRECT(ADDRESS(2,COLUMN())),OFFSET($T$2,0,0,ROW()-1,14),ROW()-1,FALSE))</x:f>
        <x:v>-5.5593130000000004</x:v>
      </x:c>
      <x:c r="H768">
        <x:f ca="1">IF(AND($B$1012=1,LEN($H$1754)&gt;0),$H$1754,HLOOKUP(INDIRECT(ADDRESS(2,COLUMN())),OFFSET($T$2,0,0,ROW()-1,14),ROW()-1,FALSE))</x:f>
        <x:v>10.921975</x:v>
      </x:c>
      <x:c r="I768">
        <x:f ca="1">IF(AND($B$1012=1,LEN($I$1754)&gt;0),$I$1754,HLOOKUP(INDIRECT(ADDRESS(2,COLUMN())),OFFSET($T$2,0,0,ROW()-1,14),ROW()-1,FALSE))</x:f>
        <x:v>32.131926999999997</x:v>
      </x:c>
      <x:c r="J768">
        <x:f ca="1">IF(AND($B$1012=1,LEN($J$1754)&gt;0),$J$1754,HLOOKUP(INDIRECT(ADDRESS(2,COLUMN())),OFFSET($T$2,0,0,ROW()-1,14),ROW()-1,FALSE))</x:f>
        <x:v>1.451317</x:v>
      </x:c>
      <x:c r="K768">
        <x:f ca="1">IF(AND($B$1012=1,LEN($K$1754)&gt;0),$K$1754,HLOOKUP(INDIRECT(ADDRESS(2,COLUMN())),OFFSET($T$2,0,0,ROW()-1,14),ROW()-1,FALSE))</x:f>
        <x:v>47.742494000000001</x:v>
      </x:c>
      <x:c r="L768">
        <x:f ca="1">IF(AND($B$1012=1,LEN($L$1754)&gt;0),$L$1754,HLOOKUP(INDIRECT(ADDRESS(2,COLUMN())),OFFSET($T$2,0,0,ROW()-1,14),ROW()-1,FALSE))</x:f>
        <x:v>26.078545999999999</x:v>
      </x:c>
      <x:c r="M768">
        <x:f ca="1">IF(AND($B$1012=1,LEN($M$1754)&gt;0),$M$1754,HLOOKUP(INDIRECT(ADDRESS(2,COLUMN())),OFFSET($T$2,0,0,ROW()-1,14),ROW()-1,FALSE))</x:f>
        <x:v>9.0823199999999993</x:v>
      </x:c>
      <x:c r="N768">
        <x:f ca="1">IF(AND($B$1012=1,LEN($N$1754)&gt;0),$N$1754,HLOOKUP(INDIRECT(ADDRESS(2,COLUMN())),OFFSET($T$2,0,0,ROW()-1,14),ROW()-1,FALSE))</x:f>
        <x:v>15.197393999999999</x:v>
      </x:c>
      <x:c r="O768">
        <x:f ca="1">IF(AND($B$1012=1,LEN($O$1754)&gt;0),$O$1754,HLOOKUP(INDIRECT(ADDRESS(2,COLUMN())),OFFSET($T$2,0,0,ROW()-1,14),ROW()-1,FALSE))</x:f>
        <x:v>3.8691680000000002</x:v>
      </x:c>
      <x:c r="P768">
        <x:f ca="1">IF(AND($B$1012=1,LEN($P$1754)&gt;0),$P$1754,HLOOKUP(INDIRECT(ADDRESS(2,COLUMN())),OFFSET($T$2,0,0,ROW()-1,14),ROW()-1,FALSE))</x:f>
        <x:v>10.334218</x:v>
      </x:c>
      <x:c r="Q768">
        <x:f ca="1">IF(AND($B$1012=1,LEN($Q$1754)&gt;0),$Q$1754,HLOOKUP(INDIRECT(ADDRESS(2,COLUMN())),OFFSET($T$2,0,0,ROW()-1,14),ROW()-1,FALSE))</x:f>
        <x:v>-22.952138999999999</x:v>
      </x:c>
      <x:c r="R768">
        <x:f ca="1">IF(AND($B$1012=1,LEN($R$1754)&gt;0),$R$1754,HLOOKUP(INDIRECT(ADDRESS(2,COLUMN())),OFFSET($T$2,0,0,ROW()-1,14),ROW()-1,FALSE))</x:f>
        <x:v>-13.693574999999999</x:v>
      </x:c>
      <x:c r="S768">
        <x:f ca="1">IF(AND($B$1012=1,LEN($S$1754)&gt;0),$S$1754,HLOOKUP(INDIRECT(ADDRESS(2,COLUMN())),OFFSET($T$2,0,0,ROW()-1,14),ROW()-1,FALSE))</x:f>
        <x:v>31.751759</x:v>
      </x:c>
      <x:c r="T768">
        <x:f>-6.436772</x:f>
        <x:v>-6.4367720000000004</x:v>
      </x:c>
      <x:c r="U768">
        <x:f>-5.559313</x:f>
        <x:v>-5.5593130000000004</x:v>
      </x:c>
      <x:c r="V768">
        <x:f>10.921975</x:f>
        <x:v>10.921975</x:v>
      </x:c>
      <x:c r="W768">
        <x:f>32.131927</x:f>
        <x:v>32.131926999999997</x:v>
      </x:c>
      <x:c r="X768">
        <x:f>1.451317</x:f>
        <x:v>1.451317</x:v>
      </x:c>
      <x:c r="Y768">
        <x:f>47.742494</x:f>
        <x:v>47.742494000000001</x:v>
      </x:c>
      <x:c r="Z768">
        <x:f>26.078546</x:f>
        <x:v>26.078545999999999</x:v>
      </x:c>
      <x:c r="AA768">
        <x:f>9.08232</x:f>
        <x:v>9.0823199999999993</x:v>
      </x:c>
      <x:c r="AB768">
        <x:f>15.197394</x:f>
        <x:v>15.197393999999999</x:v>
      </x:c>
      <x:c r="AC768">
        <x:f>3.869168</x:f>
        <x:v>3.8691680000000002</x:v>
      </x:c>
      <x:c r="AD768">
        <x:f>10.334218</x:f>
        <x:v>10.334218</x:v>
      </x:c>
      <x:c r="AE768">
        <x:f>-22.952139</x:f>
        <x:v>-22.952138999999999</x:v>
      </x:c>
      <x:c r="AF768">
        <x:f>-13.693575</x:f>
        <x:v>-13.693574999999999</x:v>
      </x:c>
      <x:c r="AG768">
        <x:f>31.751759</x:f>
        <x:v>31.751759</x:v>
      </x:c>
    </x:row>
    <x:row r="769" spans="1:33" x14ac:dyDescent="0.25">
      <x:c r="A769" t="str">
        <x:f>"            Emerging Markets Internet and"</x:f>
        <x:v xml:space="preserve">            Emerging Markets Internet and</x:v>
      </x:c>
      <x:c r="B769" t="str">
        <x:f>"EMQQ US Equity"</x:f>
        <x:v>EMQQ US Equity</x:v>
      </x:c>
      <x:c r="E769" t="str">
        <x:f t="shared" si="29"/>
        <x:v>Expression</x:v>
      </x:c>
      <x:c r="F769">
        <x:f ca="1">IF(AND($B$1012=1,LEN($F$1755)&gt;0),$F$1755,HLOOKUP(INDIRECT(ADDRESS(2,COLUMN())),OFFSET($T$2,0,0,ROW()-1,14),ROW()-1,FALSE))</x:f>
        <x:v>-2.968</x:v>
      </x:c>
      <x:c r="G769">
        <x:f ca="1">IF(AND($B$1012=1,LEN($G$1755)&gt;0),$G$1755,HLOOKUP(INDIRECT(ADDRESS(2,COLUMN())),OFFSET($T$2,0,0,ROW()-1,14),ROW()-1,FALSE))</x:f>
        <x:v>-18.637499999999999</x:v>
      </x:c>
      <x:c r="H769">
        <x:f ca="1">IF(AND($B$1012=1,LEN($H$1755)&gt;0),$H$1755,HLOOKUP(INDIRECT(ADDRESS(2,COLUMN())),OFFSET($T$2,0,0,ROW()-1,14),ROW()-1,FALSE))</x:f>
        <x:v>-13.81</x:v>
      </x:c>
      <x:c r="I769">
        <x:f ca="1">IF(AND($B$1012=1,LEN($I$1755)&gt;0),$I$1755,HLOOKUP(INDIRECT(ADDRESS(2,COLUMN())),OFFSET($T$2,0,0,ROW()-1,14),ROW()-1,FALSE))</x:f>
        <x:v>-9.3315000000000001</x:v>
      </x:c>
      <x:c r="J769">
        <x:f ca="1">IF(AND($B$1012=1,LEN($J$1755)&gt;0),$J$1755,HLOOKUP(INDIRECT(ADDRESS(2,COLUMN())),OFFSET($T$2,0,0,ROW()-1,14),ROW()-1,FALSE))</x:f>
        <x:v>-10.551500000000001</x:v>
      </x:c>
      <x:c r="K769">
        <x:f ca="1">IF(AND($B$1012=1,LEN($K$1755)&gt;0),$K$1755,HLOOKUP(INDIRECT(ADDRESS(2,COLUMN())),OFFSET($T$2,0,0,ROW()-1,14),ROW()-1,FALSE))</x:f>
        <x:v>-18.140999999999998</x:v>
      </x:c>
      <x:c r="L769">
        <x:f ca="1">IF(AND($B$1012=1,LEN($L$1755)&gt;0),$L$1755,HLOOKUP(INDIRECT(ADDRESS(2,COLUMN())),OFFSET($T$2,0,0,ROW()-1,14),ROW()-1,FALSE))</x:f>
        <x:v>-13.4445</x:v>
      </x:c>
      <x:c r="M769">
        <x:f ca="1">IF(AND($B$1012=1,LEN($M$1755)&gt;0),$M$1755,HLOOKUP(INDIRECT(ADDRESS(2,COLUMN())),OFFSET($T$2,0,0,ROW()-1,14),ROW()-1,FALSE))</x:f>
        <x:v>-2.9350000000000001</x:v>
      </x:c>
      <x:c r="N769">
        <x:f ca="1">IF(AND($B$1012=1,LEN($N$1755)&gt;0),$N$1755,HLOOKUP(INDIRECT(ADDRESS(2,COLUMN())),OFFSET($T$2,0,0,ROW()-1,14),ROW()-1,FALSE))</x:f>
        <x:v>-6.1070000000000002</x:v>
      </x:c>
      <x:c r="O769">
        <x:f ca="1">IF(AND($B$1012=1,LEN($O$1755)&gt;0),$O$1755,HLOOKUP(INDIRECT(ADDRESS(2,COLUMN())),OFFSET($T$2,0,0,ROW()-1,14),ROW()-1,FALSE))</x:f>
        <x:v>4.8464999999999998</x:v>
      </x:c>
      <x:c r="P769">
        <x:f ca="1">IF(AND($B$1012=1,LEN($P$1755)&gt;0),$P$1755,HLOOKUP(INDIRECT(ADDRESS(2,COLUMN())),OFFSET($T$2,0,0,ROW()-1,14),ROW()-1,FALSE))</x:f>
        <x:v>0</x:v>
      </x:c>
      <x:c r="Q769">
        <x:f ca="1">IF(AND($B$1012=1,LEN($Q$1755)&gt;0),$Q$1755,HLOOKUP(INDIRECT(ADDRESS(2,COLUMN())),OFFSET($T$2,0,0,ROW()-1,14),ROW()-1,FALSE))</x:f>
        <x:v>-25.583500000000001</x:v>
      </x:c>
      <x:c r="R769">
        <x:f ca="1">IF(AND($B$1012=1,LEN($R$1755)&gt;0),$R$1755,HLOOKUP(INDIRECT(ADDRESS(2,COLUMN())),OFFSET($T$2,0,0,ROW()-1,14),ROW()-1,FALSE))</x:f>
        <x:v>6.6014999999999997</x:v>
      </x:c>
      <x:c r="S769">
        <x:f ca="1">IF(AND($B$1012=1,LEN($S$1755)&gt;0),$S$1755,HLOOKUP(INDIRECT(ADDRESS(2,COLUMN())),OFFSET($T$2,0,0,ROW()-1,14),ROW()-1,FALSE))</x:f>
        <x:v>-17.936</x:v>
      </x:c>
      <x:c r="T769">
        <x:f>-2.968</x:f>
        <x:v>-2.968</x:v>
      </x:c>
      <x:c r="U769">
        <x:f>-18.6375</x:f>
        <x:v>-18.637499999999999</x:v>
      </x:c>
      <x:c r="V769">
        <x:f>-13.81</x:f>
        <x:v>-13.81</x:v>
      </x:c>
      <x:c r="W769">
        <x:f>-9.3315</x:f>
        <x:v>-9.3315000000000001</x:v>
      </x:c>
      <x:c r="X769">
        <x:f>-10.5515</x:f>
        <x:v>-10.551500000000001</x:v>
      </x:c>
      <x:c r="Y769">
        <x:f>-18.141</x:f>
        <x:v>-18.140999999999998</x:v>
      </x:c>
      <x:c r="Z769">
        <x:f>-13.4445</x:f>
        <x:v>-13.4445</x:v>
      </x:c>
      <x:c r="AA769">
        <x:f>-2.935</x:f>
        <x:v>-2.9350000000000001</x:v>
      </x:c>
      <x:c r="AB769">
        <x:f>-6.107</x:f>
        <x:v>-6.1070000000000002</x:v>
      </x:c>
      <x:c r="AC769">
        <x:f>4.8465</x:f>
        <x:v>4.8464999999999998</x:v>
      </x:c>
      <x:c r="AD769">
        <x:f>0</x:f>
        <x:v>0</x:v>
      </x:c>
      <x:c r="AE769">
        <x:f>-25.5835</x:f>
        <x:v>-25.583500000000001</x:v>
      </x:c>
      <x:c r="AF769">
        <x:f>6.6015</x:f>
        <x:v>6.6014999999999997</x:v>
      </x:c>
      <x:c r="AG769">
        <x:f>-17.936</x:f>
        <x:v>-17.936</x:v>
      </x:c>
    </x:row>
    <x:row r="770" spans="1:33" x14ac:dyDescent="0.25">
      <x:c r="A770" t="str">
        <x:f>"            Global X MSCI China Informatio"</x:f>
        <x:v xml:space="preserve">            Global X MSCI China Informatio</x:v>
      </x:c>
      <x:c r="B770" t="str">
        <x:f>"CHIK US Equity"</x:f>
        <x:v>CHIK US Equity</x:v>
      </x:c>
      <x:c r="E770" t="str">
        <x:f t="shared" si="29"/>
        <x:v>Expression</x:v>
      </x:c>
      <x:c r="F770">
        <x:f ca="1">IF(AND($B$1012=1,LEN($F$1756)&gt;0),$F$1756,HLOOKUP(INDIRECT(ADDRESS(2,COLUMN())),OFFSET($T$2,0,0,ROW()-1,14),ROW()-1,FALSE))</x:f>
        <x:v>0</x:v>
      </x:c>
      <x:c r="G770">
        <x:f ca="1">IF(AND($B$1012=1,LEN($G$1756)&gt;0),$G$1756,HLOOKUP(INDIRECT(ADDRESS(2,COLUMN())),OFFSET($T$2,0,0,ROW()-1,14),ROW()-1,FALSE))</x:f>
        <x:v>0</x:v>
      </x:c>
      <x:c r="H770">
        <x:f ca="1">IF(AND($B$1012=1,LEN($H$1756)&gt;0),$H$1756,HLOOKUP(INDIRECT(ADDRESS(2,COLUMN())),OFFSET($T$2,0,0,ROW()-1,14),ROW()-1,FALSE))</x:f>
        <x:v>0</x:v>
      </x:c>
      <x:c r="I770">
        <x:f ca="1">IF(AND($B$1012=1,LEN($I$1756)&gt;0),$I$1756,HLOOKUP(INDIRECT(ADDRESS(2,COLUMN())),OFFSET($T$2,0,0,ROW()-1,14),ROW()-1,FALSE))</x:f>
        <x:v>-0.15509999999999999</x:v>
      </x:c>
      <x:c r="J770">
        <x:f ca="1">IF(AND($B$1012=1,LEN($J$1756)&gt;0),$J$1756,HLOOKUP(INDIRECT(ADDRESS(2,COLUMN())),OFFSET($T$2,0,0,ROW()-1,14),ROW()-1,FALSE))</x:f>
        <x:v>0</x:v>
      </x:c>
      <x:c r="K770">
        <x:f ca="1">IF(AND($B$1012=1,LEN($K$1756)&gt;0),$K$1756,HLOOKUP(INDIRECT(ADDRESS(2,COLUMN())),OFFSET($T$2,0,0,ROW()-1,14),ROW()-1,FALSE))</x:f>
        <x:v>-1.0014000000000001</x:v>
      </x:c>
      <x:c r="L770">
        <x:f ca="1">IF(AND($B$1012=1,LEN($L$1756)&gt;0),$L$1756,HLOOKUP(INDIRECT(ADDRESS(2,COLUMN())),OFFSET($T$2,0,0,ROW()-1,14),ROW()-1,FALSE))</x:f>
        <x:v>0</x:v>
      </x:c>
      <x:c r="M770">
        <x:f ca="1">IF(AND($B$1012=1,LEN($M$1756)&gt;0),$M$1756,HLOOKUP(INDIRECT(ADDRESS(2,COLUMN())),OFFSET($T$2,0,0,ROW()-1,14),ROW()-1,FALSE))</x:f>
        <x:v>-0.54749999999999999</x:v>
      </x:c>
      <x:c r="N770">
        <x:f ca="1">IF(AND($B$1012=1,LEN($N$1756)&gt;0),$N$1756,HLOOKUP(INDIRECT(ADDRESS(2,COLUMN())),OFFSET($T$2,0,0,ROW()-1,14),ROW()-1,FALSE))</x:f>
        <x:v>0</x:v>
      </x:c>
      <x:c r="O770">
        <x:f ca="1">IF(AND($B$1012=1,LEN($O$1756)&gt;0),$O$1756,HLOOKUP(INDIRECT(ADDRESS(2,COLUMN())),OFFSET($T$2,0,0,ROW()-1,14),ROW()-1,FALSE))</x:f>
        <x:v>0</x:v>
      </x:c>
      <x:c r="P770">
        <x:f ca="1">IF(AND($B$1012=1,LEN($P$1756)&gt;0),$P$1756,HLOOKUP(INDIRECT(ADDRESS(2,COLUMN())),OFFSET($T$2,0,0,ROW()-1,14),ROW()-1,FALSE))</x:f>
        <x:v>0</x:v>
      </x:c>
      <x:c r="Q770">
        <x:f ca="1">IF(AND($B$1012=1,LEN($Q$1756)&gt;0),$Q$1756,HLOOKUP(INDIRECT(ADDRESS(2,COLUMN())),OFFSET($T$2,0,0,ROW()-1,14),ROW()-1,FALSE))</x:f>
        <x:v>-0.4929</x:v>
      </x:c>
      <x:c r="R770">
        <x:f ca="1">IF(AND($B$1012=1,LEN($R$1756)&gt;0),$R$1756,HLOOKUP(INDIRECT(ADDRESS(2,COLUMN())),OFFSET($T$2,0,0,ROW()-1,14),ROW()-1,FALSE))</x:f>
        <x:v>0</x:v>
      </x:c>
      <x:c r="S770">
        <x:f ca="1">IF(AND($B$1012=1,LEN($S$1756)&gt;0),$S$1756,HLOOKUP(INDIRECT(ADDRESS(2,COLUMN())),OFFSET($T$2,0,0,ROW()-1,14),ROW()-1,FALSE))</x:f>
        <x:v>0</x:v>
      </x:c>
      <x:c r="T770">
        <x:f>0</x:f>
        <x:v>0</x:v>
      </x:c>
      <x:c r="U770">
        <x:f>0</x:f>
        <x:v>0</x:v>
      </x:c>
      <x:c r="V770">
        <x:f>0</x:f>
        <x:v>0</x:v>
      </x:c>
      <x:c r="W770">
        <x:f>-0.1551</x:f>
        <x:v>-0.15509999999999999</x:v>
      </x:c>
      <x:c r="X770">
        <x:f>0</x:f>
        <x:v>0</x:v>
      </x:c>
      <x:c r="Y770">
        <x:f>-1.0014</x:f>
        <x:v>-1.0014000000000001</x:v>
      </x:c>
      <x:c r="Z770">
        <x:f>0</x:f>
        <x:v>0</x:v>
      </x:c>
      <x:c r="AA770">
        <x:f>-0.5475</x:f>
        <x:v>-0.54749999999999999</x:v>
      </x:c>
      <x:c r="AB770">
        <x:f>0</x:f>
        <x:v>0</x:v>
      </x:c>
      <x:c r="AC770">
        <x:f>0</x:f>
        <x:v>0</x:v>
      </x:c>
      <x:c r="AD770">
        <x:f>0</x:f>
        <x:v>0</x:v>
      </x:c>
      <x:c r="AE770">
        <x:f>-0.4929</x:f>
        <x:v>-0.4929</x:v>
      </x:c>
      <x:c r="AF770">
        <x:f>0</x:f>
        <x:v>0</x:v>
      </x:c>
      <x:c r="AG770">
        <x:f>0</x:f>
        <x:v>0</x:v>
      </x:c>
    </x:row>
    <x:row r="771" spans="1:33" x14ac:dyDescent="0.25">
      <x:c r="A771" t="str">
        <x:f>"            FMQQ The Next Frontier Interne"</x:f>
        <x:v xml:space="preserve">            FMQQ The Next Frontier Interne</x:v>
      </x:c>
      <x:c r="B771" t="str">
        <x:f>"FMQQ US Equity"</x:f>
        <x:v>FMQQ US Equity</x:v>
      </x:c>
      <x:c r="E771" t="str">
        <x:f t="shared" si="29"/>
        <x:v>Expression</x:v>
      </x:c>
      <x:c r="F771">
        <x:f ca="1">IF(AND($B$1012=1,LEN($F$1757)&gt;0),$F$1757,HLOOKUP(INDIRECT(ADDRESS(2,COLUMN())),OFFSET($T$2,0,0,ROW()-1,14),ROW()-1,FALSE))</x:f>
        <x:v>0</x:v>
      </x:c>
      <x:c r="G771">
        <x:f ca="1">IF(AND($B$1012=1,LEN($G$1757)&gt;0),$G$1757,HLOOKUP(INDIRECT(ADDRESS(2,COLUMN())),OFFSET($T$2,0,0,ROW()-1,14),ROW()-1,FALSE))</x:f>
        <x:v>0</x:v>
      </x:c>
      <x:c r="H771">
        <x:f ca="1">IF(AND($B$1012=1,LEN($H$1757)&gt;0),$H$1757,HLOOKUP(INDIRECT(ADDRESS(2,COLUMN())),OFFSET($T$2,0,0,ROW()-1,14),ROW()-1,FALSE))</x:f>
        <x:v>0</x:v>
      </x:c>
      <x:c r="I771">
        <x:f ca="1">IF(AND($B$1012=1,LEN($I$1757)&gt;0),$I$1757,HLOOKUP(INDIRECT(ADDRESS(2,COLUMN())),OFFSET($T$2,0,0,ROW()-1,14),ROW()-1,FALSE))</x:f>
        <x:v>1.0529999999999999</x:v>
      </x:c>
      <x:c r="J771">
        <x:f ca="1">IF(AND($B$1012=1,LEN($J$1757)&gt;0),$J$1757,HLOOKUP(INDIRECT(ADDRESS(2,COLUMN())),OFFSET($T$2,0,0,ROW()-1,14),ROW()-1,FALSE))</x:f>
        <x:v>0.53649999999999998</x:v>
      </x:c>
      <x:c r="K771">
        <x:f ca="1">IF(AND($B$1012=1,LEN($K$1757)&gt;0),$K$1757,HLOOKUP(INDIRECT(ADDRESS(2,COLUMN())),OFFSET($T$2,0,0,ROW()-1,14),ROW()-1,FALSE))</x:f>
        <x:v>0</x:v>
      </x:c>
      <x:c r="L771">
        <x:f ca="1">IF(AND($B$1012=1,LEN($L$1757)&gt;0),$L$1757,HLOOKUP(INDIRECT(ADDRESS(2,COLUMN())),OFFSET($T$2,0,0,ROW()-1,14),ROW()-1,FALSE))</x:f>
        <x:v>0</x:v>
      </x:c>
      <x:c r="M771">
        <x:f ca="1">IF(AND($B$1012=1,LEN($M$1757)&gt;0),$M$1757,HLOOKUP(INDIRECT(ADDRESS(2,COLUMN())),OFFSET($T$2,0,0,ROW()-1,14),ROW()-1,FALSE))</x:f>
        <x:v>0</x:v>
      </x:c>
      <x:c r="N771">
        <x:f ca="1">IF(AND($B$1012=1,LEN($N$1757)&gt;0),$N$1757,HLOOKUP(INDIRECT(ADDRESS(2,COLUMN())),OFFSET($T$2,0,0,ROW()-1,14),ROW()-1,FALSE))</x:f>
        <x:v>0.25950000000000001</x:v>
      </x:c>
      <x:c r="O771">
        <x:f ca="1">IF(AND($B$1012=1,LEN($O$1757)&gt;0),$O$1757,HLOOKUP(INDIRECT(ADDRESS(2,COLUMN())),OFFSET($T$2,0,0,ROW()-1,14),ROW()-1,FALSE))</x:f>
        <x:v>0</x:v>
      </x:c>
      <x:c r="P771">
        <x:f ca="1">IF(AND($B$1012=1,LEN($P$1757)&gt;0),$P$1757,HLOOKUP(INDIRECT(ADDRESS(2,COLUMN())),OFFSET($T$2,0,0,ROW()-1,14),ROW()-1,FALSE))</x:f>
        <x:v>0</x:v>
      </x:c>
      <x:c r="Q771">
        <x:f ca="1">IF(AND($B$1012=1,LEN($Q$1757)&gt;0),$Q$1757,HLOOKUP(INDIRECT(ADDRESS(2,COLUMN())),OFFSET($T$2,0,0,ROW()-1,14),ROW()-1,FALSE))</x:f>
        <x:v>1.2335</x:v>
      </x:c>
      <x:c r="R771">
        <x:f ca="1">IF(AND($B$1012=1,LEN($R$1757)&gt;0),$R$1757,HLOOKUP(INDIRECT(ADDRESS(2,COLUMN())),OFFSET($T$2,0,0,ROW()-1,14),ROW()-1,FALSE))</x:f>
        <x:v>0.53200000000000003</x:v>
      </x:c>
      <x:c r="S771">
        <x:f ca="1">IF(AND($B$1012=1,LEN($S$1757)&gt;0),$S$1757,HLOOKUP(INDIRECT(ADDRESS(2,COLUMN())),OFFSET($T$2,0,0,ROW()-1,14),ROW()-1,FALSE))</x:f>
        <x:v>0.23624999999999999</x:v>
      </x:c>
      <x:c r="T771">
        <x:f>0</x:f>
        <x:v>0</x:v>
      </x:c>
      <x:c r="U771">
        <x:f>0</x:f>
        <x:v>0</x:v>
      </x:c>
      <x:c r="V771">
        <x:f>0</x:f>
        <x:v>0</x:v>
      </x:c>
      <x:c r="W771">
        <x:f>1.053</x:f>
        <x:v>1.0529999999999999</x:v>
      </x:c>
      <x:c r="X771">
        <x:f>0.5365</x:f>
        <x:v>0.53649999999999998</x:v>
      </x:c>
      <x:c r="Y771">
        <x:f>0</x:f>
        <x:v>0</x:v>
      </x:c>
      <x:c r="Z771">
        <x:f>0</x:f>
        <x:v>0</x:v>
      </x:c>
      <x:c r="AA771">
        <x:f>0</x:f>
        <x:v>0</x:v>
      </x:c>
      <x:c r="AB771">
        <x:f>0.2595</x:f>
        <x:v>0.25950000000000001</x:v>
      </x:c>
      <x:c r="AC771">
        <x:f>0</x:f>
        <x:v>0</x:v>
      </x:c>
      <x:c r="AD771">
        <x:f>0</x:f>
        <x:v>0</x:v>
      </x:c>
      <x:c r="AE771">
        <x:f>1.2335</x:f>
        <x:v>1.2335</x:v>
      </x:c>
      <x:c r="AF771">
        <x:f>0.532</x:f>
        <x:v>0.53200000000000003</x:v>
      </x:c>
      <x:c r="AG771">
        <x:f>0.23625</x:f>
        <x:v>0.23624999999999999</x:v>
      </x:c>
    </x:row>
    <x:row r="772" spans="1:33" x14ac:dyDescent="0.25">
      <x:c r="A772" t="str">
        <x:f>"            Global X Emerging Markets Inte"</x:f>
        <x:v xml:space="preserve">            Global X Emerging Markets Inte</x:v>
      </x:c>
      <x:c r="B772" t="str">
        <x:f>"EWEB US Equity"</x:f>
        <x:v>EWEB US Equity</x:v>
      </x:c>
      <x:c r="E772" t="str">
        <x:f t="shared" si="29"/>
        <x:v>Expression</x:v>
      </x:c>
      <x:c r="F772">
        <x:f ca="1">IF(AND($B$1012=1,LEN($F$1758)&gt;0),$F$1758,HLOOKUP(INDIRECT(ADDRESS(2,COLUMN())),OFFSET($T$2,0,0,ROW()-1,14),ROW()-1,FALSE))</x:f>
        <x:v>0</x:v>
      </x:c>
      <x:c r="G772">
        <x:f ca="1">IF(AND($B$1012=1,LEN($G$1758)&gt;0),$G$1758,HLOOKUP(INDIRECT(ADDRESS(2,COLUMN())),OFFSET($T$2,0,0,ROW()-1,14),ROW()-1,FALSE))</x:f>
        <x:v>0</x:v>
      </x:c>
      <x:c r="H772">
        <x:f ca="1">IF(AND($B$1012=1,LEN($H$1758)&gt;0),$H$1758,HLOOKUP(INDIRECT(ADDRESS(2,COLUMN())),OFFSET($T$2,0,0,ROW()-1,14),ROW()-1,FALSE))</x:f>
        <x:v>0</x:v>
      </x:c>
      <x:c r="I772">
        <x:f ca="1">IF(AND($B$1012=1,LEN($I$1758)&gt;0),$I$1758,HLOOKUP(INDIRECT(ADDRESS(2,COLUMN())),OFFSET($T$2,0,0,ROW()-1,14),ROW()-1,FALSE))</x:f>
        <x:v>0</x:v>
      </x:c>
      <x:c r="J772">
        <x:f ca="1">IF(AND($B$1012=1,LEN($J$1758)&gt;0),$J$1758,HLOOKUP(INDIRECT(ADDRESS(2,COLUMN())),OFFSET($T$2,0,0,ROW()-1,14),ROW()-1,FALSE))</x:f>
        <x:v>0</x:v>
      </x:c>
      <x:c r="K772">
        <x:f ca="1">IF(AND($B$1012=1,LEN($K$1758)&gt;0),$K$1758,HLOOKUP(INDIRECT(ADDRESS(2,COLUMN())),OFFSET($T$2,0,0,ROW()-1,14),ROW()-1,FALSE))</x:f>
        <x:v>0</x:v>
      </x:c>
      <x:c r="L772">
        <x:f ca="1">IF(AND($B$1012=1,LEN($L$1758)&gt;0),$L$1758,HLOOKUP(INDIRECT(ADDRESS(2,COLUMN())),OFFSET($T$2,0,0,ROW()-1,14),ROW()-1,FALSE))</x:f>
        <x:v>0</x:v>
      </x:c>
      <x:c r="M772">
        <x:f ca="1">IF(AND($B$1012=1,LEN($M$1758)&gt;0),$M$1758,HLOOKUP(INDIRECT(ADDRESS(2,COLUMN())),OFFSET($T$2,0,0,ROW()-1,14),ROW()-1,FALSE))</x:f>
        <x:v>0</x:v>
      </x:c>
      <x:c r="N772">
        <x:f ca="1">IF(AND($B$1012=1,LEN($N$1758)&gt;0),$N$1758,HLOOKUP(INDIRECT(ADDRESS(2,COLUMN())),OFFSET($T$2,0,0,ROW()-1,14),ROW()-1,FALSE))</x:f>
        <x:v>0</x:v>
      </x:c>
      <x:c r="O772">
        <x:f ca="1">IF(AND($B$1012=1,LEN($O$1758)&gt;0),$O$1758,HLOOKUP(INDIRECT(ADDRESS(2,COLUMN())),OFFSET($T$2,0,0,ROW()-1,14),ROW()-1,FALSE))</x:f>
        <x:v>0</x:v>
      </x:c>
      <x:c r="P772">
        <x:f ca="1">IF(AND($B$1012=1,LEN($P$1758)&gt;0),$P$1758,HLOOKUP(INDIRECT(ADDRESS(2,COLUMN())),OFFSET($T$2,0,0,ROW()-1,14),ROW()-1,FALSE))</x:f>
        <x:v>-3.0279999999999999E-3</x:v>
      </x:c>
      <x:c r="Q772">
        <x:f ca="1">IF(AND($B$1012=1,LEN($Q$1758)&gt;0),$Q$1758,HLOOKUP(INDIRECT(ADDRESS(2,COLUMN())),OFFSET($T$2,0,0,ROW()-1,14),ROW()-1,FALSE))</x:f>
        <x:v>3.0000000000000001E-6</x:v>
      </x:c>
      <x:c r="R772">
        <x:f ca="1">IF(AND($B$1012=1,LEN($R$1758)&gt;0),$R$1758,HLOOKUP(INDIRECT(ADDRESS(2,COLUMN())),OFFSET($T$2,0,0,ROW()-1,14),ROW()-1,FALSE))</x:f>
        <x:v>0</x:v>
      </x:c>
      <x:c r="S772">
        <x:f ca="1">IF(AND($B$1012=1,LEN($S$1758)&gt;0),$S$1758,HLOOKUP(INDIRECT(ADDRESS(2,COLUMN())),OFFSET($T$2,0,0,ROW()-1,14),ROW()-1,FALSE))</x:f>
        <x:v>0</x:v>
      </x:c>
      <x:c r="T772">
        <x:f>0</x:f>
        <x:v>0</x:v>
      </x:c>
      <x:c r="U772">
        <x:f>0</x:f>
        <x:v>0</x:v>
      </x:c>
      <x:c r="V772">
        <x:f>0</x:f>
        <x:v>0</x:v>
      </x:c>
      <x:c r="W772">
        <x:f>0</x:f>
        <x:v>0</x:v>
      </x:c>
      <x:c r="X772">
        <x:f>0</x:f>
        <x:v>0</x:v>
      </x:c>
      <x:c r="Y772">
        <x:f>0</x:f>
        <x:v>0</x:v>
      </x:c>
      <x:c r="Z772">
        <x:f>0</x:f>
        <x:v>0</x:v>
      </x:c>
      <x:c r="AA772">
        <x:f>0</x:f>
        <x:v>0</x:v>
      </x:c>
      <x:c r="AB772">
        <x:f>0</x:f>
        <x:v>0</x:v>
      </x:c>
      <x:c r="AC772">
        <x:f>0</x:f>
        <x:v>0</x:v>
      </x:c>
      <x:c r="AD772">
        <x:f>-0.003028</x:f>
        <x:v>-3.0279999999999999E-3</x:v>
      </x:c>
      <x:c r="AE772">
        <x:f>0.000003</x:f>
        <x:v>3.0000000000000001E-6</x:v>
      </x:c>
      <x:c r="AF772">
        <x:f>0</x:f>
        <x:v>0</x:v>
      </x:c>
      <x:c r="AG772">
        <x:f>0</x:f>
        <x:v>0</x:v>
      </x:c>
    </x:row>
    <x:row r="773" spans="1:33" x14ac:dyDescent="0.25">
      <x:c r="A773" t="str">
        <x:f>"            Vaneck Digital India ETF"</x:f>
        <x:v xml:space="preserve">            Vaneck Digital India ETF</x:v>
      </x:c>
      <x:c r="B773" t="str">
        <x:f>"DGIN US Equity"</x:f>
        <x:v>DGIN US Equity</x:v>
      </x:c>
      <x:c r="E773" t="str">
        <x:f t="shared" si="29"/>
        <x:v>Expression</x:v>
      </x:c>
      <x:c r="F773">
        <x:f ca="1">IF(AND($B$1012=1,LEN($F$1759)&gt;0),$F$1759,HLOOKUP(INDIRECT(ADDRESS(2,COLUMN())),OFFSET($T$2,0,0,ROW()-1,14),ROW()-1,FALSE))</x:f>
        <x:v>0</x:v>
      </x:c>
      <x:c r="G773">
        <x:f ca="1">IF(AND($B$1012=1,LEN($G$1759)&gt;0),$G$1759,HLOOKUP(INDIRECT(ADDRESS(2,COLUMN())),OFFSET($T$2,0,0,ROW()-1,14),ROW()-1,FALSE))</x:f>
        <x:v>0</x:v>
      </x:c>
      <x:c r="H773">
        <x:f ca="1">IF(AND($B$1012=1,LEN($H$1759)&gt;0),$H$1759,HLOOKUP(INDIRECT(ADDRESS(2,COLUMN())),OFFSET($T$2,0,0,ROW()-1,14),ROW()-1,FALSE))</x:f>
        <x:v>0.82736600000000005</x:v>
      </x:c>
      <x:c r="I773">
        <x:f ca="1">IF(AND($B$1012=1,LEN($I$1759)&gt;0),$I$1759,HLOOKUP(INDIRECT(ADDRESS(2,COLUMN())),OFFSET($T$2,0,0,ROW()-1,14),ROW()-1,FALSE))</x:f>
        <x:v>0.79573300000000002</x:v>
      </x:c>
      <x:c r="J773">
        <x:f ca="1">IF(AND($B$1012=1,LEN($J$1759)&gt;0),$J$1759,HLOOKUP(INDIRECT(ADDRESS(2,COLUMN())),OFFSET($T$2,0,0,ROW()-1,14),ROW()-1,FALSE))</x:f>
        <x:v>0</x:v>
      </x:c>
      <x:c r="K773">
        <x:f ca="1">IF(AND($B$1012=1,LEN($K$1759)&gt;0),$K$1759,HLOOKUP(INDIRECT(ADDRESS(2,COLUMN())),OFFSET($T$2,0,0,ROW()-1,14),ROW()-1,FALSE))</x:f>
        <x:v>0.74167499999999997</x:v>
      </x:c>
      <x:c r="L773">
        <x:f ca="1">IF(AND($B$1012=1,LEN($L$1759)&gt;0),$L$1759,HLOOKUP(INDIRECT(ADDRESS(2,COLUMN())),OFFSET($T$2,0,0,ROW()-1,14),ROW()-1,FALSE))</x:f>
        <x:v>0</x:v>
      </x:c>
      <x:c r="M773">
        <x:f ca="1">IF(AND($B$1012=1,LEN($M$1759)&gt;0),$M$1759,HLOOKUP(INDIRECT(ADDRESS(2,COLUMN())),OFFSET($T$2,0,0,ROW()-1,14),ROW()-1,FALSE))</x:f>
        <x:v>0</x:v>
      </x:c>
      <x:c r="N773">
        <x:f ca="1">IF(AND($B$1012=1,LEN($N$1759)&gt;0),$N$1759,HLOOKUP(INDIRECT(ADDRESS(2,COLUMN())),OFFSET($T$2,0,0,ROW()-1,14),ROW()-1,FALSE))</x:f>
        <x:v>0</x:v>
      </x:c>
      <x:c r="O773">
        <x:f ca="1">IF(AND($B$1012=1,LEN($O$1759)&gt;0),$O$1759,HLOOKUP(INDIRECT(ADDRESS(2,COLUMN())),OFFSET($T$2,0,0,ROW()-1,14),ROW()-1,FALSE))</x:f>
        <x:v>0</x:v>
      </x:c>
      <x:c r="P773">
        <x:f ca="1">IF(AND($B$1012=1,LEN($P$1759)&gt;0),$P$1759,HLOOKUP(INDIRECT(ADDRESS(2,COLUMN())),OFFSET($T$2,0,0,ROW()-1,14),ROW()-1,FALSE))</x:f>
        <x:v>0</x:v>
      </x:c>
      <x:c r="Q773">
        <x:f ca="1">IF(AND($B$1012=1,LEN($Q$1759)&gt;0),$Q$1759,HLOOKUP(INDIRECT(ADDRESS(2,COLUMN())),OFFSET($T$2,0,0,ROW()-1,14),ROW()-1,FALSE))</x:f>
        <x:v>0</x:v>
      </x:c>
      <x:c r="R773">
        <x:f ca="1">IF(AND($B$1012=1,LEN($R$1759)&gt;0),$R$1759,HLOOKUP(INDIRECT(ADDRESS(2,COLUMN())),OFFSET($T$2,0,0,ROW()-1,14),ROW()-1,FALSE))</x:f>
        <x:v>0</x:v>
      </x:c>
      <x:c r="S773">
        <x:f ca="1">IF(AND($B$1012=1,LEN($S$1759)&gt;0),$S$1759,HLOOKUP(INDIRECT(ADDRESS(2,COLUMN())),OFFSET($T$2,0,0,ROW()-1,14),ROW()-1,FALSE))</x:f>
        <x:v>0</x:v>
      </x:c>
      <x:c r="T773">
        <x:f>0</x:f>
        <x:v>0</x:v>
      </x:c>
      <x:c r="U773">
        <x:f>0</x:f>
        <x:v>0</x:v>
      </x:c>
      <x:c r="V773">
        <x:f>0.827366</x:f>
        <x:v>0.82736600000000005</x:v>
      </x:c>
      <x:c r="W773">
        <x:f>0.795733</x:f>
        <x:v>0.79573300000000002</x:v>
      </x:c>
      <x:c r="X773">
        <x:f>0</x:f>
        <x:v>0</x:v>
      </x:c>
      <x:c r="Y773">
        <x:f>0.741675</x:f>
        <x:v>0.74167499999999997</x:v>
      </x:c>
      <x:c r="Z773">
        <x:f>0</x:f>
        <x:v>0</x:v>
      </x:c>
      <x:c r="AA773">
        <x:f>0</x:f>
        <x:v>0</x:v>
      </x:c>
      <x:c r="AB773">
        <x:f>0</x:f>
        <x:v>0</x:v>
      </x:c>
      <x:c r="AC773">
        <x:f>0</x:f>
        <x:v>0</x:v>
      </x:c>
      <x:c r="AD773">
        <x:f>0</x:f>
        <x:v>0</x:v>
      </x:c>
      <x:c r="AE773">
        <x:f>0</x:f>
        <x:v>0</x:v>
      </x:c>
      <x:c r="AF773">
        <x:f>0</x:f>
        <x:v>0</x:v>
      </x:c>
      <x:c r="AG773">
        <x:f>0</x:f>
        <x:v>0</x:v>
      </x:c>
    </x:row>
    <x:row r="774" spans="1:33" x14ac:dyDescent="0.25">
      <x:c r="A774" t="str">
        <x:f>"            iShares MSCI China Multisector"</x:f>
        <x:v xml:space="preserve">            iShares MSCI China Multisector</x:v>
      </x:c>
      <x:c r="B774" t="str">
        <x:f>"TCHI US Equity"</x:f>
        <x:v>TCHI US Equity</x:v>
      </x:c>
      <x:c r="E774" t="str">
        <x:f t="shared" si="29"/>
        <x:v>Expression</x:v>
      </x:c>
      <x:c r="F774">
        <x:f ca="1">IF(AND($B$1012=1,LEN($F$1760)&gt;0),$F$1760,HLOOKUP(INDIRECT(ADDRESS(2,COLUMN())),OFFSET($T$2,0,0,ROW()-1,14),ROW()-1,FALSE))</x:f>
        <x:v>0</x:v>
      </x:c>
      <x:c r="G774">
        <x:f ca="1">IF(AND($B$1012=1,LEN($G$1760)&gt;0),$G$1760,HLOOKUP(INDIRECT(ADDRESS(2,COLUMN())),OFFSET($T$2,0,0,ROW()-1,14),ROW()-1,FALSE))</x:f>
        <x:v>0</x:v>
      </x:c>
      <x:c r="H774">
        <x:f ca="1">IF(AND($B$1012=1,LEN($H$1760)&gt;0),$H$1760,HLOOKUP(INDIRECT(ADDRESS(2,COLUMN())),OFFSET($T$2,0,0,ROW()-1,14),ROW()-1,FALSE))</x:f>
        <x:v>0</x:v>
      </x:c>
      <x:c r="I774">
        <x:f ca="1">IF(AND($B$1012=1,LEN($I$1760)&gt;0),$I$1760,HLOOKUP(INDIRECT(ADDRESS(2,COLUMN())),OFFSET($T$2,0,0,ROW()-1,14),ROW()-1,FALSE))</x:f>
        <x:v>0</x:v>
      </x:c>
      <x:c r="J774">
        <x:f ca="1">IF(AND($B$1012=1,LEN($J$1760)&gt;0),$J$1760,HLOOKUP(INDIRECT(ADDRESS(2,COLUMN())),OFFSET($T$2,0,0,ROW()-1,14),ROW()-1,FALSE))</x:f>
        <x:v>0</x:v>
      </x:c>
      <x:c r="K774">
        <x:f ca="1">IF(AND($B$1012=1,LEN($K$1760)&gt;0),$K$1760,HLOOKUP(INDIRECT(ADDRESS(2,COLUMN())),OFFSET($T$2,0,0,ROW()-1,14),ROW()-1,FALSE))</x:f>
        <x:v>0</x:v>
      </x:c>
      <x:c r="L774">
        <x:f ca="1">IF(AND($B$1012=1,LEN($L$1760)&gt;0),$L$1760,HLOOKUP(INDIRECT(ADDRESS(2,COLUMN())),OFFSET($T$2,0,0,ROW()-1,14),ROW()-1,FALSE))</x:f>
        <x:v>0</x:v>
      </x:c>
      <x:c r="M774">
        <x:f ca="1">IF(AND($B$1012=1,LEN($M$1760)&gt;0),$M$1760,HLOOKUP(INDIRECT(ADDRESS(2,COLUMN())),OFFSET($T$2,0,0,ROW()-1,14),ROW()-1,FALSE))</x:f>
        <x:v>0</x:v>
      </x:c>
      <x:c r="N774">
        <x:f ca="1">IF(AND($B$1012=1,LEN($N$1760)&gt;0),$N$1760,HLOOKUP(INDIRECT(ADDRESS(2,COLUMN())),OFFSET($T$2,0,0,ROW()-1,14),ROW()-1,FALSE))</x:f>
        <x:v>0</x:v>
      </x:c>
      <x:c r="O774">
        <x:f ca="1">IF(AND($B$1012=1,LEN($O$1760)&gt;0),$O$1760,HLOOKUP(INDIRECT(ADDRESS(2,COLUMN())),OFFSET($T$2,0,0,ROW()-1,14),ROW()-1,FALSE))</x:f>
        <x:v>0</x:v>
      </x:c>
      <x:c r="P774">
        <x:f ca="1">IF(AND($B$1012=1,LEN($P$1760)&gt;0),$P$1760,HLOOKUP(INDIRECT(ADDRESS(2,COLUMN())),OFFSET($T$2,0,0,ROW()-1,14),ROW()-1,FALSE))</x:f>
        <x:v>0</x:v>
      </x:c>
      <x:c r="Q774">
        <x:f ca="1">IF(AND($B$1012=1,LEN($Q$1760)&gt;0),$Q$1760,HLOOKUP(INDIRECT(ADDRESS(2,COLUMN())),OFFSET($T$2,0,0,ROW()-1,14),ROW()-1,FALSE))</x:f>
        <x:v>0</x:v>
      </x:c>
      <x:c r="R774">
        <x:f ca="1">IF(AND($B$1012=1,LEN($R$1760)&gt;0),$R$1760,HLOOKUP(INDIRECT(ADDRESS(2,COLUMN())),OFFSET($T$2,0,0,ROW()-1,14),ROW()-1,FALSE))</x:f>
        <x:v>0</x:v>
      </x:c>
      <x:c r="S774">
        <x:f ca="1">IF(AND($B$1012=1,LEN($S$1760)&gt;0),$S$1760,HLOOKUP(INDIRECT(ADDRESS(2,COLUMN())),OFFSET($T$2,0,0,ROW()-1,14),ROW()-1,FALSE))</x:f>
        <x:v>0</x:v>
      </x:c>
      <x:c r="T774">
        <x:f>0</x:f>
        <x:v>0</x:v>
      </x:c>
      <x:c r="U774">
        <x:f>0</x:f>
        <x:v>0</x:v>
      </x:c>
      <x:c r="V774">
        <x:f>0</x:f>
        <x:v>0</x:v>
      </x:c>
      <x:c r="W774">
        <x:f>0</x:f>
        <x:v>0</x:v>
      </x:c>
      <x:c r="X774">
        <x:f>0</x:f>
        <x:v>0</x:v>
      </x:c>
      <x:c r="Y774">
        <x:f>0</x:f>
        <x:v>0</x:v>
      </x:c>
      <x:c r="Z774">
        <x:f>0</x:f>
        <x:v>0</x:v>
      </x:c>
      <x:c r="AA774">
        <x:f>0</x:f>
        <x:v>0</x:v>
      </x:c>
      <x:c r="AB774">
        <x:f>0</x:f>
        <x:v>0</x:v>
      </x:c>
      <x:c r="AC774">
        <x:f>0</x:f>
        <x:v>0</x:v>
      </x:c>
      <x:c r="AD774">
        <x:f>0</x:f>
        <x:v>0</x:v>
      </x:c>
      <x:c r="AE774">
        <x:f>0</x:f>
        <x:v>0</x:v>
      </x:c>
      <x:c r="AF774">
        <x:f>0</x:f>
        <x:v>0</x:v>
      </x:c>
      <x:c r="AG774">
        <x:f>0</x:f>
        <x:v>0</x:v>
      </x:c>
    </x:row>
    <x:row r="775" spans="1:33" x14ac:dyDescent="0.25">
      <x:c r="A775" t="str">
        <x:f>"            Kraneshares China Internet And"</x:f>
        <x:v xml:space="preserve">            Kraneshares China Internet And</x:v>
      </x:c>
      <x:c r="B775" t="str">
        <x:f>"KLIP US Equity"</x:f>
        <x:v>KLIP US Equity</x:v>
      </x:c>
      <x:c r="E775" t="str">
        <x:f t="shared" si="29"/>
        <x:v>Expression</x:v>
      </x:c>
      <x:c r="F775">
        <x:f ca="1">IF(AND($B$1012=1,LEN($F$1761)&gt;0),$F$1761,HLOOKUP(INDIRECT(ADDRESS(2,COLUMN())),OFFSET($T$2,0,0,ROW()-1,14),ROW()-1,FALSE))</x:f>
        <x:v>-12.05725</x:v>
      </x:c>
      <x:c r="G775">
        <x:f ca="1">IF(AND($B$1012=1,LEN($G$1761)&gt;0),$G$1761,HLOOKUP(INDIRECT(ADDRESS(2,COLUMN())),OFFSET($T$2,0,0,ROW()-1,14),ROW()-1,FALSE))</x:f>
        <x:v>10.595000000000001</x:v>
      </x:c>
      <x:c r="H775">
        <x:f ca="1">IF(AND($B$1012=1,LEN($H$1761)&gt;0),$H$1761,HLOOKUP(INDIRECT(ADDRESS(2,COLUMN())),OFFSET($T$2,0,0,ROW()-1,14),ROW()-1,FALSE))</x:f>
        <x:v>33.477249999999998</x:v>
      </x:c>
      <x:c r="I775">
        <x:f ca="1">IF(AND($B$1012=1,LEN($I$1761)&gt;0),$I$1761,HLOOKUP(INDIRECT(ADDRESS(2,COLUMN())),OFFSET($T$2,0,0,ROW()-1,14),ROW()-1,FALSE))</x:f>
        <x:v>16.414249999999999</x:v>
      </x:c>
      <x:c r="J775">
        <x:f ca="1">IF(AND($B$1012=1,LEN($J$1761)&gt;0),$J$1761,HLOOKUP(INDIRECT(ADDRESS(2,COLUMN())),OFFSET($T$2,0,0,ROW()-1,14),ROW()-1,FALSE))</x:f>
        <x:v>31.826250000000002</x:v>
      </x:c>
      <x:c r="K775">
        <x:f ca="1">IF(AND($B$1012=1,LEN($K$1761)&gt;0),$K$1761,HLOOKUP(INDIRECT(ADDRESS(2,COLUMN())),OFFSET($T$2,0,0,ROW()-1,14),ROW()-1,FALSE))</x:f>
        <x:v>16.242249999999999</x:v>
      </x:c>
      <x:c r="L775">
        <x:f ca="1">IF(AND($B$1012=1,LEN($L$1761)&gt;0),$L$1761,HLOOKUP(INDIRECT(ADDRESS(2,COLUMN())),OFFSET($T$2,0,0,ROW()-1,14),ROW()-1,FALSE))</x:f>
        <x:v>13.013500000000001</x:v>
      </x:c>
      <x:c r="M775">
        <x:f ca="1">IF(AND($B$1012=1,LEN($M$1761)&gt;0),$M$1761,HLOOKUP(INDIRECT(ADDRESS(2,COLUMN())),OFFSET($T$2,0,0,ROW()-1,14),ROW()-1,FALSE))</x:f>
        <x:v>2.5892499999999998</x:v>
      </x:c>
      <x:c r="N775">
        <x:f ca="1">IF(AND($B$1012=1,LEN($N$1761)&gt;0),$N$1761,HLOOKUP(INDIRECT(ADDRESS(2,COLUMN())),OFFSET($T$2,0,0,ROW()-1,14),ROW()-1,FALSE))</x:f>
        <x:v>0.53974999999999995</x:v>
      </x:c>
      <x:c r="O775">
        <x:f ca="1">IF(AND($B$1012=1,LEN($O$1761)&gt;0),$O$1761,HLOOKUP(INDIRECT(ADDRESS(2,COLUMN())),OFFSET($T$2,0,0,ROW()-1,14),ROW()-1,FALSE))</x:f>
        <x:v>2.391</x:v>
      </x:c>
      <x:c r="P775">
        <x:f ca="1">IF(AND($B$1012=1,LEN($P$1761)&gt;0),$P$1761,HLOOKUP(INDIRECT(ADDRESS(2,COLUMN())),OFFSET($T$2,0,0,ROW()-1,14),ROW()-1,FALSE))</x:f>
        <x:v>0</x:v>
      </x:c>
      <x:c r="Q775" t="str">
        <x:f ca="1">IF(AND($B$1012=1,LEN($Q$1761)&gt;0),$Q$1761,HLOOKUP(INDIRECT(ADDRESS(2,COLUMN())),OFFSET($T$2,0,0,ROW()-1,14),ROW()-1,FALSE))</x:f>
        <x:v/>
      </x:c>
      <x:c r="R775" t="str">
        <x:f ca="1">IF(AND($B$1012=1,LEN($R$1761)&gt;0),$R$1761,HLOOKUP(INDIRECT(ADDRESS(2,COLUMN())),OFFSET($T$2,0,0,ROW()-1,14),ROW()-1,FALSE))</x:f>
        <x:v/>
      </x:c>
      <x:c r="S775" t="str">
        <x:f ca="1">IF(AND($B$1012=1,LEN($S$1761)&gt;0),$S$1761,HLOOKUP(INDIRECT(ADDRESS(2,COLUMN())),OFFSET($T$2,0,0,ROW()-1,14),ROW()-1,FALSE))</x:f>
        <x:v/>
      </x:c>
      <x:c r="T775">
        <x:f>-12.05725</x:f>
        <x:v>-12.05725</x:v>
      </x:c>
      <x:c r="U775">
        <x:f>10.595</x:f>
        <x:v>10.595000000000001</x:v>
      </x:c>
      <x:c r="V775">
        <x:f>33.47725</x:f>
        <x:v>33.477249999999998</x:v>
      </x:c>
      <x:c r="W775">
        <x:f>16.41425</x:f>
        <x:v>16.414249999999999</x:v>
      </x:c>
      <x:c r="X775">
        <x:f>31.82625</x:f>
        <x:v>31.826250000000002</x:v>
      </x:c>
      <x:c r="Y775">
        <x:f>16.24225</x:f>
        <x:v>16.242249999999999</x:v>
      </x:c>
      <x:c r="Z775">
        <x:f>13.0135</x:f>
        <x:v>13.013500000000001</x:v>
      </x:c>
      <x:c r="AA775">
        <x:f>2.58925</x:f>
        <x:v>2.5892499999999998</x:v>
      </x:c>
      <x:c r="AB775">
        <x:f>0.53975</x:f>
        <x:v>0.53974999999999995</x:v>
      </x:c>
      <x:c r="AC775">
        <x:f>2.391</x:f>
        <x:v>2.391</x:v>
      </x:c>
      <x:c r="AD775">
        <x:f>0</x:f>
        <x:v>0</x:v>
      </x:c>
      <x:c r="AE775" t="str">
        <x:f>""</x:f>
        <x:v/>
      </x:c>
      <x:c r="AF775" t="str">
        <x:f>""</x:f>
        <x:v/>
      </x:c>
      <x:c r="AG775" t="str">
        <x:f>""</x:f>
        <x:v/>
      </x:c>
    </x:row>
    <x:row r="776" spans="1:33" x14ac:dyDescent="0.25">
      <x:c r="A776" t="str">
        <x:f>"            INQQ The India Internet &amp; Ecom"</x:f>
        <x:v xml:space="preserve">            INQQ The India Internet &amp; Ecom</x:v>
      </x:c>
      <x:c r="B776" t="str">
        <x:f>"INQQ US Equity"</x:f>
        <x:v>INQQ US Equity</x:v>
      </x:c>
      <x:c r="E776" t="str">
        <x:f t="shared" si="29"/>
        <x:v>Expression</x:v>
      </x:c>
      <x:c r="F776">
        <x:f ca="1">IF(AND($B$1012=1,LEN($F$1762)&gt;0),$F$1762,HLOOKUP(INDIRECT(ADDRESS(2,COLUMN())),OFFSET($T$2,0,0,ROW()-1,14),ROW()-1,FALSE))</x:f>
        <x:v>0</x:v>
      </x:c>
      <x:c r="G776">
        <x:f ca="1">IF(AND($B$1012=1,LEN($G$1762)&gt;0),$G$1762,HLOOKUP(INDIRECT(ADDRESS(2,COLUMN())),OFFSET($T$2,0,0,ROW()-1,14),ROW()-1,FALSE))</x:f>
        <x:v>0</x:v>
      </x:c>
      <x:c r="H776">
        <x:f ca="1">IF(AND($B$1012=1,LEN($H$1762)&gt;0),$H$1762,HLOOKUP(INDIRECT(ADDRESS(2,COLUMN())),OFFSET($T$2,0,0,ROW()-1,14),ROW()-1,FALSE))</x:f>
        <x:v>1.3866000000000001</x:v>
      </x:c>
      <x:c r="I776">
        <x:f ca="1">IF(AND($B$1012=1,LEN($I$1762)&gt;0),$I$1762,HLOOKUP(INDIRECT(ADDRESS(2,COLUMN())),OFFSET($T$2,0,0,ROW()-1,14),ROW()-1,FALSE))</x:f>
        <x:v>1.6134999999999999</x:v>
      </x:c>
      <x:c r="J776">
        <x:f ca="1">IF(AND($B$1012=1,LEN($J$1762)&gt;0),$J$1762,HLOOKUP(INDIRECT(ADDRESS(2,COLUMN())),OFFSET($T$2,0,0,ROW()-1,14),ROW()-1,FALSE))</x:f>
        <x:v>1.327</x:v>
      </x:c>
      <x:c r="K776">
        <x:f ca="1">IF(AND($B$1012=1,LEN($K$1762)&gt;0),$K$1762,HLOOKUP(INDIRECT(ADDRESS(2,COLUMN())),OFFSET($T$2,0,0,ROW()-1,14),ROW()-1,FALSE))</x:f>
        <x:v>2.6389999999999998</x:v>
      </x:c>
      <x:c r="L776">
        <x:f ca="1">IF(AND($B$1012=1,LEN($L$1762)&gt;0),$L$1762,HLOOKUP(INDIRECT(ADDRESS(2,COLUMN())),OFFSET($T$2,0,0,ROW()-1,14),ROW()-1,FALSE))</x:f>
        <x:v>0.30809999999999998</x:v>
      </x:c>
      <x:c r="M776">
        <x:f ca="1">IF(AND($B$1012=1,LEN($M$1762)&gt;0),$M$1762,HLOOKUP(INDIRECT(ADDRESS(2,COLUMN())),OFFSET($T$2,0,0,ROW()-1,14),ROW()-1,FALSE))</x:f>
        <x:v>0.20100000000000001</x:v>
      </x:c>
      <x:c r="N776">
        <x:f ca="1">IF(AND($B$1012=1,LEN($N$1762)&gt;0),$N$1762,HLOOKUP(INDIRECT(ADDRESS(2,COLUMN())),OFFSET($T$2,0,0,ROW()-1,14),ROW()-1,FALSE))</x:f>
        <x:v>0</x:v>
      </x:c>
      <x:c r="O776">
        <x:f ca="1">IF(AND($B$1012=1,LEN($O$1762)&gt;0),$O$1762,HLOOKUP(INDIRECT(ADDRESS(2,COLUMN())),OFFSET($T$2,0,0,ROW()-1,14),ROW()-1,FALSE))</x:f>
        <x:v>0.20699999999999999</x:v>
      </x:c>
      <x:c r="P776">
        <x:f ca="1">IF(AND($B$1012=1,LEN($P$1762)&gt;0),$P$1762,HLOOKUP(INDIRECT(ADDRESS(2,COLUMN())),OFFSET($T$2,0,0,ROW()-1,14),ROW()-1,FALSE))</x:f>
        <x:v>0</x:v>
      </x:c>
      <x:c r="Q776">
        <x:f ca="1">IF(AND($B$1012=1,LEN($Q$1762)&gt;0),$Q$1762,HLOOKUP(INDIRECT(ADDRESS(2,COLUMN())),OFFSET($T$2,0,0,ROW()-1,14),ROW()-1,FALSE))</x:f>
        <x:v>0.55620000000000003</x:v>
      </x:c>
      <x:c r="R776">
        <x:f ca="1">IF(AND($B$1012=1,LEN($R$1762)&gt;0),$R$1762,HLOOKUP(INDIRECT(ADDRESS(2,COLUMN())),OFFSET($T$2,0,0,ROW()-1,14),ROW()-1,FALSE))</x:f>
        <x:v>0</x:v>
      </x:c>
      <x:c r="S776">
        <x:f ca="1">IF(AND($B$1012=1,LEN($S$1762)&gt;0),$S$1762,HLOOKUP(INDIRECT(ADDRESS(2,COLUMN())),OFFSET($T$2,0,0,ROW()-1,14),ROW()-1,FALSE))</x:f>
        <x:v>0</x:v>
      </x:c>
      <x:c r="T776">
        <x:f>0</x:f>
        <x:v>0</x:v>
      </x:c>
      <x:c r="U776">
        <x:f>0</x:f>
        <x:v>0</x:v>
      </x:c>
      <x:c r="V776">
        <x:f>1.3866</x:f>
        <x:v>1.3866000000000001</x:v>
      </x:c>
      <x:c r="W776">
        <x:f>1.6135</x:f>
        <x:v>1.6134999999999999</x:v>
      </x:c>
      <x:c r="X776">
        <x:f>1.327</x:f>
        <x:v>1.327</x:v>
      </x:c>
      <x:c r="Y776">
        <x:f>2.639</x:f>
        <x:v>2.6389999999999998</x:v>
      </x:c>
      <x:c r="Z776">
        <x:f>0.3081</x:f>
        <x:v>0.30809999999999998</x:v>
      </x:c>
      <x:c r="AA776">
        <x:f>0.201</x:f>
        <x:v>0.20100000000000001</x:v>
      </x:c>
      <x:c r="AB776">
        <x:f>0</x:f>
        <x:v>0</x:v>
      </x:c>
      <x:c r="AC776">
        <x:f>0.207</x:f>
        <x:v>0.20699999999999999</x:v>
      </x:c>
      <x:c r="AD776">
        <x:f>0</x:f>
        <x:v>0</x:v>
      </x:c>
      <x:c r="AE776">
        <x:f>0.5562</x:f>
        <x:v>0.55620000000000003</x:v>
      </x:c>
      <x:c r="AF776">
        <x:f>0</x:f>
        <x:v>0</x:v>
      </x:c>
      <x:c r="AG776">
        <x:f>0</x:f>
        <x:v>0</x:v>
      </x:c>
    </x:row>
    <x:row r="777" spans="1:33" x14ac:dyDescent="0.25">
      <x:c r="A777" t="str">
        <x:f>"        FinTech"</x:f>
        <x:v xml:space="preserve">        FinTech</x:v>
      </x:c>
      <x:c r="B777" t="str">
        <x:f>""</x:f>
        <x:v/>
      </x:c>
      <x:c r="E777" t="str">
        <x:f>"Sum"</x:f>
        <x:v>Sum</x:v>
      </x:c>
      <x:c r="F777">
        <x:f ca="1">IF(ISERROR(IF(SUM($F$778:$F$790) = 0, "", SUM($F$778:$F$790))), "", (IF(SUM($F$778:$F$790) = 0, "", SUM($F$778:$F$790))))</x:f>
        <x:v>-22.039434</x:v>
      </x:c>
      <x:c r="G777">
        <x:f ca="1">IF(ISERROR(IF(SUM($G$778:$G$790) = 0, "", SUM($G$778:$G$790))), "", (IF(SUM($G$778:$G$790) = 0, "", SUM($G$778:$G$790))))</x:f>
        <x:v>-57.400293999999995</x:v>
      </x:c>
      <x:c r="H777">
        <x:f ca="1">IF(ISERROR(IF(SUM($H$778:$H$790) = 0, "", SUM($H$778:$H$790))), "", (IF(SUM($H$778:$H$790) = 0, "", SUM($H$778:$H$790))))</x:f>
        <x:v>-26.182409999999997</x:v>
      </x:c>
      <x:c r="I777">
        <x:f ca="1">IF(ISERROR(IF(SUM($I$778:$I$790) = 0, "", SUM($I$778:$I$790))), "", (IF(SUM($I$778:$I$790) = 0, "", SUM($I$778:$I$790))))</x:f>
        <x:v>-67.653715999999989</x:v>
      </x:c>
      <x:c r="J777">
        <x:f ca="1">IF(ISERROR(IF(SUM($J$778:$J$790) = 0, "", SUM($J$778:$J$790))), "", (IF(SUM($J$778:$J$790) = 0, "", SUM($J$778:$J$790))))</x:f>
        <x:v>7.4487290000000002</x:v>
      </x:c>
      <x:c r="K777">
        <x:f ca="1">IF(ISERROR(IF(SUM($K$778:$K$790) = 0, "", SUM($K$778:$K$790))), "", (IF(SUM($K$778:$K$790) = 0, "", SUM($K$778:$K$790))))</x:f>
        <x:v>-35.459355000000002</x:v>
      </x:c>
      <x:c r="L777">
        <x:f ca="1">IF(ISERROR(IF(SUM($L$778:$L$790) = 0, "", SUM($L$778:$L$790))), "", (IF(SUM($L$778:$L$790) = 0, "", SUM($L$778:$L$790))))</x:f>
        <x:v>-22.437460000000002</x:v>
      </x:c>
      <x:c r="M777">
        <x:f ca="1">IF(ISERROR(IF(SUM($M$778:$M$790) = 0, "", SUM($M$778:$M$790))), "", (IF(SUM($M$778:$M$790) = 0, "", SUM($M$778:$M$790))))</x:f>
        <x:v>-20.738085999999999</x:v>
      </x:c>
      <x:c r="N777">
        <x:f ca="1">IF(ISERROR(IF(SUM($N$778:$N$790) = 0, "", SUM($N$778:$N$790))), "", (IF(SUM($N$778:$N$790) = 0, "", SUM($N$778:$N$790))))</x:f>
        <x:v>-63.07545799999999</x:v>
      </x:c>
      <x:c r="O777">
        <x:f ca="1">IF(ISERROR(IF(SUM($O$778:$O$790) = 0, "", SUM($O$778:$O$790))), "", (IF(SUM($O$778:$O$790) = 0, "", SUM($O$778:$O$790))))</x:f>
        <x:v>-18.550027999999998</x:v>
      </x:c>
      <x:c r="P777">
        <x:f ca="1">IF(ISERROR(IF(SUM($P$778:$P$790) = 0, "", SUM($P$778:$P$790))), "", (IF(SUM($P$778:$P$790) = 0, "", SUM($P$778:$P$790))))</x:f>
        <x:v>-40.088098000000002</x:v>
      </x:c>
      <x:c r="Q777">
        <x:f ca="1">IF(ISERROR(IF(SUM($Q$778:$Q$790) = 0, "", SUM($Q$778:$Q$790))), "", (IF(SUM($Q$778:$Q$790) = 0, "", SUM($Q$778:$Q$790))))</x:f>
        <x:v>-64.910544999999999</x:v>
      </x:c>
      <x:c r="R777">
        <x:f ca="1">IF(ISERROR(IF(SUM($R$778:$R$790) = 0, "", SUM($R$778:$R$790))), "", (IF(SUM($R$778:$R$790) = 0, "", SUM($R$778:$R$790))))</x:f>
        <x:v>-68.985530999999995</x:v>
      </x:c>
      <x:c r="S777">
        <x:f ca="1">IF(ISERROR(IF(SUM($S$778:$S$790) = 0, "", SUM($S$778:$S$790))), "", (IF(SUM($S$778:$S$790) = 0, "", SUM($S$778:$S$790))))</x:f>
        <x:v>-16.019296999999998</x:v>
      </x:c>
      <x:c r="T777">
        <x:f>-22.039434</x:f>
        <x:v>-22.039434</x:v>
      </x:c>
      <x:c r="U777">
        <x:f>-57.400294</x:f>
        <x:v>-57.400294000000002</x:v>
      </x:c>
      <x:c r="V777">
        <x:f>-26.18241</x:f>
        <x:v>-26.182410000000001</x:v>
      </x:c>
      <x:c r="W777">
        <x:f>-67.653716</x:f>
        <x:v>-67.653716000000003</x:v>
      </x:c>
      <x:c r="X777">
        <x:f>7.448729</x:f>
        <x:v>7.4487290000000002</x:v>
      </x:c>
      <x:c r="Y777">
        <x:f>-35.459355</x:f>
        <x:v>-35.459355000000002</x:v>
      </x:c>
      <x:c r="Z777">
        <x:f>-22.43746</x:f>
        <x:v>-22.437460000000002</x:v>
      </x:c>
      <x:c r="AA777">
        <x:f>-20.738086</x:f>
        <x:v>-20.738085999999999</x:v>
      </x:c>
      <x:c r="AB777">
        <x:f>-63.075458</x:f>
        <x:v>-63.075457999999998</x:v>
      </x:c>
      <x:c r="AC777">
        <x:f>-18.550028</x:f>
        <x:v>-18.550028000000001</x:v>
      </x:c>
      <x:c r="AD777">
        <x:f>-40.088098</x:f>
        <x:v>-40.088098000000002</x:v>
      </x:c>
      <x:c r="AE777">
        <x:f>-64.910545</x:f>
        <x:v>-64.910544999999999</x:v>
      </x:c>
      <x:c r="AF777">
        <x:f>-68.985531</x:f>
        <x:v>-68.985530999999995</x:v>
      </x:c>
      <x:c r="AG777">
        <x:f>-16.019297</x:f>
        <x:v>-16.019297000000002</x:v>
      </x:c>
    </x:row>
    <x:row r="778" spans="1:33" x14ac:dyDescent="0.25">
      <x:c r="A778" t="str">
        <x:f>"            Global X FinTech ETF"</x:f>
        <x:v xml:space="preserve">            Global X FinTech ETF</x:v>
      </x:c>
      <x:c r="B778" t="str">
        <x:f>"FINX US Equity"</x:f>
        <x:v>FINX US Equity</x:v>
      </x:c>
      <x:c r="E778" t="str">
        <x:f t="shared" ref="E778:E790" si="30">"Expression"</x:f>
        <x:v>Expression</x:v>
      </x:c>
      <x:c r="F778">
        <x:f ca="1">IF(AND($B$1012=1,LEN($F$1763)&gt;0),$F$1763,HLOOKUP(INDIRECT(ADDRESS(2,COLUMN())),OFFSET($T$2,0,0,ROW()-1,14),ROW()-1,FALSE))</x:f>
        <x:v>-7.1172000000000004</x:v>
      </x:c>
      <x:c r="G778">
        <x:f ca="1">IF(AND($B$1012=1,LEN($G$1763)&gt;0),$G$1763,HLOOKUP(INDIRECT(ADDRESS(2,COLUMN())),OFFSET($T$2,0,0,ROW()-1,14),ROW()-1,FALSE))</x:f>
        <x:v>-8.4305000000000003</x:v>
      </x:c>
      <x:c r="H778">
        <x:f ca="1">IF(AND($B$1012=1,LEN($H$1763)&gt;0),$H$1763,HLOOKUP(INDIRECT(ADDRESS(2,COLUMN())),OFFSET($T$2,0,0,ROW()-1,14),ROW()-1,FALSE))</x:f>
        <x:v>-9.6288</x:v>
      </x:c>
      <x:c r="I778">
        <x:f ca="1">IF(AND($B$1012=1,LEN($I$1763)&gt;0),$I$1763,HLOOKUP(INDIRECT(ADDRESS(2,COLUMN())),OFFSET($T$2,0,0,ROW()-1,14),ROW()-1,FALSE))</x:f>
        <x:v>-19.696200000000001</x:v>
      </x:c>
      <x:c r="J778">
        <x:f ca="1">IF(AND($B$1012=1,LEN($J$1763)&gt;0),$J$1763,HLOOKUP(INDIRECT(ADDRESS(2,COLUMN())),OFFSET($T$2,0,0,ROW()-1,14),ROW()-1,FALSE))</x:f>
        <x:v>3.7073999999999998</x:v>
      </x:c>
      <x:c r="K778">
        <x:f ca="1">IF(AND($B$1012=1,LEN($K$1763)&gt;0),$K$1763,HLOOKUP(INDIRECT(ADDRESS(2,COLUMN())),OFFSET($T$2,0,0,ROW()-1,14),ROW()-1,FALSE))</x:f>
        <x:v>-9.57</x:v>
      </x:c>
      <x:c r="L778">
        <x:f ca="1">IF(AND($B$1012=1,LEN($L$1763)&gt;0),$L$1763,HLOOKUP(INDIRECT(ADDRESS(2,COLUMN())),OFFSET($T$2,0,0,ROW()-1,14),ROW()-1,FALSE))</x:f>
        <x:v>-22.706900000000001</x:v>
      </x:c>
      <x:c r="M778">
        <x:f ca="1">IF(AND($B$1012=1,LEN($M$1763)&gt;0),$M$1763,HLOOKUP(INDIRECT(ADDRESS(2,COLUMN())),OFFSET($T$2,0,0,ROW()-1,14),ROW()-1,FALSE))</x:f>
        <x:v>-1.6175999999999999</x:v>
      </x:c>
      <x:c r="N778">
        <x:f ca="1">IF(AND($B$1012=1,LEN($N$1763)&gt;0),$N$1763,HLOOKUP(INDIRECT(ADDRESS(2,COLUMN())),OFFSET($T$2,0,0,ROW()-1,14),ROW()-1,FALSE))</x:f>
        <x:v>-7.9669999999999996</x:v>
      </x:c>
      <x:c r="O778">
        <x:f ca="1">IF(AND($B$1012=1,LEN($O$1763)&gt;0),$O$1763,HLOOKUP(INDIRECT(ADDRESS(2,COLUMN())),OFFSET($T$2,0,0,ROW()-1,14),ROW()-1,FALSE))</x:f>
        <x:v>-6.2446000000000002</x:v>
      </x:c>
      <x:c r="P778">
        <x:f ca="1">IF(AND($B$1012=1,LEN($P$1763)&gt;0),$P$1763,HLOOKUP(INDIRECT(ADDRESS(2,COLUMN())),OFFSET($T$2,0,0,ROW()-1,14),ROW()-1,FALSE))</x:f>
        <x:v>-22.330100000000002</x:v>
      </x:c>
      <x:c r="Q778">
        <x:f ca="1">IF(AND($B$1012=1,LEN($Q$1763)&gt;0),$Q$1763,HLOOKUP(INDIRECT(ADDRESS(2,COLUMN())),OFFSET($T$2,0,0,ROW()-1,14),ROW()-1,FALSE))</x:f>
        <x:v>-23.942499999999999</x:v>
      </x:c>
      <x:c r="R778">
        <x:f ca="1">IF(AND($B$1012=1,LEN($R$1763)&gt;0),$R$1763,HLOOKUP(INDIRECT(ADDRESS(2,COLUMN())),OFFSET($T$2,0,0,ROW()-1,14),ROW()-1,FALSE))</x:f>
        <x:v>-42.003799999999998</x:v>
      </x:c>
      <x:c r="S778">
        <x:f ca="1">IF(AND($B$1012=1,LEN($S$1763)&gt;0),$S$1763,HLOOKUP(INDIRECT(ADDRESS(2,COLUMN())),OFFSET($T$2,0,0,ROW()-1,14),ROW()-1,FALSE))</x:f>
        <x:v>-3.0794999999999999</x:v>
      </x:c>
      <x:c r="T778">
        <x:f>-7.1172</x:f>
        <x:v>-7.1172000000000004</x:v>
      </x:c>
      <x:c r="U778">
        <x:f>-8.4305</x:f>
        <x:v>-8.4305000000000003</x:v>
      </x:c>
      <x:c r="V778">
        <x:f>-9.6288</x:f>
        <x:v>-9.6288</x:v>
      </x:c>
      <x:c r="W778">
        <x:f>-19.6962</x:f>
        <x:v>-19.696200000000001</x:v>
      </x:c>
      <x:c r="X778">
        <x:f>3.7074</x:f>
        <x:v>3.7073999999999998</x:v>
      </x:c>
      <x:c r="Y778">
        <x:f>-9.57</x:f>
        <x:v>-9.57</x:v>
      </x:c>
      <x:c r="Z778">
        <x:f>-22.7069</x:f>
        <x:v>-22.706900000000001</x:v>
      </x:c>
      <x:c r="AA778">
        <x:f>-1.6176</x:f>
        <x:v>-1.6175999999999999</x:v>
      </x:c>
      <x:c r="AB778">
        <x:f>-7.967</x:f>
        <x:v>-7.9669999999999996</x:v>
      </x:c>
      <x:c r="AC778">
        <x:f>-6.2446</x:f>
        <x:v>-6.2446000000000002</x:v>
      </x:c>
      <x:c r="AD778">
        <x:f>-22.3301</x:f>
        <x:v>-22.330100000000002</x:v>
      </x:c>
      <x:c r="AE778">
        <x:f>-23.9425</x:f>
        <x:v>-23.942499999999999</x:v>
      </x:c>
      <x:c r="AF778">
        <x:f>-42.0038</x:f>
        <x:v>-42.003799999999998</x:v>
      </x:c>
      <x:c r="AG778">
        <x:f>-3.0795</x:f>
        <x:v>-3.0794999999999999</x:v>
      </x:c>
    </x:row>
    <x:row r="779" spans="1:33" x14ac:dyDescent="0.25">
      <x:c r="A779" t="str">
        <x:f>"            PureFunds Solactive FinTech ET"</x:f>
        <x:v xml:space="preserve">            PureFunds Solactive FinTech ET</x:v>
      </x:c>
      <x:c r="B779" t="str">
        <x:f>"FINQ US Equity"</x:f>
        <x:v>FINQ US Equity</x:v>
      </x:c>
      <x:c r="E779" t="str">
        <x:f t="shared" si="30"/>
        <x:v>Expression</x:v>
      </x:c>
      <x:c r="F779" t="str">
        <x:f ca="1">IF(AND($B$1012=1,LEN($F$1764)&gt;0),$F$1764,HLOOKUP(INDIRECT(ADDRESS(2,COLUMN())),OFFSET($T$2,0,0,ROW()-1,14),ROW()-1,FALSE))</x:f>
        <x:v/>
      </x:c>
      <x:c r="G779" t="str">
        <x:f ca="1">IF(AND($B$1012=1,LEN($G$1764)&gt;0),$G$1764,HLOOKUP(INDIRECT(ADDRESS(2,COLUMN())),OFFSET($T$2,0,0,ROW()-1,14),ROW()-1,FALSE))</x:f>
        <x:v/>
      </x:c>
      <x:c r="H779" t="str">
        <x:f ca="1">IF(AND($B$1012=1,LEN($H$1764)&gt;0),$H$1764,HLOOKUP(INDIRECT(ADDRESS(2,COLUMN())),OFFSET($T$2,0,0,ROW()-1,14),ROW()-1,FALSE))</x:f>
        <x:v/>
      </x:c>
      <x:c r="I779" t="str">
        <x:f ca="1">IF(AND($B$1012=1,LEN($I$1764)&gt;0),$I$1764,HLOOKUP(INDIRECT(ADDRESS(2,COLUMN())),OFFSET($T$2,0,0,ROW()-1,14),ROW()-1,FALSE))</x:f>
        <x:v/>
      </x:c>
      <x:c r="J779" t="str">
        <x:f ca="1">IF(AND($B$1012=1,LEN($J$1764)&gt;0),$J$1764,HLOOKUP(INDIRECT(ADDRESS(2,COLUMN())),OFFSET($T$2,0,0,ROW()-1,14),ROW()-1,FALSE))</x:f>
        <x:v/>
      </x:c>
      <x:c r="K779" t="str">
        <x:f ca="1">IF(AND($B$1012=1,LEN($K$1764)&gt;0),$K$1764,HLOOKUP(INDIRECT(ADDRESS(2,COLUMN())),OFFSET($T$2,0,0,ROW()-1,14),ROW()-1,FALSE))</x:f>
        <x:v/>
      </x:c>
      <x:c r="L779" t="str">
        <x:f ca="1">IF(AND($B$1012=1,LEN($L$1764)&gt;0),$L$1764,HLOOKUP(INDIRECT(ADDRESS(2,COLUMN())),OFFSET($T$2,0,0,ROW()-1,14),ROW()-1,FALSE))</x:f>
        <x:v/>
      </x:c>
      <x:c r="M779" t="str">
        <x:f ca="1">IF(AND($B$1012=1,LEN($M$1764)&gt;0),$M$1764,HLOOKUP(INDIRECT(ADDRESS(2,COLUMN())),OFFSET($T$2,0,0,ROW()-1,14),ROW()-1,FALSE))</x:f>
        <x:v/>
      </x:c>
      <x:c r="N779" t="str">
        <x:f ca="1">IF(AND($B$1012=1,LEN($N$1764)&gt;0),$N$1764,HLOOKUP(INDIRECT(ADDRESS(2,COLUMN())),OFFSET($T$2,0,0,ROW()-1,14),ROW()-1,FALSE))</x:f>
        <x:v/>
      </x:c>
      <x:c r="O779" t="str">
        <x:f ca="1">IF(AND($B$1012=1,LEN($O$1764)&gt;0),$O$1764,HLOOKUP(INDIRECT(ADDRESS(2,COLUMN())),OFFSET($T$2,0,0,ROW()-1,14),ROW()-1,FALSE))</x:f>
        <x:v/>
      </x:c>
      <x:c r="P779" t="str">
        <x:f ca="1">IF(AND($B$1012=1,LEN($P$1764)&gt;0),$P$1764,HLOOKUP(INDIRECT(ADDRESS(2,COLUMN())),OFFSET($T$2,0,0,ROW()-1,14),ROW()-1,FALSE))</x:f>
        <x:v/>
      </x:c>
      <x:c r="Q779" t="str">
        <x:f ca="1">IF(AND($B$1012=1,LEN($Q$1764)&gt;0),$Q$1764,HLOOKUP(INDIRECT(ADDRESS(2,COLUMN())),OFFSET($T$2,0,0,ROW()-1,14),ROW()-1,FALSE))</x:f>
        <x:v/>
      </x:c>
      <x:c r="R779" t="str">
        <x:f ca="1">IF(AND($B$1012=1,LEN($R$1764)&gt;0),$R$1764,HLOOKUP(INDIRECT(ADDRESS(2,COLUMN())),OFFSET($T$2,0,0,ROW()-1,14),ROW()-1,FALSE))</x:f>
        <x:v/>
      </x:c>
      <x:c r="S779" t="str">
        <x:f ca="1">IF(AND($B$1012=1,LEN($S$1764)&gt;0),$S$1764,HLOOKUP(INDIRECT(ADDRESS(2,COLUMN())),OFFSET($T$2,0,0,ROW()-1,14),ROW()-1,FALSE))</x:f>
        <x:v/>
      </x:c>
      <x:c r="T779" t="str">
        <x:f>""</x:f>
        <x:v/>
      </x:c>
      <x:c r="U779" t="str">
        <x:f>""</x:f>
        <x:v/>
      </x:c>
      <x:c r="V779" t="str">
        <x:f>""</x:f>
        <x:v/>
      </x:c>
      <x:c r="W779" t="str">
        <x:f>""</x:f>
        <x:v/>
      </x:c>
      <x:c r="X779" t="str">
        <x:f>""</x:f>
        <x:v/>
      </x:c>
      <x:c r="Y779" t="str">
        <x:f>""</x:f>
        <x:v/>
      </x:c>
      <x:c r="Z779" t="str">
        <x:f>""</x:f>
        <x:v/>
      </x:c>
      <x:c r="AA779" t="str">
        <x:f>""</x:f>
        <x:v/>
      </x:c>
      <x:c r="AB779" t="str">
        <x:f>""</x:f>
        <x:v/>
      </x:c>
      <x:c r="AC779" t="str">
        <x:f>""</x:f>
        <x:v/>
      </x:c>
      <x:c r="AD779" t="str">
        <x:f>""</x:f>
        <x:v/>
      </x:c>
      <x:c r="AE779" t="str">
        <x:f>""</x:f>
        <x:v/>
      </x:c>
      <x:c r="AF779" t="str">
        <x:f>""</x:f>
        <x:v/>
      </x:c>
      <x:c r="AG779" t="str">
        <x:f>""</x:f>
        <x:v/>
      </x:c>
    </x:row>
    <x:row r="780" spans="1:33" x14ac:dyDescent="0.25">
      <x:c r="A780" t="str">
        <x:f>"            ARK Fintech Innovation ETF"</x:f>
        <x:v xml:space="preserve">            ARK Fintech Innovation ETF</x:v>
      </x:c>
      <x:c r="B780" t="str">
        <x:f>"ARKF US Equity"</x:f>
        <x:v>ARKF US Equity</x:v>
      </x:c>
      <x:c r="E780" t="str">
        <x:f t="shared" si="30"/>
        <x:v>Expression</x:v>
      </x:c>
      <x:c r="F780">
        <x:f ca="1">IF(AND($B$1012=1,LEN($F$1765)&gt;0),$F$1765,HLOOKUP(INDIRECT(ADDRESS(2,COLUMN())),OFFSET($T$2,0,0,ROW()-1,14),ROW()-1,FALSE))</x:f>
        <x:v>-5.1728740000000002</x:v>
      </x:c>
      <x:c r="G780">
        <x:f ca="1">IF(AND($B$1012=1,LEN($G$1765)&gt;0),$G$1765,HLOOKUP(INDIRECT(ADDRESS(2,COLUMN())),OFFSET($T$2,0,0,ROW()-1,14),ROW()-1,FALSE))</x:f>
        <x:v>-23.946808999999998</x:v>
      </x:c>
      <x:c r="H780">
        <x:f ca="1">IF(AND($B$1012=1,LEN($H$1765)&gt;0),$H$1765,HLOOKUP(INDIRECT(ADDRESS(2,COLUMN())),OFFSET($T$2,0,0,ROW()-1,14),ROW()-1,FALSE))</x:f>
        <x:v>0</x:v>
      </x:c>
      <x:c r="I780">
        <x:f ca="1">IF(AND($B$1012=1,LEN($I$1765)&gt;0),$I$1765,HLOOKUP(INDIRECT(ADDRESS(2,COLUMN())),OFFSET($T$2,0,0,ROW()-1,14),ROW()-1,FALSE))</x:f>
        <x:v>-41.800120999999997</x:v>
      </x:c>
      <x:c r="J780">
        <x:f ca="1">IF(AND($B$1012=1,LEN($J$1765)&gt;0),$J$1765,HLOOKUP(INDIRECT(ADDRESS(2,COLUMN())),OFFSET($T$2,0,0,ROW()-1,14),ROW()-1,FALSE))</x:f>
        <x:v>14.954559</x:v>
      </x:c>
      <x:c r="K780">
        <x:f ca="1">IF(AND($B$1012=1,LEN($K$1765)&gt;0),$K$1765,HLOOKUP(INDIRECT(ADDRESS(2,COLUMN())),OFFSET($T$2,0,0,ROW()-1,14),ROW()-1,FALSE))</x:f>
        <x:v>-2.7835399999999999</x:v>
      </x:c>
      <x:c r="L780">
        <x:f ca="1">IF(AND($B$1012=1,LEN($L$1765)&gt;0),$L$1765,HLOOKUP(INDIRECT(ADDRESS(2,COLUMN())),OFFSET($T$2,0,0,ROW()-1,14),ROW()-1,FALSE))</x:f>
        <x:v>16.685495</x:v>
      </x:c>
      <x:c r="M780">
        <x:f ca="1">IF(AND($B$1012=1,LEN($M$1765)&gt;0),$M$1765,HLOOKUP(INDIRECT(ADDRESS(2,COLUMN())),OFFSET($T$2,0,0,ROW()-1,14),ROW()-1,FALSE))</x:f>
        <x:v>-12.364711</x:v>
      </x:c>
      <x:c r="N780">
        <x:f ca="1">IF(AND($B$1012=1,LEN($N$1765)&gt;0),$N$1765,HLOOKUP(INDIRECT(ADDRESS(2,COLUMN())),OFFSET($T$2,0,0,ROW()-1,14),ROW()-1,FALSE))</x:f>
        <x:v>-40.178714999999997</x:v>
      </x:c>
      <x:c r="O780">
        <x:f ca="1">IF(AND($B$1012=1,LEN($O$1765)&gt;0),$O$1765,HLOOKUP(INDIRECT(ADDRESS(2,COLUMN())),OFFSET($T$2,0,0,ROW()-1,14),ROW()-1,FALSE))</x:f>
        <x:v>0.98034200000000005</x:v>
      </x:c>
      <x:c r="P780">
        <x:f ca="1">IF(AND($B$1012=1,LEN($P$1765)&gt;0),$P$1765,HLOOKUP(INDIRECT(ADDRESS(2,COLUMN())),OFFSET($T$2,0,0,ROW()-1,14),ROW()-1,FALSE))</x:f>
        <x:v>14.405638</x:v>
      </x:c>
      <x:c r="Q780">
        <x:f ca="1">IF(AND($B$1012=1,LEN($Q$1765)&gt;0),$Q$1765,HLOOKUP(INDIRECT(ADDRESS(2,COLUMN())),OFFSET($T$2,0,0,ROW()-1,14),ROW()-1,FALSE))</x:f>
        <x:v>-29.025774999999999</x:v>
      </x:c>
      <x:c r="R780">
        <x:f ca="1">IF(AND($B$1012=1,LEN($R$1765)&gt;0),$R$1765,HLOOKUP(INDIRECT(ADDRESS(2,COLUMN())),OFFSET($T$2,0,0,ROW()-1,14),ROW()-1,FALSE))</x:f>
        <x:v>-14.948945999999999</x:v>
      </x:c>
      <x:c r="S780">
        <x:f ca="1">IF(AND($B$1012=1,LEN($S$1765)&gt;0),$S$1765,HLOOKUP(INDIRECT(ADDRESS(2,COLUMN())),OFFSET($T$2,0,0,ROW()-1,14),ROW()-1,FALSE))</x:f>
        <x:v>2.6864880000000002</x:v>
      </x:c>
      <x:c r="T780">
        <x:f>-5.172874</x:f>
        <x:v>-5.1728740000000002</x:v>
      </x:c>
      <x:c r="U780">
        <x:f>-23.946809</x:f>
        <x:v>-23.946808999999998</x:v>
      </x:c>
      <x:c r="V780">
        <x:f>0</x:f>
        <x:v>0</x:v>
      </x:c>
      <x:c r="W780">
        <x:f>-41.800121</x:f>
        <x:v>-41.800120999999997</x:v>
      </x:c>
      <x:c r="X780">
        <x:f>14.954559</x:f>
        <x:v>14.954559</x:v>
      </x:c>
      <x:c r="Y780">
        <x:f>-2.78354</x:f>
        <x:v>-2.7835399999999999</x:v>
      </x:c>
      <x:c r="Z780">
        <x:f>16.685495</x:f>
        <x:v>16.685495</x:v>
      </x:c>
      <x:c r="AA780">
        <x:f>-12.364711</x:f>
        <x:v>-12.364711</x:v>
      </x:c>
      <x:c r="AB780">
        <x:f>-40.178715</x:f>
        <x:v>-40.178714999999997</x:v>
      </x:c>
      <x:c r="AC780">
        <x:f>0.980342</x:f>
        <x:v>0.98034200000000005</x:v>
      </x:c>
      <x:c r="AD780">
        <x:f>14.405638</x:f>
        <x:v>14.405638</x:v>
      </x:c>
      <x:c r="AE780">
        <x:f>-29.025775</x:f>
        <x:v>-29.025774999999999</x:v>
      </x:c>
      <x:c r="AF780">
        <x:f>-14.948946</x:f>
        <x:v>-14.948945999999999</x:v>
      </x:c>
      <x:c r="AG780">
        <x:f>2.686488</x:f>
        <x:v>2.6864880000000002</x:v>
      </x:c>
    </x:row>
    <x:row r="781" spans="1:33" x14ac:dyDescent="0.25">
      <x:c r="A781" t="str">
        <x:f>"            ETFMG Prime Mobile Payments ET"</x:f>
        <x:v xml:space="preserve">            ETFMG Prime Mobile Payments ET</x:v>
      </x:c>
      <x:c r="B781" t="str">
        <x:f>"IPAY US Equity"</x:f>
        <x:v>IPAY US Equity</x:v>
      </x:c>
      <x:c r="E781" t="str">
        <x:f t="shared" si="30"/>
        <x:v>Expression</x:v>
      </x:c>
      <x:c r="F781">
        <x:f ca="1">IF(AND($B$1012=1,LEN($F$1766)&gt;0),$F$1766,HLOOKUP(INDIRECT(ADDRESS(2,COLUMN())),OFFSET($T$2,0,0,ROW()-1,14),ROW()-1,FALSE))</x:f>
        <x:v>-9.7493599999999994</x:v>
      </x:c>
      <x:c r="G781">
        <x:f ca="1">IF(AND($B$1012=1,LEN($G$1766)&gt;0),$G$1766,HLOOKUP(INDIRECT(ADDRESS(2,COLUMN())),OFFSET($T$2,0,0,ROW()-1,14),ROW()-1,FALSE))</x:f>
        <x:v>-25.022984999999998</x:v>
      </x:c>
      <x:c r="H781">
        <x:f ca="1">IF(AND($B$1012=1,LEN($H$1766)&gt;0),$H$1766,HLOOKUP(INDIRECT(ADDRESS(2,COLUMN())),OFFSET($T$2,0,0,ROW()-1,14),ROW()-1,FALSE))</x:f>
        <x:v>-16.553609999999999</x:v>
      </x:c>
      <x:c r="I781">
        <x:f ca="1">IF(AND($B$1012=1,LEN($I$1766)&gt;0),$I$1766,HLOOKUP(INDIRECT(ADDRESS(2,COLUMN())),OFFSET($T$2,0,0,ROW()-1,14),ROW()-1,FALSE))</x:f>
        <x:v>-6.1573950000000002</x:v>
      </x:c>
      <x:c r="J781">
        <x:f ca="1">IF(AND($B$1012=1,LEN($J$1766)&gt;0),$J$1766,HLOOKUP(INDIRECT(ADDRESS(2,COLUMN())),OFFSET($T$2,0,0,ROW()-1,14),ROW()-1,FALSE))</x:f>
        <x:v>-11.213229999999999</x:v>
      </x:c>
      <x:c r="K781">
        <x:f ca="1">IF(AND($B$1012=1,LEN($K$1766)&gt;0),$K$1766,HLOOKUP(INDIRECT(ADDRESS(2,COLUMN())),OFFSET($T$2,0,0,ROW()-1,14),ROW()-1,FALSE))</x:f>
        <x:v>-23.105815</x:v>
      </x:c>
      <x:c r="L781">
        <x:f ca="1">IF(AND($B$1012=1,LEN($L$1766)&gt;0),$L$1766,HLOOKUP(INDIRECT(ADDRESS(2,COLUMN())),OFFSET($T$2,0,0,ROW()-1,14),ROW()-1,FALSE))</x:f>
        <x:v>-16.416055</x:v>
      </x:c>
      <x:c r="M781">
        <x:f ca="1">IF(AND($B$1012=1,LEN($M$1766)&gt;0),$M$1766,HLOOKUP(INDIRECT(ADDRESS(2,COLUMN())),OFFSET($T$2,0,0,ROW()-1,14),ROW()-1,FALSE))</x:f>
        <x:v>-6.2293700000000003</x:v>
      </x:c>
      <x:c r="N781">
        <x:f ca="1">IF(AND($B$1012=1,LEN($N$1766)&gt;0),$N$1766,HLOOKUP(INDIRECT(ADDRESS(2,COLUMN())),OFFSET($T$2,0,0,ROW()-1,14),ROW()-1,FALSE))</x:f>
        <x:v>-14.672314999999999</x:v>
      </x:c>
      <x:c r="O781">
        <x:f ca="1">IF(AND($B$1012=1,LEN($O$1766)&gt;0),$O$1766,HLOOKUP(INDIRECT(ADDRESS(2,COLUMN())),OFFSET($T$2,0,0,ROW()-1,14),ROW()-1,FALSE))</x:f>
        <x:v>-13.285769999999999</x:v>
      </x:c>
      <x:c r="P781">
        <x:f ca="1">IF(AND($B$1012=1,LEN($P$1766)&gt;0),$P$1766,HLOOKUP(INDIRECT(ADDRESS(2,COLUMN())),OFFSET($T$2,0,0,ROW()-1,14),ROW()-1,FALSE))</x:f>
        <x:v>-31.585094999999999</x:v>
      </x:c>
      <x:c r="Q781">
        <x:f ca="1">IF(AND($B$1012=1,LEN($Q$1766)&gt;0),$Q$1766,HLOOKUP(INDIRECT(ADDRESS(2,COLUMN())),OFFSET($T$2,0,0,ROW()-1,14),ROW()-1,FALSE))</x:f>
        <x:v>-11.942270000000001</x:v>
      </x:c>
      <x:c r="R781">
        <x:f ca="1">IF(AND($B$1012=1,LEN($R$1766)&gt;0),$R$1766,HLOOKUP(INDIRECT(ADDRESS(2,COLUMN())),OFFSET($T$2,0,0,ROW()-1,14),ROW()-1,FALSE))</x:f>
        <x:v>-12.032785000000001</x:v>
      </x:c>
      <x:c r="S781">
        <x:f ca="1">IF(AND($B$1012=1,LEN($S$1766)&gt;0),$S$1766,HLOOKUP(INDIRECT(ADDRESS(2,COLUMN())),OFFSET($T$2,0,0,ROW()-1,14),ROW()-1,FALSE))</x:f>
        <x:v>-15.626284999999999</x:v>
      </x:c>
      <x:c r="T781">
        <x:f>-9.74936</x:f>
        <x:v>-9.7493599999999994</x:v>
      </x:c>
      <x:c r="U781">
        <x:f>-25.022985</x:f>
        <x:v>-25.022984999999998</x:v>
      </x:c>
      <x:c r="V781">
        <x:f>-16.55361</x:f>
        <x:v>-16.553609999999999</x:v>
      </x:c>
      <x:c r="W781">
        <x:f>-6.157395</x:f>
        <x:v>-6.1573950000000002</x:v>
      </x:c>
      <x:c r="X781">
        <x:f>-11.21323</x:f>
        <x:v>-11.213229999999999</x:v>
      </x:c>
      <x:c r="Y781">
        <x:f>-23.105815</x:f>
        <x:v>-23.105815</x:v>
      </x:c>
      <x:c r="Z781">
        <x:f>-16.416055</x:f>
        <x:v>-16.416055</x:v>
      </x:c>
      <x:c r="AA781">
        <x:f>-6.22937</x:f>
        <x:v>-6.2293700000000003</x:v>
      </x:c>
      <x:c r="AB781">
        <x:f>-14.672315</x:f>
        <x:v>-14.672314999999999</x:v>
      </x:c>
      <x:c r="AC781">
        <x:f>-13.28577</x:f>
        <x:v>-13.285769999999999</x:v>
      </x:c>
      <x:c r="AD781">
        <x:f>-31.585095</x:f>
        <x:v>-31.585094999999999</x:v>
      </x:c>
      <x:c r="AE781">
        <x:f>-11.94227</x:f>
        <x:v>-11.942270000000001</x:v>
      </x:c>
      <x:c r="AF781">
        <x:f>-12.032785</x:f>
        <x:v>-12.032785000000001</x:v>
      </x:c>
      <x:c r="AG781">
        <x:f>-15.626285</x:f>
        <x:v>-15.626284999999999</x:v>
      </x:c>
    </x:row>
    <x:row r="782" spans="1:33" x14ac:dyDescent="0.25">
      <x:c r="A782" t="str">
        <x:f>"            Ecofin Digital Payments Infras"</x:f>
        <x:v xml:space="preserve">            Ecofin Digital Payments Infras</x:v>
      </x:c>
      <x:c r="B782" t="str">
        <x:f>"TPAY US Equity"</x:f>
        <x:v>TPAY US Equity</x:v>
      </x:c>
      <x:c r="E782" t="str">
        <x:f t="shared" si="30"/>
        <x:v>Expression</x:v>
      </x:c>
      <x:c r="F782" t="str">
        <x:f ca="1">IF(AND($B$1012=1,LEN($F$1767)&gt;0),$F$1767,HLOOKUP(INDIRECT(ADDRESS(2,COLUMN())),OFFSET($T$2,0,0,ROW()-1,14),ROW()-1,FALSE))</x:f>
        <x:v/>
      </x:c>
      <x:c r="G782" t="str">
        <x:f ca="1">IF(AND($B$1012=1,LEN($G$1767)&gt;0),$G$1767,HLOOKUP(INDIRECT(ADDRESS(2,COLUMN())),OFFSET($T$2,0,0,ROW()-1,14),ROW()-1,FALSE))</x:f>
        <x:v/>
      </x:c>
      <x:c r="H782" t="str">
        <x:f ca="1">IF(AND($B$1012=1,LEN($H$1767)&gt;0),$H$1767,HLOOKUP(INDIRECT(ADDRESS(2,COLUMN())),OFFSET($T$2,0,0,ROW()-1,14),ROW()-1,FALSE))</x:f>
        <x:v/>
      </x:c>
      <x:c r="I782" t="str">
        <x:f ca="1">IF(AND($B$1012=1,LEN($I$1767)&gt;0),$I$1767,HLOOKUP(INDIRECT(ADDRESS(2,COLUMN())),OFFSET($T$2,0,0,ROW()-1,14),ROW()-1,FALSE))</x:f>
        <x:v/>
      </x:c>
      <x:c r="J782" t="str">
        <x:f ca="1">IF(AND($B$1012=1,LEN($J$1767)&gt;0),$J$1767,HLOOKUP(INDIRECT(ADDRESS(2,COLUMN())),OFFSET($T$2,0,0,ROW()-1,14),ROW()-1,FALSE))</x:f>
        <x:v/>
      </x:c>
      <x:c r="K782" t="str">
        <x:f ca="1">IF(AND($B$1012=1,LEN($K$1767)&gt;0),$K$1767,HLOOKUP(INDIRECT(ADDRESS(2,COLUMN())),OFFSET($T$2,0,0,ROW()-1,14),ROW()-1,FALSE))</x:f>
        <x:v/>
      </x:c>
      <x:c r="L782" t="str">
        <x:f ca="1">IF(AND($B$1012=1,LEN($L$1767)&gt;0),$L$1767,HLOOKUP(INDIRECT(ADDRESS(2,COLUMN())),OFFSET($T$2,0,0,ROW()-1,14),ROW()-1,FALSE))</x:f>
        <x:v/>
      </x:c>
      <x:c r="M782" t="str">
        <x:f ca="1">IF(AND($B$1012=1,LEN($M$1767)&gt;0),$M$1767,HLOOKUP(INDIRECT(ADDRESS(2,COLUMN())),OFFSET($T$2,0,0,ROW()-1,14),ROW()-1,FALSE))</x:f>
        <x:v/>
      </x:c>
      <x:c r="N782" t="str">
        <x:f ca="1">IF(AND($B$1012=1,LEN($N$1767)&gt;0),$N$1767,HLOOKUP(INDIRECT(ADDRESS(2,COLUMN())),OFFSET($T$2,0,0,ROW()-1,14),ROW()-1,FALSE))</x:f>
        <x:v/>
      </x:c>
      <x:c r="O782" t="str">
        <x:f ca="1">IF(AND($B$1012=1,LEN($O$1767)&gt;0),$O$1767,HLOOKUP(INDIRECT(ADDRESS(2,COLUMN())),OFFSET($T$2,0,0,ROW()-1,14),ROW()-1,FALSE))</x:f>
        <x:v/>
      </x:c>
      <x:c r="P782" t="str">
        <x:f ca="1">IF(AND($B$1012=1,LEN($P$1767)&gt;0),$P$1767,HLOOKUP(INDIRECT(ADDRESS(2,COLUMN())),OFFSET($T$2,0,0,ROW()-1,14),ROW()-1,FALSE))</x:f>
        <x:v/>
      </x:c>
      <x:c r="Q782" t="str">
        <x:f ca="1">IF(AND($B$1012=1,LEN($Q$1767)&gt;0),$Q$1767,HLOOKUP(INDIRECT(ADDRESS(2,COLUMN())),OFFSET($T$2,0,0,ROW()-1,14),ROW()-1,FALSE))</x:f>
        <x:v/>
      </x:c>
      <x:c r="R782">
        <x:f ca="1">IF(AND($B$1012=1,LEN($R$1767)&gt;0),$R$1767,HLOOKUP(INDIRECT(ADDRESS(2,COLUMN())),OFFSET($T$2,0,0,ROW()-1,14),ROW()-1,FALSE))</x:f>
        <x:v>0</x:v>
      </x:c>
      <x:c r="S782">
        <x:f ca="1">IF(AND($B$1012=1,LEN($S$1767)&gt;0),$S$1767,HLOOKUP(INDIRECT(ADDRESS(2,COLUMN())),OFFSET($T$2,0,0,ROW()-1,14),ROW()-1,FALSE))</x:f>
        <x:v>0</x:v>
      </x:c>
      <x:c r="T782" t="str">
        <x:f>""</x:f>
        <x:v/>
      </x:c>
      <x:c r="U782" t="str">
        <x:f>""</x:f>
        <x:v/>
      </x:c>
      <x:c r="V782" t="str">
        <x:f>""</x:f>
        <x:v/>
      </x:c>
      <x:c r="W782" t="str">
        <x:f>""</x:f>
        <x:v/>
      </x:c>
      <x:c r="X782" t="str">
        <x:f>""</x:f>
        <x:v/>
      </x:c>
      <x:c r="Y782" t="str">
        <x:f>""</x:f>
        <x:v/>
      </x:c>
      <x:c r="Z782" t="str">
        <x:f>""</x:f>
        <x:v/>
      </x:c>
      <x:c r="AA782" t="str">
        <x:f>""</x:f>
        <x:v/>
      </x:c>
      <x:c r="AB782" t="str">
        <x:f>""</x:f>
        <x:v/>
      </x:c>
      <x:c r="AC782" t="str">
        <x:f>""</x:f>
        <x:v/>
      </x:c>
      <x:c r="AD782" t="str">
        <x:f>""</x:f>
        <x:v/>
      </x:c>
      <x:c r="AE782" t="str">
        <x:f>""</x:f>
        <x:v/>
      </x:c>
      <x:c r="AF782">
        <x:f>0</x:f>
        <x:v>0</x:v>
      </x:c>
      <x:c r="AG782">
        <x:f>0</x:f>
        <x:v>0</x:v>
      </x:c>
    </x:row>
    <x:row r="783" spans="1:33" x14ac:dyDescent="0.25">
      <x:c r="A783" t="str">
        <x:f>"            UP Fintech China-US Internet T"</x:f>
        <x:v xml:space="preserve">            UP Fintech China-US Internet T</x:v>
      </x:c>
      <x:c r="B783" t="str">
        <x:f>"TTTN US Equity"</x:f>
        <x:v>TTTN US Equity</x:v>
      </x:c>
      <x:c r="E783" t="str">
        <x:f t="shared" si="30"/>
        <x:v>Expression</x:v>
      </x:c>
      <x:c r="F783" t="str">
        <x:f ca="1">IF(AND($B$1012=1,LEN($F$1768)&gt;0),$F$1768,HLOOKUP(INDIRECT(ADDRESS(2,COLUMN())),OFFSET($T$2,0,0,ROW()-1,14),ROW()-1,FALSE))</x:f>
        <x:v/>
      </x:c>
      <x:c r="G783" t="str">
        <x:f ca="1">IF(AND($B$1012=1,LEN($G$1768)&gt;0),$G$1768,HLOOKUP(INDIRECT(ADDRESS(2,COLUMN())),OFFSET($T$2,0,0,ROW()-1,14),ROW()-1,FALSE))</x:f>
        <x:v/>
      </x:c>
      <x:c r="H783" t="str">
        <x:f ca="1">IF(AND($B$1012=1,LEN($H$1768)&gt;0),$H$1768,HLOOKUP(INDIRECT(ADDRESS(2,COLUMN())),OFFSET($T$2,0,0,ROW()-1,14),ROW()-1,FALSE))</x:f>
        <x:v/>
      </x:c>
      <x:c r="I783" t="str">
        <x:f ca="1">IF(AND($B$1012=1,LEN($I$1768)&gt;0),$I$1768,HLOOKUP(INDIRECT(ADDRESS(2,COLUMN())),OFFSET($T$2,0,0,ROW()-1,14),ROW()-1,FALSE))</x:f>
        <x:v/>
      </x:c>
      <x:c r="J783" t="str">
        <x:f ca="1">IF(AND($B$1012=1,LEN($J$1768)&gt;0),$J$1768,HLOOKUP(INDIRECT(ADDRESS(2,COLUMN())),OFFSET($T$2,0,0,ROW()-1,14),ROW()-1,FALSE))</x:f>
        <x:v/>
      </x:c>
      <x:c r="K783" t="str">
        <x:f ca="1">IF(AND($B$1012=1,LEN($K$1768)&gt;0),$K$1768,HLOOKUP(INDIRECT(ADDRESS(2,COLUMN())),OFFSET($T$2,0,0,ROW()-1,14),ROW()-1,FALSE))</x:f>
        <x:v/>
      </x:c>
      <x:c r="L783" t="str">
        <x:f ca="1">IF(AND($B$1012=1,LEN($L$1768)&gt;0),$L$1768,HLOOKUP(INDIRECT(ADDRESS(2,COLUMN())),OFFSET($T$2,0,0,ROW()-1,14),ROW()-1,FALSE))</x:f>
        <x:v/>
      </x:c>
      <x:c r="M783" t="str">
        <x:f ca="1">IF(AND($B$1012=1,LEN($M$1768)&gt;0),$M$1768,HLOOKUP(INDIRECT(ADDRESS(2,COLUMN())),OFFSET($T$2,0,0,ROW()-1,14),ROW()-1,FALSE))</x:f>
        <x:v/>
      </x:c>
      <x:c r="N783" t="str">
        <x:f ca="1">IF(AND($B$1012=1,LEN($N$1768)&gt;0),$N$1768,HLOOKUP(INDIRECT(ADDRESS(2,COLUMN())),OFFSET($T$2,0,0,ROW()-1,14),ROW()-1,FALSE))</x:f>
        <x:v/>
      </x:c>
      <x:c r="O783" t="str">
        <x:f ca="1">IF(AND($B$1012=1,LEN($O$1768)&gt;0),$O$1768,HLOOKUP(INDIRECT(ADDRESS(2,COLUMN())),OFFSET($T$2,0,0,ROW()-1,14),ROW()-1,FALSE))</x:f>
        <x:v/>
      </x:c>
      <x:c r="P783" t="str">
        <x:f ca="1">IF(AND($B$1012=1,LEN($P$1768)&gt;0),$P$1768,HLOOKUP(INDIRECT(ADDRESS(2,COLUMN())),OFFSET($T$2,0,0,ROW()-1,14),ROW()-1,FALSE))</x:f>
        <x:v/>
      </x:c>
      <x:c r="Q783" t="str">
        <x:f ca="1">IF(AND($B$1012=1,LEN($Q$1768)&gt;0),$Q$1768,HLOOKUP(INDIRECT(ADDRESS(2,COLUMN())),OFFSET($T$2,0,0,ROW()-1,14),ROW()-1,FALSE))</x:f>
        <x:v/>
      </x:c>
      <x:c r="R783" t="str">
        <x:f ca="1">IF(AND($B$1012=1,LEN($R$1768)&gt;0),$R$1768,HLOOKUP(INDIRECT(ADDRESS(2,COLUMN())),OFFSET($T$2,0,0,ROW()-1,14),ROW()-1,FALSE))</x:f>
        <x:v/>
      </x:c>
      <x:c r="S783" t="str">
        <x:f ca="1">IF(AND($B$1012=1,LEN($S$1768)&gt;0),$S$1768,HLOOKUP(INDIRECT(ADDRESS(2,COLUMN())),OFFSET($T$2,0,0,ROW()-1,14),ROW()-1,FALSE))</x:f>
        <x:v/>
      </x:c>
      <x:c r="T783" t="str">
        <x:f>""</x:f>
        <x:v/>
      </x:c>
      <x:c r="U783" t="str">
        <x:f>""</x:f>
        <x:v/>
      </x:c>
      <x:c r="V783" t="str">
        <x:f>""</x:f>
        <x:v/>
      </x:c>
      <x:c r="W783" t="str">
        <x:f>""</x:f>
        <x:v/>
      </x:c>
      <x:c r="X783" t="str">
        <x:f>""</x:f>
        <x:v/>
      </x:c>
      <x:c r="Y783" t="str">
        <x:f>""</x:f>
        <x:v/>
      </x:c>
      <x:c r="Z783" t="str">
        <x:f>""</x:f>
        <x:v/>
      </x:c>
      <x:c r="AA783" t="str">
        <x:f>""</x:f>
        <x:v/>
      </x:c>
      <x:c r="AB783" t="str">
        <x:f>""</x:f>
        <x:v/>
      </x:c>
      <x:c r="AC783" t="str">
        <x:f>""</x:f>
        <x:v/>
      </x:c>
      <x:c r="AD783" t="str">
        <x:f>""</x:f>
        <x:v/>
      </x:c>
      <x:c r="AE783" t="str">
        <x:f>""</x:f>
        <x:v/>
      </x:c>
      <x:c r="AF783" t="str">
        <x:f>""</x:f>
        <x:v/>
      </x:c>
      <x:c r="AG783" t="str">
        <x:f>""</x:f>
        <x:v/>
      </x:c>
    </x:row>
    <x:row r="784" spans="1:33" x14ac:dyDescent="0.25">
      <x:c r="A784" t="str">
        <x:f>"            Amplify CrowdBureau Online Len"</x:f>
        <x:v xml:space="preserve">            Amplify CrowdBureau Online Len</x:v>
      </x:c>
      <x:c r="B784" t="str">
        <x:f>"LEND US Equity"</x:f>
        <x:v>LEND US Equity</x:v>
      </x:c>
      <x:c r="E784" t="str">
        <x:f t="shared" si="30"/>
        <x:v>Expression</x:v>
      </x:c>
      <x:c r="F784" t="str">
        <x:f ca="1">IF(AND($B$1012=1,LEN($F$1769)&gt;0),$F$1769,HLOOKUP(INDIRECT(ADDRESS(2,COLUMN())),OFFSET($T$2,0,0,ROW()-1,14),ROW()-1,FALSE))</x:f>
        <x:v/>
      </x:c>
      <x:c r="G784" t="str">
        <x:f ca="1">IF(AND($B$1012=1,LEN($G$1769)&gt;0),$G$1769,HLOOKUP(INDIRECT(ADDRESS(2,COLUMN())),OFFSET($T$2,0,0,ROW()-1,14),ROW()-1,FALSE))</x:f>
        <x:v/>
      </x:c>
      <x:c r="H784" t="str">
        <x:f ca="1">IF(AND($B$1012=1,LEN($H$1769)&gt;0),$H$1769,HLOOKUP(INDIRECT(ADDRESS(2,COLUMN())),OFFSET($T$2,0,0,ROW()-1,14),ROW()-1,FALSE))</x:f>
        <x:v/>
      </x:c>
      <x:c r="I784" t="str">
        <x:f ca="1">IF(AND($B$1012=1,LEN($I$1769)&gt;0),$I$1769,HLOOKUP(INDIRECT(ADDRESS(2,COLUMN())),OFFSET($T$2,0,0,ROW()-1,14),ROW()-1,FALSE))</x:f>
        <x:v/>
      </x:c>
      <x:c r="J784" t="str">
        <x:f ca="1">IF(AND($B$1012=1,LEN($J$1769)&gt;0),$J$1769,HLOOKUP(INDIRECT(ADDRESS(2,COLUMN())),OFFSET($T$2,0,0,ROW()-1,14),ROW()-1,FALSE))</x:f>
        <x:v/>
      </x:c>
      <x:c r="K784" t="str">
        <x:f ca="1">IF(AND($B$1012=1,LEN($K$1769)&gt;0),$K$1769,HLOOKUP(INDIRECT(ADDRESS(2,COLUMN())),OFFSET($T$2,0,0,ROW()-1,14),ROW()-1,FALSE))</x:f>
        <x:v/>
      </x:c>
      <x:c r="L784" t="str">
        <x:f ca="1">IF(AND($B$1012=1,LEN($L$1769)&gt;0),$L$1769,HLOOKUP(INDIRECT(ADDRESS(2,COLUMN())),OFFSET($T$2,0,0,ROW()-1,14),ROW()-1,FALSE))</x:f>
        <x:v/>
      </x:c>
      <x:c r="M784" t="str">
        <x:f ca="1">IF(AND($B$1012=1,LEN($M$1769)&gt;0),$M$1769,HLOOKUP(INDIRECT(ADDRESS(2,COLUMN())),OFFSET($T$2,0,0,ROW()-1,14),ROW()-1,FALSE))</x:f>
        <x:v/>
      </x:c>
      <x:c r="N784" t="str">
        <x:f ca="1">IF(AND($B$1012=1,LEN($N$1769)&gt;0),$N$1769,HLOOKUP(INDIRECT(ADDRESS(2,COLUMN())),OFFSET($T$2,0,0,ROW()-1,14),ROW()-1,FALSE))</x:f>
        <x:v/>
      </x:c>
      <x:c r="O784" t="str">
        <x:f ca="1">IF(AND($B$1012=1,LEN($O$1769)&gt;0),$O$1769,HLOOKUP(INDIRECT(ADDRESS(2,COLUMN())),OFFSET($T$2,0,0,ROW()-1,14),ROW()-1,FALSE))</x:f>
        <x:v/>
      </x:c>
      <x:c r="P784" t="str">
        <x:f ca="1">IF(AND($B$1012=1,LEN($P$1769)&gt;0),$P$1769,HLOOKUP(INDIRECT(ADDRESS(2,COLUMN())),OFFSET($T$2,0,0,ROW()-1,14),ROW()-1,FALSE))</x:f>
        <x:v/>
      </x:c>
      <x:c r="Q784" t="str">
        <x:f ca="1">IF(AND($B$1012=1,LEN($Q$1769)&gt;0),$Q$1769,HLOOKUP(INDIRECT(ADDRESS(2,COLUMN())),OFFSET($T$2,0,0,ROW()-1,14),ROW()-1,FALSE))</x:f>
        <x:v/>
      </x:c>
      <x:c r="R784" t="str">
        <x:f ca="1">IF(AND($B$1012=1,LEN($R$1769)&gt;0),$R$1769,HLOOKUP(INDIRECT(ADDRESS(2,COLUMN())),OFFSET($T$2,0,0,ROW()-1,14),ROW()-1,FALSE))</x:f>
        <x:v/>
      </x:c>
      <x:c r="S784" t="str">
        <x:f ca="1">IF(AND($B$1012=1,LEN($S$1769)&gt;0),$S$1769,HLOOKUP(INDIRECT(ADDRESS(2,COLUMN())),OFFSET($T$2,0,0,ROW()-1,14),ROW()-1,FALSE))</x:f>
        <x:v/>
      </x:c>
      <x:c r="T784" t="str">
        <x:f>""</x:f>
        <x:v/>
      </x:c>
      <x:c r="U784" t="str">
        <x:f>""</x:f>
        <x:v/>
      </x:c>
      <x:c r="V784" t="str">
        <x:f>""</x:f>
        <x:v/>
      </x:c>
      <x:c r="W784" t="str">
        <x:f>""</x:f>
        <x:v/>
      </x:c>
      <x:c r="X784" t="str">
        <x:f>""</x:f>
        <x:v/>
      </x:c>
      <x:c r="Y784" t="str">
        <x:f>""</x:f>
        <x:v/>
      </x:c>
      <x:c r="Z784" t="str">
        <x:f>""</x:f>
        <x:v/>
      </x:c>
      <x:c r="AA784" t="str">
        <x:f>""</x:f>
        <x:v/>
      </x:c>
      <x:c r="AB784" t="str">
        <x:f>""</x:f>
        <x:v/>
      </x:c>
      <x:c r="AC784" t="str">
        <x:f>""</x:f>
        <x:v/>
      </x:c>
      <x:c r="AD784" t="str">
        <x:f>""</x:f>
        <x:v/>
      </x:c>
      <x:c r="AE784" t="str">
        <x:f>""</x:f>
        <x:v/>
      </x:c>
      <x:c r="AF784" t="str">
        <x:f>""</x:f>
        <x:v/>
      </x:c>
      <x:c r="AG784" t="str">
        <x:f>""</x:f>
        <x:v/>
      </x:c>
    </x:row>
    <x:row r="785" spans="1:33" x14ac:dyDescent="0.25">
      <x:c r="A785" t="str">
        <x:f>"            Simplify Volt Fintech Disrupti"</x:f>
        <x:v xml:space="preserve">            Simplify Volt Fintech Disrupti</x:v>
      </x:c>
      <x:c r="B785" t="str">
        <x:f>"VFIN US Equity"</x:f>
        <x:v>VFIN US Equity</x:v>
      </x:c>
      <x:c r="E785" t="str">
        <x:f t="shared" si="30"/>
        <x:v>Expression</x:v>
      </x:c>
      <x:c r="F785" t="str">
        <x:f ca="1">IF(AND($B$1012=1,LEN($F$1770)&gt;0),$F$1770,HLOOKUP(INDIRECT(ADDRESS(2,COLUMN())),OFFSET($T$2,0,0,ROW()-1,14),ROW()-1,FALSE))</x:f>
        <x:v/>
      </x:c>
      <x:c r="G785" t="str">
        <x:f ca="1">IF(AND($B$1012=1,LEN($G$1770)&gt;0),$G$1770,HLOOKUP(INDIRECT(ADDRESS(2,COLUMN())),OFFSET($T$2,0,0,ROW()-1,14),ROW()-1,FALSE))</x:f>
        <x:v/>
      </x:c>
      <x:c r="H785" t="str">
        <x:f ca="1">IF(AND($B$1012=1,LEN($H$1770)&gt;0),$H$1770,HLOOKUP(INDIRECT(ADDRESS(2,COLUMN())),OFFSET($T$2,0,0,ROW()-1,14),ROW()-1,FALSE))</x:f>
        <x:v/>
      </x:c>
      <x:c r="I785" t="str">
        <x:f ca="1">IF(AND($B$1012=1,LEN($I$1770)&gt;0),$I$1770,HLOOKUP(INDIRECT(ADDRESS(2,COLUMN())),OFFSET($T$2,0,0,ROW()-1,14),ROW()-1,FALSE))</x:f>
        <x:v/>
      </x:c>
      <x:c r="J785" t="str">
        <x:f ca="1">IF(AND($B$1012=1,LEN($J$1770)&gt;0),$J$1770,HLOOKUP(INDIRECT(ADDRESS(2,COLUMN())),OFFSET($T$2,0,0,ROW()-1,14),ROW()-1,FALSE))</x:f>
        <x:v/>
      </x:c>
      <x:c r="K785" t="str">
        <x:f ca="1">IF(AND($B$1012=1,LEN($K$1770)&gt;0),$K$1770,HLOOKUP(INDIRECT(ADDRESS(2,COLUMN())),OFFSET($T$2,0,0,ROW()-1,14),ROW()-1,FALSE))</x:f>
        <x:v/>
      </x:c>
      <x:c r="L785" t="str">
        <x:f ca="1">IF(AND($B$1012=1,LEN($L$1770)&gt;0),$L$1770,HLOOKUP(INDIRECT(ADDRESS(2,COLUMN())),OFFSET($T$2,0,0,ROW()-1,14),ROW()-1,FALSE))</x:f>
        <x:v/>
      </x:c>
      <x:c r="M785" t="str">
        <x:f ca="1">IF(AND($B$1012=1,LEN($M$1770)&gt;0),$M$1770,HLOOKUP(INDIRECT(ADDRESS(2,COLUMN())),OFFSET($T$2,0,0,ROW()-1,14),ROW()-1,FALSE))</x:f>
        <x:v/>
      </x:c>
      <x:c r="N785" t="str">
        <x:f ca="1">IF(AND($B$1012=1,LEN($N$1770)&gt;0),$N$1770,HLOOKUP(INDIRECT(ADDRESS(2,COLUMN())),OFFSET($T$2,0,0,ROW()-1,14),ROW()-1,FALSE))</x:f>
        <x:v/>
      </x:c>
      <x:c r="O785" t="str">
        <x:f ca="1">IF(AND($B$1012=1,LEN($O$1770)&gt;0),$O$1770,HLOOKUP(INDIRECT(ADDRESS(2,COLUMN())),OFFSET($T$2,0,0,ROW()-1,14),ROW()-1,FALSE))</x:f>
        <x:v/>
      </x:c>
      <x:c r="P785" t="str">
        <x:f ca="1">IF(AND($B$1012=1,LEN($P$1770)&gt;0),$P$1770,HLOOKUP(INDIRECT(ADDRESS(2,COLUMN())),OFFSET($T$2,0,0,ROW()-1,14),ROW()-1,FALSE))</x:f>
        <x:v/>
      </x:c>
      <x:c r="Q785" t="str">
        <x:f ca="1">IF(AND($B$1012=1,LEN($Q$1770)&gt;0),$Q$1770,HLOOKUP(INDIRECT(ADDRESS(2,COLUMN())),OFFSET($T$2,0,0,ROW()-1,14),ROW()-1,FALSE))</x:f>
        <x:v/>
      </x:c>
      <x:c r="R785" t="str">
        <x:f ca="1">IF(AND($B$1012=1,LEN($R$1770)&gt;0),$R$1770,HLOOKUP(INDIRECT(ADDRESS(2,COLUMN())),OFFSET($T$2,0,0,ROW()-1,14),ROW()-1,FALSE))</x:f>
        <x:v/>
      </x:c>
      <x:c r="S785" t="str">
        <x:f ca="1">IF(AND($B$1012=1,LEN($S$1770)&gt;0),$S$1770,HLOOKUP(INDIRECT(ADDRESS(2,COLUMN())),OFFSET($T$2,0,0,ROW()-1,14),ROW()-1,FALSE))</x:f>
        <x:v/>
      </x:c>
      <x:c r="T785" t="str">
        <x:f>""</x:f>
        <x:v/>
      </x:c>
      <x:c r="U785" t="str">
        <x:f>""</x:f>
        <x:v/>
      </x:c>
      <x:c r="V785" t="str">
        <x:f>""</x:f>
        <x:v/>
      </x:c>
      <x:c r="W785" t="str">
        <x:f>""</x:f>
        <x:v/>
      </x:c>
      <x:c r="X785" t="str">
        <x:f>""</x:f>
        <x:v/>
      </x:c>
      <x:c r="Y785" t="str">
        <x:f>""</x:f>
        <x:v/>
      </x:c>
      <x:c r="Z785" t="str">
        <x:f>""</x:f>
        <x:v/>
      </x:c>
      <x:c r="AA785" t="str">
        <x:f>""</x:f>
        <x:v/>
      </x:c>
      <x:c r="AB785" t="str">
        <x:f>""</x:f>
        <x:v/>
      </x:c>
      <x:c r="AC785" t="str">
        <x:f>""</x:f>
        <x:v/>
      </x:c>
      <x:c r="AD785" t="str">
        <x:f>""</x:f>
        <x:v/>
      </x:c>
      <x:c r="AE785" t="str">
        <x:f>""</x:f>
        <x:v/>
      </x:c>
      <x:c r="AF785" t="str">
        <x:f>""</x:f>
        <x:v/>
      </x:c>
      <x:c r="AG785" t="str">
        <x:f>""</x:f>
        <x:v/>
      </x:c>
    </x:row>
    <x:row r="786" spans="1:33" x14ac:dyDescent="0.25">
      <x:c r="A786" t="str">
        <x:f>"            Amplify Digital &amp; Online Tradi"</x:f>
        <x:v xml:space="preserve">            Amplify Digital &amp; Online Tradi</x:v>
      </x:c>
      <x:c r="B786" t="str">
        <x:f>"BIDS US Equity"</x:f>
        <x:v>BIDS US Equity</x:v>
      </x:c>
      <x:c r="E786" t="str">
        <x:f t="shared" si="30"/>
        <x:v>Expression</x:v>
      </x:c>
      <x:c r="F786" t="str">
        <x:f ca="1">IF(AND($B$1012=1,LEN($F$1771)&gt;0),$F$1771,HLOOKUP(INDIRECT(ADDRESS(2,COLUMN())),OFFSET($T$2,0,0,ROW()-1,14),ROW()-1,FALSE))</x:f>
        <x:v/>
      </x:c>
      <x:c r="G786" t="str">
        <x:f ca="1">IF(AND($B$1012=1,LEN($G$1771)&gt;0),$G$1771,HLOOKUP(INDIRECT(ADDRESS(2,COLUMN())),OFFSET($T$2,0,0,ROW()-1,14),ROW()-1,FALSE))</x:f>
        <x:v/>
      </x:c>
      <x:c r="H786" t="str">
        <x:f ca="1">IF(AND($B$1012=1,LEN($H$1771)&gt;0),$H$1771,HLOOKUP(INDIRECT(ADDRESS(2,COLUMN())),OFFSET($T$2,0,0,ROW()-1,14),ROW()-1,FALSE))</x:f>
        <x:v/>
      </x:c>
      <x:c r="I786" t="str">
        <x:f ca="1">IF(AND($B$1012=1,LEN($I$1771)&gt;0),$I$1771,HLOOKUP(INDIRECT(ADDRESS(2,COLUMN())),OFFSET($T$2,0,0,ROW()-1,14),ROW()-1,FALSE))</x:f>
        <x:v/>
      </x:c>
      <x:c r="J786">
        <x:f ca="1">IF(AND($B$1012=1,LEN($J$1771)&gt;0),$J$1771,HLOOKUP(INDIRECT(ADDRESS(2,COLUMN())),OFFSET($T$2,0,0,ROW()-1,14),ROW()-1,FALSE))</x:f>
        <x:v>0</x:v>
      </x:c>
      <x:c r="K786">
        <x:f ca="1">IF(AND($B$1012=1,LEN($K$1771)&gt;0),$K$1771,HLOOKUP(INDIRECT(ADDRESS(2,COLUMN())),OFFSET($T$2,0,0,ROW()-1,14),ROW()-1,FALSE))</x:f>
        <x:v>0</x:v>
      </x:c>
      <x:c r="L786">
        <x:f ca="1">IF(AND($B$1012=1,LEN($L$1771)&gt;0),$L$1771,HLOOKUP(INDIRECT(ADDRESS(2,COLUMN())),OFFSET($T$2,0,0,ROW()-1,14),ROW()-1,FALSE))</x:f>
        <x:v>0</x:v>
      </x:c>
      <x:c r="M786">
        <x:f ca="1">IF(AND($B$1012=1,LEN($M$1771)&gt;0),$M$1771,HLOOKUP(INDIRECT(ADDRESS(2,COLUMN())),OFFSET($T$2,0,0,ROW()-1,14),ROW()-1,FALSE))</x:f>
        <x:v>0</x:v>
      </x:c>
      <x:c r="N786">
        <x:f ca="1">IF(AND($B$1012=1,LEN($N$1771)&gt;0),$N$1771,HLOOKUP(INDIRECT(ADDRESS(2,COLUMN())),OFFSET($T$2,0,0,ROW()-1,14),ROW()-1,FALSE))</x:f>
        <x:v>0</x:v>
      </x:c>
      <x:c r="O786">
        <x:f ca="1">IF(AND($B$1012=1,LEN($O$1771)&gt;0),$O$1771,HLOOKUP(INDIRECT(ADDRESS(2,COLUMN())),OFFSET($T$2,0,0,ROW()-1,14),ROW()-1,FALSE))</x:f>
        <x:v>0</x:v>
      </x:c>
      <x:c r="P786">
        <x:f ca="1">IF(AND($B$1012=1,LEN($P$1771)&gt;0),$P$1771,HLOOKUP(INDIRECT(ADDRESS(2,COLUMN())),OFFSET($T$2,0,0,ROW()-1,14),ROW()-1,FALSE))</x:f>
        <x:v>0</x:v>
      </x:c>
      <x:c r="Q786">
        <x:f ca="1">IF(AND($B$1012=1,LEN($Q$1771)&gt;0),$Q$1771,HLOOKUP(INDIRECT(ADDRESS(2,COLUMN())),OFFSET($T$2,0,0,ROW()-1,14),ROW()-1,FALSE))</x:f>
        <x:v>0</x:v>
      </x:c>
      <x:c r="R786">
        <x:f ca="1">IF(AND($B$1012=1,LEN($R$1771)&gt;0),$R$1771,HLOOKUP(INDIRECT(ADDRESS(2,COLUMN())),OFFSET($T$2,0,0,ROW()-1,14),ROW()-1,FALSE))</x:f>
        <x:v>0</x:v>
      </x:c>
      <x:c r="S786">
        <x:f ca="1">IF(AND($B$1012=1,LEN($S$1771)&gt;0),$S$1771,HLOOKUP(INDIRECT(ADDRESS(2,COLUMN())),OFFSET($T$2,0,0,ROW()-1,14),ROW()-1,FALSE))</x:f>
        <x:v>0</x:v>
      </x:c>
      <x:c r="T786" t="str">
        <x:f>""</x:f>
        <x:v/>
      </x:c>
      <x:c r="U786" t="str">
        <x:f>""</x:f>
        <x:v/>
      </x:c>
      <x:c r="V786" t="str">
        <x:f>""</x:f>
        <x:v/>
      </x:c>
      <x:c r="W786" t="str">
        <x:f>""</x:f>
        <x:v/>
      </x:c>
      <x:c r="X786">
        <x:f>0</x:f>
        <x:v>0</x:v>
      </x:c>
      <x:c r="Y786">
        <x:f>0</x:f>
        <x:v>0</x:v>
      </x:c>
      <x:c r="Z786">
        <x:f>0</x:f>
        <x:v>0</x:v>
      </x:c>
      <x:c r="AA786">
        <x:f>0</x:f>
        <x:v>0</x:v>
      </x:c>
      <x:c r="AB786">
        <x:f>0</x:f>
        <x:v>0</x:v>
      </x:c>
      <x:c r="AC786">
        <x:f>0</x:f>
        <x:v>0</x:v>
      </x:c>
      <x:c r="AD786">
        <x:f>0</x:f>
        <x:v>0</x:v>
      </x:c>
      <x:c r="AE786">
        <x:f>0</x:f>
        <x:v>0</x:v>
      </x:c>
      <x:c r="AF786">
        <x:f>0</x:f>
        <x:v>0</x:v>
      </x:c>
      <x:c r="AG786">
        <x:f>0</x:f>
        <x:v>0</x:v>
      </x:c>
    </x:row>
    <x:row r="787" spans="1:33" x14ac:dyDescent="0.25">
      <x:c r="A787" t="str">
        <x:f>"            Direxion Daily Fintech Bull 2x"</x:f>
        <x:v xml:space="preserve">            Direxion Daily Fintech Bull 2x</x:v>
      </x:c>
      <x:c r="B787" t="str">
        <x:f>"FNTC US Equity"</x:f>
        <x:v>FNTC US Equity</x:v>
      </x:c>
      <x:c r="E787" t="str">
        <x:f t="shared" si="30"/>
        <x:v>Expression</x:v>
      </x:c>
      <x:c r="F787" t="str">
        <x:f ca="1">IF(AND($B$1012=1,LEN($F$1772)&gt;0),$F$1772,HLOOKUP(INDIRECT(ADDRESS(2,COLUMN())),OFFSET($T$2,0,0,ROW()-1,14),ROW()-1,FALSE))</x:f>
        <x:v/>
      </x:c>
      <x:c r="G787" t="str">
        <x:f ca="1">IF(AND($B$1012=1,LEN($G$1772)&gt;0),$G$1772,HLOOKUP(INDIRECT(ADDRESS(2,COLUMN())),OFFSET($T$2,0,0,ROW()-1,14),ROW()-1,FALSE))</x:f>
        <x:v/>
      </x:c>
      <x:c r="H787" t="str">
        <x:f ca="1">IF(AND($B$1012=1,LEN($H$1772)&gt;0),$H$1772,HLOOKUP(INDIRECT(ADDRESS(2,COLUMN())),OFFSET($T$2,0,0,ROW()-1,14),ROW()-1,FALSE))</x:f>
        <x:v/>
      </x:c>
      <x:c r="I787" t="str">
        <x:f ca="1">IF(AND($B$1012=1,LEN($I$1772)&gt;0),$I$1772,HLOOKUP(INDIRECT(ADDRESS(2,COLUMN())),OFFSET($T$2,0,0,ROW()-1,14),ROW()-1,FALSE))</x:f>
        <x:v/>
      </x:c>
      <x:c r="J787" t="str">
        <x:f ca="1">IF(AND($B$1012=1,LEN($J$1772)&gt;0),$J$1772,HLOOKUP(INDIRECT(ADDRESS(2,COLUMN())),OFFSET($T$2,0,0,ROW()-1,14),ROW()-1,FALSE))</x:f>
        <x:v/>
      </x:c>
      <x:c r="K787" t="str">
        <x:f ca="1">IF(AND($B$1012=1,LEN($K$1772)&gt;0),$K$1772,HLOOKUP(INDIRECT(ADDRESS(2,COLUMN())),OFFSET($T$2,0,0,ROW()-1,14),ROW()-1,FALSE))</x:f>
        <x:v/>
      </x:c>
      <x:c r="L787" t="str">
        <x:f ca="1">IF(AND($B$1012=1,LEN($L$1772)&gt;0),$L$1772,HLOOKUP(INDIRECT(ADDRESS(2,COLUMN())),OFFSET($T$2,0,0,ROW()-1,14),ROW()-1,FALSE))</x:f>
        <x:v/>
      </x:c>
      <x:c r="M787" t="str">
        <x:f ca="1">IF(AND($B$1012=1,LEN($M$1772)&gt;0),$M$1772,HLOOKUP(INDIRECT(ADDRESS(2,COLUMN())),OFFSET($T$2,0,0,ROW()-1,14),ROW()-1,FALSE))</x:f>
        <x:v/>
      </x:c>
      <x:c r="N787" t="str">
        <x:f ca="1">IF(AND($B$1012=1,LEN($N$1772)&gt;0),$N$1772,HLOOKUP(INDIRECT(ADDRESS(2,COLUMN())),OFFSET($T$2,0,0,ROW()-1,14),ROW()-1,FALSE))</x:f>
        <x:v/>
      </x:c>
      <x:c r="O787">
        <x:f ca="1">IF(AND($B$1012=1,LEN($O$1772)&gt;0),$O$1772,HLOOKUP(INDIRECT(ADDRESS(2,COLUMN())),OFFSET($T$2,0,0,ROW()-1,14),ROW()-1,FALSE))</x:f>
        <x:v>0</x:v>
      </x:c>
      <x:c r="P787">
        <x:f ca="1">IF(AND($B$1012=1,LEN($P$1772)&gt;0),$P$1772,HLOOKUP(INDIRECT(ADDRESS(2,COLUMN())),OFFSET($T$2,0,0,ROW()-1,14),ROW()-1,FALSE))</x:f>
        <x:v>-0.57854099999999997</x:v>
      </x:c>
      <x:c r="Q787">
        <x:f ca="1">IF(AND($B$1012=1,LEN($Q$1772)&gt;0),$Q$1772,HLOOKUP(INDIRECT(ADDRESS(2,COLUMN())),OFFSET($T$2,0,0,ROW()-1,14),ROW()-1,FALSE))</x:f>
        <x:v>0</x:v>
      </x:c>
      <x:c r="R787">
        <x:f ca="1">IF(AND($B$1012=1,LEN($R$1772)&gt;0),$R$1772,HLOOKUP(INDIRECT(ADDRESS(2,COLUMN())),OFFSET($T$2,0,0,ROW()-1,14),ROW()-1,FALSE))</x:f>
        <x:v>0</x:v>
      </x:c>
      <x:c r="S787">
        <x:f ca="1">IF(AND($B$1012=1,LEN($S$1772)&gt;0),$S$1772,HLOOKUP(INDIRECT(ADDRESS(2,COLUMN())),OFFSET($T$2,0,0,ROW()-1,14),ROW()-1,FALSE))</x:f>
        <x:v>0</x:v>
      </x:c>
      <x:c r="T787" t="str">
        <x:f>""</x:f>
        <x:v/>
      </x:c>
      <x:c r="U787" t="str">
        <x:f>""</x:f>
        <x:v/>
      </x:c>
      <x:c r="V787" t="str">
        <x:f>""</x:f>
        <x:v/>
      </x:c>
      <x:c r="W787" t="str">
        <x:f>""</x:f>
        <x:v/>
      </x:c>
      <x:c r="X787" t="str">
        <x:f>""</x:f>
        <x:v/>
      </x:c>
      <x:c r="Y787" t="str">
        <x:f>""</x:f>
        <x:v/>
      </x:c>
      <x:c r="Z787" t="str">
        <x:f>""</x:f>
        <x:v/>
      </x:c>
      <x:c r="AA787" t="str">
        <x:f>""</x:f>
        <x:v/>
      </x:c>
      <x:c r="AB787" t="str">
        <x:f>""</x:f>
        <x:v/>
      </x:c>
      <x:c r="AC787">
        <x:f>0</x:f>
        <x:v>0</x:v>
      </x:c>
      <x:c r="AD787">
        <x:f>-0.578541</x:f>
        <x:v>-0.57854099999999997</x:v>
      </x:c>
      <x:c r="AE787">
        <x:f>0</x:f>
        <x:v>0</x:v>
      </x:c>
      <x:c r="AF787">
        <x:f>0</x:f>
        <x:v>0</x:v>
      </x:c>
      <x:c r="AG787">
        <x:f>0</x:f>
        <x:v>0</x:v>
      </x:c>
    </x:row>
    <x:row r="788" spans="1:33" x14ac:dyDescent="0.25">
      <x:c r="A788" t="str">
        <x:f>"            Grayscale Future of Finance ET"</x:f>
        <x:v xml:space="preserve">            Grayscale Future of Finance ET</x:v>
      </x:c>
      <x:c r="B788" t="str">
        <x:f>"GFOF US Equity"</x:f>
        <x:v>GFOF US Equity</x:v>
      </x:c>
      <x:c r="E788" t="str">
        <x:f t="shared" si="30"/>
        <x:v>Expression</x:v>
      </x:c>
      <x:c r="F788">
        <x:f ca="1">IF(AND($B$1012=1,LEN($F$1773)&gt;0),$F$1773,HLOOKUP(INDIRECT(ADDRESS(2,COLUMN())),OFFSET($T$2,0,0,ROW()-1,14),ROW()-1,FALSE))</x:f>
        <x:v>0</x:v>
      </x:c>
      <x:c r="G788">
        <x:f ca="1">IF(AND($B$1012=1,LEN($G$1773)&gt;0),$G$1773,HLOOKUP(INDIRECT(ADDRESS(2,COLUMN())),OFFSET($T$2,0,0,ROW()-1,14),ROW()-1,FALSE))</x:f>
        <x:v>0</x:v>
      </x:c>
      <x:c r="H788">
        <x:f ca="1">IF(AND($B$1012=1,LEN($H$1773)&gt;0),$H$1773,HLOOKUP(INDIRECT(ADDRESS(2,COLUMN())),OFFSET($T$2,0,0,ROW()-1,14),ROW()-1,FALSE))</x:f>
        <x:v>0</x:v>
      </x:c>
      <x:c r="I788">
        <x:f ca="1">IF(AND($B$1012=1,LEN($I$1773)&gt;0),$I$1773,HLOOKUP(INDIRECT(ADDRESS(2,COLUMN())),OFFSET($T$2,0,0,ROW()-1,14),ROW()-1,FALSE))</x:f>
        <x:v>0</x:v>
      </x:c>
      <x:c r="J788">
        <x:f ca="1">IF(AND($B$1012=1,LEN($J$1773)&gt;0),$J$1773,HLOOKUP(INDIRECT(ADDRESS(2,COLUMN())),OFFSET($T$2,0,0,ROW()-1,14),ROW()-1,FALSE))</x:f>
        <x:v>0</x:v>
      </x:c>
      <x:c r="K788">
        <x:f ca="1">IF(AND($B$1012=1,LEN($K$1773)&gt;0),$K$1773,HLOOKUP(INDIRECT(ADDRESS(2,COLUMN())),OFFSET($T$2,0,0,ROW()-1,14),ROW()-1,FALSE))</x:f>
        <x:v>0</x:v>
      </x:c>
      <x:c r="L788">
        <x:f ca="1">IF(AND($B$1012=1,LEN($L$1773)&gt;0),$L$1773,HLOOKUP(INDIRECT(ADDRESS(2,COLUMN())),OFFSET($T$2,0,0,ROW()-1,14),ROW()-1,FALSE))</x:f>
        <x:v>0</x:v>
      </x:c>
      <x:c r="M788">
        <x:f ca="1">IF(AND($B$1012=1,LEN($M$1773)&gt;0),$M$1773,HLOOKUP(INDIRECT(ADDRESS(2,COLUMN())),OFFSET($T$2,0,0,ROW()-1,14),ROW()-1,FALSE))</x:f>
        <x:v>0</x:v>
      </x:c>
      <x:c r="N788">
        <x:f ca="1">IF(AND($B$1012=1,LEN($N$1773)&gt;0),$N$1773,HLOOKUP(INDIRECT(ADDRESS(2,COLUMN())),OFFSET($T$2,0,0,ROW()-1,14),ROW()-1,FALSE))</x:f>
        <x:v>-0.25742799999999999</x:v>
      </x:c>
      <x:c r="O788">
        <x:f ca="1">IF(AND($B$1012=1,LEN($O$1773)&gt;0),$O$1773,HLOOKUP(INDIRECT(ADDRESS(2,COLUMN())),OFFSET($T$2,0,0,ROW()-1,14),ROW()-1,FALSE))</x:f>
        <x:v>0</x:v>
      </x:c>
      <x:c r="P788">
        <x:f ca="1">IF(AND($B$1012=1,LEN($P$1773)&gt;0),$P$1773,HLOOKUP(INDIRECT(ADDRESS(2,COLUMN())),OFFSET($T$2,0,0,ROW()-1,14),ROW()-1,FALSE))</x:f>
        <x:v>0</x:v>
      </x:c>
      <x:c r="Q788">
        <x:f ca="1">IF(AND($B$1012=1,LEN($Q$1773)&gt;0),$Q$1773,HLOOKUP(INDIRECT(ADDRESS(2,COLUMN())),OFFSET($T$2,0,0,ROW()-1,14),ROW()-1,FALSE))</x:f>
        <x:v>0</x:v>
      </x:c>
      <x:c r="R788">
        <x:f ca="1">IF(AND($B$1012=1,LEN($R$1773)&gt;0),$R$1773,HLOOKUP(INDIRECT(ADDRESS(2,COLUMN())),OFFSET($T$2,0,0,ROW()-1,14),ROW()-1,FALSE))</x:f>
        <x:v>0</x:v>
      </x:c>
      <x:c r="S788">
        <x:f ca="1">IF(AND($B$1012=1,LEN($S$1773)&gt;0),$S$1773,HLOOKUP(INDIRECT(ADDRESS(2,COLUMN())),OFFSET($T$2,0,0,ROW()-1,14),ROW()-1,FALSE))</x:f>
        <x:v>0</x:v>
      </x:c>
      <x:c r="T788">
        <x:f>0</x:f>
        <x:v>0</x:v>
      </x:c>
      <x:c r="U788">
        <x:f>0</x:f>
        <x:v>0</x:v>
      </x:c>
      <x:c r="V788">
        <x:f>0</x:f>
        <x:v>0</x:v>
      </x:c>
      <x:c r="W788">
        <x:f>0</x:f>
        <x:v>0</x:v>
      </x:c>
      <x:c r="X788">
        <x:f>0</x:f>
        <x:v>0</x:v>
      </x:c>
      <x:c r="Y788">
        <x:f>0</x:f>
        <x:v>0</x:v>
      </x:c>
      <x:c r="Z788">
        <x:f>0</x:f>
        <x:v>0</x:v>
      </x:c>
      <x:c r="AA788">
        <x:f>0</x:f>
        <x:v>0</x:v>
      </x:c>
      <x:c r="AB788">
        <x:f>-0.257428</x:f>
        <x:v>-0.25742799999999999</x:v>
      </x:c>
      <x:c r="AC788">
        <x:f>0</x:f>
        <x:v>0</x:v>
      </x:c>
      <x:c r="AD788">
        <x:f>0</x:f>
        <x:v>0</x:v>
      </x:c>
      <x:c r="AE788">
        <x:f>0</x:f>
        <x:v>0</x:v>
      </x:c>
      <x:c r="AF788">
        <x:f>0</x:f>
        <x:v>0</x:v>
      </x:c>
      <x:c r="AG788">
        <x:f>0</x:f>
        <x:v>0</x:v>
      </x:c>
    </x:row>
    <x:row r="789" spans="1:33" x14ac:dyDescent="0.25">
      <x:c r="A789" t="str">
        <x:f>"            Blackrock Future Financial And"</x:f>
        <x:v xml:space="preserve">            Blackrock Future Financial And</x:v>
      </x:c>
      <x:c r="B789" t="str">
        <x:f>"BPAY US Equity"</x:f>
        <x:v>BPAY US Equity</x:v>
      </x:c>
      <x:c r="E789" t="str">
        <x:f t="shared" si="30"/>
        <x:v>Expression</x:v>
      </x:c>
      <x:c r="F789">
        <x:f ca="1">IF(AND($B$1012=1,LEN($F$1774)&gt;0),$F$1774,HLOOKUP(INDIRECT(ADDRESS(2,COLUMN())),OFFSET($T$2,0,0,ROW()-1,14),ROW()-1,FALSE))</x:f>
        <x:v>0</x:v>
      </x:c>
      <x:c r="G789">
        <x:f ca="1">IF(AND($B$1012=1,LEN($G$1774)&gt;0),$G$1774,HLOOKUP(INDIRECT(ADDRESS(2,COLUMN())),OFFSET($T$2,0,0,ROW()-1,14),ROW()-1,FALSE))</x:f>
        <x:v>0</x:v>
      </x:c>
      <x:c r="H789">
        <x:f ca="1">IF(AND($B$1012=1,LEN($H$1774)&gt;0),$H$1774,HLOOKUP(INDIRECT(ADDRESS(2,COLUMN())),OFFSET($T$2,0,0,ROW()-1,14),ROW()-1,FALSE))</x:f>
        <x:v>0</x:v>
      </x:c>
      <x:c r="I789">
        <x:f ca="1">IF(AND($B$1012=1,LEN($I$1774)&gt;0),$I$1774,HLOOKUP(INDIRECT(ADDRESS(2,COLUMN())),OFFSET($T$2,0,0,ROW()-1,14),ROW()-1,FALSE))</x:f>
        <x:v>0</x:v>
      </x:c>
      <x:c r="J789">
        <x:f ca="1">IF(AND($B$1012=1,LEN($J$1774)&gt;0),$J$1774,HLOOKUP(INDIRECT(ADDRESS(2,COLUMN())),OFFSET($T$2,0,0,ROW()-1,14),ROW()-1,FALSE))</x:f>
        <x:v>0</x:v>
      </x:c>
      <x:c r="K789">
        <x:f ca="1">IF(AND($B$1012=1,LEN($K$1774)&gt;0),$K$1774,HLOOKUP(INDIRECT(ADDRESS(2,COLUMN())),OFFSET($T$2,0,0,ROW()-1,14),ROW()-1,FALSE))</x:f>
        <x:v>0</x:v>
      </x:c>
      <x:c r="L789">
        <x:f ca="1">IF(AND($B$1012=1,LEN($L$1774)&gt;0),$L$1774,HLOOKUP(INDIRECT(ADDRESS(2,COLUMN())),OFFSET($T$2,0,0,ROW()-1,14),ROW()-1,FALSE))</x:f>
        <x:v>0</x:v>
      </x:c>
      <x:c r="M789">
        <x:f ca="1">IF(AND($B$1012=1,LEN($M$1774)&gt;0),$M$1774,HLOOKUP(INDIRECT(ADDRESS(2,COLUMN())),OFFSET($T$2,0,0,ROW()-1,14),ROW()-1,FALSE))</x:f>
        <x:v>0</x:v>
      </x:c>
      <x:c r="N789">
        <x:f ca="1">IF(AND($B$1012=1,LEN($N$1774)&gt;0),$N$1774,HLOOKUP(INDIRECT(ADDRESS(2,COLUMN())),OFFSET($T$2,0,0,ROW()-1,14),ROW()-1,FALSE))</x:f>
        <x:v>0</x:v>
      </x:c>
      <x:c r="O789">
        <x:f ca="1">IF(AND($B$1012=1,LEN($O$1774)&gt;0),$O$1774,HLOOKUP(INDIRECT(ADDRESS(2,COLUMN())),OFFSET($T$2,0,0,ROW()-1,14),ROW()-1,FALSE))</x:f>
        <x:v>0</x:v>
      </x:c>
      <x:c r="P789">
        <x:f ca="1">IF(AND($B$1012=1,LEN($P$1774)&gt;0),$P$1774,HLOOKUP(INDIRECT(ADDRESS(2,COLUMN())),OFFSET($T$2,0,0,ROW()-1,14),ROW()-1,FALSE))</x:f>
        <x:v>0</x:v>
      </x:c>
      <x:c r="Q789">
        <x:f ca="1">IF(AND($B$1012=1,LEN($Q$1774)&gt;0),$Q$1774,HLOOKUP(INDIRECT(ADDRESS(2,COLUMN())),OFFSET($T$2,0,0,ROW()-1,14),ROW()-1,FALSE))</x:f>
        <x:v>0</x:v>
      </x:c>
      <x:c r="R789">
        <x:f ca="1">IF(AND($B$1012=1,LEN($R$1774)&gt;0),$R$1774,HLOOKUP(INDIRECT(ADDRESS(2,COLUMN())),OFFSET($T$2,0,0,ROW()-1,14),ROW()-1,FALSE))</x:f>
        <x:v>0</x:v>
      </x:c>
      <x:c r="S789">
        <x:f ca="1">IF(AND($B$1012=1,LEN($S$1774)&gt;0),$S$1774,HLOOKUP(INDIRECT(ADDRESS(2,COLUMN())),OFFSET($T$2,0,0,ROW()-1,14),ROW()-1,FALSE))</x:f>
        <x:v>0</x:v>
      </x:c>
      <x:c r="T789">
        <x:f>0</x:f>
        <x:v>0</x:v>
      </x:c>
      <x:c r="U789">
        <x:f>0</x:f>
        <x:v>0</x:v>
      </x:c>
      <x:c r="V789">
        <x:f>0</x:f>
        <x:v>0</x:v>
      </x:c>
      <x:c r="W789">
        <x:f>0</x:f>
        <x:v>0</x:v>
      </x:c>
      <x:c r="X789">
        <x:f>0</x:f>
        <x:v>0</x:v>
      </x:c>
      <x:c r="Y789">
        <x:f>0</x:f>
        <x:v>0</x:v>
      </x:c>
      <x:c r="Z789">
        <x:f>0</x:f>
        <x:v>0</x:v>
      </x:c>
      <x:c r="AA789">
        <x:f>0</x:f>
        <x:v>0</x:v>
      </x:c>
      <x:c r="AB789">
        <x:f>0</x:f>
        <x:v>0</x:v>
      </x:c>
      <x:c r="AC789">
        <x:f>0</x:f>
        <x:v>0</x:v>
      </x:c>
      <x:c r="AD789">
        <x:f>0</x:f>
        <x:v>0</x:v>
      </x:c>
      <x:c r="AE789">
        <x:f>0</x:f>
        <x:v>0</x:v>
      </x:c>
      <x:c r="AF789">
        <x:f>0</x:f>
        <x:v>0</x:v>
      </x:c>
      <x:c r="AG789">
        <x:f>0</x:f>
        <x:v>0</x:v>
      </x:c>
    </x:row>
    <x:row r="790" spans="1:33" x14ac:dyDescent="0.25">
      <x:c r="A790" t="str">
        <x:f>"            Amplify Emerging Markets FinTe"</x:f>
        <x:v xml:space="preserve">            Amplify Emerging Markets FinTe</x:v>
      </x:c>
      <x:c r="B790" t="str">
        <x:f>"EMFQ US Equity"</x:f>
        <x:v>EMFQ US Equity</x:v>
      </x:c>
      <x:c r="E790" t="str">
        <x:f t="shared" si="30"/>
        <x:v>Expression</x:v>
      </x:c>
      <x:c r="F790">
        <x:f ca="1">IF(AND($B$1012=1,LEN($F$1775)&gt;0),$F$1775,HLOOKUP(INDIRECT(ADDRESS(2,COLUMN())),OFFSET($T$2,0,0,ROW()-1,14),ROW()-1,FALSE))</x:f>
        <x:v>0</x:v>
      </x:c>
      <x:c r="G790">
        <x:f ca="1">IF(AND($B$1012=1,LEN($G$1775)&gt;0),$G$1775,HLOOKUP(INDIRECT(ADDRESS(2,COLUMN())),OFFSET($T$2,0,0,ROW()-1,14),ROW()-1,FALSE))</x:f>
        <x:v>0</x:v>
      </x:c>
      <x:c r="H790">
        <x:f ca="1">IF(AND($B$1012=1,LEN($H$1775)&gt;0),$H$1775,HLOOKUP(INDIRECT(ADDRESS(2,COLUMN())),OFFSET($T$2,0,0,ROW()-1,14),ROW()-1,FALSE))</x:f>
        <x:v>0</x:v>
      </x:c>
      <x:c r="I790">
        <x:f ca="1">IF(AND($B$1012=1,LEN($I$1775)&gt;0),$I$1775,HLOOKUP(INDIRECT(ADDRESS(2,COLUMN())),OFFSET($T$2,0,0,ROW()-1,14),ROW()-1,FALSE))</x:f>
        <x:v>0</x:v>
      </x:c>
      <x:c r="J790">
        <x:f ca="1">IF(AND($B$1012=1,LEN($J$1775)&gt;0),$J$1775,HLOOKUP(INDIRECT(ADDRESS(2,COLUMN())),OFFSET($T$2,0,0,ROW()-1,14),ROW()-1,FALSE))</x:f>
        <x:v>0</x:v>
      </x:c>
      <x:c r="K790">
        <x:f ca="1">IF(AND($B$1012=1,LEN($K$1775)&gt;0),$K$1775,HLOOKUP(INDIRECT(ADDRESS(2,COLUMN())),OFFSET($T$2,0,0,ROW()-1,14),ROW()-1,FALSE))</x:f>
        <x:v>0</x:v>
      </x:c>
      <x:c r="L790">
        <x:f ca="1">IF(AND($B$1012=1,LEN($L$1775)&gt;0),$L$1775,HLOOKUP(INDIRECT(ADDRESS(2,COLUMN())),OFFSET($T$2,0,0,ROW()-1,14),ROW()-1,FALSE))</x:f>
        <x:v>0</x:v>
      </x:c>
      <x:c r="M790">
        <x:f ca="1">IF(AND($B$1012=1,LEN($M$1775)&gt;0),$M$1775,HLOOKUP(INDIRECT(ADDRESS(2,COLUMN())),OFFSET($T$2,0,0,ROW()-1,14),ROW()-1,FALSE))</x:f>
        <x:v>-0.52640500000000001</x:v>
      </x:c>
      <x:c r="N790">
        <x:f ca="1">IF(AND($B$1012=1,LEN($N$1775)&gt;0),$N$1775,HLOOKUP(INDIRECT(ADDRESS(2,COLUMN())),OFFSET($T$2,0,0,ROW()-1,14),ROW()-1,FALSE))</x:f>
        <x:v>0</x:v>
      </x:c>
      <x:c r="O790">
        <x:f ca="1">IF(AND($B$1012=1,LEN($O$1775)&gt;0),$O$1775,HLOOKUP(INDIRECT(ADDRESS(2,COLUMN())),OFFSET($T$2,0,0,ROW()-1,14),ROW()-1,FALSE))</x:f>
        <x:v>0</x:v>
      </x:c>
      <x:c r="P790">
        <x:f ca="1">IF(AND($B$1012=1,LEN($P$1775)&gt;0),$P$1775,HLOOKUP(INDIRECT(ADDRESS(2,COLUMN())),OFFSET($T$2,0,0,ROW()-1,14),ROW()-1,FALSE))</x:f>
        <x:v>0</x:v>
      </x:c>
      <x:c r="Q790">
        <x:f ca="1">IF(AND($B$1012=1,LEN($Q$1775)&gt;0),$Q$1775,HLOOKUP(INDIRECT(ADDRESS(2,COLUMN())),OFFSET($T$2,0,0,ROW()-1,14),ROW()-1,FALSE))</x:f>
        <x:v>0</x:v>
      </x:c>
      <x:c r="R790">
        <x:f ca="1">IF(AND($B$1012=1,LEN($R$1775)&gt;0),$R$1775,HLOOKUP(INDIRECT(ADDRESS(2,COLUMN())),OFFSET($T$2,0,0,ROW()-1,14),ROW()-1,FALSE))</x:f>
        <x:v>0</x:v>
      </x:c>
      <x:c r="S790">
        <x:f ca="1">IF(AND($B$1012=1,LEN($S$1775)&gt;0),$S$1775,HLOOKUP(INDIRECT(ADDRESS(2,COLUMN())),OFFSET($T$2,0,0,ROW()-1,14),ROW()-1,FALSE))</x:f>
        <x:v>0</x:v>
      </x:c>
      <x:c r="T790">
        <x:f>0</x:f>
        <x:v>0</x:v>
      </x:c>
      <x:c r="U790">
        <x:f>0</x:f>
        <x:v>0</x:v>
      </x:c>
      <x:c r="V790">
        <x:f>0</x:f>
        <x:v>0</x:v>
      </x:c>
      <x:c r="W790">
        <x:f>0</x:f>
        <x:v>0</x:v>
      </x:c>
      <x:c r="X790">
        <x:f>0</x:f>
        <x:v>0</x:v>
      </x:c>
      <x:c r="Y790">
        <x:f>0</x:f>
        <x:v>0</x:v>
      </x:c>
      <x:c r="Z790">
        <x:f>0</x:f>
        <x:v>0</x:v>
      </x:c>
      <x:c r="AA790">
        <x:f>-0.526405</x:f>
        <x:v>-0.52640500000000001</x:v>
      </x:c>
      <x:c r="AB790">
        <x:f>0</x:f>
        <x:v>0</x:v>
      </x:c>
      <x:c r="AC790">
        <x:f>0</x:f>
        <x:v>0</x:v>
      </x:c>
      <x:c r="AD790">
        <x:f>0</x:f>
        <x:v>0</x:v>
      </x:c>
      <x:c r="AE790">
        <x:f>0</x:f>
        <x:v>0</x:v>
      </x:c>
      <x:c r="AF790">
        <x:f>0</x:f>
        <x:v>0</x:v>
      </x:c>
      <x:c r="AG790">
        <x:f>0</x:f>
        <x:v>0</x:v>
      </x:c>
    </x:row>
    <x:row r="791" spans="1:33" x14ac:dyDescent="0.25">
      <x:c r="A791" t="str">
        <x:f>"        Cybersecurity"</x:f>
        <x:v xml:space="preserve">        Cybersecurity</x:v>
      </x:c>
      <x:c r="B791" t="str">
        <x:f>""</x:f>
        <x:v/>
      </x:c>
      <x:c r="E791" t="str">
        <x:f>"Sum"</x:f>
        <x:v>Sum</x:v>
      </x:c>
      <x:c r="F791">
        <x:f ca="1">IF(ISERROR(IF(SUM($F$792:$F$798) = 0, "", SUM($F$792:$F$798))), "", (IF(SUM($F$792:$F$798) = 0, "", SUM($F$792:$F$798))))</x:f>
        <x:v>-24.366269000000003</x:v>
      </x:c>
      <x:c r="G791">
        <x:f ca="1">IF(ISERROR(IF(SUM($G$792:$G$798) = 0, "", SUM($G$792:$G$798))), "", (IF(SUM($G$792:$G$798) = 0, "", SUM($G$792:$G$798))))</x:f>
        <x:v>52.480735000000003</x:v>
      </x:c>
      <x:c r="H791">
        <x:f ca="1">IF(ISERROR(IF(SUM($H$792:$H$798) = 0, "", SUM($H$792:$H$798))), "", (IF(SUM($H$792:$H$798) = 0, "", SUM($H$792:$H$798))))</x:f>
        <x:v>-115.363496</x:v>
      </x:c>
      <x:c r="I791">
        <x:f ca="1">IF(ISERROR(IF(SUM($I$792:$I$798) = 0, "", SUM($I$792:$I$798))), "", (IF(SUM($I$792:$I$798) = 0, "", SUM($I$792:$I$798))))</x:f>
        <x:v>-80.414818999999994</x:v>
      </x:c>
      <x:c r="J791">
        <x:f ca="1">IF(ISERROR(IF(SUM($J$792:$J$798) = 0, "", SUM($J$792:$J$798))), "", (IF(SUM($J$792:$J$798) = 0, "", SUM($J$792:$J$798))))</x:f>
        <x:v>-42.876365000000007</x:v>
      </x:c>
      <x:c r="K791">
        <x:f ca="1">IF(ISERROR(IF(SUM($K$792:$K$798) = 0, "", SUM($K$792:$K$798))), "", (IF(SUM($K$792:$K$798) = 0, "", SUM($K$792:$K$798))))</x:f>
        <x:v>-24.463252000000004</x:v>
      </x:c>
      <x:c r="L791">
        <x:f ca="1">IF(ISERROR(IF(SUM($L$792:$L$798) = 0, "", SUM($L$792:$L$798))), "", (IF(SUM($L$792:$L$798) = 0, "", SUM($L$792:$L$798))))</x:f>
        <x:v>-102.82450999999999</x:v>
      </x:c>
      <x:c r="M791">
        <x:f ca="1">IF(ISERROR(IF(SUM($M$792:$M$798) = 0, "", SUM($M$792:$M$798))), "", (IF(SUM($M$792:$M$798) = 0, "", SUM($M$792:$M$798))))</x:f>
        <x:v>-47.063189999999999</x:v>
      </x:c>
      <x:c r="N791">
        <x:f ca="1">IF(ISERROR(IF(SUM($N$792:$N$798) = 0, "", SUM($N$792:$N$798))), "", (IF(SUM($N$792:$N$798) = 0, "", SUM($N$792:$N$798))))</x:f>
        <x:v>-68.40975499999999</x:v>
      </x:c>
      <x:c r="O791">
        <x:f ca="1">IF(ISERROR(IF(SUM($O$792:$O$798) = 0, "", SUM($O$792:$O$798))), "", (IF(SUM($O$792:$O$798) = 0, "", SUM($O$792:$O$798))))</x:f>
        <x:v>-76.818446999999992</x:v>
      </x:c>
      <x:c r="P791">
        <x:f ca="1">IF(ISERROR(IF(SUM($P$792:$P$798) = 0, "", SUM($P$792:$P$798))), "", (IF(SUM($P$792:$P$798) = 0, "", SUM($P$792:$P$798))))</x:f>
        <x:v>-257.40418699999998</x:v>
      </x:c>
      <x:c r="Q791">
        <x:f ca="1">IF(ISERROR(IF(SUM($Q$792:$Q$798) = 0, "", SUM($Q$792:$Q$798))), "", (IF(SUM($Q$792:$Q$798) = 0, "", SUM($Q$792:$Q$798))))</x:f>
        <x:v>-270.04828000000003</x:v>
      </x:c>
      <x:c r="R791">
        <x:f ca="1">IF(ISERROR(IF(SUM($R$792:$R$798) = 0, "", SUM($R$792:$R$798))), "", (IF(SUM($R$792:$R$798) = 0, "", SUM($R$792:$R$798))))</x:f>
        <x:v>-107.08821100000002</x:v>
      </x:c>
      <x:c r="S791">
        <x:f ca="1">IF(ISERROR(IF(SUM($S$792:$S$798) = 0, "", SUM($S$792:$S$798))), "", (IF(SUM($S$792:$S$798) = 0, "", SUM($S$792:$S$798))))</x:f>
        <x:v>-4.5997420000000009</x:v>
      </x:c>
      <x:c r="T791">
        <x:f>-24.366269</x:f>
        <x:v>-24.366268999999999</x:v>
      </x:c>
      <x:c r="U791">
        <x:f>52.480735</x:f>
        <x:v>52.480735000000003</x:v>
      </x:c>
      <x:c r="V791">
        <x:f>-115.363496</x:f>
        <x:v>-115.363496</x:v>
      </x:c>
      <x:c r="W791">
        <x:f>-80.414819</x:f>
        <x:v>-80.414818999999994</x:v>
      </x:c>
      <x:c r="X791">
        <x:f>-42.876365</x:f>
        <x:v>-42.876365</x:v>
      </x:c>
      <x:c r="Y791">
        <x:f>-24.463252</x:f>
        <x:v>-24.463252000000001</x:v>
      </x:c>
      <x:c r="Z791">
        <x:f>-102.82451</x:f>
        <x:v>-102.82451</x:v>
      </x:c>
      <x:c r="AA791">
        <x:f>-47.06319</x:f>
        <x:v>-47.063189999999999</x:v>
      </x:c>
      <x:c r="AB791">
        <x:f>-68.409755</x:f>
        <x:v>-68.409755000000004</x:v>
      </x:c>
      <x:c r="AC791">
        <x:f>-76.818447</x:f>
        <x:v>-76.818447000000006</x:v>
      </x:c>
      <x:c r="AD791">
        <x:f>-257.404187</x:f>
        <x:v>-257.40418699999998</x:v>
      </x:c>
      <x:c r="AE791">
        <x:f>-270.04828</x:f>
        <x:v>-270.04827999999998</x:v>
      </x:c>
      <x:c r="AF791">
        <x:f>-107.088211</x:f>
        <x:v>-107.088211</x:v>
      </x:c>
      <x:c r="AG791">
        <x:f>-4.599742</x:f>
        <x:v>-4.599742</x:v>
      </x:c>
    </x:row>
    <x:row r="792" spans="1:33" x14ac:dyDescent="0.25">
      <x:c r="A792" t="str">
        <x:f>"            First Trust NASDAQ Cybersecuri"</x:f>
        <x:v xml:space="preserve">            First Trust NASDAQ Cybersecuri</x:v>
      </x:c>
      <x:c r="B792" t="str">
        <x:f>"CIBR US Equity"</x:f>
        <x:v>CIBR US Equity</x:v>
      </x:c>
      <x:c r="E792" t="str">
        <x:f t="shared" ref="E792:E798" si="31">"Expression"</x:f>
        <x:v>Expression</x:v>
      </x:c>
      <x:c r="F792">
        <x:f ca="1">IF(AND($B$1012=1,LEN($F$1776)&gt;0),$F$1776,HLOOKUP(INDIRECT(ADDRESS(2,COLUMN())),OFFSET($T$2,0,0,ROW()-1,14),ROW()-1,FALSE))</x:f>
        <x:v>-2.880725</x:v>
      </x:c>
      <x:c r="G792">
        <x:f ca="1">IF(AND($B$1012=1,LEN($G$1776)&gt;0),$G$1776,HLOOKUP(INDIRECT(ADDRESS(2,COLUMN())),OFFSET($T$2,0,0,ROW()-1,14),ROW()-1,FALSE))</x:f>
        <x:v>20.513642000000001</x:v>
      </x:c>
      <x:c r="H792">
        <x:f ca="1">IF(AND($B$1012=1,LEN($H$1776)&gt;0),$H$1776,HLOOKUP(INDIRECT(ADDRESS(2,COLUMN())),OFFSET($T$2,0,0,ROW()-1,14),ROW()-1,FALSE))</x:f>
        <x:v>-47.953232</x:v>
      </x:c>
      <x:c r="I792">
        <x:f ca="1">IF(AND($B$1012=1,LEN($I$1776)&gt;0),$I$1776,HLOOKUP(INDIRECT(ADDRESS(2,COLUMN())),OFFSET($T$2,0,0,ROW()-1,14),ROW()-1,FALSE))</x:f>
        <x:v>-17.569898999999999</x:v>
      </x:c>
      <x:c r="J792">
        <x:f ca="1">IF(AND($B$1012=1,LEN($J$1776)&gt;0),$J$1776,HLOOKUP(INDIRECT(ADDRESS(2,COLUMN())),OFFSET($T$2,0,0,ROW()-1,14),ROW()-1,FALSE))</x:f>
        <x:v>-2.1154999999999999</x:v>
      </x:c>
      <x:c r="K792">
        <x:f ca="1">IF(AND($B$1012=1,LEN($K$1776)&gt;0),$K$1776,HLOOKUP(INDIRECT(ADDRESS(2,COLUMN())),OFFSET($T$2,0,0,ROW()-1,14),ROW()-1,FALSE))</x:f>
        <x:v>66.451499999999996</x:v>
      </x:c>
      <x:c r="L792">
        <x:f ca="1">IF(AND($B$1012=1,LEN($L$1776)&gt;0),$L$1776,HLOOKUP(INDIRECT(ADDRESS(2,COLUMN())),OFFSET($T$2,0,0,ROW()-1,14),ROW()-1,FALSE))</x:f>
        <x:v>-109.3085</x:v>
      </x:c>
      <x:c r="M792">
        <x:f ca="1">IF(AND($B$1012=1,LEN($M$1776)&gt;0),$M$1776,HLOOKUP(INDIRECT(ADDRESS(2,COLUMN())),OFFSET($T$2,0,0,ROW()-1,14),ROW()-1,FALSE))</x:f>
        <x:v>-65.792000000000002</x:v>
      </x:c>
      <x:c r="N792">
        <x:f ca="1">IF(AND($B$1012=1,LEN($N$1776)&gt;0),$N$1776,HLOOKUP(INDIRECT(ADDRESS(2,COLUMN())),OFFSET($T$2,0,0,ROW()-1,14),ROW()-1,FALSE))</x:f>
        <x:v>-22.454499999999999</x:v>
      </x:c>
      <x:c r="O792">
        <x:f ca="1">IF(AND($B$1012=1,LEN($O$1776)&gt;0),$O$1776,HLOOKUP(INDIRECT(ADDRESS(2,COLUMN())),OFFSET($T$2,0,0,ROW()-1,14),ROW()-1,FALSE))</x:f>
        <x:v>-48.140500000000003</x:v>
      </x:c>
      <x:c r="P792">
        <x:f ca="1">IF(AND($B$1012=1,LEN($P$1776)&gt;0),$P$1776,HLOOKUP(INDIRECT(ADDRESS(2,COLUMN())),OFFSET($T$2,0,0,ROW()-1,14),ROW()-1,FALSE))</x:f>
        <x:v>-60.320121999999998</x:v>
      </x:c>
      <x:c r="Q792">
        <x:f ca="1">IF(AND($B$1012=1,LEN($Q$1776)&gt;0),$Q$1776,HLOOKUP(INDIRECT(ADDRESS(2,COLUMN())),OFFSET($T$2,0,0,ROW()-1,14),ROW()-1,FALSE))</x:f>
        <x:v>-180.57202000000001</x:v>
      </x:c>
      <x:c r="R792">
        <x:f ca="1">IF(AND($B$1012=1,LEN($R$1776)&gt;0),$R$1776,HLOOKUP(INDIRECT(ADDRESS(2,COLUMN())),OFFSET($T$2,0,0,ROW()-1,14),ROW()-1,FALSE))</x:f>
        <x:v>-56.242862000000002</x:v>
      </x:c>
      <x:c r="S792">
        <x:f ca="1">IF(AND($B$1012=1,LEN($S$1776)&gt;0),$S$1776,HLOOKUP(INDIRECT(ADDRESS(2,COLUMN())),OFFSET($T$2,0,0,ROW()-1,14),ROW()-1,FALSE))</x:f>
        <x:v>2.557998</x:v>
      </x:c>
      <x:c r="T792">
        <x:f>-2.880725</x:f>
        <x:v>-2.880725</x:v>
      </x:c>
      <x:c r="U792">
        <x:f>20.513642</x:f>
        <x:v>20.513642000000001</x:v>
      </x:c>
      <x:c r="V792">
        <x:f>-47.953232</x:f>
        <x:v>-47.953232</x:v>
      </x:c>
      <x:c r="W792">
        <x:f>-17.569899</x:f>
        <x:v>-17.569898999999999</x:v>
      </x:c>
      <x:c r="X792">
        <x:f>-2.1155</x:f>
        <x:v>-2.1154999999999999</x:v>
      </x:c>
      <x:c r="Y792">
        <x:f>66.4515</x:f>
        <x:v>66.451499999999996</x:v>
      </x:c>
      <x:c r="Z792">
        <x:f>-109.3085</x:f>
        <x:v>-109.3085</x:v>
      </x:c>
      <x:c r="AA792">
        <x:f>-65.792</x:f>
        <x:v>-65.792000000000002</x:v>
      </x:c>
      <x:c r="AB792">
        <x:f>-22.4545</x:f>
        <x:v>-22.454499999999999</x:v>
      </x:c>
      <x:c r="AC792">
        <x:f>-48.1405</x:f>
        <x:v>-48.140500000000003</x:v>
      </x:c>
      <x:c r="AD792">
        <x:f>-60.320122</x:f>
        <x:v>-60.320121999999998</x:v>
      </x:c>
      <x:c r="AE792">
        <x:f>-180.57202</x:f>
        <x:v>-180.57202000000001</x:v>
      </x:c>
      <x:c r="AF792">
        <x:f>-56.242862</x:f>
        <x:v>-56.242862000000002</x:v>
      </x:c>
      <x:c r="AG792">
        <x:f>2.557998</x:f>
        <x:v>2.557998</x:v>
      </x:c>
    </x:row>
    <x:row r="793" spans="1:33" x14ac:dyDescent="0.25">
      <x:c r="A793" t="str">
        <x:f>"            ETFMG Prime Cyber Security ETF"</x:f>
        <x:v xml:space="preserve">            ETFMG Prime Cyber Security ETF</x:v>
      </x:c>
      <x:c r="B793" t="str">
        <x:f>"HACK US Equity"</x:f>
        <x:v>HACK US Equity</x:v>
      </x:c>
      <x:c r="E793" t="str">
        <x:f t="shared" si="31"/>
        <x:v>Expression</x:v>
      </x:c>
      <x:c r="F793">
        <x:f ca="1">IF(AND($B$1012=1,LEN($F$1777)&gt;0),$F$1777,HLOOKUP(INDIRECT(ADDRESS(2,COLUMN())),OFFSET($T$2,0,0,ROW()-1,14),ROW()-1,FALSE))</x:f>
        <x:v>-10.964880000000001</x:v>
      </x:c>
      <x:c r="G793">
        <x:f ca="1">IF(AND($B$1012=1,LEN($G$1777)&gt;0),$G$1777,HLOOKUP(INDIRECT(ADDRESS(2,COLUMN())),OFFSET($T$2,0,0,ROW()-1,14),ROW()-1,FALSE))</x:f>
        <x:v>0</x:v>
      </x:c>
      <x:c r="H793">
        <x:f ca="1">IF(AND($B$1012=1,LEN($H$1777)&gt;0),$H$1777,HLOOKUP(INDIRECT(ADDRESS(2,COLUMN())),OFFSET($T$2,0,0,ROW()-1,14),ROW()-1,FALSE))</x:f>
        <x:v>-28.591139999999999</x:v>
      </x:c>
      <x:c r="I793">
        <x:f ca="1">IF(AND($B$1012=1,LEN($I$1777)&gt;0),$I$1777,HLOOKUP(INDIRECT(ADDRESS(2,COLUMN())),OFFSET($T$2,0,0,ROW()-1,14),ROW()-1,FALSE))</x:f>
        <x:v>-20.166</x:v>
      </x:c>
      <x:c r="J793">
        <x:f ca="1">IF(AND($B$1012=1,LEN($J$1777)&gt;0),$J$1777,HLOOKUP(INDIRECT(ADDRESS(2,COLUMN())),OFFSET($T$2,0,0,ROW()-1,14),ROW()-1,FALSE))</x:f>
        <x:v>-7.7304700000000004</x:v>
      </x:c>
      <x:c r="K793">
        <x:f ca="1">IF(AND($B$1012=1,LEN($K$1777)&gt;0),$K$1777,HLOOKUP(INDIRECT(ADDRESS(2,COLUMN())),OFFSET($T$2,0,0,ROW()-1,14),ROW()-1,FALSE))</x:f>
        <x:v>-27.293714999999999</x:v>
      </x:c>
      <x:c r="L793">
        <x:f ca="1">IF(AND($B$1012=1,LEN($L$1777)&gt;0),$L$1777,HLOOKUP(INDIRECT(ADDRESS(2,COLUMN())),OFFSET($T$2,0,0,ROW()-1,14),ROW()-1,FALSE))</x:f>
        <x:v>-25.103439999999999</x:v>
      </x:c>
      <x:c r="M793">
        <x:f ca="1">IF(AND($B$1012=1,LEN($M$1777)&gt;0),$M$1777,HLOOKUP(INDIRECT(ADDRESS(2,COLUMN())),OFFSET($T$2,0,0,ROW()-1,14),ROW()-1,FALSE))</x:f>
        <x:v>-14.112275</x:v>
      </x:c>
      <x:c r="N793">
        <x:f ca="1">IF(AND($B$1012=1,LEN($N$1777)&gt;0),$N$1777,HLOOKUP(INDIRECT(ADDRESS(2,COLUMN())),OFFSET($T$2,0,0,ROW()-1,14),ROW()-1,FALSE))</x:f>
        <x:v>-20.987414999999999</x:v>
      </x:c>
      <x:c r="O793">
        <x:f ca="1">IF(AND($B$1012=1,LEN($O$1777)&gt;0),$O$1777,HLOOKUP(INDIRECT(ADDRESS(2,COLUMN())),OFFSET($T$2,0,0,ROW()-1,14),ROW()-1,FALSE))</x:f>
        <x:v>-9.3493300000000001</x:v>
      </x:c>
      <x:c r="P793">
        <x:f ca="1">IF(AND($B$1012=1,LEN($P$1777)&gt;0),$P$1777,HLOOKUP(INDIRECT(ADDRESS(2,COLUMN())),OFFSET($T$2,0,0,ROW()-1,14),ROW()-1,FALSE))</x:f>
        <x:v>-24.440435000000001</x:v>
      </x:c>
      <x:c r="Q793">
        <x:f ca="1">IF(AND($B$1012=1,LEN($Q$1777)&gt;0),$Q$1777,HLOOKUP(INDIRECT(ADDRESS(2,COLUMN())),OFFSET($T$2,0,0,ROW()-1,14),ROW()-1,FALSE))</x:f>
        <x:v>-33.77176</x:v>
      </x:c>
      <x:c r="R793">
        <x:f ca="1">IF(AND($B$1012=1,LEN($R$1777)&gt;0),$R$1777,HLOOKUP(INDIRECT(ADDRESS(2,COLUMN())),OFFSET($T$2,0,0,ROW()-1,14),ROW()-1,FALSE))</x:f>
        <x:v>-19.871955</x:v>
      </x:c>
      <x:c r="S793">
        <x:f ca="1">IF(AND($B$1012=1,LEN($S$1777)&gt;0),$S$1777,HLOOKUP(INDIRECT(ADDRESS(2,COLUMN())),OFFSET($T$2,0,0,ROW()-1,14),ROW()-1,FALSE))</x:f>
        <x:v>-22.215585000000001</x:v>
      </x:c>
      <x:c r="T793">
        <x:f>-10.96488</x:f>
        <x:v>-10.964880000000001</x:v>
      </x:c>
      <x:c r="U793">
        <x:f>0</x:f>
        <x:v>0</x:v>
      </x:c>
      <x:c r="V793">
        <x:f>-28.59114</x:f>
        <x:v>-28.591139999999999</x:v>
      </x:c>
      <x:c r="W793">
        <x:f>-20.166</x:f>
        <x:v>-20.166</x:v>
      </x:c>
      <x:c r="X793">
        <x:f>-7.73047</x:f>
        <x:v>-7.7304700000000004</x:v>
      </x:c>
      <x:c r="Y793">
        <x:f>-27.293715</x:f>
        <x:v>-27.293714999999999</x:v>
      </x:c>
      <x:c r="Z793">
        <x:f>-25.10344</x:f>
        <x:v>-25.103439999999999</x:v>
      </x:c>
      <x:c r="AA793">
        <x:f>-14.112275</x:f>
        <x:v>-14.112275</x:v>
      </x:c>
      <x:c r="AB793">
        <x:f>-20.987415</x:f>
        <x:v>-20.987414999999999</x:v>
      </x:c>
      <x:c r="AC793">
        <x:f>-9.34933</x:f>
        <x:v>-9.3493300000000001</x:v>
      </x:c>
      <x:c r="AD793">
        <x:f>-24.440435</x:f>
        <x:v>-24.440435000000001</x:v>
      </x:c>
      <x:c r="AE793">
        <x:f>-33.77176</x:f>
        <x:v>-33.77176</x:v>
      </x:c>
      <x:c r="AF793">
        <x:f>-19.871955</x:f>
        <x:v>-19.871955</x:v>
      </x:c>
      <x:c r="AG793">
        <x:f>-22.215585</x:f>
        <x:v>-22.215585000000001</x:v>
      </x:c>
    </x:row>
    <x:row r="794" spans="1:33" x14ac:dyDescent="0.25">
      <x:c r="A794" t="str">
        <x:f>"            Global X Cybersecurity ETF"</x:f>
        <x:v xml:space="preserve">            Global X Cybersecurity ETF</x:v>
      </x:c>
      <x:c r="B794" t="str">
        <x:f>"BUG US Equity"</x:f>
        <x:v>BUG US Equity</x:v>
      </x:c>
      <x:c r="E794" t="str">
        <x:f t="shared" si="31"/>
        <x:v>Expression</x:v>
      </x:c>
      <x:c r="F794">
        <x:f ca="1">IF(AND($B$1012=1,LEN($F$1778)&gt;0),$F$1778,HLOOKUP(INDIRECT(ADDRESS(2,COLUMN())),OFFSET($T$2,0,0,ROW()-1,14),ROW()-1,FALSE))</x:f>
        <x:v>-10.212199999999999</x:v>
      </x:c>
      <x:c r="G794">
        <x:f ca="1">IF(AND($B$1012=1,LEN($G$1778)&gt;0),$G$1778,HLOOKUP(INDIRECT(ADDRESS(2,COLUMN())),OFFSET($T$2,0,0,ROW()-1,14),ROW()-1,FALSE))</x:f>
        <x:v>-7.5846999999999998</x:v>
      </x:c>
      <x:c r="H794">
        <x:f ca="1">IF(AND($B$1012=1,LEN($H$1778)&gt;0),$H$1778,HLOOKUP(INDIRECT(ADDRESS(2,COLUMN())),OFFSET($T$2,0,0,ROW()-1,14),ROW()-1,FALSE))</x:f>
        <x:v>-35.041899999999998</x:v>
      </x:c>
      <x:c r="I794">
        <x:f ca="1">IF(AND($B$1012=1,LEN($I$1778)&gt;0),$I$1778,HLOOKUP(INDIRECT(ADDRESS(2,COLUMN())),OFFSET($T$2,0,0,ROW()-1,14),ROW()-1,FALSE))</x:f>
        <x:v>-29.3111</x:v>
      </x:c>
      <x:c r="J794">
        <x:f ca="1">IF(AND($B$1012=1,LEN($J$1778)&gt;0),$J$1778,HLOOKUP(INDIRECT(ADDRESS(2,COLUMN())),OFFSET($T$2,0,0,ROW()-1,14),ROW()-1,FALSE))</x:f>
        <x:v>-53.046100000000003</x:v>
      </x:c>
      <x:c r="K794">
        <x:f ca="1">IF(AND($B$1012=1,LEN($K$1778)&gt;0),$K$1778,HLOOKUP(INDIRECT(ADDRESS(2,COLUMN())),OFFSET($T$2,0,0,ROW()-1,14),ROW()-1,FALSE))</x:f>
        <x:v>-62.4863</x:v>
      </x:c>
      <x:c r="L794">
        <x:f ca="1">IF(AND($B$1012=1,LEN($L$1778)&gt;0),$L$1778,HLOOKUP(INDIRECT(ADDRESS(2,COLUMN())),OFFSET($T$2,0,0,ROW()-1,14),ROW()-1,FALSE))</x:f>
        <x:v>31.4054</x:v>
      </x:c>
      <x:c r="M794">
        <x:f ca="1">IF(AND($B$1012=1,LEN($M$1778)&gt;0),$M$1778,HLOOKUP(INDIRECT(ADDRESS(2,COLUMN())),OFFSET($T$2,0,0,ROW()-1,14),ROW()-1,FALSE))</x:f>
        <x:v>-14.336600000000001</x:v>
      </x:c>
      <x:c r="N794">
        <x:f ca="1">IF(AND($B$1012=1,LEN($N$1778)&gt;0),$N$1778,HLOOKUP(INDIRECT(ADDRESS(2,COLUMN())),OFFSET($T$2,0,0,ROW()-1,14),ROW()-1,FALSE))</x:f>
        <x:v>-12.047499999999999</x:v>
      </x:c>
      <x:c r="O794">
        <x:f ca="1">IF(AND($B$1012=1,LEN($O$1778)&gt;0),$O$1778,HLOOKUP(INDIRECT(ADDRESS(2,COLUMN())),OFFSET($T$2,0,0,ROW()-1,14),ROW()-1,FALSE))</x:f>
        <x:v>-6.1969000000000003</x:v>
      </x:c>
      <x:c r="P794">
        <x:f ca="1">IF(AND($B$1012=1,LEN($P$1778)&gt;0),$P$1778,HLOOKUP(INDIRECT(ADDRESS(2,COLUMN())),OFFSET($T$2,0,0,ROW()-1,14),ROW()-1,FALSE))</x:f>
        <x:v>-159.41239999999999</x:v>
      </x:c>
      <x:c r="Q794">
        <x:f ca="1">IF(AND($B$1012=1,LEN($Q$1778)&gt;0),$Q$1778,HLOOKUP(INDIRECT(ADDRESS(2,COLUMN())),OFFSET($T$2,0,0,ROW()-1,14),ROW()-1,FALSE))</x:f>
        <x:v>-55.704500000000003</x:v>
      </x:c>
      <x:c r="R794">
        <x:f ca="1">IF(AND($B$1012=1,LEN($R$1778)&gt;0),$R$1778,HLOOKUP(INDIRECT(ADDRESS(2,COLUMN())),OFFSET($T$2,0,0,ROW()-1,14),ROW()-1,FALSE))</x:f>
        <x:v>-39.642000000000003</x:v>
      </x:c>
      <x:c r="S794">
        <x:f ca="1">IF(AND($B$1012=1,LEN($S$1778)&gt;0),$S$1778,HLOOKUP(INDIRECT(ADDRESS(2,COLUMN())),OFFSET($T$2,0,0,ROW()-1,14),ROW()-1,FALSE))</x:f>
        <x:v>16.406099999999999</x:v>
      </x:c>
      <x:c r="T794">
        <x:f>-10.2122</x:f>
        <x:v>-10.212199999999999</x:v>
      </x:c>
      <x:c r="U794">
        <x:f>-7.5847</x:f>
        <x:v>-7.5846999999999998</x:v>
      </x:c>
      <x:c r="V794">
        <x:f>-35.0419</x:f>
        <x:v>-35.041899999999998</x:v>
      </x:c>
      <x:c r="W794">
        <x:f>-29.3111</x:f>
        <x:v>-29.3111</x:v>
      </x:c>
      <x:c r="X794">
        <x:f>-53.0461</x:f>
        <x:v>-53.046100000000003</x:v>
      </x:c>
      <x:c r="Y794">
        <x:f>-62.4863</x:f>
        <x:v>-62.4863</x:v>
      </x:c>
      <x:c r="Z794">
        <x:f>31.4054</x:f>
        <x:v>31.4054</x:v>
      </x:c>
      <x:c r="AA794">
        <x:f>-14.3366</x:f>
        <x:v>-14.336600000000001</x:v>
      </x:c>
      <x:c r="AB794">
        <x:f>-12.0475</x:f>
        <x:v>-12.047499999999999</x:v>
      </x:c>
      <x:c r="AC794">
        <x:f>-6.1969</x:f>
        <x:v>-6.1969000000000003</x:v>
      </x:c>
      <x:c r="AD794">
        <x:f>-159.4124</x:f>
        <x:v>-159.41239999999999</x:v>
      </x:c>
      <x:c r="AE794">
        <x:f>-55.7045</x:f>
        <x:v>-55.704500000000003</x:v>
      </x:c>
      <x:c r="AF794">
        <x:f>-39.642</x:f>
        <x:v>-39.642000000000003</x:v>
      </x:c>
      <x:c r="AG794">
        <x:f>16.4061</x:f>
        <x:v>16.406099999999999</x:v>
      </x:c>
    </x:row>
    <x:row r="795" spans="1:33" x14ac:dyDescent="0.25">
      <x:c r="A795" t="str">
        <x:f>"            WisdomTree Cybersecurity Fund"</x:f>
        <x:v xml:space="preserve">            WisdomTree Cybersecurity Fund</x:v>
      </x:c>
      <x:c r="B795" t="str">
        <x:f>"WCBR US Equity"</x:f>
        <x:v>WCBR US Equity</x:v>
      </x:c>
      <x:c r="E795" t="str">
        <x:f t="shared" si="31"/>
        <x:v>Expression</x:v>
      </x:c>
      <x:c r="F795">
        <x:f ca="1">IF(AND($B$1012=1,LEN($F$1779)&gt;0),$F$1779,HLOOKUP(INDIRECT(ADDRESS(2,COLUMN())),OFFSET($T$2,0,0,ROW()-1,14),ROW()-1,FALSE))</x:f>
        <x:v>0</x:v>
      </x:c>
      <x:c r="G795">
        <x:f ca="1">IF(AND($B$1012=1,LEN($G$1779)&gt;0),$G$1779,HLOOKUP(INDIRECT(ADDRESS(2,COLUMN())),OFFSET($T$2,0,0,ROW()-1,14),ROW()-1,FALSE))</x:f>
        <x:v>0</x:v>
      </x:c>
      <x:c r="H795">
        <x:f ca="1">IF(AND($B$1012=1,LEN($H$1779)&gt;0),$H$1779,HLOOKUP(INDIRECT(ADDRESS(2,COLUMN())),OFFSET($T$2,0,0,ROW()-1,14),ROW()-1,FALSE))</x:f>
        <x:v>0</x:v>
      </x:c>
      <x:c r="I795">
        <x:f ca="1">IF(AND($B$1012=1,LEN($I$1779)&gt;0),$I$1779,HLOOKUP(INDIRECT(ADDRESS(2,COLUMN())),OFFSET($T$2,0,0,ROW()-1,14),ROW()-1,FALSE))</x:f>
        <x:v>0</x:v>
      </x:c>
      <x:c r="J795">
        <x:f ca="1">IF(AND($B$1012=1,LEN($J$1779)&gt;0),$J$1779,HLOOKUP(INDIRECT(ADDRESS(2,COLUMN())),OFFSET($T$2,0,0,ROW()-1,14),ROW()-1,FALSE))</x:f>
        <x:v>0</x:v>
      </x:c>
      <x:c r="K795">
        <x:f ca="1">IF(AND($B$1012=1,LEN($K$1779)&gt;0),$K$1779,HLOOKUP(INDIRECT(ADDRESS(2,COLUMN())),OFFSET($T$2,0,0,ROW()-1,14),ROW()-1,FALSE))</x:f>
        <x:v>0.76157799999999998</x:v>
      </x:c>
      <x:c r="L795">
        <x:f ca="1">IF(AND($B$1012=1,LEN($L$1779)&gt;0),$L$1779,HLOOKUP(INDIRECT(ADDRESS(2,COLUMN())),OFFSET($T$2,0,0,ROW()-1,14),ROW()-1,FALSE))</x:f>
        <x:v>0</x:v>
      </x:c>
      <x:c r="M795">
        <x:f ca="1">IF(AND($B$1012=1,LEN($M$1779)&gt;0),$M$1779,HLOOKUP(INDIRECT(ADDRESS(2,COLUMN())),OFFSET($T$2,0,0,ROW()-1,14),ROW()-1,FALSE))</x:f>
        <x:v>0</x:v>
      </x:c>
      <x:c r="N795">
        <x:f ca="1">IF(AND($B$1012=1,LEN($N$1779)&gt;0),$N$1779,HLOOKUP(INDIRECT(ADDRESS(2,COLUMN())),OFFSET($T$2,0,0,ROW()-1,14),ROW()-1,FALSE))</x:f>
        <x:v>-0.72973500000000002</x:v>
      </x:c>
      <x:c r="O795">
        <x:f ca="1">IF(AND($B$1012=1,LEN($O$1779)&gt;0),$O$1779,HLOOKUP(INDIRECT(ADDRESS(2,COLUMN())),OFFSET($T$2,0,0,ROW()-1,14),ROW()-1,FALSE))</x:f>
        <x:v>-0.92905700000000002</x:v>
      </x:c>
      <x:c r="P795">
        <x:f ca="1">IF(AND($B$1012=1,LEN($P$1779)&gt;0),$P$1779,HLOOKUP(INDIRECT(ADDRESS(2,COLUMN())),OFFSET($T$2,0,0,ROW()-1,14),ROW()-1,FALSE))</x:f>
        <x:v>0</x:v>
      </x:c>
      <x:c r="Q795">
        <x:f ca="1">IF(AND($B$1012=1,LEN($Q$1779)&gt;0),$Q$1779,HLOOKUP(INDIRECT(ADDRESS(2,COLUMN())),OFFSET($T$2,0,0,ROW()-1,14),ROW()-1,FALSE))</x:f>
        <x:v>0</x:v>
      </x:c>
      <x:c r="R795">
        <x:f ca="1">IF(AND($B$1012=1,LEN($R$1779)&gt;0),$R$1779,HLOOKUP(INDIRECT(ADDRESS(2,COLUMN())),OFFSET($T$2,0,0,ROW()-1,14),ROW()-1,FALSE))</x:f>
        <x:v>-0.14719699999999999</x:v>
      </x:c>
      <x:c r="S795">
        <x:f ca="1">IF(AND($B$1012=1,LEN($S$1779)&gt;0),$S$1779,HLOOKUP(INDIRECT(ADDRESS(2,COLUMN())),OFFSET($T$2,0,0,ROW()-1,14),ROW()-1,FALSE))</x:f>
        <x:v>-1.348255</x:v>
      </x:c>
      <x:c r="T795">
        <x:f>0</x:f>
        <x:v>0</x:v>
      </x:c>
      <x:c r="U795">
        <x:f>0</x:f>
        <x:v>0</x:v>
      </x:c>
      <x:c r="V795">
        <x:f>0</x:f>
        <x:v>0</x:v>
      </x:c>
      <x:c r="W795">
        <x:f>0</x:f>
        <x:v>0</x:v>
      </x:c>
      <x:c r="X795">
        <x:f>0</x:f>
        <x:v>0</x:v>
      </x:c>
      <x:c r="Y795">
        <x:f>0.761578</x:f>
        <x:v>0.76157799999999998</x:v>
      </x:c>
      <x:c r="Z795">
        <x:f>0</x:f>
        <x:v>0</x:v>
      </x:c>
      <x:c r="AA795">
        <x:f>0</x:f>
        <x:v>0</x:v>
      </x:c>
      <x:c r="AB795">
        <x:f>-0.729735</x:f>
        <x:v>-0.72973500000000002</x:v>
      </x:c>
      <x:c r="AC795">
        <x:f>-0.929057</x:f>
        <x:v>-0.92905700000000002</x:v>
      </x:c>
      <x:c r="AD795">
        <x:f>0</x:f>
        <x:v>0</x:v>
      </x:c>
      <x:c r="AE795">
        <x:f>0</x:f>
        <x:v>0</x:v>
      </x:c>
      <x:c r="AF795">
        <x:f>-0.147197</x:f>
        <x:v>-0.14719699999999999</x:v>
      </x:c>
      <x:c r="AG795">
        <x:f>-1.348255</x:f>
        <x:v>-1.348255</x:v>
      </x:c>
    </x:row>
    <x:row r="796" spans="1:33" x14ac:dyDescent="0.25">
      <x:c r="A796" t="str">
        <x:f>"            ProShares Ultra Nasdaq Cyberse"</x:f>
        <x:v xml:space="preserve">            ProShares Ultra Nasdaq Cyberse</x:v>
      </x:c>
      <x:c r="B796" t="str">
        <x:f>"UCYB US Equity"</x:f>
        <x:v>UCYB US Equity</x:v>
      </x:c>
      <x:c r="E796" t="str">
        <x:f t="shared" si="31"/>
        <x:v>Expression</x:v>
      </x:c>
      <x:c r="F796">
        <x:f ca="1">IF(AND($B$1012=1,LEN($F$1780)&gt;0),$F$1780,HLOOKUP(INDIRECT(ADDRESS(2,COLUMN())),OFFSET($T$2,0,0,ROW()-1,14),ROW()-1,FALSE))</x:f>
        <x:v>-0.30846400000000002</x:v>
      </x:c>
      <x:c r="G796">
        <x:f ca="1">IF(AND($B$1012=1,LEN($G$1780)&gt;0),$G$1780,HLOOKUP(INDIRECT(ADDRESS(2,COLUMN())),OFFSET($T$2,0,0,ROW()-1,14),ROW()-1,FALSE))</x:f>
        <x:v>0</x:v>
      </x:c>
      <x:c r="H796">
        <x:f ca="1">IF(AND($B$1012=1,LEN($H$1780)&gt;0),$H$1780,HLOOKUP(INDIRECT(ADDRESS(2,COLUMN())),OFFSET($T$2,0,0,ROW()-1,14),ROW()-1,FALSE))</x:f>
        <x:v>0</x:v>
      </x:c>
      <x:c r="I796">
        <x:f ca="1">IF(AND($B$1012=1,LEN($I$1780)&gt;0),$I$1780,HLOOKUP(INDIRECT(ADDRESS(2,COLUMN())),OFFSET($T$2,0,0,ROW()-1,14),ROW()-1,FALSE))</x:f>
        <x:v>0</x:v>
      </x:c>
      <x:c r="J796">
        <x:f ca="1">IF(AND($B$1012=1,LEN($J$1780)&gt;0),$J$1780,HLOOKUP(INDIRECT(ADDRESS(2,COLUMN())),OFFSET($T$2,0,0,ROW()-1,14),ROW()-1,FALSE))</x:f>
        <x:v>0</x:v>
      </x:c>
      <x:c r="K796">
        <x:f ca="1">IF(AND($B$1012=1,LEN($K$1780)&gt;0),$K$1780,HLOOKUP(INDIRECT(ADDRESS(2,COLUMN())),OFFSET($T$2,0,0,ROW()-1,14),ROW()-1,FALSE))</x:f>
        <x:v>0</x:v>
      </x:c>
      <x:c r="L796">
        <x:f ca="1">IF(AND($B$1012=1,LEN($L$1780)&gt;0),$L$1780,HLOOKUP(INDIRECT(ADDRESS(2,COLUMN())),OFFSET($T$2,0,0,ROW()-1,14),ROW()-1,FALSE))</x:f>
        <x:v>0</x:v>
      </x:c>
      <x:c r="M796">
        <x:f ca="1">IF(AND($B$1012=1,LEN($M$1780)&gt;0),$M$1780,HLOOKUP(INDIRECT(ADDRESS(2,COLUMN())),OFFSET($T$2,0,0,ROW()-1,14),ROW()-1,FALSE))</x:f>
        <x:v>-0.70114500000000002</x:v>
      </x:c>
      <x:c r="N796">
        <x:f ca="1">IF(AND($B$1012=1,LEN($N$1780)&gt;0),$N$1780,HLOOKUP(INDIRECT(ADDRESS(2,COLUMN())),OFFSET($T$2,0,0,ROW()-1,14),ROW()-1,FALSE))</x:f>
        <x:v>0</x:v>
      </x:c>
      <x:c r="O796">
        <x:f ca="1">IF(AND($B$1012=1,LEN($O$1780)&gt;0),$O$1780,HLOOKUP(INDIRECT(ADDRESS(2,COLUMN())),OFFSET($T$2,0,0,ROW()-1,14),ROW()-1,FALSE))</x:f>
        <x:v>0</x:v>
      </x:c>
      <x:c r="P796">
        <x:f ca="1">IF(AND($B$1012=1,LEN($P$1780)&gt;0),$P$1780,HLOOKUP(INDIRECT(ADDRESS(2,COLUMN())),OFFSET($T$2,0,0,ROW()-1,14),ROW()-1,FALSE))</x:f>
        <x:v>0</x:v>
      </x:c>
      <x:c r="Q796">
        <x:f ca="1">IF(AND($B$1012=1,LEN($Q$1780)&gt;0),$Q$1780,HLOOKUP(INDIRECT(ADDRESS(2,COLUMN())),OFFSET($T$2,0,0,ROW()-1,14),ROW()-1,FALSE))</x:f>
        <x:v>0</x:v>
      </x:c>
      <x:c r="R796">
        <x:f ca="1">IF(AND($B$1012=1,LEN($R$1780)&gt;0),$R$1780,HLOOKUP(INDIRECT(ADDRESS(2,COLUMN())),OFFSET($T$2,0,0,ROW()-1,14),ROW()-1,FALSE))</x:f>
        <x:v>0.63927800000000001</x:v>
      </x:c>
      <x:c r="S796">
        <x:f ca="1">IF(AND($B$1012=1,LEN($S$1780)&gt;0),$S$1780,HLOOKUP(INDIRECT(ADDRESS(2,COLUMN())),OFFSET($T$2,0,0,ROW()-1,14),ROW()-1,FALSE))</x:f>
        <x:v>0</x:v>
      </x:c>
      <x:c r="T796">
        <x:f>-0.308464</x:f>
        <x:v>-0.30846400000000002</x:v>
      </x:c>
      <x:c r="U796">
        <x:f>0</x:f>
        <x:v>0</x:v>
      </x:c>
      <x:c r="V796">
        <x:f>0</x:f>
        <x:v>0</x:v>
      </x:c>
      <x:c r="W796">
        <x:f>0</x:f>
        <x:v>0</x:v>
      </x:c>
      <x:c r="X796">
        <x:f>0</x:f>
        <x:v>0</x:v>
      </x:c>
      <x:c r="Y796">
        <x:f>0</x:f>
        <x:v>0</x:v>
      </x:c>
      <x:c r="Z796">
        <x:f>0</x:f>
        <x:v>0</x:v>
      </x:c>
      <x:c r="AA796">
        <x:f>-0.701145</x:f>
        <x:v>-0.70114500000000002</x:v>
      </x:c>
      <x:c r="AB796">
        <x:f>0</x:f>
        <x:v>0</x:v>
      </x:c>
      <x:c r="AC796">
        <x:f>0</x:f>
        <x:v>0</x:v>
      </x:c>
      <x:c r="AD796">
        <x:f>0</x:f>
        <x:v>0</x:v>
      </x:c>
      <x:c r="AE796">
        <x:f>0</x:f>
        <x:v>0</x:v>
      </x:c>
      <x:c r="AF796">
        <x:f>0.639278</x:f>
        <x:v>0.63927800000000001</x:v>
      </x:c>
      <x:c r="AG796">
        <x:f>0</x:f>
        <x:v>0</x:v>
      </x:c>
    </x:row>
    <x:row r="797" spans="1:33" x14ac:dyDescent="0.25">
      <x:c r="A797" t="str">
        <x:f>"            iShares Cybersecurity and Tech"</x:f>
        <x:v xml:space="preserve">            iShares Cybersecurity and Tech</x:v>
      </x:c>
      <x:c r="B797" t="str">
        <x:f>"IHAK US Equity"</x:f>
        <x:v>IHAK US Equity</x:v>
      </x:c>
      <x:c r="E797" t="str">
        <x:f t="shared" si="31"/>
        <x:v>Expression</x:v>
      </x:c>
      <x:c r="F797">
        <x:f ca="1">IF(AND($B$1012=1,LEN($F$1781)&gt;0),$F$1781,HLOOKUP(INDIRECT(ADDRESS(2,COLUMN())),OFFSET($T$2,0,0,ROW()-1,14),ROW()-1,FALSE))</x:f>
        <x:v>0</x:v>
      </x:c>
      <x:c r="G797">
        <x:f ca="1">IF(AND($B$1012=1,LEN($G$1781)&gt;0),$G$1781,HLOOKUP(INDIRECT(ADDRESS(2,COLUMN())),OFFSET($T$2,0,0,ROW()-1,14),ROW()-1,FALSE))</x:f>
        <x:v>39.551793000000004</x:v>
      </x:c>
      <x:c r="H797">
        <x:f ca="1">IF(AND($B$1012=1,LEN($H$1781)&gt;0),$H$1781,HLOOKUP(INDIRECT(ADDRESS(2,COLUMN())),OFFSET($T$2,0,0,ROW()-1,14),ROW()-1,FALSE))</x:f>
        <x:v>-3.7772239999999999</x:v>
      </x:c>
      <x:c r="I797">
        <x:f ca="1">IF(AND($B$1012=1,LEN($I$1781)&gt;0),$I$1781,HLOOKUP(INDIRECT(ADDRESS(2,COLUMN())),OFFSET($T$2,0,0,ROW()-1,14),ROW()-1,FALSE))</x:f>
        <x:v>-13.36782</x:v>
      </x:c>
      <x:c r="J797">
        <x:f ca="1">IF(AND($B$1012=1,LEN($J$1781)&gt;0),$J$1781,HLOOKUP(INDIRECT(ADDRESS(2,COLUMN())),OFFSET($T$2,0,0,ROW()-1,14),ROW()-1,FALSE))</x:f>
        <x:v>20.015705000000001</x:v>
      </x:c>
      <x:c r="K797">
        <x:f ca="1">IF(AND($B$1012=1,LEN($K$1781)&gt;0),$K$1781,HLOOKUP(INDIRECT(ADDRESS(2,COLUMN())),OFFSET($T$2,0,0,ROW()-1,14),ROW()-1,FALSE))</x:f>
        <x:v>-1.896315</x:v>
      </x:c>
      <x:c r="L797">
        <x:f ca="1">IF(AND($B$1012=1,LEN($L$1781)&gt;0),$L$1781,HLOOKUP(INDIRECT(ADDRESS(2,COLUMN())),OFFSET($T$2,0,0,ROW()-1,14),ROW()-1,FALSE))</x:f>
        <x:v>0.18203</x:v>
      </x:c>
      <x:c r="M797">
        <x:f ca="1">IF(AND($B$1012=1,LEN($M$1781)&gt;0),$M$1781,HLOOKUP(INDIRECT(ADDRESS(2,COLUMN())),OFFSET($T$2,0,0,ROW()-1,14),ROW()-1,FALSE))</x:f>
        <x:v>47.878830000000001</x:v>
      </x:c>
      <x:c r="N797">
        <x:f ca="1">IF(AND($B$1012=1,LEN($N$1781)&gt;0),$N$1781,HLOOKUP(INDIRECT(ADDRESS(2,COLUMN())),OFFSET($T$2,0,0,ROW()-1,14),ROW()-1,FALSE))</x:f>
        <x:v>-12.190605</x:v>
      </x:c>
      <x:c r="O797">
        <x:f ca="1">IF(AND($B$1012=1,LEN($O$1781)&gt;0),$O$1781,HLOOKUP(INDIRECT(ADDRESS(2,COLUMN())),OFFSET($T$2,0,0,ROW()-1,14),ROW()-1,FALSE))</x:f>
        <x:v>-12.20266</x:v>
      </x:c>
      <x:c r="P797">
        <x:f ca="1">IF(AND($B$1012=1,LEN($P$1781)&gt;0),$P$1781,HLOOKUP(INDIRECT(ADDRESS(2,COLUMN())),OFFSET($T$2,0,0,ROW()-1,14),ROW()-1,FALSE))</x:f>
        <x:v>-13.23123</x:v>
      </x:c>
      <x:c r="Q797">
        <x:f ca="1">IF(AND($B$1012=1,LEN($Q$1781)&gt;0),$Q$1781,HLOOKUP(INDIRECT(ADDRESS(2,COLUMN())),OFFSET($T$2,0,0,ROW()-1,14),ROW()-1,FALSE))</x:f>
        <x:v>0</x:v>
      </x:c>
      <x:c r="R797">
        <x:f ca="1">IF(AND($B$1012=1,LEN($R$1781)&gt;0),$R$1781,HLOOKUP(INDIRECT(ADDRESS(2,COLUMN())),OFFSET($T$2,0,0,ROW()-1,14),ROW()-1,FALSE))</x:f>
        <x:v>8.1765249999999998</x:v>
      </x:c>
      <x:c r="S797">
        <x:f ca="1">IF(AND($B$1012=1,LEN($S$1781)&gt;0),$S$1781,HLOOKUP(INDIRECT(ADDRESS(2,COLUMN())),OFFSET($T$2,0,0,ROW()-1,14),ROW()-1,FALSE))</x:f>
        <x:v>0</x:v>
      </x:c>
      <x:c r="T797">
        <x:f>0</x:f>
        <x:v>0</x:v>
      </x:c>
      <x:c r="U797">
        <x:f>39.551793</x:f>
        <x:v>39.551793000000004</x:v>
      </x:c>
      <x:c r="V797">
        <x:f>-3.777224</x:f>
        <x:v>-3.7772239999999999</x:v>
      </x:c>
      <x:c r="W797">
        <x:f>-13.36782</x:f>
        <x:v>-13.36782</x:v>
      </x:c>
      <x:c r="X797">
        <x:f>20.015705</x:f>
        <x:v>20.015705000000001</x:v>
      </x:c>
      <x:c r="Y797">
        <x:f>-1.896315</x:f>
        <x:v>-1.896315</x:v>
      </x:c>
      <x:c r="Z797">
        <x:f>0.18203</x:f>
        <x:v>0.18203</x:v>
      </x:c>
      <x:c r="AA797">
        <x:f>47.87883</x:f>
        <x:v>47.878830000000001</x:v>
      </x:c>
      <x:c r="AB797">
        <x:f>-12.190605</x:f>
        <x:v>-12.190605</x:v>
      </x:c>
      <x:c r="AC797">
        <x:f>-12.20266</x:f>
        <x:v>-12.20266</x:v>
      </x:c>
      <x:c r="AD797">
        <x:f>-13.23123</x:f>
        <x:v>-13.23123</x:v>
      </x:c>
      <x:c r="AE797">
        <x:f>0</x:f>
        <x:v>0</x:v>
      </x:c>
      <x:c r="AF797">
        <x:f>8.176525</x:f>
        <x:v>8.1765249999999998</x:v>
      </x:c>
      <x:c r="AG797">
        <x:f>0</x:f>
        <x:v>0</x:v>
      </x:c>
    </x:row>
    <x:row r="798" spans="1:33" x14ac:dyDescent="0.25">
      <x:c r="A798" t="str">
        <x:f>"            Direxion Daily Cyber Security"</x:f>
        <x:v xml:space="preserve">            Direxion Daily Cyber Security</x:v>
      </x:c>
      <x:c r="B798" t="str">
        <x:f>"HAKK US Equity"</x:f>
        <x:v>HAKK US Equity</x:v>
      </x:c>
      <x:c r="E798" t="str">
        <x:f t="shared" si="31"/>
        <x:v>Expression</x:v>
      </x:c>
      <x:c r="F798" t="str">
        <x:f ca="1">IF(AND($B$1012=1,LEN($F$1782)&gt;0),$F$1782,HLOOKUP(INDIRECT(ADDRESS(2,COLUMN())),OFFSET($T$2,0,0,ROW()-1,14),ROW()-1,FALSE))</x:f>
        <x:v/>
      </x:c>
      <x:c r="G798" t="str">
        <x:f ca="1">IF(AND($B$1012=1,LEN($G$1782)&gt;0),$G$1782,HLOOKUP(INDIRECT(ADDRESS(2,COLUMN())),OFFSET($T$2,0,0,ROW()-1,14),ROW()-1,FALSE))</x:f>
        <x:v/>
      </x:c>
      <x:c r="H798" t="str">
        <x:f ca="1">IF(AND($B$1012=1,LEN($H$1782)&gt;0),$H$1782,HLOOKUP(INDIRECT(ADDRESS(2,COLUMN())),OFFSET($T$2,0,0,ROW()-1,14),ROW()-1,FALSE))</x:f>
        <x:v/>
      </x:c>
      <x:c r="I798" t="str">
        <x:f ca="1">IF(AND($B$1012=1,LEN($I$1782)&gt;0),$I$1782,HLOOKUP(INDIRECT(ADDRESS(2,COLUMN())),OFFSET($T$2,0,0,ROW()-1,14),ROW()-1,FALSE))</x:f>
        <x:v/>
      </x:c>
      <x:c r="J798" t="str">
        <x:f ca="1">IF(AND($B$1012=1,LEN($J$1782)&gt;0),$J$1782,HLOOKUP(INDIRECT(ADDRESS(2,COLUMN())),OFFSET($T$2,0,0,ROW()-1,14),ROW()-1,FALSE))</x:f>
        <x:v/>
      </x:c>
      <x:c r="K798" t="str">
        <x:f ca="1">IF(AND($B$1012=1,LEN($K$1782)&gt;0),$K$1782,HLOOKUP(INDIRECT(ADDRESS(2,COLUMN())),OFFSET($T$2,0,0,ROW()-1,14),ROW()-1,FALSE))</x:f>
        <x:v/>
      </x:c>
      <x:c r="L798" t="str">
        <x:f ca="1">IF(AND($B$1012=1,LEN($L$1782)&gt;0),$L$1782,HLOOKUP(INDIRECT(ADDRESS(2,COLUMN())),OFFSET($T$2,0,0,ROW()-1,14),ROW()-1,FALSE))</x:f>
        <x:v/>
      </x:c>
      <x:c r="M798" t="str">
        <x:f ca="1">IF(AND($B$1012=1,LEN($M$1782)&gt;0),$M$1782,HLOOKUP(INDIRECT(ADDRESS(2,COLUMN())),OFFSET($T$2,0,0,ROW()-1,14),ROW()-1,FALSE))</x:f>
        <x:v/>
      </x:c>
      <x:c r="N798" t="str">
        <x:f ca="1">IF(AND($B$1012=1,LEN($N$1782)&gt;0),$N$1782,HLOOKUP(INDIRECT(ADDRESS(2,COLUMN())),OFFSET($T$2,0,0,ROW()-1,14),ROW()-1,FALSE))</x:f>
        <x:v/>
      </x:c>
      <x:c r="O798" t="str">
        <x:f ca="1">IF(AND($B$1012=1,LEN($O$1782)&gt;0),$O$1782,HLOOKUP(INDIRECT(ADDRESS(2,COLUMN())),OFFSET($T$2,0,0,ROW()-1,14),ROW()-1,FALSE))</x:f>
        <x:v/>
      </x:c>
      <x:c r="P798" t="str">
        <x:f ca="1">IF(AND($B$1012=1,LEN($P$1782)&gt;0),$P$1782,HLOOKUP(INDIRECT(ADDRESS(2,COLUMN())),OFFSET($T$2,0,0,ROW()-1,14),ROW()-1,FALSE))</x:f>
        <x:v/>
      </x:c>
      <x:c r="Q798" t="str">
        <x:f ca="1">IF(AND($B$1012=1,LEN($Q$1782)&gt;0),$Q$1782,HLOOKUP(INDIRECT(ADDRESS(2,COLUMN())),OFFSET($T$2,0,0,ROW()-1,14),ROW()-1,FALSE))</x:f>
        <x:v/>
      </x:c>
      <x:c r="R798" t="str">
        <x:f ca="1">IF(AND($B$1012=1,LEN($R$1782)&gt;0),$R$1782,HLOOKUP(INDIRECT(ADDRESS(2,COLUMN())),OFFSET($T$2,0,0,ROW()-1,14),ROW()-1,FALSE))</x:f>
        <x:v/>
      </x:c>
      <x:c r="S798" t="str">
        <x:f ca="1">IF(AND($B$1012=1,LEN($S$1782)&gt;0),$S$1782,HLOOKUP(INDIRECT(ADDRESS(2,COLUMN())),OFFSET($T$2,0,0,ROW()-1,14),ROW()-1,FALSE))</x:f>
        <x:v/>
      </x:c>
      <x:c r="T798" t="str">
        <x:f>""</x:f>
        <x:v/>
      </x:c>
      <x:c r="U798" t="str">
        <x:f>""</x:f>
        <x:v/>
      </x:c>
      <x:c r="V798" t="str">
        <x:f>""</x:f>
        <x:v/>
      </x:c>
      <x:c r="W798" t="str">
        <x:f>""</x:f>
        <x:v/>
      </x:c>
      <x:c r="X798" t="str">
        <x:f>""</x:f>
        <x:v/>
      </x:c>
      <x:c r="Y798" t="str">
        <x:f>""</x:f>
        <x:v/>
      </x:c>
      <x:c r="Z798" t="str">
        <x:f>""</x:f>
        <x:v/>
      </x:c>
      <x:c r="AA798" t="str">
        <x:f>""</x:f>
        <x:v/>
      </x:c>
      <x:c r="AB798" t="str">
        <x:f>""</x:f>
        <x:v/>
      </x:c>
      <x:c r="AC798" t="str">
        <x:f>""</x:f>
        <x:v/>
      </x:c>
      <x:c r="AD798" t="str">
        <x:f>""</x:f>
        <x:v/>
      </x:c>
      <x:c r="AE798" t="str">
        <x:f>""</x:f>
        <x:v/>
      </x:c>
      <x:c r="AF798" t="str">
        <x:f>""</x:f>
        <x:v/>
      </x:c>
      <x:c r="AG798" t="str">
        <x:f>""</x:f>
        <x:v/>
      </x:c>
    </x:row>
    <x:row r="799" spans="1:33" x14ac:dyDescent="0.25">
      <x:c r="A799" t="str">
        <x:f>"        IPO &amp; SPAC"</x:f>
        <x:v xml:space="preserve">        IPO &amp; SPAC</x:v>
      </x:c>
      <x:c r="B799" t="str">
        <x:f>""</x:f>
        <x:v/>
      </x:c>
      <x:c r="E799" t="str">
        <x:f>"Sum"</x:f>
        <x:v>Sum</x:v>
      </x:c>
      <x:c r="F799">
        <x:f ca="1">IF(ISERROR(IF(SUM($F$800:$F$814) = 0, "", SUM($F$800:$F$814))), "", (IF(SUM($F$800:$F$814) = 0, "", SUM($F$800:$F$814))))</x:f>
        <x:v>-14.693273999999999</x:v>
      </x:c>
      <x:c r="G799">
        <x:f ca="1">IF(ISERROR(IF(SUM($G$800:$G$814) = 0, "", SUM($G$800:$G$814))), "", (IF(SUM($G$800:$G$814) = 0, "", SUM($G$800:$G$814))))</x:f>
        <x:v>-43.803617000000003</x:v>
      </x:c>
      <x:c r="H799">
        <x:f ca="1">IF(ISERROR(IF(SUM($H$800:$H$814) = 0, "", SUM($H$800:$H$814))), "", (IF(SUM($H$800:$H$814) = 0, "", SUM($H$800:$H$814))))</x:f>
        <x:v>-43.573739000000003</x:v>
      </x:c>
      <x:c r="I799">
        <x:f ca="1">IF(ISERROR(IF(SUM($I$800:$I$814) = 0, "", SUM($I$800:$I$814))), "", (IF(SUM($I$800:$I$814) = 0, "", SUM($I$800:$I$814))))</x:f>
        <x:v>-40.183495999999991</x:v>
      </x:c>
      <x:c r="J799">
        <x:f ca="1">IF(ISERROR(IF(SUM($J$800:$J$814) = 0, "", SUM($J$800:$J$814))), "", (IF(SUM($J$800:$J$814) = 0, "", SUM($J$800:$J$814))))</x:f>
        <x:v>25.301720000000003</x:v>
      </x:c>
      <x:c r="K799">
        <x:f ca="1">IF(ISERROR(IF(SUM($K$800:$K$814) = 0, "", SUM($K$800:$K$814))), "", (IF(SUM($K$800:$K$814) = 0, "", SUM($K$800:$K$814))))</x:f>
        <x:v>-12.722337000000001</x:v>
      </x:c>
      <x:c r="L799">
        <x:f ca="1">IF(ISERROR(IF(SUM($L$800:$L$814) = 0, "", SUM($L$800:$L$814))), "", (IF(SUM($L$800:$L$814) = 0, "", SUM($L$800:$L$814))))</x:f>
        <x:v>-40.620241999999998</x:v>
      </x:c>
      <x:c r="M799">
        <x:f ca="1">IF(ISERROR(IF(SUM($M$800:$M$814) = 0, "", SUM($M$800:$M$814))), "", (IF(SUM($M$800:$M$814) = 0, "", SUM($M$800:$M$814))))</x:f>
        <x:v>-19.345807999999998</x:v>
      </x:c>
      <x:c r="N799">
        <x:f ca="1">IF(ISERROR(IF(SUM($N$800:$N$814) = 0, "", SUM($N$800:$N$814))), "", (IF(SUM($N$800:$N$814) = 0, "", SUM($N$800:$N$814))))</x:f>
        <x:v>-40.672008999999996</x:v>
      </x:c>
      <x:c r="O799">
        <x:f ca="1">IF(ISERROR(IF(SUM($O$800:$O$814) = 0, "", SUM($O$800:$O$814))), "", (IF(SUM($O$800:$O$814) = 0, "", SUM($O$800:$O$814))))</x:f>
        <x:v>-3.9001279999999996</x:v>
      </x:c>
      <x:c r="P799">
        <x:f ca="1">IF(ISERROR(IF(SUM($P$800:$P$814) = 0, "", SUM($P$800:$P$814))), "", (IF(SUM($P$800:$P$814) = 0, "", SUM($P$800:$P$814))))</x:f>
        <x:v>-42.128499999999995</x:v>
      </x:c>
      <x:c r="Q799">
        <x:f ca="1">IF(ISERROR(IF(SUM($Q$800:$Q$814) = 0, "", SUM($Q$800:$Q$814))), "", (IF(SUM($Q$800:$Q$814) = 0, "", SUM($Q$800:$Q$814))))</x:f>
        <x:v>-86.908894000000004</x:v>
      </x:c>
      <x:c r="R799">
        <x:f ca="1">IF(ISERROR(IF(SUM($R$800:$R$814) = 0, "", SUM($R$800:$R$814))), "", (IF(SUM($R$800:$R$814) = 0, "", SUM($R$800:$R$814))))</x:f>
        <x:v>-61.188541999999998</x:v>
      </x:c>
      <x:c r="S799">
        <x:f ca="1">IF(ISERROR(IF(SUM($S$800:$S$814) = 0, "", SUM($S$800:$S$814))), "", (IF(SUM($S$800:$S$814) = 0, "", SUM($S$800:$S$814))))</x:f>
        <x:v>-68.869551999999999</x:v>
      </x:c>
      <x:c r="T799">
        <x:f>-14.693274</x:f>
        <x:v>-14.693274000000001</x:v>
      </x:c>
      <x:c r="U799">
        <x:f>-43.803617</x:f>
        <x:v>-43.803617000000003</x:v>
      </x:c>
      <x:c r="V799">
        <x:f>-43.573739</x:f>
        <x:v>-43.573739000000003</x:v>
      </x:c>
      <x:c r="W799">
        <x:f>-40.183496</x:f>
        <x:v>-40.183495999999998</x:v>
      </x:c>
      <x:c r="X799">
        <x:f>25.30172</x:f>
        <x:v>25.30172</x:v>
      </x:c>
      <x:c r="Y799">
        <x:f>-12.722337</x:f>
        <x:v>-12.722337</x:v>
      </x:c>
      <x:c r="Z799">
        <x:f>-40.620242</x:f>
        <x:v>-40.620241999999998</x:v>
      </x:c>
      <x:c r="AA799">
        <x:f>-19.345808</x:f>
        <x:v>-19.345808000000002</x:v>
      </x:c>
      <x:c r="AB799">
        <x:f>-40.672009</x:f>
        <x:v>-40.672009000000003</x:v>
      </x:c>
      <x:c r="AC799">
        <x:f>-3.900128</x:f>
        <x:v>-3.900128</x:v>
      </x:c>
      <x:c r="AD799">
        <x:f>-42.1285</x:f>
        <x:v>-42.128500000000003</x:v>
      </x:c>
      <x:c r="AE799">
        <x:f>-86.908894</x:f>
        <x:v>-86.908894000000004</x:v>
      </x:c>
      <x:c r="AF799">
        <x:f>-61.188542</x:f>
        <x:v>-61.188541999999998</x:v>
      </x:c>
      <x:c r="AG799">
        <x:f>-68.869552</x:f>
        <x:v>-68.869551999999999</x:v>
      </x:c>
    </x:row>
    <x:row r="800" spans="1:33" x14ac:dyDescent="0.25">
      <x:c r="A800" t="str">
        <x:f>"            Renaissance IPO ETF"</x:f>
        <x:v xml:space="preserve">            Renaissance IPO ETF</x:v>
      </x:c>
      <x:c r="B800" t="str">
        <x:f>"IPO US Equity"</x:f>
        <x:v>IPO US Equity</x:v>
      </x:c>
      <x:c r="E800" t="str">
        <x:f t="shared" ref="E800:E814" si="32">"Expression"</x:f>
        <x:v>Expression</x:v>
      </x:c>
      <x:c r="F800">
        <x:f ca="1">IF(AND($B$1012=1,LEN($F$1783)&gt;0),$F$1783,HLOOKUP(INDIRECT(ADDRESS(2,COLUMN())),OFFSET($T$2,0,0,ROW()-1,14),ROW()-1,FALSE))</x:f>
        <x:v>3.139195</x:v>
      </x:c>
      <x:c r="G800">
        <x:f ca="1">IF(AND($B$1012=1,LEN($G$1783)&gt;0),$G$1783,HLOOKUP(INDIRECT(ADDRESS(2,COLUMN())),OFFSET($T$2,0,0,ROW()-1,14),ROW()-1,FALSE))</x:f>
        <x:v>-16.680154999999999</x:v>
      </x:c>
      <x:c r="H800">
        <x:f ca="1">IF(AND($B$1012=1,LEN($H$1783)&gt;0),$H$1783,HLOOKUP(INDIRECT(ADDRESS(2,COLUMN())),OFFSET($T$2,0,0,ROW()-1,14),ROW()-1,FALSE))</x:f>
        <x:v>-4.8414619999999999</x:v>
      </x:c>
      <x:c r="I800">
        <x:f ca="1">IF(AND($B$1012=1,LEN($I$1783)&gt;0),$I$1783,HLOOKUP(INDIRECT(ADDRESS(2,COLUMN())),OFFSET($T$2,0,0,ROW()-1,14),ROW()-1,FALSE))</x:f>
        <x:v>-25.471678000000001</x:v>
      </x:c>
      <x:c r="J800">
        <x:f ca="1">IF(AND($B$1012=1,LEN($J$1783)&gt;0),$J$1783,HLOOKUP(INDIRECT(ADDRESS(2,COLUMN())),OFFSET($T$2,0,0,ROW()-1,14),ROW()-1,FALSE))</x:f>
        <x:v>43.076633999999999</x:v>
      </x:c>
      <x:c r="K800">
        <x:f ca="1">IF(AND($B$1012=1,LEN($K$1783)&gt;0),$K$1783,HLOOKUP(INDIRECT(ADDRESS(2,COLUMN())),OFFSET($T$2,0,0,ROW()-1,14),ROW()-1,FALSE))</x:f>
        <x:v>17.347442999999998</x:v>
      </x:c>
      <x:c r="L800">
        <x:f ca="1">IF(AND($B$1012=1,LEN($L$1783)&gt;0),$L$1783,HLOOKUP(INDIRECT(ADDRESS(2,COLUMN())),OFFSET($T$2,0,0,ROW()-1,14),ROW()-1,FALSE))</x:f>
        <x:v>7.4656539999999998</x:v>
      </x:c>
      <x:c r="M800">
        <x:f ca="1">IF(AND($B$1012=1,LEN($M$1783)&gt;0),$M$1783,HLOOKUP(INDIRECT(ADDRESS(2,COLUMN())),OFFSET($T$2,0,0,ROW()-1,14),ROW()-1,FALSE))</x:f>
        <x:v>0</x:v>
      </x:c>
      <x:c r="N800">
        <x:f ca="1">IF(AND($B$1012=1,LEN($N$1783)&gt;0),$N$1783,HLOOKUP(INDIRECT(ADDRESS(2,COLUMN())),OFFSET($T$2,0,0,ROW()-1,14),ROW()-1,FALSE))</x:f>
        <x:v>-9.8901070000000004</x:v>
      </x:c>
      <x:c r="O800">
        <x:f ca="1">IF(AND($B$1012=1,LEN($O$1783)&gt;0),$O$1783,HLOOKUP(INDIRECT(ADDRESS(2,COLUMN())),OFFSET($T$2,0,0,ROW()-1,14),ROW()-1,FALSE))</x:f>
        <x:v>7.0712380000000001</x:v>
      </x:c>
      <x:c r="P800">
        <x:f ca="1">IF(AND($B$1012=1,LEN($P$1783)&gt;0),$P$1783,HLOOKUP(INDIRECT(ADDRESS(2,COLUMN())),OFFSET($T$2,0,0,ROW()-1,14),ROW()-1,FALSE))</x:f>
        <x:v>-8.8262850000000004</x:v>
      </x:c>
      <x:c r="Q800">
        <x:f ca="1">IF(AND($B$1012=1,LEN($Q$1783)&gt;0),$Q$1783,HLOOKUP(INDIRECT(ADDRESS(2,COLUMN())),OFFSET($T$2,0,0,ROW()-1,14),ROW()-1,FALSE))</x:f>
        <x:v>-4.8842509999999999</x:v>
      </x:c>
      <x:c r="R800">
        <x:f ca="1">IF(AND($B$1012=1,LEN($R$1783)&gt;0),$R$1783,HLOOKUP(INDIRECT(ADDRESS(2,COLUMN())),OFFSET($T$2,0,0,ROW()-1,14),ROW()-1,FALSE))</x:f>
        <x:v>-5.3123069999999997</x:v>
      </x:c>
      <x:c r="S800">
        <x:f ca="1">IF(AND($B$1012=1,LEN($S$1783)&gt;0),$S$1783,HLOOKUP(INDIRECT(ADDRESS(2,COLUMN())),OFFSET($T$2,0,0,ROW()-1,14),ROW()-1,FALSE))</x:f>
        <x:v>1.5674809999999999</x:v>
      </x:c>
      <x:c r="T800">
        <x:f>3.139195</x:f>
        <x:v>3.139195</x:v>
      </x:c>
      <x:c r="U800">
        <x:f>-16.680155</x:f>
        <x:v>-16.680154999999999</x:v>
      </x:c>
      <x:c r="V800">
        <x:f>-4.841462</x:f>
        <x:v>-4.8414619999999999</x:v>
      </x:c>
      <x:c r="W800">
        <x:f>-25.471678</x:f>
        <x:v>-25.471678000000001</x:v>
      </x:c>
      <x:c r="X800">
        <x:f>43.076634</x:f>
        <x:v>43.076633999999999</x:v>
      </x:c>
      <x:c r="Y800">
        <x:f>17.347443</x:f>
        <x:v>17.347442999999998</x:v>
      </x:c>
      <x:c r="Z800">
        <x:f>7.465654</x:f>
        <x:v>7.4656539999999998</x:v>
      </x:c>
      <x:c r="AA800">
        <x:f>0</x:f>
        <x:v>0</x:v>
      </x:c>
      <x:c r="AB800">
        <x:f>-9.890107</x:f>
        <x:v>-9.8901070000000004</x:v>
      </x:c>
      <x:c r="AC800">
        <x:f>7.071238</x:f>
        <x:v>7.0712380000000001</x:v>
      </x:c>
      <x:c r="AD800">
        <x:f>-8.826285</x:f>
        <x:v>-8.8262850000000004</x:v>
      </x:c>
      <x:c r="AE800">
        <x:f>-4.884251</x:f>
        <x:v>-4.8842509999999999</x:v>
      </x:c>
      <x:c r="AF800">
        <x:f>-5.312307</x:f>
        <x:v>-5.3123069999999997</x:v>
      </x:c>
      <x:c r="AG800">
        <x:f>1.567481</x:f>
        <x:v>1.5674809999999999</x:v>
      </x:c>
    </x:row>
    <x:row r="801" spans="1:33" x14ac:dyDescent="0.25">
      <x:c r="A801" t="str">
        <x:f>"            Renaissance International IPO"</x:f>
        <x:v xml:space="preserve">            Renaissance International IPO</x:v>
      </x:c>
      <x:c r="B801" t="str">
        <x:f>"IPOS US Equity"</x:f>
        <x:v>IPOS US Equity</x:v>
      </x:c>
      <x:c r="E801" t="str">
        <x:f t="shared" si="32"/>
        <x:v>Expression</x:v>
      </x:c>
      <x:c r="F801">
        <x:f ca="1">IF(AND($B$1012=1,LEN($F$1784)&gt;0),$F$1784,HLOOKUP(INDIRECT(ADDRESS(2,COLUMN())),OFFSET($T$2,0,0,ROW()-1,14),ROW()-1,FALSE))</x:f>
        <x:v>0</x:v>
      </x:c>
      <x:c r="G801">
        <x:f ca="1">IF(AND($B$1012=1,LEN($G$1784)&gt;0),$G$1784,HLOOKUP(INDIRECT(ADDRESS(2,COLUMN())),OFFSET($T$2,0,0,ROW()-1,14),ROW()-1,FALSE))</x:f>
        <x:v>0</x:v>
      </x:c>
      <x:c r="H801">
        <x:f ca="1">IF(AND($B$1012=1,LEN($H$1784)&gt;0),$H$1784,HLOOKUP(INDIRECT(ADDRESS(2,COLUMN())),OFFSET($T$2,0,0,ROW()-1,14),ROW()-1,FALSE))</x:f>
        <x:v>0</x:v>
      </x:c>
      <x:c r="I801">
        <x:f ca="1">IF(AND($B$1012=1,LEN($I$1784)&gt;0),$I$1784,HLOOKUP(INDIRECT(ADDRESS(2,COLUMN())),OFFSET($T$2,0,0,ROW()-1,14),ROW()-1,FALSE))</x:f>
        <x:v>0</x:v>
      </x:c>
      <x:c r="J801">
        <x:f ca="1">IF(AND($B$1012=1,LEN($J$1784)&gt;0),$J$1784,HLOOKUP(INDIRECT(ADDRESS(2,COLUMN())),OFFSET($T$2,0,0,ROW()-1,14),ROW()-1,FALSE))</x:f>
        <x:v>0</x:v>
      </x:c>
      <x:c r="K801">
        <x:f ca="1">IF(AND($B$1012=1,LEN($K$1784)&gt;0),$K$1784,HLOOKUP(INDIRECT(ADDRESS(2,COLUMN())),OFFSET($T$2,0,0,ROW()-1,14),ROW()-1,FALSE))</x:f>
        <x:v>0</x:v>
      </x:c>
      <x:c r="L801">
        <x:f ca="1">IF(AND($B$1012=1,LEN($L$1784)&gt;0),$L$1784,HLOOKUP(INDIRECT(ADDRESS(2,COLUMN())),OFFSET($T$2,0,0,ROW()-1,14),ROW()-1,FALSE))</x:f>
        <x:v>0</x:v>
      </x:c>
      <x:c r="M801">
        <x:f ca="1">IF(AND($B$1012=1,LEN($M$1784)&gt;0),$M$1784,HLOOKUP(INDIRECT(ADDRESS(2,COLUMN())),OFFSET($T$2,0,0,ROW()-1,14),ROW()-1,FALSE))</x:f>
        <x:v>0</x:v>
      </x:c>
      <x:c r="N801">
        <x:f ca="1">IF(AND($B$1012=1,LEN($N$1784)&gt;0),$N$1784,HLOOKUP(INDIRECT(ADDRESS(2,COLUMN())),OFFSET($T$2,0,0,ROW()-1,14),ROW()-1,FALSE))</x:f>
        <x:v>-0.81875600000000004</x:v>
      </x:c>
      <x:c r="O801">
        <x:f ca="1">IF(AND($B$1012=1,LEN($O$1784)&gt;0),$O$1784,HLOOKUP(INDIRECT(ADDRESS(2,COLUMN())),OFFSET($T$2,0,0,ROW()-1,14),ROW()-1,FALSE))</x:f>
        <x:v>0</x:v>
      </x:c>
      <x:c r="P801">
        <x:f ca="1">IF(AND($B$1012=1,LEN($P$1784)&gt;0),$P$1784,HLOOKUP(INDIRECT(ADDRESS(2,COLUMN())),OFFSET($T$2,0,0,ROW()-1,14),ROW()-1,FALSE))</x:f>
        <x:v>0</x:v>
      </x:c>
      <x:c r="Q801">
        <x:f ca="1">IF(AND($B$1012=1,LEN($Q$1784)&gt;0),$Q$1784,HLOOKUP(INDIRECT(ADDRESS(2,COLUMN())),OFFSET($T$2,0,0,ROW()-1,14),ROW()-1,FALSE))</x:f>
        <x:v>-0.86392999999999998</x:v>
      </x:c>
      <x:c r="R801">
        <x:f ca="1">IF(AND($B$1012=1,LEN($R$1784)&gt;0),$R$1784,HLOOKUP(INDIRECT(ADDRESS(2,COLUMN())),OFFSET($T$2,0,0,ROW()-1,14),ROW()-1,FALSE))</x:f>
        <x:v>0</x:v>
      </x:c>
      <x:c r="S801">
        <x:f ca="1">IF(AND($B$1012=1,LEN($S$1784)&gt;0),$S$1784,HLOOKUP(INDIRECT(ADDRESS(2,COLUMN())),OFFSET($T$2,0,0,ROW()-1,14),ROW()-1,FALSE))</x:f>
        <x:v>-0.75820100000000001</x:v>
      </x:c>
      <x:c r="T801">
        <x:f>0</x:f>
        <x:v>0</x:v>
      </x:c>
      <x:c r="U801">
        <x:f>0</x:f>
        <x:v>0</x:v>
      </x:c>
      <x:c r="V801">
        <x:f>0</x:f>
        <x:v>0</x:v>
      </x:c>
      <x:c r="W801">
        <x:f>0</x:f>
        <x:v>0</x:v>
      </x:c>
      <x:c r="X801">
        <x:f>0</x:f>
        <x:v>0</x:v>
      </x:c>
      <x:c r="Y801">
        <x:f>0</x:f>
        <x:v>0</x:v>
      </x:c>
      <x:c r="Z801">
        <x:f>0</x:f>
        <x:v>0</x:v>
      </x:c>
      <x:c r="AA801">
        <x:f>0</x:f>
        <x:v>0</x:v>
      </x:c>
      <x:c r="AB801">
        <x:f>-0.818756</x:f>
        <x:v>-0.81875600000000004</x:v>
      </x:c>
      <x:c r="AC801">
        <x:f>0</x:f>
        <x:v>0</x:v>
      </x:c>
      <x:c r="AD801">
        <x:f>0</x:f>
        <x:v>0</x:v>
      </x:c>
      <x:c r="AE801">
        <x:f>-0.86393</x:f>
        <x:v>-0.86392999999999998</x:v>
      </x:c>
      <x:c r="AF801">
        <x:f>0</x:f>
        <x:v>0</x:v>
      </x:c>
      <x:c r="AG801">
        <x:f>-0.758201</x:f>
        <x:v>-0.75820100000000001</x:v>
      </x:c>
    </x:row>
    <x:row r="802" spans="1:33" x14ac:dyDescent="0.25">
      <x:c r="A802" t="str">
        <x:f>"            First Trust US Equity Opportun"</x:f>
        <x:v xml:space="preserve">            First Trust US Equity Opportun</x:v>
      </x:c>
      <x:c r="B802" t="str">
        <x:f>"FPX US Equity"</x:f>
        <x:v>FPX US Equity</x:v>
      </x:c>
      <x:c r="E802" t="str">
        <x:f t="shared" si="32"/>
        <x:v>Expression</x:v>
      </x:c>
      <x:c r="F802">
        <x:f ca="1">IF(AND($B$1012=1,LEN($F$1785)&gt;0),$F$1785,HLOOKUP(INDIRECT(ADDRESS(2,COLUMN())),OFFSET($T$2,0,0,ROW()-1,14),ROW()-1,FALSE))</x:f>
        <x:v>-12.175901</x:v>
      </x:c>
      <x:c r="G802">
        <x:f ca="1">IF(AND($B$1012=1,LEN($G$1785)&gt;0),$G$1785,HLOOKUP(INDIRECT(ADDRESS(2,COLUMN())),OFFSET($T$2,0,0,ROW()-1,14),ROW()-1,FALSE))</x:f>
        <x:v>-24.248709999999999</x:v>
      </x:c>
      <x:c r="H802">
        <x:f ca="1">IF(AND($B$1012=1,LEN($H$1785)&gt;0),$H$1785,HLOOKUP(INDIRECT(ADDRESS(2,COLUMN())),OFFSET($T$2,0,0,ROW()-1,14),ROW()-1,FALSE))</x:f>
        <x:v>-33.902534000000003</x:v>
      </x:c>
      <x:c r="I802">
        <x:f ca="1">IF(AND($B$1012=1,LEN($I$1785)&gt;0),$I$1785,HLOOKUP(INDIRECT(ADDRESS(2,COLUMN())),OFFSET($T$2,0,0,ROW()-1,14),ROW()-1,FALSE))</x:f>
        <x:v>-8.2270409999999998</x:v>
      </x:c>
      <x:c r="J802">
        <x:f ca="1">IF(AND($B$1012=1,LEN($J$1785)&gt;0),$J$1785,HLOOKUP(INDIRECT(ADDRESS(2,COLUMN())),OFFSET($T$2,0,0,ROW()-1,14),ROW()-1,FALSE))</x:f>
        <x:v>0.2535</x:v>
      </x:c>
      <x:c r="K802">
        <x:f ca="1">IF(AND($B$1012=1,LEN($K$1785)&gt;0),$K$1785,HLOOKUP(INDIRECT(ADDRESS(2,COLUMN())),OFFSET($T$2,0,0,ROW()-1,14),ROW()-1,FALSE))</x:f>
        <x:v>-21.36</x:v>
      </x:c>
      <x:c r="L802">
        <x:f ca="1">IF(AND($B$1012=1,LEN($L$1785)&gt;0),$L$1785,HLOOKUP(INDIRECT(ADDRESS(2,COLUMN())),OFFSET($T$2,0,0,ROW()-1,14),ROW()-1,FALSE))</x:f>
        <x:v>-16.201499999999999</x:v>
      </x:c>
      <x:c r="M802">
        <x:f ca="1">IF(AND($B$1012=1,LEN($M$1785)&gt;0),$M$1785,HLOOKUP(INDIRECT(ADDRESS(2,COLUMN())),OFFSET($T$2,0,0,ROW()-1,14),ROW()-1,FALSE))</x:f>
        <x:v>-12.2835</x:v>
      </x:c>
      <x:c r="N802">
        <x:f ca="1">IF(AND($B$1012=1,LEN($N$1785)&gt;0),$N$1785,HLOOKUP(INDIRECT(ADDRESS(2,COLUMN())),OFFSET($T$2,0,0,ROW()-1,14),ROW()-1,FALSE))</x:f>
        <x:v>-20.279499999999999</x:v>
      </x:c>
      <x:c r="O802">
        <x:f ca="1">IF(AND($B$1012=1,LEN($O$1785)&gt;0),$O$1785,HLOOKUP(INDIRECT(ADDRESS(2,COLUMN())),OFFSET($T$2,0,0,ROW()-1,14),ROW()-1,FALSE))</x:f>
        <x:v>-8.4734999999999996</x:v>
      </x:c>
      <x:c r="P802">
        <x:f ca="1">IF(AND($B$1012=1,LEN($P$1785)&gt;0),$P$1785,HLOOKUP(INDIRECT(ADDRESS(2,COLUMN())),OFFSET($T$2,0,0,ROW()-1,14),ROW()-1,FALSE))</x:f>
        <x:v>-24.477499999999999</x:v>
      </x:c>
      <x:c r="Q802">
        <x:f ca="1">IF(AND($B$1012=1,LEN($Q$1785)&gt;0),$Q$1785,HLOOKUP(INDIRECT(ADDRESS(2,COLUMN())),OFFSET($T$2,0,0,ROW()-1,14),ROW()-1,FALSE))</x:f>
        <x:v>-28.108485999999999</x:v>
      </x:c>
      <x:c r="R802">
        <x:f ca="1">IF(AND($B$1012=1,LEN($R$1785)&gt;0),$R$1785,HLOOKUP(INDIRECT(ADDRESS(2,COLUMN())),OFFSET($T$2,0,0,ROW()-1,14),ROW()-1,FALSE))</x:f>
        <x:v>-29.701329999999999</x:v>
      </x:c>
      <x:c r="S802">
        <x:f ca="1">IF(AND($B$1012=1,LEN($S$1785)&gt;0),$S$1785,HLOOKUP(INDIRECT(ADDRESS(2,COLUMN())),OFFSET($T$2,0,0,ROW()-1,14),ROW()-1,FALSE))</x:f>
        <x:v>-41.952016</x:v>
      </x:c>
      <x:c r="T802">
        <x:f>-12.175901</x:f>
        <x:v>-12.175901</x:v>
      </x:c>
      <x:c r="U802">
        <x:f>-24.24871</x:f>
        <x:v>-24.248709999999999</x:v>
      </x:c>
      <x:c r="V802">
        <x:f>-33.902534</x:f>
        <x:v>-33.902534000000003</x:v>
      </x:c>
      <x:c r="W802">
        <x:f>-8.227041</x:f>
        <x:v>-8.2270409999999998</x:v>
      </x:c>
      <x:c r="X802">
        <x:f>0.2535</x:f>
        <x:v>0.2535</x:v>
      </x:c>
      <x:c r="Y802">
        <x:f>-21.36</x:f>
        <x:v>-21.36</x:v>
      </x:c>
      <x:c r="Z802">
        <x:f>-16.2015</x:f>
        <x:v>-16.201499999999999</x:v>
      </x:c>
      <x:c r="AA802">
        <x:f>-12.2835</x:f>
        <x:v>-12.2835</x:v>
      </x:c>
      <x:c r="AB802">
        <x:f>-20.2795</x:f>
        <x:v>-20.279499999999999</x:v>
      </x:c>
      <x:c r="AC802">
        <x:f>-8.4735</x:f>
        <x:v>-8.4734999999999996</x:v>
      </x:c>
      <x:c r="AD802">
        <x:f>-24.4775</x:f>
        <x:v>-24.477499999999999</x:v>
      </x:c>
      <x:c r="AE802">
        <x:f>-28.108486</x:f>
        <x:v>-28.108485999999999</x:v>
      </x:c>
      <x:c r="AF802">
        <x:f>-29.70133</x:f>
        <x:v>-29.701329999999999</x:v>
      </x:c>
      <x:c r="AG802">
        <x:f>-41.952016</x:f>
        <x:v>-41.952016</x:v>
      </x:c>
    </x:row>
    <x:row r="803" spans="1:33" x14ac:dyDescent="0.25">
      <x:c r="A803" t="str">
        <x:f>"            Invesco S&amp;P Spin-Off ETF"</x:f>
        <x:v xml:space="preserve">            Invesco S&amp;P Spin-Off ETF</x:v>
      </x:c>
      <x:c r="B803" t="str">
        <x:f>"CSD US Equity"</x:f>
        <x:v>CSD US Equity</x:v>
      </x:c>
      <x:c r="E803" t="str">
        <x:f t="shared" si="32"/>
        <x:v>Expression</x:v>
      </x:c>
      <x:c r="F803">
        <x:f ca="1">IF(AND($B$1012=1,LEN($F$1786)&gt;0),$F$1786,HLOOKUP(INDIRECT(ADDRESS(2,COLUMN())),OFFSET($T$2,0,0,ROW()-1,14),ROW()-1,FALSE))</x:f>
        <x:v>-1.6662490000000001</x:v>
      </x:c>
      <x:c r="G803">
        <x:f ca="1">IF(AND($B$1012=1,LEN($G$1786)&gt;0),$G$1786,HLOOKUP(INDIRECT(ADDRESS(2,COLUMN())),OFFSET($T$2,0,0,ROW()-1,14),ROW()-1,FALSE))</x:f>
        <x:v>0</x:v>
      </x:c>
      <x:c r="H803">
        <x:f ca="1">IF(AND($B$1012=1,LEN($H$1786)&gt;0),$H$1786,HLOOKUP(INDIRECT(ADDRESS(2,COLUMN())),OFFSET($T$2,0,0,ROW()-1,14),ROW()-1,FALSE))</x:f>
        <x:v>0</x:v>
      </x:c>
      <x:c r="I803">
        <x:f ca="1">IF(AND($B$1012=1,LEN($I$1786)&gt;0),$I$1786,HLOOKUP(INDIRECT(ADDRESS(2,COLUMN())),OFFSET($T$2,0,0,ROW()-1,14),ROW()-1,FALSE))</x:f>
        <x:v>-1.1381349999999999</x:v>
      </x:c>
      <x:c r="J803">
        <x:f ca="1">IF(AND($B$1012=1,LEN($J$1786)&gt;0),$J$1786,HLOOKUP(INDIRECT(ADDRESS(2,COLUMN())),OFFSET($T$2,0,0,ROW()-1,14),ROW()-1,FALSE))</x:f>
        <x:v>-0.59388600000000002</x:v>
      </x:c>
      <x:c r="K803">
        <x:f ca="1">IF(AND($B$1012=1,LEN($K$1786)&gt;0),$K$1786,HLOOKUP(INDIRECT(ADDRESS(2,COLUMN())),OFFSET($T$2,0,0,ROW()-1,14),ROW()-1,FALSE))</x:f>
        <x:v>-0.56056600000000001</x:v>
      </x:c>
      <x:c r="L803">
        <x:f ca="1">IF(AND($B$1012=1,LEN($L$1786)&gt;0),$L$1786,HLOOKUP(INDIRECT(ADDRESS(2,COLUMN())),OFFSET($T$2,0,0,ROW()-1,14),ROW()-1,FALSE))</x:f>
        <x:v>-0.54801900000000003</x:v>
      </x:c>
      <x:c r="M803">
        <x:f ca="1">IF(AND($B$1012=1,LEN($M$1786)&gt;0),$M$1786,HLOOKUP(INDIRECT(ADDRESS(2,COLUMN())),OFFSET($T$2,0,0,ROW()-1,14),ROW()-1,FALSE))</x:f>
        <x:v>0</x:v>
      </x:c>
      <x:c r="N803">
        <x:f ca="1">IF(AND($B$1012=1,LEN($N$1786)&gt;0),$N$1786,HLOOKUP(INDIRECT(ADDRESS(2,COLUMN())),OFFSET($T$2,0,0,ROW()-1,14),ROW()-1,FALSE))</x:f>
        <x:v>-1.662615</x:v>
      </x:c>
      <x:c r="O803">
        <x:f ca="1">IF(AND($B$1012=1,LEN($O$1786)&gt;0),$O$1786,HLOOKUP(INDIRECT(ADDRESS(2,COLUMN())),OFFSET($T$2,0,0,ROW()-1,14),ROW()-1,FALSE))</x:f>
        <x:v>-1.1866380000000001</x:v>
      </x:c>
      <x:c r="P803">
        <x:f ca="1">IF(AND($B$1012=1,LEN($P$1786)&gt;0),$P$1786,HLOOKUP(INDIRECT(ADDRESS(2,COLUMN())),OFFSET($T$2,0,0,ROW()-1,14),ROW()-1,FALSE))</x:f>
        <x:v>-0.54117700000000002</x:v>
      </x:c>
      <x:c r="Q803">
        <x:f ca="1">IF(AND($B$1012=1,LEN($Q$1786)&gt;0),$Q$1786,HLOOKUP(INDIRECT(ADDRESS(2,COLUMN())),OFFSET($T$2,0,0,ROW()-1,14),ROW()-1,FALSE))</x:f>
        <x:v>-0.51566699999999999</x:v>
      </x:c>
      <x:c r="R803">
        <x:f ca="1">IF(AND($B$1012=1,LEN($R$1786)&gt;0),$R$1786,HLOOKUP(INDIRECT(ADDRESS(2,COLUMN())),OFFSET($T$2,0,0,ROW()-1,14),ROW()-1,FALSE))</x:f>
        <x:v>-0.552176</x:v>
      </x:c>
      <x:c r="S803">
        <x:f ca="1">IF(AND($B$1012=1,LEN($S$1786)&gt;0),$S$1786,HLOOKUP(INDIRECT(ADDRESS(2,COLUMN())),OFFSET($T$2,0,0,ROW()-1,14),ROW()-1,FALSE))</x:f>
        <x:v>-1.050233</x:v>
      </x:c>
      <x:c r="T803">
        <x:f>-1.666249</x:f>
        <x:v>-1.6662490000000001</x:v>
      </x:c>
      <x:c r="U803">
        <x:f>0</x:f>
        <x:v>0</x:v>
      </x:c>
      <x:c r="V803">
        <x:f>0</x:f>
        <x:v>0</x:v>
      </x:c>
      <x:c r="W803">
        <x:f>-1.138135</x:f>
        <x:v>-1.1381349999999999</x:v>
      </x:c>
      <x:c r="X803">
        <x:f>-0.593886</x:f>
        <x:v>-0.59388600000000002</x:v>
      </x:c>
      <x:c r="Y803">
        <x:f>-0.560566</x:f>
        <x:v>-0.56056600000000001</x:v>
      </x:c>
      <x:c r="Z803">
        <x:f>-0.548019</x:f>
        <x:v>-0.54801900000000003</x:v>
      </x:c>
      <x:c r="AA803">
        <x:f>0</x:f>
        <x:v>0</x:v>
      </x:c>
      <x:c r="AB803">
        <x:f>-1.662615</x:f>
        <x:v>-1.662615</x:v>
      </x:c>
      <x:c r="AC803">
        <x:f>-1.186638</x:f>
        <x:v>-1.1866380000000001</x:v>
      </x:c>
      <x:c r="AD803">
        <x:f>-0.541177</x:f>
        <x:v>-0.54117700000000002</x:v>
      </x:c>
      <x:c r="AE803">
        <x:f>-0.515667</x:f>
        <x:v>-0.51566699999999999</x:v>
      </x:c>
      <x:c r="AF803">
        <x:f>-0.552176</x:f>
        <x:v>-0.552176</x:v>
      </x:c>
      <x:c r="AG803">
        <x:f>-1.050233</x:f>
        <x:v>-1.050233</x:v>
      </x:c>
    </x:row>
    <x:row r="804" spans="1:33" x14ac:dyDescent="0.25">
      <x:c r="A804" t="str">
        <x:f>"            First Trust International Equi"</x:f>
        <x:v xml:space="preserve">            First Trust International Equi</x:v>
      </x:c>
      <x:c r="B804" t="str">
        <x:f>"FPXI US Equity"</x:f>
        <x:v>FPXI US Equity</x:v>
      </x:c>
      <x:c r="E804" t="str">
        <x:f t="shared" si="32"/>
        <x:v>Expression</x:v>
      </x:c>
      <x:c r="F804">
        <x:f ca="1">IF(AND($B$1012=1,LEN($F$1787)&gt;0),$F$1787,HLOOKUP(INDIRECT(ADDRESS(2,COLUMN())),OFFSET($T$2,0,0,ROW()-1,14),ROW()-1,FALSE))</x:f>
        <x:v>-3.9903189999999999</x:v>
      </x:c>
      <x:c r="G804">
        <x:f ca="1">IF(AND($B$1012=1,LEN($G$1787)&gt;0),$G$1787,HLOOKUP(INDIRECT(ADDRESS(2,COLUMN())),OFFSET($T$2,0,0,ROW()-1,14),ROW()-1,FALSE))</x:f>
        <x:v>-1.8679060000000001</x:v>
      </x:c>
      <x:c r="H804">
        <x:f ca="1">IF(AND($B$1012=1,LEN($H$1787)&gt;0),$H$1787,HLOOKUP(INDIRECT(ADDRESS(2,COLUMN())),OFFSET($T$2,0,0,ROW()-1,14),ROW()-1,FALSE))</x:f>
        <x:v>-3.9660000000000002</x:v>
      </x:c>
      <x:c r="I804">
        <x:f ca="1">IF(AND($B$1012=1,LEN($I$1787)&gt;0),$I$1787,HLOOKUP(INDIRECT(ADDRESS(2,COLUMN())),OFFSET($T$2,0,0,ROW()-1,14),ROW()-1,FALSE))</x:f>
        <x:v>-6.1690050000000003</x:v>
      </x:c>
      <x:c r="J804">
        <x:f ca="1">IF(AND($B$1012=1,LEN($J$1787)&gt;0),$J$1787,HLOOKUP(INDIRECT(ADDRESS(2,COLUMN())),OFFSET($T$2,0,0,ROW()-1,14),ROW()-1,FALSE))</x:f>
        <x:v>-14.206</x:v>
      </x:c>
      <x:c r="K804">
        <x:f ca="1">IF(AND($B$1012=1,LEN($K$1787)&gt;0),$K$1787,HLOOKUP(INDIRECT(ADDRESS(2,COLUMN())),OFFSET($T$2,0,0,ROW()-1,14),ROW()-1,FALSE))</x:f>
        <x:v>-7.8855000000000004</x:v>
      </x:c>
      <x:c r="L804">
        <x:f ca="1">IF(AND($B$1012=1,LEN($L$1787)&gt;0),$L$1787,HLOOKUP(INDIRECT(ADDRESS(2,COLUMN())),OFFSET($T$2,0,0,ROW()-1,14),ROW()-1,FALSE))</x:f>
        <x:v>-27.427</x:v>
      </x:c>
      <x:c r="M804">
        <x:f ca="1">IF(AND($B$1012=1,LEN($M$1787)&gt;0),$M$1787,HLOOKUP(INDIRECT(ADDRESS(2,COLUMN())),OFFSET($T$2,0,0,ROW()-1,14),ROW()-1,FALSE))</x:f>
        <x:v>-8.0990000000000002</x:v>
      </x:c>
      <x:c r="N804">
        <x:f ca="1">IF(AND($B$1012=1,LEN($N$1787)&gt;0),$N$1787,HLOOKUP(INDIRECT(ADDRESS(2,COLUMN())),OFFSET($T$2,0,0,ROW()-1,14),ROW()-1,FALSE))</x:f>
        <x:v>-10.0185</x:v>
      </x:c>
      <x:c r="O804">
        <x:f ca="1">IF(AND($B$1012=1,LEN($O$1787)&gt;0),$O$1787,HLOOKUP(INDIRECT(ADDRESS(2,COLUMN())),OFFSET($T$2,0,0,ROW()-1,14),ROW()-1,FALSE))</x:f>
        <x:v>0</x:v>
      </x:c>
      <x:c r="P804">
        <x:f ca="1">IF(AND($B$1012=1,LEN($P$1787)&gt;0),$P$1787,HLOOKUP(INDIRECT(ADDRESS(2,COLUMN())),OFFSET($T$2,0,0,ROW()-1,14),ROW()-1,FALSE))</x:f>
        <x:v>-12.2225</x:v>
      </x:c>
      <x:c r="Q804">
        <x:f ca="1">IF(AND($B$1012=1,LEN($Q$1787)&gt;0),$Q$1787,HLOOKUP(INDIRECT(ADDRESS(2,COLUMN())),OFFSET($T$2,0,0,ROW()-1,14),ROW()-1,FALSE))</x:f>
        <x:v>-44.99</x:v>
      </x:c>
      <x:c r="R804">
        <x:f ca="1">IF(AND($B$1012=1,LEN($R$1787)&gt;0),$R$1787,HLOOKUP(INDIRECT(ADDRESS(2,COLUMN())),OFFSET($T$2,0,0,ROW()-1,14),ROW()-1,FALSE))</x:f>
        <x:v>-18.879601999999998</x:v>
      </x:c>
      <x:c r="S804">
        <x:f ca="1">IF(AND($B$1012=1,LEN($S$1787)&gt;0),$S$1787,HLOOKUP(INDIRECT(ADDRESS(2,COLUMN())),OFFSET($T$2,0,0,ROW()-1,14),ROW()-1,FALSE))</x:f>
        <x:v>-26.329753</x:v>
      </x:c>
      <x:c r="T804">
        <x:f>-3.990319</x:f>
        <x:v>-3.9903189999999999</x:v>
      </x:c>
      <x:c r="U804">
        <x:f>-1.867906</x:f>
        <x:v>-1.8679060000000001</x:v>
      </x:c>
      <x:c r="V804">
        <x:f>-3.966</x:f>
        <x:v>-3.9660000000000002</x:v>
      </x:c>
      <x:c r="W804">
        <x:f>-6.169005</x:f>
        <x:v>-6.1690050000000003</x:v>
      </x:c>
      <x:c r="X804">
        <x:f>-14.206</x:f>
        <x:v>-14.206</x:v>
      </x:c>
      <x:c r="Y804">
        <x:f>-7.8855</x:f>
        <x:v>-7.8855000000000004</x:v>
      </x:c>
      <x:c r="Z804">
        <x:f>-27.427</x:f>
        <x:v>-27.427</x:v>
      </x:c>
      <x:c r="AA804">
        <x:f>-8.099</x:f>
        <x:v>-8.0990000000000002</x:v>
      </x:c>
      <x:c r="AB804">
        <x:f>-10.0185</x:f>
        <x:v>-10.0185</x:v>
      </x:c>
      <x:c r="AC804">
        <x:f>0</x:f>
        <x:v>0</x:v>
      </x:c>
      <x:c r="AD804">
        <x:f>-12.2225</x:f>
        <x:v>-12.2225</x:v>
      </x:c>
      <x:c r="AE804">
        <x:f>-44.99</x:f>
        <x:v>-44.99</x:v>
      </x:c>
      <x:c r="AF804">
        <x:f>-18.879602</x:f>
        <x:v>-18.879601999999998</x:v>
      </x:c>
      <x:c r="AG804">
        <x:f>-26.329753</x:f>
        <x:v>-26.329753</x:v>
      </x:c>
    </x:row>
    <x:row r="805" spans="1:33" x14ac:dyDescent="0.25">
      <x:c r="A805" t="str">
        <x:f>"            First Trust IPOX Europe Equity"</x:f>
        <x:v xml:space="preserve">            First Trust IPOX Europe Equity</x:v>
      </x:c>
      <x:c r="B805" t="str">
        <x:f>"FPXE US Equity"</x:f>
        <x:v>FPXE US Equity</x:v>
      </x:c>
      <x:c r="E805" t="str">
        <x:f t="shared" si="32"/>
        <x:v>Expression</x:v>
      </x:c>
      <x:c r="F805">
        <x:f ca="1">IF(AND($B$1012=1,LEN($F$1788)&gt;0),$F$1788,HLOOKUP(INDIRECT(ADDRESS(2,COLUMN())),OFFSET($T$2,0,0,ROW()-1,14),ROW()-1,FALSE))</x:f>
        <x:v>0</x:v>
      </x:c>
      <x:c r="G805">
        <x:f ca="1">IF(AND($B$1012=1,LEN($G$1788)&gt;0),$G$1788,HLOOKUP(INDIRECT(ADDRESS(2,COLUMN())),OFFSET($T$2,0,0,ROW()-1,14),ROW()-1,FALSE))</x:f>
        <x:v>0</x:v>
      </x:c>
      <x:c r="H805">
        <x:f ca="1">IF(AND($B$1012=1,LEN($H$1788)&gt;0),$H$1788,HLOOKUP(INDIRECT(ADDRESS(2,COLUMN())),OFFSET($T$2,0,0,ROW()-1,14),ROW()-1,FALSE))</x:f>
        <x:v>-1.080131</x:v>
      </x:c>
      <x:c r="I805">
        <x:f ca="1">IF(AND($B$1012=1,LEN($I$1788)&gt;0),$I$1788,HLOOKUP(INDIRECT(ADDRESS(2,COLUMN())),OFFSET($T$2,0,0,ROW()-1,14),ROW()-1,FALSE))</x:f>
        <x:v>0</x:v>
      </x:c>
      <x:c r="J805">
        <x:f ca="1">IF(AND($B$1012=1,LEN($J$1788)&gt;0),$J$1788,HLOOKUP(INDIRECT(ADDRESS(2,COLUMN())),OFFSET($T$2,0,0,ROW()-1,14),ROW()-1,FALSE))</x:f>
        <x:v>0</x:v>
      </x:c>
      <x:c r="K805">
        <x:f ca="1">IF(AND($B$1012=1,LEN($K$1788)&gt;0),$K$1788,HLOOKUP(INDIRECT(ADDRESS(2,COLUMN())),OFFSET($T$2,0,0,ROW()-1,14),ROW()-1,FALSE))</x:f>
        <x:v>0</x:v>
      </x:c>
      <x:c r="L805">
        <x:f ca="1">IF(AND($B$1012=1,LEN($L$1788)&gt;0),$L$1788,HLOOKUP(INDIRECT(ADDRESS(2,COLUMN())),OFFSET($T$2,0,0,ROW()-1,14),ROW()-1,FALSE))</x:f>
        <x:v>0</x:v>
      </x:c>
      <x:c r="M805">
        <x:f ca="1">IF(AND($B$1012=1,LEN($M$1788)&gt;0),$M$1788,HLOOKUP(INDIRECT(ADDRESS(2,COLUMN())),OFFSET($T$2,0,0,ROW()-1,14),ROW()-1,FALSE))</x:f>
        <x:v>0</x:v>
      </x:c>
      <x:c r="N805">
        <x:f ca="1">IF(AND($B$1012=1,LEN($N$1788)&gt;0),$N$1788,HLOOKUP(INDIRECT(ADDRESS(2,COLUMN())),OFFSET($T$2,0,0,ROW()-1,14),ROW()-1,FALSE))</x:f>
        <x:v>0</x:v>
      </x:c>
      <x:c r="O805">
        <x:f ca="1">IF(AND($B$1012=1,LEN($O$1788)&gt;0),$O$1788,HLOOKUP(INDIRECT(ADDRESS(2,COLUMN())),OFFSET($T$2,0,0,ROW()-1,14),ROW()-1,FALSE))</x:f>
        <x:v>-1.0794999999999999</x:v>
      </x:c>
      <x:c r="P805">
        <x:f ca="1">IF(AND($B$1012=1,LEN($P$1788)&gt;0),$P$1788,HLOOKUP(INDIRECT(ADDRESS(2,COLUMN())),OFFSET($T$2,0,0,ROW()-1,14),ROW()-1,FALSE))</x:f>
        <x:v>0</x:v>
      </x:c>
      <x:c r="Q805">
        <x:f ca="1">IF(AND($B$1012=1,LEN($Q$1788)&gt;0),$Q$1788,HLOOKUP(INDIRECT(ADDRESS(2,COLUMN())),OFFSET($T$2,0,0,ROW()-1,14),ROW()-1,FALSE))</x:f>
        <x:v>0</x:v>
      </x:c>
      <x:c r="R805">
        <x:f ca="1">IF(AND($B$1012=1,LEN($R$1788)&gt;0),$R$1788,HLOOKUP(INDIRECT(ADDRESS(2,COLUMN())),OFFSET($T$2,0,0,ROW()-1,14),ROW()-1,FALSE))</x:f>
        <x:v>0</x:v>
      </x:c>
      <x:c r="S805">
        <x:f ca="1">IF(AND($B$1012=1,LEN($S$1788)&gt;0),$S$1788,HLOOKUP(INDIRECT(ADDRESS(2,COLUMN())),OFFSET($T$2,0,0,ROW()-1,14),ROW()-1,FALSE))</x:f>
        <x:v>0</x:v>
      </x:c>
      <x:c r="T805">
        <x:f>0</x:f>
        <x:v>0</x:v>
      </x:c>
      <x:c r="U805">
        <x:f>0</x:f>
        <x:v>0</x:v>
      </x:c>
      <x:c r="V805">
        <x:f>-1.080131</x:f>
        <x:v>-1.080131</x:v>
      </x:c>
      <x:c r="W805">
        <x:f>0</x:f>
        <x:v>0</x:v>
      </x:c>
      <x:c r="X805">
        <x:f>0</x:f>
        <x:v>0</x:v>
      </x:c>
      <x:c r="Y805">
        <x:f>0</x:f>
        <x:v>0</x:v>
      </x:c>
      <x:c r="Z805">
        <x:f>0</x:f>
        <x:v>0</x:v>
      </x:c>
      <x:c r="AA805">
        <x:f>0</x:f>
        <x:v>0</x:v>
      </x:c>
      <x:c r="AB805">
        <x:f>0</x:f>
        <x:v>0</x:v>
      </x:c>
      <x:c r="AC805">
        <x:f>-1.0795</x:f>
        <x:v>-1.0794999999999999</x:v>
      </x:c>
      <x:c r="AD805">
        <x:f>0</x:f>
        <x:v>0</x:v>
      </x:c>
      <x:c r="AE805">
        <x:f>0</x:f>
        <x:v>0</x:v>
      </x:c>
      <x:c r="AF805">
        <x:f>0</x:f>
        <x:v>0</x:v>
      </x:c>
      <x:c r="AG805">
        <x:f>0</x:f>
        <x:v>0</x:v>
      </x:c>
    </x:row>
    <x:row r="806" spans="1:33" x14ac:dyDescent="0.25">
      <x:c r="A806" t="str">
        <x:f>"            Defiance NextGen SPAC Derived"</x:f>
        <x:v xml:space="preserve">            Defiance NextGen SPAC Derived</x:v>
      </x:c>
      <x:c r="B806" t="str">
        <x:f>"SPAK US Equity"</x:f>
        <x:v>SPAK US Equity</x:v>
      </x:c>
      <x:c r="E806" t="str">
        <x:f t="shared" si="32"/>
        <x:v>Expression</x:v>
      </x:c>
      <x:c r="F806" t="str">
        <x:f ca="1">IF(AND($B$1012=1,LEN($F$1789)&gt;0),$F$1789,HLOOKUP(INDIRECT(ADDRESS(2,COLUMN())),OFFSET($T$2,0,0,ROW()-1,14),ROW()-1,FALSE))</x:f>
        <x:v/>
      </x:c>
      <x:c r="G806" t="str">
        <x:f ca="1">IF(AND($B$1012=1,LEN($G$1789)&gt;0),$G$1789,HLOOKUP(INDIRECT(ADDRESS(2,COLUMN())),OFFSET($T$2,0,0,ROW()-1,14),ROW()-1,FALSE))</x:f>
        <x:v/>
      </x:c>
      <x:c r="H806" t="str">
        <x:f ca="1">IF(AND($B$1012=1,LEN($H$1789)&gt;0),$H$1789,HLOOKUP(INDIRECT(ADDRESS(2,COLUMN())),OFFSET($T$2,0,0,ROW()-1,14),ROW()-1,FALSE))</x:f>
        <x:v/>
      </x:c>
      <x:c r="I806" t="str">
        <x:f ca="1">IF(AND($B$1012=1,LEN($I$1789)&gt;0),$I$1789,HLOOKUP(INDIRECT(ADDRESS(2,COLUMN())),OFFSET($T$2,0,0,ROW()-1,14),ROW()-1,FALSE))</x:f>
        <x:v/>
      </x:c>
      <x:c r="J806" t="str">
        <x:f ca="1">IF(AND($B$1012=1,LEN($J$1789)&gt;0),$J$1789,HLOOKUP(INDIRECT(ADDRESS(2,COLUMN())),OFFSET($T$2,0,0,ROW()-1,14),ROW()-1,FALSE))</x:f>
        <x:v/>
      </x:c>
      <x:c r="K806" t="str">
        <x:f ca="1">IF(AND($B$1012=1,LEN($K$1789)&gt;0),$K$1789,HLOOKUP(INDIRECT(ADDRESS(2,COLUMN())),OFFSET($T$2,0,0,ROW()-1,14),ROW()-1,FALSE))</x:f>
        <x:v/>
      </x:c>
      <x:c r="L806" t="str">
        <x:f ca="1">IF(AND($B$1012=1,LEN($L$1789)&gt;0),$L$1789,HLOOKUP(INDIRECT(ADDRESS(2,COLUMN())),OFFSET($T$2,0,0,ROW()-1,14),ROW()-1,FALSE))</x:f>
        <x:v/>
      </x:c>
      <x:c r="M806" t="str">
        <x:f ca="1">IF(AND($B$1012=1,LEN($M$1789)&gt;0),$M$1789,HLOOKUP(INDIRECT(ADDRESS(2,COLUMN())),OFFSET($T$2,0,0,ROW()-1,14),ROW()-1,FALSE))</x:f>
        <x:v/>
      </x:c>
      <x:c r="N806" t="str">
        <x:f ca="1">IF(AND($B$1012=1,LEN($N$1789)&gt;0),$N$1789,HLOOKUP(INDIRECT(ADDRESS(2,COLUMN())),OFFSET($T$2,0,0,ROW()-1,14),ROW()-1,FALSE))</x:f>
        <x:v/>
      </x:c>
      <x:c r="O806" t="str">
        <x:f ca="1">IF(AND($B$1012=1,LEN($O$1789)&gt;0),$O$1789,HLOOKUP(INDIRECT(ADDRESS(2,COLUMN())),OFFSET($T$2,0,0,ROW()-1,14),ROW()-1,FALSE))</x:f>
        <x:v/>
      </x:c>
      <x:c r="P806" t="str">
        <x:f ca="1">IF(AND($B$1012=1,LEN($P$1789)&gt;0),$P$1789,HLOOKUP(INDIRECT(ADDRESS(2,COLUMN())),OFFSET($T$2,0,0,ROW()-1,14),ROW()-1,FALSE))</x:f>
        <x:v/>
      </x:c>
      <x:c r="Q806" t="str">
        <x:f ca="1">IF(AND($B$1012=1,LEN($Q$1789)&gt;0),$Q$1789,HLOOKUP(INDIRECT(ADDRESS(2,COLUMN())),OFFSET($T$2,0,0,ROW()-1,14),ROW()-1,FALSE))</x:f>
        <x:v/>
      </x:c>
      <x:c r="R806" t="str">
        <x:f ca="1">IF(AND($B$1012=1,LEN($R$1789)&gt;0),$R$1789,HLOOKUP(INDIRECT(ADDRESS(2,COLUMN())),OFFSET($T$2,0,0,ROW()-1,14),ROW()-1,FALSE))</x:f>
        <x:v/>
      </x:c>
      <x:c r="S806" t="str">
        <x:f ca="1">IF(AND($B$1012=1,LEN($S$1789)&gt;0),$S$1789,HLOOKUP(INDIRECT(ADDRESS(2,COLUMN())),OFFSET($T$2,0,0,ROW()-1,14),ROW()-1,FALSE))</x:f>
        <x:v/>
      </x:c>
      <x:c r="T806" t="str">
        <x:f>""</x:f>
        <x:v/>
      </x:c>
      <x:c r="U806" t="str">
        <x:f>""</x:f>
        <x:v/>
      </x:c>
      <x:c r="V806" t="str">
        <x:f>""</x:f>
        <x:v/>
      </x:c>
      <x:c r="W806" t="str">
        <x:f>""</x:f>
        <x:v/>
      </x:c>
      <x:c r="X806" t="str">
        <x:f>""</x:f>
        <x:v/>
      </x:c>
      <x:c r="Y806" t="str">
        <x:f>""</x:f>
        <x:v/>
      </x:c>
      <x:c r="Z806" t="str">
        <x:f>""</x:f>
        <x:v/>
      </x:c>
      <x:c r="AA806" t="str">
        <x:f>""</x:f>
        <x:v/>
      </x:c>
      <x:c r="AB806" t="str">
        <x:f>""</x:f>
        <x:v/>
      </x:c>
      <x:c r="AC806" t="str">
        <x:f>""</x:f>
        <x:v/>
      </x:c>
      <x:c r="AD806" t="str">
        <x:f>""</x:f>
        <x:v/>
      </x:c>
      <x:c r="AE806" t="str">
        <x:f>""</x:f>
        <x:v/>
      </x:c>
      <x:c r="AF806" t="str">
        <x:f>""</x:f>
        <x:v/>
      </x:c>
      <x:c r="AG806" t="str">
        <x:f>""</x:f>
        <x:v/>
      </x:c>
    </x:row>
    <x:row r="807" spans="1:33" x14ac:dyDescent="0.25">
      <x:c r="A807" t="str">
        <x:f>"            SPAC &amp; New Issue ETF"</x:f>
        <x:v xml:space="preserve">            SPAC &amp; New Issue ETF</x:v>
      </x:c>
      <x:c r="B807" t="str">
        <x:f>"SPCX US Equity"</x:f>
        <x:v>SPCX US Equity</x:v>
      </x:c>
      <x:c r="E807" t="str">
        <x:f t="shared" si="32"/>
        <x:v>Expression</x:v>
      </x:c>
      <x:c r="F807">
        <x:f ca="1">IF(AND($B$1012=1,LEN($F$1790)&gt;0),$F$1790,HLOOKUP(INDIRECT(ADDRESS(2,COLUMN())),OFFSET($T$2,0,0,ROW()-1,14),ROW()-1,FALSE))</x:f>
        <x:v>0</x:v>
      </x:c>
      <x:c r="G807">
        <x:f ca="1">IF(AND($B$1012=1,LEN($G$1790)&gt;0),$G$1790,HLOOKUP(INDIRECT(ADDRESS(2,COLUMN())),OFFSET($T$2,0,0,ROW()-1,14),ROW()-1,FALSE))</x:f>
        <x:v>-0.58801999999999999</x:v>
      </x:c>
      <x:c r="H807">
        <x:f ca="1">IF(AND($B$1012=1,LEN($H$1790)&gt;0),$H$1790,HLOOKUP(INDIRECT(ADDRESS(2,COLUMN())),OFFSET($T$2,0,0,ROW()-1,14),ROW()-1,FALSE))</x:f>
        <x:v>0</x:v>
      </x:c>
      <x:c r="I807">
        <x:f ca="1">IF(AND($B$1012=1,LEN($I$1790)&gt;0),$I$1790,HLOOKUP(INDIRECT(ADDRESS(2,COLUMN())),OFFSET($T$2,0,0,ROW()-1,14),ROW()-1,FALSE))</x:f>
        <x:v>-0.59500500000000001</x:v>
      </x:c>
      <x:c r="J807">
        <x:f ca="1">IF(AND($B$1012=1,LEN($J$1790)&gt;0),$J$1790,HLOOKUP(INDIRECT(ADDRESS(2,COLUMN())),OFFSET($T$2,0,0,ROW()-1,14),ROW()-1,FALSE))</x:f>
        <x:v>0</x:v>
      </x:c>
      <x:c r="K807">
        <x:f ca="1">IF(AND($B$1012=1,LEN($K$1790)&gt;0),$K$1790,HLOOKUP(INDIRECT(ADDRESS(2,COLUMN())),OFFSET($T$2,0,0,ROW()-1,14),ROW()-1,FALSE))</x:f>
        <x:v>0</x:v>
      </x:c>
      <x:c r="L807">
        <x:f ca="1">IF(AND($B$1012=1,LEN($L$1790)&gt;0),$L$1790,HLOOKUP(INDIRECT(ADDRESS(2,COLUMN())),OFFSET($T$2,0,0,ROW()-1,14),ROW()-1,FALSE))</x:f>
        <x:v>-1.1875279999999999</x:v>
      </x:c>
      <x:c r="M807">
        <x:f ca="1">IF(AND($B$1012=1,LEN($M$1790)&gt;0),$M$1790,HLOOKUP(INDIRECT(ADDRESS(2,COLUMN())),OFFSET($T$2,0,0,ROW()-1,14),ROW()-1,FALSE))</x:f>
        <x:v>0</x:v>
      </x:c>
      <x:c r="N807">
        <x:f ca="1">IF(AND($B$1012=1,LEN($N$1790)&gt;0),$N$1790,HLOOKUP(INDIRECT(ADDRESS(2,COLUMN())),OFFSET($T$2,0,0,ROW()-1,14),ROW()-1,FALSE))</x:f>
        <x:v>-1.7929120000000001</x:v>
      </x:c>
      <x:c r="O807">
        <x:f ca="1">IF(AND($B$1012=1,LEN($O$1790)&gt;0),$O$1790,HLOOKUP(INDIRECT(ADDRESS(2,COLUMN())),OFFSET($T$2,0,0,ROW()-1,14),ROW()-1,FALSE))</x:f>
        <x:v>-1.1845030000000001</x:v>
      </x:c>
      <x:c r="P807">
        <x:f ca="1">IF(AND($B$1012=1,LEN($P$1790)&gt;0),$P$1790,HLOOKUP(INDIRECT(ADDRESS(2,COLUMN())),OFFSET($T$2,0,0,ROW()-1,14),ROW()-1,FALSE))</x:f>
        <x:v>-1.8383670000000001</x:v>
      </x:c>
      <x:c r="Q807">
        <x:f ca="1">IF(AND($B$1012=1,LEN($Q$1790)&gt;0),$Q$1790,HLOOKUP(INDIRECT(ADDRESS(2,COLUMN())),OFFSET($T$2,0,0,ROW()-1,14),ROW()-1,FALSE))</x:f>
        <x:v>3.7093000000000001E-2</x:v>
      </x:c>
      <x:c r="R807">
        <x:f ca="1">IF(AND($B$1012=1,LEN($R$1790)&gt;0),$R$1790,HLOOKUP(INDIRECT(ADDRESS(2,COLUMN())),OFFSET($T$2,0,0,ROW()-1,14),ROW()-1,FALSE))</x:f>
        <x:v>-3.9319649999999999</x:v>
      </x:c>
      <x:c r="S807">
        <x:f ca="1">IF(AND($B$1012=1,LEN($S$1790)&gt;0),$S$1790,HLOOKUP(INDIRECT(ADDRESS(2,COLUMN())),OFFSET($T$2,0,0,ROW()-1,14),ROW()-1,FALSE))</x:f>
        <x:v>-0.65742699999999998</x:v>
      </x:c>
      <x:c r="T807">
        <x:f>0</x:f>
        <x:v>0</x:v>
      </x:c>
      <x:c r="U807">
        <x:f>-0.58802</x:f>
        <x:v>-0.58801999999999999</x:v>
      </x:c>
      <x:c r="V807">
        <x:f>0</x:f>
        <x:v>0</x:v>
      </x:c>
      <x:c r="W807">
        <x:f>-0.595005</x:f>
        <x:v>-0.59500500000000001</x:v>
      </x:c>
      <x:c r="X807">
        <x:f>0</x:f>
        <x:v>0</x:v>
      </x:c>
      <x:c r="Y807">
        <x:f>0</x:f>
        <x:v>0</x:v>
      </x:c>
      <x:c r="Z807">
        <x:f>-1.187528</x:f>
        <x:v>-1.1875279999999999</x:v>
      </x:c>
      <x:c r="AA807">
        <x:f>0</x:f>
        <x:v>0</x:v>
      </x:c>
      <x:c r="AB807">
        <x:f>-1.792912</x:f>
        <x:v>-1.7929120000000001</x:v>
      </x:c>
      <x:c r="AC807">
        <x:f>-1.184503</x:f>
        <x:v>-1.1845030000000001</x:v>
      </x:c>
      <x:c r="AD807">
        <x:f>-1.838367</x:f>
        <x:v>-1.8383670000000001</x:v>
      </x:c>
      <x:c r="AE807">
        <x:f>0.037093</x:f>
        <x:v>3.7093000000000001E-2</x:v>
      </x:c>
      <x:c r="AF807">
        <x:f>-3.931965</x:f>
        <x:v>-3.9319649999999999</x:v>
      </x:c>
      <x:c r="AG807">
        <x:f>-0.657427</x:f>
        <x:v>-0.65742699999999998</x:v>
      </x:c>
    </x:row>
    <x:row r="808" spans="1:33" x14ac:dyDescent="0.25">
      <x:c r="A808" t="str">
        <x:f>"            Morgan Creek-Exos SPAC Origina"</x:f>
        <x:v xml:space="preserve">            Morgan Creek-Exos SPAC Origina</x:v>
      </x:c>
      <x:c r="B808" t="str">
        <x:f>"SPXZ US Equity"</x:f>
        <x:v>SPXZ US Equity</x:v>
      </x:c>
      <x:c r="E808" t="str">
        <x:f t="shared" si="32"/>
        <x:v>Expression</x:v>
      </x:c>
      <x:c r="F808" t="str">
        <x:f ca="1">IF(AND($B$1012=1,LEN($F$1791)&gt;0),$F$1791,HLOOKUP(INDIRECT(ADDRESS(2,COLUMN())),OFFSET($T$2,0,0,ROW()-1,14),ROW()-1,FALSE))</x:f>
        <x:v/>
      </x:c>
      <x:c r="G808" t="str">
        <x:f ca="1">IF(AND($B$1012=1,LEN($G$1791)&gt;0),$G$1791,HLOOKUP(INDIRECT(ADDRESS(2,COLUMN())),OFFSET($T$2,0,0,ROW()-1,14),ROW()-1,FALSE))</x:f>
        <x:v/>
      </x:c>
      <x:c r="H808" t="str">
        <x:f ca="1">IF(AND($B$1012=1,LEN($H$1791)&gt;0),$H$1791,HLOOKUP(INDIRECT(ADDRESS(2,COLUMN())),OFFSET($T$2,0,0,ROW()-1,14),ROW()-1,FALSE))</x:f>
        <x:v/>
      </x:c>
      <x:c r="I808" t="str">
        <x:f ca="1">IF(AND($B$1012=1,LEN($I$1791)&gt;0),$I$1791,HLOOKUP(INDIRECT(ADDRESS(2,COLUMN())),OFFSET($T$2,0,0,ROW()-1,14),ROW()-1,FALSE))</x:f>
        <x:v/>
      </x:c>
      <x:c r="J808" t="str">
        <x:f ca="1">IF(AND($B$1012=1,LEN($J$1791)&gt;0),$J$1791,HLOOKUP(INDIRECT(ADDRESS(2,COLUMN())),OFFSET($T$2,0,0,ROW()-1,14),ROW()-1,FALSE))</x:f>
        <x:v/>
      </x:c>
      <x:c r="K808" t="str">
        <x:f ca="1">IF(AND($B$1012=1,LEN($K$1791)&gt;0),$K$1791,HLOOKUP(INDIRECT(ADDRESS(2,COLUMN())),OFFSET($T$2,0,0,ROW()-1,14),ROW()-1,FALSE))</x:f>
        <x:v/>
      </x:c>
      <x:c r="L808" t="str">
        <x:f ca="1">IF(AND($B$1012=1,LEN($L$1791)&gt;0),$L$1791,HLOOKUP(INDIRECT(ADDRESS(2,COLUMN())),OFFSET($T$2,0,0,ROW()-1,14),ROW()-1,FALSE))</x:f>
        <x:v/>
      </x:c>
      <x:c r="M808" t="str">
        <x:f ca="1">IF(AND($B$1012=1,LEN($M$1791)&gt;0),$M$1791,HLOOKUP(INDIRECT(ADDRESS(2,COLUMN())),OFFSET($T$2,0,0,ROW()-1,14),ROW()-1,FALSE))</x:f>
        <x:v/>
      </x:c>
      <x:c r="N808" t="str">
        <x:f ca="1">IF(AND($B$1012=1,LEN($N$1791)&gt;0),$N$1791,HLOOKUP(INDIRECT(ADDRESS(2,COLUMN())),OFFSET($T$2,0,0,ROW()-1,14),ROW()-1,FALSE))</x:f>
        <x:v/>
      </x:c>
      <x:c r="O808" t="str">
        <x:f ca="1">IF(AND($B$1012=1,LEN($O$1791)&gt;0),$O$1791,HLOOKUP(INDIRECT(ADDRESS(2,COLUMN())),OFFSET($T$2,0,0,ROW()-1,14),ROW()-1,FALSE))</x:f>
        <x:v/>
      </x:c>
      <x:c r="P808" t="str">
        <x:f ca="1">IF(AND($B$1012=1,LEN($P$1791)&gt;0),$P$1791,HLOOKUP(INDIRECT(ADDRESS(2,COLUMN())),OFFSET($T$2,0,0,ROW()-1,14),ROW()-1,FALSE))</x:f>
        <x:v/>
      </x:c>
      <x:c r="Q808" t="str">
        <x:f ca="1">IF(AND($B$1012=1,LEN($Q$1791)&gt;0),$Q$1791,HLOOKUP(INDIRECT(ADDRESS(2,COLUMN())),OFFSET($T$2,0,0,ROW()-1,14),ROW()-1,FALSE))</x:f>
        <x:v/>
      </x:c>
      <x:c r="R808" t="str">
        <x:f ca="1">IF(AND($B$1012=1,LEN($R$1791)&gt;0),$R$1791,HLOOKUP(INDIRECT(ADDRESS(2,COLUMN())),OFFSET($T$2,0,0,ROW()-1,14),ROW()-1,FALSE))</x:f>
        <x:v/>
      </x:c>
      <x:c r="S808" t="str">
        <x:f ca="1">IF(AND($B$1012=1,LEN($S$1791)&gt;0),$S$1791,HLOOKUP(INDIRECT(ADDRESS(2,COLUMN())),OFFSET($T$2,0,0,ROW()-1,14),ROW()-1,FALSE))</x:f>
        <x:v/>
      </x:c>
      <x:c r="T808" t="str">
        <x:f>""</x:f>
        <x:v/>
      </x:c>
      <x:c r="U808" t="str">
        <x:f>""</x:f>
        <x:v/>
      </x:c>
      <x:c r="V808" t="str">
        <x:f>""</x:f>
        <x:v/>
      </x:c>
      <x:c r="W808" t="str">
        <x:f>""</x:f>
        <x:v/>
      </x:c>
      <x:c r="X808" t="str">
        <x:f>""</x:f>
        <x:v/>
      </x:c>
      <x:c r="Y808" t="str">
        <x:f>""</x:f>
        <x:v/>
      </x:c>
      <x:c r="Z808" t="str">
        <x:f>""</x:f>
        <x:v/>
      </x:c>
      <x:c r="AA808" t="str">
        <x:f>""</x:f>
        <x:v/>
      </x:c>
      <x:c r="AB808" t="str">
        <x:f>""</x:f>
        <x:v/>
      </x:c>
      <x:c r="AC808" t="str">
        <x:f>""</x:f>
        <x:v/>
      </x:c>
      <x:c r="AD808" t="str">
        <x:f>""</x:f>
        <x:v/>
      </x:c>
      <x:c r="AE808" t="str">
        <x:f>""</x:f>
        <x:v/>
      </x:c>
      <x:c r="AF808" t="str">
        <x:f>""</x:f>
        <x:v/>
      </x:c>
      <x:c r="AG808" t="str">
        <x:f>""</x:f>
        <x:v/>
      </x:c>
    </x:row>
    <x:row r="809" spans="1:33" x14ac:dyDescent="0.25">
      <x:c r="A809" t="str">
        <x:f>"            AXS de-Spac ETF"</x:f>
        <x:v xml:space="preserve">            AXS de-Spac ETF</x:v>
      </x:c>
      <x:c r="B809" t="str">
        <x:f>"DSPC US Equity"</x:f>
        <x:v>DSPC US Equity</x:v>
      </x:c>
      <x:c r="E809" t="str">
        <x:f t="shared" si="32"/>
        <x:v>Expression</x:v>
      </x:c>
      <x:c r="F809" t="str">
        <x:f ca="1">IF(AND($B$1012=1,LEN($F$1792)&gt;0),$F$1792,HLOOKUP(INDIRECT(ADDRESS(2,COLUMN())),OFFSET($T$2,0,0,ROW()-1,14),ROW()-1,FALSE))</x:f>
        <x:v/>
      </x:c>
      <x:c r="G809" t="str">
        <x:f ca="1">IF(AND($B$1012=1,LEN($G$1792)&gt;0),$G$1792,HLOOKUP(INDIRECT(ADDRESS(2,COLUMN())),OFFSET($T$2,0,0,ROW()-1,14),ROW()-1,FALSE))</x:f>
        <x:v/>
      </x:c>
      <x:c r="H809" t="str">
        <x:f ca="1">IF(AND($B$1012=1,LEN($H$1792)&gt;0),$H$1792,HLOOKUP(INDIRECT(ADDRESS(2,COLUMN())),OFFSET($T$2,0,0,ROW()-1,14),ROW()-1,FALSE))</x:f>
        <x:v/>
      </x:c>
      <x:c r="I809" t="str">
        <x:f ca="1">IF(AND($B$1012=1,LEN($I$1792)&gt;0),$I$1792,HLOOKUP(INDIRECT(ADDRESS(2,COLUMN())),OFFSET($T$2,0,0,ROW()-1,14),ROW()-1,FALSE))</x:f>
        <x:v/>
      </x:c>
      <x:c r="J809" t="str">
        <x:f ca="1">IF(AND($B$1012=1,LEN($J$1792)&gt;0),$J$1792,HLOOKUP(INDIRECT(ADDRESS(2,COLUMN())),OFFSET($T$2,0,0,ROW()-1,14),ROW()-1,FALSE))</x:f>
        <x:v/>
      </x:c>
      <x:c r="K809" t="str">
        <x:f ca="1">IF(AND($B$1012=1,LEN($K$1792)&gt;0),$K$1792,HLOOKUP(INDIRECT(ADDRESS(2,COLUMN())),OFFSET($T$2,0,0,ROW()-1,14),ROW()-1,FALSE))</x:f>
        <x:v/>
      </x:c>
      <x:c r="L809" t="str">
        <x:f ca="1">IF(AND($B$1012=1,LEN($L$1792)&gt;0),$L$1792,HLOOKUP(INDIRECT(ADDRESS(2,COLUMN())),OFFSET($T$2,0,0,ROW()-1,14),ROW()-1,FALSE))</x:f>
        <x:v/>
      </x:c>
      <x:c r="M809" t="str">
        <x:f ca="1">IF(AND($B$1012=1,LEN($M$1792)&gt;0),$M$1792,HLOOKUP(INDIRECT(ADDRESS(2,COLUMN())),OFFSET($T$2,0,0,ROW()-1,14),ROW()-1,FALSE))</x:f>
        <x:v/>
      </x:c>
      <x:c r="N809" t="str">
        <x:f ca="1">IF(AND($B$1012=1,LEN($N$1792)&gt;0),$N$1792,HLOOKUP(INDIRECT(ADDRESS(2,COLUMN())),OFFSET($T$2,0,0,ROW()-1,14),ROW()-1,FALSE))</x:f>
        <x:v/>
      </x:c>
      <x:c r="O809" t="str">
        <x:f ca="1">IF(AND($B$1012=1,LEN($O$1792)&gt;0),$O$1792,HLOOKUP(INDIRECT(ADDRESS(2,COLUMN())),OFFSET($T$2,0,0,ROW()-1,14),ROW()-1,FALSE))</x:f>
        <x:v/>
      </x:c>
      <x:c r="P809">
        <x:f ca="1">IF(AND($B$1012=1,LEN($P$1792)&gt;0),$P$1792,HLOOKUP(INDIRECT(ADDRESS(2,COLUMN())),OFFSET($T$2,0,0,ROW()-1,14),ROW()-1,FALSE))</x:f>
        <x:v>-0.27552500000000002</x:v>
      </x:c>
      <x:c r="Q809">
        <x:f ca="1">IF(AND($B$1012=1,LEN($Q$1792)&gt;0),$Q$1792,HLOOKUP(INDIRECT(ADDRESS(2,COLUMN())),OFFSET($T$2,0,0,ROW()-1,14),ROW()-1,FALSE))</x:f>
        <x:v>0</x:v>
      </x:c>
      <x:c r="R809">
        <x:f ca="1">IF(AND($B$1012=1,LEN($R$1792)&gt;0),$R$1792,HLOOKUP(INDIRECT(ADDRESS(2,COLUMN())),OFFSET($T$2,0,0,ROW()-1,14),ROW()-1,FALSE))</x:f>
        <x:v>0</x:v>
      </x:c>
      <x:c r="S809">
        <x:f ca="1">IF(AND($B$1012=1,LEN($S$1792)&gt;0),$S$1792,HLOOKUP(INDIRECT(ADDRESS(2,COLUMN())),OFFSET($T$2,0,0,ROW()-1,14),ROW()-1,FALSE))</x:f>
        <x:v>0</x:v>
      </x:c>
      <x:c r="T809" t="str">
        <x:f>""</x:f>
        <x:v/>
      </x:c>
      <x:c r="U809" t="str">
        <x:f>""</x:f>
        <x:v/>
      </x:c>
      <x:c r="V809" t="str">
        <x:f>""</x:f>
        <x:v/>
      </x:c>
      <x:c r="W809" t="str">
        <x:f>""</x:f>
        <x:v/>
      </x:c>
      <x:c r="X809" t="str">
        <x:f>""</x:f>
        <x:v/>
      </x:c>
      <x:c r="Y809" t="str">
        <x:f>""</x:f>
        <x:v/>
      </x:c>
      <x:c r="Z809" t="str">
        <x:f>""</x:f>
        <x:v/>
      </x:c>
      <x:c r="AA809" t="str">
        <x:f>""</x:f>
        <x:v/>
      </x:c>
      <x:c r="AB809" t="str">
        <x:f>""</x:f>
        <x:v/>
      </x:c>
      <x:c r="AC809" t="str">
        <x:f>""</x:f>
        <x:v/>
      </x:c>
      <x:c r="AD809">
        <x:f>-0.275525</x:f>
        <x:v>-0.27552500000000002</x:v>
      </x:c>
      <x:c r="AE809">
        <x:f>0</x:f>
        <x:v>0</x:v>
      </x:c>
      <x:c r="AF809">
        <x:f>0</x:f>
        <x:v>0</x:v>
      </x:c>
      <x:c r="AG809">
        <x:f>0</x:f>
        <x:v>0</x:v>
      </x:c>
    </x:row>
    <x:row r="810" spans="1:33" x14ac:dyDescent="0.25">
      <x:c r="A810" t="str">
        <x:f>"            AXS Short de-Spac ETF"</x:f>
        <x:v xml:space="preserve">            AXS Short de-Spac ETF</x:v>
      </x:c>
      <x:c r="B810" t="str">
        <x:f>"SOGU US Equity"</x:f>
        <x:v>SOGU US Equity</x:v>
      </x:c>
      <x:c r="E810" t="str">
        <x:f t="shared" si="32"/>
        <x:v>Expression</x:v>
      </x:c>
      <x:c r="F810" t="str">
        <x:f ca="1">IF(AND($B$1012=1,LEN($F$1793)&gt;0),$F$1793,HLOOKUP(INDIRECT(ADDRESS(2,COLUMN())),OFFSET($T$2,0,0,ROW()-1,14),ROW()-1,FALSE))</x:f>
        <x:v/>
      </x:c>
      <x:c r="G810" t="str">
        <x:f ca="1">IF(AND($B$1012=1,LEN($G$1793)&gt;0),$G$1793,HLOOKUP(INDIRECT(ADDRESS(2,COLUMN())),OFFSET($T$2,0,0,ROW()-1,14),ROW()-1,FALSE))</x:f>
        <x:v/>
      </x:c>
      <x:c r="H810" t="str">
        <x:f ca="1">IF(AND($B$1012=1,LEN($H$1793)&gt;0),$H$1793,HLOOKUP(INDIRECT(ADDRESS(2,COLUMN())),OFFSET($T$2,0,0,ROW()-1,14),ROW()-1,FALSE))</x:f>
        <x:v/>
      </x:c>
      <x:c r="I810" t="str">
        <x:f ca="1">IF(AND($B$1012=1,LEN($I$1793)&gt;0),$I$1793,HLOOKUP(INDIRECT(ADDRESS(2,COLUMN())),OFFSET($T$2,0,0,ROW()-1,14),ROW()-1,FALSE))</x:f>
        <x:v/>
      </x:c>
      <x:c r="J810" t="str">
        <x:f ca="1">IF(AND($B$1012=1,LEN($J$1793)&gt;0),$J$1793,HLOOKUP(INDIRECT(ADDRESS(2,COLUMN())),OFFSET($T$2,0,0,ROW()-1,14),ROW()-1,FALSE))</x:f>
        <x:v/>
      </x:c>
      <x:c r="K810">
        <x:f ca="1">IF(AND($B$1012=1,LEN($K$1793)&gt;0),$K$1793,HLOOKUP(INDIRECT(ADDRESS(2,COLUMN())),OFFSET($T$2,0,0,ROW()-1,14),ROW()-1,FALSE))</x:f>
        <x:v>0</x:v>
      </x:c>
      <x:c r="L810">
        <x:f ca="1">IF(AND($B$1012=1,LEN($L$1793)&gt;0),$L$1793,HLOOKUP(INDIRECT(ADDRESS(2,COLUMN())),OFFSET($T$2,0,0,ROW()-1,14),ROW()-1,FALSE))</x:f>
        <x:v>0.230045</x:v>
      </x:c>
      <x:c r="M810">
        <x:f ca="1">IF(AND($B$1012=1,LEN($M$1793)&gt;0),$M$1793,HLOOKUP(INDIRECT(ADDRESS(2,COLUMN())),OFFSET($T$2,0,0,ROW()-1,14),ROW()-1,FALSE))</x:f>
        <x:v>0</x:v>
      </x:c>
      <x:c r="N810">
        <x:f ca="1">IF(AND($B$1012=1,LEN($N$1793)&gt;0),$N$1793,HLOOKUP(INDIRECT(ADDRESS(2,COLUMN())),OFFSET($T$2,0,0,ROW()-1,14),ROW()-1,FALSE))</x:f>
        <x:v>6.6800000000000002E-3</x:v>
      </x:c>
      <x:c r="O810">
        <x:f ca="1">IF(AND($B$1012=1,LEN($O$1793)&gt;0),$O$1793,HLOOKUP(INDIRECT(ADDRESS(2,COLUMN())),OFFSET($T$2,0,0,ROW()-1,14),ROW()-1,FALSE))</x:f>
        <x:v>0</x:v>
      </x:c>
      <x:c r="P810">
        <x:f ca="1">IF(AND($B$1012=1,LEN($P$1793)&gt;0),$P$1793,HLOOKUP(INDIRECT(ADDRESS(2,COLUMN())),OFFSET($T$2,0,0,ROW()-1,14),ROW()-1,FALSE))</x:f>
        <x:v>0</x:v>
      </x:c>
      <x:c r="Q810">
        <x:f ca="1">IF(AND($B$1012=1,LEN($Q$1793)&gt;0),$Q$1793,HLOOKUP(INDIRECT(ADDRESS(2,COLUMN())),OFFSET($T$2,0,0,ROW()-1,14),ROW()-1,FALSE))</x:f>
        <x:v>-6.7421379999999997</x:v>
      </x:c>
      <x:c r="R810">
        <x:f ca="1">IF(AND($B$1012=1,LEN($R$1793)&gt;0),$R$1793,HLOOKUP(INDIRECT(ADDRESS(2,COLUMN())),OFFSET($T$2,0,0,ROW()-1,14),ROW()-1,FALSE))</x:f>
        <x:v>-2.500645</x:v>
      </x:c>
      <x:c r="S810">
        <x:f ca="1">IF(AND($B$1012=1,LEN($S$1793)&gt;0),$S$1793,HLOOKUP(INDIRECT(ADDRESS(2,COLUMN())),OFFSET($T$2,0,0,ROW()-1,14),ROW()-1,FALSE))</x:f>
        <x:v>0</x:v>
      </x:c>
      <x:c r="T810" t="str">
        <x:f>""</x:f>
        <x:v/>
      </x:c>
      <x:c r="U810" t="str">
        <x:f>""</x:f>
        <x:v/>
      </x:c>
      <x:c r="V810" t="str">
        <x:f>""</x:f>
        <x:v/>
      </x:c>
      <x:c r="W810" t="str">
        <x:f>""</x:f>
        <x:v/>
      </x:c>
      <x:c r="X810" t="str">
        <x:f>""</x:f>
        <x:v/>
      </x:c>
      <x:c r="Y810">
        <x:f>0</x:f>
        <x:v>0</x:v>
      </x:c>
      <x:c r="Z810">
        <x:f>0.230045</x:f>
        <x:v>0.230045</x:v>
      </x:c>
      <x:c r="AA810">
        <x:f>0</x:f>
        <x:v>0</x:v>
      </x:c>
      <x:c r="AB810">
        <x:f>0.00668</x:f>
        <x:v>6.6800000000000002E-3</x:v>
      </x:c>
      <x:c r="AC810">
        <x:f>0</x:f>
        <x:v>0</x:v>
      </x:c>
      <x:c r="AD810">
        <x:f>0</x:f>
        <x:v>0</x:v>
      </x:c>
      <x:c r="AE810">
        <x:f>-6.742138</x:f>
        <x:v>-6.7421379999999997</x:v>
      </x:c>
      <x:c r="AF810">
        <x:f>-2.500645</x:f>
        <x:v>-2.500645</x:v>
      </x:c>
      <x:c r="AG810">
        <x:f>0</x:f>
        <x:v>0</x:v>
      </x:c>
    </x:row>
    <x:row r="811" spans="1:33" x14ac:dyDescent="0.25">
      <x:c r="A811" t="str">
        <x:f>"            Robinson Alternative Yield Pre"</x:f>
        <x:v xml:space="preserve">            Robinson Alternative Yield Pre</x:v>
      </x:c>
      <x:c r="B811" t="str">
        <x:f>"SPAX US Equity"</x:f>
        <x:v>SPAX US Equity</x:v>
      </x:c>
      <x:c r="E811" t="str">
        <x:f t="shared" si="32"/>
        <x:v>Expression</x:v>
      </x:c>
      <x:c r="F811">
        <x:f ca="1">IF(AND($B$1012=1,LEN($F$1794)&gt;0),$F$1794,HLOOKUP(INDIRECT(ADDRESS(2,COLUMN())),OFFSET($T$2,0,0,ROW()-1,14),ROW()-1,FALSE))</x:f>
        <x:v>0</x:v>
      </x:c>
      <x:c r="G811">
        <x:f ca="1">IF(AND($B$1012=1,LEN($G$1794)&gt;0),$G$1794,HLOOKUP(INDIRECT(ADDRESS(2,COLUMN())),OFFSET($T$2,0,0,ROW()-1,14),ROW()-1,FALSE))</x:f>
        <x:v>-1.0742849999999999</x:v>
      </x:c>
      <x:c r="H811">
        <x:f ca="1">IF(AND($B$1012=1,LEN($H$1794)&gt;0),$H$1794,HLOOKUP(INDIRECT(ADDRESS(2,COLUMN())),OFFSET($T$2,0,0,ROW()-1,14),ROW()-1,FALSE))</x:f>
        <x:v>0</x:v>
      </x:c>
      <x:c r="I811">
        <x:f ca="1">IF(AND($B$1012=1,LEN($I$1794)&gt;0),$I$1794,HLOOKUP(INDIRECT(ADDRESS(2,COLUMN())),OFFSET($T$2,0,0,ROW()-1,14),ROW()-1,FALSE))</x:f>
        <x:v>-3.7741169999999999</x:v>
      </x:c>
      <x:c r="J811">
        <x:f ca="1">IF(AND($B$1012=1,LEN($J$1794)&gt;0),$J$1794,HLOOKUP(INDIRECT(ADDRESS(2,COLUMN())),OFFSET($T$2,0,0,ROW()-1,14),ROW()-1,FALSE))</x:f>
        <x:v>-3.2285279999999998</x:v>
      </x:c>
      <x:c r="K811">
        <x:f ca="1">IF(AND($B$1012=1,LEN($K$1794)&gt;0),$K$1794,HLOOKUP(INDIRECT(ADDRESS(2,COLUMN())),OFFSET($T$2,0,0,ROW()-1,14),ROW()-1,FALSE))</x:f>
        <x:v>0</x:v>
      </x:c>
      <x:c r="L811">
        <x:f ca="1">IF(AND($B$1012=1,LEN($L$1794)&gt;0),$L$1794,HLOOKUP(INDIRECT(ADDRESS(2,COLUMN())),OFFSET($T$2,0,0,ROW()-1,14),ROW()-1,FALSE))</x:f>
        <x:v>-0.52948499999999998</x:v>
      </x:c>
      <x:c r="M811">
        <x:f ca="1">IF(AND($B$1012=1,LEN($M$1794)&gt;0),$M$1794,HLOOKUP(INDIRECT(ADDRESS(2,COLUMN())),OFFSET($T$2,0,0,ROW()-1,14),ROW()-1,FALSE))</x:f>
        <x:v>0</x:v>
      </x:c>
      <x:c r="N811">
        <x:f ca="1">IF(AND($B$1012=1,LEN($N$1794)&gt;0),$N$1794,HLOOKUP(INDIRECT(ADDRESS(2,COLUMN())),OFFSET($T$2,0,0,ROW()-1,14),ROW()-1,FALSE))</x:f>
        <x:v>0</x:v>
      </x:c>
      <x:c r="O811">
        <x:f ca="1">IF(AND($B$1012=1,LEN($O$1794)&gt;0),$O$1794,HLOOKUP(INDIRECT(ADDRESS(2,COLUMN())),OFFSET($T$2,0,0,ROW()-1,14),ROW()-1,FALSE))</x:f>
        <x:v>0</x:v>
      </x:c>
      <x:c r="P811">
        <x:f ca="1">IF(AND($B$1012=1,LEN($P$1794)&gt;0),$P$1794,HLOOKUP(INDIRECT(ADDRESS(2,COLUMN())),OFFSET($T$2,0,0,ROW()-1,14),ROW()-1,FALSE))</x:f>
        <x:v>0</x:v>
      </x:c>
      <x:c r="Q811">
        <x:f ca="1">IF(AND($B$1012=1,LEN($Q$1794)&gt;0),$Q$1794,HLOOKUP(INDIRECT(ADDRESS(2,COLUMN())),OFFSET($T$2,0,0,ROW()-1,14),ROW()-1,FALSE))</x:f>
        <x:v>0</x:v>
      </x:c>
      <x:c r="R811">
        <x:f ca="1">IF(AND($B$1012=1,LEN($R$1794)&gt;0),$R$1794,HLOOKUP(INDIRECT(ADDRESS(2,COLUMN())),OFFSET($T$2,0,0,ROW()-1,14),ROW()-1,FALSE))</x:f>
        <x:v>0.51908699999999997</x:v>
      </x:c>
      <x:c r="S811">
        <x:f ca="1">IF(AND($B$1012=1,LEN($S$1794)&gt;0),$S$1794,HLOOKUP(INDIRECT(ADDRESS(2,COLUMN())),OFFSET($T$2,0,0,ROW()-1,14),ROW()-1,FALSE))</x:f>
        <x:v>0.51644000000000001</x:v>
      </x:c>
      <x:c r="T811">
        <x:f>0</x:f>
        <x:v>0</x:v>
      </x:c>
      <x:c r="U811">
        <x:f>-1.074285</x:f>
        <x:v>-1.0742849999999999</x:v>
      </x:c>
      <x:c r="V811">
        <x:f>0</x:f>
        <x:v>0</x:v>
      </x:c>
      <x:c r="W811">
        <x:f>-3.774117</x:f>
        <x:v>-3.7741169999999999</x:v>
      </x:c>
      <x:c r="X811">
        <x:f>-3.228528</x:f>
        <x:v>-3.2285279999999998</x:v>
      </x:c>
      <x:c r="Y811">
        <x:f>0</x:f>
        <x:v>0</x:v>
      </x:c>
      <x:c r="Z811">
        <x:f>-0.529485</x:f>
        <x:v>-0.52948499999999998</x:v>
      </x:c>
      <x:c r="AA811">
        <x:f>0</x:f>
        <x:v>0</x:v>
      </x:c>
      <x:c r="AB811">
        <x:f>0</x:f>
        <x:v>0</x:v>
      </x:c>
      <x:c r="AC811">
        <x:f>0</x:f>
        <x:v>0</x:v>
      </x:c>
      <x:c r="AD811">
        <x:f>0</x:f>
        <x:v>0</x:v>
      </x:c>
      <x:c r="AE811">
        <x:f>0</x:f>
        <x:v>0</x:v>
      </x:c>
      <x:c r="AF811">
        <x:f>0.519087</x:f>
        <x:v>0.51908699999999997</x:v>
      </x:c>
      <x:c r="AG811">
        <x:f>0.51644</x:f>
        <x:v>0.51644000000000001</x:v>
      </x:c>
    </x:row>
    <x:row r="812" spans="1:33" x14ac:dyDescent="0.25">
      <x:c r="A812" t="str">
        <x:f>"            Crossingbridge Pre-Merger Spac"</x:f>
        <x:v xml:space="preserve">            Crossingbridge Pre-Merger Spac</x:v>
      </x:c>
      <x:c r="B812" t="str">
        <x:f>"SPC US Equity"</x:f>
        <x:v>SPC US Equity</x:v>
      </x:c>
      <x:c r="E812" t="str">
        <x:f t="shared" si="32"/>
        <x:v>Expression</x:v>
      </x:c>
      <x:c r="F812">
        <x:f ca="1">IF(AND($B$1012=1,LEN($F$1795)&gt;0),$F$1795,HLOOKUP(INDIRECT(ADDRESS(2,COLUMN())),OFFSET($T$2,0,0,ROW()-1,14),ROW()-1,FALSE))</x:f>
        <x:v>0</x:v>
      </x:c>
      <x:c r="G812">
        <x:f ca="1">IF(AND($B$1012=1,LEN($G$1795)&gt;0),$G$1795,HLOOKUP(INDIRECT(ADDRESS(2,COLUMN())),OFFSET($T$2,0,0,ROW()-1,14),ROW()-1,FALSE))</x:f>
        <x:v>0.65545900000000001</x:v>
      </x:c>
      <x:c r="H812">
        <x:f ca="1">IF(AND($B$1012=1,LEN($H$1795)&gt;0),$H$1795,HLOOKUP(INDIRECT(ADDRESS(2,COLUMN())),OFFSET($T$2,0,0,ROW()-1,14),ROW()-1,FALSE))</x:f>
        <x:v>0.216388</x:v>
      </x:c>
      <x:c r="I812">
        <x:f ca="1">IF(AND($B$1012=1,LEN($I$1795)&gt;0),$I$1795,HLOOKUP(INDIRECT(ADDRESS(2,COLUMN())),OFFSET($T$2,0,0,ROW()-1,14),ROW()-1,FALSE))</x:f>
        <x:v>3.2337349999999998</x:v>
      </x:c>
      <x:c r="J812">
        <x:f ca="1">IF(AND($B$1012=1,LEN($J$1795)&gt;0),$J$1795,HLOOKUP(INDIRECT(ADDRESS(2,COLUMN())),OFFSET($T$2,0,0,ROW()-1,14),ROW()-1,FALSE))</x:f>
        <x:v>0</x:v>
      </x:c>
      <x:c r="K812">
        <x:f ca="1">IF(AND($B$1012=1,LEN($K$1795)&gt;0),$K$1795,HLOOKUP(INDIRECT(ADDRESS(2,COLUMN())),OFFSET($T$2,0,0,ROW()-1,14),ROW()-1,FALSE))</x:f>
        <x:v>0</x:v>
      </x:c>
      <x:c r="L812">
        <x:f ca="1">IF(AND($B$1012=1,LEN($L$1795)&gt;0),$L$1795,HLOOKUP(INDIRECT(ADDRESS(2,COLUMN())),OFFSET($T$2,0,0,ROW()-1,14),ROW()-1,FALSE))</x:f>
        <x:v>-3.3850820000000001</x:v>
      </x:c>
      <x:c r="M812">
        <x:f ca="1">IF(AND($B$1012=1,LEN($M$1795)&gt;0),$M$1795,HLOOKUP(INDIRECT(ADDRESS(2,COLUMN())),OFFSET($T$2,0,0,ROW()-1,14),ROW()-1,FALSE))</x:f>
        <x:v>1.4776469999999999</x:v>
      </x:c>
      <x:c r="N812">
        <x:f ca="1">IF(AND($B$1012=1,LEN($N$1795)&gt;0),$N$1795,HLOOKUP(INDIRECT(ADDRESS(2,COLUMN())),OFFSET($T$2,0,0,ROW()-1,14),ROW()-1,FALSE))</x:f>
        <x:v>-1.6801919999999999</x:v>
      </x:c>
      <x:c r="O812">
        <x:f ca="1">IF(AND($B$1012=1,LEN($O$1795)&gt;0),$O$1795,HLOOKUP(INDIRECT(ADDRESS(2,COLUMN())),OFFSET($T$2,0,0,ROW()-1,14),ROW()-1,FALSE))</x:f>
        <x:v>0</x:v>
      </x:c>
      <x:c r="P812">
        <x:f ca="1">IF(AND($B$1012=1,LEN($P$1795)&gt;0),$P$1795,HLOOKUP(INDIRECT(ADDRESS(2,COLUMN())),OFFSET($T$2,0,0,ROW()-1,14),ROW()-1,FALSE))</x:f>
        <x:v>4.1475799999999996</x:v>
      </x:c>
      <x:c r="Q812">
        <x:f ca="1">IF(AND($B$1012=1,LEN($Q$1795)&gt;0),$Q$1795,HLOOKUP(INDIRECT(ADDRESS(2,COLUMN())),OFFSET($T$2,0,0,ROW()-1,14),ROW()-1,FALSE))</x:f>
        <x:v>-0.84151500000000001</x:v>
      </x:c>
      <x:c r="R812">
        <x:f ca="1">IF(AND($B$1012=1,LEN($R$1795)&gt;0),$R$1795,HLOOKUP(INDIRECT(ADDRESS(2,COLUMN())),OFFSET($T$2,0,0,ROW()-1,14),ROW()-1,FALSE))</x:f>
        <x:v>-0.82960400000000001</x:v>
      </x:c>
      <x:c r="S812">
        <x:f ca="1">IF(AND($B$1012=1,LEN($S$1795)&gt;0),$S$1795,HLOOKUP(INDIRECT(ADDRESS(2,COLUMN())),OFFSET($T$2,0,0,ROW()-1,14),ROW()-1,FALSE))</x:f>
        <x:v>-0.205843</x:v>
      </x:c>
      <x:c r="T812">
        <x:f>0</x:f>
        <x:v>0</x:v>
      </x:c>
      <x:c r="U812">
        <x:f>0.655459</x:f>
        <x:v>0.65545900000000001</x:v>
      </x:c>
      <x:c r="V812">
        <x:f>0.216388</x:f>
        <x:v>0.216388</x:v>
      </x:c>
      <x:c r="W812">
        <x:f>3.233735</x:f>
        <x:v>3.2337349999999998</x:v>
      </x:c>
      <x:c r="X812">
        <x:f>0</x:f>
        <x:v>0</x:v>
      </x:c>
      <x:c r="Y812">
        <x:f>0</x:f>
        <x:v>0</x:v>
      </x:c>
      <x:c r="Z812">
        <x:f>-3.385082</x:f>
        <x:v>-3.3850820000000001</x:v>
      </x:c>
      <x:c r="AA812">
        <x:f>1.477647</x:f>
        <x:v>1.4776469999999999</x:v>
      </x:c>
      <x:c r="AB812">
        <x:f>-1.680192</x:f>
        <x:v>-1.6801919999999999</x:v>
      </x:c>
      <x:c r="AC812">
        <x:f>0</x:f>
        <x:v>0</x:v>
      </x:c>
      <x:c r="AD812">
        <x:f>4.14758</x:f>
        <x:v>4.1475799999999996</x:v>
      </x:c>
      <x:c r="AE812">
        <x:f>-0.841515</x:f>
        <x:v>-0.84151500000000001</x:v>
      </x:c>
      <x:c r="AF812">
        <x:f>-0.829604</x:f>
        <x:v>-0.82960400000000001</x:v>
      </x:c>
      <x:c r="AG812">
        <x:f>-0.205843</x:f>
        <x:v>-0.205843</x:v>
      </x:c>
    </x:row>
    <x:row r="813" spans="1:33" x14ac:dyDescent="0.25">
      <x:c r="A813" t="str">
        <x:f>"            Rivernorth Enhanced Pre-Merger"</x:f>
        <x:v xml:space="preserve">            Rivernorth Enhanced Pre-Merger</x:v>
      </x:c>
      <x:c r="B813" t="str">
        <x:f>"SPCZ US Equity"</x:f>
        <x:v>SPCZ US Equity</x:v>
      </x:c>
      <x:c r="E813" t="str">
        <x:f t="shared" si="32"/>
        <x:v>Expression</x:v>
      </x:c>
      <x:c r="F813">
        <x:f ca="1">IF(AND($B$1012=1,LEN($F$1796)&gt;0),$F$1796,HLOOKUP(INDIRECT(ADDRESS(2,COLUMN())),OFFSET($T$2,0,0,ROW()-1,14),ROW()-1,FALSE))</x:f>
        <x:v>0</x:v>
      </x:c>
      <x:c r="G813">
        <x:f ca="1">IF(AND($B$1012=1,LEN($G$1796)&gt;0),$G$1796,HLOOKUP(INDIRECT(ADDRESS(2,COLUMN())),OFFSET($T$2,0,0,ROW()-1,14),ROW()-1,FALSE))</x:f>
        <x:v>0</x:v>
      </x:c>
      <x:c r="H813">
        <x:f ca="1">IF(AND($B$1012=1,LEN($H$1796)&gt;0),$H$1796,HLOOKUP(INDIRECT(ADDRESS(2,COLUMN())),OFFSET($T$2,0,0,ROW()-1,14),ROW()-1,FALSE))</x:f>
        <x:v>0</x:v>
      </x:c>
      <x:c r="I813">
        <x:f ca="1">IF(AND($B$1012=1,LEN($I$1796)&gt;0),$I$1796,HLOOKUP(INDIRECT(ADDRESS(2,COLUMN())),OFFSET($T$2,0,0,ROW()-1,14),ROW()-1,FALSE))</x:f>
        <x:v>0</x:v>
      </x:c>
      <x:c r="J813">
        <x:f ca="1">IF(AND($B$1012=1,LEN($J$1796)&gt;0),$J$1796,HLOOKUP(INDIRECT(ADDRESS(2,COLUMN())),OFFSET($T$2,0,0,ROW()-1,14),ROW()-1,FALSE))</x:f>
        <x:v>0</x:v>
      </x:c>
      <x:c r="K813">
        <x:f ca="1">IF(AND($B$1012=1,LEN($K$1796)&gt;0),$K$1796,HLOOKUP(INDIRECT(ADDRESS(2,COLUMN())),OFFSET($T$2,0,0,ROW()-1,14),ROW()-1,FALSE))</x:f>
        <x:v>-0.263714</x:v>
      </x:c>
      <x:c r="L813">
        <x:f ca="1">IF(AND($B$1012=1,LEN($L$1796)&gt;0),$L$1796,HLOOKUP(INDIRECT(ADDRESS(2,COLUMN())),OFFSET($T$2,0,0,ROW()-1,14),ROW()-1,FALSE))</x:f>
        <x:v>0</x:v>
      </x:c>
      <x:c r="M813">
        <x:f ca="1">IF(AND($B$1012=1,LEN($M$1796)&gt;0),$M$1796,HLOOKUP(INDIRECT(ADDRESS(2,COLUMN())),OFFSET($T$2,0,0,ROW()-1,14),ROW()-1,FALSE))</x:f>
        <x:v>0.51931000000000005</x:v>
      </x:c>
      <x:c r="N813">
        <x:f ca="1">IF(AND($B$1012=1,LEN($N$1796)&gt;0),$N$1796,HLOOKUP(INDIRECT(ADDRESS(2,COLUMN())),OFFSET($T$2,0,0,ROW()-1,14),ROW()-1,FALSE))</x:f>
        <x:v>-0.25921899999999998</x:v>
      </x:c>
      <x:c r="O813">
        <x:f ca="1">IF(AND($B$1012=1,LEN($O$1796)&gt;0),$O$1796,HLOOKUP(INDIRECT(ADDRESS(2,COLUMN())),OFFSET($T$2,0,0,ROW()-1,14),ROW()-1,FALSE))</x:f>
        <x:v>0</x:v>
      </x:c>
      <x:c r="P813">
        <x:f ca="1">IF(AND($B$1012=1,LEN($P$1796)&gt;0),$P$1796,HLOOKUP(INDIRECT(ADDRESS(2,COLUMN())),OFFSET($T$2,0,0,ROW()-1,14),ROW()-1,FALSE))</x:f>
        <x:v>1.9136329999999999</x:v>
      </x:c>
      <x:c r="Q813">
        <x:f ca="1">IF(AND($B$1012=1,LEN($Q$1796)&gt;0),$Q$1796,HLOOKUP(INDIRECT(ADDRESS(2,COLUMN())),OFFSET($T$2,0,0,ROW()-1,14),ROW()-1,FALSE))</x:f>
        <x:v>0</x:v>
      </x:c>
      <x:c r="R813">
        <x:f ca="1">IF(AND($B$1012=1,LEN($R$1796)&gt;0),$R$1796,HLOOKUP(INDIRECT(ADDRESS(2,COLUMN())),OFFSET($T$2,0,0,ROW()-1,14),ROW()-1,FALSE))</x:f>
        <x:v>0</x:v>
      </x:c>
      <x:c r="S813">
        <x:f ca="1">IF(AND($B$1012=1,LEN($S$1796)&gt;0),$S$1796,HLOOKUP(INDIRECT(ADDRESS(2,COLUMN())),OFFSET($T$2,0,0,ROW()-1,14),ROW()-1,FALSE))</x:f>
        <x:v>0</x:v>
      </x:c>
      <x:c r="T813">
        <x:f>0</x:f>
        <x:v>0</x:v>
      </x:c>
      <x:c r="U813">
        <x:f>0</x:f>
        <x:v>0</x:v>
      </x:c>
      <x:c r="V813">
        <x:f>0</x:f>
        <x:v>0</x:v>
      </x:c>
      <x:c r="W813">
        <x:f>0</x:f>
        <x:v>0</x:v>
      </x:c>
      <x:c r="X813">
        <x:f>0</x:f>
        <x:v>0</x:v>
      </x:c>
      <x:c r="Y813">
        <x:f>-0.263714</x:f>
        <x:v>-0.263714</x:v>
      </x:c>
      <x:c r="Z813">
        <x:f>0</x:f>
        <x:v>0</x:v>
      </x:c>
      <x:c r="AA813">
        <x:f>0.51931</x:f>
        <x:v>0.51931000000000005</x:v>
      </x:c>
      <x:c r="AB813">
        <x:f>-0.259219</x:f>
        <x:v>-0.25921899999999998</x:v>
      </x:c>
      <x:c r="AC813">
        <x:f>0</x:f>
        <x:v>0</x:v>
      </x:c>
      <x:c r="AD813">
        <x:f>1.913633</x:f>
        <x:v>1.9136329999999999</x:v>
      </x:c>
      <x:c r="AE813">
        <x:f>0</x:f>
        <x:v>0</x:v>
      </x:c>
      <x:c r="AF813">
        <x:f>0</x:f>
        <x:v>0</x:v>
      </x:c>
      <x:c r="AG813">
        <x:f>0</x:f>
        <x:v>0</x:v>
      </x:c>
    </x:row>
    <x:row r="814" spans="1:33" x14ac:dyDescent="0.25">
      <x:c r="A814" t="str">
        <x:f>"            Horizon Kinetics Spac Active E"</x:f>
        <x:v xml:space="preserve">            Horizon Kinetics Spac Active E</x:v>
      </x:c>
      <x:c r="B814" t="str">
        <x:f>"SPAQ US Equity"</x:f>
        <x:v>SPAQ US Equity</x:v>
      </x:c>
      <x:c r="E814" t="str">
        <x:f t="shared" si="32"/>
        <x:v>Expression</x:v>
      </x:c>
      <x:c r="F814">
        <x:f ca="1">IF(AND($B$1012=1,LEN($F$1797)&gt;0),$F$1797,HLOOKUP(INDIRECT(ADDRESS(2,COLUMN())),OFFSET($T$2,0,0,ROW()-1,14),ROW()-1,FALSE))</x:f>
        <x:v>0</x:v>
      </x:c>
      <x:c r="G814">
        <x:f ca="1">IF(AND($B$1012=1,LEN($G$1797)&gt;0),$G$1797,HLOOKUP(INDIRECT(ADDRESS(2,COLUMN())),OFFSET($T$2,0,0,ROW()-1,14),ROW()-1,FALSE))</x:f>
        <x:v>0</x:v>
      </x:c>
      <x:c r="H814">
        <x:f ca="1">IF(AND($B$1012=1,LEN($H$1797)&gt;0),$H$1797,HLOOKUP(INDIRECT(ADDRESS(2,COLUMN())),OFFSET($T$2,0,0,ROW()-1,14),ROW()-1,FALSE))</x:f>
        <x:v>0</x:v>
      </x:c>
      <x:c r="I814">
        <x:f ca="1">IF(AND($B$1012=1,LEN($I$1797)&gt;0),$I$1797,HLOOKUP(INDIRECT(ADDRESS(2,COLUMN())),OFFSET($T$2,0,0,ROW()-1,14),ROW()-1,FALSE))</x:f>
        <x:v>1.9577500000000001</x:v>
      </x:c>
      <x:c r="J814">
        <x:f ca="1">IF(AND($B$1012=1,LEN($J$1797)&gt;0),$J$1797,HLOOKUP(INDIRECT(ADDRESS(2,COLUMN())),OFFSET($T$2,0,0,ROW()-1,14),ROW()-1,FALSE))</x:f>
        <x:v>0</x:v>
      </x:c>
      <x:c r="K814">
        <x:f ca="1">IF(AND($B$1012=1,LEN($K$1797)&gt;0),$K$1797,HLOOKUP(INDIRECT(ADDRESS(2,COLUMN())),OFFSET($T$2,0,0,ROW()-1,14),ROW()-1,FALSE))</x:f>
        <x:v>0</x:v>
      </x:c>
      <x:c r="L814">
        <x:f ca="1">IF(AND($B$1012=1,LEN($L$1797)&gt;0),$L$1797,HLOOKUP(INDIRECT(ADDRESS(2,COLUMN())),OFFSET($T$2,0,0,ROW()-1,14),ROW()-1,FALSE))</x:f>
        <x:v>0.962673</x:v>
      </x:c>
      <x:c r="M814">
        <x:f ca="1">IF(AND($B$1012=1,LEN($M$1797)&gt;0),$M$1797,HLOOKUP(INDIRECT(ADDRESS(2,COLUMN())),OFFSET($T$2,0,0,ROW()-1,14),ROW()-1,FALSE))</x:f>
        <x:v>-0.96026500000000004</x:v>
      </x:c>
      <x:c r="N814">
        <x:f ca="1">IF(AND($B$1012=1,LEN($N$1797)&gt;0),$N$1797,HLOOKUP(INDIRECT(ADDRESS(2,COLUMN())),OFFSET($T$2,0,0,ROW()-1,14),ROW()-1,FALSE))</x:f>
        <x:v>5.7231120000000004</x:v>
      </x:c>
      <x:c r="O814">
        <x:f ca="1">IF(AND($B$1012=1,LEN($O$1797)&gt;0),$O$1797,HLOOKUP(INDIRECT(ADDRESS(2,COLUMN())),OFFSET($T$2,0,0,ROW()-1,14),ROW()-1,FALSE))</x:f>
        <x:v>0.95277500000000004</x:v>
      </x:c>
      <x:c r="P814">
        <x:f ca="1">IF(AND($B$1012=1,LEN($P$1797)&gt;0),$P$1797,HLOOKUP(INDIRECT(ADDRESS(2,COLUMN())),OFFSET($T$2,0,0,ROW()-1,14),ROW()-1,FALSE))</x:f>
        <x:v>-8.3590000000000001E-3</x:v>
      </x:c>
      <x:c r="Q814" t="str">
        <x:f ca="1">IF(AND($B$1012=1,LEN($Q$1797)&gt;0),$Q$1797,HLOOKUP(INDIRECT(ADDRESS(2,COLUMN())),OFFSET($T$2,0,0,ROW()-1,14),ROW()-1,FALSE))</x:f>
        <x:v/>
      </x:c>
      <x:c r="R814" t="str">
        <x:f ca="1">IF(AND($B$1012=1,LEN($R$1797)&gt;0),$R$1797,HLOOKUP(INDIRECT(ADDRESS(2,COLUMN())),OFFSET($T$2,0,0,ROW()-1,14),ROW()-1,FALSE))</x:f>
        <x:v/>
      </x:c>
      <x:c r="S814" t="str">
        <x:f ca="1">IF(AND($B$1012=1,LEN($S$1797)&gt;0),$S$1797,HLOOKUP(INDIRECT(ADDRESS(2,COLUMN())),OFFSET($T$2,0,0,ROW()-1,14),ROW()-1,FALSE))</x:f>
        <x:v/>
      </x:c>
      <x:c r="T814">
        <x:f>0</x:f>
        <x:v>0</x:v>
      </x:c>
      <x:c r="U814">
        <x:f>0</x:f>
        <x:v>0</x:v>
      </x:c>
      <x:c r="V814">
        <x:f>0</x:f>
        <x:v>0</x:v>
      </x:c>
      <x:c r="W814">
        <x:f>1.95775</x:f>
        <x:v>1.9577500000000001</x:v>
      </x:c>
      <x:c r="X814">
        <x:f>0</x:f>
        <x:v>0</x:v>
      </x:c>
      <x:c r="Y814">
        <x:f>0</x:f>
        <x:v>0</x:v>
      </x:c>
      <x:c r="Z814">
        <x:f>0.962673</x:f>
        <x:v>0.962673</x:v>
      </x:c>
      <x:c r="AA814">
        <x:f>-0.960265</x:f>
        <x:v>-0.96026500000000004</x:v>
      </x:c>
      <x:c r="AB814">
        <x:f>5.723112</x:f>
        <x:v>5.7231120000000004</x:v>
      </x:c>
      <x:c r="AC814">
        <x:f>0.952775</x:f>
        <x:v>0.95277500000000004</x:v>
      </x:c>
      <x:c r="AD814">
        <x:f>-0.008359</x:f>
        <x:v>-8.3590000000000001E-3</x:v>
      </x:c>
      <x:c r="AE814" t="str">
        <x:f>""</x:f>
        <x:v/>
      </x:c>
      <x:c r="AF814" t="str">
        <x:f>""</x:f>
        <x:v/>
      </x:c>
      <x:c r="AG814" t="str">
        <x:f>""</x:f>
        <x:v/>
      </x:c>
    </x:row>
    <x:row r="815" spans="1:33" x14ac:dyDescent="0.25">
      <x:c r="A815" t="str">
        <x:f>"        Electric Car &amp; Battery"</x:f>
        <x:v xml:space="preserve">        Electric Car &amp; Battery</x:v>
      </x:c>
      <x:c r="B815" t="str">
        <x:f>""</x:f>
        <x:v/>
      </x:c>
      <x:c r="E815" t="str">
        <x:f>"Sum"</x:f>
        <x:v>Sum</x:v>
      </x:c>
      <x:c r="F815">
        <x:f ca="1">IF(ISERROR(IF(SUM($F$816:$F$826) = 0, "", SUM($F$816:$F$826))), "", (IF(SUM($F$816:$F$826) = 0, "", SUM($F$816:$F$826))))</x:f>
        <x:v>19.208580999999999</x:v>
      </x:c>
      <x:c r="G815">
        <x:f ca="1">IF(ISERROR(IF(SUM($G$816:$G$826) = 0, "", SUM($G$816:$G$826))), "", (IF(SUM($G$816:$G$826) = 0, "", SUM($G$816:$G$826))))</x:f>
        <x:v>-157.41346099999998</x:v>
      </x:c>
      <x:c r="H815">
        <x:f ca="1">IF(ISERROR(IF(SUM($H$816:$H$826) = 0, "", SUM($H$816:$H$826))), "", (IF(SUM($H$816:$H$826) = 0, "", SUM($H$816:$H$826))))</x:f>
        <x:v>-76.481262999999998</x:v>
      </x:c>
      <x:c r="I815">
        <x:f ca="1">IF(ISERROR(IF(SUM($I$816:$I$826) = 0, "", SUM($I$816:$I$826))), "", (IF(SUM($I$816:$I$826) = 0, "", SUM($I$816:$I$826))))</x:f>
        <x:v>-217.14033899999995</x:v>
      </x:c>
      <x:c r="J815">
        <x:f ca="1">IF(ISERROR(IF(SUM($J$816:$J$826) = 0, "", SUM($J$816:$J$826))), "", (IF(SUM($J$816:$J$826) = 0, "", SUM($J$816:$J$826))))</x:f>
        <x:v>-33.405766</x:v>
      </x:c>
      <x:c r="K815">
        <x:f ca="1">IF(ISERROR(IF(SUM($K$816:$K$826) = 0, "", SUM($K$816:$K$826))), "", (IF(SUM($K$816:$K$826) = 0, "", SUM($K$816:$K$826))))</x:f>
        <x:v>-44.799077000000011</x:v>
      </x:c>
      <x:c r="L815">
        <x:f ca="1">IF(ISERROR(IF(SUM($L$816:$L$826) = 0, "", SUM($L$816:$L$826))), "", (IF(SUM($L$816:$L$826) = 0, "", SUM($L$816:$L$826))))</x:f>
        <x:v>-76.189624999999992</x:v>
      </x:c>
      <x:c r="M815">
        <x:f ca="1">IF(ISERROR(IF(SUM($M$816:$M$826) = 0, "", SUM($M$816:$M$826))), "", (IF(SUM($M$816:$M$826) = 0, "", SUM($M$816:$M$826))))</x:f>
        <x:v>-73.948029000000005</x:v>
      </x:c>
      <x:c r="N815">
        <x:f ca="1">IF(ISERROR(IF(SUM($N$816:$N$826) = 0, "", SUM($N$816:$N$826))), "", (IF(SUM($N$816:$N$826) = 0, "", SUM($N$816:$N$826))))</x:f>
        <x:v>-43.928471000000002</x:v>
      </x:c>
      <x:c r="O815">
        <x:f ca="1">IF(ISERROR(IF(SUM($O$816:$O$826) = 0, "", SUM($O$816:$O$826))), "", (IF(SUM($O$816:$O$826) = 0, "", SUM($O$816:$O$826))))</x:f>
        <x:v>-26.443064</x:v>
      </x:c>
      <x:c r="P815">
        <x:f ca="1">IF(ISERROR(IF(SUM($P$816:$P$826) = 0, "", SUM($P$816:$P$826))), "", (IF(SUM($P$816:$P$826) = 0, "", SUM($P$816:$P$826))))</x:f>
        <x:v>-102.21052299999998</x:v>
      </x:c>
      <x:c r="Q815">
        <x:f ca="1">IF(ISERROR(IF(SUM($Q$816:$Q$826) = 0, "", SUM($Q$816:$Q$826))), "", (IF(SUM($Q$816:$Q$826) = 0, "", SUM($Q$816:$Q$826))))</x:f>
        <x:v>-205.50545099999999</x:v>
      </x:c>
      <x:c r="R815">
        <x:f ca="1">IF(ISERROR(IF(SUM($R$816:$R$826) = 0, "", SUM($R$816:$R$826))), "", (IF(SUM($R$816:$R$826) = 0, "", SUM($R$816:$R$826))))</x:f>
        <x:v>-67.848271999999994</x:v>
      </x:c>
      <x:c r="S815">
        <x:f ca="1">IF(ISERROR(IF(SUM($S$816:$S$826) = 0, "", SUM($S$816:$S$826))), "", (IF(SUM($S$816:$S$826) = 0, "", SUM($S$816:$S$826))))</x:f>
        <x:v>-160.54839000000001</x:v>
      </x:c>
      <x:c r="T815">
        <x:f>19.208581</x:f>
        <x:v>19.208580999999999</x:v>
      </x:c>
      <x:c r="U815">
        <x:f>-157.413461</x:f>
        <x:v>-157.41346100000001</x:v>
      </x:c>
      <x:c r="V815">
        <x:f>-76.481263</x:f>
        <x:v>-76.481262999999998</x:v>
      </x:c>
      <x:c r="W815">
        <x:f>-217.140339</x:f>
        <x:v>-217.14033900000001</x:v>
      </x:c>
      <x:c r="X815">
        <x:f>-33.405766</x:f>
        <x:v>-33.405766</x:v>
      </x:c>
      <x:c r="Y815">
        <x:f>-44.799077</x:f>
        <x:v>-44.799076999999997</x:v>
      </x:c>
      <x:c r="Z815">
        <x:f>-76.189625</x:f>
        <x:v>-76.189625000000007</x:v>
      </x:c>
      <x:c r="AA815">
        <x:f>-73.948029</x:f>
        <x:v>-73.948029000000005</x:v>
      </x:c>
      <x:c r="AB815">
        <x:f>-43.928471</x:f>
        <x:v>-43.928471000000002</x:v>
      </x:c>
      <x:c r="AC815">
        <x:f>-26.443064</x:f>
        <x:v>-26.443064</x:v>
      </x:c>
      <x:c r="AD815">
        <x:f>-102.210523</x:f>
        <x:v>-102.21052299999999</x:v>
      </x:c>
      <x:c r="AE815">
        <x:f>-205.505451</x:f>
        <x:v>-205.50545099999999</x:v>
      </x:c>
      <x:c r="AF815">
        <x:f>-67.848272</x:f>
        <x:v>-67.848271999999994</x:v>
      </x:c>
      <x:c r="AG815">
        <x:f>-160.54839</x:f>
        <x:v>-160.54839000000001</x:v>
      </x:c>
    </x:row>
    <x:row r="816" spans="1:33" x14ac:dyDescent="0.25">
      <x:c r="A816" t="str">
        <x:f>"            KraneShares Electric Vehicles"</x:f>
        <x:v xml:space="preserve">            KraneShares Electric Vehicles</x:v>
      </x:c>
      <x:c r="B816" t="str">
        <x:f>"KARS US Equity"</x:f>
        <x:v>KARS US Equity</x:v>
      </x:c>
      <x:c r="E816" t="str">
        <x:f t="shared" ref="E816:E826" si="33">"Expression"</x:f>
        <x:v>Expression</x:v>
      </x:c>
      <x:c r="F816">
        <x:f ca="1">IF(AND($B$1012=1,LEN($F$1798)&gt;0),$F$1798,HLOOKUP(INDIRECT(ADDRESS(2,COLUMN())),OFFSET($T$2,0,0,ROW()-1,14),ROW()-1,FALSE))</x:f>
        <x:v>0</x:v>
      </x:c>
      <x:c r="G816">
        <x:f ca="1">IF(AND($B$1012=1,LEN($G$1798)&gt;0),$G$1798,HLOOKUP(INDIRECT(ADDRESS(2,COLUMN())),OFFSET($T$2,0,0,ROW()-1,14),ROW()-1,FALSE))</x:f>
        <x:v>-2.5565000000000002</x:v>
      </x:c>
      <x:c r="H816">
        <x:f ca="1">IF(AND($B$1012=1,LEN($H$1798)&gt;0),$H$1798,HLOOKUP(INDIRECT(ADDRESS(2,COLUMN())),OFFSET($T$2,0,0,ROW()-1,14),ROW()-1,FALSE))</x:f>
        <x:v>0</x:v>
      </x:c>
      <x:c r="I816">
        <x:f ca="1">IF(AND($B$1012=1,LEN($I$1798)&gt;0),$I$1798,HLOOKUP(INDIRECT(ADDRESS(2,COLUMN())),OFFSET($T$2,0,0,ROW()-1,14),ROW()-1,FALSE))</x:f>
        <x:v>4.4135</x:v>
      </x:c>
      <x:c r="J816">
        <x:f ca="1">IF(AND($B$1012=1,LEN($J$1798)&gt;0),$J$1798,HLOOKUP(INDIRECT(ADDRESS(2,COLUMN())),OFFSET($T$2,0,0,ROW()-1,14),ROW()-1,FALSE))</x:f>
        <x:v>0</x:v>
      </x:c>
      <x:c r="K816">
        <x:f ca="1">IF(AND($B$1012=1,LEN($K$1798)&gt;0),$K$1798,HLOOKUP(INDIRECT(ADDRESS(2,COLUMN())),OFFSET($T$2,0,0,ROW()-1,14),ROW()-1,FALSE))</x:f>
        <x:v>-6</x:v>
      </x:c>
      <x:c r="L816">
        <x:f ca="1">IF(AND($B$1012=1,LEN($L$1798)&gt;0),$L$1798,HLOOKUP(INDIRECT(ADDRESS(2,COLUMN())),OFFSET($T$2,0,0,ROW()-1,14),ROW()-1,FALSE))</x:f>
        <x:v>-2.863</x:v>
      </x:c>
      <x:c r="M816">
        <x:f ca="1">IF(AND($B$1012=1,LEN($M$1798)&gt;0),$M$1798,HLOOKUP(INDIRECT(ADDRESS(2,COLUMN())),OFFSET($T$2,0,0,ROW()-1,14),ROW()-1,FALSE))</x:f>
        <x:v>0</x:v>
      </x:c>
      <x:c r="N816">
        <x:f ca="1">IF(AND($B$1012=1,LEN($N$1798)&gt;0),$N$1798,HLOOKUP(INDIRECT(ADDRESS(2,COLUMN())),OFFSET($T$2,0,0,ROW()-1,14),ROW()-1,FALSE))</x:f>
        <x:v>-4.43</x:v>
      </x:c>
      <x:c r="O816">
        <x:f ca="1">IF(AND($B$1012=1,LEN($O$1798)&gt;0),$O$1798,HLOOKUP(INDIRECT(ADDRESS(2,COLUMN())),OFFSET($T$2,0,0,ROW()-1,14),ROW()-1,FALSE))</x:f>
        <x:v>0</x:v>
      </x:c>
      <x:c r="P816">
        <x:f ca="1">IF(AND($B$1012=1,LEN($P$1798)&gt;0),$P$1798,HLOOKUP(INDIRECT(ADDRESS(2,COLUMN())),OFFSET($T$2,0,0,ROW()-1,14),ROW()-1,FALSE))</x:f>
        <x:v>-9.1479999999999997</x:v>
      </x:c>
      <x:c r="Q816">
        <x:f ca="1">IF(AND($B$1012=1,LEN($Q$1798)&gt;0),$Q$1798,HLOOKUP(INDIRECT(ADDRESS(2,COLUMN())),OFFSET($T$2,0,0,ROW()-1,14),ROW()-1,FALSE))</x:f>
        <x:v>-6.2130000000000001</x:v>
      </x:c>
      <x:c r="R816">
        <x:f ca="1">IF(AND($B$1012=1,LEN($R$1798)&gt;0),$R$1798,HLOOKUP(INDIRECT(ADDRESS(2,COLUMN())),OFFSET($T$2,0,0,ROW()-1,14),ROW()-1,FALSE))</x:f>
        <x:v>0</x:v>
      </x:c>
      <x:c r="S816">
        <x:f ca="1">IF(AND($B$1012=1,LEN($S$1798)&gt;0),$S$1798,HLOOKUP(INDIRECT(ADDRESS(2,COLUMN())),OFFSET($T$2,0,0,ROW()-1,14),ROW()-1,FALSE))</x:f>
        <x:v>-9.0845000000000002</x:v>
      </x:c>
      <x:c r="T816">
        <x:f>0</x:f>
        <x:v>0</x:v>
      </x:c>
      <x:c r="U816">
        <x:f>-2.5565</x:f>
        <x:v>-2.5565000000000002</x:v>
      </x:c>
      <x:c r="V816">
        <x:f>0</x:f>
        <x:v>0</x:v>
      </x:c>
      <x:c r="W816">
        <x:f>4.4135</x:f>
        <x:v>4.4135</x:v>
      </x:c>
      <x:c r="X816">
        <x:f>0</x:f>
        <x:v>0</x:v>
      </x:c>
      <x:c r="Y816">
        <x:f>-6</x:f>
        <x:v>-6</x:v>
      </x:c>
      <x:c r="Z816">
        <x:f>-2.863</x:f>
        <x:v>-2.863</x:v>
      </x:c>
      <x:c r="AA816">
        <x:f>0</x:f>
        <x:v>0</x:v>
      </x:c>
      <x:c r="AB816">
        <x:f>-4.43</x:f>
        <x:v>-4.43</x:v>
      </x:c>
      <x:c r="AC816">
        <x:f>0</x:f>
        <x:v>0</x:v>
      </x:c>
      <x:c r="AD816">
        <x:f>-9.148</x:f>
        <x:v>-9.1479999999999997</x:v>
      </x:c>
      <x:c r="AE816">
        <x:f>-6.213</x:f>
        <x:v>-6.2130000000000001</x:v>
      </x:c>
      <x:c r="AF816">
        <x:f>0</x:f>
        <x:v>0</x:v>
      </x:c>
      <x:c r="AG816">
        <x:f>-9.0845</x:f>
        <x:v>-9.0845000000000002</x:v>
      </x:c>
    </x:row>
    <x:row r="817" spans="1:33" x14ac:dyDescent="0.25">
      <x:c r="A817" t="str">
        <x:f>"            SPDR S&amp;P Kensho Smart Mobility"</x:f>
        <x:v xml:space="preserve">            SPDR S&amp;P Kensho Smart Mobility</x:v>
      </x:c>
      <x:c r="B817" t="str">
        <x:f>"HAIL US Equity"</x:f>
        <x:v>HAIL US Equity</x:v>
      </x:c>
      <x:c r="E817" t="str">
        <x:f t="shared" si="33"/>
        <x:v>Expression</x:v>
      </x:c>
      <x:c r="F817">
        <x:f ca="1">IF(AND($B$1012=1,LEN($F$1799)&gt;0),$F$1799,HLOOKUP(INDIRECT(ADDRESS(2,COLUMN())),OFFSET($T$2,0,0,ROW()-1,14),ROW()-1,FALSE))</x:f>
        <x:v>-0.80892299999999995</x:v>
      </x:c>
      <x:c r="G817">
        <x:f ca="1">IF(AND($B$1012=1,LEN($G$1799)&gt;0),$G$1799,HLOOKUP(INDIRECT(ADDRESS(2,COLUMN())),OFFSET($T$2,0,0,ROW()-1,14),ROW()-1,FALSE))</x:f>
        <x:v>-0.57076400000000005</x:v>
      </x:c>
      <x:c r="H817">
        <x:f ca="1">IF(AND($B$1012=1,LEN($H$1799)&gt;0),$H$1799,HLOOKUP(INDIRECT(ADDRESS(2,COLUMN())),OFFSET($T$2,0,0,ROW()-1,14),ROW()-1,FALSE))</x:f>
        <x:v>-0.63245799999999996</x:v>
      </x:c>
      <x:c r="I817">
        <x:f ca="1">IF(AND($B$1012=1,LEN($I$1799)&gt;0),$I$1799,HLOOKUP(INDIRECT(ADDRESS(2,COLUMN())),OFFSET($T$2,0,0,ROW()-1,14),ROW()-1,FALSE))</x:f>
        <x:v>-0.96514100000000003</x:v>
      </x:c>
      <x:c r="J817">
        <x:f ca="1">IF(AND($B$1012=1,LEN($J$1799)&gt;0),$J$1799,HLOOKUP(INDIRECT(ADDRESS(2,COLUMN())),OFFSET($T$2,0,0,ROW()-1,14),ROW()-1,FALSE))</x:f>
        <x:v>-1.070166</x:v>
      </x:c>
      <x:c r="K817">
        <x:f ca="1">IF(AND($B$1012=1,LEN($K$1799)&gt;0),$K$1799,HLOOKUP(INDIRECT(ADDRESS(2,COLUMN())),OFFSET($T$2,0,0,ROW()-1,14),ROW()-1,FALSE))</x:f>
        <x:v>-1.9966200000000001</x:v>
      </x:c>
      <x:c r="L817">
        <x:f ca="1">IF(AND($B$1012=1,LEN($L$1799)&gt;0),$L$1799,HLOOKUP(INDIRECT(ADDRESS(2,COLUMN())),OFFSET($T$2,0,0,ROW()-1,14),ROW()-1,FALSE))</x:f>
        <x:v>-0.87285000000000001</x:v>
      </x:c>
      <x:c r="M817">
        <x:f ca="1">IF(AND($B$1012=1,LEN($M$1799)&gt;0),$M$1799,HLOOKUP(INDIRECT(ADDRESS(2,COLUMN())),OFFSET($T$2,0,0,ROW()-1,14),ROW()-1,FALSE))</x:f>
        <x:v>-2.0802510000000001</x:v>
      </x:c>
      <x:c r="N817">
        <x:f ca="1">IF(AND($B$1012=1,LEN($N$1799)&gt;0),$N$1799,HLOOKUP(INDIRECT(ADDRESS(2,COLUMN())),OFFSET($T$2,0,0,ROW()-1,14),ROW()-1,FALSE))</x:f>
        <x:v>-0.88123399999999996</x:v>
      </x:c>
      <x:c r="O817">
        <x:f ca="1">IF(AND($B$1012=1,LEN($O$1799)&gt;0),$O$1799,HLOOKUP(INDIRECT(ADDRESS(2,COLUMN())),OFFSET($T$2,0,0,ROW()-1,14),ROW()-1,FALSE))</x:f>
        <x:v>-0.36013000000000001</x:v>
      </x:c>
      <x:c r="P817">
        <x:f ca="1">IF(AND($B$1012=1,LEN($P$1799)&gt;0),$P$1799,HLOOKUP(INDIRECT(ADDRESS(2,COLUMN())),OFFSET($T$2,0,0,ROW()-1,14),ROW()-1,FALSE))</x:f>
        <x:v>-2.5854659999999998</x:v>
      </x:c>
      <x:c r="Q817">
        <x:f ca="1">IF(AND($B$1012=1,LEN($Q$1799)&gt;0),$Q$1799,HLOOKUP(INDIRECT(ADDRESS(2,COLUMN())),OFFSET($T$2,0,0,ROW()-1,14),ROW()-1,FALSE))</x:f>
        <x:v>-4.0407760000000001</x:v>
      </x:c>
      <x:c r="R817">
        <x:f ca="1">IF(AND($B$1012=1,LEN($R$1799)&gt;0),$R$1799,HLOOKUP(INDIRECT(ADDRESS(2,COLUMN())),OFFSET($T$2,0,0,ROW()-1,14),ROW()-1,FALSE))</x:f>
        <x:v>-0.69353399999999998</x:v>
      </x:c>
      <x:c r="S817">
        <x:f ca="1">IF(AND($B$1012=1,LEN($S$1799)&gt;0),$S$1799,HLOOKUP(INDIRECT(ADDRESS(2,COLUMN())),OFFSET($T$2,0,0,ROW()-1,14),ROW()-1,FALSE))</x:f>
        <x:v>-1.954483</x:v>
      </x:c>
      <x:c r="T817">
        <x:f>-0.808923</x:f>
        <x:v>-0.80892299999999995</x:v>
      </x:c>
      <x:c r="U817">
        <x:f>-0.570764</x:f>
        <x:v>-0.57076400000000005</x:v>
      </x:c>
      <x:c r="V817">
        <x:f>-0.632458</x:f>
        <x:v>-0.63245799999999996</x:v>
      </x:c>
      <x:c r="W817">
        <x:f>-0.965141</x:f>
        <x:v>-0.96514100000000003</x:v>
      </x:c>
      <x:c r="X817">
        <x:f>-1.070166</x:f>
        <x:v>-1.070166</x:v>
      </x:c>
      <x:c r="Y817">
        <x:f>-1.99662</x:f>
        <x:v>-1.9966200000000001</x:v>
      </x:c>
      <x:c r="Z817">
        <x:f>-0.87285</x:f>
        <x:v>-0.87285000000000001</x:v>
      </x:c>
      <x:c r="AA817">
        <x:f>-2.080251</x:f>
        <x:v>-2.0802510000000001</x:v>
      </x:c>
      <x:c r="AB817">
        <x:f>-0.881234</x:f>
        <x:v>-0.88123399999999996</x:v>
      </x:c>
      <x:c r="AC817">
        <x:f>-0.36013</x:f>
        <x:v>-0.36013000000000001</x:v>
      </x:c>
      <x:c r="AD817">
        <x:f>-2.585466</x:f>
        <x:v>-2.5854659999999998</x:v>
      </x:c>
      <x:c r="AE817">
        <x:f>-4.040776</x:f>
        <x:v>-4.0407760000000001</x:v>
      </x:c>
      <x:c r="AF817">
        <x:f>-0.693534</x:f>
        <x:v>-0.69353399999999998</x:v>
      </x:c>
      <x:c r="AG817">
        <x:f>-1.954483</x:f>
        <x:v>-1.954483</x:v>
      </x:c>
    </x:row>
    <x:row r="818" spans="1:33" x14ac:dyDescent="0.25">
      <x:c r="A818" t="str">
        <x:f>"            Capital Link Global Green Ener"</x:f>
        <x:v xml:space="preserve">            Capital Link Global Green Ener</x:v>
      </x:c>
      <x:c r="B818" t="str">
        <x:f>"EKAR US Equity"</x:f>
        <x:v>EKAR US Equity</x:v>
      </x:c>
      <x:c r="E818" t="str">
        <x:f t="shared" si="33"/>
        <x:v>Expression</x:v>
      </x:c>
      <x:c r="F818" t="str">
        <x:f ca="1">IF(AND($B$1012=1,LEN($F$1800)&gt;0),$F$1800,HLOOKUP(INDIRECT(ADDRESS(2,COLUMN())),OFFSET($T$2,0,0,ROW()-1,14),ROW()-1,FALSE))</x:f>
        <x:v/>
      </x:c>
      <x:c r="G818" t="str">
        <x:f ca="1">IF(AND($B$1012=1,LEN($G$1800)&gt;0),$G$1800,HLOOKUP(INDIRECT(ADDRESS(2,COLUMN())),OFFSET($T$2,0,0,ROW()-1,14),ROW()-1,FALSE))</x:f>
        <x:v/>
      </x:c>
      <x:c r="H818" t="str">
        <x:f ca="1">IF(AND($B$1012=1,LEN($H$1800)&gt;0),$H$1800,HLOOKUP(INDIRECT(ADDRESS(2,COLUMN())),OFFSET($T$2,0,0,ROW()-1,14),ROW()-1,FALSE))</x:f>
        <x:v/>
      </x:c>
      <x:c r="I818" t="str">
        <x:f ca="1">IF(AND($B$1012=1,LEN($I$1800)&gt;0),$I$1800,HLOOKUP(INDIRECT(ADDRESS(2,COLUMN())),OFFSET($T$2,0,0,ROW()-1,14),ROW()-1,FALSE))</x:f>
        <x:v/>
      </x:c>
      <x:c r="J818" t="str">
        <x:f ca="1">IF(AND($B$1012=1,LEN($J$1800)&gt;0),$J$1800,HLOOKUP(INDIRECT(ADDRESS(2,COLUMN())),OFFSET($T$2,0,0,ROW()-1,14),ROW()-1,FALSE))</x:f>
        <x:v/>
      </x:c>
      <x:c r="K818" t="str">
        <x:f ca="1">IF(AND($B$1012=1,LEN($K$1800)&gt;0),$K$1800,HLOOKUP(INDIRECT(ADDRESS(2,COLUMN())),OFFSET($T$2,0,0,ROW()-1,14),ROW()-1,FALSE))</x:f>
        <x:v/>
      </x:c>
      <x:c r="L818" t="str">
        <x:f ca="1">IF(AND($B$1012=1,LEN($L$1800)&gt;0),$L$1800,HLOOKUP(INDIRECT(ADDRESS(2,COLUMN())),OFFSET($T$2,0,0,ROW()-1,14),ROW()-1,FALSE))</x:f>
        <x:v/>
      </x:c>
      <x:c r="M818" t="str">
        <x:f ca="1">IF(AND($B$1012=1,LEN($M$1800)&gt;0),$M$1800,HLOOKUP(INDIRECT(ADDRESS(2,COLUMN())),OFFSET($T$2,0,0,ROW()-1,14),ROW()-1,FALSE))</x:f>
        <x:v/>
      </x:c>
      <x:c r="N818" t="str">
        <x:f ca="1">IF(AND($B$1012=1,LEN($N$1800)&gt;0),$N$1800,HLOOKUP(INDIRECT(ADDRESS(2,COLUMN())),OFFSET($T$2,0,0,ROW()-1,14),ROW()-1,FALSE))</x:f>
        <x:v/>
      </x:c>
      <x:c r="O818" t="str">
        <x:f ca="1">IF(AND($B$1012=1,LEN($O$1800)&gt;0),$O$1800,HLOOKUP(INDIRECT(ADDRESS(2,COLUMN())),OFFSET($T$2,0,0,ROW()-1,14),ROW()-1,FALSE))</x:f>
        <x:v/>
      </x:c>
      <x:c r="P818">
        <x:f ca="1">IF(AND($B$1012=1,LEN($P$1800)&gt;0),$P$1800,HLOOKUP(INDIRECT(ADDRESS(2,COLUMN())),OFFSET($T$2,0,0,ROW()-1,14),ROW()-1,FALSE))</x:f>
        <x:v>0</x:v>
      </x:c>
      <x:c r="Q818">
        <x:f ca="1">IF(AND($B$1012=1,LEN($Q$1800)&gt;0),$Q$1800,HLOOKUP(INDIRECT(ADDRESS(2,COLUMN())),OFFSET($T$2,0,0,ROW()-1,14),ROW()-1,FALSE))</x:f>
        <x:v>0</x:v>
      </x:c>
      <x:c r="R818">
        <x:f ca="1">IF(AND($B$1012=1,LEN($R$1800)&gt;0),$R$1800,HLOOKUP(INDIRECT(ADDRESS(2,COLUMN())),OFFSET($T$2,0,0,ROW()-1,14),ROW()-1,FALSE))</x:f>
        <x:v>0</x:v>
      </x:c>
      <x:c r="S818">
        <x:f ca="1">IF(AND($B$1012=1,LEN($S$1800)&gt;0),$S$1800,HLOOKUP(INDIRECT(ADDRESS(2,COLUMN())),OFFSET($T$2,0,0,ROW()-1,14),ROW()-1,FALSE))</x:f>
        <x:v>0</x:v>
      </x:c>
      <x:c r="T818" t="str">
        <x:f>""</x:f>
        <x:v/>
      </x:c>
      <x:c r="U818" t="str">
        <x:f>""</x:f>
        <x:v/>
      </x:c>
      <x:c r="V818" t="str">
        <x:f>""</x:f>
        <x:v/>
      </x:c>
      <x:c r="W818" t="str">
        <x:f>""</x:f>
        <x:v/>
      </x:c>
      <x:c r="X818" t="str">
        <x:f>""</x:f>
        <x:v/>
      </x:c>
      <x:c r="Y818" t="str">
        <x:f>""</x:f>
        <x:v/>
      </x:c>
      <x:c r="Z818" t="str">
        <x:f>""</x:f>
        <x:v/>
      </x:c>
      <x:c r="AA818" t="str">
        <x:f>""</x:f>
        <x:v/>
      </x:c>
      <x:c r="AB818" t="str">
        <x:f>""</x:f>
        <x:v/>
      </x:c>
      <x:c r="AC818" t="str">
        <x:f>""</x:f>
        <x:v/>
      </x:c>
      <x:c r="AD818">
        <x:f>0</x:f>
        <x:v>0</x:v>
      </x:c>
      <x:c r="AE818">
        <x:f>0</x:f>
        <x:v>0</x:v>
      </x:c>
      <x:c r="AF818">
        <x:f>0</x:f>
        <x:v>0</x:v>
      </x:c>
      <x:c r="AG818">
        <x:f>0</x:f>
        <x:v>0</x:v>
      </x:c>
    </x:row>
    <x:row r="819" spans="1:33" x14ac:dyDescent="0.25">
      <x:c r="A819" t="str">
        <x:f>"            Global X Lithium &amp; Battery Tec"</x:f>
        <x:v xml:space="preserve">            Global X Lithium &amp; Battery Tec</x:v>
      </x:c>
      <x:c r="B819" t="str">
        <x:f>"LIT US Equity"</x:f>
        <x:v>LIT US Equity</x:v>
      </x:c>
      <x:c r="E819" t="str">
        <x:f t="shared" si="33"/>
        <x:v>Expression</x:v>
      </x:c>
      <x:c r="F819">
        <x:f ca="1">IF(AND($B$1012=1,LEN($F$1801)&gt;0),$F$1801,HLOOKUP(INDIRECT(ADDRESS(2,COLUMN())),OFFSET($T$2,0,0,ROW()-1,14),ROW()-1,FALSE))</x:f>
        <x:v>26.904</x:v>
      </x:c>
      <x:c r="G819">
        <x:f ca="1">IF(AND($B$1012=1,LEN($G$1801)&gt;0),$G$1801,HLOOKUP(INDIRECT(ADDRESS(2,COLUMN())),OFFSET($T$2,0,0,ROW()-1,14),ROW()-1,FALSE))</x:f>
        <x:v>-129.70679999999999</x:v>
      </x:c>
      <x:c r="H819">
        <x:f ca="1">IF(AND($B$1012=1,LEN($H$1801)&gt;0),$H$1801,HLOOKUP(INDIRECT(ADDRESS(2,COLUMN())),OFFSET($T$2,0,0,ROW()-1,14),ROW()-1,FALSE))</x:f>
        <x:v>-54.565899999999999</x:v>
      </x:c>
      <x:c r="I819">
        <x:f ca="1">IF(AND($B$1012=1,LEN($I$1801)&gt;0),$I$1801,HLOOKUP(INDIRECT(ADDRESS(2,COLUMN())),OFFSET($T$2,0,0,ROW()-1,14),ROW()-1,FALSE))</x:f>
        <x:v>-159.18109999999999</x:v>
      </x:c>
      <x:c r="J819">
        <x:f ca="1">IF(AND($B$1012=1,LEN($J$1801)&gt;0),$J$1801,HLOOKUP(INDIRECT(ADDRESS(2,COLUMN())),OFFSET($T$2,0,0,ROW()-1,14),ROW()-1,FALSE))</x:f>
        <x:v>-30.7683</x:v>
      </x:c>
      <x:c r="K819">
        <x:f ca="1">IF(AND($B$1012=1,LEN($K$1801)&gt;0),$K$1801,HLOOKUP(INDIRECT(ADDRESS(2,COLUMN())),OFFSET($T$2,0,0,ROW()-1,14),ROW()-1,FALSE))</x:f>
        <x:v>-14.430300000000001</x:v>
      </x:c>
      <x:c r="L819">
        <x:f ca="1">IF(AND($B$1012=1,LEN($L$1801)&gt;0),$L$1801,HLOOKUP(INDIRECT(ADDRESS(2,COLUMN())),OFFSET($T$2,0,0,ROW()-1,14),ROW()-1,FALSE))</x:f>
        <x:v>-44.758600000000001</x:v>
      </x:c>
      <x:c r="M819">
        <x:f ca="1">IF(AND($B$1012=1,LEN($M$1801)&gt;0),$M$1801,HLOOKUP(INDIRECT(ADDRESS(2,COLUMN())),OFFSET($T$2,0,0,ROW()-1,14),ROW()-1,FALSE))</x:f>
        <x:v>-56.972700000000003</x:v>
      </x:c>
      <x:c r="N819">
        <x:f ca="1">IF(AND($B$1012=1,LEN($N$1801)&gt;0),$N$1801,HLOOKUP(INDIRECT(ADDRESS(2,COLUMN())),OFFSET($T$2,0,0,ROW()-1,14),ROW()-1,FALSE))</x:f>
        <x:v>-18.294</x:v>
      </x:c>
      <x:c r="O819">
        <x:f ca="1">IF(AND($B$1012=1,LEN($O$1801)&gt;0),$O$1801,HLOOKUP(INDIRECT(ADDRESS(2,COLUMN())),OFFSET($T$2,0,0,ROW()-1,14),ROW()-1,FALSE))</x:f>
        <x:v>-23.019600000000001</x:v>
      </x:c>
      <x:c r="P819">
        <x:f ca="1">IF(AND($B$1012=1,LEN($P$1801)&gt;0),$P$1801,HLOOKUP(INDIRECT(ADDRESS(2,COLUMN())),OFFSET($T$2,0,0,ROW()-1,14),ROW()-1,FALSE))</x:f>
        <x:v>-76.4161</x:v>
      </x:c>
      <x:c r="Q819">
        <x:f ca="1">IF(AND($B$1012=1,LEN($Q$1801)&gt;0),$Q$1801,HLOOKUP(INDIRECT(ADDRESS(2,COLUMN())),OFFSET($T$2,0,0,ROW()-1,14),ROW()-1,FALSE))</x:f>
        <x:v>-161.25049999999999</x:v>
      </x:c>
      <x:c r="R819">
        <x:f ca="1">IF(AND($B$1012=1,LEN($R$1801)&gt;0),$R$1801,HLOOKUP(INDIRECT(ADDRESS(2,COLUMN())),OFFSET($T$2,0,0,ROW()-1,14),ROW()-1,FALSE))</x:f>
        <x:v>-55.129800000000003</x:v>
      </x:c>
      <x:c r="S819">
        <x:f ca="1">IF(AND($B$1012=1,LEN($S$1801)&gt;0),$S$1801,HLOOKUP(INDIRECT(ADDRESS(2,COLUMN())),OFFSET($T$2,0,0,ROW()-1,14),ROW()-1,FALSE))</x:f>
        <x:v>-116.6942</x:v>
      </x:c>
      <x:c r="T819">
        <x:f>26.904</x:f>
        <x:v>26.904</x:v>
      </x:c>
      <x:c r="U819">
        <x:f>-129.7068</x:f>
        <x:v>-129.70679999999999</x:v>
      </x:c>
      <x:c r="V819">
        <x:f>-54.5659</x:f>
        <x:v>-54.565899999999999</x:v>
      </x:c>
      <x:c r="W819">
        <x:f>-159.1811</x:f>
        <x:v>-159.18109999999999</x:v>
      </x:c>
      <x:c r="X819">
        <x:f>-30.7683</x:f>
        <x:v>-30.7683</x:v>
      </x:c>
      <x:c r="Y819">
        <x:f>-14.4303</x:f>
        <x:v>-14.430300000000001</x:v>
      </x:c>
      <x:c r="Z819">
        <x:f>-44.7586</x:f>
        <x:v>-44.758600000000001</x:v>
      </x:c>
      <x:c r="AA819">
        <x:f>-56.9727</x:f>
        <x:v>-56.972700000000003</x:v>
      </x:c>
      <x:c r="AB819">
        <x:f>-18.294</x:f>
        <x:v>-18.294</x:v>
      </x:c>
      <x:c r="AC819">
        <x:f>-23.0196</x:f>
        <x:v>-23.019600000000001</x:v>
      </x:c>
      <x:c r="AD819">
        <x:f>-76.4161</x:f>
        <x:v>-76.4161</x:v>
      </x:c>
      <x:c r="AE819">
        <x:f>-161.2505</x:f>
        <x:v>-161.25049999999999</x:v>
      </x:c>
      <x:c r="AF819">
        <x:f>-55.1298</x:f>
        <x:v>-55.129800000000003</x:v>
      </x:c>
      <x:c r="AG819">
        <x:f>-116.6942</x:f>
        <x:v>-116.6942</x:v>
      </x:c>
    </x:row>
    <x:row r="820" spans="1:33" x14ac:dyDescent="0.25">
      <x:c r="A820" t="str">
        <x:f>"            Global X Autonomous &amp; Electric"</x:f>
        <x:v xml:space="preserve">            Global X Autonomous &amp; Electric</x:v>
      </x:c>
      <x:c r="B820" t="str">
        <x:f>"DRIV US Equity"</x:f>
        <x:v>DRIV US Equity</x:v>
      </x:c>
      <x:c r="E820" t="str">
        <x:f t="shared" si="33"/>
        <x:v>Expression</x:v>
      </x:c>
      <x:c r="F820">
        <x:f ca="1">IF(AND($B$1012=1,LEN($F$1802)&gt;0),$F$1802,HLOOKUP(INDIRECT(ADDRESS(2,COLUMN())),OFFSET($T$2,0,0,ROW()-1,14),ROW()-1,FALSE))</x:f>
        <x:v>-2.6183999999999998</x:v>
      </x:c>
      <x:c r="G820">
        <x:f ca="1">IF(AND($B$1012=1,LEN($G$1802)&gt;0),$G$1802,HLOOKUP(INDIRECT(ADDRESS(2,COLUMN())),OFFSET($T$2,0,0,ROW()-1,14),ROW()-1,FALSE))</x:f>
        <x:v>-19.925799999999999</x:v>
      </x:c>
      <x:c r="H820">
        <x:f ca="1">IF(AND($B$1012=1,LEN($H$1802)&gt;0),$H$1802,HLOOKUP(INDIRECT(ADDRESS(2,COLUMN())),OFFSET($T$2,0,0,ROW()-1,14),ROW()-1,FALSE))</x:f>
        <x:v>-12.236000000000001</x:v>
      </x:c>
      <x:c r="I820">
        <x:f ca="1">IF(AND($B$1012=1,LEN($I$1802)&gt;0),$I$1802,HLOOKUP(INDIRECT(ADDRESS(2,COLUMN())),OFFSET($T$2,0,0,ROW()-1,14),ROW()-1,FALSE))</x:f>
        <x:v>-59.490400000000001</x:v>
      </x:c>
      <x:c r="J820">
        <x:f ca="1">IF(AND($B$1012=1,LEN($J$1802)&gt;0),$J$1802,HLOOKUP(INDIRECT(ADDRESS(2,COLUMN())),OFFSET($T$2,0,0,ROW()-1,14),ROW()-1,FALSE))</x:f>
        <x:v>0.56699999999999995</x:v>
      </x:c>
      <x:c r="K820">
        <x:f ca="1">IF(AND($B$1012=1,LEN($K$1802)&gt;0),$K$1802,HLOOKUP(INDIRECT(ADDRESS(2,COLUMN())),OFFSET($T$2,0,0,ROW()-1,14),ROW()-1,FALSE))</x:f>
        <x:v>-15.6075</x:v>
      </x:c>
      <x:c r="L820">
        <x:f ca="1">IF(AND($B$1012=1,LEN($L$1802)&gt;0),$L$1802,HLOOKUP(INDIRECT(ADDRESS(2,COLUMN())),OFFSET($T$2,0,0,ROW()-1,14),ROW()-1,FALSE))</x:f>
        <x:v>-17.191700000000001</x:v>
      </x:c>
      <x:c r="M820">
        <x:f ca="1">IF(AND($B$1012=1,LEN($M$1802)&gt;0),$M$1802,HLOOKUP(INDIRECT(ADDRESS(2,COLUMN())),OFFSET($T$2,0,0,ROW()-1,14),ROW()-1,FALSE))</x:f>
        <x:v>-16.733499999999999</x:v>
      </x:c>
      <x:c r="N820">
        <x:f ca="1">IF(AND($B$1012=1,LEN($N$1802)&gt;0),$N$1802,HLOOKUP(INDIRECT(ADDRESS(2,COLUMN())),OFFSET($T$2,0,0,ROW()-1,14),ROW()-1,FALSE))</x:f>
        <x:v>-15.4924</x:v>
      </x:c>
      <x:c r="O820">
        <x:f ca="1">IF(AND($B$1012=1,LEN($O$1802)&gt;0),$O$1802,HLOOKUP(INDIRECT(ADDRESS(2,COLUMN())),OFFSET($T$2,0,0,ROW()-1,14),ROW()-1,FALSE))</x:f>
        <x:v>-8.9110999999999994</x:v>
      </x:c>
      <x:c r="P820">
        <x:f ca="1">IF(AND($B$1012=1,LEN($P$1802)&gt;0),$P$1802,HLOOKUP(INDIRECT(ADDRESS(2,COLUMN())),OFFSET($T$2,0,0,ROW()-1,14),ROW()-1,FALSE))</x:f>
        <x:v>-9.7608999999999995</x:v>
      </x:c>
      <x:c r="Q820">
        <x:f ca="1">IF(AND($B$1012=1,LEN($Q$1802)&gt;0),$Q$1802,HLOOKUP(INDIRECT(ADDRESS(2,COLUMN())),OFFSET($T$2,0,0,ROW()-1,14),ROW()-1,FALSE))</x:f>
        <x:v>-12.291499999999999</x:v>
      </x:c>
      <x:c r="R820">
        <x:f ca="1">IF(AND($B$1012=1,LEN($R$1802)&gt;0),$R$1802,HLOOKUP(INDIRECT(ADDRESS(2,COLUMN())),OFFSET($T$2,0,0,ROW()-1,14),ROW()-1,FALSE))</x:f>
        <x:v>-9.0928000000000004</x:v>
      </x:c>
      <x:c r="S820">
        <x:f ca="1">IF(AND($B$1012=1,LEN($S$1802)&gt;0),$S$1802,HLOOKUP(INDIRECT(ADDRESS(2,COLUMN())),OFFSET($T$2,0,0,ROW()-1,14),ROW()-1,FALSE))</x:f>
        <x:v>-30.412700000000001</x:v>
      </x:c>
      <x:c r="T820">
        <x:f>-2.6184</x:f>
        <x:v>-2.6183999999999998</x:v>
      </x:c>
      <x:c r="U820">
        <x:f>-19.9258</x:f>
        <x:v>-19.925799999999999</x:v>
      </x:c>
      <x:c r="V820">
        <x:f>-12.236</x:f>
        <x:v>-12.236000000000001</x:v>
      </x:c>
      <x:c r="W820">
        <x:f>-59.4904</x:f>
        <x:v>-59.490400000000001</x:v>
      </x:c>
      <x:c r="X820">
        <x:f>0.567</x:f>
        <x:v>0.56699999999999995</x:v>
      </x:c>
      <x:c r="Y820">
        <x:f>-15.6075</x:f>
        <x:v>-15.6075</x:v>
      </x:c>
      <x:c r="Z820">
        <x:f>-17.1917</x:f>
        <x:v>-17.191700000000001</x:v>
      </x:c>
      <x:c r="AA820">
        <x:f>-16.7335</x:f>
        <x:v>-16.733499999999999</x:v>
      </x:c>
      <x:c r="AB820">
        <x:f>-15.4924</x:f>
        <x:v>-15.4924</x:v>
      </x:c>
      <x:c r="AC820">
        <x:f>-8.9111</x:f>
        <x:v>-8.9110999999999994</x:v>
      </x:c>
      <x:c r="AD820">
        <x:f>-9.7609</x:f>
        <x:v>-9.7608999999999995</x:v>
      </x:c>
      <x:c r="AE820">
        <x:f>-12.2915</x:f>
        <x:v>-12.291499999999999</x:v>
      </x:c>
      <x:c r="AF820">
        <x:f>-9.0928</x:f>
        <x:v>-9.0928000000000004</x:v>
      </x:c>
      <x:c r="AG820">
        <x:f>-30.4127</x:f>
        <x:v>-30.412700000000001</x:v>
      </x:c>
    </x:row>
    <x:row r="821" spans="1:33" x14ac:dyDescent="0.25">
      <x:c r="A821" t="str">
        <x:f>"            iShares Self-Driving EV and Te"</x:f>
        <x:v xml:space="preserve">            iShares Self-Driving EV and Te</x:v>
      </x:c>
      <x:c r="B821" t="str">
        <x:f>"IDRV US Equity"</x:f>
        <x:v>IDRV US Equity</x:v>
      </x:c>
      <x:c r="E821" t="str">
        <x:f t="shared" si="33"/>
        <x:v>Expression</x:v>
      </x:c>
      <x:c r="F821">
        <x:f ca="1">IF(AND($B$1012=1,LEN($F$1803)&gt;0),$F$1803,HLOOKUP(INDIRECT(ADDRESS(2,COLUMN())),OFFSET($T$2,0,0,ROW()-1,14),ROW()-1,FALSE))</x:f>
        <x:v>-3.2675360000000002</x:v>
      </x:c>
      <x:c r="G821">
        <x:f ca="1">IF(AND($B$1012=1,LEN($G$1803)&gt;0),$G$1803,HLOOKUP(INDIRECT(ADDRESS(2,COLUMN())),OFFSET($T$2,0,0,ROW()-1,14),ROW()-1,FALSE))</x:f>
        <x:v>-3.5460470000000002</x:v>
      </x:c>
      <x:c r="H821">
        <x:f ca="1">IF(AND($B$1012=1,LEN($H$1803)&gt;0),$H$1803,HLOOKUP(INDIRECT(ADDRESS(2,COLUMN())),OFFSET($T$2,0,0,ROW()-1,14),ROW()-1,FALSE))</x:f>
        <x:v>-7.3130199999999999</x:v>
      </x:c>
      <x:c r="I821">
        <x:f ca="1">IF(AND($B$1012=1,LEN($I$1803)&gt;0),$I$1803,HLOOKUP(INDIRECT(ADDRESS(2,COLUMN())),OFFSET($T$2,0,0,ROW()-1,14),ROW()-1,FALSE))</x:f>
        <x:v>-3.9506399999999999</x:v>
      </x:c>
      <x:c r="J821">
        <x:f ca="1">IF(AND($B$1012=1,LEN($J$1803)&gt;0),$J$1803,HLOOKUP(INDIRECT(ADDRESS(2,COLUMN())),OFFSET($T$2,0,0,ROW()-1,14),ROW()-1,FALSE))</x:f>
        <x:v>0</x:v>
      </x:c>
      <x:c r="K821">
        <x:f ca="1">IF(AND($B$1012=1,LEN($K$1803)&gt;0),$K$1803,HLOOKUP(INDIRECT(ADDRESS(2,COLUMN())),OFFSET($T$2,0,0,ROW()-1,14),ROW()-1,FALSE))</x:f>
        <x:v>-4.0492800000000004</x:v>
      </x:c>
      <x:c r="L821">
        <x:f ca="1">IF(AND($B$1012=1,LEN($L$1803)&gt;0),$L$1803,HLOOKUP(INDIRECT(ADDRESS(2,COLUMN())),OFFSET($T$2,0,0,ROW()-1,14),ROW()-1,FALSE))</x:f>
        <x:v>-3.7113</x:v>
      </x:c>
      <x:c r="M821">
        <x:f ca="1">IF(AND($B$1012=1,LEN($M$1803)&gt;0),$M$1803,HLOOKUP(INDIRECT(ADDRESS(2,COLUMN())),OFFSET($T$2,0,0,ROW()-1,14),ROW()-1,FALSE))</x:f>
        <x:v>0</x:v>
      </x:c>
      <x:c r="N821">
        <x:f ca="1">IF(AND($B$1012=1,LEN($N$1803)&gt;0),$N$1803,HLOOKUP(INDIRECT(ADDRESS(2,COLUMN())),OFFSET($T$2,0,0,ROW()-1,14),ROW()-1,FALSE))</x:f>
        <x:v>-3.62154</x:v>
      </x:c>
      <x:c r="O821">
        <x:f ca="1">IF(AND($B$1012=1,LEN($O$1803)&gt;0),$O$1803,HLOOKUP(INDIRECT(ADDRESS(2,COLUMN())),OFFSET($T$2,0,0,ROW()-1,14),ROW()-1,FALSE))</x:f>
        <x:v>0</x:v>
      </x:c>
      <x:c r="P821">
        <x:f ca="1">IF(AND($B$1012=1,LEN($P$1803)&gt;0),$P$1803,HLOOKUP(INDIRECT(ADDRESS(2,COLUMN())),OFFSET($T$2,0,0,ROW()-1,14),ROW()-1,FALSE))</x:f>
        <x:v>-3.4009100000000001</x:v>
      </x:c>
      <x:c r="Q821">
        <x:f ca="1">IF(AND($B$1012=1,LEN($Q$1803)&gt;0),$Q$1803,HLOOKUP(INDIRECT(ADDRESS(2,COLUMN())),OFFSET($T$2,0,0,ROW()-1,14),ROW()-1,FALSE))</x:f>
        <x:v>-18.393719999999998</x:v>
      </x:c>
      <x:c r="R821">
        <x:f ca="1">IF(AND($B$1012=1,LEN($R$1803)&gt;0),$R$1803,HLOOKUP(INDIRECT(ADDRESS(2,COLUMN())),OFFSET($T$2,0,0,ROW()-1,14),ROW()-1,FALSE))</x:f>
        <x:v>-3.6616900000000001</x:v>
      </x:c>
      <x:c r="S821">
        <x:f ca="1">IF(AND($B$1012=1,LEN($S$1803)&gt;0),$S$1803,HLOOKUP(INDIRECT(ADDRESS(2,COLUMN())),OFFSET($T$2,0,0,ROW()-1,14),ROW()-1,FALSE))</x:f>
        <x:v>0</x:v>
      </x:c>
      <x:c r="T821">
        <x:f>-3.267536</x:f>
        <x:v>-3.2675360000000002</x:v>
      </x:c>
      <x:c r="U821">
        <x:f>-3.546047</x:f>
        <x:v>-3.5460470000000002</x:v>
      </x:c>
      <x:c r="V821">
        <x:f>-7.31302</x:f>
        <x:v>-7.3130199999999999</x:v>
      </x:c>
      <x:c r="W821">
        <x:f>-3.95064</x:f>
        <x:v>-3.9506399999999999</x:v>
      </x:c>
      <x:c r="X821">
        <x:f>0</x:f>
        <x:v>0</x:v>
      </x:c>
      <x:c r="Y821">
        <x:f>-4.04928</x:f>
        <x:v>-4.0492800000000004</x:v>
      </x:c>
      <x:c r="Z821">
        <x:f>-3.7113</x:f>
        <x:v>-3.7113</x:v>
      </x:c>
      <x:c r="AA821">
        <x:f>0</x:f>
        <x:v>0</x:v>
      </x:c>
      <x:c r="AB821">
        <x:f>-3.62154</x:f>
        <x:v>-3.62154</x:v>
      </x:c>
      <x:c r="AC821">
        <x:f>0</x:f>
        <x:v>0</x:v>
      </x:c>
      <x:c r="AD821">
        <x:f>-3.40091</x:f>
        <x:v>-3.4009100000000001</x:v>
      </x:c>
      <x:c r="AE821">
        <x:f>-18.39372</x:f>
        <x:v>-18.393719999999998</x:v>
      </x:c>
      <x:c r="AF821">
        <x:f>-3.66169</x:f>
        <x:v>-3.6616900000000001</x:v>
      </x:c>
      <x:c r="AG821">
        <x:f>0</x:f>
        <x:v>0</x:v>
      </x:c>
    </x:row>
    <x:row r="822" spans="1:33" x14ac:dyDescent="0.25">
      <x:c r="A822" t="str">
        <x:f>"            SmartETFs Smart Transportation"</x:f>
        <x:v xml:space="preserve">            SmartETFs Smart Transportation</x:v>
      </x:c>
      <x:c r="B822" t="str">
        <x:f>"MOTO US Equity"</x:f>
        <x:v>MOTO US Equity</x:v>
      </x:c>
      <x:c r="E822" t="str">
        <x:f t="shared" si="33"/>
        <x:v>Expression</x:v>
      </x:c>
      <x:c r="F822">
        <x:f ca="1">IF(AND($B$1012=1,LEN($F$1804)&gt;0),$F$1804,HLOOKUP(INDIRECT(ADDRESS(2,COLUMN())),OFFSET($T$2,0,0,ROW()-1,14),ROW()-1,FALSE))</x:f>
        <x:v>0</x:v>
      </x:c>
      <x:c r="G822">
        <x:f ca="1">IF(AND($B$1012=1,LEN($G$1804)&gt;0),$G$1804,HLOOKUP(INDIRECT(ADDRESS(2,COLUMN())),OFFSET($T$2,0,0,ROW()-1,14),ROW()-1,FALSE))</x:f>
        <x:v>0</x:v>
      </x:c>
      <x:c r="H822">
        <x:f ca="1">IF(AND($B$1012=1,LEN($H$1804)&gt;0),$H$1804,HLOOKUP(INDIRECT(ADDRESS(2,COLUMN())),OFFSET($T$2,0,0,ROW()-1,14),ROW()-1,FALSE))</x:f>
        <x:v>0</x:v>
      </x:c>
      <x:c r="I822">
        <x:f ca="1">IF(AND($B$1012=1,LEN($I$1804)&gt;0),$I$1804,HLOOKUP(INDIRECT(ADDRESS(2,COLUMN())),OFFSET($T$2,0,0,ROW()-1,14),ROW()-1,FALSE))</x:f>
        <x:v>1.0275529999999999</x:v>
      </x:c>
      <x:c r="J822">
        <x:f ca="1">IF(AND($B$1012=1,LEN($J$1804)&gt;0),$J$1804,HLOOKUP(INDIRECT(ADDRESS(2,COLUMN())),OFFSET($T$2,0,0,ROW()-1,14),ROW()-1,FALSE))</x:f>
        <x:v>0</x:v>
      </x:c>
      <x:c r="K822">
        <x:f ca="1">IF(AND($B$1012=1,LEN($K$1804)&gt;0),$K$1804,HLOOKUP(INDIRECT(ADDRESS(2,COLUMN())),OFFSET($T$2,0,0,ROW()-1,14),ROW()-1,FALSE))</x:f>
        <x:v>0</x:v>
      </x:c>
      <x:c r="L822">
        <x:f ca="1">IF(AND($B$1012=1,LEN($L$1804)&gt;0),$L$1804,HLOOKUP(INDIRECT(ADDRESS(2,COLUMN())),OFFSET($T$2,0,0,ROW()-1,14),ROW()-1,FALSE))</x:f>
        <x:v>0</x:v>
      </x:c>
      <x:c r="M822">
        <x:f ca="1">IF(AND($B$1012=1,LEN($M$1804)&gt;0),$M$1804,HLOOKUP(INDIRECT(ADDRESS(2,COLUMN())),OFFSET($T$2,0,0,ROW()-1,14),ROW()-1,FALSE))</x:f>
        <x:v>0.96433999999999997</x:v>
      </x:c>
      <x:c r="N822">
        <x:f ca="1">IF(AND($B$1012=1,LEN($N$1804)&gt;0),$N$1804,HLOOKUP(INDIRECT(ADDRESS(2,COLUMN())),OFFSET($T$2,0,0,ROW()-1,14),ROW()-1,FALSE))</x:f>
        <x:v>0</x:v>
      </x:c>
      <x:c r="O822">
        <x:f ca="1">IF(AND($B$1012=1,LEN($O$1804)&gt;0),$O$1804,HLOOKUP(INDIRECT(ADDRESS(2,COLUMN())),OFFSET($T$2,0,0,ROW()-1,14),ROW()-1,FALSE))</x:f>
        <x:v>0</x:v>
      </x:c>
      <x:c r="P822">
        <x:f ca="1">IF(AND($B$1012=1,LEN($P$1804)&gt;0),$P$1804,HLOOKUP(INDIRECT(ADDRESS(2,COLUMN())),OFFSET($T$2,0,0,ROW()-1,14),ROW()-1,FALSE))</x:f>
        <x:v>-0.89914700000000003</x:v>
      </x:c>
      <x:c r="Q822">
        <x:f ca="1">IF(AND($B$1012=1,LEN($Q$1804)&gt;0),$Q$1804,HLOOKUP(INDIRECT(ADDRESS(2,COLUMN())),OFFSET($T$2,0,0,ROW()-1,14),ROW()-1,FALSE))</x:f>
        <x:v>0</x:v>
      </x:c>
      <x:c r="R822">
        <x:f ca="1">IF(AND($B$1012=1,LEN($R$1804)&gt;0),$R$1804,HLOOKUP(INDIRECT(ADDRESS(2,COLUMN())),OFFSET($T$2,0,0,ROW()-1,14),ROW()-1,FALSE))</x:f>
        <x:v>0</x:v>
      </x:c>
      <x:c r="S822">
        <x:f ca="1">IF(AND($B$1012=1,LEN($S$1804)&gt;0),$S$1804,HLOOKUP(INDIRECT(ADDRESS(2,COLUMN())),OFFSET($T$2,0,0,ROW()-1,14),ROW()-1,FALSE))</x:f>
        <x:v>0</x:v>
      </x:c>
      <x:c r="T822">
        <x:f>0</x:f>
        <x:v>0</x:v>
      </x:c>
      <x:c r="U822">
        <x:f>0</x:f>
        <x:v>0</x:v>
      </x:c>
      <x:c r="V822">
        <x:f>0</x:f>
        <x:v>0</x:v>
      </x:c>
      <x:c r="W822">
        <x:f>1.027553</x:f>
        <x:v>1.0275529999999999</x:v>
      </x:c>
      <x:c r="X822">
        <x:f>0</x:f>
        <x:v>0</x:v>
      </x:c>
      <x:c r="Y822">
        <x:f>0</x:f>
        <x:v>0</x:v>
      </x:c>
      <x:c r="Z822">
        <x:f>0</x:f>
        <x:v>0</x:v>
      </x:c>
      <x:c r="AA822">
        <x:f>0.96434</x:f>
        <x:v>0.96433999999999997</x:v>
      </x:c>
      <x:c r="AB822">
        <x:f>0</x:f>
        <x:v>0</x:v>
      </x:c>
      <x:c r="AC822">
        <x:f>0</x:f>
        <x:v>0</x:v>
      </x:c>
      <x:c r="AD822">
        <x:f>-0.899147</x:f>
        <x:v>-0.89914700000000003</x:v>
      </x:c>
      <x:c r="AE822">
        <x:f>0</x:f>
        <x:v>0</x:v>
      </x:c>
      <x:c r="AF822">
        <x:f>0</x:f>
        <x:v>0</x:v>
      </x:c>
      <x:c r="AG822">
        <x:f>0</x:f>
        <x:v>0</x:v>
      </x:c>
    </x:row>
    <x:row r="823" spans="1:33" x14ac:dyDescent="0.25">
      <x:c r="A823" t="str">
        <x:f>"            Simplify Volt Robocar Disrupti"</x:f>
        <x:v xml:space="preserve">            Simplify Volt Robocar Disrupti</x:v>
      </x:c>
      <x:c r="B823" t="str">
        <x:f>"VCAR US Equity"</x:f>
        <x:v>VCAR US Equity</x:v>
      </x:c>
      <x:c r="E823" t="str">
        <x:f t="shared" si="33"/>
        <x:v>Expression</x:v>
      </x:c>
      <x:c r="F823">
        <x:f ca="1">IF(AND($B$1012=1,LEN($F$1805)&gt;0),$F$1805,HLOOKUP(INDIRECT(ADDRESS(2,COLUMN())),OFFSET($T$2,0,0,ROW()-1,14),ROW()-1,FALSE))</x:f>
        <x:v>0</x:v>
      </x:c>
      <x:c r="G823">
        <x:f ca="1">IF(AND($B$1012=1,LEN($G$1805)&gt;0),$G$1805,HLOOKUP(INDIRECT(ADDRESS(2,COLUMN())),OFFSET($T$2,0,0,ROW()-1,14),ROW()-1,FALSE))</x:f>
        <x:v>0</x:v>
      </x:c>
      <x:c r="H823">
        <x:f ca="1">IF(AND($B$1012=1,LEN($H$1805)&gt;0),$H$1805,HLOOKUP(INDIRECT(ADDRESS(2,COLUMN())),OFFSET($T$2,0,0,ROW()-1,14),ROW()-1,FALSE))</x:f>
        <x:v>0</x:v>
      </x:c>
      <x:c r="I823">
        <x:f ca="1">IF(AND($B$1012=1,LEN($I$1805)&gt;0),$I$1805,HLOOKUP(INDIRECT(ADDRESS(2,COLUMN())),OFFSET($T$2,0,0,ROW()-1,14),ROW()-1,FALSE))</x:f>
        <x:v>0</x:v>
      </x:c>
      <x:c r="J823">
        <x:f ca="1">IF(AND($B$1012=1,LEN($J$1805)&gt;0),$J$1805,HLOOKUP(INDIRECT(ADDRESS(2,COLUMN())),OFFSET($T$2,0,0,ROW()-1,14),ROW()-1,FALSE))</x:f>
        <x:v>0</x:v>
      </x:c>
      <x:c r="K823">
        <x:f ca="1">IF(AND($B$1012=1,LEN($K$1805)&gt;0),$K$1805,HLOOKUP(INDIRECT(ADDRESS(2,COLUMN())),OFFSET($T$2,0,0,ROW()-1,14),ROW()-1,FALSE))</x:f>
        <x:v>0.46570800000000001</x:v>
      </x:c>
      <x:c r="L823">
        <x:f ca="1">IF(AND($B$1012=1,LEN($L$1805)&gt;0),$L$1805,HLOOKUP(INDIRECT(ADDRESS(2,COLUMN())),OFFSET($T$2,0,0,ROW()-1,14),ROW()-1,FALSE))</x:f>
        <x:v>0</x:v>
      </x:c>
      <x:c r="M823">
        <x:f ca="1">IF(AND($B$1012=1,LEN($M$1805)&gt;0),$M$1805,HLOOKUP(INDIRECT(ADDRESS(2,COLUMN())),OFFSET($T$2,0,0,ROW()-1,14),ROW()-1,FALSE))</x:f>
        <x:v>0</x:v>
      </x:c>
      <x:c r="N823">
        <x:f ca="1">IF(AND($B$1012=1,LEN($N$1805)&gt;0),$N$1805,HLOOKUP(INDIRECT(ADDRESS(2,COLUMN())),OFFSET($T$2,0,0,ROW()-1,14),ROW()-1,FALSE))</x:f>
        <x:v>-3.1670000000000001E-3</x:v>
      </x:c>
      <x:c r="O823">
        <x:f ca="1">IF(AND($B$1012=1,LEN($O$1805)&gt;0),$O$1805,HLOOKUP(INDIRECT(ADDRESS(2,COLUMN())),OFFSET($T$2,0,0,ROW()-1,14),ROW()-1,FALSE))</x:f>
        <x:v>0</x:v>
      </x:c>
      <x:c r="P823">
        <x:f ca="1">IF(AND($B$1012=1,LEN($P$1805)&gt;0),$P$1805,HLOOKUP(INDIRECT(ADDRESS(2,COLUMN())),OFFSET($T$2,0,0,ROW()-1,14),ROW()-1,FALSE))</x:f>
        <x:v>0</x:v>
      </x:c>
      <x:c r="Q823">
        <x:f ca="1">IF(AND($B$1012=1,LEN($Q$1805)&gt;0),$Q$1805,HLOOKUP(INDIRECT(ADDRESS(2,COLUMN())),OFFSET($T$2,0,0,ROW()-1,14),ROW()-1,FALSE))</x:f>
        <x:v>0</x:v>
      </x:c>
      <x:c r="R823">
        <x:f ca="1">IF(AND($B$1012=1,LEN($R$1805)&gt;0),$R$1805,HLOOKUP(INDIRECT(ADDRESS(2,COLUMN())),OFFSET($T$2,0,0,ROW()-1,14),ROW()-1,FALSE))</x:f>
        <x:v>-0.18176200000000001</x:v>
      </x:c>
      <x:c r="S823">
        <x:f ca="1">IF(AND($B$1012=1,LEN($S$1805)&gt;0),$S$1805,HLOOKUP(INDIRECT(ADDRESS(2,COLUMN())),OFFSET($T$2,0,0,ROW()-1,14),ROW()-1,FALSE))</x:f>
        <x:v>0</x:v>
      </x:c>
      <x:c r="T823">
        <x:f>0</x:f>
        <x:v>0</x:v>
      </x:c>
      <x:c r="U823">
        <x:f>0</x:f>
        <x:v>0</x:v>
      </x:c>
      <x:c r="V823">
        <x:f>0</x:f>
        <x:v>0</x:v>
      </x:c>
      <x:c r="W823">
        <x:f>0</x:f>
        <x:v>0</x:v>
      </x:c>
      <x:c r="X823">
        <x:f>0</x:f>
        <x:v>0</x:v>
      </x:c>
      <x:c r="Y823">
        <x:f>0.465708</x:f>
        <x:v>0.46570800000000001</x:v>
      </x:c>
      <x:c r="Z823">
        <x:f>0</x:f>
        <x:v>0</x:v>
      </x:c>
      <x:c r="AA823">
        <x:f>0</x:f>
        <x:v>0</x:v>
      </x:c>
      <x:c r="AB823">
        <x:f>-0.003167</x:f>
        <x:v>-3.1670000000000001E-3</x:v>
      </x:c>
      <x:c r="AC823">
        <x:f>0</x:f>
        <x:v>0</x:v>
      </x:c>
      <x:c r="AD823">
        <x:f>0</x:f>
        <x:v>0</x:v>
      </x:c>
      <x:c r="AE823">
        <x:f>0</x:f>
        <x:v>0</x:v>
      </x:c>
      <x:c r="AF823">
        <x:f>-0.181762</x:f>
        <x:v>-0.18176200000000001</x:v>
      </x:c>
      <x:c r="AG823">
        <x:f>0</x:f>
        <x:v>0</x:v>
      </x:c>
    </x:row>
    <x:row r="824" spans="1:33" x14ac:dyDescent="0.25">
      <x:c r="A824" t="str">
        <x:f>"            WisdomTree Battery Value Chain"</x:f>
        <x:v xml:space="preserve">            WisdomTree Battery Value Chain</x:v>
      </x:c>
      <x:c r="B824" t="str">
        <x:f>"WBAT US Equity"</x:f>
        <x:v>WBAT US Equity</x:v>
      </x:c>
      <x:c r="E824" t="str">
        <x:f t="shared" si="33"/>
        <x:v>Expression</x:v>
      </x:c>
      <x:c r="F824">
        <x:f ca="1">IF(AND($B$1012=1,LEN($F$1806)&gt;0),$F$1806,HLOOKUP(INDIRECT(ADDRESS(2,COLUMN())),OFFSET($T$2,0,0,ROW()-1,14),ROW()-1,FALSE))</x:f>
        <x:v>0</x:v>
      </x:c>
      <x:c r="G824">
        <x:f ca="1">IF(AND($B$1012=1,LEN($G$1806)&gt;0),$G$1806,HLOOKUP(INDIRECT(ADDRESS(2,COLUMN())),OFFSET($T$2,0,0,ROW()-1,14),ROW()-1,FALSE))</x:f>
        <x:v>0</x:v>
      </x:c>
      <x:c r="H824">
        <x:f ca="1">IF(AND($B$1012=1,LEN($H$1806)&gt;0),$H$1806,HLOOKUP(INDIRECT(ADDRESS(2,COLUMN())),OFFSET($T$2,0,0,ROW()-1,14),ROW()-1,FALSE))</x:f>
        <x:v>0</x:v>
      </x:c>
      <x:c r="I824">
        <x:f ca="1">IF(AND($B$1012=1,LEN($I$1806)&gt;0),$I$1806,HLOOKUP(INDIRECT(ADDRESS(2,COLUMN())),OFFSET($T$2,0,0,ROW()-1,14),ROW()-1,FALSE))</x:f>
        <x:v>0</x:v>
      </x:c>
      <x:c r="J824">
        <x:f ca="1">IF(AND($B$1012=1,LEN($J$1806)&gt;0),$J$1806,HLOOKUP(INDIRECT(ADDRESS(2,COLUMN())),OFFSET($T$2,0,0,ROW()-1,14),ROW()-1,FALSE))</x:f>
        <x:v>0</x:v>
      </x:c>
      <x:c r="K824">
        <x:f ca="1">IF(AND($B$1012=1,LEN($K$1806)&gt;0),$K$1806,HLOOKUP(INDIRECT(ADDRESS(2,COLUMN())),OFFSET($T$2,0,0,ROW()-1,14),ROW()-1,FALSE))</x:f>
        <x:v>0</x:v>
      </x:c>
      <x:c r="L824">
        <x:f ca="1">IF(AND($B$1012=1,LEN($L$1806)&gt;0),$L$1806,HLOOKUP(INDIRECT(ADDRESS(2,COLUMN())),OFFSET($T$2,0,0,ROW()-1,14),ROW()-1,FALSE))</x:f>
        <x:v>0</x:v>
      </x:c>
      <x:c r="M824">
        <x:f ca="1">IF(AND($B$1012=1,LEN($M$1806)&gt;0),$M$1806,HLOOKUP(INDIRECT(ADDRESS(2,COLUMN())),OFFSET($T$2,0,0,ROW()-1,14),ROW()-1,FALSE))</x:f>
        <x:v>0</x:v>
      </x:c>
      <x:c r="N824">
        <x:f ca="1">IF(AND($B$1012=1,LEN($N$1806)&gt;0),$N$1806,HLOOKUP(INDIRECT(ADDRESS(2,COLUMN())),OFFSET($T$2,0,0,ROW()-1,14),ROW()-1,FALSE))</x:f>
        <x:v>0</x:v>
      </x:c>
      <x:c r="O824">
        <x:f ca="1">IF(AND($B$1012=1,LEN($O$1806)&gt;0),$O$1806,HLOOKUP(INDIRECT(ADDRESS(2,COLUMN())),OFFSET($T$2,0,0,ROW()-1,14),ROW()-1,FALSE))</x:f>
        <x:v>0</x:v>
      </x:c>
      <x:c r="P824">
        <x:f ca="1">IF(AND($B$1012=1,LEN($P$1806)&gt;0),$P$1806,HLOOKUP(INDIRECT(ADDRESS(2,COLUMN())),OFFSET($T$2,0,0,ROW()-1,14),ROW()-1,FALSE))</x:f>
        <x:v>0</x:v>
      </x:c>
      <x:c r="Q824">
        <x:f ca="1">IF(AND($B$1012=1,LEN($Q$1806)&gt;0),$Q$1806,HLOOKUP(INDIRECT(ADDRESS(2,COLUMN())),OFFSET($T$2,0,0,ROW()-1,14),ROW()-1,FALSE))</x:f>
        <x:v>0</x:v>
      </x:c>
      <x:c r="R824">
        <x:f ca="1">IF(AND($B$1012=1,LEN($R$1806)&gt;0),$R$1806,HLOOKUP(INDIRECT(ADDRESS(2,COLUMN())),OFFSET($T$2,0,0,ROW()-1,14),ROW()-1,FALSE))</x:f>
        <x:v>0</x:v>
      </x:c>
      <x:c r="S824">
        <x:f ca="1">IF(AND($B$1012=1,LEN($S$1806)&gt;0),$S$1806,HLOOKUP(INDIRECT(ADDRESS(2,COLUMN())),OFFSET($T$2,0,0,ROW()-1,14),ROW()-1,FALSE))</x:f>
        <x:v>0</x:v>
      </x:c>
      <x:c r="T824">
        <x:f>0</x:f>
        <x:v>0</x:v>
      </x:c>
      <x:c r="U824">
        <x:f>0</x:f>
        <x:v>0</x:v>
      </x:c>
      <x:c r="V824">
        <x:f>0</x:f>
        <x:v>0</x:v>
      </x:c>
      <x:c r="W824">
        <x:f>0</x:f>
        <x:v>0</x:v>
      </x:c>
      <x:c r="X824">
        <x:f>0</x:f>
        <x:v>0</x:v>
      </x:c>
      <x:c r="Y824">
        <x:f>0</x:f>
        <x:v>0</x:v>
      </x:c>
      <x:c r="Z824">
        <x:f>0</x:f>
        <x:v>0</x:v>
      </x:c>
      <x:c r="AA824">
        <x:f>0</x:f>
        <x:v>0</x:v>
      </x:c>
      <x:c r="AB824">
        <x:f>0</x:f>
        <x:v>0</x:v>
      </x:c>
      <x:c r="AC824">
        <x:f>0</x:f>
        <x:v>0</x:v>
      </x:c>
      <x:c r="AD824">
        <x:f>0</x:f>
        <x:v>0</x:v>
      </x:c>
      <x:c r="AE824">
        <x:f>0</x:f>
        <x:v>0</x:v>
      </x:c>
      <x:c r="AF824">
        <x:f>0</x:f>
        <x:v>0</x:v>
      </x:c>
      <x:c r="AG824">
        <x:f>0</x:f>
        <x:v>0</x:v>
      </x:c>
    </x:row>
    <x:row r="825" spans="1:33" x14ac:dyDescent="0.25">
      <x:c r="A825" t="str">
        <x:f>"            Fidelity Electric Vehicles and"</x:f>
        <x:v xml:space="preserve">            Fidelity Electric Vehicles and</x:v>
      </x:c>
      <x:c r="B825" t="str">
        <x:f>"FDRV US Equity"</x:f>
        <x:v>FDRV US Equity</x:v>
      </x:c>
      <x:c r="E825" t="str">
        <x:f t="shared" si="33"/>
        <x:v>Expression</x:v>
      </x:c>
      <x:c r="F825">
        <x:f ca="1">IF(AND($B$1012=1,LEN($F$1807)&gt;0),$F$1807,HLOOKUP(INDIRECT(ADDRESS(2,COLUMN())),OFFSET($T$2,0,0,ROW()-1,14),ROW()-1,FALSE))</x:f>
        <x:v>0</x:v>
      </x:c>
      <x:c r="G825">
        <x:f ca="1">IF(AND($B$1012=1,LEN($G$1807)&gt;0),$G$1807,HLOOKUP(INDIRECT(ADDRESS(2,COLUMN())),OFFSET($T$2,0,0,ROW()-1,14),ROW()-1,FALSE))</x:f>
        <x:v>0</x:v>
      </x:c>
      <x:c r="H825">
        <x:f ca="1">IF(AND($B$1012=1,LEN($H$1807)&gt;0),$H$1807,HLOOKUP(INDIRECT(ADDRESS(2,COLUMN())),OFFSET($T$2,0,0,ROW()-1,14),ROW()-1,FALSE))</x:f>
        <x:v>0</x:v>
      </x:c>
      <x:c r="I825">
        <x:f ca="1">IF(AND($B$1012=1,LEN($I$1807)&gt;0),$I$1807,HLOOKUP(INDIRECT(ADDRESS(2,COLUMN())),OFFSET($T$2,0,0,ROW()-1,14),ROW()-1,FALSE))</x:f>
        <x:v>1.005889</x:v>
      </x:c>
      <x:c r="J825">
        <x:f ca="1">IF(AND($B$1012=1,LEN($J$1807)&gt;0),$J$1807,HLOOKUP(INDIRECT(ADDRESS(2,COLUMN())),OFFSET($T$2,0,0,ROW()-1,14),ROW()-1,FALSE))</x:f>
        <x:v>0</x:v>
      </x:c>
      <x:c r="K825">
        <x:f ca="1">IF(AND($B$1012=1,LEN($K$1807)&gt;0),$K$1807,HLOOKUP(INDIRECT(ADDRESS(2,COLUMN())),OFFSET($T$2,0,0,ROW()-1,14),ROW()-1,FALSE))</x:f>
        <x:v>0</x:v>
      </x:c>
      <x:c r="L825">
        <x:f ca="1">IF(AND($B$1012=1,LEN($L$1807)&gt;0),$L$1807,HLOOKUP(INDIRECT(ADDRESS(2,COLUMN())),OFFSET($T$2,0,0,ROW()-1,14),ROW()-1,FALSE))</x:f>
        <x:v>0</x:v>
      </x:c>
      <x:c r="M825">
        <x:f ca="1">IF(AND($B$1012=1,LEN($M$1807)&gt;0),$M$1807,HLOOKUP(INDIRECT(ADDRESS(2,COLUMN())),OFFSET($T$2,0,0,ROW()-1,14),ROW()-1,FALSE))</x:f>
        <x:v>0.87408200000000003</x:v>
      </x:c>
      <x:c r="N825">
        <x:f ca="1">IF(AND($B$1012=1,LEN($N$1807)&gt;0),$N$1807,HLOOKUP(INDIRECT(ADDRESS(2,COLUMN())),OFFSET($T$2,0,0,ROW()-1,14),ROW()-1,FALSE))</x:f>
        <x:v>0</x:v>
      </x:c>
      <x:c r="O825">
        <x:f ca="1">IF(AND($B$1012=1,LEN($O$1807)&gt;0),$O$1807,HLOOKUP(INDIRECT(ADDRESS(2,COLUMN())),OFFSET($T$2,0,0,ROW()-1,14),ROW()-1,FALSE))</x:f>
        <x:v>3.792996</x:v>
      </x:c>
      <x:c r="P825">
        <x:f ca="1">IF(AND($B$1012=1,LEN($P$1807)&gt;0),$P$1807,HLOOKUP(INDIRECT(ADDRESS(2,COLUMN())),OFFSET($T$2,0,0,ROW()-1,14),ROW()-1,FALSE))</x:f>
        <x:v>0</x:v>
      </x:c>
      <x:c r="Q825">
        <x:f ca="1">IF(AND($B$1012=1,LEN($Q$1807)&gt;0),$Q$1807,HLOOKUP(INDIRECT(ADDRESS(2,COLUMN())),OFFSET($T$2,0,0,ROW()-1,14),ROW()-1,FALSE))</x:f>
        <x:v>0</x:v>
      </x:c>
      <x:c r="R825">
        <x:f ca="1">IF(AND($B$1012=1,LEN($R$1807)&gt;0),$R$1807,HLOOKUP(INDIRECT(ADDRESS(2,COLUMN())),OFFSET($T$2,0,0,ROW()-1,14),ROW()-1,FALSE))</x:f>
        <x:v>1.562279</x:v>
      </x:c>
      <x:c r="S825">
        <x:f ca="1">IF(AND($B$1012=1,LEN($S$1807)&gt;0),$S$1807,HLOOKUP(INDIRECT(ADDRESS(2,COLUMN())),OFFSET($T$2,0,0,ROW()-1,14),ROW()-1,FALSE))</x:f>
        <x:v>0.79944300000000001</x:v>
      </x:c>
      <x:c r="T825">
        <x:f>0</x:f>
        <x:v>0</x:v>
      </x:c>
      <x:c r="U825">
        <x:f>0</x:f>
        <x:v>0</x:v>
      </x:c>
      <x:c r="V825">
        <x:f>0</x:f>
        <x:v>0</x:v>
      </x:c>
      <x:c r="W825">
        <x:f>1.005889</x:f>
        <x:v>1.005889</x:v>
      </x:c>
      <x:c r="X825">
        <x:f>0</x:f>
        <x:v>0</x:v>
      </x:c>
      <x:c r="Y825">
        <x:f>0</x:f>
        <x:v>0</x:v>
      </x:c>
      <x:c r="Z825">
        <x:f>0</x:f>
        <x:v>0</x:v>
      </x:c>
      <x:c r="AA825">
        <x:f>0.874082</x:f>
        <x:v>0.87408200000000003</x:v>
      </x:c>
      <x:c r="AB825">
        <x:f>0</x:f>
        <x:v>0</x:v>
      </x:c>
      <x:c r="AC825">
        <x:f>3.792996</x:f>
        <x:v>3.792996</x:v>
      </x:c>
      <x:c r="AD825">
        <x:f>0</x:f>
        <x:v>0</x:v>
      </x:c>
      <x:c r="AE825">
        <x:f>0</x:f>
        <x:v>0</x:v>
      </x:c>
      <x:c r="AF825">
        <x:f>1.562279</x:f>
        <x:v>1.562279</x:v>
      </x:c>
      <x:c r="AG825">
        <x:f>0.799443</x:f>
        <x:v>0.79944300000000001</x:v>
      </x:c>
    </x:row>
    <x:row r="826" spans="1:33" x14ac:dyDescent="0.25">
      <x:c r="A826" t="str">
        <x:f>"            Amplify Lithium &amp; Battery Tech"</x:f>
        <x:v xml:space="preserve">            Amplify Lithium &amp; Battery Tech</x:v>
      </x:c>
      <x:c r="B826" t="str">
        <x:f>"BATT US Equity"</x:f>
        <x:v>BATT US Equity</x:v>
      </x:c>
      <x:c r="E826" t="str">
        <x:f t="shared" si="33"/>
        <x:v>Expression</x:v>
      </x:c>
      <x:c r="F826">
        <x:f ca="1">IF(AND($B$1012=1,LEN($F$1808)&gt;0),$F$1808,HLOOKUP(INDIRECT(ADDRESS(2,COLUMN())),OFFSET($T$2,0,0,ROW()-1,14),ROW()-1,FALSE))</x:f>
        <x:v>-1.0005599999999999</x:v>
      </x:c>
      <x:c r="G826">
        <x:f ca="1">IF(AND($B$1012=1,LEN($G$1808)&gt;0),$G$1808,HLOOKUP(INDIRECT(ADDRESS(2,COLUMN())),OFFSET($T$2,0,0,ROW()-1,14),ROW()-1,FALSE))</x:f>
        <x:v>-1.10755</x:v>
      </x:c>
      <x:c r="H826">
        <x:f ca="1">IF(AND($B$1012=1,LEN($H$1808)&gt;0),$H$1808,HLOOKUP(INDIRECT(ADDRESS(2,COLUMN())),OFFSET($T$2,0,0,ROW()-1,14),ROW()-1,FALSE))</x:f>
        <x:v>-1.7338849999999999</x:v>
      </x:c>
      <x:c r="I826">
        <x:f ca="1">IF(AND($B$1012=1,LEN($I$1808)&gt;0),$I$1808,HLOOKUP(INDIRECT(ADDRESS(2,COLUMN())),OFFSET($T$2,0,0,ROW()-1,14),ROW()-1,FALSE))</x:f>
        <x:v>0</x:v>
      </x:c>
      <x:c r="J826">
        <x:f ca="1">IF(AND($B$1012=1,LEN($J$1808)&gt;0),$J$1808,HLOOKUP(INDIRECT(ADDRESS(2,COLUMN())),OFFSET($T$2,0,0,ROW()-1,14),ROW()-1,FALSE))</x:f>
        <x:v>-2.1343000000000001</x:v>
      </x:c>
      <x:c r="K826">
        <x:f ca="1">IF(AND($B$1012=1,LEN($K$1808)&gt;0),$K$1808,HLOOKUP(INDIRECT(ADDRESS(2,COLUMN())),OFFSET($T$2,0,0,ROW()-1,14),ROW()-1,FALSE))</x:f>
        <x:v>-3.1810849999999999</x:v>
      </x:c>
      <x:c r="L826">
        <x:f ca="1">IF(AND($B$1012=1,LEN($L$1808)&gt;0),$L$1808,HLOOKUP(INDIRECT(ADDRESS(2,COLUMN())),OFFSET($T$2,0,0,ROW()-1,14),ROW()-1,FALSE))</x:f>
        <x:v>-6.7921750000000003</x:v>
      </x:c>
      <x:c r="M826">
        <x:f ca="1">IF(AND($B$1012=1,LEN($M$1808)&gt;0),$M$1808,HLOOKUP(INDIRECT(ADDRESS(2,COLUMN())),OFFSET($T$2,0,0,ROW()-1,14),ROW()-1,FALSE))</x:f>
        <x:v>0</x:v>
      </x:c>
      <x:c r="N826">
        <x:f ca="1">IF(AND($B$1012=1,LEN($N$1808)&gt;0),$N$1808,HLOOKUP(INDIRECT(ADDRESS(2,COLUMN())),OFFSET($T$2,0,0,ROW()-1,14),ROW()-1,FALSE))</x:f>
        <x:v>-1.2061299999999999</x:v>
      </x:c>
      <x:c r="O826">
        <x:f ca="1">IF(AND($B$1012=1,LEN($O$1808)&gt;0),$O$1808,HLOOKUP(INDIRECT(ADDRESS(2,COLUMN())),OFFSET($T$2,0,0,ROW()-1,14),ROW()-1,FALSE))</x:f>
        <x:v>2.05477</x:v>
      </x:c>
      <x:c r="P826">
        <x:f ca="1">IF(AND($B$1012=1,LEN($P$1808)&gt;0),$P$1808,HLOOKUP(INDIRECT(ADDRESS(2,COLUMN())),OFFSET($T$2,0,0,ROW()-1,14),ROW()-1,FALSE))</x:f>
        <x:v>0</x:v>
      </x:c>
      <x:c r="Q826">
        <x:f ca="1">IF(AND($B$1012=1,LEN($Q$1808)&gt;0),$Q$1808,HLOOKUP(INDIRECT(ADDRESS(2,COLUMN())),OFFSET($T$2,0,0,ROW()-1,14),ROW()-1,FALSE))</x:f>
        <x:v>-3.3159550000000002</x:v>
      </x:c>
      <x:c r="R826">
        <x:f ca="1">IF(AND($B$1012=1,LEN($R$1808)&gt;0),$R$1808,HLOOKUP(INDIRECT(ADDRESS(2,COLUMN())),OFFSET($T$2,0,0,ROW()-1,14),ROW()-1,FALSE))</x:f>
        <x:v>-0.65096500000000002</x:v>
      </x:c>
      <x:c r="S826">
        <x:f ca="1">IF(AND($B$1012=1,LEN($S$1808)&gt;0),$S$1808,HLOOKUP(INDIRECT(ADDRESS(2,COLUMN())),OFFSET($T$2,0,0,ROW()-1,14),ROW()-1,FALSE))</x:f>
        <x:v>-3.2019500000000001</x:v>
      </x:c>
      <x:c r="T826">
        <x:f>-1.00056</x:f>
        <x:v>-1.0005599999999999</x:v>
      </x:c>
      <x:c r="U826">
        <x:f>-1.10755</x:f>
        <x:v>-1.10755</x:v>
      </x:c>
      <x:c r="V826">
        <x:f>-1.733885</x:f>
        <x:v>-1.7338849999999999</x:v>
      </x:c>
      <x:c r="W826">
        <x:f>0</x:f>
        <x:v>0</x:v>
      </x:c>
      <x:c r="X826">
        <x:f>-2.1343</x:f>
        <x:v>-2.1343000000000001</x:v>
      </x:c>
      <x:c r="Y826">
        <x:f>-3.181085</x:f>
        <x:v>-3.1810849999999999</x:v>
      </x:c>
      <x:c r="Z826">
        <x:f>-6.792175</x:f>
        <x:v>-6.7921750000000003</x:v>
      </x:c>
      <x:c r="AA826">
        <x:f>0</x:f>
        <x:v>0</x:v>
      </x:c>
      <x:c r="AB826">
        <x:f>-1.20613</x:f>
        <x:v>-1.2061299999999999</x:v>
      </x:c>
      <x:c r="AC826">
        <x:f>2.05477</x:f>
        <x:v>2.05477</x:v>
      </x:c>
      <x:c r="AD826">
        <x:f>0</x:f>
        <x:v>0</x:v>
      </x:c>
      <x:c r="AE826">
        <x:f>-3.315955</x:f>
        <x:v>-3.3159550000000002</x:v>
      </x:c>
      <x:c r="AF826">
        <x:f>-0.650965</x:f>
        <x:v>-0.65096500000000002</x:v>
      </x:c>
      <x:c r="AG826">
        <x:f>-3.20195</x:f>
        <x:v>-3.2019500000000001</x:v>
      </x:c>
    </x:row>
    <x:row r="827" spans="1:33" x14ac:dyDescent="0.25">
      <x:c r="A827" t="str">
        <x:f>"        Cannabis and Psychedelics"</x:f>
        <x:v xml:space="preserve">        Cannabis and Psychedelics</x:v>
      </x:c>
      <x:c r="B827" t="str">
        <x:f>""</x:f>
        <x:v/>
      </x:c>
      <x:c r="E827" t="str">
        <x:f>"Sum"</x:f>
        <x:v>Sum</x:v>
      </x:c>
      <x:c r="F827">
        <x:f ca="1">IF(ISERROR(IF(SUM($F$828:$F$848) = 0, "", SUM($F$828:$F$848))), "", (IF(SUM($F$828:$F$848) = 0, "", SUM($F$828:$F$848))))</x:f>
        <x:v>0.90107799999999982</x:v>
      </x:c>
      <x:c r="G827">
        <x:f ca="1">IF(ISERROR(IF(SUM($G$828:$G$848) = 0, "", SUM($G$828:$G$848))), "", (IF(SUM($G$828:$G$848) = 0, "", SUM($G$828:$G$848))))</x:f>
        <x:v>54.758195000000001</x:v>
      </x:c>
      <x:c r="H827">
        <x:f ca="1">IF(ISERROR(IF(SUM($H$828:$H$848) = 0, "", SUM($H$828:$H$848))), "", (IF(SUM($H$828:$H$848) = 0, "", SUM($H$828:$H$848))))</x:f>
        <x:v>59.769309999999997</x:v>
      </x:c>
      <x:c r="I827">
        <x:f ca="1">IF(ISERROR(IF(SUM($I$828:$I$848) = 0, "", SUM($I$828:$I$848))), "", (IF(SUM($I$828:$I$848) = 0, "", SUM($I$828:$I$848))))</x:f>
        <x:v>12.494908000000001</x:v>
      </x:c>
      <x:c r="J827">
        <x:f ca="1">IF(ISERROR(IF(SUM($J$828:$J$848) = 0, "", SUM($J$828:$J$848))), "", (IF(SUM($J$828:$J$848) = 0, "", SUM($J$828:$J$848))))</x:f>
        <x:v>15.392932999999999</x:v>
      </x:c>
      <x:c r="K827">
        <x:f ca="1">IF(ISERROR(IF(SUM($K$828:$K$848) = 0, "", SUM($K$828:$K$848))), "", (IF(SUM($K$828:$K$848) = 0, "", SUM($K$828:$K$848))))</x:f>
        <x:v>12.866684999999999</x:v>
      </x:c>
      <x:c r="L827">
        <x:f ca="1">IF(ISERROR(IF(SUM($L$828:$L$848) = 0, "", SUM($L$828:$L$848))), "", (IF(SUM($L$828:$L$848) = 0, "", SUM($L$828:$L$848))))</x:f>
        <x:v>8.6256330000000005</x:v>
      </x:c>
      <x:c r="M827">
        <x:f ca="1">IF(ISERROR(IF(SUM($M$828:$M$848) = 0, "", SUM($M$828:$M$848))), "", (IF(SUM($M$828:$M$848) = 0, "", SUM($M$828:$M$848))))</x:f>
        <x:v>3.8702739999999998</x:v>
      </x:c>
      <x:c r="N827">
        <x:f ca="1">IF(ISERROR(IF(SUM($N$828:$N$848) = 0, "", SUM($N$828:$N$848))), "", (IF(SUM($N$828:$N$848) = 0, "", SUM($N$828:$N$848))))</x:f>
        <x:v>54.796711000000002</x:v>
      </x:c>
      <x:c r="O827">
        <x:f ca="1">IF(ISERROR(IF(SUM($O$828:$O$848) = 0, "", SUM($O$828:$O$848))), "", (IF(SUM($O$828:$O$848) = 0, "", SUM($O$828:$O$848))))</x:f>
        <x:v>29.388268000000004</x:v>
      </x:c>
      <x:c r="P827">
        <x:f ca="1">IF(ISERROR(IF(SUM($P$828:$P$848) = 0, "", SUM($P$828:$P$848))), "", (IF(SUM($P$828:$P$848) = 0, "", SUM($P$828:$P$848))))</x:f>
        <x:v>-19.892228999999993</x:v>
      </x:c>
      <x:c r="Q827">
        <x:f ca="1">IF(ISERROR(IF(SUM($Q$828:$Q$848) = 0, "", SUM($Q$828:$Q$848))), "", (IF(SUM($Q$828:$Q$848) = 0, "", SUM($Q$828:$Q$848))))</x:f>
        <x:v>7.1912680000000009</x:v>
      </x:c>
      <x:c r="R827">
        <x:f ca="1">IF(ISERROR(IF(SUM($R$828:$R$848) = 0, "", SUM($R$828:$R$848))), "", (IF(SUM($R$828:$R$848) = 0, "", SUM($R$828:$R$848))))</x:f>
        <x:v>57.196499000000003</x:v>
      </x:c>
      <x:c r="S827">
        <x:f ca="1">IF(ISERROR(IF(SUM($S$828:$S$848) = 0, "", SUM($S$828:$S$848))), "", (IF(SUM($S$828:$S$848) = 0, "", SUM($S$828:$S$848))))</x:f>
        <x:v>65.221092000000013</x:v>
      </x:c>
      <x:c r="T827">
        <x:f>0.901078</x:f>
        <x:v>0.90107800000000005</x:v>
      </x:c>
      <x:c r="U827">
        <x:f>54.758195</x:f>
        <x:v>54.758195000000001</x:v>
      </x:c>
      <x:c r="V827">
        <x:f>59.76931</x:f>
        <x:v>59.769309999999997</x:v>
      </x:c>
      <x:c r="W827">
        <x:f>12.494908</x:f>
        <x:v>12.494908000000001</x:v>
      </x:c>
      <x:c r="X827">
        <x:f>15.392933</x:f>
        <x:v>15.392932999999999</x:v>
      </x:c>
      <x:c r="Y827">
        <x:f>12.866685</x:f>
        <x:v>12.866685</x:v>
      </x:c>
      <x:c r="Z827">
        <x:f>8.625633</x:f>
        <x:v>8.6256330000000005</x:v>
      </x:c>
      <x:c r="AA827">
        <x:f>3.870274</x:f>
        <x:v>3.8702740000000002</x:v>
      </x:c>
      <x:c r="AB827">
        <x:f>54.796711</x:f>
        <x:v>54.796711000000002</x:v>
      </x:c>
      <x:c r="AC827">
        <x:f>29.388268</x:f>
        <x:v>29.388268</x:v>
      </x:c>
      <x:c r="AD827">
        <x:f>-19.892229</x:f>
        <x:v>-19.892229</x:v>
      </x:c>
      <x:c r="AE827">
        <x:f>7.191268</x:f>
        <x:v>7.191268</x:v>
      </x:c>
      <x:c r="AF827">
        <x:f>57.196499</x:f>
        <x:v>57.196499000000003</x:v>
      </x:c>
      <x:c r="AG827">
        <x:f>65.221092</x:f>
        <x:v>65.221091999999999</x:v>
      </x:c>
    </x:row>
    <x:row r="828" spans="1:33" x14ac:dyDescent="0.25">
      <x:c r="A828" t="str">
        <x:f>"            ETFMG Alternative Harvest ETF"</x:f>
        <x:v xml:space="preserve">            ETFMG Alternative Harvest ETF</x:v>
      </x:c>
      <x:c r="B828" t="str">
        <x:f>"MJ US Equity"</x:f>
        <x:v>MJ US Equity</x:v>
      </x:c>
      <x:c r="E828" t="str">
        <x:f t="shared" ref="E828:E848" si="34">"Expression"</x:f>
        <x:v>Expression</x:v>
      </x:c>
      <x:c r="F828">
        <x:f ca="1">IF(AND($B$1012=1,LEN($F$1809)&gt;0),$F$1809,HLOOKUP(INDIRECT(ADDRESS(2,COLUMN())),OFFSET($T$2,0,0,ROW()-1,14),ROW()-1,FALSE))</x:f>
        <x:v>0</x:v>
      </x:c>
      <x:c r="G828">
        <x:f ca="1">IF(AND($B$1012=1,LEN($G$1809)&gt;0),$G$1809,HLOOKUP(INDIRECT(ADDRESS(2,COLUMN())),OFFSET($T$2,0,0,ROW()-1,14),ROW()-1,FALSE))</x:f>
        <x:v>-6.8392499999999998</x:v>
      </x:c>
      <x:c r="H828">
        <x:f ca="1">IF(AND($B$1012=1,LEN($H$1809)&gt;0),$H$1809,HLOOKUP(INDIRECT(ADDRESS(2,COLUMN())),OFFSET($T$2,0,0,ROW()-1,14),ROW()-1,FALSE))</x:f>
        <x:v>0</x:v>
      </x:c>
      <x:c r="I828">
        <x:f ca="1">IF(AND($B$1012=1,LEN($I$1809)&gt;0),$I$1809,HLOOKUP(INDIRECT(ADDRESS(2,COLUMN())),OFFSET($T$2,0,0,ROW()-1,14),ROW()-1,FALSE))</x:f>
        <x:v>2.7335150000000001</x:v>
      </x:c>
      <x:c r="J828">
        <x:f ca="1">IF(AND($B$1012=1,LEN($J$1809)&gt;0),$J$1809,HLOOKUP(INDIRECT(ADDRESS(2,COLUMN())),OFFSET($T$2,0,0,ROW()-1,14),ROW()-1,FALSE))</x:f>
        <x:v>0</x:v>
      </x:c>
      <x:c r="K828">
        <x:f ca="1">IF(AND($B$1012=1,LEN($K$1809)&gt;0),$K$1809,HLOOKUP(INDIRECT(ADDRESS(2,COLUMN())),OFFSET($T$2,0,0,ROW()-1,14),ROW()-1,FALSE))</x:f>
        <x:v>1.5253000000000001</x:v>
      </x:c>
      <x:c r="L828">
        <x:f ca="1">IF(AND($B$1012=1,LEN($L$1809)&gt;0),$L$1809,HLOOKUP(INDIRECT(ADDRESS(2,COLUMN())),OFFSET($T$2,0,0,ROW()-1,14),ROW()-1,FALSE))</x:f>
        <x:v>2.1039599999999998</x:v>
      </x:c>
      <x:c r="M828">
        <x:f ca="1">IF(AND($B$1012=1,LEN($M$1809)&gt;0),$M$1809,HLOOKUP(INDIRECT(ADDRESS(2,COLUMN())),OFFSET($T$2,0,0,ROW()-1,14),ROW()-1,FALSE))</x:f>
        <x:v>0</x:v>
      </x:c>
      <x:c r="N828">
        <x:f ca="1">IF(AND($B$1012=1,LEN($N$1809)&gt;0),$N$1809,HLOOKUP(INDIRECT(ADDRESS(2,COLUMN())),OFFSET($T$2,0,0,ROW()-1,14),ROW()-1,FALSE))</x:f>
        <x:v>0</x:v>
      </x:c>
      <x:c r="O828">
        <x:f ca="1">IF(AND($B$1012=1,LEN($O$1809)&gt;0),$O$1809,HLOOKUP(INDIRECT(ADDRESS(2,COLUMN())),OFFSET($T$2,0,0,ROW()-1,14),ROW()-1,FALSE))</x:f>
        <x:v>-3.4671449999999999</x:v>
      </x:c>
      <x:c r="P828">
        <x:f ca="1">IF(AND($B$1012=1,LEN($P$1809)&gt;0),$P$1809,HLOOKUP(INDIRECT(ADDRESS(2,COLUMN())),OFFSET($T$2,0,0,ROW()-1,14),ROW()-1,FALSE))</x:f>
        <x:v>-4.070735</x:v>
      </x:c>
      <x:c r="Q828">
        <x:f ca="1">IF(AND($B$1012=1,LEN($Q$1809)&gt;0),$Q$1809,HLOOKUP(INDIRECT(ADDRESS(2,COLUMN())),OFFSET($T$2,0,0,ROW()-1,14),ROW()-1,FALSE))</x:f>
        <x:v>-2.7304900000000001</x:v>
      </x:c>
      <x:c r="R828">
        <x:f ca="1">IF(AND($B$1012=1,LEN($R$1809)&gt;0),$R$1809,HLOOKUP(INDIRECT(ADDRESS(2,COLUMN())),OFFSET($T$2,0,0,ROW()-1,14),ROW()-1,FALSE))</x:f>
        <x:v>0</x:v>
      </x:c>
      <x:c r="S828">
        <x:f ca="1">IF(AND($B$1012=1,LEN($S$1809)&gt;0),$S$1809,HLOOKUP(INDIRECT(ADDRESS(2,COLUMN())),OFFSET($T$2,0,0,ROW()-1,14),ROW()-1,FALSE))</x:f>
        <x:v>6.6323400000000001</x:v>
      </x:c>
      <x:c r="T828">
        <x:f>0</x:f>
        <x:v>0</x:v>
      </x:c>
      <x:c r="U828">
        <x:f>-6.83925</x:f>
        <x:v>-6.8392499999999998</x:v>
      </x:c>
      <x:c r="V828">
        <x:f>0</x:f>
        <x:v>0</x:v>
      </x:c>
      <x:c r="W828">
        <x:f>2.733515</x:f>
        <x:v>2.7335150000000001</x:v>
      </x:c>
      <x:c r="X828">
        <x:f>0</x:f>
        <x:v>0</x:v>
      </x:c>
      <x:c r="Y828">
        <x:f>1.5253</x:f>
        <x:v>1.5253000000000001</x:v>
      </x:c>
      <x:c r="Z828">
        <x:f>2.10396</x:f>
        <x:v>2.1039599999999998</x:v>
      </x:c>
      <x:c r="AA828">
        <x:f>0</x:f>
        <x:v>0</x:v>
      </x:c>
      <x:c r="AB828">
        <x:f>0</x:f>
        <x:v>0</x:v>
      </x:c>
      <x:c r="AC828">
        <x:f>-3.467145</x:f>
        <x:v>-3.4671449999999999</x:v>
      </x:c>
      <x:c r="AD828">
        <x:f>-4.070735</x:f>
        <x:v>-4.070735</x:v>
      </x:c>
      <x:c r="AE828">
        <x:f>-2.73049</x:f>
        <x:v>-2.7304900000000001</x:v>
      </x:c>
      <x:c r="AF828">
        <x:f>0</x:f>
        <x:v>0</x:v>
      </x:c>
      <x:c r="AG828">
        <x:f>6.63234</x:f>
        <x:v>6.6323400000000001</x:v>
      </x:c>
    </x:row>
    <x:row r="829" spans="1:33" x14ac:dyDescent="0.25">
      <x:c r="A829" t="str">
        <x:f>"            AdvisorShares Pure Cannabis ET"</x:f>
        <x:v xml:space="preserve">            AdvisorShares Pure Cannabis ET</x:v>
      </x:c>
      <x:c r="B829" t="str">
        <x:f>"YOLO US Equity"</x:f>
        <x:v>YOLO US Equity</x:v>
      </x:c>
      <x:c r="E829" t="str">
        <x:f t="shared" si="34"/>
        <x:v>Expression</x:v>
      </x:c>
      <x:c r="F829">
        <x:f ca="1">IF(AND($B$1012=1,LEN($F$1810)&gt;0),$F$1810,HLOOKUP(INDIRECT(ADDRESS(2,COLUMN())),OFFSET($T$2,0,0,ROW()-1,14),ROW()-1,FALSE))</x:f>
        <x:v>0</x:v>
      </x:c>
      <x:c r="G829">
        <x:f ca="1">IF(AND($B$1012=1,LEN($G$1810)&gt;0),$G$1810,HLOOKUP(INDIRECT(ADDRESS(2,COLUMN())),OFFSET($T$2,0,0,ROW()-1,14),ROW()-1,FALSE))</x:f>
        <x:v>0</x:v>
      </x:c>
      <x:c r="H829">
        <x:f ca="1">IF(AND($B$1012=1,LEN($H$1810)&gt;0),$H$1810,HLOOKUP(INDIRECT(ADDRESS(2,COLUMN())),OFFSET($T$2,0,0,ROW()-1,14),ROW()-1,FALSE))</x:f>
        <x:v>0</x:v>
      </x:c>
      <x:c r="I829">
        <x:f ca="1">IF(AND($B$1012=1,LEN($I$1810)&gt;0),$I$1810,HLOOKUP(INDIRECT(ADDRESS(2,COLUMN())),OFFSET($T$2,0,0,ROW()-1,14),ROW()-1,FALSE))</x:f>
        <x:v>-0.38633699999999999</x:v>
      </x:c>
      <x:c r="J829">
        <x:f ca="1">IF(AND($B$1012=1,LEN($J$1810)&gt;0),$J$1810,HLOOKUP(INDIRECT(ADDRESS(2,COLUMN())),OFFSET($T$2,0,0,ROW()-1,14),ROW()-1,FALSE))</x:f>
        <x:v>0</x:v>
      </x:c>
      <x:c r="K829">
        <x:f ca="1">IF(AND($B$1012=1,LEN($K$1810)&gt;0),$K$1810,HLOOKUP(INDIRECT(ADDRESS(2,COLUMN())),OFFSET($T$2,0,0,ROW()-1,14),ROW()-1,FALSE))</x:f>
        <x:v>0</x:v>
      </x:c>
      <x:c r="L829">
        <x:f ca="1">IF(AND($B$1012=1,LEN($L$1810)&gt;0),$L$1810,HLOOKUP(INDIRECT(ADDRESS(2,COLUMN())),OFFSET($T$2,0,0,ROW()-1,14),ROW()-1,FALSE))</x:f>
        <x:v>0</x:v>
      </x:c>
      <x:c r="M829">
        <x:f ca="1">IF(AND($B$1012=1,LEN($M$1810)&gt;0),$M$1810,HLOOKUP(INDIRECT(ADDRESS(2,COLUMN())),OFFSET($T$2,0,0,ROW()-1,14),ROW()-1,FALSE))</x:f>
        <x:v>0</x:v>
      </x:c>
      <x:c r="N829">
        <x:f ca="1">IF(AND($B$1012=1,LEN($N$1810)&gt;0),$N$1810,HLOOKUP(INDIRECT(ADDRESS(2,COLUMN())),OFFSET($T$2,0,0,ROW()-1,14),ROW()-1,FALSE))</x:f>
        <x:v>-1.2169760000000001</x:v>
      </x:c>
      <x:c r="O829">
        <x:f ca="1">IF(AND($B$1012=1,LEN($O$1810)&gt;0),$O$1810,HLOOKUP(INDIRECT(ADDRESS(2,COLUMN())),OFFSET($T$2,0,0,ROW()-1,14),ROW()-1,FALSE))</x:f>
        <x:v>-0.63035699999999995</x:v>
      </x:c>
      <x:c r="P829">
        <x:f ca="1">IF(AND($B$1012=1,LEN($P$1810)&gt;0),$P$1810,HLOOKUP(INDIRECT(ADDRESS(2,COLUMN())),OFFSET($T$2,0,0,ROW()-1,14),ROW()-1,FALSE))</x:f>
        <x:v>0</x:v>
      </x:c>
      <x:c r="Q829">
        <x:f ca="1">IF(AND($B$1012=1,LEN($Q$1810)&gt;0),$Q$1810,HLOOKUP(INDIRECT(ADDRESS(2,COLUMN())),OFFSET($T$2,0,0,ROW()-1,14),ROW()-1,FALSE))</x:f>
        <x:v>0</x:v>
      </x:c>
      <x:c r="R829">
        <x:f ca="1">IF(AND($B$1012=1,LEN($R$1810)&gt;0),$R$1810,HLOOKUP(INDIRECT(ADDRESS(2,COLUMN())),OFFSET($T$2,0,0,ROW()-1,14),ROW()-1,FALSE))</x:f>
        <x:v>0</x:v>
      </x:c>
      <x:c r="S829">
        <x:f ca="1">IF(AND($B$1012=1,LEN($S$1810)&gt;0),$S$1810,HLOOKUP(INDIRECT(ADDRESS(2,COLUMN())),OFFSET($T$2,0,0,ROW()-1,14),ROW()-1,FALSE))</x:f>
        <x:v>0</x:v>
      </x:c>
      <x:c r="T829">
        <x:f>0</x:f>
        <x:v>0</x:v>
      </x:c>
      <x:c r="U829">
        <x:f>0</x:f>
        <x:v>0</x:v>
      </x:c>
      <x:c r="V829">
        <x:f>0</x:f>
        <x:v>0</x:v>
      </x:c>
      <x:c r="W829">
        <x:f>-0.386337</x:f>
        <x:v>-0.38633699999999999</x:v>
      </x:c>
      <x:c r="X829">
        <x:f>0</x:f>
        <x:v>0</x:v>
      </x:c>
      <x:c r="Y829">
        <x:f>0</x:f>
        <x:v>0</x:v>
      </x:c>
      <x:c r="Z829">
        <x:f>0</x:f>
        <x:v>0</x:v>
      </x:c>
      <x:c r="AA829">
        <x:f>0</x:f>
        <x:v>0</x:v>
      </x:c>
      <x:c r="AB829">
        <x:f>-1.216976</x:f>
        <x:v>-1.2169760000000001</x:v>
      </x:c>
      <x:c r="AC829">
        <x:f>-0.630357</x:f>
        <x:v>-0.63035699999999995</x:v>
      </x:c>
      <x:c r="AD829">
        <x:f>0</x:f>
        <x:v>0</x:v>
      </x:c>
      <x:c r="AE829">
        <x:f>0</x:f>
        <x:v>0</x:v>
      </x:c>
      <x:c r="AF829">
        <x:f>0</x:f>
        <x:v>0</x:v>
      </x:c>
      <x:c r="AG829">
        <x:f>0</x:f>
        <x:v>0</x:v>
      </x:c>
    </x:row>
    <x:row r="830" spans="1:33" x14ac:dyDescent="0.25">
      <x:c r="A830" t="str">
        <x:f>"            MicroSectors Cannabis 2X Lever"</x:f>
        <x:v xml:space="preserve">            MicroSectors Cannabis 2X Lever</x:v>
      </x:c>
      <x:c r="B830" t="str">
        <x:f>"MJO US Equity"</x:f>
        <x:v>MJO US Equity</x:v>
      </x:c>
      <x:c r="E830" t="str">
        <x:f t="shared" si="34"/>
        <x:v>Expression</x:v>
      </x:c>
      <x:c r="F830" t="str">
        <x:f ca="1">IF(AND($B$1012=1,LEN($F$1811)&gt;0),$F$1811,HLOOKUP(INDIRECT(ADDRESS(2,COLUMN())),OFFSET($T$2,0,0,ROW()-1,14),ROW()-1,FALSE))</x:f>
        <x:v/>
      </x:c>
      <x:c r="G830" t="str">
        <x:f ca="1">IF(AND($B$1012=1,LEN($G$1811)&gt;0),$G$1811,HLOOKUP(INDIRECT(ADDRESS(2,COLUMN())),OFFSET($T$2,0,0,ROW()-1,14),ROW()-1,FALSE))</x:f>
        <x:v/>
      </x:c>
      <x:c r="H830" t="str">
        <x:f ca="1">IF(AND($B$1012=1,LEN($H$1811)&gt;0),$H$1811,HLOOKUP(INDIRECT(ADDRESS(2,COLUMN())),OFFSET($T$2,0,0,ROW()-1,14),ROW()-1,FALSE))</x:f>
        <x:v/>
      </x:c>
      <x:c r="I830" t="str">
        <x:f ca="1">IF(AND($B$1012=1,LEN($I$1811)&gt;0),$I$1811,HLOOKUP(INDIRECT(ADDRESS(2,COLUMN())),OFFSET($T$2,0,0,ROW()-1,14),ROW()-1,FALSE))</x:f>
        <x:v/>
      </x:c>
      <x:c r="J830" t="str">
        <x:f ca="1">IF(AND($B$1012=1,LEN($J$1811)&gt;0),$J$1811,HLOOKUP(INDIRECT(ADDRESS(2,COLUMN())),OFFSET($T$2,0,0,ROW()-1,14),ROW()-1,FALSE))</x:f>
        <x:v/>
      </x:c>
      <x:c r="K830" t="str">
        <x:f ca="1">IF(AND($B$1012=1,LEN($K$1811)&gt;0),$K$1811,HLOOKUP(INDIRECT(ADDRESS(2,COLUMN())),OFFSET($T$2,0,0,ROW()-1,14),ROW()-1,FALSE))</x:f>
        <x:v/>
      </x:c>
      <x:c r="L830" t="str">
        <x:f ca="1">IF(AND($B$1012=1,LEN($L$1811)&gt;0),$L$1811,HLOOKUP(INDIRECT(ADDRESS(2,COLUMN())),OFFSET($T$2,0,0,ROW()-1,14),ROW()-1,FALSE))</x:f>
        <x:v/>
      </x:c>
      <x:c r="M830" t="str">
        <x:f ca="1">IF(AND($B$1012=1,LEN($M$1811)&gt;0),$M$1811,HLOOKUP(INDIRECT(ADDRESS(2,COLUMN())),OFFSET($T$2,0,0,ROW()-1,14),ROW()-1,FALSE))</x:f>
        <x:v/>
      </x:c>
      <x:c r="N830" t="str">
        <x:f ca="1">IF(AND($B$1012=1,LEN($N$1811)&gt;0),$N$1811,HLOOKUP(INDIRECT(ADDRESS(2,COLUMN())),OFFSET($T$2,0,0,ROW()-1,14),ROW()-1,FALSE))</x:f>
        <x:v/>
      </x:c>
      <x:c r="O830" t="str">
        <x:f ca="1">IF(AND($B$1012=1,LEN($O$1811)&gt;0),$O$1811,HLOOKUP(INDIRECT(ADDRESS(2,COLUMN())),OFFSET($T$2,0,0,ROW()-1,14),ROW()-1,FALSE))</x:f>
        <x:v/>
      </x:c>
      <x:c r="P830" t="str">
        <x:f ca="1">IF(AND($B$1012=1,LEN($P$1811)&gt;0),$P$1811,HLOOKUP(INDIRECT(ADDRESS(2,COLUMN())),OFFSET($T$2,0,0,ROW()-1,14),ROW()-1,FALSE))</x:f>
        <x:v/>
      </x:c>
      <x:c r="Q830" t="str">
        <x:f ca="1">IF(AND($B$1012=1,LEN($Q$1811)&gt;0),$Q$1811,HLOOKUP(INDIRECT(ADDRESS(2,COLUMN())),OFFSET($T$2,0,0,ROW()-1,14),ROW()-1,FALSE))</x:f>
        <x:v/>
      </x:c>
      <x:c r="R830" t="str">
        <x:f ca="1">IF(AND($B$1012=1,LEN($R$1811)&gt;0),$R$1811,HLOOKUP(INDIRECT(ADDRESS(2,COLUMN())),OFFSET($T$2,0,0,ROW()-1,14),ROW()-1,FALSE))</x:f>
        <x:v/>
      </x:c>
      <x:c r="S830" t="str">
        <x:f ca="1">IF(AND($B$1012=1,LEN($S$1811)&gt;0),$S$1811,HLOOKUP(INDIRECT(ADDRESS(2,COLUMN())),OFFSET($T$2,0,0,ROW()-1,14),ROW()-1,FALSE))</x:f>
        <x:v/>
      </x:c>
      <x:c r="T830" t="str">
        <x:f>""</x:f>
        <x:v/>
      </x:c>
      <x:c r="U830" t="str">
        <x:f>""</x:f>
        <x:v/>
      </x:c>
      <x:c r="V830" t="str">
        <x:f>""</x:f>
        <x:v/>
      </x:c>
      <x:c r="W830" t="str">
        <x:f>""</x:f>
        <x:v/>
      </x:c>
      <x:c r="X830" t="str">
        <x:f>""</x:f>
        <x:v/>
      </x:c>
      <x:c r="Y830" t="str">
        <x:f>""</x:f>
        <x:v/>
      </x:c>
      <x:c r="Z830" t="str">
        <x:f>""</x:f>
        <x:v/>
      </x:c>
      <x:c r="AA830" t="str">
        <x:f>""</x:f>
        <x:v/>
      </x:c>
      <x:c r="AB830" t="str">
        <x:f>""</x:f>
        <x:v/>
      </x:c>
      <x:c r="AC830" t="str">
        <x:f>""</x:f>
        <x:v/>
      </x:c>
      <x:c r="AD830" t="str">
        <x:f>""</x:f>
        <x:v/>
      </x:c>
      <x:c r="AE830" t="str">
        <x:f>""</x:f>
        <x:v/>
      </x:c>
      <x:c r="AF830" t="str">
        <x:f>""</x:f>
        <x:v/>
      </x:c>
      <x:c r="AG830" t="str">
        <x:f>""</x:f>
        <x:v/>
      </x:c>
    </x:row>
    <x:row r="831" spans="1:33" x14ac:dyDescent="0.25">
      <x:c r="A831" t="str">
        <x:f>"            MicroSectors Cannabis ETNs"</x:f>
        <x:v xml:space="preserve">            MicroSectors Cannabis ETNs</x:v>
      </x:c>
      <x:c r="B831" t="str">
        <x:f>"MJJ US Equity"</x:f>
        <x:v>MJJ US Equity</x:v>
      </x:c>
      <x:c r="E831" t="str">
        <x:f t="shared" si="34"/>
        <x:v>Expression</x:v>
      </x:c>
      <x:c r="F831" t="str">
        <x:f ca="1">IF(AND($B$1012=1,LEN($F$1812)&gt;0),$F$1812,HLOOKUP(INDIRECT(ADDRESS(2,COLUMN())),OFFSET($T$2,0,0,ROW()-1,14),ROW()-1,FALSE))</x:f>
        <x:v/>
      </x:c>
      <x:c r="G831" t="str">
        <x:f ca="1">IF(AND($B$1012=1,LEN($G$1812)&gt;0),$G$1812,HLOOKUP(INDIRECT(ADDRESS(2,COLUMN())),OFFSET($T$2,0,0,ROW()-1,14),ROW()-1,FALSE))</x:f>
        <x:v/>
      </x:c>
      <x:c r="H831" t="str">
        <x:f ca="1">IF(AND($B$1012=1,LEN($H$1812)&gt;0),$H$1812,HLOOKUP(INDIRECT(ADDRESS(2,COLUMN())),OFFSET($T$2,0,0,ROW()-1,14),ROW()-1,FALSE))</x:f>
        <x:v/>
      </x:c>
      <x:c r="I831" t="str">
        <x:f ca="1">IF(AND($B$1012=1,LEN($I$1812)&gt;0),$I$1812,HLOOKUP(INDIRECT(ADDRESS(2,COLUMN())),OFFSET($T$2,0,0,ROW()-1,14),ROW()-1,FALSE))</x:f>
        <x:v/>
      </x:c>
      <x:c r="J831" t="str">
        <x:f ca="1">IF(AND($B$1012=1,LEN($J$1812)&gt;0),$J$1812,HLOOKUP(INDIRECT(ADDRESS(2,COLUMN())),OFFSET($T$2,0,0,ROW()-1,14),ROW()-1,FALSE))</x:f>
        <x:v/>
      </x:c>
      <x:c r="K831" t="str">
        <x:f ca="1">IF(AND($B$1012=1,LEN($K$1812)&gt;0),$K$1812,HLOOKUP(INDIRECT(ADDRESS(2,COLUMN())),OFFSET($T$2,0,0,ROW()-1,14),ROW()-1,FALSE))</x:f>
        <x:v/>
      </x:c>
      <x:c r="L831" t="str">
        <x:f ca="1">IF(AND($B$1012=1,LEN($L$1812)&gt;0),$L$1812,HLOOKUP(INDIRECT(ADDRESS(2,COLUMN())),OFFSET($T$2,0,0,ROW()-1,14),ROW()-1,FALSE))</x:f>
        <x:v/>
      </x:c>
      <x:c r="M831" t="str">
        <x:f ca="1">IF(AND($B$1012=1,LEN($M$1812)&gt;0),$M$1812,HLOOKUP(INDIRECT(ADDRESS(2,COLUMN())),OFFSET($T$2,0,0,ROW()-1,14),ROW()-1,FALSE))</x:f>
        <x:v/>
      </x:c>
      <x:c r="N831" t="str">
        <x:f ca="1">IF(AND($B$1012=1,LEN($N$1812)&gt;0),$N$1812,HLOOKUP(INDIRECT(ADDRESS(2,COLUMN())),OFFSET($T$2,0,0,ROW()-1,14),ROW()-1,FALSE))</x:f>
        <x:v/>
      </x:c>
      <x:c r="O831" t="str">
        <x:f ca="1">IF(AND($B$1012=1,LEN($O$1812)&gt;0),$O$1812,HLOOKUP(INDIRECT(ADDRESS(2,COLUMN())),OFFSET($T$2,0,0,ROW()-1,14),ROW()-1,FALSE))</x:f>
        <x:v/>
      </x:c>
      <x:c r="P831" t="str">
        <x:f ca="1">IF(AND($B$1012=1,LEN($P$1812)&gt;0),$P$1812,HLOOKUP(INDIRECT(ADDRESS(2,COLUMN())),OFFSET($T$2,0,0,ROW()-1,14),ROW()-1,FALSE))</x:f>
        <x:v/>
      </x:c>
      <x:c r="Q831" t="str">
        <x:f ca="1">IF(AND($B$1012=1,LEN($Q$1812)&gt;0),$Q$1812,HLOOKUP(INDIRECT(ADDRESS(2,COLUMN())),OFFSET($T$2,0,0,ROW()-1,14),ROW()-1,FALSE))</x:f>
        <x:v/>
      </x:c>
      <x:c r="R831" t="str">
        <x:f ca="1">IF(AND($B$1012=1,LEN($R$1812)&gt;0),$R$1812,HLOOKUP(INDIRECT(ADDRESS(2,COLUMN())),OFFSET($T$2,0,0,ROW()-1,14),ROW()-1,FALSE))</x:f>
        <x:v/>
      </x:c>
      <x:c r="S831" t="str">
        <x:f ca="1">IF(AND($B$1012=1,LEN($S$1812)&gt;0),$S$1812,HLOOKUP(INDIRECT(ADDRESS(2,COLUMN())),OFFSET($T$2,0,0,ROW()-1,14),ROW()-1,FALSE))</x:f>
        <x:v/>
      </x:c>
      <x:c r="T831" t="str">
        <x:f>""</x:f>
        <x:v/>
      </x:c>
      <x:c r="U831" t="str">
        <x:f>""</x:f>
        <x:v/>
      </x:c>
      <x:c r="V831" t="str">
        <x:f>""</x:f>
        <x:v/>
      </x:c>
      <x:c r="W831" t="str">
        <x:f>""</x:f>
        <x:v/>
      </x:c>
      <x:c r="X831" t="str">
        <x:f>""</x:f>
        <x:v/>
      </x:c>
      <x:c r="Y831" t="str">
        <x:f>""</x:f>
        <x:v/>
      </x:c>
      <x:c r="Z831" t="str">
        <x:f>""</x:f>
        <x:v/>
      </x:c>
      <x:c r="AA831" t="str">
        <x:f>""</x:f>
        <x:v/>
      </x:c>
      <x:c r="AB831" t="str">
        <x:f>""</x:f>
        <x:v/>
      </x:c>
      <x:c r="AC831" t="str">
        <x:f>""</x:f>
        <x:v/>
      </x:c>
      <x:c r="AD831" t="str">
        <x:f>""</x:f>
        <x:v/>
      </x:c>
      <x:c r="AE831" t="str">
        <x:f>""</x:f>
        <x:v/>
      </x:c>
      <x:c r="AF831" t="str">
        <x:f>""</x:f>
        <x:v/>
      </x:c>
      <x:c r="AG831" t="str">
        <x:f>""</x:f>
        <x:v/>
      </x:c>
    </x:row>
    <x:row r="832" spans="1:33" x14ac:dyDescent="0.25">
      <x:c r="A832" t="str">
        <x:f>"            Global X Cannabis ETF"</x:f>
        <x:v xml:space="preserve">            Global X Cannabis ETF</x:v>
      </x:c>
      <x:c r="B832" t="str">
        <x:f>"POTX US Equity"</x:f>
        <x:v>POTX US Equity</x:v>
      </x:c>
      <x:c r="E832" t="str">
        <x:f t="shared" si="34"/>
        <x:v>Expression</x:v>
      </x:c>
      <x:c r="F832">
        <x:f ca="1">IF(AND($B$1012=1,LEN($F$1813)&gt;0),$F$1813,HLOOKUP(INDIRECT(ADDRESS(2,COLUMN())),OFFSET($T$2,0,0,ROW()-1,14),ROW()-1,FALSE))</x:f>
        <x:v>-0.37869999999999998</x:v>
      </x:c>
      <x:c r="G832">
        <x:f ca="1">IF(AND($B$1012=1,LEN($G$1813)&gt;0),$G$1813,HLOOKUP(INDIRECT(ADDRESS(2,COLUMN())),OFFSET($T$2,0,0,ROW()-1,14),ROW()-1,FALSE))</x:f>
        <x:v>0</x:v>
      </x:c>
      <x:c r="H832">
        <x:f ca="1">IF(AND($B$1012=1,LEN($H$1813)&gt;0),$H$1813,HLOOKUP(INDIRECT(ADDRESS(2,COLUMN())),OFFSET($T$2,0,0,ROW()-1,14),ROW()-1,FALSE))</x:f>
        <x:v>2.9817</x:v>
      </x:c>
      <x:c r="I832">
        <x:f ca="1">IF(AND($B$1012=1,LEN($I$1813)&gt;0),$I$1813,HLOOKUP(INDIRECT(ADDRESS(2,COLUMN())),OFFSET($T$2,0,0,ROW()-1,14),ROW()-1,FALSE))</x:f>
        <x:v>0.69079999999999997</x:v>
      </x:c>
      <x:c r="J832">
        <x:f ca="1">IF(AND($B$1012=1,LEN($J$1813)&gt;0),$J$1813,HLOOKUP(INDIRECT(ADDRESS(2,COLUMN())),OFFSET($T$2,0,0,ROW()-1,14),ROW()-1,FALSE))</x:f>
        <x:v>0.32600000000000001</x:v>
      </x:c>
      <x:c r="K832">
        <x:f ca="1">IF(AND($B$1012=1,LEN($K$1813)&gt;0),$K$1813,HLOOKUP(INDIRECT(ADDRESS(2,COLUMN())),OFFSET($T$2,0,0,ROW()-1,14),ROW()-1,FALSE))</x:f>
        <x:v>2.9504999999999999</x:v>
      </x:c>
      <x:c r="L832">
        <x:f ca="1">IF(AND($B$1012=1,LEN($L$1813)&gt;0),$L$1813,HLOOKUP(INDIRECT(ADDRESS(2,COLUMN())),OFFSET($T$2,0,0,ROW()-1,14),ROW()-1,FALSE))</x:f>
        <x:v>0</x:v>
      </x:c>
      <x:c r="M832">
        <x:f ca="1">IF(AND($B$1012=1,LEN($M$1813)&gt;0),$M$1813,HLOOKUP(INDIRECT(ADDRESS(2,COLUMN())),OFFSET($T$2,0,0,ROW()-1,14),ROW()-1,FALSE))</x:f>
        <x:v>-0.35120000000000001</x:v>
      </x:c>
      <x:c r="N832">
        <x:f ca="1">IF(AND($B$1012=1,LEN($N$1813)&gt;0),$N$1813,HLOOKUP(INDIRECT(ADDRESS(2,COLUMN())),OFFSET($T$2,0,0,ROW()-1,14),ROW()-1,FALSE))</x:f>
        <x:v>0</x:v>
      </x:c>
      <x:c r="O832">
        <x:f ca="1">IF(AND($B$1012=1,LEN($O$1813)&gt;0),$O$1813,HLOOKUP(INDIRECT(ADDRESS(2,COLUMN())),OFFSET($T$2,0,0,ROW()-1,14),ROW()-1,FALSE))</x:f>
        <x:v>3.0234000000000001</x:v>
      </x:c>
      <x:c r="P832">
        <x:f ca="1">IF(AND($B$1012=1,LEN($P$1813)&gt;0),$P$1813,HLOOKUP(INDIRECT(ADDRESS(2,COLUMN())),OFFSET($T$2,0,0,ROW()-1,14),ROW()-1,FALSE))</x:f>
        <x:v>4.3905000000000003</x:v>
      </x:c>
      <x:c r="Q832">
        <x:f ca="1">IF(AND($B$1012=1,LEN($Q$1813)&gt;0),$Q$1813,HLOOKUP(INDIRECT(ADDRESS(2,COLUMN())),OFFSET($T$2,0,0,ROW()-1,14),ROW()-1,FALSE))</x:f>
        <x:v>0</x:v>
      </x:c>
      <x:c r="R832">
        <x:f ca="1">IF(AND($B$1012=1,LEN($R$1813)&gt;0),$R$1813,HLOOKUP(INDIRECT(ADDRESS(2,COLUMN())),OFFSET($T$2,0,0,ROW()-1,14),ROW()-1,FALSE))</x:f>
        <x:v>1.196</x:v>
      </x:c>
      <x:c r="S832">
        <x:f ca="1">IF(AND($B$1012=1,LEN($S$1813)&gt;0),$S$1813,HLOOKUP(INDIRECT(ADDRESS(2,COLUMN())),OFFSET($T$2,0,0,ROW()-1,14),ROW()-1,FALSE))</x:f>
        <x:v>1.6763999999999999</x:v>
      </x:c>
      <x:c r="T832">
        <x:f>-0.3787</x:f>
        <x:v>-0.37869999999999998</x:v>
      </x:c>
      <x:c r="U832">
        <x:f>0</x:f>
        <x:v>0</x:v>
      </x:c>
      <x:c r="V832">
        <x:f>2.9817</x:f>
        <x:v>2.9817</x:v>
      </x:c>
      <x:c r="W832">
        <x:f>0.6908</x:f>
        <x:v>0.69079999999999997</x:v>
      </x:c>
      <x:c r="X832">
        <x:f>0.326</x:f>
        <x:v>0.32600000000000001</x:v>
      </x:c>
      <x:c r="Y832">
        <x:f>2.9505</x:f>
        <x:v>2.9504999999999999</x:v>
      </x:c>
      <x:c r="Z832">
        <x:f>0</x:f>
        <x:v>0</x:v>
      </x:c>
      <x:c r="AA832">
        <x:f>-0.3512</x:f>
        <x:v>-0.35120000000000001</x:v>
      </x:c>
      <x:c r="AB832">
        <x:f>0</x:f>
        <x:v>0</x:v>
      </x:c>
      <x:c r="AC832">
        <x:f>3.0234</x:f>
        <x:v>3.0234000000000001</x:v>
      </x:c>
      <x:c r="AD832">
        <x:f>4.3905</x:f>
        <x:v>4.3905000000000003</x:v>
      </x:c>
      <x:c r="AE832">
        <x:f>0</x:f>
        <x:v>0</x:v>
      </x:c>
      <x:c r="AF832">
        <x:f>1.196</x:f>
        <x:v>1.196</x:v>
      </x:c>
      <x:c r="AG832">
        <x:f>1.6764</x:f>
        <x:v>1.6763999999999999</x:v>
      </x:c>
    </x:row>
    <x:row r="833" spans="1:33" x14ac:dyDescent="0.25">
      <x:c r="A833" t="str">
        <x:f>"            Cambria Cannabis ETF"</x:f>
        <x:v xml:space="preserve">            Cambria Cannabis ETF</x:v>
      </x:c>
      <x:c r="B833" t="str">
        <x:f>"TOKE US Equity"</x:f>
        <x:v>TOKE US Equity</x:v>
      </x:c>
      <x:c r="E833" t="str">
        <x:f t="shared" si="34"/>
        <x:v>Expression</x:v>
      </x:c>
      <x:c r="F833">
        <x:f ca="1">IF(AND($B$1012=1,LEN($F$1814)&gt;0),$F$1814,HLOOKUP(INDIRECT(ADDRESS(2,COLUMN())),OFFSET($T$2,0,0,ROW()-1,14),ROW()-1,FALSE))</x:f>
        <x:v>0</x:v>
      </x:c>
      <x:c r="G833">
        <x:f ca="1">IF(AND($B$1012=1,LEN($G$1814)&gt;0),$G$1814,HLOOKUP(INDIRECT(ADDRESS(2,COLUMN())),OFFSET($T$2,0,0,ROW()-1,14),ROW()-1,FALSE))</x:f>
        <x:v>0</x:v>
      </x:c>
      <x:c r="H833">
        <x:f ca="1">IF(AND($B$1012=1,LEN($H$1814)&gt;0),$H$1814,HLOOKUP(INDIRECT(ADDRESS(2,COLUMN())),OFFSET($T$2,0,0,ROW()-1,14),ROW()-1,FALSE))</x:f>
        <x:v>0</x:v>
      </x:c>
      <x:c r="I833">
        <x:f ca="1">IF(AND($B$1012=1,LEN($I$1814)&gt;0),$I$1814,HLOOKUP(INDIRECT(ADDRESS(2,COLUMN())),OFFSET($T$2,0,0,ROW()-1,14),ROW()-1,FALSE))</x:f>
        <x:v>0</x:v>
      </x:c>
      <x:c r="J833">
        <x:f ca="1">IF(AND($B$1012=1,LEN($J$1814)&gt;0),$J$1814,HLOOKUP(INDIRECT(ADDRESS(2,COLUMN())),OFFSET($T$2,0,0,ROW()-1,14),ROW()-1,FALSE))</x:f>
        <x:v>0</x:v>
      </x:c>
      <x:c r="K833">
        <x:f ca="1">IF(AND($B$1012=1,LEN($K$1814)&gt;0),$K$1814,HLOOKUP(INDIRECT(ADDRESS(2,COLUMN())),OFFSET($T$2,0,0,ROW()-1,14),ROW()-1,FALSE))</x:f>
        <x:v>0</x:v>
      </x:c>
      <x:c r="L833">
        <x:f ca="1">IF(AND($B$1012=1,LEN($L$1814)&gt;0),$L$1814,HLOOKUP(INDIRECT(ADDRESS(2,COLUMN())),OFFSET($T$2,0,0,ROW()-1,14),ROW()-1,FALSE))</x:f>
        <x:v>-0.30299999999999999</x:v>
      </x:c>
      <x:c r="M833">
        <x:f ca="1">IF(AND($B$1012=1,LEN($M$1814)&gt;0),$M$1814,HLOOKUP(INDIRECT(ADDRESS(2,COLUMN())),OFFSET($T$2,0,0,ROW()-1,14),ROW()-1,FALSE))</x:f>
        <x:v>0</x:v>
      </x:c>
      <x:c r="N833">
        <x:f ca="1">IF(AND($B$1012=1,LEN($N$1814)&gt;0),$N$1814,HLOOKUP(INDIRECT(ADDRESS(2,COLUMN())),OFFSET($T$2,0,0,ROW()-1,14),ROW()-1,FALSE))</x:f>
        <x:v>0</x:v>
      </x:c>
      <x:c r="O833">
        <x:f ca="1">IF(AND($B$1012=1,LEN($O$1814)&gt;0),$O$1814,HLOOKUP(INDIRECT(ADDRESS(2,COLUMN())),OFFSET($T$2,0,0,ROW()-1,14),ROW()-1,FALSE))</x:f>
        <x:v>0</x:v>
      </x:c>
      <x:c r="P833">
        <x:f ca="1">IF(AND($B$1012=1,LEN($P$1814)&gt;0),$P$1814,HLOOKUP(INDIRECT(ADDRESS(2,COLUMN())),OFFSET($T$2,0,0,ROW()-1,14),ROW()-1,FALSE))</x:f>
        <x:v>-1.4179999999999999</x:v>
      </x:c>
      <x:c r="Q833">
        <x:f ca="1">IF(AND($B$1012=1,LEN($Q$1814)&gt;0),$Q$1814,HLOOKUP(INDIRECT(ADDRESS(2,COLUMN())),OFFSET($T$2,0,0,ROW()-1,14),ROW()-1,FALSE))</x:f>
        <x:v>-0.3705</x:v>
      </x:c>
      <x:c r="R833">
        <x:f ca="1">IF(AND($B$1012=1,LEN($R$1814)&gt;0),$R$1814,HLOOKUP(INDIRECT(ADDRESS(2,COLUMN())),OFFSET($T$2,0,0,ROW()-1,14),ROW()-1,FALSE))</x:f>
        <x:v>1.1379999999999999</x:v>
      </x:c>
      <x:c r="S833">
        <x:f ca="1">IF(AND($B$1012=1,LEN($S$1814)&gt;0),$S$1814,HLOOKUP(INDIRECT(ADDRESS(2,COLUMN())),OFFSET($T$2,0,0,ROW()-1,14),ROW()-1,FALSE))</x:f>
        <x:v>0</x:v>
      </x:c>
      <x:c r="T833">
        <x:f>0</x:f>
        <x:v>0</x:v>
      </x:c>
      <x:c r="U833">
        <x:f>0</x:f>
        <x:v>0</x:v>
      </x:c>
      <x:c r="V833">
        <x:f>0</x:f>
        <x:v>0</x:v>
      </x:c>
      <x:c r="W833">
        <x:f>0</x:f>
        <x:v>0</x:v>
      </x:c>
      <x:c r="X833">
        <x:f>0</x:f>
        <x:v>0</x:v>
      </x:c>
      <x:c r="Y833">
        <x:f>0</x:f>
        <x:v>0</x:v>
      </x:c>
      <x:c r="Z833">
        <x:f>-0.303</x:f>
        <x:v>-0.30299999999999999</x:v>
      </x:c>
      <x:c r="AA833">
        <x:f>0</x:f>
        <x:v>0</x:v>
      </x:c>
      <x:c r="AB833">
        <x:f>0</x:f>
        <x:v>0</x:v>
      </x:c>
      <x:c r="AC833">
        <x:f>0</x:f>
        <x:v>0</x:v>
      </x:c>
      <x:c r="AD833">
        <x:f>-1.418</x:f>
        <x:v>-1.4179999999999999</x:v>
      </x:c>
      <x:c r="AE833">
        <x:f>-0.3705</x:f>
        <x:v>-0.3705</x:v>
      </x:c>
      <x:c r="AF833">
        <x:f>1.138</x:f>
        <x:v>1.1379999999999999</x:v>
      </x:c>
      <x:c r="AG833">
        <x:f>0</x:f>
        <x:v>0</x:v>
      </x:c>
    </x:row>
    <x:row r="834" spans="1:33" x14ac:dyDescent="0.25">
      <x:c r="A834" t="str">
        <x:f>"            Amplify Seymour Cannabis ETF"</x:f>
        <x:v xml:space="preserve">            Amplify Seymour Cannabis ETF</x:v>
      </x:c>
      <x:c r="B834" t="str">
        <x:f>"CNBS US Equity"</x:f>
        <x:v>CNBS US Equity</x:v>
      </x:c>
      <x:c r="E834" t="str">
        <x:f t="shared" si="34"/>
        <x:v>Expression</x:v>
      </x:c>
      <x:c r="F834">
        <x:f ca="1">IF(AND($B$1012=1,LEN($F$1815)&gt;0),$F$1815,HLOOKUP(INDIRECT(ADDRESS(2,COLUMN())),OFFSET($T$2,0,0,ROW()-1,14),ROW()-1,FALSE))</x:f>
        <x:v>0</x:v>
      </x:c>
      <x:c r="G834">
        <x:f ca="1">IF(AND($B$1012=1,LEN($G$1815)&gt;0),$G$1815,HLOOKUP(INDIRECT(ADDRESS(2,COLUMN())),OFFSET($T$2,0,0,ROW()-1,14),ROW()-1,FALSE))</x:f>
        <x:v>0</x:v>
      </x:c>
      <x:c r="H834">
        <x:f ca="1">IF(AND($B$1012=1,LEN($H$1815)&gt;0),$H$1815,HLOOKUP(INDIRECT(ADDRESS(2,COLUMN())),OFFSET($T$2,0,0,ROW()-1,14),ROW()-1,FALSE))</x:f>
        <x:v>0</x:v>
      </x:c>
      <x:c r="I834">
        <x:f ca="1">IF(AND($B$1012=1,LEN($I$1815)&gt;0),$I$1815,HLOOKUP(INDIRECT(ADDRESS(2,COLUMN())),OFFSET($T$2,0,0,ROW()-1,14),ROW()-1,FALSE))</x:f>
        <x:v>0</x:v>
      </x:c>
      <x:c r="J834">
        <x:f ca="1">IF(AND($B$1012=1,LEN($J$1815)&gt;0),$J$1815,HLOOKUP(INDIRECT(ADDRESS(2,COLUMN())),OFFSET($T$2,0,0,ROW()-1,14),ROW()-1,FALSE))</x:f>
        <x:v>0</x:v>
      </x:c>
      <x:c r="K834">
        <x:f ca="1">IF(AND($B$1012=1,LEN($K$1815)&gt;0),$K$1815,HLOOKUP(INDIRECT(ADDRESS(2,COLUMN())),OFFSET($T$2,0,0,ROW()-1,14),ROW()-1,FALSE))</x:f>
        <x:v>0.19220000000000001</x:v>
      </x:c>
      <x:c r="L834">
        <x:f ca="1">IF(AND($B$1012=1,LEN($L$1815)&gt;0),$L$1815,HLOOKUP(INDIRECT(ADDRESS(2,COLUMN())),OFFSET($T$2,0,0,ROW()-1,14),ROW()-1,FALSE))</x:f>
        <x:v>0</x:v>
      </x:c>
      <x:c r="M834">
        <x:f ca="1">IF(AND($B$1012=1,LEN($M$1815)&gt;0),$M$1815,HLOOKUP(INDIRECT(ADDRESS(2,COLUMN())),OFFSET($T$2,0,0,ROW()-1,14),ROW()-1,FALSE))</x:f>
        <x:v>0</x:v>
      </x:c>
      <x:c r="N834">
        <x:f ca="1">IF(AND($B$1012=1,LEN($N$1815)&gt;0),$N$1815,HLOOKUP(INDIRECT(ADDRESS(2,COLUMN())),OFFSET($T$2,0,0,ROW()-1,14),ROW()-1,FALSE))</x:f>
        <x:v>0.49869999999999998</x:v>
      </x:c>
      <x:c r="O834">
        <x:f ca="1">IF(AND($B$1012=1,LEN($O$1815)&gt;0),$O$1815,HLOOKUP(INDIRECT(ADDRESS(2,COLUMN())),OFFSET($T$2,0,0,ROW()-1,14),ROW()-1,FALSE))</x:f>
        <x:v>0</x:v>
      </x:c>
      <x:c r="P834">
        <x:f ca="1">IF(AND($B$1012=1,LEN($P$1815)&gt;0),$P$1815,HLOOKUP(INDIRECT(ADDRESS(2,COLUMN())),OFFSET($T$2,0,0,ROW()-1,14),ROW()-1,FALSE))</x:f>
        <x:v>0</x:v>
      </x:c>
      <x:c r="Q834">
        <x:f ca="1">IF(AND($B$1012=1,LEN($Q$1815)&gt;0),$Q$1815,HLOOKUP(INDIRECT(ADDRESS(2,COLUMN())),OFFSET($T$2,0,0,ROW()-1,14),ROW()-1,FALSE))</x:f>
        <x:v>0.64178000000000002</x:v>
      </x:c>
      <x:c r="R834">
        <x:f ca="1">IF(AND($B$1012=1,LEN($R$1815)&gt;0),$R$1815,HLOOKUP(INDIRECT(ADDRESS(2,COLUMN())),OFFSET($T$2,0,0,ROW()-1,14),ROW()-1,FALSE))</x:f>
        <x:v>0</x:v>
      </x:c>
      <x:c r="S834">
        <x:f ca="1">IF(AND($B$1012=1,LEN($S$1815)&gt;0),$S$1815,HLOOKUP(INDIRECT(ADDRESS(2,COLUMN())),OFFSET($T$2,0,0,ROW()-1,14),ROW()-1,FALSE))</x:f>
        <x:v>0</x:v>
      </x:c>
      <x:c r="T834">
        <x:f>0</x:f>
        <x:v>0</x:v>
      </x:c>
      <x:c r="U834">
        <x:f>0</x:f>
        <x:v>0</x:v>
      </x:c>
      <x:c r="V834">
        <x:f>0</x:f>
        <x:v>0</x:v>
      </x:c>
      <x:c r="W834">
        <x:f>0</x:f>
        <x:v>0</x:v>
      </x:c>
      <x:c r="X834">
        <x:f>0</x:f>
        <x:v>0</x:v>
      </x:c>
      <x:c r="Y834">
        <x:f>0.1922</x:f>
        <x:v>0.19220000000000001</x:v>
      </x:c>
      <x:c r="Z834">
        <x:f>0</x:f>
        <x:v>0</x:v>
      </x:c>
      <x:c r="AA834">
        <x:f>0</x:f>
        <x:v>0</x:v>
      </x:c>
      <x:c r="AB834">
        <x:f>0.4987</x:f>
        <x:v>0.49869999999999998</x:v>
      </x:c>
      <x:c r="AC834">
        <x:f>0</x:f>
        <x:v>0</x:v>
      </x:c>
      <x:c r="AD834">
        <x:f>0</x:f>
        <x:v>0</x:v>
      </x:c>
      <x:c r="AE834">
        <x:f>0.64178</x:f>
        <x:v>0.64178000000000002</x:v>
      </x:c>
      <x:c r="AF834">
        <x:f>0</x:f>
        <x:v>0</x:v>
      </x:c>
      <x:c r="AG834">
        <x:f>0</x:f>
        <x:v>0</x:v>
      </x:c>
    </x:row>
    <x:row r="835" spans="1:33" x14ac:dyDescent="0.25">
      <x:c r="A835" t="str">
        <x:f>"            AXS Cannabis ETF"</x:f>
        <x:v xml:space="preserve">            AXS Cannabis ETF</x:v>
      </x:c>
      <x:c r="B835" t="str">
        <x:f>"THCX US Equity"</x:f>
        <x:v>THCX US Equity</x:v>
      </x:c>
      <x:c r="E835" t="str">
        <x:f t="shared" si="34"/>
        <x:v>Expression</x:v>
      </x:c>
      <x:c r="F835">
        <x:f ca="1">IF(AND($B$1012=1,LEN($F$1816)&gt;0),$F$1816,HLOOKUP(INDIRECT(ADDRESS(2,COLUMN())),OFFSET($T$2,0,0,ROW()-1,14),ROW()-1,FALSE))</x:f>
        <x:v>0.77027500000000004</x:v>
      </x:c>
      <x:c r="G835">
        <x:f ca="1">IF(AND($B$1012=1,LEN($G$1816)&gt;0),$G$1816,HLOOKUP(INDIRECT(ADDRESS(2,COLUMN())),OFFSET($T$2,0,0,ROW()-1,14),ROW()-1,FALSE))</x:f>
        <x:v>0</x:v>
      </x:c>
      <x:c r="H835">
        <x:f ca="1">IF(AND($B$1012=1,LEN($H$1816)&gt;0),$H$1816,HLOOKUP(INDIRECT(ADDRESS(2,COLUMN())),OFFSET($T$2,0,0,ROW()-1,14),ROW()-1,FALSE))</x:f>
        <x:v>-5.1099999999999995E-4</x:v>
      </x:c>
      <x:c r="I835">
        <x:f ca="1">IF(AND($B$1012=1,LEN($I$1816)&gt;0),$I$1816,HLOOKUP(INDIRECT(ADDRESS(2,COLUMN())),OFFSET($T$2,0,0,ROW()-1,14),ROW()-1,FALSE))</x:f>
        <x:v>-0.39763399999999999</x:v>
      </x:c>
      <x:c r="J835">
        <x:f ca="1">IF(AND($B$1012=1,LEN($J$1816)&gt;0),$J$1816,HLOOKUP(INDIRECT(ADDRESS(2,COLUMN())),OFFSET($T$2,0,0,ROW()-1,14),ROW()-1,FALSE))</x:f>
        <x:v>0</x:v>
      </x:c>
      <x:c r="K835">
        <x:f ca="1">IF(AND($B$1012=1,LEN($K$1816)&gt;0),$K$1816,HLOOKUP(INDIRECT(ADDRESS(2,COLUMN())),OFFSET($T$2,0,0,ROW()-1,14),ROW()-1,FALSE))</x:f>
        <x:v>0</x:v>
      </x:c>
      <x:c r="L835">
        <x:f ca="1">IF(AND($B$1012=1,LEN($L$1816)&gt;0),$L$1816,HLOOKUP(INDIRECT(ADDRESS(2,COLUMN())),OFFSET($T$2,0,0,ROW()-1,14),ROW()-1,FALSE))</x:f>
        <x:v>0</x:v>
      </x:c>
      <x:c r="M835">
        <x:f ca="1">IF(AND($B$1012=1,LEN($M$1816)&gt;0),$M$1816,HLOOKUP(INDIRECT(ADDRESS(2,COLUMN())),OFFSET($T$2,0,0,ROW()-1,14),ROW()-1,FALSE))</x:f>
        <x:v>-0.36247800000000002</x:v>
      </x:c>
      <x:c r="N835">
        <x:f ca="1">IF(AND($B$1012=1,LEN($N$1816)&gt;0),$N$1816,HLOOKUP(INDIRECT(ADDRESS(2,COLUMN())),OFFSET($T$2,0,0,ROW()-1,14),ROW()-1,FALSE))</x:f>
        <x:v>0</x:v>
      </x:c>
      <x:c r="O835">
        <x:f ca="1">IF(AND($B$1012=1,LEN($O$1816)&gt;0),$O$1816,HLOOKUP(INDIRECT(ADDRESS(2,COLUMN())),OFFSET($T$2,0,0,ROW()-1,14),ROW()-1,FALSE))</x:f>
        <x:v>0</x:v>
      </x:c>
      <x:c r="P835">
        <x:f ca="1">IF(AND($B$1012=1,LEN($P$1816)&gt;0),$P$1816,HLOOKUP(INDIRECT(ADDRESS(2,COLUMN())),OFFSET($T$2,0,0,ROW()-1,14),ROW()-1,FALSE))</x:f>
        <x:v>-0.53343600000000002</x:v>
      </x:c>
      <x:c r="Q835">
        <x:f ca="1">IF(AND($B$1012=1,LEN($Q$1816)&gt;0),$Q$1816,HLOOKUP(INDIRECT(ADDRESS(2,COLUMN())),OFFSET($T$2,0,0,ROW()-1,14),ROW()-1,FALSE))</x:f>
        <x:v>0</x:v>
      </x:c>
      <x:c r="R835">
        <x:f ca="1">IF(AND($B$1012=1,LEN($R$1816)&gt;0),$R$1816,HLOOKUP(INDIRECT(ADDRESS(2,COLUMN())),OFFSET($T$2,0,0,ROW()-1,14),ROW()-1,FALSE))</x:f>
        <x:v>0</x:v>
      </x:c>
      <x:c r="S835">
        <x:f ca="1">IF(AND($B$1012=1,LEN($S$1816)&gt;0),$S$1816,HLOOKUP(INDIRECT(ADDRESS(2,COLUMN())),OFFSET($T$2,0,0,ROW()-1,14),ROW()-1,FALSE))</x:f>
        <x:v>0</x:v>
      </x:c>
      <x:c r="T835">
        <x:f>0.770275</x:f>
        <x:v>0.77027500000000004</x:v>
      </x:c>
      <x:c r="U835">
        <x:f>0</x:f>
        <x:v>0</x:v>
      </x:c>
      <x:c r="V835">
        <x:f>-0.000511</x:f>
        <x:v>-5.1099999999999995E-4</x:v>
      </x:c>
      <x:c r="W835">
        <x:f>-0.397634</x:f>
        <x:v>-0.39763399999999999</x:v>
      </x:c>
      <x:c r="X835">
        <x:f>0</x:f>
        <x:v>0</x:v>
      </x:c>
      <x:c r="Y835">
        <x:f>0</x:f>
        <x:v>0</x:v>
      </x:c>
      <x:c r="Z835">
        <x:f>0</x:f>
        <x:v>0</x:v>
      </x:c>
      <x:c r="AA835">
        <x:f>-0.362478</x:f>
        <x:v>-0.36247800000000002</x:v>
      </x:c>
      <x:c r="AB835">
        <x:f>0</x:f>
        <x:v>0</x:v>
      </x:c>
      <x:c r="AC835">
        <x:f>0</x:f>
        <x:v>0</x:v>
      </x:c>
      <x:c r="AD835">
        <x:f>-0.533436</x:f>
        <x:v>-0.53343600000000002</x:v>
      </x:c>
      <x:c r="AE835">
        <x:f>0</x:f>
        <x:v>0</x:v>
      </x:c>
      <x:c r="AF835">
        <x:f>0</x:f>
        <x:v>0</x:v>
      </x:c>
      <x:c r="AG835">
        <x:f>0</x:f>
        <x:v>0</x:v>
      </x:c>
    </x:row>
    <x:row r="836" spans="1:33" x14ac:dyDescent="0.25">
      <x:c r="A836" t="str">
        <x:f>"            AdvisorShares Vice ETF"</x:f>
        <x:v xml:space="preserve">            AdvisorShares Vice ETF</x:v>
      </x:c>
      <x:c r="B836" t="str">
        <x:f>"VICE US Equity"</x:f>
        <x:v>VICE US Equity</x:v>
      </x:c>
      <x:c r="E836" t="str">
        <x:f t="shared" si="34"/>
        <x:v>Expression</x:v>
      </x:c>
      <x:c r="F836">
        <x:f ca="1">IF(AND($B$1012=1,LEN($F$1817)&gt;0),$F$1817,HLOOKUP(INDIRECT(ADDRESS(2,COLUMN())),OFFSET($T$2,0,0,ROW()-1,14),ROW()-1,FALSE))</x:f>
        <x:v>0</x:v>
      </x:c>
      <x:c r="G836">
        <x:f ca="1">IF(AND($B$1012=1,LEN($G$1817)&gt;0),$G$1817,HLOOKUP(INDIRECT(ADDRESS(2,COLUMN())),OFFSET($T$2,0,0,ROW()-1,14),ROW()-1,FALSE))</x:f>
        <x:v>0</x:v>
      </x:c>
      <x:c r="H836">
        <x:f ca="1">IF(AND($B$1012=1,LEN($H$1817)&gt;0),$H$1817,HLOOKUP(INDIRECT(ADDRESS(2,COLUMN())),OFFSET($T$2,0,0,ROW()-1,14),ROW()-1,FALSE))</x:f>
        <x:v>-0.90000199999999997</x:v>
      </x:c>
      <x:c r="I836">
        <x:f ca="1">IF(AND($B$1012=1,LEN($I$1817)&gt;0),$I$1817,HLOOKUP(INDIRECT(ADDRESS(2,COLUMN())),OFFSET($T$2,0,0,ROW()-1,14),ROW()-1,FALSE))</x:f>
        <x:v>-0.42833700000000002</x:v>
      </x:c>
      <x:c r="J836">
        <x:f ca="1">IF(AND($B$1012=1,LEN($J$1817)&gt;0),$J$1817,HLOOKUP(INDIRECT(ADDRESS(2,COLUMN())),OFFSET($T$2,0,0,ROW()-1,14),ROW()-1,FALSE))</x:f>
        <x:v>0</x:v>
      </x:c>
      <x:c r="K836">
        <x:f ca="1">IF(AND($B$1012=1,LEN($K$1817)&gt;0),$K$1817,HLOOKUP(INDIRECT(ADDRESS(2,COLUMN())),OFFSET($T$2,0,0,ROW()-1,14),ROW()-1,FALSE))</x:f>
        <x:v>1.428E-3</x:v>
      </x:c>
      <x:c r="L836">
        <x:f ca="1">IF(AND($B$1012=1,LEN($L$1817)&gt;0),$L$1817,HLOOKUP(INDIRECT(ADDRESS(2,COLUMN())),OFFSET($T$2,0,0,ROW()-1,14),ROW()-1,FALSE))</x:f>
        <x:v>0.27965000000000001</x:v>
      </x:c>
      <x:c r="M836">
        <x:f ca="1">IF(AND($B$1012=1,LEN($M$1817)&gt;0),$M$1817,HLOOKUP(INDIRECT(ADDRESS(2,COLUMN())),OFFSET($T$2,0,0,ROW()-1,14),ROW()-1,FALSE))</x:f>
        <x:v>0.43174099999999999</x:v>
      </x:c>
      <x:c r="N836">
        <x:f ca="1">IF(AND($B$1012=1,LEN($N$1817)&gt;0),$N$1817,HLOOKUP(INDIRECT(ADDRESS(2,COLUMN())),OFFSET($T$2,0,0,ROW()-1,14),ROW()-1,FALSE))</x:f>
        <x:v>0</x:v>
      </x:c>
      <x:c r="O836">
        <x:f ca="1">IF(AND($B$1012=1,LEN($O$1817)&gt;0),$O$1817,HLOOKUP(INDIRECT(ADDRESS(2,COLUMN())),OFFSET($T$2,0,0,ROW()-1,14),ROW()-1,FALSE))</x:f>
        <x:v>0</x:v>
      </x:c>
      <x:c r="P836">
        <x:f ca="1">IF(AND($B$1012=1,LEN($P$1817)&gt;0),$P$1817,HLOOKUP(INDIRECT(ADDRESS(2,COLUMN())),OFFSET($T$2,0,0,ROW()-1,14),ROW()-1,FALSE))</x:f>
        <x:v>0</x:v>
      </x:c>
      <x:c r="Q836">
        <x:f ca="1">IF(AND($B$1012=1,LEN($Q$1817)&gt;0),$Q$1817,HLOOKUP(INDIRECT(ADDRESS(2,COLUMN())),OFFSET($T$2,0,0,ROW()-1,14),ROW()-1,FALSE))</x:f>
        <x:v>-0.53755299999999995</x:v>
      </x:c>
      <x:c r="R836">
        <x:f ca="1">IF(AND($B$1012=1,LEN($R$1817)&gt;0),$R$1817,HLOOKUP(INDIRECT(ADDRESS(2,COLUMN())),OFFSET($T$2,0,0,ROW()-1,14),ROW()-1,FALSE))</x:f>
        <x:v>0</x:v>
      </x:c>
      <x:c r="S836">
        <x:f ca="1">IF(AND($B$1012=1,LEN($S$1817)&gt;0),$S$1817,HLOOKUP(INDIRECT(ADDRESS(2,COLUMN())),OFFSET($T$2,0,0,ROW()-1,14),ROW()-1,FALSE))</x:f>
        <x:v>-0.24135599999999999</x:v>
      </x:c>
      <x:c r="T836">
        <x:f>0</x:f>
        <x:v>0</x:v>
      </x:c>
      <x:c r="U836">
        <x:f>0</x:f>
        <x:v>0</x:v>
      </x:c>
      <x:c r="V836">
        <x:f>-0.900002</x:f>
        <x:v>-0.90000199999999997</x:v>
      </x:c>
      <x:c r="W836">
        <x:f>-0.428337</x:f>
        <x:v>-0.42833700000000002</x:v>
      </x:c>
      <x:c r="X836">
        <x:f>0</x:f>
        <x:v>0</x:v>
      </x:c>
      <x:c r="Y836">
        <x:f>0.001428</x:f>
        <x:v>1.428E-3</x:v>
      </x:c>
      <x:c r="Z836">
        <x:f>0.27965</x:f>
        <x:v>0.27965000000000001</x:v>
      </x:c>
      <x:c r="AA836">
        <x:f>0.431741</x:f>
        <x:v>0.43174099999999999</x:v>
      </x:c>
      <x:c r="AB836">
        <x:f>0</x:f>
        <x:v>0</x:v>
      </x:c>
      <x:c r="AC836">
        <x:f>0</x:f>
        <x:v>0</x:v>
      </x:c>
      <x:c r="AD836">
        <x:f>0</x:f>
        <x:v>0</x:v>
      </x:c>
      <x:c r="AE836">
        <x:f>-0.537553</x:f>
        <x:v>-0.53755299999999995</x:v>
      </x:c>
      <x:c r="AF836">
        <x:f>0</x:f>
        <x:v>0</x:v>
      </x:c>
      <x:c r="AG836">
        <x:f>-0.241356</x:f>
        <x:v>-0.24135599999999999</x:v>
      </x:c>
    </x:row>
    <x:row r="837" spans="1:33" x14ac:dyDescent="0.25">
      <x:c r="A837" t="str">
        <x:f>"            AdvisorShares Pure US Cannabis"</x:f>
        <x:v xml:space="preserve">            AdvisorShares Pure US Cannabis</x:v>
      </x:c>
      <x:c r="B837" t="str">
        <x:f>"MSOS US Equity"</x:f>
        <x:v>MSOS US Equity</x:v>
      </x:c>
      <x:c r="E837" t="str">
        <x:f t="shared" si="34"/>
        <x:v>Expression</x:v>
      </x:c>
      <x:c r="F837">
        <x:f ca="1">IF(AND($B$1012=1,LEN($F$1818)&gt;0),$F$1818,HLOOKUP(INDIRECT(ADDRESS(2,COLUMN())),OFFSET($T$2,0,0,ROW()-1,14),ROW()-1,FALSE))</x:f>
        <x:v>-1.3144849999999999</x:v>
      </x:c>
      <x:c r="G837">
        <x:f ca="1">IF(AND($B$1012=1,LEN($G$1818)&gt;0),$G$1818,HLOOKUP(INDIRECT(ADDRESS(2,COLUMN())),OFFSET($T$2,0,0,ROW()-1,14),ROW()-1,FALSE))</x:f>
        <x:v>59.309980000000003</x:v>
      </x:c>
      <x:c r="H837">
        <x:f ca="1">IF(AND($B$1012=1,LEN($H$1818)&gt;0),$H$1818,HLOOKUP(INDIRECT(ADDRESS(2,COLUMN())),OFFSET($T$2,0,0,ROW()-1,14),ROW()-1,FALSE))</x:f>
        <x:v>45.457476999999997</x:v>
      </x:c>
      <x:c r="I837">
        <x:f ca="1">IF(AND($B$1012=1,LEN($I$1818)&gt;0),$I$1818,HLOOKUP(INDIRECT(ADDRESS(2,COLUMN())),OFFSET($T$2,0,0,ROW()-1,14),ROW()-1,FALSE))</x:f>
        <x:v>20.894870000000001</x:v>
      </x:c>
      <x:c r="J837">
        <x:f ca="1">IF(AND($B$1012=1,LEN($J$1818)&gt;0),$J$1818,HLOOKUP(INDIRECT(ADDRESS(2,COLUMN())),OFFSET($T$2,0,0,ROW()-1,14),ROW()-1,FALSE))</x:f>
        <x:v>11.702921</x:v>
      </x:c>
      <x:c r="K837">
        <x:f ca="1">IF(AND($B$1012=1,LEN($K$1818)&gt;0),$K$1818,HLOOKUP(INDIRECT(ADDRESS(2,COLUMN())),OFFSET($T$2,0,0,ROW()-1,14),ROW()-1,FALSE))</x:f>
        <x:v>5.5464349999999998</x:v>
      </x:c>
      <x:c r="L837">
        <x:f ca="1">IF(AND($B$1012=1,LEN($L$1818)&gt;0),$L$1818,HLOOKUP(INDIRECT(ADDRESS(2,COLUMN())),OFFSET($T$2,0,0,ROW()-1,14),ROW()-1,FALSE))</x:f>
        <x:v>10.205985</x:v>
      </x:c>
      <x:c r="M837">
        <x:f ca="1">IF(AND($B$1012=1,LEN($M$1818)&gt;0),$M$1818,HLOOKUP(INDIRECT(ADDRESS(2,COLUMN())),OFFSET($T$2,0,0,ROW()-1,14),ROW()-1,FALSE))</x:f>
        <x:v>1.6662809999999999</x:v>
      </x:c>
      <x:c r="N837">
        <x:f ca="1">IF(AND($B$1012=1,LEN($N$1818)&gt;0),$N$1818,HLOOKUP(INDIRECT(ADDRESS(2,COLUMN())),OFFSET($T$2,0,0,ROW()-1,14),ROW()-1,FALSE))</x:f>
        <x:v>-3.1768839999999998</x:v>
      </x:c>
      <x:c r="O837">
        <x:f ca="1">IF(AND($B$1012=1,LEN($O$1818)&gt;0),$O$1818,HLOOKUP(INDIRECT(ADDRESS(2,COLUMN())),OFFSET($T$2,0,0,ROW()-1,14),ROW()-1,FALSE))</x:f>
        <x:v>3.102293</x:v>
      </x:c>
      <x:c r="P837">
        <x:f ca="1">IF(AND($B$1012=1,LEN($P$1818)&gt;0),$P$1818,HLOOKUP(INDIRECT(ADDRESS(2,COLUMN())),OFFSET($T$2,0,0,ROW()-1,14),ROW()-1,FALSE))</x:f>
        <x:v>-21.722391999999999</x:v>
      </x:c>
      <x:c r="Q837">
        <x:f ca="1">IF(AND($B$1012=1,LEN($Q$1818)&gt;0),$Q$1818,HLOOKUP(INDIRECT(ADDRESS(2,COLUMN())),OFFSET($T$2,0,0,ROW()-1,14),ROW()-1,FALSE))</x:f>
        <x:v>3.2176070000000001</x:v>
      </x:c>
      <x:c r="R837">
        <x:f ca="1">IF(AND($B$1012=1,LEN($R$1818)&gt;0),$R$1818,HLOOKUP(INDIRECT(ADDRESS(2,COLUMN())),OFFSET($T$2,0,0,ROW()-1,14),ROW()-1,FALSE))</x:f>
        <x:v>61.575138000000003</x:v>
      </x:c>
      <x:c r="S837">
        <x:f ca="1">IF(AND($B$1012=1,LEN($S$1818)&gt;0),$S$1818,HLOOKUP(INDIRECT(ADDRESS(2,COLUMN())),OFFSET($T$2,0,0,ROW()-1,14),ROW()-1,FALSE))</x:f>
        <x:v>50.880695000000003</x:v>
      </x:c>
      <x:c r="T837">
        <x:f>-1.314485</x:f>
        <x:v>-1.3144849999999999</x:v>
      </x:c>
      <x:c r="U837">
        <x:f>59.30998</x:f>
        <x:v>59.309980000000003</x:v>
      </x:c>
      <x:c r="V837">
        <x:f>45.457477</x:f>
        <x:v>45.457476999999997</x:v>
      </x:c>
      <x:c r="W837">
        <x:f>20.89487</x:f>
        <x:v>20.894870000000001</x:v>
      </x:c>
      <x:c r="X837">
        <x:f>11.702921</x:f>
        <x:v>11.702921</x:v>
      </x:c>
      <x:c r="Y837">
        <x:f>5.546435</x:f>
        <x:v>5.5464349999999998</x:v>
      </x:c>
      <x:c r="Z837">
        <x:f>10.205985</x:f>
        <x:v>10.205985</x:v>
      </x:c>
      <x:c r="AA837">
        <x:f>1.666281</x:f>
        <x:v>1.6662809999999999</x:v>
      </x:c>
      <x:c r="AB837">
        <x:f>-3.176884</x:f>
        <x:v>-3.1768839999999998</x:v>
      </x:c>
      <x:c r="AC837">
        <x:f>3.102293</x:f>
        <x:v>3.102293</x:v>
      </x:c>
      <x:c r="AD837">
        <x:f>-21.722392</x:f>
        <x:v>-21.722391999999999</x:v>
      </x:c>
      <x:c r="AE837">
        <x:f>3.217607</x:f>
        <x:v>3.2176070000000001</x:v>
      </x:c>
      <x:c r="AF837">
        <x:f>61.575138</x:f>
        <x:v>61.575138000000003</x:v>
      </x:c>
      <x:c r="AG837">
        <x:f>50.880695</x:f>
        <x:v>50.880695000000003</x:v>
      </x:c>
    </x:row>
    <x:row r="838" spans="1:33" x14ac:dyDescent="0.25">
      <x:c r="A838" t="str">
        <x:f>"            ETFMG US Alternative Harvest E"</x:f>
        <x:v xml:space="preserve">            ETFMG US Alternative Harvest E</x:v>
      </x:c>
      <x:c r="B838" t="str">
        <x:f>"MJUS US Equity"</x:f>
        <x:v>MJUS US Equity</x:v>
      </x:c>
      <x:c r="E838" t="str">
        <x:f t="shared" si="34"/>
        <x:v>Expression</x:v>
      </x:c>
      <x:c r="F838">
        <x:f ca="1">IF(AND($B$1012=1,LEN($F$1819)&gt;0),$F$1819,HLOOKUP(INDIRECT(ADDRESS(2,COLUMN())),OFFSET($T$2,0,0,ROW()-1,14),ROW()-1,FALSE))</x:f>
        <x:v>0</x:v>
      </x:c>
      <x:c r="G838">
        <x:f ca="1">IF(AND($B$1012=1,LEN($G$1819)&gt;0),$G$1819,HLOOKUP(INDIRECT(ADDRESS(2,COLUMN())),OFFSET($T$2,0,0,ROW()-1,14),ROW()-1,FALSE))</x:f>
        <x:v>0</x:v>
      </x:c>
      <x:c r="H838">
        <x:f ca="1">IF(AND($B$1012=1,LEN($H$1819)&gt;0),$H$1819,HLOOKUP(INDIRECT(ADDRESS(2,COLUMN())),OFFSET($T$2,0,0,ROW()-1,14),ROW()-1,FALSE))</x:f>
        <x:v>0.27356000000000003</x:v>
      </x:c>
      <x:c r="I838">
        <x:f ca="1">IF(AND($B$1012=1,LEN($I$1819)&gt;0),$I$1819,HLOOKUP(INDIRECT(ADDRESS(2,COLUMN())),OFFSET($T$2,0,0,ROW()-1,14),ROW()-1,FALSE))</x:f>
        <x:v>-11.816224</x:v>
      </x:c>
      <x:c r="J838">
        <x:f ca="1">IF(AND($B$1012=1,LEN($J$1819)&gt;0),$J$1819,HLOOKUP(INDIRECT(ADDRESS(2,COLUMN())),OFFSET($T$2,0,0,ROW()-1,14),ROW()-1,FALSE))</x:f>
        <x:v>0.32749200000000001</x:v>
      </x:c>
      <x:c r="K838">
        <x:f ca="1">IF(AND($B$1012=1,LEN($K$1819)&gt;0),$K$1819,HLOOKUP(INDIRECT(ADDRESS(2,COLUMN())),OFFSET($T$2,0,0,ROW()-1,14),ROW()-1,FALSE))</x:f>
        <x:v>0.33354699999999998</x:v>
      </x:c>
      <x:c r="L838">
        <x:f ca="1">IF(AND($B$1012=1,LEN($L$1819)&gt;0),$L$1819,HLOOKUP(INDIRECT(ADDRESS(2,COLUMN())),OFFSET($T$2,0,0,ROW()-1,14),ROW()-1,FALSE))</x:f>
        <x:v>-6.3497849999999998</x:v>
      </x:c>
      <x:c r="M838">
        <x:f ca="1">IF(AND($B$1012=1,LEN($M$1819)&gt;0),$M$1819,HLOOKUP(INDIRECT(ADDRESS(2,COLUMN())),OFFSET($T$2,0,0,ROW()-1,14),ROW()-1,FALSE))</x:f>
        <x:v>1.23031</x:v>
      </x:c>
      <x:c r="N838">
        <x:f ca="1">IF(AND($B$1012=1,LEN($N$1819)&gt;0),$N$1819,HLOOKUP(INDIRECT(ADDRESS(2,COLUMN())),OFFSET($T$2,0,0,ROW()-1,14),ROW()-1,FALSE))</x:f>
        <x:v>57.000639999999997</x:v>
      </x:c>
      <x:c r="O838">
        <x:f ca="1">IF(AND($B$1012=1,LEN($O$1819)&gt;0),$O$1819,HLOOKUP(INDIRECT(ADDRESS(2,COLUMN())),OFFSET($T$2,0,0,ROW()-1,14),ROW()-1,FALSE))</x:f>
        <x:v>26.001345000000001</x:v>
      </x:c>
      <x:c r="P838">
        <x:f ca="1">IF(AND($B$1012=1,LEN($P$1819)&gt;0),$P$1819,HLOOKUP(INDIRECT(ADDRESS(2,COLUMN())),OFFSET($T$2,0,0,ROW()-1,14),ROW()-1,FALSE))</x:f>
        <x:v>2.5930149999999998</x:v>
      </x:c>
      <x:c r="Q838">
        <x:f ca="1">IF(AND($B$1012=1,LEN($Q$1819)&gt;0),$Q$1819,HLOOKUP(INDIRECT(ADDRESS(2,COLUMN())),OFFSET($T$2,0,0,ROW()-1,14),ROW()-1,FALSE))</x:f>
        <x:v>0.57575500000000002</x:v>
      </x:c>
      <x:c r="R838">
        <x:f ca="1">IF(AND($B$1012=1,LEN($R$1819)&gt;0),$R$1819,HLOOKUP(INDIRECT(ADDRESS(2,COLUMN())),OFFSET($T$2,0,0,ROW()-1,14),ROW()-1,FALSE))</x:f>
        <x:v>-9.2950859999999995</x:v>
      </x:c>
      <x:c r="S838">
        <x:f ca="1">IF(AND($B$1012=1,LEN($S$1819)&gt;0),$S$1819,HLOOKUP(INDIRECT(ADDRESS(2,COLUMN())),OFFSET($T$2,0,0,ROW()-1,14),ROW()-1,FALSE))</x:f>
        <x:v>2.3524799999999999</x:v>
      </x:c>
      <x:c r="T838">
        <x:f>0</x:f>
        <x:v>0</x:v>
      </x:c>
      <x:c r="U838">
        <x:f>0</x:f>
        <x:v>0</x:v>
      </x:c>
      <x:c r="V838">
        <x:f>0.27356</x:f>
        <x:v>0.27356000000000003</x:v>
      </x:c>
      <x:c r="W838">
        <x:f>-11.816224</x:f>
        <x:v>-11.816224</x:v>
      </x:c>
      <x:c r="X838">
        <x:f>0.327492</x:f>
        <x:v>0.32749200000000001</x:v>
      </x:c>
      <x:c r="Y838">
        <x:f>0.333547</x:f>
        <x:v>0.33354699999999998</x:v>
      </x:c>
      <x:c r="Z838">
        <x:f>-6.349785</x:f>
        <x:v>-6.3497849999999998</x:v>
      </x:c>
      <x:c r="AA838">
        <x:f>1.23031</x:f>
        <x:v>1.23031</x:v>
      </x:c>
      <x:c r="AB838">
        <x:f>57.00064</x:f>
        <x:v>57.000639999999997</x:v>
      </x:c>
      <x:c r="AC838">
        <x:f>26.001345</x:f>
        <x:v>26.001345000000001</x:v>
      </x:c>
      <x:c r="AD838">
        <x:f>2.593015</x:f>
        <x:v>2.5930149999999998</x:v>
      </x:c>
      <x:c r="AE838">
        <x:f>0.575755</x:f>
        <x:v>0.57575500000000002</x:v>
      </x:c>
      <x:c r="AF838">
        <x:f>-9.295086</x:f>
        <x:v>-9.2950859999999995</x:v>
      </x:c>
      <x:c r="AG838">
        <x:f>2.35248</x:f>
        <x:v>2.3524799999999999</x:v>
      </x:c>
    </x:row>
    <x:row r="839" spans="1:33" x14ac:dyDescent="0.25">
      <x:c r="A839" t="str">
        <x:f>"            ETFMG 2X Daily Alternative Har"</x:f>
        <x:v xml:space="preserve">            ETFMG 2X Daily Alternative Har</x:v>
      </x:c>
      <x:c r="B839" t="str">
        <x:f>"MJXL US Equity"</x:f>
        <x:v>MJXL US Equity</x:v>
      </x:c>
      <x:c r="E839" t="str">
        <x:f t="shared" si="34"/>
        <x:v>Expression</x:v>
      </x:c>
      <x:c r="F839" t="str">
        <x:f ca="1">IF(AND($B$1012=1,LEN($F$1820)&gt;0),$F$1820,HLOOKUP(INDIRECT(ADDRESS(2,COLUMN())),OFFSET($T$2,0,0,ROW()-1,14),ROW()-1,FALSE))</x:f>
        <x:v/>
      </x:c>
      <x:c r="G839" t="str">
        <x:f ca="1">IF(AND($B$1012=1,LEN($G$1820)&gt;0),$G$1820,HLOOKUP(INDIRECT(ADDRESS(2,COLUMN())),OFFSET($T$2,0,0,ROW()-1,14),ROW()-1,FALSE))</x:f>
        <x:v/>
      </x:c>
      <x:c r="H839" t="str">
        <x:f ca="1">IF(AND($B$1012=1,LEN($H$1820)&gt;0),$H$1820,HLOOKUP(INDIRECT(ADDRESS(2,COLUMN())),OFFSET($T$2,0,0,ROW()-1,14),ROW()-1,FALSE))</x:f>
        <x:v/>
      </x:c>
      <x:c r="I839" t="str">
        <x:f ca="1">IF(AND($B$1012=1,LEN($I$1820)&gt;0),$I$1820,HLOOKUP(INDIRECT(ADDRESS(2,COLUMN())),OFFSET($T$2,0,0,ROW()-1,14),ROW()-1,FALSE))</x:f>
        <x:v/>
      </x:c>
      <x:c r="J839" t="str">
        <x:f ca="1">IF(AND($B$1012=1,LEN($J$1820)&gt;0),$J$1820,HLOOKUP(INDIRECT(ADDRESS(2,COLUMN())),OFFSET($T$2,0,0,ROW()-1,14),ROW()-1,FALSE))</x:f>
        <x:v/>
      </x:c>
      <x:c r="K839" t="str">
        <x:f ca="1">IF(AND($B$1012=1,LEN($K$1820)&gt;0),$K$1820,HLOOKUP(INDIRECT(ADDRESS(2,COLUMN())),OFFSET($T$2,0,0,ROW()-1,14),ROW()-1,FALSE))</x:f>
        <x:v/>
      </x:c>
      <x:c r="L839" t="str">
        <x:f ca="1">IF(AND($B$1012=1,LEN($L$1820)&gt;0),$L$1820,HLOOKUP(INDIRECT(ADDRESS(2,COLUMN())),OFFSET($T$2,0,0,ROW()-1,14),ROW()-1,FALSE))</x:f>
        <x:v/>
      </x:c>
      <x:c r="M839" t="str">
        <x:f ca="1">IF(AND($B$1012=1,LEN($M$1820)&gt;0),$M$1820,HLOOKUP(INDIRECT(ADDRESS(2,COLUMN())),OFFSET($T$2,0,0,ROW()-1,14),ROW()-1,FALSE))</x:f>
        <x:v/>
      </x:c>
      <x:c r="N839" t="str">
        <x:f ca="1">IF(AND($B$1012=1,LEN($N$1820)&gt;0),$N$1820,HLOOKUP(INDIRECT(ADDRESS(2,COLUMN())),OFFSET($T$2,0,0,ROW()-1,14),ROW()-1,FALSE))</x:f>
        <x:v/>
      </x:c>
      <x:c r="O839" t="str">
        <x:f ca="1">IF(AND($B$1012=1,LEN($O$1820)&gt;0),$O$1820,HLOOKUP(INDIRECT(ADDRESS(2,COLUMN())),OFFSET($T$2,0,0,ROW()-1,14),ROW()-1,FALSE))</x:f>
        <x:v/>
      </x:c>
      <x:c r="P839" t="str">
        <x:f ca="1">IF(AND($B$1012=1,LEN($P$1820)&gt;0),$P$1820,HLOOKUP(INDIRECT(ADDRESS(2,COLUMN())),OFFSET($T$2,0,0,ROW()-1,14),ROW()-1,FALSE))</x:f>
        <x:v/>
      </x:c>
      <x:c r="Q839">
        <x:f ca="1">IF(AND($B$1012=1,LEN($Q$1820)&gt;0),$Q$1820,HLOOKUP(INDIRECT(ADDRESS(2,COLUMN())),OFFSET($T$2,0,0,ROW()-1,14),ROW()-1,FALSE))</x:f>
        <x:v>3.7547999999999998E-2</x:v>
      </x:c>
      <x:c r="R839">
        <x:f ca="1">IF(AND($B$1012=1,LEN($R$1820)&gt;0),$R$1820,HLOOKUP(INDIRECT(ADDRESS(2,COLUMN())),OFFSET($T$2,0,0,ROW()-1,14),ROW()-1,FALSE))</x:f>
        <x:v>5.6590000000000001E-2</x:v>
      </x:c>
      <x:c r="S839">
        <x:f ca="1">IF(AND($B$1012=1,LEN($S$1820)&gt;0),$S$1820,HLOOKUP(INDIRECT(ADDRESS(2,COLUMN())),OFFSET($T$2,0,0,ROW()-1,14),ROW()-1,FALSE))</x:f>
        <x:v>2.8164000000000002E-2</x:v>
      </x:c>
      <x:c r="T839" t="str">
        <x:f>""</x:f>
        <x:v/>
      </x:c>
      <x:c r="U839" t="str">
        <x:f>""</x:f>
        <x:v/>
      </x:c>
      <x:c r="V839" t="str">
        <x:f>""</x:f>
        <x:v/>
      </x:c>
      <x:c r="W839" t="str">
        <x:f>""</x:f>
        <x:v/>
      </x:c>
      <x:c r="X839" t="str">
        <x:f>""</x:f>
        <x:v/>
      </x:c>
      <x:c r="Y839" t="str">
        <x:f>""</x:f>
        <x:v/>
      </x:c>
      <x:c r="Z839" t="str">
        <x:f>""</x:f>
        <x:v/>
      </x:c>
      <x:c r="AA839" t="str">
        <x:f>""</x:f>
        <x:v/>
      </x:c>
      <x:c r="AB839" t="str">
        <x:f>""</x:f>
        <x:v/>
      </x:c>
      <x:c r="AC839" t="str">
        <x:f>""</x:f>
        <x:v/>
      </x:c>
      <x:c r="AD839" t="str">
        <x:f>""</x:f>
        <x:v/>
      </x:c>
      <x:c r="AE839">
        <x:f>0.037548</x:f>
        <x:v>3.7547999999999998E-2</x:v>
      </x:c>
      <x:c r="AF839">
        <x:f>0.05659</x:f>
        <x:v>5.6590000000000001E-2</x:v>
      </x:c>
      <x:c r="AG839">
        <x:f>0.028164</x:f>
        <x:v>2.8164000000000002E-2</x:v>
      </x:c>
    </x:row>
    <x:row r="840" spans="1:33" x14ac:dyDescent="0.25">
      <x:c r="A840" t="str">
        <x:f>"            Defiance Next Gen Altered Expe"</x:f>
        <x:v xml:space="preserve">            Defiance Next Gen Altered Expe</x:v>
      </x:c>
      <x:c r="B840" t="str">
        <x:f>"PSY US Equity"</x:f>
        <x:v>PSY US Equity</x:v>
      </x:c>
      <x:c r="E840" t="str">
        <x:f t="shared" si="34"/>
        <x:v>Expression</x:v>
      </x:c>
      <x:c r="F840" t="str">
        <x:f ca="1">IF(AND($B$1012=1,LEN($F$1821)&gt;0),$F$1821,HLOOKUP(INDIRECT(ADDRESS(2,COLUMN())),OFFSET($T$2,0,0,ROW()-1,14),ROW()-1,FALSE))</x:f>
        <x:v/>
      </x:c>
      <x:c r="G840" t="str">
        <x:f ca="1">IF(AND($B$1012=1,LEN($G$1821)&gt;0),$G$1821,HLOOKUP(INDIRECT(ADDRESS(2,COLUMN())),OFFSET($T$2,0,0,ROW()-1,14),ROW()-1,FALSE))</x:f>
        <x:v/>
      </x:c>
      <x:c r="H840" t="str">
        <x:f ca="1">IF(AND($B$1012=1,LEN($H$1821)&gt;0),$H$1821,HLOOKUP(INDIRECT(ADDRESS(2,COLUMN())),OFFSET($T$2,0,0,ROW()-1,14),ROW()-1,FALSE))</x:f>
        <x:v/>
      </x:c>
      <x:c r="I840" t="str">
        <x:f ca="1">IF(AND($B$1012=1,LEN($I$1821)&gt;0),$I$1821,HLOOKUP(INDIRECT(ADDRESS(2,COLUMN())),OFFSET($T$2,0,0,ROW()-1,14),ROW()-1,FALSE))</x:f>
        <x:v/>
      </x:c>
      <x:c r="J840" t="str">
        <x:f ca="1">IF(AND($B$1012=1,LEN($J$1821)&gt;0),$J$1821,HLOOKUP(INDIRECT(ADDRESS(2,COLUMN())),OFFSET($T$2,0,0,ROW()-1,14),ROW()-1,FALSE))</x:f>
        <x:v/>
      </x:c>
      <x:c r="K840" t="str">
        <x:f ca="1">IF(AND($B$1012=1,LEN($K$1821)&gt;0),$K$1821,HLOOKUP(INDIRECT(ADDRESS(2,COLUMN())),OFFSET($T$2,0,0,ROW()-1,14),ROW()-1,FALSE))</x:f>
        <x:v/>
      </x:c>
      <x:c r="L840" t="str">
        <x:f ca="1">IF(AND($B$1012=1,LEN($L$1821)&gt;0),$L$1821,HLOOKUP(INDIRECT(ADDRESS(2,COLUMN())),OFFSET($T$2,0,0,ROW()-1,14),ROW()-1,FALSE))</x:f>
        <x:v/>
      </x:c>
      <x:c r="M840" t="str">
        <x:f ca="1">IF(AND($B$1012=1,LEN($M$1821)&gt;0),$M$1821,HLOOKUP(INDIRECT(ADDRESS(2,COLUMN())),OFFSET($T$2,0,0,ROW()-1,14),ROW()-1,FALSE))</x:f>
        <x:v/>
      </x:c>
      <x:c r="N840" t="str">
        <x:f ca="1">IF(AND($B$1012=1,LEN($N$1821)&gt;0),$N$1821,HLOOKUP(INDIRECT(ADDRESS(2,COLUMN())),OFFSET($T$2,0,0,ROW()-1,14),ROW()-1,FALSE))</x:f>
        <x:v/>
      </x:c>
      <x:c r="O840" t="str">
        <x:f ca="1">IF(AND($B$1012=1,LEN($O$1821)&gt;0),$O$1821,HLOOKUP(INDIRECT(ADDRESS(2,COLUMN())),OFFSET($T$2,0,0,ROW()-1,14),ROW()-1,FALSE))</x:f>
        <x:v/>
      </x:c>
      <x:c r="P840" t="str">
        <x:f ca="1">IF(AND($B$1012=1,LEN($P$1821)&gt;0),$P$1821,HLOOKUP(INDIRECT(ADDRESS(2,COLUMN())),OFFSET($T$2,0,0,ROW()-1,14),ROW()-1,FALSE))</x:f>
        <x:v/>
      </x:c>
      <x:c r="Q840" t="str">
        <x:f ca="1">IF(AND($B$1012=1,LEN($Q$1821)&gt;0),$Q$1821,HLOOKUP(INDIRECT(ADDRESS(2,COLUMN())),OFFSET($T$2,0,0,ROW()-1,14),ROW()-1,FALSE))</x:f>
        <x:v/>
      </x:c>
      <x:c r="R840" t="str">
        <x:f ca="1">IF(AND($B$1012=1,LEN($R$1821)&gt;0),$R$1821,HLOOKUP(INDIRECT(ADDRESS(2,COLUMN())),OFFSET($T$2,0,0,ROW()-1,14),ROW()-1,FALSE))</x:f>
        <x:v/>
      </x:c>
      <x:c r="S840" t="str">
        <x:f ca="1">IF(AND($B$1012=1,LEN($S$1821)&gt;0),$S$1821,HLOOKUP(INDIRECT(ADDRESS(2,COLUMN())),OFFSET($T$2,0,0,ROW()-1,14),ROW()-1,FALSE))</x:f>
        <x:v/>
      </x:c>
      <x:c r="T840" t="str">
        <x:f>""</x:f>
        <x:v/>
      </x:c>
      <x:c r="U840" t="str">
        <x:f>""</x:f>
        <x:v/>
      </x:c>
      <x:c r="V840" t="str">
        <x:f>""</x:f>
        <x:v/>
      </x:c>
      <x:c r="W840" t="str">
        <x:f>""</x:f>
        <x:v/>
      </x:c>
      <x:c r="X840" t="str">
        <x:f>""</x:f>
        <x:v/>
      </x:c>
      <x:c r="Y840" t="str">
        <x:f>""</x:f>
        <x:v/>
      </x:c>
      <x:c r="Z840" t="str">
        <x:f>""</x:f>
        <x:v/>
      </x:c>
      <x:c r="AA840" t="str">
        <x:f>""</x:f>
        <x:v/>
      </x:c>
      <x:c r="AB840" t="str">
        <x:f>""</x:f>
        <x:v/>
      </x:c>
      <x:c r="AC840" t="str">
        <x:f>""</x:f>
        <x:v/>
      </x:c>
      <x:c r="AD840" t="str">
        <x:f>""</x:f>
        <x:v/>
      </x:c>
      <x:c r="AE840" t="str">
        <x:f>""</x:f>
        <x:v/>
      </x:c>
      <x:c r="AF840" t="str">
        <x:f>""</x:f>
        <x:v/>
      </x:c>
      <x:c r="AG840" t="str">
        <x:f>""</x:f>
        <x:v/>
      </x:c>
    </x:row>
    <x:row r="841" spans="1:33" x14ac:dyDescent="0.25">
      <x:c r="A841" t="str">
        <x:f>"            Advisorshares Psychedelics ETF"</x:f>
        <x:v xml:space="preserve">            Advisorshares Psychedelics ETF</x:v>
      </x:c>
      <x:c r="B841" t="str">
        <x:f>"PSIL US Equity"</x:f>
        <x:v>PSIL US Equity</x:v>
      </x:c>
      <x:c r="E841" t="str">
        <x:f t="shared" si="34"/>
        <x:v>Expression</x:v>
      </x:c>
      <x:c r="F841">
        <x:f ca="1">IF(AND($B$1012=1,LEN($F$1822)&gt;0),$F$1822,HLOOKUP(INDIRECT(ADDRESS(2,COLUMN())),OFFSET($T$2,0,0,ROW()-1,14),ROW()-1,FALSE))</x:f>
        <x:v>0</x:v>
      </x:c>
      <x:c r="G841">
        <x:f ca="1">IF(AND($B$1012=1,LEN($G$1822)&gt;0),$G$1822,HLOOKUP(INDIRECT(ADDRESS(2,COLUMN())),OFFSET($T$2,0,0,ROW()-1,14),ROW()-1,FALSE))</x:f>
        <x:v>0.40612599999999999</x:v>
      </x:c>
      <x:c r="H841">
        <x:f ca="1">IF(AND($B$1012=1,LEN($H$1822)&gt;0),$H$1822,HLOOKUP(INDIRECT(ADDRESS(2,COLUMN())),OFFSET($T$2,0,0,ROW()-1,14),ROW()-1,FALSE))</x:f>
        <x:v>0.278003</x:v>
      </x:c>
      <x:c r="I841">
        <x:f ca="1">IF(AND($B$1012=1,LEN($I$1822)&gt;0),$I$1822,HLOOKUP(INDIRECT(ADDRESS(2,COLUMN())),OFFSET($T$2,0,0,ROW()-1,14),ROW()-1,FALSE))</x:f>
        <x:v>6.9855E-2</x:v>
      </x:c>
      <x:c r="J841">
        <x:f ca="1">IF(AND($B$1012=1,LEN($J$1822)&gt;0),$J$1822,HLOOKUP(INDIRECT(ADDRESS(2,COLUMN())),OFFSET($T$2,0,0,ROW()-1,14),ROW()-1,FALSE))</x:f>
        <x:v>0.43521599999999999</x:v>
      </x:c>
      <x:c r="K841">
        <x:f ca="1">IF(AND($B$1012=1,LEN($K$1822)&gt;0),$K$1822,HLOOKUP(INDIRECT(ADDRESS(2,COLUMN())),OFFSET($T$2,0,0,ROW()-1,14),ROW()-1,FALSE))</x:f>
        <x:v>0.22117700000000001</x:v>
      </x:c>
      <x:c r="L841">
        <x:f ca="1">IF(AND($B$1012=1,LEN($L$1822)&gt;0),$L$1822,HLOOKUP(INDIRECT(ADDRESS(2,COLUMN())),OFFSET($T$2,0,0,ROW()-1,14),ROW()-1,FALSE))</x:f>
        <x:v>0.19356999999999999</x:v>
      </x:c>
      <x:c r="M841">
        <x:f ca="1">IF(AND($B$1012=1,LEN($M$1822)&gt;0),$M$1822,HLOOKUP(INDIRECT(ADDRESS(2,COLUMN())),OFFSET($T$2,0,0,ROW()-1,14),ROW()-1,FALSE))</x:f>
        <x:v>9.6782999999999994E-2</x:v>
      </x:c>
      <x:c r="N841">
        <x:f ca="1">IF(AND($B$1012=1,LEN($N$1822)&gt;0),$N$1822,HLOOKUP(INDIRECT(ADDRESS(2,COLUMN())),OFFSET($T$2,0,0,ROW()-1,14),ROW()-1,FALSE))</x:f>
        <x:v>0.15806999999999999</x:v>
      </x:c>
      <x:c r="O841">
        <x:f ca="1">IF(AND($B$1012=1,LEN($O$1822)&gt;0),$O$1822,HLOOKUP(INDIRECT(ADDRESS(2,COLUMN())),OFFSET($T$2,0,0,ROW()-1,14),ROW()-1,FALSE))</x:f>
        <x:v>0.17160300000000001</x:v>
      </x:c>
      <x:c r="P841">
        <x:f ca="1">IF(AND($B$1012=1,LEN($P$1822)&gt;0),$P$1822,HLOOKUP(INDIRECT(ADDRESS(2,COLUMN())),OFFSET($T$2,0,0,ROW()-1,14),ROW()-1,FALSE))</x:f>
        <x:v>0.131551</x:v>
      </x:c>
      <x:c r="Q841">
        <x:f ca="1">IF(AND($B$1012=1,LEN($Q$1822)&gt;0),$Q$1822,HLOOKUP(INDIRECT(ADDRESS(2,COLUMN())),OFFSET($T$2,0,0,ROW()-1,14),ROW()-1,FALSE))</x:f>
        <x:v>3.4542999999999997E-2</x:v>
      </x:c>
      <x:c r="R841">
        <x:f ca="1">IF(AND($B$1012=1,LEN($R$1822)&gt;0),$R$1822,HLOOKUP(INDIRECT(ADDRESS(2,COLUMN())),OFFSET($T$2,0,0,ROW()-1,14),ROW()-1,FALSE))</x:f>
        <x:v>0.25557999999999997</x:v>
      </x:c>
      <x:c r="S841">
        <x:f ca="1">IF(AND($B$1012=1,LEN($S$1822)&gt;0),$S$1822,HLOOKUP(INDIRECT(ADDRESS(2,COLUMN())),OFFSET($T$2,0,0,ROW()-1,14),ROW()-1,FALSE))</x:f>
        <x:v>0.35393400000000003</x:v>
      </x:c>
      <x:c r="T841">
        <x:f>0</x:f>
        <x:v>0</x:v>
      </x:c>
      <x:c r="U841">
        <x:f>0.406126</x:f>
        <x:v>0.40612599999999999</x:v>
      </x:c>
      <x:c r="V841">
        <x:f>0.278003</x:f>
        <x:v>0.278003</x:v>
      </x:c>
      <x:c r="W841">
        <x:f>0.069855</x:f>
        <x:v>6.9855E-2</x:v>
      </x:c>
      <x:c r="X841">
        <x:f>0.435216</x:f>
        <x:v>0.43521599999999999</x:v>
      </x:c>
      <x:c r="Y841">
        <x:f>0.221177</x:f>
        <x:v>0.22117700000000001</x:v>
      </x:c>
      <x:c r="Z841">
        <x:f>0.19357</x:f>
        <x:v>0.19356999999999999</x:v>
      </x:c>
      <x:c r="AA841">
        <x:f>0.096783</x:f>
        <x:v>9.6782999999999994E-2</x:v>
      </x:c>
      <x:c r="AB841">
        <x:f>0.15807</x:f>
        <x:v>0.15806999999999999</x:v>
      </x:c>
      <x:c r="AC841">
        <x:f>0.171603</x:f>
        <x:v>0.17160300000000001</x:v>
      </x:c>
      <x:c r="AD841">
        <x:f>0.131551</x:f>
        <x:v>0.131551</x:v>
      </x:c>
      <x:c r="AE841">
        <x:f>0.034543</x:f>
        <x:v>3.4542999999999997E-2</x:v>
      </x:c>
      <x:c r="AF841">
        <x:f>0.25558</x:f>
        <x:v>0.25557999999999997</x:v>
      </x:c>
      <x:c r="AG841">
        <x:f>0.353934</x:f>
        <x:v>0.35393400000000003</x:v>
      </x:c>
    </x:row>
    <x:row r="842" spans="1:33" x14ac:dyDescent="0.25">
      <x:c r="A842" t="str">
        <x:f>"            Advisorshares Poseidon Dynamic"</x:f>
        <x:v xml:space="preserve">            Advisorshares Poseidon Dynamic</x:v>
      </x:c>
      <x:c r="B842" t="str">
        <x:f>"PSDN US Equity"</x:f>
        <x:v>PSDN US Equity</x:v>
      </x:c>
      <x:c r="E842" t="str">
        <x:f t="shared" si="34"/>
        <x:v>Expression</x:v>
      </x:c>
      <x:c r="F842" t="str">
        <x:f ca="1">IF(AND($B$1012=1,LEN($F$1823)&gt;0),$F$1823,HLOOKUP(INDIRECT(ADDRESS(2,COLUMN())),OFFSET($T$2,0,0,ROW()-1,14),ROW()-1,FALSE))</x:f>
        <x:v/>
      </x:c>
      <x:c r="G842" t="str">
        <x:f ca="1">IF(AND($B$1012=1,LEN($G$1823)&gt;0),$G$1823,HLOOKUP(INDIRECT(ADDRESS(2,COLUMN())),OFFSET($T$2,0,0,ROW()-1,14),ROW()-1,FALSE))</x:f>
        <x:v/>
      </x:c>
      <x:c r="H842" t="str">
        <x:f ca="1">IF(AND($B$1012=1,LEN($H$1823)&gt;0),$H$1823,HLOOKUP(INDIRECT(ADDRESS(2,COLUMN())),OFFSET($T$2,0,0,ROW()-1,14),ROW()-1,FALSE))</x:f>
        <x:v/>
      </x:c>
      <x:c r="I842">
        <x:f ca="1">IF(AND($B$1012=1,LEN($I$1823)&gt;0),$I$1823,HLOOKUP(INDIRECT(ADDRESS(2,COLUMN())),OFFSET($T$2,0,0,ROW()-1,14),ROW()-1,FALSE))</x:f>
        <x:v>0</x:v>
      </x:c>
      <x:c r="J842">
        <x:f ca="1">IF(AND($B$1012=1,LEN($J$1823)&gt;0),$J$1823,HLOOKUP(INDIRECT(ADDRESS(2,COLUMN())),OFFSET($T$2,0,0,ROW()-1,14),ROW()-1,FALSE))</x:f>
        <x:v>9.3034000000000006E-2</x:v>
      </x:c>
      <x:c r="K842">
        <x:f ca="1">IF(AND($B$1012=1,LEN($K$1823)&gt;0),$K$1823,HLOOKUP(INDIRECT(ADDRESS(2,COLUMN())),OFFSET($T$2,0,0,ROW()-1,14),ROW()-1,FALSE))</x:f>
        <x:v>7.8692999999999999E-2</x:v>
      </x:c>
      <x:c r="L842">
        <x:f ca="1">IF(AND($B$1012=1,LEN($L$1823)&gt;0),$L$1823,HLOOKUP(INDIRECT(ADDRESS(2,COLUMN())),OFFSET($T$2,0,0,ROW()-1,14),ROW()-1,FALSE))</x:f>
        <x:v>0</x:v>
      </x:c>
      <x:c r="M842">
        <x:f ca="1">IF(AND($B$1012=1,LEN($M$1823)&gt;0),$M$1823,HLOOKUP(INDIRECT(ADDRESS(2,COLUMN())),OFFSET($T$2,0,0,ROW()-1,14),ROW()-1,FALSE))</x:f>
        <x:v>0</x:v>
      </x:c>
      <x:c r="N842">
        <x:f ca="1">IF(AND($B$1012=1,LEN($N$1823)&gt;0),$N$1823,HLOOKUP(INDIRECT(ADDRESS(2,COLUMN())),OFFSET($T$2,0,0,ROW()-1,14),ROW()-1,FALSE))</x:f>
        <x:v>0.41054800000000002</x:v>
      </x:c>
      <x:c r="O842">
        <x:f ca="1">IF(AND($B$1012=1,LEN($O$1823)&gt;0),$O$1823,HLOOKUP(INDIRECT(ADDRESS(2,COLUMN())),OFFSET($T$2,0,0,ROW()-1,14),ROW()-1,FALSE))</x:f>
        <x:v>0.32352999999999998</x:v>
      </x:c>
      <x:c r="P842">
        <x:f ca="1">IF(AND($B$1012=1,LEN($P$1823)&gt;0),$P$1823,HLOOKUP(INDIRECT(ADDRESS(2,COLUMN())),OFFSET($T$2,0,0,ROW()-1,14),ROW()-1,FALSE))</x:f>
        <x:v>7.2170000000000003E-3</x:v>
      </x:c>
      <x:c r="Q842">
        <x:f ca="1">IF(AND($B$1012=1,LEN($Q$1823)&gt;0),$Q$1823,HLOOKUP(INDIRECT(ADDRESS(2,COLUMN())),OFFSET($T$2,0,0,ROW()-1,14),ROW()-1,FALSE))</x:f>
        <x:v>0.53125699999999998</x:v>
      </x:c>
      <x:c r="R842">
        <x:f ca="1">IF(AND($B$1012=1,LEN($R$1823)&gt;0),$R$1823,HLOOKUP(INDIRECT(ADDRESS(2,COLUMN())),OFFSET($T$2,0,0,ROW()-1,14),ROW()-1,FALSE))</x:f>
        <x:v>0</x:v>
      </x:c>
      <x:c r="S842">
        <x:f ca="1">IF(AND($B$1012=1,LEN($S$1823)&gt;0),$S$1823,HLOOKUP(INDIRECT(ADDRESS(2,COLUMN())),OFFSET($T$2,0,0,ROW()-1,14),ROW()-1,FALSE))</x:f>
        <x:v>9.9602999999999997E-2</x:v>
      </x:c>
      <x:c r="T842" t="str">
        <x:f>""</x:f>
        <x:v/>
      </x:c>
      <x:c r="U842" t="str">
        <x:f>""</x:f>
        <x:v/>
      </x:c>
      <x:c r="V842" t="str">
        <x:f>""</x:f>
        <x:v/>
      </x:c>
      <x:c r="W842">
        <x:f>0</x:f>
        <x:v>0</x:v>
      </x:c>
      <x:c r="X842">
        <x:f>0.093034</x:f>
        <x:v>9.3034000000000006E-2</x:v>
      </x:c>
      <x:c r="Y842">
        <x:f>0.078693</x:f>
        <x:v>7.8692999999999999E-2</x:v>
      </x:c>
      <x:c r="Z842">
        <x:f>0</x:f>
        <x:v>0</x:v>
      </x:c>
      <x:c r="AA842">
        <x:f>0</x:f>
        <x:v>0</x:v>
      </x:c>
      <x:c r="AB842">
        <x:f>0.410548</x:f>
        <x:v>0.41054800000000002</x:v>
      </x:c>
      <x:c r="AC842">
        <x:f>0.32353</x:f>
        <x:v>0.32352999999999998</x:v>
      </x:c>
      <x:c r="AD842">
        <x:f>0.007217</x:f>
        <x:v>7.2170000000000003E-3</x:v>
      </x:c>
      <x:c r="AE842">
        <x:f>0.531257</x:f>
        <x:v>0.53125699999999998</x:v>
      </x:c>
      <x:c r="AF842">
        <x:f>0</x:f>
        <x:v>0</x:v>
      </x:c>
      <x:c r="AG842">
        <x:f>0.099603</x:f>
        <x:v>9.9602999999999997E-2</x:v>
      </x:c>
    </x:row>
    <x:row r="843" spans="1:33" x14ac:dyDescent="0.25">
      <x:c r="A843" t="str">
        <x:f>"            ETFMG 2x Daily Inverse Alterna"</x:f>
        <x:v xml:space="preserve">            ETFMG 2x Daily Inverse Alterna</x:v>
      </x:c>
      <x:c r="B843" t="str">
        <x:f>"MJIN US Equity"</x:f>
        <x:v>MJIN US Equity</x:v>
      </x:c>
      <x:c r="E843" t="str">
        <x:f t="shared" si="34"/>
        <x:v>Expression</x:v>
      </x:c>
      <x:c r="F843" t="str">
        <x:f ca="1">IF(AND($B$1012=1,LEN($F$1824)&gt;0),$F$1824,HLOOKUP(INDIRECT(ADDRESS(2,COLUMN())),OFFSET($T$2,0,0,ROW()-1,14),ROW()-1,FALSE))</x:f>
        <x:v/>
      </x:c>
      <x:c r="G843" t="str">
        <x:f ca="1">IF(AND($B$1012=1,LEN($G$1824)&gt;0),$G$1824,HLOOKUP(INDIRECT(ADDRESS(2,COLUMN())),OFFSET($T$2,0,0,ROW()-1,14),ROW()-1,FALSE))</x:f>
        <x:v/>
      </x:c>
      <x:c r="H843" t="str">
        <x:f ca="1">IF(AND($B$1012=1,LEN($H$1824)&gt;0),$H$1824,HLOOKUP(INDIRECT(ADDRESS(2,COLUMN())),OFFSET($T$2,0,0,ROW()-1,14),ROW()-1,FALSE))</x:f>
        <x:v/>
      </x:c>
      <x:c r="I843" t="str">
        <x:f ca="1">IF(AND($B$1012=1,LEN($I$1824)&gt;0),$I$1824,HLOOKUP(INDIRECT(ADDRESS(2,COLUMN())),OFFSET($T$2,0,0,ROW()-1,14),ROW()-1,FALSE))</x:f>
        <x:v/>
      </x:c>
      <x:c r="J843" t="str">
        <x:f ca="1">IF(AND($B$1012=1,LEN($J$1824)&gt;0),$J$1824,HLOOKUP(INDIRECT(ADDRESS(2,COLUMN())),OFFSET($T$2,0,0,ROW()-1,14),ROW()-1,FALSE))</x:f>
        <x:v/>
      </x:c>
      <x:c r="K843" t="str">
        <x:f ca="1">IF(AND($B$1012=1,LEN($K$1824)&gt;0),$K$1824,HLOOKUP(INDIRECT(ADDRESS(2,COLUMN())),OFFSET($T$2,0,0,ROW()-1,14),ROW()-1,FALSE))</x:f>
        <x:v/>
      </x:c>
      <x:c r="L843" t="str">
        <x:f ca="1">IF(AND($B$1012=1,LEN($L$1824)&gt;0),$L$1824,HLOOKUP(INDIRECT(ADDRESS(2,COLUMN())),OFFSET($T$2,0,0,ROW()-1,14),ROW()-1,FALSE))</x:f>
        <x:v/>
      </x:c>
      <x:c r="M843" t="str">
        <x:f ca="1">IF(AND($B$1012=1,LEN($M$1824)&gt;0),$M$1824,HLOOKUP(INDIRECT(ADDRESS(2,COLUMN())),OFFSET($T$2,0,0,ROW()-1,14),ROW()-1,FALSE))</x:f>
        <x:v/>
      </x:c>
      <x:c r="N843" t="str">
        <x:f ca="1">IF(AND($B$1012=1,LEN($N$1824)&gt;0),$N$1824,HLOOKUP(INDIRECT(ADDRESS(2,COLUMN())),OFFSET($T$2,0,0,ROW()-1,14),ROW()-1,FALSE))</x:f>
        <x:v/>
      </x:c>
      <x:c r="O843" t="str">
        <x:f ca="1">IF(AND($B$1012=1,LEN($O$1824)&gt;0),$O$1824,HLOOKUP(INDIRECT(ADDRESS(2,COLUMN())),OFFSET($T$2,0,0,ROW()-1,14),ROW()-1,FALSE))</x:f>
        <x:v/>
      </x:c>
      <x:c r="P843" t="str">
        <x:f ca="1">IF(AND($B$1012=1,LEN($P$1824)&gt;0),$P$1824,HLOOKUP(INDIRECT(ADDRESS(2,COLUMN())),OFFSET($T$2,0,0,ROW()-1,14),ROW()-1,FALSE))</x:f>
        <x:v/>
      </x:c>
      <x:c r="Q843" t="str">
        <x:f ca="1">IF(AND($B$1012=1,LEN($Q$1824)&gt;0),$Q$1824,HLOOKUP(INDIRECT(ADDRESS(2,COLUMN())),OFFSET($T$2,0,0,ROW()-1,14),ROW()-1,FALSE))</x:f>
        <x:v/>
      </x:c>
      <x:c r="R843">
        <x:f ca="1">IF(AND($B$1012=1,LEN($R$1824)&gt;0),$R$1824,HLOOKUP(INDIRECT(ADDRESS(2,COLUMN())),OFFSET($T$2,0,0,ROW()-1,14),ROW()-1,FALSE))</x:f>
        <x:v>0</x:v>
      </x:c>
      <x:c r="S843">
        <x:f ca="1">IF(AND($B$1012=1,LEN($S$1824)&gt;0),$S$1824,HLOOKUP(INDIRECT(ADDRESS(2,COLUMN())),OFFSET($T$2,0,0,ROW()-1,14),ROW()-1,FALSE))</x:f>
        <x:v>0</x:v>
      </x:c>
      <x:c r="T843" t="str">
        <x:f>""</x:f>
        <x:v/>
      </x:c>
      <x:c r="U843" t="str">
        <x:f>""</x:f>
        <x:v/>
      </x:c>
      <x:c r="V843" t="str">
        <x:f>""</x:f>
        <x:v/>
      </x:c>
      <x:c r="W843" t="str">
        <x:f>""</x:f>
        <x:v/>
      </x:c>
      <x:c r="X843" t="str">
        <x:f>""</x:f>
        <x:v/>
      </x:c>
      <x:c r="Y843" t="str">
        <x:f>""</x:f>
        <x:v/>
      </x:c>
      <x:c r="Z843" t="str">
        <x:f>""</x:f>
        <x:v/>
      </x:c>
      <x:c r="AA843" t="str">
        <x:f>""</x:f>
        <x:v/>
      </x:c>
      <x:c r="AB843" t="str">
        <x:f>""</x:f>
        <x:v/>
      </x:c>
      <x:c r="AC843" t="str">
        <x:f>""</x:f>
        <x:v/>
      </x:c>
      <x:c r="AD843" t="str">
        <x:f>""</x:f>
        <x:v/>
      </x:c>
      <x:c r="AE843" t="str">
        <x:f>""</x:f>
        <x:v/>
      </x:c>
      <x:c r="AF843">
        <x:f>0</x:f>
        <x:v>0</x:v>
      </x:c>
      <x:c r="AG843">
        <x:f>0</x:f>
        <x:v>0</x:v>
      </x:c>
    </x:row>
    <x:row r="844" spans="1:33" x14ac:dyDescent="0.25">
      <x:c r="A844" t="str">
        <x:f>"            Cannabis Growth ETF"</x:f>
        <x:v xml:space="preserve">            Cannabis Growth ETF</x:v>
      </x:c>
      <x:c r="B844" t="str">
        <x:f>"BUDX US Equity"</x:f>
        <x:v>BUDX US Equity</x:v>
      </x:c>
      <x:c r="E844" t="str">
        <x:f t="shared" si="34"/>
        <x:v>Expression</x:v>
      </x:c>
      <x:c r="F844" t="str">
        <x:f ca="1">IF(AND($B$1012=1,LEN($F$1825)&gt;0),$F$1825,HLOOKUP(INDIRECT(ADDRESS(2,COLUMN())),OFFSET($T$2,0,0,ROW()-1,14),ROW()-1,FALSE))</x:f>
        <x:v/>
      </x:c>
      <x:c r="G844" t="str">
        <x:f ca="1">IF(AND($B$1012=1,LEN($G$1825)&gt;0),$G$1825,HLOOKUP(INDIRECT(ADDRESS(2,COLUMN())),OFFSET($T$2,0,0,ROW()-1,14),ROW()-1,FALSE))</x:f>
        <x:v/>
      </x:c>
      <x:c r="H844" t="str">
        <x:f ca="1">IF(AND($B$1012=1,LEN($H$1825)&gt;0),$H$1825,HLOOKUP(INDIRECT(ADDRESS(2,COLUMN())),OFFSET($T$2,0,0,ROW()-1,14),ROW()-1,FALSE))</x:f>
        <x:v/>
      </x:c>
      <x:c r="I844" t="str">
        <x:f ca="1">IF(AND($B$1012=1,LEN($I$1825)&gt;0),$I$1825,HLOOKUP(INDIRECT(ADDRESS(2,COLUMN())),OFFSET($T$2,0,0,ROW()-1,14),ROW()-1,FALSE))</x:f>
        <x:v/>
      </x:c>
      <x:c r="J844" t="str">
        <x:f ca="1">IF(AND($B$1012=1,LEN($J$1825)&gt;0),$J$1825,HLOOKUP(INDIRECT(ADDRESS(2,COLUMN())),OFFSET($T$2,0,0,ROW()-1,14),ROW()-1,FALSE))</x:f>
        <x:v/>
      </x:c>
      <x:c r="K844" t="str">
        <x:f ca="1">IF(AND($B$1012=1,LEN($K$1825)&gt;0),$K$1825,HLOOKUP(INDIRECT(ADDRESS(2,COLUMN())),OFFSET($T$2,0,0,ROW()-1,14),ROW()-1,FALSE))</x:f>
        <x:v/>
      </x:c>
      <x:c r="L844" t="str">
        <x:f ca="1">IF(AND($B$1012=1,LEN($L$1825)&gt;0),$L$1825,HLOOKUP(INDIRECT(ADDRESS(2,COLUMN())),OFFSET($T$2,0,0,ROW()-1,14),ROW()-1,FALSE))</x:f>
        <x:v/>
      </x:c>
      <x:c r="M844" t="str">
        <x:f ca="1">IF(AND($B$1012=1,LEN($M$1825)&gt;0),$M$1825,HLOOKUP(INDIRECT(ADDRESS(2,COLUMN())),OFFSET($T$2,0,0,ROW()-1,14),ROW()-1,FALSE))</x:f>
        <x:v/>
      </x:c>
      <x:c r="N844" t="str">
        <x:f ca="1">IF(AND($B$1012=1,LEN($N$1825)&gt;0),$N$1825,HLOOKUP(INDIRECT(ADDRESS(2,COLUMN())),OFFSET($T$2,0,0,ROW()-1,14),ROW()-1,FALSE))</x:f>
        <x:v/>
      </x:c>
      <x:c r="O844" t="str">
        <x:f ca="1">IF(AND($B$1012=1,LEN($O$1825)&gt;0),$O$1825,HLOOKUP(INDIRECT(ADDRESS(2,COLUMN())),OFFSET($T$2,0,0,ROW()-1,14),ROW()-1,FALSE))</x:f>
        <x:v/>
      </x:c>
      <x:c r="P844" t="str">
        <x:f ca="1">IF(AND($B$1012=1,LEN($P$1825)&gt;0),$P$1825,HLOOKUP(INDIRECT(ADDRESS(2,COLUMN())),OFFSET($T$2,0,0,ROW()-1,14),ROW()-1,FALSE))</x:f>
        <x:v/>
      </x:c>
      <x:c r="Q844" t="str">
        <x:f ca="1">IF(AND($B$1012=1,LEN($Q$1825)&gt;0),$Q$1825,HLOOKUP(INDIRECT(ADDRESS(2,COLUMN())),OFFSET($T$2,0,0,ROW()-1,14),ROW()-1,FALSE))</x:f>
        <x:v/>
      </x:c>
      <x:c r="R844" t="str">
        <x:f ca="1">IF(AND($B$1012=1,LEN($R$1825)&gt;0),$R$1825,HLOOKUP(INDIRECT(ADDRESS(2,COLUMN())),OFFSET($T$2,0,0,ROW()-1,14),ROW()-1,FALSE))</x:f>
        <x:v/>
      </x:c>
      <x:c r="S844" t="str">
        <x:f ca="1">IF(AND($B$1012=1,LEN($S$1825)&gt;0),$S$1825,HLOOKUP(INDIRECT(ADDRESS(2,COLUMN())),OFFSET($T$2,0,0,ROW()-1,14),ROW()-1,FALSE))</x:f>
        <x:v/>
      </x:c>
      <x:c r="T844" t="str">
        <x:f>""</x:f>
        <x:v/>
      </x:c>
      <x:c r="U844" t="str">
        <x:f>""</x:f>
        <x:v/>
      </x:c>
      <x:c r="V844" t="str">
        <x:f>""</x:f>
        <x:v/>
      </x:c>
      <x:c r="W844" t="str">
        <x:f>""</x:f>
        <x:v/>
      </x:c>
      <x:c r="X844" t="str">
        <x:f>""</x:f>
        <x:v/>
      </x:c>
      <x:c r="Y844" t="str">
        <x:f>""</x:f>
        <x:v/>
      </x:c>
      <x:c r="Z844" t="str">
        <x:f>""</x:f>
        <x:v/>
      </x:c>
      <x:c r="AA844" t="str">
        <x:f>""</x:f>
        <x:v/>
      </x:c>
      <x:c r="AB844" t="str">
        <x:f>""</x:f>
        <x:v/>
      </x:c>
      <x:c r="AC844" t="str">
        <x:f>""</x:f>
        <x:v/>
      </x:c>
      <x:c r="AD844" t="str">
        <x:f>""</x:f>
        <x:v/>
      </x:c>
      <x:c r="AE844" t="str">
        <x:f>""</x:f>
        <x:v/>
      </x:c>
      <x:c r="AF844" t="str">
        <x:f>""</x:f>
        <x:v/>
      </x:c>
      <x:c r="AG844" t="str">
        <x:f>""</x:f>
        <x:v/>
      </x:c>
    </x:row>
    <x:row r="845" spans="1:33" x14ac:dyDescent="0.25">
      <x:c r="A845" t="str">
        <x:f>"            BAD ETF"</x:f>
        <x:v xml:space="preserve">            BAD ETF</x:v>
      </x:c>
      <x:c r="B845" t="str">
        <x:f>"BAD US Equity"</x:f>
        <x:v>BAD US Equity</x:v>
      </x:c>
      <x:c r="E845" t="str">
        <x:f t="shared" si="34"/>
        <x:v>Expression</x:v>
      </x:c>
      <x:c r="F845">
        <x:f ca="1">IF(AND($B$1012=1,LEN($F$1826)&gt;0),$F$1826,HLOOKUP(INDIRECT(ADDRESS(2,COLUMN())),OFFSET($T$2,0,0,ROW()-1,14),ROW()-1,FALSE))</x:f>
        <x:v>-0.46444400000000002</x:v>
      </x:c>
      <x:c r="G845">
        <x:f ca="1">IF(AND($B$1012=1,LEN($G$1826)&gt;0),$G$1826,HLOOKUP(INDIRECT(ADDRESS(2,COLUMN())),OFFSET($T$2,0,0,ROW()-1,14),ROW()-1,FALSE))</x:f>
        <x:v>0</x:v>
      </x:c>
      <x:c r="H845">
        <x:f ca="1">IF(AND($B$1012=1,LEN($H$1826)&gt;0),$H$1826,HLOOKUP(INDIRECT(ADDRESS(2,COLUMN())),OFFSET($T$2,0,0,ROW()-1,14),ROW()-1,FALSE))</x:f>
        <x:v>0.271484</x:v>
      </x:c>
      <x:c r="I845">
        <x:f ca="1">IF(AND($B$1012=1,LEN($I$1826)&gt;0),$I$1826,HLOOKUP(INDIRECT(ADDRESS(2,COLUMN())),OFFSET($T$2,0,0,ROW()-1,14),ROW()-1,FALSE))</x:f>
        <x:v>0</x:v>
      </x:c>
      <x:c r="J845">
        <x:f ca="1">IF(AND($B$1012=1,LEN($J$1826)&gt;0),$J$1826,HLOOKUP(INDIRECT(ADDRESS(2,COLUMN())),OFFSET($T$2,0,0,ROW()-1,14),ROW()-1,FALSE))</x:f>
        <x:v>0</x:v>
      </x:c>
      <x:c r="K845">
        <x:f ca="1">IF(AND($B$1012=1,LEN($K$1826)&gt;0),$K$1826,HLOOKUP(INDIRECT(ADDRESS(2,COLUMN())),OFFSET($T$2,0,0,ROW()-1,14),ROW()-1,FALSE))</x:f>
        <x:v>1.267212</x:v>
      </x:c>
      <x:c r="L845">
        <x:f ca="1">IF(AND($B$1012=1,LEN($L$1826)&gt;0),$L$1826,HLOOKUP(INDIRECT(ADDRESS(2,COLUMN())),OFFSET($T$2,0,0,ROW()-1,14),ROW()-1,FALSE))</x:f>
        <x:v>0.246722</x:v>
      </x:c>
      <x:c r="M845">
        <x:f ca="1">IF(AND($B$1012=1,LEN($M$1826)&gt;0),$M$1826,HLOOKUP(INDIRECT(ADDRESS(2,COLUMN())),OFFSET($T$2,0,0,ROW()-1,14),ROW()-1,FALSE))</x:f>
        <x:v>0</x:v>
      </x:c>
      <x:c r="N845">
        <x:f ca="1">IF(AND($B$1012=1,LEN($N$1826)&gt;0),$N$1826,HLOOKUP(INDIRECT(ADDRESS(2,COLUMN())),OFFSET($T$2,0,0,ROW()-1,14),ROW()-1,FALSE))</x:f>
        <x:v>1.4376E-2</x:v>
      </x:c>
      <x:c r="O845">
        <x:f ca="1">IF(AND($B$1012=1,LEN($O$1826)&gt;0),$O$1826,HLOOKUP(INDIRECT(ADDRESS(2,COLUMN())),OFFSET($T$2,0,0,ROW()-1,14),ROW()-1,FALSE))</x:f>
        <x:v>0</x:v>
      </x:c>
      <x:c r="P845">
        <x:f ca="1">IF(AND($B$1012=1,LEN($P$1826)&gt;0),$P$1826,HLOOKUP(INDIRECT(ADDRESS(2,COLUMN())),OFFSET($T$2,0,0,ROW()-1,14),ROW()-1,FALSE))</x:f>
        <x:v>0</x:v>
      </x:c>
      <x:c r="Q845">
        <x:f ca="1">IF(AND($B$1012=1,LEN($Q$1826)&gt;0),$Q$1826,HLOOKUP(INDIRECT(ADDRESS(2,COLUMN())),OFFSET($T$2,0,0,ROW()-1,14),ROW()-1,FALSE))</x:f>
        <x:v>0.27681600000000001</x:v>
      </x:c>
      <x:c r="R845">
        <x:f ca="1">IF(AND($B$1012=1,LEN($R$1826)&gt;0),$R$1826,HLOOKUP(INDIRECT(ADDRESS(2,COLUMN())),OFFSET($T$2,0,0,ROW()-1,14),ROW()-1,FALSE))</x:f>
        <x:v>0</x:v>
      </x:c>
      <x:c r="S845">
        <x:f ca="1">IF(AND($B$1012=1,LEN($S$1826)&gt;0),$S$1826,HLOOKUP(INDIRECT(ADDRESS(2,COLUMN())),OFFSET($T$2,0,0,ROW()-1,14),ROW()-1,FALSE))</x:f>
        <x:v>0</x:v>
      </x:c>
      <x:c r="T845">
        <x:f>-0.464444</x:f>
        <x:v>-0.46444400000000002</x:v>
      </x:c>
      <x:c r="U845">
        <x:f>0</x:f>
        <x:v>0</x:v>
      </x:c>
      <x:c r="V845">
        <x:f>0.271484</x:f>
        <x:v>0.271484</x:v>
      </x:c>
      <x:c r="W845">
        <x:f>0</x:f>
        <x:v>0</x:v>
      </x:c>
      <x:c r="X845">
        <x:f>0</x:f>
        <x:v>0</x:v>
      </x:c>
      <x:c r="Y845">
        <x:f>1.267212</x:f>
        <x:v>1.267212</x:v>
      </x:c>
      <x:c r="Z845">
        <x:f>0.246722</x:f>
        <x:v>0.246722</x:v>
      </x:c>
      <x:c r="AA845">
        <x:f>0</x:f>
        <x:v>0</x:v>
      </x:c>
      <x:c r="AB845">
        <x:f>0.014376</x:f>
        <x:v>1.4376E-2</x:v>
      </x:c>
      <x:c r="AC845">
        <x:f>0</x:f>
        <x:v>0</x:v>
      </x:c>
      <x:c r="AD845">
        <x:f>0</x:f>
        <x:v>0</x:v>
      </x:c>
      <x:c r="AE845">
        <x:f>0.276816</x:f>
        <x:v>0.27681600000000001</x:v>
      </x:c>
      <x:c r="AF845">
        <x:f>0</x:f>
        <x:v>0</x:v>
      </x:c>
      <x:c r="AG845">
        <x:f>0</x:f>
        <x:v>0</x:v>
      </x:c>
    </x:row>
    <x:row r="846" spans="1:33" x14ac:dyDescent="0.25">
      <x:c r="A846" t="str">
        <x:f>"            PSYK ETF"</x:f>
        <x:v xml:space="preserve">            PSYK ETF</x:v>
      </x:c>
      <x:c r="B846" t="str">
        <x:f>"PSYK US Equity"</x:f>
        <x:v>PSYK US Equity</x:v>
      </x:c>
      <x:c r="E846" t="str">
        <x:f t="shared" si="34"/>
        <x:v>Expression</x:v>
      </x:c>
      <x:c r="F846" t="str">
        <x:f ca="1">IF(AND($B$1012=1,LEN($F$1827)&gt;0),$F$1827,HLOOKUP(INDIRECT(ADDRESS(2,COLUMN())),OFFSET($T$2,0,0,ROW()-1,14),ROW()-1,FALSE))</x:f>
        <x:v/>
      </x:c>
      <x:c r="G846" t="str">
        <x:f ca="1">IF(AND($B$1012=1,LEN($G$1827)&gt;0),$G$1827,HLOOKUP(INDIRECT(ADDRESS(2,COLUMN())),OFFSET($T$2,0,0,ROW()-1,14),ROW()-1,FALSE))</x:f>
        <x:v/>
      </x:c>
      <x:c r="H846" t="str">
        <x:f ca="1">IF(AND($B$1012=1,LEN($H$1827)&gt;0),$H$1827,HLOOKUP(INDIRECT(ADDRESS(2,COLUMN())),OFFSET($T$2,0,0,ROW()-1,14),ROW()-1,FALSE))</x:f>
        <x:v/>
      </x:c>
      <x:c r="I846" t="str">
        <x:f ca="1">IF(AND($B$1012=1,LEN($I$1827)&gt;0),$I$1827,HLOOKUP(INDIRECT(ADDRESS(2,COLUMN())),OFFSET($T$2,0,0,ROW()-1,14),ROW()-1,FALSE))</x:f>
        <x:v/>
      </x:c>
      <x:c r="J846" t="str">
        <x:f ca="1">IF(AND($B$1012=1,LEN($J$1827)&gt;0),$J$1827,HLOOKUP(INDIRECT(ADDRESS(2,COLUMN())),OFFSET($T$2,0,0,ROW()-1,14),ROW()-1,FALSE))</x:f>
        <x:v/>
      </x:c>
      <x:c r="K846" t="str">
        <x:f ca="1">IF(AND($B$1012=1,LEN($K$1827)&gt;0),$K$1827,HLOOKUP(INDIRECT(ADDRESS(2,COLUMN())),OFFSET($T$2,0,0,ROW()-1,14),ROW()-1,FALSE))</x:f>
        <x:v/>
      </x:c>
      <x:c r="L846" t="str">
        <x:f ca="1">IF(AND($B$1012=1,LEN($L$1827)&gt;0),$L$1827,HLOOKUP(INDIRECT(ADDRESS(2,COLUMN())),OFFSET($T$2,0,0,ROW()-1,14),ROW()-1,FALSE))</x:f>
        <x:v/>
      </x:c>
      <x:c r="M846" t="str">
        <x:f ca="1">IF(AND($B$1012=1,LEN($M$1827)&gt;0),$M$1827,HLOOKUP(INDIRECT(ADDRESS(2,COLUMN())),OFFSET($T$2,0,0,ROW()-1,14),ROW()-1,FALSE))</x:f>
        <x:v/>
      </x:c>
      <x:c r="N846">
        <x:f ca="1">IF(AND($B$1012=1,LEN($N$1827)&gt;0),$N$1827,HLOOKUP(INDIRECT(ADDRESS(2,COLUMN())),OFFSET($T$2,0,0,ROW()-1,14),ROW()-1,FALSE))</x:f>
        <x:v>0</x:v>
      </x:c>
      <x:c r="O846">
        <x:f ca="1">IF(AND($B$1012=1,LEN($O$1827)&gt;0),$O$1827,HLOOKUP(INDIRECT(ADDRESS(2,COLUMN())),OFFSET($T$2,0,0,ROW()-1,14),ROW()-1,FALSE))</x:f>
        <x:v>0</x:v>
      </x:c>
      <x:c r="P846">
        <x:f ca="1">IF(AND($B$1012=1,LEN($P$1827)&gt;0),$P$1827,HLOOKUP(INDIRECT(ADDRESS(2,COLUMN())),OFFSET($T$2,0,0,ROW()-1,14),ROW()-1,FALSE))</x:f>
        <x:v>0</x:v>
      </x:c>
      <x:c r="Q846">
        <x:f ca="1">IF(AND($B$1012=1,LEN($Q$1827)&gt;0),$Q$1827,HLOOKUP(INDIRECT(ADDRESS(2,COLUMN())),OFFSET($T$2,0,0,ROW()-1,14),ROW()-1,FALSE))</x:f>
        <x:v>5.0350000000000004E-3</x:v>
      </x:c>
      <x:c r="R846">
        <x:f ca="1">IF(AND($B$1012=1,LEN($R$1827)&gt;0),$R$1827,HLOOKUP(INDIRECT(ADDRESS(2,COLUMN())),OFFSET($T$2,0,0,ROW()-1,14),ROW()-1,FALSE))</x:f>
        <x:v>0</x:v>
      </x:c>
      <x:c r="S846">
        <x:f ca="1">IF(AND($B$1012=1,LEN($S$1827)&gt;0),$S$1827,HLOOKUP(INDIRECT(ADDRESS(2,COLUMN())),OFFSET($T$2,0,0,ROW()-1,14),ROW()-1,FALSE))</x:f>
        <x:v>0.57497200000000004</x:v>
      </x:c>
      <x:c r="T846" t="str">
        <x:f>""</x:f>
        <x:v/>
      </x:c>
      <x:c r="U846" t="str">
        <x:f>""</x:f>
        <x:v/>
      </x:c>
      <x:c r="V846" t="str">
        <x:f>""</x:f>
        <x:v/>
      </x:c>
      <x:c r="W846" t="str">
        <x:f>""</x:f>
        <x:v/>
      </x:c>
      <x:c r="X846" t="str">
        <x:f>""</x:f>
        <x:v/>
      </x:c>
      <x:c r="Y846" t="str">
        <x:f>""</x:f>
        <x:v/>
      </x:c>
      <x:c r="Z846" t="str">
        <x:f>""</x:f>
        <x:v/>
      </x:c>
      <x:c r="AA846" t="str">
        <x:f>""</x:f>
        <x:v/>
      </x:c>
      <x:c r="AB846">
        <x:f>0</x:f>
        <x:v>0</x:v>
      </x:c>
      <x:c r="AC846">
        <x:f>0</x:f>
        <x:v>0</x:v>
      </x:c>
      <x:c r="AD846">
        <x:f>0</x:f>
        <x:v>0</x:v>
      </x:c>
      <x:c r="AE846">
        <x:f>0.005035</x:f>
        <x:v>5.0350000000000004E-3</x:v>
      </x:c>
      <x:c r="AF846">
        <x:f>0</x:f>
        <x:v>0</x:v>
      </x:c>
      <x:c r="AG846">
        <x:f>0.574972</x:f>
        <x:v>0.57497200000000004</x:v>
      </x:c>
    </x:row>
    <x:row r="847" spans="1:33" x14ac:dyDescent="0.25">
      <x:c r="A847" t="str">
        <x:f>"            AdvisorShares MSOS 2x Daily ET"</x:f>
        <x:v xml:space="preserve">            AdvisorShares MSOS 2x Daily ET</x:v>
      </x:c>
      <x:c r="B847" t="str">
        <x:f>"MSOX US Equity"</x:f>
        <x:v>MSOX US Equity</x:v>
      </x:c>
      <x:c r="E847" t="str">
        <x:f t="shared" si="34"/>
        <x:v>Expression</x:v>
      </x:c>
      <x:c r="F847">
        <x:f ca="1">IF(AND($B$1012=1,LEN($F$1828)&gt;0),$F$1828,HLOOKUP(INDIRECT(ADDRESS(2,COLUMN())),OFFSET($T$2,0,0,ROW()-1,14),ROW()-1,FALSE))</x:f>
        <x:v>2.2884319999999998</x:v>
      </x:c>
      <x:c r="G847">
        <x:f ca="1">IF(AND($B$1012=1,LEN($G$1828)&gt;0),$G$1828,HLOOKUP(INDIRECT(ADDRESS(2,COLUMN())),OFFSET($T$2,0,0,ROW()-1,14),ROW()-1,FALSE))</x:f>
        <x:v>1.8813390000000001</x:v>
      </x:c>
      <x:c r="H847">
        <x:f ca="1">IF(AND($B$1012=1,LEN($H$1828)&gt;0),$H$1828,HLOOKUP(INDIRECT(ADDRESS(2,COLUMN())),OFFSET($T$2,0,0,ROW()-1,14),ROW()-1,FALSE))</x:f>
        <x:v>11.049526999999999</x:v>
      </x:c>
      <x:c r="I847">
        <x:f ca="1">IF(AND($B$1012=1,LEN($I$1828)&gt;0),$I$1828,HLOOKUP(INDIRECT(ADDRESS(2,COLUMN())),OFFSET($T$2,0,0,ROW()-1,14),ROW()-1,FALSE))</x:f>
        <x:v>1.1344000000000001</x:v>
      </x:c>
      <x:c r="J847">
        <x:f ca="1">IF(AND($B$1012=1,LEN($J$1828)&gt;0),$J$1828,HLOOKUP(INDIRECT(ADDRESS(2,COLUMN())),OFFSET($T$2,0,0,ROW()-1,14),ROW()-1,FALSE))</x:f>
        <x:v>2.50827</x:v>
      </x:c>
      <x:c r="K847">
        <x:f ca="1">IF(AND($B$1012=1,LEN($K$1828)&gt;0),$K$1828,HLOOKUP(INDIRECT(ADDRESS(2,COLUMN())),OFFSET($T$2,0,0,ROW()-1,14),ROW()-1,FALSE))</x:f>
        <x:v>0.750193</x:v>
      </x:c>
      <x:c r="L847">
        <x:f ca="1">IF(AND($B$1012=1,LEN($L$1828)&gt;0),$L$1828,HLOOKUP(INDIRECT(ADDRESS(2,COLUMN())),OFFSET($T$2,0,0,ROW()-1,14),ROW()-1,FALSE))</x:f>
        <x:v>1.6356980000000001</x:v>
      </x:c>
      <x:c r="M847">
        <x:f ca="1">IF(AND($B$1012=1,LEN($M$1828)&gt;0),$M$1828,HLOOKUP(INDIRECT(ADDRESS(2,COLUMN())),OFFSET($T$2,0,0,ROW()-1,14),ROW()-1,FALSE))</x:f>
        <x:v>1.0539769999999999</x:v>
      </x:c>
      <x:c r="N847">
        <x:f ca="1">IF(AND($B$1012=1,LEN($N$1828)&gt;0),$N$1828,HLOOKUP(INDIRECT(ADDRESS(2,COLUMN())),OFFSET($T$2,0,0,ROW()-1,14),ROW()-1,FALSE))</x:f>
        <x:v>1.1082369999999999</x:v>
      </x:c>
      <x:c r="O847">
        <x:f ca="1">IF(AND($B$1012=1,LEN($O$1828)&gt;0),$O$1828,HLOOKUP(INDIRECT(ADDRESS(2,COLUMN())),OFFSET($T$2,0,0,ROW()-1,14),ROW()-1,FALSE))</x:f>
        <x:v>0.86359900000000001</x:v>
      </x:c>
      <x:c r="P847">
        <x:f ca="1">IF(AND($B$1012=1,LEN($P$1828)&gt;0),$P$1828,HLOOKUP(INDIRECT(ADDRESS(2,COLUMN())),OFFSET($T$2,0,0,ROW()-1,14),ROW()-1,FALSE))</x:f>
        <x:v>0.28950799999999999</x:v>
      </x:c>
      <x:c r="Q847">
        <x:f ca="1">IF(AND($B$1012=1,LEN($Q$1828)&gt;0),$Q$1828,HLOOKUP(INDIRECT(ADDRESS(2,COLUMN())),OFFSET($T$2,0,0,ROW()-1,14),ROW()-1,FALSE))</x:f>
        <x:v>5.3690300000000004</x:v>
      </x:c>
      <x:c r="R847">
        <x:f ca="1">IF(AND($B$1012=1,LEN($R$1828)&gt;0),$R$1828,HLOOKUP(INDIRECT(ADDRESS(2,COLUMN())),OFFSET($T$2,0,0,ROW()-1,14),ROW()-1,FALSE))</x:f>
        <x:v>2.2702770000000001</x:v>
      </x:c>
      <x:c r="S847">
        <x:f ca="1">IF(AND($B$1012=1,LEN($S$1828)&gt;0),$S$1828,HLOOKUP(INDIRECT(ADDRESS(2,COLUMN())),OFFSET($T$2,0,0,ROW()-1,14),ROW()-1,FALSE))</x:f>
        <x:v>2.4608850000000002</x:v>
      </x:c>
      <x:c r="T847">
        <x:f>2.288432</x:f>
        <x:v>2.2884319999999998</x:v>
      </x:c>
      <x:c r="U847">
        <x:f>1.881339</x:f>
        <x:v>1.8813390000000001</x:v>
      </x:c>
      <x:c r="V847">
        <x:f>11.049527</x:f>
        <x:v>11.049526999999999</x:v>
      </x:c>
      <x:c r="W847">
        <x:f>1.1344</x:f>
        <x:v>1.1344000000000001</x:v>
      </x:c>
      <x:c r="X847">
        <x:f>2.50827</x:f>
        <x:v>2.50827</x:v>
      </x:c>
      <x:c r="Y847">
        <x:f>0.750193</x:f>
        <x:v>0.750193</x:v>
      </x:c>
      <x:c r="Z847">
        <x:f>1.635698</x:f>
        <x:v>1.6356980000000001</x:v>
      </x:c>
      <x:c r="AA847">
        <x:f>1.053977</x:f>
        <x:v>1.0539769999999999</x:v>
      </x:c>
      <x:c r="AB847">
        <x:f>1.108237</x:f>
        <x:v>1.1082369999999999</x:v>
      </x:c>
      <x:c r="AC847">
        <x:f>0.863599</x:f>
        <x:v>0.86359900000000001</x:v>
      </x:c>
      <x:c r="AD847">
        <x:f>0.289508</x:f>
        <x:v>0.28950799999999999</x:v>
      </x:c>
      <x:c r="AE847">
        <x:f>5.36903</x:f>
        <x:v>5.3690300000000004</x:v>
      </x:c>
      <x:c r="AF847">
        <x:f>2.270277</x:f>
        <x:v>2.2702770000000001</x:v>
      </x:c>
      <x:c r="AG847">
        <x:f>2.460885</x:f>
        <x:v>2.4608850000000002</x:v>
      </x:c>
    </x:row>
    <x:row r="848" spans="1:33" x14ac:dyDescent="0.25">
      <x:c r="A848" t="str">
        <x:f>"            Roundhill Cannabis ETF"</x:f>
        <x:v xml:space="preserve">            Roundhill Cannabis ETF</x:v>
      </x:c>
      <x:c r="B848" t="str">
        <x:f>"WEED US Equity"</x:f>
        <x:v>WEED US Equity</x:v>
      </x:c>
      <x:c r="E848" t="str">
        <x:f t="shared" si="34"/>
        <x:v>Expression</x:v>
      </x:c>
      <x:c r="F848">
        <x:f ca="1">IF(AND($B$1012=1,LEN($F$1829)&gt;0),$F$1829,HLOOKUP(INDIRECT(ADDRESS(2,COLUMN())),OFFSET($T$2,0,0,ROW()-1,14),ROW()-1,FALSE))</x:f>
        <x:v>0</x:v>
      </x:c>
      <x:c r="G848">
        <x:f ca="1">IF(AND($B$1012=1,LEN($G$1829)&gt;0),$G$1829,HLOOKUP(INDIRECT(ADDRESS(2,COLUMN())),OFFSET($T$2,0,0,ROW()-1,14),ROW()-1,FALSE))</x:f>
        <x:v>0</x:v>
      </x:c>
      <x:c r="H848">
        <x:f ca="1">IF(AND($B$1012=1,LEN($H$1829)&gt;0),$H$1829,HLOOKUP(INDIRECT(ADDRESS(2,COLUMN())),OFFSET($T$2,0,0,ROW()-1,14),ROW()-1,FALSE))</x:f>
        <x:v>0.358072</x:v>
      </x:c>
      <x:c r="I848">
        <x:f ca="1">IF(AND($B$1012=1,LEN($I$1829)&gt;0),$I$1829,HLOOKUP(INDIRECT(ADDRESS(2,COLUMN())),OFFSET($T$2,0,0,ROW()-1,14),ROW()-1,FALSE))</x:f>
        <x:v>0</x:v>
      </x:c>
      <x:c r="J848">
        <x:f ca="1">IF(AND($B$1012=1,LEN($J$1829)&gt;0),$J$1829,HLOOKUP(INDIRECT(ADDRESS(2,COLUMN())),OFFSET($T$2,0,0,ROW()-1,14),ROW()-1,FALSE))</x:f>
        <x:v>0</x:v>
      </x:c>
      <x:c r="K848">
        <x:f ca="1">IF(AND($B$1012=1,LEN($K$1829)&gt;0),$K$1829,HLOOKUP(INDIRECT(ADDRESS(2,COLUMN())),OFFSET($T$2,0,0,ROW()-1,14),ROW()-1,FALSE))</x:f>
        <x:v>0</x:v>
      </x:c>
      <x:c r="L848">
        <x:f ca="1">IF(AND($B$1012=1,LEN($L$1829)&gt;0),$L$1829,HLOOKUP(INDIRECT(ADDRESS(2,COLUMN())),OFFSET($T$2,0,0,ROW()-1,14),ROW()-1,FALSE))</x:f>
        <x:v>0.61283299999999996</x:v>
      </x:c>
      <x:c r="M848">
        <x:f ca="1">IF(AND($B$1012=1,LEN($M$1829)&gt;0),$M$1829,HLOOKUP(INDIRECT(ADDRESS(2,COLUMN())),OFFSET($T$2,0,0,ROW()-1,14),ROW()-1,FALSE))</x:f>
        <x:v>0.10485999999999999</x:v>
      </x:c>
      <x:c r="N848">
        <x:f ca="1">IF(AND($B$1012=1,LEN($N$1829)&gt;0),$N$1829,HLOOKUP(INDIRECT(ADDRESS(2,COLUMN())),OFFSET($T$2,0,0,ROW()-1,14),ROW()-1,FALSE))</x:f>
        <x:v>0</x:v>
      </x:c>
      <x:c r="O848">
        <x:f ca="1">IF(AND($B$1012=1,LEN($O$1829)&gt;0),$O$1829,HLOOKUP(INDIRECT(ADDRESS(2,COLUMN())),OFFSET($T$2,0,0,ROW()-1,14),ROW()-1,FALSE))</x:f>
        <x:v>0</x:v>
      </x:c>
      <x:c r="P848">
        <x:f ca="1">IF(AND($B$1012=1,LEN($P$1829)&gt;0),$P$1829,HLOOKUP(INDIRECT(ADDRESS(2,COLUMN())),OFFSET($T$2,0,0,ROW()-1,14),ROW()-1,FALSE))</x:f>
        <x:v>0.44054300000000002</x:v>
      </x:c>
      <x:c r="Q848">
        <x:f ca="1">IF(AND($B$1012=1,LEN($Q$1829)&gt;0),$Q$1829,HLOOKUP(INDIRECT(ADDRESS(2,COLUMN())),OFFSET($T$2,0,0,ROW()-1,14),ROW()-1,FALSE))</x:f>
        <x:v>0.14044000000000001</x:v>
      </x:c>
      <x:c r="R848">
        <x:f ca="1">IF(AND($B$1012=1,LEN($R$1829)&gt;0),$R$1829,HLOOKUP(INDIRECT(ADDRESS(2,COLUMN())),OFFSET($T$2,0,0,ROW()-1,14),ROW()-1,FALSE))</x:f>
        <x:v>0</x:v>
      </x:c>
      <x:c r="S848">
        <x:f ca="1">IF(AND($B$1012=1,LEN($S$1829)&gt;0),$S$1829,HLOOKUP(INDIRECT(ADDRESS(2,COLUMN())),OFFSET($T$2,0,0,ROW()-1,14),ROW()-1,FALSE))</x:f>
        <x:v>0.40297500000000003</x:v>
      </x:c>
      <x:c r="T848">
        <x:f>0</x:f>
        <x:v>0</x:v>
      </x:c>
      <x:c r="U848">
        <x:f>0</x:f>
        <x:v>0</x:v>
      </x:c>
      <x:c r="V848">
        <x:f>0.358072</x:f>
        <x:v>0.358072</x:v>
      </x:c>
      <x:c r="W848">
        <x:f>0</x:f>
        <x:v>0</x:v>
      </x:c>
      <x:c r="X848">
        <x:f>0</x:f>
        <x:v>0</x:v>
      </x:c>
      <x:c r="Y848">
        <x:f>0</x:f>
        <x:v>0</x:v>
      </x:c>
      <x:c r="Z848">
        <x:f>0.612833</x:f>
        <x:v>0.61283299999999996</x:v>
      </x:c>
      <x:c r="AA848">
        <x:f>0.10486</x:f>
        <x:v>0.10485999999999999</x:v>
      </x:c>
      <x:c r="AB848">
        <x:f>0</x:f>
        <x:v>0</x:v>
      </x:c>
      <x:c r="AC848">
        <x:f>0</x:f>
        <x:v>0</x:v>
      </x:c>
      <x:c r="AD848">
        <x:f>0.440543</x:f>
        <x:v>0.44054300000000002</x:v>
      </x:c>
      <x:c r="AE848">
        <x:f>0.14044</x:f>
        <x:v>0.14044000000000001</x:v>
      </x:c>
      <x:c r="AF848">
        <x:f>0</x:f>
        <x:v>0</x:v>
      </x:c>
      <x:c r="AG848">
        <x:f>0.402975</x:f>
        <x:v>0.40297500000000003</x:v>
      </x:c>
    </x:row>
    <x:row r="849" spans="1:33" x14ac:dyDescent="0.25">
      <x:c r="A849" t="str">
        <x:f>"        Consumer"</x:f>
        <x:v xml:space="preserve">        Consumer</x:v>
      </x:c>
      <x:c r="B849" t="str">
        <x:f>""</x:f>
        <x:v/>
      </x:c>
      <x:c r="E849" t="str">
        <x:f>"Sum"</x:f>
        <x:v>Sum</x:v>
      </x:c>
      <x:c r="F849">
        <x:f ca="1">IF(ISERROR(IF(SUM($F$850:$F$866) = 0, "", SUM($F$850:$F$866))), "", (IF(SUM($F$850:$F$866) = 0, "", SUM($F$850:$F$866))))</x:f>
        <x:v>-92.668408000000014</x:v>
      </x:c>
      <x:c r="G849">
        <x:f ca="1">IF(ISERROR(IF(SUM($G$850:$G$866) = 0, "", SUM($G$850:$G$866))), "", (IF(SUM($G$850:$G$866) = 0, "", SUM($G$850:$G$866))))</x:f>
        <x:v>-2.2110629999999993</x:v>
      </x:c>
      <x:c r="H849">
        <x:f ca="1">IF(ISERROR(IF(SUM($H$850:$H$866) = 0, "", SUM($H$850:$H$866))), "", (IF(SUM($H$850:$H$866) = 0, "", SUM($H$850:$H$866))))</x:f>
        <x:v>-7.3605969999999985</x:v>
      </x:c>
      <x:c r="I849">
        <x:f ca="1">IF(ISERROR(IF(SUM($I$850:$I$866) = 0, "", SUM($I$850:$I$866))), "", (IF(SUM($I$850:$I$866) = 0, "", SUM($I$850:$I$866))))</x:f>
        <x:v>-16.702311000000002</x:v>
      </x:c>
      <x:c r="J849">
        <x:f ca="1">IF(ISERROR(IF(SUM($J$850:$J$866) = 0, "", SUM($J$850:$J$866))), "", (IF(SUM($J$850:$J$866) = 0, "", SUM($J$850:$J$866))))</x:f>
        <x:v>44.787393000000009</x:v>
      </x:c>
      <x:c r="K849">
        <x:f ca="1">IF(ISERROR(IF(SUM($K$850:$K$866) = 0, "", SUM($K$850:$K$866))), "", (IF(SUM($K$850:$K$866) = 0, "", SUM($K$850:$K$866))))</x:f>
        <x:v>-47.799282000000005</x:v>
      </x:c>
      <x:c r="L849">
        <x:f ca="1">IF(ISERROR(IF(SUM($L$850:$L$866) = 0, "", SUM($L$850:$L$866))), "", (IF(SUM($L$850:$L$866) = 0, "", SUM($L$850:$L$866))))</x:f>
        <x:v>-15.586086</x:v>
      </x:c>
      <x:c r="M849">
        <x:f ca="1">IF(ISERROR(IF(SUM($M$850:$M$866) = 0, "", SUM($M$850:$M$866))), "", (IF(SUM($M$850:$M$866) = 0, "", SUM($M$850:$M$866))))</x:f>
        <x:v>-4.5876669999999988</x:v>
      </x:c>
      <x:c r="N849">
        <x:f ca="1">IF(ISERROR(IF(SUM($N$850:$N$866) = 0, "", SUM($N$850:$N$866))), "", (IF(SUM($N$850:$N$866) = 0, "", SUM($N$850:$N$866))))</x:f>
        <x:v>25.370228000000001</x:v>
      </x:c>
      <x:c r="O849">
        <x:f ca="1">IF(ISERROR(IF(SUM($O$850:$O$866) = 0, "", SUM($O$850:$O$866))), "", (IF(SUM($O$850:$O$866) = 0, "", SUM($O$850:$O$866))))</x:f>
        <x:v>-30.333984000000004</x:v>
      </x:c>
      <x:c r="P849">
        <x:f ca="1">IF(ISERROR(IF(SUM($P$850:$P$866) = 0, "", SUM($P$850:$P$866))), "", (IF(SUM($P$850:$P$866) = 0, "", SUM($P$850:$P$866))))</x:f>
        <x:v>5.9351170000000018</x:v>
      </x:c>
      <x:c r="Q849">
        <x:f ca="1">IF(ISERROR(IF(SUM($Q$850:$Q$866) = 0, "", SUM($Q$850:$Q$866))), "", (IF(SUM($Q$850:$Q$866) = 0, "", SUM($Q$850:$Q$866))))</x:f>
        <x:v>24.391849999999998</x:v>
      </x:c>
      <x:c r="R849">
        <x:f ca="1">IF(ISERROR(IF(SUM($R$850:$R$866) = 0, "", SUM($R$850:$R$866))), "", (IF(SUM($R$850:$R$866) = 0, "", SUM($R$850:$R$866))))</x:f>
        <x:v>-11.102916</x:v>
      </x:c>
      <x:c r="S849">
        <x:f ca="1">IF(ISERROR(IF(SUM($S$850:$S$866) = 0, "", SUM($S$850:$S$866))), "", (IF(SUM($S$850:$S$866) = 0, "", SUM($S$850:$S$866))))</x:f>
        <x:v>-30.368023999999998</x:v>
      </x:c>
      <x:c r="T849">
        <x:f>-92.668408</x:f>
        <x:v>-92.668407999999999</x:v>
      </x:c>
      <x:c r="U849">
        <x:f>-2.211063</x:f>
        <x:v>-2.2110629999999998</x:v>
      </x:c>
      <x:c r="V849">
        <x:f>-7.360597</x:f>
        <x:v>-7.3605970000000003</x:v>
      </x:c>
      <x:c r="W849">
        <x:f>-16.702311</x:f>
        <x:v>-16.702311000000002</x:v>
      </x:c>
      <x:c r="X849">
        <x:f>44.787393</x:f>
        <x:v>44.787393000000002</x:v>
      </x:c>
      <x:c r="Y849">
        <x:f>-47.799282</x:f>
        <x:v>-47.799281999999998</x:v>
      </x:c>
      <x:c r="Z849">
        <x:f>-15.586086</x:f>
        <x:v>-15.586086</x:v>
      </x:c>
      <x:c r="AA849">
        <x:f>-4.587667</x:f>
        <x:v>-4.5876669999999997</x:v>
      </x:c>
      <x:c r="AB849">
        <x:f>25.370228</x:f>
        <x:v>25.370228000000001</x:v>
      </x:c>
      <x:c r="AC849">
        <x:f>-30.333984</x:f>
        <x:v>-30.333984000000001</x:v>
      </x:c>
      <x:c r="AD849">
        <x:f>5.935117</x:f>
        <x:v>5.935117</x:v>
      </x:c>
      <x:c r="AE849">
        <x:f>24.39185</x:f>
        <x:v>24.391850000000002</x:v>
      </x:c>
      <x:c r="AF849">
        <x:f>-11.102916</x:f>
        <x:v>-11.102916</x:v>
      </x:c>
      <x:c r="AG849">
        <x:f>-30.368024</x:f>
        <x:v>-30.368023999999998</x:v>
      </x:c>
    </x:row>
    <x:row r="850" spans="1:33" x14ac:dyDescent="0.25">
      <x:c r="A850" t="str">
        <x:f>"            IQ Global Agribusiness Small C"</x:f>
        <x:v xml:space="preserve">            IQ Global Agribusiness Small C</x:v>
      </x:c>
      <x:c r="B850" t="str">
        <x:f>"CROP US Equity"</x:f>
        <x:v>CROP US Equity</x:v>
      </x:c>
      <x:c r="E850" t="str">
        <x:f t="shared" ref="E850:E866" si="35">"Expression"</x:f>
        <x:v>Expression</x:v>
      </x:c>
      <x:c r="F850" t="str">
        <x:f ca="1">IF(AND($B$1012=1,LEN($F$1830)&gt;0),$F$1830,HLOOKUP(INDIRECT(ADDRESS(2,COLUMN())),OFFSET($T$2,0,0,ROW()-1,14),ROW()-1,FALSE))</x:f>
        <x:v/>
      </x:c>
      <x:c r="G850" t="str">
        <x:f ca="1">IF(AND($B$1012=1,LEN($G$1830)&gt;0),$G$1830,HLOOKUP(INDIRECT(ADDRESS(2,COLUMN())),OFFSET($T$2,0,0,ROW()-1,14),ROW()-1,FALSE))</x:f>
        <x:v/>
      </x:c>
      <x:c r="H850" t="str">
        <x:f ca="1">IF(AND($B$1012=1,LEN($H$1830)&gt;0),$H$1830,HLOOKUP(INDIRECT(ADDRESS(2,COLUMN())),OFFSET($T$2,0,0,ROW()-1,14),ROW()-1,FALSE))</x:f>
        <x:v/>
      </x:c>
      <x:c r="I850" t="str">
        <x:f ca="1">IF(AND($B$1012=1,LEN($I$1830)&gt;0),$I$1830,HLOOKUP(INDIRECT(ADDRESS(2,COLUMN())),OFFSET($T$2,0,0,ROW()-1,14),ROW()-1,FALSE))</x:f>
        <x:v/>
      </x:c>
      <x:c r="J850" t="str">
        <x:f ca="1">IF(AND($B$1012=1,LEN($J$1830)&gt;0),$J$1830,HLOOKUP(INDIRECT(ADDRESS(2,COLUMN())),OFFSET($T$2,0,0,ROW()-1,14),ROW()-1,FALSE))</x:f>
        <x:v/>
      </x:c>
      <x:c r="K850" t="str">
        <x:f ca="1">IF(AND($B$1012=1,LEN($K$1830)&gt;0),$K$1830,HLOOKUP(INDIRECT(ADDRESS(2,COLUMN())),OFFSET($T$2,0,0,ROW()-1,14),ROW()-1,FALSE))</x:f>
        <x:v/>
      </x:c>
      <x:c r="L850" t="str">
        <x:f ca="1">IF(AND($B$1012=1,LEN($L$1830)&gt;0),$L$1830,HLOOKUP(INDIRECT(ADDRESS(2,COLUMN())),OFFSET($T$2,0,0,ROW()-1,14),ROW()-1,FALSE))</x:f>
        <x:v/>
      </x:c>
      <x:c r="M850" t="str">
        <x:f ca="1">IF(AND($B$1012=1,LEN($M$1830)&gt;0),$M$1830,HLOOKUP(INDIRECT(ADDRESS(2,COLUMN())),OFFSET($T$2,0,0,ROW()-1,14),ROW()-1,FALSE))</x:f>
        <x:v/>
      </x:c>
      <x:c r="N850" t="str">
        <x:f ca="1">IF(AND($B$1012=1,LEN($N$1830)&gt;0),$N$1830,HLOOKUP(INDIRECT(ADDRESS(2,COLUMN())),OFFSET($T$2,0,0,ROW()-1,14),ROW()-1,FALSE))</x:f>
        <x:v/>
      </x:c>
      <x:c r="O850" t="str">
        <x:f ca="1">IF(AND($B$1012=1,LEN($O$1830)&gt;0),$O$1830,HLOOKUP(INDIRECT(ADDRESS(2,COLUMN())),OFFSET($T$2,0,0,ROW()-1,14),ROW()-1,FALSE))</x:f>
        <x:v/>
      </x:c>
      <x:c r="P850" t="str">
        <x:f ca="1">IF(AND($B$1012=1,LEN($P$1830)&gt;0),$P$1830,HLOOKUP(INDIRECT(ADDRESS(2,COLUMN())),OFFSET($T$2,0,0,ROW()-1,14),ROW()-1,FALSE))</x:f>
        <x:v/>
      </x:c>
      <x:c r="Q850" t="str">
        <x:f ca="1">IF(AND($B$1012=1,LEN($Q$1830)&gt;0),$Q$1830,HLOOKUP(INDIRECT(ADDRESS(2,COLUMN())),OFFSET($T$2,0,0,ROW()-1,14),ROW()-1,FALSE))</x:f>
        <x:v/>
      </x:c>
      <x:c r="R850" t="str">
        <x:f ca="1">IF(AND($B$1012=1,LEN($R$1830)&gt;0),$R$1830,HLOOKUP(INDIRECT(ADDRESS(2,COLUMN())),OFFSET($T$2,0,0,ROW()-1,14),ROW()-1,FALSE))</x:f>
        <x:v/>
      </x:c>
      <x:c r="S850" t="str">
        <x:f ca="1">IF(AND($B$1012=1,LEN($S$1830)&gt;0),$S$1830,HLOOKUP(INDIRECT(ADDRESS(2,COLUMN())),OFFSET($T$2,0,0,ROW()-1,14),ROW()-1,FALSE))</x:f>
        <x:v/>
      </x:c>
      <x:c r="T850" t="str">
        <x:f>""</x:f>
        <x:v/>
      </x:c>
      <x:c r="U850" t="str">
        <x:f>""</x:f>
        <x:v/>
      </x:c>
      <x:c r="V850" t="str">
        <x:f>""</x:f>
        <x:v/>
      </x:c>
      <x:c r="W850" t="str">
        <x:f>""</x:f>
        <x:v/>
      </x:c>
      <x:c r="X850" t="str">
        <x:f>""</x:f>
        <x:v/>
      </x:c>
      <x:c r="Y850" t="str">
        <x:f>""</x:f>
        <x:v/>
      </x:c>
      <x:c r="Z850" t="str">
        <x:f>""</x:f>
        <x:v/>
      </x:c>
      <x:c r="AA850" t="str">
        <x:f>""</x:f>
        <x:v/>
      </x:c>
      <x:c r="AB850" t="str">
        <x:f>""</x:f>
        <x:v/>
      </x:c>
      <x:c r="AC850" t="str">
        <x:f>""</x:f>
        <x:v/>
      </x:c>
      <x:c r="AD850" t="str">
        <x:f>""</x:f>
        <x:v/>
      </x:c>
      <x:c r="AE850" t="str">
        <x:f>""</x:f>
        <x:v/>
      </x:c>
      <x:c r="AF850" t="str">
        <x:f>""</x:f>
        <x:v/>
      </x:c>
      <x:c r="AG850" t="str">
        <x:f>""</x:f>
        <x:v/>
      </x:c>
    </x:row>
    <x:row r="851" spans="1:33" x14ac:dyDescent="0.25">
      <x:c r="A851" t="str">
        <x:f>"            Global X Iconic US Brands ETF"</x:f>
        <x:v xml:space="preserve">            Global X Iconic US Brands ETF</x:v>
      </x:c>
      <x:c r="B851" t="str">
        <x:f>"LOGO US Equity"</x:f>
        <x:v>LOGO US Equity</x:v>
      </x:c>
      <x:c r="E851" t="str">
        <x:f t="shared" si="35"/>
        <x:v>Expression</x:v>
      </x:c>
      <x:c r="F851" t="str">
        <x:f ca="1">IF(AND($B$1012=1,LEN($F$1831)&gt;0),$F$1831,HLOOKUP(INDIRECT(ADDRESS(2,COLUMN())),OFFSET($T$2,0,0,ROW()-1,14),ROW()-1,FALSE))</x:f>
        <x:v/>
      </x:c>
      <x:c r="G851" t="str">
        <x:f ca="1">IF(AND($B$1012=1,LEN($G$1831)&gt;0),$G$1831,HLOOKUP(INDIRECT(ADDRESS(2,COLUMN())),OFFSET($T$2,0,0,ROW()-1,14),ROW()-1,FALSE))</x:f>
        <x:v/>
      </x:c>
      <x:c r="H851" t="str">
        <x:f ca="1">IF(AND($B$1012=1,LEN($H$1831)&gt;0),$H$1831,HLOOKUP(INDIRECT(ADDRESS(2,COLUMN())),OFFSET($T$2,0,0,ROW()-1,14),ROW()-1,FALSE))</x:f>
        <x:v/>
      </x:c>
      <x:c r="I851" t="str">
        <x:f ca="1">IF(AND($B$1012=1,LEN($I$1831)&gt;0),$I$1831,HLOOKUP(INDIRECT(ADDRESS(2,COLUMN())),OFFSET($T$2,0,0,ROW()-1,14),ROW()-1,FALSE))</x:f>
        <x:v/>
      </x:c>
      <x:c r="J851" t="str">
        <x:f ca="1">IF(AND($B$1012=1,LEN($J$1831)&gt;0),$J$1831,HLOOKUP(INDIRECT(ADDRESS(2,COLUMN())),OFFSET($T$2,0,0,ROW()-1,14),ROW()-1,FALSE))</x:f>
        <x:v/>
      </x:c>
      <x:c r="K851" t="str">
        <x:f ca="1">IF(AND($B$1012=1,LEN($K$1831)&gt;0),$K$1831,HLOOKUP(INDIRECT(ADDRESS(2,COLUMN())),OFFSET($T$2,0,0,ROW()-1,14),ROW()-1,FALSE))</x:f>
        <x:v/>
      </x:c>
      <x:c r="L851" t="str">
        <x:f ca="1">IF(AND($B$1012=1,LEN($L$1831)&gt;0),$L$1831,HLOOKUP(INDIRECT(ADDRESS(2,COLUMN())),OFFSET($T$2,0,0,ROW()-1,14),ROW()-1,FALSE))</x:f>
        <x:v/>
      </x:c>
      <x:c r="M851" t="str">
        <x:f ca="1">IF(AND($B$1012=1,LEN($M$1831)&gt;0),$M$1831,HLOOKUP(INDIRECT(ADDRESS(2,COLUMN())),OFFSET($T$2,0,0,ROW()-1,14),ROW()-1,FALSE))</x:f>
        <x:v/>
      </x:c>
      <x:c r="N851" t="str">
        <x:f ca="1">IF(AND($B$1012=1,LEN($N$1831)&gt;0),$N$1831,HLOOKUP(INDIRECT(ADDRESS(2,COLUMN())),OFFSET($T$2,0,0,ROW()-1,14),ROW()-1,FALSE))</x:f>
        <x:v/>
      </x:c>
      <x:c r="O851" t="str">
        <x:f ca="1">IF(AND($B$1012=1,LEN($O$1831)&gt;0),$O$1831,HLOOKUP(INDIRECT(ADDRESS(2,COLUMN())),OFFSET($T$2,0,0,ROW()-1,14),ROW()-1,FALSE))</x:f>
        <x:v/>
      </x:c>
      <x:c r="P851" t="str">
        <x:f ca="1">IF(AND($B$1012=1,LEN($P$1831)&gt;0),$P$1831,HLOOKUP(INDIRECT(ADDRESS(2,COLUMN())),OFFSET($T$2,0,0,ROW()-1,14),ROW()-1,FALSE))</x:f>
        <x:v/>
      </x:c>
      <x:c r="Q851" t="str">
        <x:f ca="1">IF(AND($B$1012=1,LEN($Q$1831)&gt;0),$Q$1831,HLOOKUP(INDIRECT(ADDRESS(2,COLUMN())),OFFSET($T$2,0,0,ROW()-1,14),ROW()-1,FALSE))</x:f>
        <x:v/>
      </x:c>
      <x:c r="R851" t="str">
        <x:f ca="1">IF(AND($B$1012=1,LEN($R$1831)&gt;0),$R$1831,HLOOKUP(INDIRECT(ADDRESS(2,COLUMN())),OFFSET($T$2,0,0,ROW()-1,14),ROW()-1,FALSE))</x:f>
        <x:v/>
      </x:c>
      <x:c r="S851" t="str">
        <x:f ca="1">IF(AND($B$1012=1,LEN($S$1831)&gt;0),$S$1831,HLOOKUP(INDIRECT(ADDRESS(2,COLUMN())),OFFSET($T$2,0,0,ROW()-1,14),ROW()-1,FALSE))</x:f>
        <x:v/>
      </x:c>
      <x:c r="T851" t="str">
        <x:f>""</x:f>
        <x:v/>
      </x:c>
      <x:c r="U851" t="str">
        <x:f>""</x:f>
        <x:v/>
      </x:c>
      <x:c r="V851" t="str">
        <x:f>""</x:f>
        <x:v/>
      </x:c>
      <x:c r="W851" t="str">
        <x:f>""</x:f>
        <x:v/>
      </x:c>
      <x:c r="X851" t="str">
        <x:f>""</x:f>
        <x:v/>
      </x:c>
      <x:c r="Y851" t="str">
        <x:f>""</x:f>
        <x:v/>
      </x:c>
      <x:c r="Z851" t="str">
        <x:f>""</x:f>
        <x:v/>
      </x:c>
      <x:c r="AA851" t="str">
        <x:f>""</x:f>
        <x:v/>
      </x:c>
      <x:c r="AB851" t="str">
        <x:f>""</x:f>
        <x:v/>
      </x:c>
      <x:c r="AC851" t="str">
        <x:f>""</x:f>
        <x:v/>
      </x:c>
      <x:c r="AD851" t="str">
        <x:f>""</x:f>
        <x:v/>
      </x:c>
      <x:c r="AE851" t="str">
        <x:f>""</x:f>
        <x:v/>
      </x:c>
      <x:c r="AF851" t="str">
        <x:f>""</x:f>
        <x:v/>
      </x:c>
      <x:c r="AG851" t="str">
        <x:f>""</x:f>
        <x:v/>
      </x:c>
    </x:row>
    <x:row r="852" spans="1:33" x14ac:dyDescent="0.25">
      <x:c r="A852" t="str">
        <x:f>"            The Organics ETF"</x:f>
        <x:v xml:space="preserve">            The Organics ETF</x:v>
      </x:c>
      <x:c r="B852" t="str">
        <x:f>"ORG US Equity"</x:f>
        <x:v>ORG US Equity</x:v>
      </x:c>
      <x:c r="E852" t="str">
        <x:f t="shared" si="35"/>
        <x:v>Expression</x:v>
      </x:c>
      <x:c r="F852" t="str">
        <x:f ca="1">IF(AND($B$1012=1,LEN($F$1832)&gt;0),$F$1832,HLOOKUP(INDIRECT(ADDRESS(2,COLUMN())),OFFSET($T$2,0,0,ROW()-1,14),ROW()-1,FALSE))</x:f>
        <x:v/>
      </x:c>
      <x:c r="G852" t="str">
        <x:f ca="1">IF(AND($B$1012=1,LEN($G$1832)&gt;0),$G$1832,HLOOKUP(INDIRECT(ADDRESS(2,COLUMN())),OFFSET($T$2,0,0,ROW()-1,14),ROW()-1,FALSE))</x:f>
        <x:v/>
      </x:c>
      <x:c r="H852" t="str">
        <x:f ca="1">IF(AND($B$1012=1,LEN($H$1832)&gt;0),$H$1832,HLOOKUP(INDIRECT(ADDRESS(2,COLUMN())),OFFSET($T$2,0,0,ROW()-1,14),ROW()-1,FALSE))</x:f>
        <x:v/>
      </x:c>
      <x:c r="I852" t="str">
        <x:f ca="1">IF(AND($B$1012=1,LEN($I$1832)&gt;0),$I$1832,HLOOKUP(INDIRECT(ADDRESS(2,COLUMN())),OFFSET($T$2,0,0,ROW()-1,14),ROW()-1,FALSE))</x:f>
        <x:v/>
      </x:c>
      <x:c r="J852" t="str">
        <x:f ca="1">IF(AND($B$1012=1,LEN($J$1832)&gt;0),$J$1832,HLOOKUP(INDIRECT(ADDRESS(2,COLUMN())),OFFSET($T$2,0,0,ROW()-1,14),ROW()-1,FALSE))</x:f>
        <x:v/>
      </x:c>
      <x:c r="K852" t="str">
        <x:f ca="1">IF(AND($B$1012=1,LEN($K$1832)&gt;0),$K$1832,HLOOKUP(INDIRECT(ADDRESS(2,COLUMN())),OFFSET($T$2,0,0,ROW()-1,14),ROW()-1,FALSE))</x:f>
        <x:v/>
      </x:c>
      <x:c r="L852" t="str">
        <x:f ca="1">IF(AND($B$1012=1,LEN($L$1832)&gt;0),$L$1832,HLOOKUP(INDIRECT(ADDRESS(2,COLUMN())),OFFSET($T$2,0,0,ROW()-1,14),ROW()-1,FALSE))</x:f>
        <x:v/>
      </x:c>
      <x:c r="M852" t="str">
        <x:f ca="1">IF(AND($B$1012=1,LEN($M$1832)&gt;0),$M$1832,HLOOKUP(INDIRECT(ADDRESS(2,COLUMN())),OFFSET($T$2,0,0,ROW()-1,14),ROW()-1,FALSE))</x:f>
        <x:v/>
      </x:c>
      <x:c r="N852" t="str">
        <x:f ca="1">IF(AND($B$1012=1,LEN($N$1832)&gt;0),$N$1832,HLOOKUP(INDIRECT(ADDRESS(2,COLUMN())),OFFSET($T$2,0,0,ROW()-1,14),ROW()-1,FALSE))</x:f>
        <x:v/>
      </x:c>
      <x:c r="O852" t="str">
        <x:f ca="1">IF(AND($B$1012=1,LEN($O$1832)&gt;0),$O$1832,HLOOKUP(INDIRECT(ADDRESS(2,COLUMN())),OFFSET($T$2,0,0,ROW()-1,14),ROW()-1,FALSE))</x:f>
        <x:v/>
      </x:c>
      <x:c r="P852" t="str">
        <x:f ca="1">IF(AND($B$1012=1,LEN($P$1832)&gt;0),$P$1832,HLOOKUP(INDIRECT(ADDRESS(2,COLUMN())),OFFSET($T$2,0,0,ROW()-1,14),ROW()-1,FALSE))</x:f>
        <x:v/>
      </x:c>
      <x:c r="Q852" t="str">
        <x:f ca="1">IF(AND($B$1012=1,LEN($Q$1832)&gt;0),$Q$1832,HLOOKUP(INDIRECT(ADDRESS(2,COLUMN())),OFFSET($T$2,0,0,ROW()-1,14),ROW()-1,FALSE))</x:f>
        <x:v/>
      </x:c>
      <x:c r="R852" t="str">
        <x:f ca="1">IF(AND($B$1012=1,LEN($R$1832)&gt;0),$R$1832,HLOOKUP(INDIRECT(ADDRESS(2,COLUMN())),OFFSET($T$2,0,0,ROW()-1,14),ROW()-1,FALSE))</x:f>
        <x:v/>
      </x:c>
      <x:c r="S852" t="str">
        <x:f ca="1">IF(AND($B$1012=1,LEN($S$1832)&gt;0),$S$1832,HLOOKUP(INDIRECT(ADDRESS(2,COLUMN())),OFFSET($T$2,0,0,ROW()-1,14),ROW()-1,FALSE))</x:f>
        <x:v/>
      </x:c>
      <x:c r="T852" t="str">
        <x:f>""</x:f>
        <x:v/>
      </x:c>
      <x:c r="U852" t="str">
        <x:f>""</x:f>
        <x:v/>
      </x:c>
      <x:c r="V852" t="str">
        <x:f>""</x:f>
        <x:v/>
      </x:c>
      <x:c r="W852" t="str">
        <x:f>""</x:f>
        <x:v/>
      </x:c>
      <x:c r="X852" t="str">
        <x:f>""</x:f>
        <x:v/>
      </x:c>
      <x:c r="Y852" t="str">
        <x:f>""</x:f>
        <x:v/>
      </x:c>
      <x:c r="Z852" t="str">
        <x:f>""</x:f>
        <x:v/>
      </x:c>
      <x:c r="AA852" t="str">
        <x:f>""</x:f>
        <x:v/>
      </x:c>
      <x:c r="AB852" t="str">
        <x:f>""</x:f>
        <x:v/>
      </x:c>
      <x:c r="AC852" t="str">
        <x:f>""</x:f>
        <x:v/>
      </x:c>
      <x:c r="AD852" t="str">
        <x:f>""</x:f>
        <x:v/>
      </x:c>
      <x:c r="AE852" t="str">
        <x:f>""</x:f>
        <x:v/>
      </x:c>
      <x:c r="AF852" t="str">
        <x:f>""</x:f>
        <x:v/>
      </x:c>
      <x:c r="AG852" t="str">
        <x:f>""</x:f>
        <x:v/>
      </x:c>
    </x:row>
    <x:row r="853" spans="1:33" x14ac:dyDescent="0.25">
      <x:c r="A853" t="str">
        <x:f>"            Proshares Online Retail ETF"</x:f>
        <x:v xml:space="preserve">            Proshares Online Retail ETF</x:v>
      </x:c>
      <x:c r="B853" t="str">
        <x:f>"ONLN US Equity"</x:f>
        <x:v>ONLN US Equity</x:v>
      </x:c>
      <x:c r="E853" t="str">
        <x:f t="shared" si="35"/>
        <x:v>Expression</x:v>
      </x:c>
      <x:c r="F853">
        <x:f ca="1">IF(AND($B$1012=1,LEN($F$1833)&gt;0),$F$1833,HLOOKUP(INDIRECT(ADDRESS(2,COLUMN())),OFFSET($T$2,0,0,ROW()-1,14),ROW()-1,FALSE))</x:f>
        <x:v>0.94045199999999995</x:v>
      </x:c>
      <x:c r="G853">
        <x:f ca="1">IF(AND($B$1012=1,LEN($G$1833)&gt;0),$G$1833,HLOOKUP(INDIRECT(ADDRESS(2,COLUMN())),OFFSET($T$2,0,0,ROW()-1,14),ROW()-1,FALSE))</x:f>
        <x:v>2.7413319999999999</x:v>
      </x:c>
      <x:c r="H853">
        <x:f ca="1">IF(AND($B$1012=1,LEN($H$1833)&gt;0),$H$1833,HLOOKUP(INDIRECT(ADDRESS(2,COLUMN())),OFFSET($T$2,0,0,ROW()-1,14),ROW()-1,FALSE))</x:f>
        <x:v>-2.2441900000000001</x:v>
      </x:c>
      <x:c r="I853">
        <x:f ca="1">IF(AND($B$1012=1,LEN($I$1833)&gt;0),$I$1833,HLOOKUP(INDIRECT(ADDRESS(2,COLUMN())),OFFSET($T$2,0,0,ROW()-1,14),ROW()-1,FALSE))</x:f>
        <x:v>-2.826311</x:v>
      </x:c>
      <x:c r="J853">
        <x:f ca="1">IF(AND($B$1012=1,LEN($J$1833)&gt;0),$J$1833,HLOOKUP(INDIRECT(ADDRESS(2,COLUMN())),OFFSET($T$2,0,0,ROW()-1,14),ROW()-1,FALSE))</x:f>
        <x:v>-1.0248900000000001</x:v>
      </x:c>
      <x:c r="K853">
        <x:f ca="1">IF(AND($B$1012=1,LEN($K$1833)&gt;0),$K$1833,HLOOKUP(INDIRECT(ADDRESS(2,COLUMN())),OFFSET($T$2,0,0,ROW()-1,14),ROW()-1,FALSE))</x:f>
        <x:v>-2.9518230000000001</x:v>
      </x:c>
      <x:c r="L853">
        <x:f ca="1">IF(AND($B$1012=1,LEN($L$1833)&gt;0),$L$1833,HLOOKUP(INDIRECT(ADDRESS(2,COLUMN())),OFFSET($T$2,0,0,ROW()-1,14),ROW()-1,FALSE))</x:f>
        <x:v>-2.1362009999999998</x:v>
      </x:c>
      <x:c r="M853">
        <x:f ca="1">IF(AND($B$1012=1,LEN($M$1833)&gt;0),$M$1833,HLOOKUP(INDIRECT(ADDRESS(2,COLUMN())),OFFSET($T$2,0,0,ROW()-1,14),ROW()-1,FALSE))</x:f>
        <x:v>-2.9922979999999999</x:v>
      </x:c>
      <x:c r="N853">
        <x:f ca="1">IF(AND($B$1012=1,LEN($N$1833)&gt;0),$N$1833,HLOOKUP(INDIRECT(ADDRESS(2,COLUMN())),OFFSET($T$2,0,0,ROW()-1,14),ROW()-1,FALSE))</x:f>
        <x:v>-2.7031480000000001</x:v>
      </x:c>
      <x:c r="O853">
        <x:f ca="1">IF(AND($B$1012=1,LEN($O$1833)&gt;0),$O$1833,HLOOKUP(INDIRECT(ADDRESS(2,COLUMN())),OFFSET($T$2,0,0,ROW()-1,14),ROW()-1,FALSE))</x:f>
        <x:v>-33.037339000000003</x:v>
      </x:c>
      <x:c r="P853">
        <x:f ca="1">IF(AND($B$1012=1,LEN($P$1833)&gt;0),$P$1833,HLOOKUP(INDIRECT(ADDRESS(2,COLUMN())),OFFSET($T$2,0,0,ROW()-1,14),ROW()-1,FALSE))</x:f>
        <x:v>13.774278000000001</x:v>
      </x:c>
      <x:c r="Q853">
        <x:f ca="1">IF(AND($B$1012=1,LEN($Q$1833)&gt;0),$Q$1833,HLOOKUP(INDIRECT(ADDRESS(2,COLUMN())),OFFSET($T$2,0,0,ROW()-1,14),ROW()-1,FALSE))</x:f>
        <x:v>2.28783</x:v>
      </x:c>
      <x:c r="R853">
        <x:f ca="1">IF(AND($B$1012=1,LEN($R$1833)&gt;0),$R$1833,HLOOKUP(INDIRECT(ADDRESS(2,COLUMN())),OFFSET($T$2,0,0,ROW()-1,14),ROW()-1,FALSE))</x:f>
        <x:v>-3.7705350000000002</x:v>
      </x:c>
      <x:c r="S853">
        <x:f ca="1">IF(AND($B$1012=1,LEN($S$1833)&gt;0),$S$1833,HLOOKUP(INDIRECT(ADDRESS(2,COLUMN())),OFFSET($T$2,0,0,ROW()-1,14),ROW()-1,FALSE))</x:f>
        <x:v>-9.2228639999999995</x:v>
      </x:c>
      <x:c r="T853">
        <x:f>0.940452</x:f>
        <x:v>0.94045199999999995</x:v>
      </x:c>
      <x:c r="U853">
        <x:f>2.741332</x:f>
        <x:v>2.7413319999999999</x:v>
      </x:c>
      <x:c r="V853">
        <x:f>-2.24419</x:f>
        <x:v>-2.2441900000000001</x:v>
      </x:c>
      <x:c r="W853">
        <x:f>-2.826311</x:f>
        <x:v>-2.826311</x:v>
      </x:c>
      <x:c r="X853">
        <x:f>-1.02489</x:f>
        <x:v>-1.0248900000000001</x:v>
      </x:c>
      <x:c r="Y853">
        <x:f>-2.951823</x:f>
        <x:v>-2.9518230000000001</x:v>
      </x:c>
      <x:c r="Z853">
        <x:f>-2.136201</x:f>
        <x:v>-2.1362009999999998</x:v>
      </x:c>
      <x:c r="AA853">
        <x:f>-2.992298</x:f>
        <x:v>-2.9922979999999999</x:v>
      </x:c>
      <x:c r="AB853">
        <x:f>-2.703148</x:f>
        <x:v>-2.7031480000000001</x:v>
      </x:c>
      <x:c r="AC853">
        <x:f>-33.037339</x:f>
        <x:v>-33.037339000000003</x:v>
      </x:c>
      <x:c r="AD853">
        <x:f>13.774278</x:f>
        <x:v>13.774278000000001</x:v>
      </x:c>
      <x:c r="AE853">
        <x:f>2.28783</x:f>
        <x:v>2.28783</x:v>
      </x:c>
      <x:c r="AF853">
        <x:f>-3.770535</x:f>
        <x:v>-3.7705350000000002</x:v>
      </x:c>
      <x:c r="AG853">
        <x:f>-9.222864</x:f>
        <x:v>-9.2228639999999995</x:v>
      </x:c>
    </x:row>
    <x:row r="854" spans="1:33" x14ac:dyDescent="0.25">
      <x:c r="A854" t="str">
        <x:f>"            Columbia India Consumer ETF"</x:f>
        <x:v xml:space="preserve">            Columbia India Consumer ETF</x:v>
      </x:c>
      <x:c r="B854" t="str">
        <x:f>"INCO US Equity"</x:f>
        <x:v>INCO US Equity</x:v>
      </x:c>
      <x:c r="E854" t="str">
        <x:f t="shared" si="35"/>
        <x:v>Expression</x:v>
      </x:c>
      <x:c r="F854">
        <x:f ca="1">IF(AND($B$1012=1,LEN($F$1834)&gt;0),$F$1834,HLOOKUP(INDIRECT(ADDRESS(2,COLUMN())),OFFSET($T$2,0,0,ROW()-1,14),ROW()-1,FALSE))</x:f>
        <x:v>0</x:v>
      </x:c>
      <x:c r="G854">
        <x:f ca="1">IF(AND($B$1012=1,LEN($G$1834)&gt;0),$G$1834,HLOOKUP(INDIRECT(ADDRESS(2,COLUMN())),OFFSET($T$2,0,0,ROW()-1,14),ROW()-1,FALSE))</x:f>
        <x:v>0</x:v>
      </x:c>
      <x:c r="H854">
        <x:f ca="1">IF(AND($B$1012=1,LEN($H$1834)&gt;0),$H$1834,HLOOKUP(INDIRECT(ADDRESS(2,COLUMN())),OFFSET($T$2,0,0,ROW()-1,14),ROW()-1,FALSE))</x:f>
        <x:v>0</x:v>
      </x:c>
      <x:c r="I854">
        <x:f ca="1">IF(AND($B$1012=1,LEN($I$1834)&gt;0),$I$1834,HLOOKUP(INDIRECT(ADDRESS(2,COLUMN())),OFFSET($T$2,0,0,ROW()-1,14),ROW()-1,FALSE))</x:f>
        <x:v>0</x:v>
      </x:c>
      <x:c r="J854">
        <x:f ca="1">IF(AND($B$1012=1,LEN($J$1834)&gt;0),$J$1834,HLOOKUP(INDIRECT(ADDRESS(2,COLUMN())),OFFSET($T$2,0,0,ROW()-1,14),ROW()-1,FALSE))</x:f>
        <x:v>26.174769000000001</x:v>
      </x:c>
      <x:c r="K854">
        <x:f ca="1">IF(AND($B$1012=1,LEN($K$1834)&gt;0),$K$1834,HLOOKUP(INDIRECT(ADDRESS(2,COLUMN())),OFFSET($T$2,0,0,ROW()-1,14),ROW()-1,FALSE))</x:f>
        <x:v>5.0087999999999999</x:v>
      </x:c>
      <x:c r="L854">
        <x:f ca="1">IF(AND($B$1012=1,LEN($L$1834)&gt;0),$L$1834,HLOOKUP(INDIRECT(ADDRESS(2,COLUMN())),OFFSET($T$2,0,0,ROW()-1,14),ROW()-1,FALSE))</x:f>
        <x:v>2.4627940000000001</x:v>
      </x:c>
      <x:c r="M854">
        <x:f ca="1">IF(AND($B$1012=1,LEN($M$1834)&gt;0),$M$1834,HLOOKUP(INDIRECT(ADDRESS(2,COLUMN())),OFFSET($T$2,0,0,ROW()-1,14),ROW()-1,FALSE))</x:f>
        <x:v>0</x:v>
      </x:c>
      <x:c r="N854">
        <x:f ca="1">IF(AND($B$1012=1,LEN($N$1834)&gt;0),$N$1834,HLOOKUP(INDIRECT(ADDRESS(2,COLUMN())),OFFSET($T$2,0,0,ROW()-1,14),ROW()-1,FALSE))</x:f>
        <x:v>0</x:v>
      </x:c>
      <x:c r="O854">
        <x:f ca="1">IF(AND($B$1012=1,LEN($O$1834)&gt;0),$O$1834,HLOOKUP(INDIRECT(ADDRESS(2,COLUMN())),OFFSET($T$2,0,0,ROW()-1,14),ROW()-1,FALSE))</x:f>
        <x:v>0</x:v>
      </x:c>
      <x:c r="P854">
        <x:f ca="1">IF(AND($B$1012=1,LEN($P$1834)&gt;0),$P$1834,HLOOKUP(INDIRECT(ADDRESS(2,COLUMN())),OFFSET($T$2,0,0,ROW()-1,14),ROW()-1,FALSE))</x:f>
        <x:v>2.2860269999999998</x:v>
      </x:c>
      <x:c r="Q854">
        <x:f ca="1">IF(AND($B$1012=1,LEN($Q$1834)&gt;0),$Q$1834,HLOOKUP(INDIRECT(ADDRESS(2,COLUMN())),OFFSET($T$2,0,0,ROW()-1,14),ROW()-1,FALSE))</x:f>
        <x:v>0</x:v>
      </x:c>
      <x:c r="R854">
        <x:f ca="1">IF(AND($B$1012=1,LEN($R$1834)&gt;0),$R$1834,HLOOKUP(INDIRECT(ADDRESS(2,COLUMN())),OFFSET($T$2,0,0,ROW()-1,14),ROW()-1,FALSE))</x:f>
        <x:v>0</x:v>
      </x:c>
      <x:c r="S854">
        <x:f ca="1">IF(AND($B$1012=1,LEN($S$1834)&gt;0),$S$1834,HLOOKUP(INDIRECT(ADDRESS(2,COLUMN())),OFFSET($T$2,0,0,ROW()-1,14),ROW()-1,FALSE))</x:f>
        <x:v>0</x:v>
      </x:c>
      <x:c r="T854">
        <x:f>0</x:f>
        <x:v>0</x:v>
      </x:c>
      <x:c r="U854">
        <x:f>0</x:f>
        <x:v>0</x:v>
      </x:c>
      <x:c r="V854">
        <x:f>0</x:f>
        <x:v>0</x:v>
      </x:c>
      <x:c r="W854">
        <x:f>0</x:f>
        <x:v>0</x:v>
      </x:c>
      <x:c r="X854">
        <x:f>26.174769</x:f>
        <x:v>26.174769000000001</x:v>
      </x:c>
      <x:c r="Y854">
        <x:f>5.0088</x:f>
        <x:v>5.0087999999999999</x:v>
      </x:c>
      <x:c r="Z854">
        <x:f>2.462794</x:f>
        <x:v>2.4627940000000001</x:v>
      </x:c>
      <x:c r="AA854">
        <x:f>0</x:f>
        <x:v>0</x:v>
      </x:c>
      <x:c r="AB854">
        <x:f>0</x:f>
        <x:v>0</x:v>
      </x:c>
      <x:c r="AC854">
        <x:f>0</x:f>
        <x:v>0</x:v>
      </x:c>
      <x:c r="AD854">
        <x:f>2.286027</x:f>
        <x:v>2.2860269999999998</x:v>
      </x:c>
      <x:c r="AE854">
        <x:f>0</x:f>
        <x:v>0</x:v>
      </x:c>
      <x:c r="AF854">
        <x:f>0</x:f>
        <x:v>0</x:v>
      </x:c>
      <x:c r="AG854">
        <x:f>0</x:f>
        <x:v>0</x:v>
      </x:c>
    </x:row>
    <x:row r="855" spans="1:33" x14ac:dyDescent="0.25">
      <x:c r="A855" t="str">
        <x:f>"            Columbia Emerging Markets Cons"</x:f>
        <x:v xml:space="preserve">            Columbia Emerging Markets Cons</x:v>
      </x:c>
      <x:c r="B855" t="str">
        <x:f>"ECON US Equity"</x:f>
        <x:v>ECON US Equity</x:v>
      </x:c>
      <x:c r="E855" t="str">
        <x:f t="shared" si="35"/>
        <x:v>Expression</x:v>
      </x:c>
      <x:c r="F855">
        <x:f ca="1">IF(AND($B$1012=1,LEN($F$1835)&gt;0),$F$1835,HLOOKUP(INDIRECT(ADDRESS(2,COLUMN())),OFFSET($T$2,0,0,ROW()-1,14),ROW()-1,FALSE))</x:f>
        <x:v>0</x:v>
      </x:c>
      <x:c r="G855">
        <x:f ca="1">IF(AND($B$1012=1,LEN($G$1835)&gt;0),$G$1835,HLOOKUP(INDIRECT(ADDRESS(2,COLUMN())),OFFSET($T$2,0,0,ROW()-1,14),ROW()-1,FALSE))</x:f>
        <x:v>-1.9773829999999999</x:v>
      </x:c>
      <x:c r="H855">
        <x:f ca="1">IF(AND($B$1012=1,LEN($H$1835)&gt;0),$H$1835,HLOOKUP(INDIRECT(ADDRESS(2,COLUMN())),OFFSET($T$2,0,0,ROW()-1,14),ROW()-1,FALSE))</x:f>
        <x:v>0</x:v>
      </x:c>
      <x:c r="I855">
        <x:f ca="1">IF(AND($B$1012=1,LEN($I$1835)&gt;0),$I$1835,HLOOKUP(INDIRECT(ADDRESS(2,COLUMN())),OFFSET($T$2,0,0,ROW()-1,14),ROW()-1,FALSE))</x:f>
        <x:v>-2.1257000000000001</x:v>
      </x:c>
      <x:c r="J855">
        <x:f ca="1">IF(AND($B$1012=1,LEN($J$1835)&gt;0),$J$1835,HLOOKUP(INDIRECT(ADDRESS(2,COLUMN())),OFFSET($T$2,0,0,ROW()-1,14),ROW()-1,FALSE))</x:f>
        <x:v>0</x:v>
      </x:c>
      <x:c r="K855">
        <x:f ca="1">IF(AND($B$1012=1,LEN($K$1835)&gt;0),$K$1835,HLOOKUP(INDIRECT(ADDRESS(2,COLUMN())),OFFSET($T$2,0,0,ROW()-1,14),ROW()-1,FALSE))</x:f>
        <x:v>-2.0379999999999998</x:v>
      </x:c>
      <x:c r="L855">
        <x:f ca="1">IF(AND($B$1012=1,LEN($L$1835)&gt;0),$L$1835,HLOOKUP(INDIRECT(ADDRESS(2,COLUMN())),OFFSET($T$2,0,0,ROW()-1,14),ROW()-1,FALSE))</x:f>
        <x:v>-12.999275000000001</x:v>
      </x:c>
      <x:c r="M855">
        <x:f ca="1">IF(AND($B$1012=1,LEN($M$1835)&gt;0),$M$1835,HLOOKUP(INDIRECT(ADDRESS(2,COLUMN())),OFFSET($T$2,0,0,ROW()-1,14),ROW()-1,FALSE))</x:f>
        <x:v>-0.99623600000000001</x:v>
      </x:c>
      <x:c r="N855">
        <x:f ca="1">IF(AND($B$1012=1,LEN($N$1835)&gt;0),$N$1835,HLOOKUP(INDIRECT(ADDRESS(2,COLUMN())),OFFSET($T$2,0,0,ROW()-1,14),ROW()-1,FALSE))</x:f>
        <x:v>-1.9567000000000001</x:v>
      </x:c>
      <x:c r="O855">
        <x:f ca="1">IF(AND($B$1012=1,LEN($O$1835)&gt;0),$O$1835,HLOOKUP(INDIRECT(ADDRESS(2,COLUMN())),OFFSET($T$2,0,0,ROW()-1,14),ROW()-1,FALSE))</x:f>
        <x:v>0</x:v>
      </x:c>
      <x:c r="P855">
        <x:f ca="1">IF(AND($B$1012=1,LEN($P$1835)&gt;0),$P$1835,HLOOKUP(INDIRECT(ADDRESS(2,COLUMN())),OFFSET($T$2,0,0,ROW()-1,14),ROW()-1,FALSE))</x:f>
        <x:v>6.3483720000000003</x:v>
      </x:c>
      <x:c r="Q855">
        <x:f ca="1">IF(AND($B$1012=1,LEN($Q$1835)&gt;0),$Q$1835,HLOOKUP(INDIRECT(ADDRESS(2,COLUMN())),OFFSET($T$2,0,0,ROW()-1,14),ROW()-1,FALSE))</x:f>
        <x:v>-8.0496289999999995</x:v>
      </x:c>
      <x:c r="R855">
        <x:f ca="1">IF(AND($B$1012=1,LEN($R$1835)&gt;0),$R$1835,HLOOKUP(INDIRECT(ADDRESS(2,COLUMN())),OFFSET($T$2,0,0,ROW()-1,14),ROW()-1,FALSE))</x:f>
        <x:v>-5.8420509999999997</x:v>
      </x:c>
      <x:c r="S855">
        <x:f ca="1">IF(AND($B$1012=1,LEN($S$1835)&gt;0),$S$1835,HLOOKUP(INDIRECT(ADDRESS(2,COLUMN())),OFFSET($T$2,0,0,ROW()-1,14),ROW()-1,FALSE))</x:f>
        <x:v>0</x:v>
      </x:c>
      <x:c r="T855">
        <x:f>0</x:f>
        <x:v>0</x:v>
      </x:c>
      <x:c r="U855">
        <x:f>-1.977383</x:f>
        <x:v>-1.9773829999999999</x:v>
      </x:c>
      <x:c r="V855">
        <x:f>0</x:f>
        <x:v>0</x:v>
      </x:c>
      <x:c r="W855">
        <x:f>-2.1257</x:f>
        <x:v>-2.1257000000000001</x:v>
      </x:c>
      <x:c r="X855">
        <x:f>0</x:f>
        <x:v>0</x:v>
      </x:c>
      <x:c r="Y855">
        <x:f>-2.038</x:f>
        <x:v>-2.0379999999999998</x:v>
      </x:c>
      <x:c r="Z855">
        <x:f>-12.999275</x:f>
        <x:v>-12.999275000000001</x:v>
      </x:c>
      <x:c r="AA855">
        <x:f>-0.996236</x:f>
        <x:v>-0.99623600000000001</x:v>
      </x:c>
      <x:c r="AB855">
        <x:f>-1.9567</x:f>
        <x:v>-1.9567000000000001</x:v>
      </x:c>
      <x:c r="AC855">
        <x:f>0</x:f>
        <x:v>0</x:v>
      </x:c>
      <x:c r="AD855">
        <x:f>6.348372</x:f>
        <x:v>6.3483720000000003</x:v>
      </x:c>
      <x:c r="AE855">
        <x:f>-8.049629</x:f>
        <x:v>-8.0496289999999995</x:v>
      </x:c>
      <x:c r="AF855">
        <x:f>-5.842051</x:f>
        <x:v>-5.8420509999999997</x:v>
      </x:c>
      <x:c r="AG855">
        <x:f>0</x:f>
        <x:v>0</x:v>
      </x:c>
    </x:row>
    <x:row r="856" spans="1:33" x14ac:dyDescent="0.25">
      <x:c r="A856" t="str">
        <x:f>"            Global X Funds Global X Health"</x:f>
        <x:v xml:space="preserve">            Global X Funds Global X Health</x:v>
      </x:c>
      <x:c r="B856" t="str">
        <x:f>"BFIT US Equity"</x:f>
        <x:v>BFIT US Equity</x:v>
      </x:c>
      <x:c r="E856" t="str">
        <x:f t="shared" si="35"/>
        <x:v>Expression</x:v>
      </x:c>
      <x:c r="F856">
        <x:f ca="1">IF(AND($B$1012=1,LEN($F$1836)&gt;0),$F$1836,HLOOKUP(INDIRECT(ADDRESS(2,COLUMN())),OFFSET($T$2,0,0,ROW()-1,14),ROW()-1,FALSE))</x:f>
        <x:v>0</x:v>
      </x:c>
      <x:c r="G856">
        <x:f ca="1">IF(AND($B$1012=1,LEN($G$1836)&gt;0),$G$1836,HLOOKUP(INDIRECT(ADDRESS(2,COLUMN())),OFFSET($T$2,0,0,ROW()-1,14),ROW()-1,FALSE))</x:f>
        <x:v>0</x:v>
      </x:c>
      <x:c r="H856">
        <x:f ca="1">IF(AND($B$1012=1,LEN($H$1836)&gt;0),$H$1836,HLOOKUP(INDIRECT(ADDRESS(2,COLUMN())),OFFSET($T$2,0,0,ROW()-1,14),ROW()-1,FALSE))</x:f>
        <x:v>-4.1022999999999996</x:v>
      </x:c>
      <x:c r="I856">
        <x:f ca="1">IF(AND($B$1012=1,LEN($I$1836)&gt;0),$I$1836,HLOOKUP(INDIRECT(ADDRESS(2,COLUMN())),OFFSET($T$2,0,0,ROW()-1,14),ROW()-1,FALSE))</x:f>
        <x:v>-1.6155999999999999</x:v>
      </x:c>
      <x:c r="J856">
        <x:f ca="1">IF(AND($B$1012=1,LEN($J$1836)&gt;0),$J$1836,HLOOKUP(INDIRECT(ADDRESS(2,COLUMN())),OFFSET($T$2,0,0,ROW()-1,14),ROW()-1,FALSE))</x:f>
        <x:v>0</x:v>
      </x:c>
      <x:c r="K856">
        <x:f ca="1">IF(AND($B$1012=1,LEN($K$1836)&gt;0),$K$1836,HLOOKUP(INDIRECT(ADDRESS(2,COLUMN())),OFFSET($T$2,0,0,ROW()-1,14),ROW()-1,FALSE))</x:f>
        <x:v>-1.0605</x:v>
      </x:c>
      <x:c r="L856">
        <x:f ca="1">IF(AND($B$1012=1,LEN($L$1836)&gt;0),$L$1836,HLOOKUP(INDIRECT(ADDRESS(2,COLUMN())),OFFSET($T$2,0,0,ROW()-1,14),ROW()-1,FALSE))</x:f>
        <x:v>-3.5937999999999999</x:v>
      </x:c>
      <x:c r="M856">
        <x:f ca="1">IF(AND($B$1012=1,LEN($M$1836)&gt;0),$M$1836,HLOOKUP(INDIRECT(ADDRESS(2,COLUMN())),OFFSET($T$2,0,0,ROW()-1,14),ROW()-1,FALSE))</x:f>
        <x:v>-0.46739999999999998</x:v>
      </x:c>
      <x:c r="N856">
        <x:f ca="1">IF(AND($B$1012=1,LEN($N$1836)&gt;0),$N$1836,HLOOKUP(INDIRECT(ADDRESS(2,COLUMN())),OFFSET($T$2,0,0,ROW()-1,14),ROW()-1,FALSE))</x:f>
        <x:v>-0.45</x:v>
      </x:c>
      <x:c r="O856">
        <x:f ca="1">IF(AND($B$1012=1,LEN($O$1836)&gt;0),$O$1836,HLOOKUP(INDIRECT(ADDRESS(2,COLUMN())),OFFSET($T$2,0,0,ROW()-1,14),ROW()-1,FALSE))</x:f>
        <x:v>0</x:v>
      </x:c>
      <x:c r="P856">
        <x:f ca="1">IF(AND($B$1012=1,LEN($P$1836)&gt;0),$P$1836,HLOOKUP(INDIRECT(ADDRESS(2,COLUMN())),OFFSET($T$2,0,0,ROW()-1,14),ROW()-1,FALSE))</x:f>
        <x:v>-2.0411999999999999</x:v>
      </x:c>
      <x:c r="Q856">
        <x:f ca="1">IF(AND($B$1012=1,LEN($Q$1836)&gt;0),$Q$1836,HLOOKUP(INDIRECT(ADDRESS(2,COLUMN())),OFFSET($T$2,0,0,ROW()-1,14),ROW()-1,FALSE))</x:f>
        <x:v>0</x:v>
      </x:c>
      <x:c r="R856">
        <x:f ca="1">IF(AND($B$1012=1,LEN($R$1836)&gt;0),$R$1836,HLOOKUP(INDIRECT(ADDRESS(2,COLUMN())),OFFSET($T$2,0,0,ROW()-1,14),ROW()-1,FALSE))</x:f>
        <x:v>0</x:v>
      </x:c>
      <x:c r="S856">
        <x:f ca="1">IF(AND($B$1012=1,LEN($S$1836)&gt;0),$S$1836,HLOOKUP(INDIRECT(ADDRESS(2,COLUMN())),OFFSET($T$2,0,0,ROW()-1,14),ROW()-1,FALSE))</x:f>
        <x:v>-0.184</x:v>
      </x:c>
      <x:c r="T856">
        <x:f>0</x:f>
        <x:v>0</x:v>
      </x:c>
      <x:c r="U856">
        <x:f>0</x:f>
        <x:v>0</x:v>
      </x:c>
      <x:c r="V856">
        <x:f>-4.1023</x:f>
        <x:v>-4.1022999999999996</x:v>
      </x:c>
      <x:c r="W856">
        <x:f>-1.6156</x:f>
        <x:v>-1.6155999999999999</x:v>
      </x:c>
      <x:c r="X856">
        <x:f>0</x:f>
        <x:v>0</x:v>
      </x:c>
      <x:c r="Y856">
        <x:f>-1.0605</x:f>
        <x:v>-1.0605</x:v>
      </x:c>
      <x:c r="Z856">
        <x:f>-3.5938</x:f>
        <x:v>-3.5937999999999999</x:v>
      </x:c>
      <x:c r="AA856">
        <x:f>-0.4674</x:f>
        <x:v>-0.46739999999999998</x:v>
      </x:c>
      <x:c r="AB856">
        <x:f>-0.45</x:f>
        <x:v>-0.45</x:v>
      </x:c>
      <x:c r="AC856">
        <x:f>0</x:f>
        <x:v>0</x:v>
      </x:c>
      <x:c r="AD856">
        <x:f>-2.0412</x:f>
        <x:v>-2.0411999999999999</x:v>
      </x:c>
      <x:c r="AE856">
        <x:f>0</x:f>
        <x:v>0</x:v>
      </x:c>
      <x:c r="AF856">
        <x:f>0</x:f>
        <x:v>0</x:v>
      </x:c>
      <x:c r="AG856">
        <x:f>-0.184</x:f>
        <x:v>-0.184</x:v>
      </x:c>
    </x:row>
    <x:row r="857" spans="1:33" x14ac:dyDescent="0.25">
      <x:c r="A857" t="str">
        <x:f>"            The Health and Fitness ETF"</x:f>
        <x:v xml:space="preserve">            The Health and Fitness ETF</x:v>
      </x:c>
      <x:c r="B857" t="str">
        <x:f>"FITS US Equity"</x:f>
        <x:v>FITS US Equity</x:v>
      </x:c>
      <x:c r="E857" t="str">
        <x:f t="shared" si="35"/>
        <x:v>Expression</x:v>
      </x:c>
      <x:c r="F857" t="str">
        <x:f ca="1">IF(AND($B$1012=1,LEN($F$1837)&gt;0),$F$1837,HLOOKUP(INDIRECT(ADDRESS(2,COLUMN())),OFFSET($T$2,0,0,ROW()-1,14),ROW()-1,FALSE))</x:f>
        <x:v/>
      </x:c>
      <x:c r="G857" t="str">
        <x:f ca="1">IF(AND($B$1012=1,LEN($G$1837)&gt;0),$G$1837,HLOOKUP(INDIRECT(ADDRESS(2,COLUMN())),OFFSET($T$2,0,0,ROW()-1,14),ROW()-1,FALSE))</x:f>
        <x:v/>
      </x:c>
      <x:c r="H857" t="str">
        <x:f ca="1">IF(AND($B$1012=1,LEN($H$1837)&gt;0),$H$1837,HLOOKUP(INDIRECT(ADDRESS(2,COLUMN())),OFFSET($T$2,0,0,ROW()-1,14),ROW()-1,FALSE))</x:f>
        <x:v/>
      </x:c>
      <x:c r="I857" t="str">
        <x:f ca="1">IF(AND($B$1012=1,LEN($I$1837)&gt;0),$I$1837,HLOOKUP(INDIRECT(ADDRESS(2,COLUMN())),OFFSET($T$2,0,0,ROW()-1,14),ROW()-1,FALSE))</x:f>
        <x:v/>
      </x:c>
      <x:c r="J857" t="str">
        <x:f ca="1">IF(AND($B$1012=1,LEN($J$1837)&gt;0),$J$1837,HLOOKUP(INDIRECT(ADDRESS(2,COLUMN())),OFFSET($T$2,0,0,ROW()-1,14),ROW()-1,FALSE))</x:f>
        <x:v/>
      </x:c>
      <x:c r="K857" t="str">
        <x:f ca="1">IF(AND($B$1012=1,LEN($K$1837)&gt;0),$K$1837,HLOOKUP(INDIRECT(ADDRESS(2,COLUMN())),OFFSET($T$2,0,0,ROW()-1,14),ROW()-1,FALSE))</x:f>
        <x:v/>
      </x:c>
      <x:c r="L857" t="str">
        <x:f ca="1">IF(AND($B$1012=1,LEN($L$1837)&gt;0),$L$1837,HLOOKUP(INDIRECT(ADDRESS(2,COLUMN())),OFFSET($T$2,0,0,ROW()-1,14),ROW()-1,FALSE))</x:f>
        <x:v/>
      </x:c>
      <x:c r="M857" t="str">
        <x:f ca="1">IF(AND($B$1012=1,LEN($M$1837)&gt;0),$M$1837,HLOOKUP(INDIRECT(ADDRESS(2,COLUMN())),OFFSET($T$2,0,0,ROW()-1,14),ROW()-1,FALSE))</x:f>
        <x:v/>
      </x:c>
      <x:c r="N857" t="str">
        <x:f ca="1">IF(AND($B$1012=1,LEN($N$1837)&gt;0),$N$1837,HLOOKUP(INDIRECT(ADDRESS(2,COLUMN())),OFFSET($T$2,0,0,ROW()-1,14),ROW()-1,FALSE))</x:f>
        <x:v/>
      </x:c>
      <x:c r="O857" t="str">
        <x:f ca="1">IF(AND($B$1012=1,LEN($O$1837)&gt;0),$O$1837,HLOOKUP(INDIRECT(ADDRESS(2,COLUMN())),OFFSET($T$2,0,0,ROW()-1,14),ROW()-1,FALSE))</x:f>
        <x:v/>
      </x:c>
      <x:c r="P857" t="str">
        <x:f ca="1">IF(AND($B$1012=1,LEN($P$1837)&gt;0),$P$1837,HLOOKUP(INDIRECT(ADDRESS(2,COLUMN())),OFFSET($T$2,0,0,ROW()-1,14),ROW()-1,FALSE))</x:f>
        <x:v/>
      </x:c>
      <x:c r="Q857" t="str">
        <x:f ca="1">IF(AND($B$1012=1,LEN($Q$1837)&gt;0),$Q$1837,HLOOKUP(INDIRECT(ADDRESS(2,COLUMN())),OFFSET($T$2,0,0,ROW()-1,14),ROW()-1,FALSE))</x:f>
        <x:v/>
      </x:c>
      <x:c r="R857" t="str">
        <x:f ca="1">IF(AND($B$1012=1,LEN($R$1837)&gt;0),$R$1837,HLOOKUP(INDIRECT(ADDRESS(2,COLUMN())),OFFSET($T$2,0,0,ROW()-1,14),ROW()-1,FALSE))</x:f>
        <x:v/>
      </x:c>
      <x:c r="S857" t="str">
        <x:f ca="1">IF(AND($B$1012=1,LEN($S$1837)&gt;0),$S$1837,HLOOKUP(INDIRECT(ADDRESS(2,COLUMN())),OFFSET($T$2,0,0,ROW()-1,14),ROW()-1,FALSE))</x:f>
        <x:v/>
      </x:c>
      <x:c r="T857" t="str">
        <x:f>""</x:f>
        <x:v/>
      </x:c>
      <x:c r="U857" t="str">
        <x:f>""</x:f>
        <x:v/>
      </x:c>
      <x:c r="V857" t="str">
        <x:f>""</x:f>
        <x:v/>
      </x:c>
      <x:c r="W857" t="str">
        <x:f>""</x:f>
        <x:v/>
      </x:c>
      <x:c r="X857" t="str">
        <x:f>""</x:f>
        <x:v/>
      </x:c>
      <x:c r="Y857" t="str">
        <x:f>""</x:f>
        <x:v/>
      </x:c>
      <x:c r="Z857" t="str">
        <x:f>""</x:f>
        <x:v/>
      </x:c>
      <x:c r="AA857" t="str">
        <x:f>""</x:f>
        <x:v/>
      </x:c>
      <x:c r="AB857" t="str">
        <x:f>""</x:f>
        <x:v/>
      </x:c>
      <x:c r="AC857" t="str">
        <x:f>""</x:f>
        <x:v/>
      </x:c>
      <x:c r="AD857" t="str">
        <x:f>""</x:f>
        <x:v/>
      </x:c>
      <x:c r="AE857" t="str">
        <x:f>""</x:f>
        <x:v/>
      </x:c>
      <x:c r="AF857" t="str">
        <x:f>""</x:f>
        <x:v/>
      </x:c>
      <x:c r="AG857" t="str">
        <x:f>""</x:f>
        <x:v/>
      </x:c>
    </x:row>
    <x:row r="858" spans="1:33" x14ac:dyDescent="0.25">
      <x:c r="A858" t="str">
        <x:f>"            Amplify Emerging Markets FinTe"</x:f>
        <x:v xml:space="preserve">            Amplify Emerging Markets FinTe</x:v>
      </x:c>
      <x:c r="B858" t="str">
        <x:f>"XBUY US Equity"</x:f>
        <x:v>XBUY US Equity</x:v>
      </x:c>
      <x:c r="E858" t="str">
        <x:f t="shared" si="35"/>
        <x:v>Expression</x:v>
      </x:c>
      <x:c r="F858">
        <x:f ca="1">IF(AND($B$1012=1,LEN($F$1838)&gt;0),$F$1838,HLOOKUP(INDIRECT(ADDRESS(2,COLUMN())),OFFSET($T$2,0,0,ROW()-1,14),ROW()-1,FALSE))</x:f>
        <x:v>0</x:v>
      </x:c>
      <x:c r="G858">
        <x:f ca="1">IF(AND($B$1012=1,LEN($G$1838)&gt;0),$G$1838,HLOOKUP(INDIRECT(ADDRESS(2,COLUMN())),OFFSET($T$2,0,0,ROW()-1,14),ROW()-1,FALSE))</x:f>
        <x:v>0</x:v>
      </x:c>
      <x:c r="H858">
        <x:f ca="1">IF(AND($B$1012=1,LEN($H$1838)&gt;0),$H$1838,HLOOKUP(INDIRECT(ADDRESS(2,COLUMN())),OFFSET($T$2,0,0,ROW()-1,14),ROW()-1,FALSE))</x:f>
        <x:v>0</x:v>
      </x:c>
      <x:c r="I858">
        <x:f ca="1">IF(AND($B$1012=1,LEN($I$1838)&gt;0),$I$1838,HLOOKUP(INDIRECT(ADDRESS(2,COLUMN())),OFFSET($T$2,0,0,ROW()-1,14),ROW()-1,FALSE))</x:f>
        <x:v>0</x:v>
      </x:c>
      <x:c r="J858">
        <x:f ca="1">IF(AND($B$1012=1,LEN($J$1838)&gt;0),$J$1838,HLOOKUP(INDIRECT(ADDRESS(2,COLUMN())),OFFSET($T$2,0,0,ROW()-1,14),ROW()-1,FALSE))</x:f>
        <x:v>0</x:v>
      </x:c>
      <x:c r="K858">
        <x:f ca="1">IF(AND($B$1012=1,LEN($K$1838)&gt;0),$K$1838,HLOOKUP(INDIRECT(ADDRESS(2,COLUMN())),OFFSET($T$2,0,0,ROW()-1,14),ROW()-1,FALSE))</x:f>
        <x:v>0</x:v>
      </x:c>
      <x:c r="L858">
        <x:f ca="1">IF(AND($B$1012=1,LEN($L$1838)&gt;0),$L$1838,HLOOKUP(INDIRECT(ADDRESS(2,COLUMN())),OFFSET($T$2,0,0,ROW()-1,14),ROW()-1,FALSE))</x:f>
        <x:v>0</x:v>
      </x:c>
      <x:c r="M858">
        <x:f ca="1">IF(AND($B$1012=1,LEN($M$1838)&gt;0),$M$1838,HLOOKUP(INDIRECT(ADDRESS(2,COLUMN())),OFFSET($T$2,0,0,ROW()-1,14),ROW()-1,FALSE))</x:f>
        <x:v>-0.52640500000000001</x:v>
      </x:c>
      <x:c r="N858">
        <x:f ca="1">IF(AND($B$1012=1,LEN($N$1838)&gt;0),$N$1838,HLOOKUP(INDIRECT(ADDRESS(2,COLUMN())),OFFSET($T$2,0,0,ROW()-1,14),ROW()-1,FALSE))</x:f>
        <x:v>0</x:v>
      </x:c>
      <x:c r="O858">
        <x:f ca="1">IF(AND($B$1012=1,LEN($O$1838)&gt;0),$O$1838,HLOOKUP(INDIRECT(ADDRESS(2,COLUMN())),OFFSET($T$2,0,0,ROW()-1,14),ROW()-1,FALSE))</x:f>
        <x:v>0</x:v>
      </x:c>
      <x:c r="P858">
        <x:f ca="1">IF(AND($B$1012=1,LEN($P$1838)&gt;0),$P$1838,HLOOKUP(INDIRECT(ADDRESS(2,COLUMN())),OFFSET($T$2,0,0,ROW()-1,14),ROW()-1,FALSE))</x:f>
        <x:v>0</x:v>
      </x:c>
      <x:c r="Q858">
        <x:f ca="1">IF(AND($B$1012=1,LEN($Q$1838)&gt;0),$Q$1838,HLOOKUP(INDIRECT(ADDRESS(2,COLUMN())),OFFSET($T$2,0,0,ROW()-1,14),ROW()-1,FALSE))</x:f>
        <x:v>0</x:v>
      </x:c>
      <x:c r="R858">
        <x:f ca="1">IF(AND($B$1012=1,LEN($R$1838)&gt;0),$R$1838,HLOOKUP(INDIRECT(ADDRESS(2,COLUMN())),OFFSET($T$2,0,0,ROW()-1,14),ROW()-1,FALSE))</x:f>
        <x:v>0</x:v>
      </x:c>
      <x:c r="S858">
        <x:f ca="1">IF(AND($B$1012=1,LEN($S$1838)&gt;0),$S$1838,HLOOKUP(INDIRECT(ADDRESS(2,COLUMN())),OFFSET($T$2,0,0,ROW()-1,14),ROW()-1,FALSE))</x:f>
        <x:v>0</x:v>
      </x:c>
      <x:c r="T858">
        <x:f>0</x:f>
        <x:v>0</x:v>
      </x:c>
      <x:c r="U858">
        <x:f>0</x:f>
        <x:v>0</x:v>
      </x:c>
      <x:c r="V858">
        <x:f>0</x:f>
        <x:v>0</x:v>
      </x:c>
      <x:c r="W858">
        <x:f>0</x:f>
        <x:v>0</x:v>
      </x:c>
      <x:c r="X858">
        <x:f>0</x:f>
        <x:v>0</x:v>
      </x:c>
      <x:c r="Y858">
        <x:f>0</x:f>
        <x:v>0</x:v>
      </x:c>
      <x:c r="Z858">
        <x:f>0</x:f>
        <x:v>0</x:v>
      </x:c>
      <x:c r="AA858">
        <x:f>-0.526405</x:f>
        <x:v>-0.52640500000000001</x:v>
      </x:c>
      <x:c r="AB858">
        <x:f>0</x:f>
        <x:v>0</x:v>
      </x:c>
      <x:c r="AC858">
        <x:f>0</x:f>
        <x:v>0</x:v>
      </x:c>
      <x:c r="AD858">
        <x:f>0</x:f>
        <x:v>0</x:v>
      </x:c>
      <x:c r="AE858">
        <x:f>0</x:f>
        <x:v>0</x:v>
      </x:c>
      <x:c r="AF858">
        <x:f>0</x:f>
        <x:v>0</x:v>
      </x:c>
      <x:c r="AG858">
        <x:f>0</x:f>
        <x:v>0</x:v>
      </x:c>
    </x:row>
    <x:row r="859" spans="1:33" x14ac:dyDescent="0.25">
      <x:c r="A859" t="str">
        <x:f>"            Franklin Disruptive Commerce E"</x:f>
        <x:v xml:space="preserve">            Franklin Disruptive Commerce E</x:v>
      </x:c>
      <x:c r="B859" t="str">
        <x:f>"BUYZ US Equity"</x:f>
        <x:v>BUYZ US Equity</x:v>
      </x:c>
      <x:c r="E859" t="str">
        <x:f t="shared" si="35"/>
        <x:v>Expression</x:v>
      </x:c>
      <x:c r="F859">
        <x:f ca="1">IF(AND($B$1012=1,LEN($F$1839)&gt;0),$F$1839,HLOOKUP(INDIRECT(ADDRESS(2,COLUMN())),OFFSET($T$2,0,0,ROW()-1,14),ROW()-1,FALSE))</x:f>
        <x:v>0</x:v>
      </x:c>
      <x:c r="G859">
        <x:f ca="1">IF(AND($B$1012=1,LEN($G$1839)&gt;0),$G$1839,HLOOKUP(INDIRECT(ADDRESS(2,COLUMN())),OFFSET($T$2,0,0,ROW()-1,14),ROW()-1,FALSE))</x:f>
        <x:v>-1.1627069999999999</x:v>
      </x:c>
      <x:c r="H859">
        <x:f ca="1">IF(AND($B$1012=1,LEN($H$1839)&gt;0),$H$1839,HLOOKUP(INDIRECT(ADDRESS(2,COLUMN())),OFFSET($T$2,0,0,ROW()-1,14),ROW()-1,FALSE))</x:f>
        <x:v>0</x:v>
      </x:c>
      <x:c r="I859">
        <x:f ca="1">IF(AND($B$1012=1,LEN($I$1839)&gt;0),$I$1839,HLOOKUP(INDIRECT(ADDRESS(2,COLUMN())),OFFSET($T$2,0,0,ROW()-1,14),ROW()-1,FALSE))</x:f>
        <x:v>0</x:v>
      </x:c>
      <x:c r="J859">
        <x:f ca="1">IF(AND($B$1012=1,LEN($J$1839)&gt;0),$J$1839,HLOOKUP(INDIRECT(ADDRESS(2,COLUMN())),OFFSET($T$2,0,0,ROW()-1,14),ROW()-1,FALSE))</x:f>
        <x:v>0</x:v>
      </x:c>
      <x:c r="K859">
        <x:f ca="1">IF(AND($B$1012=1,LEN($K$1839)&gt;0),$K$1839,HLOOKUP(INDIRECT(ADDRESS(2,COLUMN())),OFFSET($T$2,0,0,ROW()-1,14),ROW()-1,FALSE))</x:f>
        <x:v>0</x:v>
      </x:c>
      <x:c r="L859">
        <x:f ca="1">IF(AND($B$1012=1,LEN($L$1839)&gt;0),$L$1839,HLOOKUP(INDIRECT(ADDRESS(2,COLUMN())),OFFSET($T$2,0,0,ROW()-1,14),ROW()-1,FALSE))</x:f>
        <x:v>0</x:v>
      </x:c>
      <x:c r="M859">
        <x:f ca="1">IF(AND($B$1012=1,LEN($M$1839)&gt;0),$M$1839,HLOOKUP(INDIRECT(ADDRESS(2,COLUMN())),OFFSET($T$2,0,0,ROW()-1,14),ROW()-1,FALSE))</x:f>
        <x:v>0</x:v>
      </x:c>
      <x:c r="N859">
        <x:f ca="1">IF(AND($B$1012=1,LEN($N$1839)&gt;0),$N$1839,HLOOKUP(INDIRECT(ADDRESS(2,COLUMN())),OFFSET($T$2,0,0,ROW()-1,14),ROW()-1,FALSE))</x:f>
        <x:v>0</x:v>
      </x:c>
      <x:c r="O859">
        <x:f ca="1">IF(AND($B$1012=1,LEN($O$1839)&gt;0),$O$1839,HLOOKUP(INDIRECT(ADDRESS(2,COLUMN())),OFFSET($T$2,0,0,ROW()-1,14),ROW()-1,FALSE))</x:f>
        <x:v>0</x:v>
      </x:c>
      <x:c r="P859">
        <x:f ca="1">IF(AND($B$1012=1,LEN($P$1839)&gt;0),$P$1839,HLOOKUP(INDIRECT(ADDRESS(2,COLUMN())),OFFSET($T$2,0,0,ROW()-1,14),ROW()-1,FALSE))</x:f>
        <x:v>0</x:v>
      </x:c>
      <x:c r="Q859">
        <x:f ca="1">IF(AND($B$1012=1,LEN($Q$1839)&gt;0),$Q$1839,HLOOKUP(INDIRECT(ADDRESS(2,COLUMN())),OFFSET($T$2,0,0,ROW()-1,14),ROW()-1,FALSE))</x:f>
        <x:v>0</x:v>
      </x:c>
      <x:c r="R859">
        <x:f ca="1">IF(AND($B$1012=1,LEN($R$1839)&gt;0),$R$1839,HLOOKUP(INDIRECT(ADDRESS(2,COLUMN())),OFFSET($T$2,0,0,ROW()-1,14),ROW()-1,FALSE))</x:f>
        <x:v>0</x:v>
      </x:c>
      <x:c r="S859">
        <x:f ca="1">IF(AND($B$1012=1,LEN($S$1839)&gt;0),$S$1839,HLOOKUP(INDIRECT(ADDRESS(2,COLUMN())),OFFSET($T$2,0,0,ROW()-1,14),ROW()-1,FALSE))</x:f>
        <x:v>0</x:v>
      </x:c>
      <x:c r="T859">
        <x:f>0</x:f>
        <x:v>0</x:v>
      </x:c>
      <x:c r="U859">
        <x:f>-1.162707</x:f>
        <x:v>-1.1627069999999999</x:v>
      </x:c>
      <x:c r="V859">
        <x:f>0</x:f>
        <x:v>0</x:v>
      </x:c>
      <x:c r="W859">
        <x:f>0</x:f>
        <x:v>0</x:v>
      </x:c>
      <x:c r="X859">
        <x:f>0</x:f>
        <x:v>0</x:v>
      </x:c>
      <x:c r="Y859">
        <x:f>0</x:f>
        <x:v>0</x:v>
      </x:c>
      <x:c r="Z859">
        <x:f>0</x:f>
        <x:v>0</x:v>
      </x:c>
      <x:c r="AA859">
        <x:f>0</x:f>
        <x:v>0</x:v>
      </x:c>
      <x:c r="AB859">
        <x:f>0</x:f>
        <x:v>0</x:v>
      </x:c>
      <x:c r="AC859">
        <x:f>0</x:f>
        <x:v>0</x:v>
      </x:c>
      <x:c r="AD859">
        <x:f>0</x:f>
        <x:v>0</x:v>
      </x:c>
      <x:c r="AE859">
        <x:f>0</x:f>
        <x:v>0</x:v>
      </x:c>
      <x:c r="AF859">
        <x:f>0</x:f>
        <x:v>0</x:v>
      </x:c>
      <x:c r="AG859">
        <x:f>0</x:f>
        <x:v>0</x:v>
      </x:c>
    </x:row>
    <x:row r="860" spans="1:33" x14ac:dyDescent="0.25">
      <x:c r="A860" t="str">
        <x:f>"            Direxion Connected Consumer ET"</x:f>
        <x:v xml:space="preserve">            Direxion Connected Consumer ET</x:v>
      </x:c>
      <x:c r="B860" t="str">
        <x:f>"CCON US Equity"</x:f>
        <x:v>CCON US Equity</x:v>
      </x:c>
      <x:c r="E860" t="str">
        <x:f t="shared" si="35"/>
        <x:v>Expression</x:v>
      </x:c>
      <x:c r="F860" t="str">
        <x:f ca="1">IF(AND($B$1012=1,LEN($F$1840)&gt;0),$F$1840,HLOOKUP(INDIRECT(ADDRESS(2,COLUMN())),OFFSET($T$2,0,0,ROW()-1,14),ROW()-1,FALSE))</x:f>
        <x:v/>
      </x:c>
      <x:c r="G860" t="str">
        <x:f ca="1">IF(AND($B$1012=1,LEN($G$1840)&gt;0),$G$1840,HLOOKUP(INDIRECT(ADDRESS(2,COLUMN())),OFFSET($T$2,0,0,ROW()-1,14),ROW()-1,FALSE))</x:f>
        <x:v/>
      </x:c>
      <x:c r="H860" t="str">
        <x:f ca="1">IF(AND($B$1012=1,LEN($H$1840)&gt;0),$H$1840,HLOOKUP(INDIRECT(ADDRESS(2,COLUMN())),OFFSET($T$2,0,0,ROW()-1,14),ROW()-1,FALSE))</x:f>
        <x:v/>
      </x:c>
      <x:c r="I860" t="str">
        <x:f ca="1">IF(AND($B$1012=1,LEN($I$1840)&gt;0),$I$1840,HLOOKUP(INDIRECT(ADDRESS(2,COLUMN())),OFFSET($T$2,0,0,ROW()-1,14),ROW()-1,FALSE))</x:f>
        <x:v/>
      </x:c>
      <x:c r="J860" t="str">
        <x:f ca="1">IF(AND($B$1012=1,LEN($J$1840)&gt;0),$J$1840,HLOOKUP(INDIRECT(ADDRESS(2,COLUMN())),OFFSET($T$2,0,0,ROW()-1,14),ROW()-1,FALSE))</x:f>
        <x:v/>
      </x:c>
      <x:c r="K860" t="str">
        <x:f ca="1">IF(AND($B$1012=1,LEN($K$1840)&gt;0),$K$1840,HLOOKUP(INDIRECT(ADDRESS(2,COLUMN())),OFFSET($T$2,0,0,ROW()-1,14),ROW()-1,FALSE))</x:f>
        <x:v/>
      </x:c>
      <x:c r="L860" t="str">
        <x:f ca="1">IF(AND($B$1012=1,LEN($L$1840)&gt;0),$L$1840,HLOOKUP(INDIRECT(ADDRESS(2,COLUMN())),OFFSET($T$2,0,0,ROW()-1,14),ROW()-1,FALSE))</x:f>
        <x:v/>
      </x:c>
      <x:c r="M860" t="str">
        <x:f ca="1">IF(AND($B$1012=1,LEN($M$1840)&gt;0),$M$1840,HLOOKUP(INDIRECT(ADDRESS(2,COLUMN())),OFFSET($T$2,0,0,ROW()-1,14),ROW()-1,FALSE))</x:f>
        <x:v/>
      </x:c>
      <x:c r="N860" t="str">
        <x:f ca="1">IF(AND($B$1012=1,LEN($N$1840)&gt;0),$N$1840,HLOOKUP(INDIRECT(ADDRESS(2,COLUMN())),OFFSET($T$2,0,0,ROW()-1,14),ROW()-1,FALSE))</x:f>
        <x:v/>
      </x:c>
      <x:c r="O860" t="str">
        <x:f ca="1">IF(AND($B$1012=1,LEN($O$1840)&gt;0),$O$1840,HLOOKUP(INDIRECT(ADDRESS(2,COLUMN())),OFFSET($T$2,0,0,ROW()-1,14),ROW()-1,FALSE))</x:f>
        <x:v/>
      </x:c>
      <x:c r="P860" t="str">
        <x:f ca="1">IF(AND($B$1012=1,LEN($P$1840)&gt;0),$P$1840,HLOOKUP(INDIRECT(ADDRESS(2,COLUMN())),OFFSET($T$2,0,0,ROW()-1,14),ROW()-1,FALSE))</x:f>
        <x:v/>
      </x:c>
      <x:c r="Q860" t="str">
        <x:f ca="1">IF(AND($B$1012=1,LEN($Q$1840)&gt;0),$Q$1840,HLOOKUP(INDIRECT(ADDRESS(2,COLUMN())),OFFSET($T$2,0,0,ROW()-1,14),ROW()-1,FALSE))</x:f>
        <x:v/>
      </x:c>
      <x:c r="R860" t="str">
        <x:f ca="1">IF(AND($B$1012=1,LEN($R$1840)&gt;0),$R$1840,HLOOKUP(INDIRECT(ADDRESS(2,COLUMN())),OFFSET($T$2,0,0,ROW()-1,14),ROW()-1,FALSE))</x:f>
        <x:v/>
      </x:c>
      <x:c r="S860" t="str">
        <x:f ca="1">IF(AND($B$1012=1,LEN($S$1840)&gt;0),$S$1840,HLOOKUP(INDIRECT(ADDRESS(2,COLUMN())),OFFSET($T$2,0,0,ROW()-1,14),ROW()-1,FALSE))</x:f>
        <x:v/>
      </x:c>
      <x:c r="T860" t="str">
        <x:f>""</x:f>
        <x:v/>
      </x:c>
      <x:c r="U860" t="str">
        <x:f>""</x:f>
        <x:v/>
      </x:c>
      <x:c r="V860" t="str">
        <x:f>""</x:f>
        <x:v/>
      </x:c>
      <x:c r="W860" t="str">
        <x:f>""</x:f>
        <x:v/>
      </x:c>
      <x:c r="X860" t="str">
        <x:f>""</x:f>
        <x:v/>
      </x:c>
      <x:c r="Y860" t="str">
        <x:f>""</x:f>
        <x:v/>
      </x:c>
      <x:c r="Z860" t="str">
        <x:f>""</x:f>
        <x:v/>
      </x:c>
      <x:c r="AA860" t="str">
        <x:f>""</x:f>
        <x:v/>
      </x:c>
      <x:c r="AB860" t="str">
        <x:f>""</x:f>
        <x:v/>
      </x:c>
      <x:c r="AC860" t="str">
        <x:f>""</x:f>
        <x:v/>
      </x:c>
      <x:c r="AD860" t="str">
        <x:f>""</x:f>
        <x:v/>
      </x:c>
      <x:c r="AE860" t="str">
        <x:f>""</x:f>
        <x:v/>
      </x:c>
      <x:c r="AF860" t="str">
        <x:f>""</x:f>
        <x:v/>
      </x:c>
      <x:c r="AG860" t="str">
        <x:f>""</x:f>
        <x:v/>
      </x:c>
    </x:row>
    <x:row r="861" spans="1:33" x14ac:dyDescent="0.25">
      <x:c r="A861" t="str">
        <x:f>"            Emles Luxury Goods ETF"</x:f>
        <x:v xml:space="preserve">            Emles Luxury Goods ETF</x:v>
      </x:c>
      <x:c r="B861" t="str">
        <x:f>"LUXE US Equity"</x:f>
        <x:v>LUXE US Equity</x:v>
      </x:c>
      <x:c r="E861" t="str">
        <x:f t="shared" si="35"/>
        <x:v>Expression</x:v>
      </x:c>
      <x:c r="F861" t="str">
        <x:f ca="1">IF(AND($B$1012=1,LEN($F$1841)&gt;0),$F$1841,HLOOKUP(INDIRECT(ADDRESS(2,COLUMN())),OFFSET($T$2,0,0,ROW()-1,14),ROW()-1,FALSE))</x:f>
        <x:v/>
      </x:c>
      <x:c r="G861" t="str">
        <x:f ca="1">IF(AND($B$1012=1,LEN($G$1841)&gt;0),$G$1841,HLOOKUP(INDIRECT(ADDRESS(2,COLUMN())),OFFSET($T$2,0,0,ROW()-1,14),ROW()-1,FALSE))</x:f>
        <x:v/>
      </x:c>
      <x:c r="H861" t="str">
        <x:f ca="1">IF(AND($B$1012=1,LEN($H$1841)&gt;0),$H$1841,HLOOKUP(INDIRECT(ADDRESS(2,COLUMN())),OFFSET($T$2,0,0,ROW()-1,14),ROW()-1,FALSE))</x:f>
        <x:v/>
      </x:c>
      <x:c r="I861" t="str">
        <x:f ca="1">IF(AND($B$1012=1,LEN($I$1841)&gt;0),$I$1841,HLOOKUP(INDIRECT(ADDRESS(2,COLUMN())),OFFSET($T$2,0,0,ROW()-1,14),ROW()-1,FALSE))</x:f>
        <x:v/>
      </x:c>
      <x:c r="J861" t="str">
        <x:f ca="1">IF(AND($B$1012=1,LEN($J$1841)&gt;0),$J$1841,HLOOKUP(INDIRECT(ADDRESS(2,COLUMN())),OFFSET($T$2,0,0,ROW()-1,14),ROW()-1,FALSE))</x:f>
        <x:v/>
      </x:c>
      <x:c r="K861" t="str">
        <x:f ca="1">IF(AND($B$1012=1,LEN($K$1841)&gt;0),$K$1841,HLOOKUP(INDIRECT(ADDRESS(2,COLUMN())),OFFSET($T$2,0,0,ROW()-1,14),ROW()-1,FALSE))</x:f>
        <x:v/>
      </x:c>
      <x:c r="L861" t="str">
        <x:f ca="1">IF(AND($B$1012=1,LEN($L$1841)&gt;0),$L$1841,HLOOKUP(INDIRECT(ADDRESS(2,COLUMN())),OFFSET($T$2,0,0,ROW()-1,14),ROW()-1,FALSE))</x:f>
        <x:v/>
      </x:c>
      <x:c r="M861" t="str">
        <x:f ca="1">IF(AND($B$1012=1,LEN($M$1841)&gt;0),$M$1841,HLOOKUP(INDIRECT(ADDRESS(2,COLUMN())),OFFSET($T$2,0,0,ROW()-1,14),ROW()-1,FALSE))</x:f>
        <x:v/>
      </x:c>
      <x:c r="N861" t="str">
        <x:f ca="1">IF(AND($B$1012=1,LEN($N$1841)&gt;0),$N$1841,HLOOKUP(INDIRECT(ADDRESS(2,COLUMN())),OFFSET($T$2,0,0,ROW()-1,14),ROW()-1,FALSE))</x:f>
        <x:v/>
      </x:c>
      <x:c r="O861" t="str">
        <x:f ca="1">IF(AND($B$1012=1,LEN($O$1841)&gt;0),$O$1841,HLOOKUP(INDIRECT(ADDRESS(2,COLUMN())),OFFSET($T$2,0,0,ROW()-1,14),ROW()-1,FALSE))</x:f>
        <x:v/>
      </x:c>
      <x:c r="P861" t="str">
        <x:f ca="1">IF(AND($B$1012=1,LEN($P$1841)&gt;0),$P$1841,HLOOKUP(INDIRECT(ADDRESS(2,COLUMN())),OFFSET($T$2,0,0,ROW()-1,14),ROW()-1,FALSE))</x:f>
        <x:v/>
      </x:c>
      <x:c r="Q861" t="str">
        <x:f ca="1">IF(AND($B$1012=1,LEN($Q$1841)&gt;0),$Q$1841,HLOOKUP(INDIRECT(ADDRESS(2,COLUMN())),OFFSET($T$2,0,0,ROW()-1,14),ROW()-1,FALSE))</x:f>
        <x:v/>
      </x:c>
      <x:c r="R861" t="str">
        <x:f ca="1">IF(AND($B$1012=1,LEN($R$1841)&gt;0),$R$1841,HLOOKUP(INDIRECT(ADDRESS(2,COLUMN())),OFFSET($T$2,0,0,ROW()-1,14),ROW()-1,FALSE))</x:f>
        <x:v/>
      </x:c>
      <x:c r="S861">
        <x:f ca="1">IF(AND($B$1012=1,LEN($S$1841)&gt;0),$S$1841,HLOOKUP(INDIRECT(ADDRESS(2,COLUMN())),OFFSET($T$2,0,0,ROW()-1,14),ROW()-1,FALSE))</x:f>
        <x:v>0</x:v>
      </x:c>
      <x:c r="T861" t="str">
        <x:f>""</x:f>
        <x:v/>
      </x:c>
      <x:c r="U861" t="str">
        <x:f>""</x:f>
        <x:v/>
      </x:c>
      <x:c r="V861" t="str">
        <x:f>""</x:f>
        <x:v/>
      </x:c>
      <x:c r="W861" t="str">
        <x:f>""</x:f>
        <x:v/>
      </x:c>
      <x:c r="X861" t="str">
        <x:f>""</x:f>
        <x:v/>
      </x:c>
      <x:c r="Y861" t="str">
        <x:f>""</x:f>
        <x:v/>
      </x:c>
      <x:c r="Z861" t="str">
        <x:f>""</x:f>
        <x:v/>
      </x:c>
      <x:c r="AA861" t="str">
        <x:f>""</x:f>
        <x:v/>
      </x:c>
      <x:c r="AB861" t="str">
        <x:f>""</x:f>
        <x:v/>
      </x:c>
      <x:c r="AC861" t="str">
        <x:f>""</x:f>
        <x:v/>
      </x:c>
      <x:c r="AD861" t="str">
        <x:f>""</x:f>
        <x:v/>
      </x:c>
      <x:c r="AE861" t="str">
        <x:f>""</x:f>
        <x:v/>
      </x:c>
      <x:c r="AF861" t="str">
        <x:f>""</x:f>
        <x:v/>
      </x:c>
      <x:c r="AG861">
        <x:f>0</x:f>
        <x:v>0</x:v>
      </x:c>
    </x:row>
    <x:row r="862" spans="1:33" x14ac:dyDescent="0.25">
      <x:c r="A862" t="str">
        <x:f>"            Roundhill Sports Betting &amp; iGa"</x:f>
        <x:v xml:space="preserve">            Roundhill Sports Betting &amp; iGa</x:v>
      </x:c>
      <x:c r="B862" t="str">
        <x:f>"BETZ US Equity"</x:f>
        <x:v>BETZ US Equity</x:v>
      </x:c>
      <x:c r="E862" t="str">
        <x:f t="shared" si="35"/>
        <x:v>Expression</x:v>
      </x:c>
      <x:c r="F862">
        <x:f ca="1">IF(AND($B$1012=1,LEN($F$1842)&gt;0),$F$1842,HLOOKUP(INDIRECT(ADDRESS(2,COLUMN())),OFFSET($T$2,0,0,ROW()-1,14),ROW()-1,FALSE))</x:f>
        <x:v>0</x:v>
      </x:c>
      <x:c r="G862">
        <x:f ca="1">IF(AND($B$1012=1,LEN($G$1842)&gt;0),$G$1842,HLOOKUP(INDIRECT(ADDRESS(2,COLUMN())),OFFSET($T$2,0,0,ROW()-1,14),ROW()-1,FALSE))</x:f>
        <x:v>-2.7018770000000001</x:v>
      </x:c>
      <x:c r="H862">
        <x:f ca="1">IF(AND($B$1012=1,LEN($H$1842)&gt;0),$H$1842,HLOOKUP(INDIRECT(ADDRESS(2,COLUMN())),OFFSET($T$2,0,0,ROW()-1,14),ROW()-1,FALSE))</x:f>
        <x:v>0</x:v>
      </x:c>
      <x:c r="I862">
        <x:f ca="1">IF(AND($B$1012=1,LEN($I$1842)&gt;0),$I$1842,HLOOKUP(INDIRECT(ADDRESS(2,COLUMN())),OFFSET($T$2,0,0,ROW()-1,14),ROW()-1,FALSE))</x:f>
        <x:v>-3.9587699999999999</x:v>
      </x:c>
      <x:c r="J862">
        <x:f ca="1">IF(AND($B$1012=1,LEN($J$1842)&gt;0),$J$1842,HLOOKUP(INDIRECT(ADDRESS(2,COLUMN())),OFFSET($T$2,0,0,ROW()-1,14),ROW()-1,FALSE))</x:f>
        <x:v>-4.0463899999999997</x:v>
      </x:c>
      <x:c r="K862">
        <x:f ca="1">IF(AND($B$1012=1,LEN($K$1842)&gt;0),$K$1842,HLOOKUP(INDIRECT(ADDRESS(2,COLUMN())),OFFSET($T$2,0,0,ROW()-1,14),ROW()-1,FALSE))</x:f>
        <x:v>-20.445778000000001</x:v>
      </x:c>
      <x:c r="L862">
        <x:f ca="1">IF(AND($B$1012=1,LEN($L$1842)&gt;0),$L$1842,HLOOKUP(INDIRECT(ADDRESS(2,COLUMN())),OFFSET($T$2,0,0,ROW()-1,14),ROW()-1,FALSE))</x:f>
        <x:v>0</x:v>
      </x:c>
      <x:c r="M862">
        <x:f ca="1">IF(AND($B$1012=1,LEN($M$1842)&gt;0),$M$1842,HLOOKUP(INDIRECT(ADDRESS(2,COLUMN())),OFFSET($T$2,0,0,ROW()-1,14),ROW()-1,FALSE))</x:f>
        <x:v>-2.4051800000000001</x:v>
      </x:c>
      <x:c r="N862">
        <x:f ca="1">IF(AND($B$1012=1,LEN($N$1842)&gt;0),$N$1842,HLOOKUP(INDIRECT(ADDRESS(2,COLUMN())),OFFSET($T$2,0,0,ROW()-1,14),ROW()-1,FALSE))</x:f>
        <x:v>-1.962437</x:v>
      </x:c>
      <x:c r="O862">
        <x:f ca="1">IF(AND($B$1012=1,LEN($O$1842)&gt;0),$O$1842,HLOOKUP(INDIRECT(ADDRESS(2,COLUMN())),OFFSET($T$2,0,0,ROW()-1,14),ROW()-1,FALSE))</x:f>
        <x:v>0.397675</x:v>
      </x:c>
      <x:c r="P862">
        <x:f ca="1">IF(AND($B$1012=1,LEN($P$1842)&gt;0),$P$1842,HLOOKUP(INDIRECT(ADDRESS(2,COLUMN())),OFFSET($T$2,0,0,ROW()-1,14),ROW()-1,FALSE))</x:f>
        <x:v>-2.3201700000000001</x:v>
      </x:c>
      <x:c r="Q862">
        <x:f ca="1">IF(AND($B$1012=1,LEN($Q$1842)&gt;0),$Q$1842,HLOOKUP(INDIRECT(ADDRESS(2,COLUMN())),OFFSET($T$2,0,0,ROW()-1,14),ROW()-1,FALSE))</x:f>
        <x:v>11.73915</x:v>
      </x:c>
      <x:c r="R862">
        <x:f ca="1">IF(AND($B$1012=1,LEN($R$1842)&gt;0),$R$1842,HLOOKUP(INDIRECT(ADDRESS(2,COLUMN())),OFFSET($T$2,0,0,ROW()-1,14),ROW()-1,FALSE))</x:f>
        <x:v>-1.4903299999999999</x:v>
      </x:c>
      <x:c r="S862">
        <x:f ca="1">IF(AND($B$1012=1,LEN($S$1842)&gt;0),$S$1842,HLOOKUP(INDIRECT(ADDRESS(2,COLUMN())),OFFSET($T$2,0,0,ROW()-1,14),ROW()-1,FALSE))</x:f>
        <x:v>-7.4814850000000002</x:v>
      </x:c>
      <x:c r="T862">
        <x:f>0</x:f>
        <x:v>0</x:v>
      </x:c>
      <x:c r="U862">
        <x:f>-2.701877</x:f>
        <x:v>-2.7018770000000001</x:v>
      </x:c>
      <x:c r="V862">
        <x:f>0</x:f>
        <x:v>0</x:v>
      </x:c>
      <x:c r="W862">
        <x:f>-3.95877</x:f>
        <x:v>-3.9587699999999999</x:v>
      </x:c>
      <x:c r="X862">
        <x:f>-4.04639</x:f>
        <x:v>-4.0463899999999997</x:v>
      </x:c>
      <x:c r="Y862">
        <x:f>-20.445778</x:f>
        <x:v>-20.445778000000001</x:v>
      </x:c>
      <x:c r="Z862">
        <x:f>0</x:f>
        <x:v>0</x:v>
      </x:c>
      <x:c r="AA862">
        <x:f>-2.40518</x:f>
        <x:v>-2.4051800000000001</x:v>
      </x:c>
      <x:c r="AB862">
        <x:f>-1.962437</x:f>
        <x:v>-1.962437</x:v>
      </x:c>
      <x:c r="AC862">
        <x:f>0.397675</x:f>
        <x:v>0.397675</x:v>
      </x:c>
      <x:c r="AD862">
        <x:f>-2.32017</x:f>
        <x:v>-2.3201700000000001</x:v>
      </x:c>
      <x:c r="AE862">
        <x:f>11.73915</x:f>
        <x:v>11.73915</x:v>
      </x:c>
      <x:c r="AF862">
        <x:f>-1.49033</x:f>
        <x:v>-1.4903299999999999</x:v>
      </x:c>
      <x:c r="AG862">
        <x:f>-7.481485</x:f>
        <x:v>-7.4814850000000002</x:v>
      </x:c>
    </x:row>
    <x:row r="863" spans="1:33" x14ac:dyDescent="0.25">
      <x:c r="A863" t="str">
        <x:f>"            Goldman Sachs Future Consumer"</x:f>
        <x:v xml:space="preserve">            Goldman Sachs Future Consumer</x:v>
      </x:c>
      <x:c r="B863" t="str">
        <x:f>"GBUY US Equity"</x:f>
        <x:v>GBUY US Equity</x:v>
      </x:c>
      <x:c r="E863" t="str">
        <x:f t="shared" si="35"/>
        <x:v>Expression</x:v>
      </x:c>
      <x:c r="F863">
        <x:f ca="1">IF(AND($B$1012=1,LEN($F$1843)&gt;0),$F$1843,HLOOKUP(INDIRECT(ADDRESS(2,COLUMN())),OFFSET($T$2,0,0,ROW()-1,14),ROW()-1,FALSE))</x:f>
        <x:v>-91.399995000000004</x:v>
      </x:c>
      <x:c r="G863">
        <x:f ca="1">IF(AND($B$1012=1,LEN($G$1843)&gt;0),$G$1843,HLOOKUP(INDIRECT(ADDRESS(2,COLUMN())),OFFSET($T$2,0,0,ROW()-1,14),ROW()-1,FALSE))</x:f>
        <x:v>15.424302000000001</x:v>
      </x:c>
      <x:c r="H863">
        <x:f ca="1">IF(AND($B$1012=1,LEN($H$1843)&gt;0),$H$1843,HLOOKUP(INDIRECT(ADDRESS(2,COLUMN())),OFFSET($T$2,0,0,ROW()-1,14),ROW()-1,FALSE))</x:f>
        <x:v>1.288438</x:v>
      </x:c>
      <x:c r="I863">
        <x:f ca="1">IF(AND($B$1012=1,LEN($I$1843)&gt;0),$I$1843,HLOOKUP(INDIRECT(ADDRESS(2,COLUMN())),OFFSET($T$2,0,0,ROW()-1,14),ROW()-1,FALSE))</x:f>
        <x:v>0.69901999999999997</x:v>
      </x:c>
      <x:c r="J863">
        <x:f ca="1">IF(AND($B$1012=1,LEN($J$1843)&gt;0),$J$1843,HLOOKUP(INDIRECT(ADDRESS(2,COLUMN())),OFFSET($T$2,0,0,ROW()-1,14),ROW()-1,FALSE))</x:f>
        <x:v>11.563658999999999</x:v>
      </x:c>
      <x:c r="K863">
        <x:f ca="1">IF(AND($B$1012=1,LEN($K$1843)&gt;0),$K$1843,HLOOKUP(INDIRECT(ADDRESS(2,COLUMN())),OFFSET($T$2,0,0,ROW()-1,14),ROW()-1,FALSE))</x:f>
        <x:v>-1.381151</x:v>
      </x:c>
      <x:c r="L863">
        <x:f ca="1">IF(AND($B$1012=1,LEN($L$1843)&gt;0),$L$1843,HLOOKUP(INDIRECT(ADDRESS(2,COLUMN())),OFFSET($T$2,0,0,ROW()-1,14),ROW()-1,FALSE))</x:f>
        <x:v>0.680396</x:v>
      </x:c>
      <x:c r="M863">
        <x:f ca="1">IF(AND($B$1012=1,LEN($M$1843)&gt;0),$M$1843,HLOOKUP(INDIRECT(ADDRESS(2,COLUMN())),OFFSET($T$2,0,0,ROW()-1,14),ROW()-1,FALSE))</x:f>
        <x:v>0.65733200000000003</x:v>
      </x:c>
      <x:c r="N863">
        <x:f ca="1">IF(AND($B$1012=1,LEN($N$1843)&gt;0),$N$1843,HLOOKUP(INDIRECT(ADDRESS(2,COLUMN())),OFFSET($T$2,0,0,ROW()-1,14),ROW()-1,FALSE))</x:f>
        <x:v>35.233623000000001</x:v>
      </x:c>
      <x:c r="O863">
        <x:f ca="1">IF(AND($B$1012=1,LEN($O$1843)&gt;0),$O$1843,HLOOKUP(INDIRECT(ADDRESS(2,COLUMN())),OFFSET($T$2,0,0,ROW()-1,14),ROW()-1,FALSE))</x:f>
        <x:v>0</x:v>
      </x:c>
      <x:c r="P863">
        <x:f ca="1">IF(AND($B$1012=1,LEN($P$1843)&gt;0),$P$1843,HLOOKUP(INDIRECT(ADDRESS(2,COLUMN())),OFFSET($T$2,0,0,ROW()-1,14),ROW()-1,FALSE))</x:f>
        <x:v>1.30965</x:v>
      </x:c>
      <x:c r="Q863">
        <x:f ca="1">IF(AND($B$1012=1,LEN($Q$1843)&gt;0),$Q$1843,HLOOKUP(INDIRECT(ADDRESS(2,COLUMN())),OFFSET($T$2,0,0,ROW()-1,14),ROW()-1,FALSE))</x:f>
        <x:v>9.9250889999999998</x:v>
      </x:c>
      <x:c r="R863">
        <x:f ca="1">IF(AND($B$1012=1,LEN($R$1843)&gt;0),$R$1843,HLOOKUP(INDIRECT(ADDRESS(2,COLUMN())),OFFSET($T$2,0,0,ROW()-1,14),ROW()-1,FALSE))</x:f>
        <x:v>0</x:v>
      </x:c>
      <x:c r="S863">
        <x:f ca="1">IF(AND($B$1012=1,LEN($S$1843)&gt;0),$S$1843,HLOOKUP(INDIRECT(ADDRESS(2,COLUMN())),OFFSET($T$2,0,0,ROW()-1,14),ROW()-1,FALSE))</x:f>
        <x:v>0</x:v>
      </x:c>
      <x:c r="T863">
        <x:f>-91.399995</x:f>
        <x:v>-91.399995000000004</x:v>
      </x:c>
      <x:c r="U863">
        <x:f>15.424302</x:f>
        <x:v>15.424302000000001</x:v>
      </x:c>
      <x:c r="V863">
        <x:f>1.288438</x:f>
        <x:v>1.288438</x:v>
      </x:c>
      <x:c r="W863">
        <x:f>0.69902</x:f>
        <x:v>0.69901999999999997</x:v>
      </x:c>
      <x:c r="X863">
        <x:f>11.563659</x:f>
        <x:v>11.563658999999999</x:v>
      </x:c>
      <x:c r="Y863">
        <x:f>-1.381151</x:f>
        <x:v>-1.381151</x:v>
      </x:c>
      <x:c r="Z863">
        <x:f>0.680396</x:f>
        <x:v>0.680396</x:v>
      </x:c>
      <x:c r="AA863">
        <x:f>0.657332</x:f>
        <x:v>0.65733200000000003</x:v>
      </x:c>
      <x:c r="AB863">
        <x:f>35.233623</x:f>
        <x:v>35.233623000000001</x:v>
      </x:c>
      <x:c r="AC863">
        <x:f>0</x:f>
        <x:v>0</x:v>
      </x:c>
      <x:c r="AD863">
        <x:f>1.30965</x:f>
        <x:v>1.30965</x:v>
      </x:c>
      <x:c r="AE863">
        <x:f>9.925089</x:f>
        <x:v>9.9250889999999998</x:v>
      </x:c>
      <x:c r="AF863">
        <x:f>0</x:f>
        <x:v>0</x:v>
      </x:c>
      <x:c r="AG863">
        <x:f>0</x:f>
        <x:v>0</x:v>
      </x:c>
    </x:row>
    <x:row r="864" spans="1:33" x14ac:dyDescent="0.25">
      <x:c r="A864" t="str">
        <x:f>"            ProShares On-Demand ETF"</x:f>
        <x:v xml:space="preserve">            ProShares On-Demand ETF</x:v>
      </x:c>
      <x:c r="B864" t="str">
        <x:f>"OND US Equity"</x:f>
        <x:v>OND US Equity</x:v>
      </x:c>
      <x:c r="E864" t="str">
        <x:f t="shared" si="35"/>
        <x:v>Expression</x:v>
      </x:c>
      <x:c r="F864">
        <x:f ca="1">IF(AND($B$1012=1,LEN($F$1844)&gt;0),$F$1844,HLOOKUP(INDIRECT(ADDRESS(2,COLUMN())),OFFSET($T$2,0,0,ROW()-1,14),ROW()-1,FALSE))</x:f>
        <x:v>0</x:v>
      </x:c>
      <x:c r="G864">
        <x:f ca="1">IF(AND($B$1012=1,LEN($G$1844)&gt;0),$G$1844,HLOOKUP(INDIRECT(ADDRESS(2,COLUMN())),OFFSET($T$2,0,0,ROW()-1,14),ROW()-1,FALSE))</x:f>
        <x:v>0</x:v>
      </x:c>
      <x:c r="H864">
        <x:f ca="1">IF(AND($B$1012=1,LEN($H$1844)&gt;0),$H$1844,HLOOKUP(INDIRECT(ADDRESS(2,COLUMN())),OFFSET($T$2,0,0,ROW()-1,14),ROW()-1,FALSE))</x:f>
        <x:v>0</x:v>
      </x:c>
      <x:c r="I864">
        <x:f ca="1">IF(AND($B$1012=1,LEN($I$1844)&gt;0),$I$1844,HLOOKUP(INDIRECT(ADDRESS(2,COLUMN())),OFFSET($T$2,0,0,ROW()-1,14),ROW()-1,FALSE))</x:f>
        <x:v>0</x:v>
      </x:c>
      <x:c r="J864">
        <x:f ca="1">IF(AND($B$1012=1,LEN($J$1844)&gt;0),$J$1844,HLOOKUP(INDIRECT(ADDRESS(2,COLUMN())),OFFSET($T$2,0,0,ROW()-1,14),ROW()-1,FALSE))</x:f>
        <x:v>0</x:v>
      </x:c>
      <x:c r="K864">
        <x:f ca="1">IF(AND($B$1012=1,LEN($K$1844)&gt;0),$K$1844,HLOOKUP(INDIRECT(ADDRESS(2,COLUMN())),OFFSET($T$2,0,0,ROW()-1,14),ROW()-1,FALSE))</x:f>
        <x:v>0</x:v>
      </x:c>
      <x:c r="L864">
        <x:f ca="1">IF(AND($B$1012=1,LEN($L$1844)&gt;0),$L$1844,HLOOKUP(INDIRECT(ADDRESS(2,COLUMN())),OFFSET($T$2,0,0,ROW()-1,14),ROW()-1,FALSE))</x:f>
        <x:v>0</x:v>
      </x:c>
      <x:c r="M864">
        <x:f ca="1">IF(AND($B$1012=1,LEN($M$1844)&gt;0),$M$1844,HLOOKUP(INDIRECT(ADDRESS(2,COLUMN())),OFFSET($T$2,0,0,ROW()-1,14),ROW()-1,FALSE))</x:f>
        <x:v>0</x:v>
      </x:c>
      <x:c r="N864">
        <x:f ca="1">IF(AND($B$1012=1,LEN($N$1844)&gt;0),$N$1844,HLOOKUP(INDIRECT(ADDRESS(2,COLUMN())),OFFSET($T$2,0,0,ROW()-1,14),ROW()-1,FALSE))</x:f>
        <x:v>-0.54320500000000005</x:v>
      </x:c>
      <x:c r="O864">
        <x:f ca="1">IF(AND($B$1012=1,LEN($O$1844)&gt;0),$O$1844,HLOOKUP(INDIRECT(ADDRESS(2,COLUMN())),OFFSET($T$2,0,0,ROW()-1,14),ROW()-1,FALSE))</x:f>
        <x:v>0</x:v>
      </x:c>
      <x:c r="P864">
        <x:f ca="1">IF(AND($B$1012=1,LEN($P$1844)&gt;0),$P$1844,HLOOKUP(INDIRECT(ADDRESS(2,COLUMN())),OFFSET($T$2,0,0,ROW()-1,14),ROW()-1,FALSE))</x:f>
        <x:v>0</x:v>
      </x:c>
      <x:c r="Q864">
        <x:f ca="1">IF(AND($B$1012=1,LEN($Q$1844)&gt;0),$Q$1844,HLOOKUP(INDIRECT(ADDRESS(2,COLUMN())),OFFSET($T$2,0,0,ROW()-1,14),ROW()-1,FALSE))</x:f>
        <x:v>0</x:v>
      </x:c>
      <x:c r="R864">
        <x:f ca="1">IF(AND($B$1012=1,LEN($R$1844)&gt;0),$R$1844,HLOOKUP(INDIRECT(ADDRESS(2,COLUMN())),OFFSET($T$2,0,0,ROW()-1,14),ROW()-1,FALSE))</x:f>
        <x:v>0</x:v>
      </x:c>
      <x:c r="S864">
        <x:f ca="1">IF(AND($B$1012=1,LEN($S$1844)&gt;0),$S$1844,HLOOKUP(INDIRECT(ADDRESS(2,COLUMN())),OFFSET($T$2,0,0,ROW()-1,14),ROW()-1,FALSE))</x:f>
        <x:v>0</x:v>
      </x:c>
      <x:c r="T864">
        <x:f>0</x:f>
        <x:v>0</x:v>
      </x:c>
      <x:c r="U864">
        <x:f>0</x:f>
        <x:v>0</x:v>
      </x:c>
      <x:c r="V864">
        <x:f>0</x:f>
        <x:v>0</x:v>
      </x:c>
      <x:c r="W864">
        <x:f>0</x:f>
        <x:v>0</x:v>
      </x:c>
      <x:c r="X864">
        <x:f>0</x:f>
        <x:v>0</x:v>
      </x:c>
      <x:c r="Y864">
        <x:f>0</x:f>
        <x:v>0</x:v>
      </x:c>
      <x:c r="Z864">
        <x:f>0</x:f>
        <x:v>0</x:v>
      </x:c>
      <x:c r="AA864">
        <x:f>0</x:f>
        <x:v>0</x:v>
      </x:c>
      <x:c r="AB864">
        <x:f>-0.543205</x:f>
        <x:v>-0.54320500000000005</x:v>
      </x:c>
      <x:c r="AC864">
        <x:f>0</x:f>
        <x:v>0</x:v>
      </x:c>
      <x:c r="AD864">
        <x:f>0</x:f>
        <x:v>0</x:v>
      </x:c>
      <x:c r="AE864">
        <x:f>0</x:f>
        <x:v>0</x:v>
      </x:c>
      <x:c r="AF864">
        <x:f>0</x:f>
        <x:v>0</x:v>
      </x:c>
      <x:c r="AG864">
        <x:f>0</x:f>
        <x:v>0</x:v>
      </x:c>
    </x:row>
    <x:row r="865" spans="1:33" x14ac:dyDescent="0.25">
      <x:c r="A865" t="str">
        <x:f>"            Amplify Online Retail ETF"</x:f>
        <x:v xml:space="preserve">            Amplify Online Retail ETF</x:v>
      </x:c>
      <x:c r="B865" t="str">
        <x:f>"IBUY US Equity"</x:f>
        <x:v>IBUY US Equity</x:v>
      </x:c>
      <x:c r="E865" t="str">
        <x:f t="shared" si="35"/>
        <x:v>Expression</x:v>
      </x:c>
      <x:c r="F865">
        <x:f ca="1">IF(AND($B$1012=1,LEN($F$1845)&gt;0),$F$1845,HLOOKUP(INDIRECT(ADDRESS(2,COLUMN())),OFFSET($T$2,0,0,ROW()-1,14),ROW()-1,FALSE))</x:f>
        <x:v>-2.2088649999999999</x:v>
      </x:c>
      <x:c r="G865">
        <x:f ca="1">IF(AND($B$1012=1,LEN($G$1845)&gt;0),$G$1845,HLOOKUP(INDIRECT(ADDRESS(2,COLUMN())),OFFSET($T$2,0,0,ROW()-1,14),ROW()-1,FALSE))</x:f>
        <x:v>-14.53473</x:v>
      </x:c>
      <x:c r="H865">
        <x:f ca="1">IF(AND($B$1012=1,LEN($H$1845)&gt;0),$H$1845,HLOOKUP(INDIRECT(ADDRESS(2,COLUMN())),OFFSET($T$2,0,0,ROW()-1,14),ROW()-1,FALSE))</x:f>
        <x:v>-2.3025449999999998</x:v>
      </x:c>
      <x:c r="I865">
        <x:f ca="1">IF(AND($B$1012=1,LEN($I$1845)&gt;0),$I$1845,HLOOKUP(INDIRECT(ADDRESS(2,COLUMN())),OFFSET($T$2,0,0,ROW()-1,14),ROW()-1,FALSE))</x:f>
        <x:v>-6.8749500000000001</x:v>
      </x:c>
      <x:c r="J865">
        <x:f ca="1">IF(AND($B$1012=1,LEN($J$1845)&gt;0),$J$1845,HLOOKUP(INDIRECT(ADDRESS(2,COLUMN())),OFFSET($T$2,0,0,ROW()-1,14),ROW()-1,FALSE))</x:f>
        <x:v>12.120245000000001</x:v>
      </x:c>
      <x:c r="K865">
        <x:f ca="1">IF(AND($B$1012=1,LEN($K$1845)&gt;0),$K$1845,HLOOKUP(INDIRECT(ADDRESS(2,COLUMN())),OFFSET($T$2,0,0,ROW()-1,14),ROW()-1,FALSE))</x:f>
        <x:v>-24.93083</x:v>
      </x:c>
      <x:c r="L865">
        <x:f ca="1">IF(AND($B$1012=1,LEN($L$1845)&gt;0),$L$1845,HLOOKUP(INDIRECT(ADDRESS(2,COLUMN())),OFFSET($T$2,0,0,ROW()-1,14),ROW()-1,FALSE))</x:f>
        <x:v>0</x:v>
      </x:c>
      <x:c r="M865">
        <x:f ca="1">IF(AND($B$1012=1,LEN($M$1845)&gt;0),$M$1845,HLOOKUP(INDIRECT(ADDRESS(2,COLUMN())),OFFSET($T$2,0,0,ROW()-1,14),ROW()-1,FALSE))</x:f>
        <x:v>2.1425200000000002</x:v>
      </x:c>
      <x:c r="N865">
        <x:f ca="1">IF(AND($B$1012=1,LEN($N$1845)&gt;0),$N$1845,HLOOKUP(INDIRECT(ADDRESS(2,COLUMN())),OFFSET($T$2,0,0,ROW()-1,14),ROW()-1,FALSE))</x:f>
        <x:v>-2.2479049999999998</x:v>
      </x:c>
      <x:c r="O865">
        <x:f ca="1">IF(AND($B$1012=1,LEN($O$1845)&gt;0),$O$1845,HLOOKUP(INDIRECT(ADDRESS(2,COLUMN())),OFFSET($T$2,0,0,ROW()-1,14),ROW()-1,FALSE))</x:f>
        <x:v>2.3056800000000002</x:v>
      </x:c>
      <x:c r="P865">
        <x:f ca="1">IF(AND($B$1012=1,LEN($P$1845)&gt;0),$P$1845,HLOOKUP(INDIRECT(ADDRESS(2,COLUMN())),OFFSET($T$2,0,0,ROW()-1,14),ROW()-1,FALSE))</x:f>
        <x:v>-13.42184</x:v>
      </x:c>
      <x:c r="Q865">
        <x:f ca="1">IF(AND($B$1012=1,LEN($Q$1845)&gt;0),$Q$1845,HLOOKUP(INDIRECT(ADDRESS(2,COLUMN())),OFFSET($T$2,0,0,ROW()-1,14),ROW()-1,FALSE))</x:f>
        <x:v>8.4894099999999995</x:v>
      </x:c>
      <x:c r="R865">
        <x:f ca="1">IF(AND($B$1012=1,LEN($R$1845)&gt;0),$R$1845,HLOOKUP(INDIRECT(ADDRESS(2,COLUMN())),OFFSET($T$2,0,0,ROW()-1,14),ROW()-1,FALSE))</x:f>
        <x:v>0</x:v>
      </x:c>
      <x:c r="S865">
        <x:f ca="1">IF(AND($B$1012=1,LEN($S$1845)&gt;0),$S$1845,HLOOKUP(INDIRECT(ADDRESS(2,COLUMN())),OFFSET($T$2,0,0,ROW()-1,14),ROW()-1,FALSE))</x:f>
        <x:v>-13.479675</x:v>
      </x:c>
      <x:c r="T865">
        <x:f>-2.208865</x:f>
        <x:v>-2.2088649999999999</x:v>
      </x:c>
      <x:c r="U865">
        <x:f>-14.53473</x:f>
        <x:v>-14.53473</x:v>
      </x:c>
      <x:c r="V865">
        <x:f>-2.302545</x:f>
        <x:v>-2.3025449999999998</x:v>
      </x:c>
      <x:c r="W865">
        <x:f>-6.87495</x:f>
        <x:v>-6.8749500000000001</x:v>
      </x:c>
      <x:c r="X865">
        <x:f>12.120245</x:f>
        <x:v>12.120245000000001</x:v>
      </x:c>
      <x:c r="Y865">
        <x:f>-24.93083</x:f>
        <x:v>-24.93083</x:v>
      </x:c>
      <x:c r="Z865">
        <x:f>0</x:f>
        <x:v>0</x:v>
      </x:c>
      <x:c r="AA865">
        <x:f>2.14252</x:f>
        <x:v>2.1425200000000002</x:v>
      </x:c>
      <x:c r="AB865">
        <x:f>-2.247905</x:f>
        <x:v>-2.2479049999999998</x:v>
      </x:c>
      <x:c r="AC865">
        <x:f>2.30568</x:f>
        <x:v>2.3056800000000002</x:v>
      </x:c>
      <x:c r="AD865">
        <x:f>-13.42184</x:f>
        <x:v>-13.42184</x:v>
      </x:c>
      <x:c r="AE865">
        <x:f>8.48941</x:f>
        <x:v>8.4894099999999995</x:v>
      </x:c>
      <x:c r="AF865">
        <x:f>0</x:f>
        <x:v>0</x:v>
      </x:c>
      <x:c r="AG865">
        <x:f>-13.479675</x:f>
        <x:v>-13.479675</x:v>
      </x:c>
    </x:row>
    <x:row r="866" spans="1:33" x14ac:dyDescent="0.25">
      <x:c r="A866" t="str">
        <x:f>"            Neuberger Berman Next Generati"</x:f>
        <x:v xml:space="preserve">            Neuberger Berman Next Generati</x:v>
      </x:c>
      <x:c r="B866" t="str">
        <x:f>"NBCC US Equity"</x:f>
        <x:v>NBCC US Equity</x:v>
      </x:c>
      <x:c r="E866" t="str">
        <x:f t="shared" si="35"/>
        <x:v>Expression</x:v>
      </x:c>
      <x:c r="F866">
        <x:f ca="1">IF(AND($B$1012=1,LEN($F$1846)&gt;0),$F$1846,HLOOKUP(INDIRECT(ADDRESS(2,COLUMN())),OFFSET($T$2,0,0,ROW()-1,14),ROW()-1,FALSE))</x:f>
        <x:v>0</x:v>
      </x:c>
      <x:c r="G866">
        <x:f ca="1">IF(AND($B$1012=1,LEN($G$1846)&gt;0),$G$1846,HLOOKUP(INDIRECT(ADDRESS(2,COLUMN())),OFFSET($T$2,0,0,ROW()-1,14),ROW()-1,FALSE))</x:f>
        <x:v>0</x:v>
      </x:c>
      <x:c r="H866">
        <x:f ca="1">IF(AND($B$1012=1,LEN($H$1846)&gt;0),$H$1846,HLOOKUP(INDIRECT(ADDRESS(2,COLUMN())),OFFSET($T$2,0,0,ROW()-1,14),ROW()-1,FALSE))</x:f>
        <x:v>0</x:v>
      </x:c>
      <x:c r="I866">
        <x:f ca="1">IF(AND($B$1012=1,LEN($I$1846)&gt;0),$I$1846,HLOOKUP(INDIRECT(ADDRESS(2,COLUMN())),OFFSET($T$2,0,0,ROW()-1,14),ROW()-1,FALSE))</x:f>
        <x:v>0</x:v>
      </x:c>
      <x:c r="J866">
        <x:f ca="1">IF(AND($B$1012=1,LEN($J$1846)&gt;0),$J$1846,HLOOKUP(INDIRECT(ADDRESS(2,COLUMN())),OFFSET($T$2,0,0,ROW()-1,14),ROW()-1,FALSE))</x:f>
        <x:v>0</x:v>
      </x:c>
      <x:c r="K866">
        <x:f ca="1">IF(AND($B$1012=1,LEN($K$1846)&gt;0),$K$1846,HLOOKUP(INDIRECT(ADDRESS(2,COLUMN())),OFFSET($T$2,0,0,ROW()-1,14),ROW()-1,FALSE))</x:f>
        <x:v>0</x:v>
      </x:c>
      <x:c r="L866">
        <x:f ca="1">IF(AND($B$1012=1,LEN($L$1846)&gt;0),$L$1846,HLOOKUP(INDIRECT(ADDRESS(2,COLUMN())),OFFSET($T$2,0,0,ROW()-1,14),ROW()-1,FALSE))</x:f>
        <x:v>0</x:v>
      </x:c>
      <x:c r="M866">
        <x:f ca="1">IF(AND($B$1012=1,LEN($M$1846)&gt;0),$M$1846,HLOOKUP(INDIRECT(ADDRESS(2,COLUMN())),OFFSET($T$2,0,0,ROW()-1,14),ROW()-1,FALSE))</x:f>
        <x:v>0</x:v>
      </x:c>
      <x:c r="N866">
        <x:f ca="1">IF(AND($B$1012=1,LEN($N$1846)&gt;0),$N$1846,HLOOKUP(INDIRECT(ADDRESS(2,COLUMN())),OFFSET($T$2,0,0,ROW()-1,14),ROW()-1,FALSE))</x:f>
        <x:v>0</x:v>
      </x:c>
      <x:c r="O866">
        <x:f ca="1">IF(AND($B$1012=1,LEN($O$1846)&gt;0),$O$1846,HLOOKUP(INDIRECT(ADDRESS(2,COLUMN())),OFFSET($T$2,0,0,ROW()-1,14),ROW()-1,FALSE))</x:f>
        <x:v>0</x:v>
      </x:c>
      <x:c r="P866">
        <x:f ca="1">IF(AND($B$1012=1,LEN($P$1846)&gt;0),$P$1846,HLOOKUP(INDIRECT(ADDRESS(2,COLUMN())),OFFSET($T$2,0,0,ROW()-1,14),ROW()-1,FALSE))</x:f>
        <x:v>0</x:v>
      </x:c>
      <x:c r="Q866">
        <x:f ca="1">IF(AND($B$1012=1,LEN($Q$1846)&gt;0),$Q$1846,HLOOKUP(INDIRECT(ADDRESS(2,COLUMN())),OFFSET($T$2,0,0,ROW()-1,14),ROW()-1,FALSE))</x:f>
        <x:v>0</x:v>
      </x:c>
      <x:c r="R866">
        <x:f ca="1">IF(AND($B$1012=1,LEN($R$1846)&gt;0),$R$1846,HLOOKUP(INDIRECT(ADDRESS(2,COLUMN())),OFFSET($T$2,0,0,ROW()-1,14),ROW()-1,FALSE))</x:f>
        <x:v>0</x:v>
      </x:c>
      <x:c r="S866">
        <x:f ca="1">IF(AND($B$1012=1,LEN($S$1846)&gt;0),$S$1846,HLOOKUP(INDIRECT(ADDRESS(2,COLUMN())),OFFSET($T$2,0,0,ROW()-1,14),ROW()-1,FALSE))</x:f>
        <x:v>0</x:v>
      </x:c>
      <x:c r="T866">
        <x:f>0</x:f>
        <x:v>0</x:v>
      </x:c>
      <x:c r="U866">
        <x:f>0</x:f>
        <x:v>0</x:v>
      </x:c>
      <x:c r="V866">
        <x:f>0</x:f>
        <x:v>0</x:v>
      </x:c>
      <x:c r="W866">
        <x:f>0</x:f>
        <x:v>0</x:v>
      </x:c>
      <x:c r="X866">
        <x:f>0</x:f>
        <x:v>0</x:v>
      </x:c>
      <x:c r="Y866">
        <x:f>0</x:f>
        <x:v>0</x:v>
      </x:c>
      <x:c r="Z866">
        <x:f>0</x:f>
        <x:v>0</x:v>
      </x:c>
      <x:c r="AA866">
        <x:f>0</x:f>
        <x:v>0</x:v>
      </x:c>
      <x:c r="AB866">
        <x:f>0</x:f>
        <x:v>0</x:v>
      </x:c>
      <x:c r="AC866">
        <x:f>0</x:f>
        <x:v>0</x:v>
      </x:c>
      <x:c r="AD866">
        <x:f>0</x:f>
        <x:v>0</x:v>
      </x:c>
      <x:c r="AE866">
        <x:f>0</x:f>
        <x:v>0</x:v>
      </x:c>
      <x:c r="AF866">
        <x:f>0</x:f>
        <x:v>0</x:v>
      </x:c>
      <x:c r="AG866">
        <x:f>0</x:f>
        <x:v>0</x:v>
      </x:c>
    </x:row>
    <x:row r="867" spans="1:33" x14ac:dyDescent="0.25">
      <x:c r="A867" t="str">
        <x:f>"        Broad/ Other"</x:f>
        <x:v xml:space="preserve">        Broad/ Other</x:v>
      </x:c>
      <x:c r="B867" t="str">
        <x:f>""</x:f>
        <x:v/>
      </x:c>
      <x:c r="E867" t="str">
        <x:f>"Sum"</x:f>
        <x:v>Sum</x:v>
      </x:c>
      <x:c r="F867">
        <x:f ca="1">IF(ISERROR(IF(SUM($F$868:$F$917) = 0, "", SUM($F$868:$F$917))), "", (IF(SUM($F$868:$F$917) = 0, "", SUM($F$868:$F$917))))</x:f>
        <x:v>-26.911553000000001</x:v>
      </x:c>
      <x:c r="G867">
        <x:f ca="1">IF(ISERROR(IF(SUM($G$868:$G$917) = 0, "", SUM($G$868:$G$917))), "", (IF(SUM($G$868:$G$917) = 0, "", SUM($G$868:$G$917))))</x:f>
        <x:v>-43.390701999999997</x:v>
      </x:c>
      <x:c r="H867">
        <x:f ca="1">IF(ISERROR(IF(SUM($H$868:$H$917) = 0, "", SUM($H$868:$H$917))), "", (IF(SUM($H$868:$H$917) = 0, "", SUM($H$868:$H$917))))</x:f>
        <x:v>-10.142296999999999</x:v>
      </x:c>
      <x:c r="I867">
        <x:f ca="1">IF(ISERROR(IF(SUM($I$868:$I$917) = 0, "", SUM($I$868:$I$917))), "", (IF(SUM($I$868:$I$917) = 0, "", SUM($I$868:$I$917))))</x:f>
        <x:v>-1.4942519999999995</x:v>
      </x:c>
      <x:c r="J867">
        <x:f ca="1">IF(ISERROR(IF(SUM($J$868:$J$917) = 0, "", SUM($J$868:$J$917))), "", (IF(SUM($J$868:$J$917) = 0, "", SUM($J$868:$J$917))))</x:f>
        <x:v>-11.274118</x:v>
      </x:c>
      <x:c r="K867">
        <x:f ca="1">IF(ISERROR(IF(SUM($K$868:$K$917) = 0, "", SUM($K$868:$K$917))), "", (IF(SUM($K$868:$K$917) = 0, "", SUM($K$868:$K$917))))</x:f>
        <x:v>-4.3766560000000005</x:v>
      </x:c>
      <x:c r="L867">
        <x:f ca="1">IF(ISERROR(IF(SUM($L$868:$L$917) = 0, "", SUM($L$868:$L$917))), "", (IF(SUM($L$868:$L$917) = 0, "", SUM($L$868:$L$917))))</x:f>
        <x:v>-1.1518559999999995</x:v>
      </x:c>
      <x:c r="M867">
        <x:f ca="1">IF(ISERROR(IF(SUM($M$868:$M$917) = 0, "", SUM($M$868:$M$917))), "", (IF(SUM($M$868:$M$917) = 0, "", SUM($M$868:$M$917))))</x:f>
        <x:v>3.3492639999999998</x:v>
      </x:c>
      <x:c r="N867">
        <x:f ca="1">IF(ISERROR(IF(SUM($N$868:$N$917) = 0, "", SUM($N$868:$N$917))), "", (IF(SUM($N$868:$N$917) = 0, "", SUM($N$868:$N$917))))</x:f>
        <x:v>-7.9255000000000004</x:v>
      </x:c>
      <x:c r="O867">
        <x:f ca="1">IF(ISERROR(IF(SUM($O$868:$O$917) = 0, "", SUM($O$868:$O$917))), "", (IF(SUM($O$868:$O$917) = 0, "", SUM($O$868:$O$917))))</x:f>
        <x:v>5.9325910000000039</x:v>
      </x:c>
      <x:c r="P867">
        <x:f ca="1">IF(ISERROR(IF(SUM($P$868:$P$917) = 0, "", SUM($P$868:$P$917))), "", (IF(SUM($P$868:$P$917) = 0, "", SUM($P$868:$P$917))))</x:f>
        <x:v>5.8135069999999995</x:v>
      </x:c>
      <x:c r="Q867">
        <x:f ca="1">IF(ISERROR(IF(SUM($Q$868:$Q$917) = 0, "", SUM($Q$868:$Q$917))), "", (IF(SUM($Q$868:$Q$917) = 0, "", SUM($Q$868:$Q$917))))</x:f>
        <x:v>15.577337</x:v>
      </x:c>
      <x:c r="R867">
        <x:f ca="1">IF(ISERROR(IF(SUM($R$868:$R$917) = 0, "", SUM($R$868:$R$917))), "", (IF(SUM($R$868:$R$917) = 0, "", SUM($R$868:$R$917))))</x:f>
        <x:v>-1.7191989999999988</x:v>
      </x:c>
      <x:c r="S867">
        <x:f ca="1">IF(ISERROR(IF(SUM($S$868:$S$917) = 0, "", SUM($S$868:$S$917))), "", (IF(SUM($S$868:$S$917) = 0, "", SUM($S$868:$S$917))))</x:f>
        <x:v>216.63319999999999</x:v>
      </x:c>
      <x:c r="T867">
        <x:f>-26.911553</x:f>
        <x:v>-26.911553000000001</x:v>
      </x:c>
      <x:c r="U867">
        <x:f>-43.390702</x:f>
        <x:v>-43.390701999999997</x:v>
      </x:c>
      <x:c r="V867">
        <x:f>-10.142297</x:f>
        <x:v>-10.142296999999999</x:v>
      </x:c>
      <x:c r="W867">
        <x:f>-1.494252</x:f>
        <x:v>-1.4942519999999999</x:v>
      </x:c>
      <x:c r="X867">
        <x:f>-11.274118</x:f>
        <x:v>-11.274118</x:v>
      </x:c>
      <x:c r="Y867">
        <x:f>-4.376656</x:f>
        <x:v>-4.3766559999999997</x:v>
      </x:c>
      <x:c r="Z867">
        <x:f>-1.151856</x:f>
        <x:v>-1.151856</x:v>
      </x:c>
      <x:c r="AA867">
        <x:f>3.349264</x:f>
        <x:v>3.3492639999999998</x:v>
      </x:c>
      <x:c r="AB867">
        <x:f>-7.9255</x:f>
        <x:v>-7.9255000000000004</x:v>
      </x:c>
      <x:c r="AC867">
        <x:f>5.932591</x:f>
        <x:v>5.9325910000000004</x:v>
      </x:c>
      <x:c r="AD867">
        <x:f>5.813507</x:f>
        <x:v>5.8135070000000004</x:v>
      </x:c>
      <x:c r="AE867">
        <x:f>15.577337</x:f>
        <x:v>15.577337</x:v>
      </x:c>
      <x:c r="AF867">
        <x:f>-1.719199</x:f>
        <x:v>-1.7191989999999999</x:v>
      </x:c>
      <x:c r="AG867">
        <x:f>216.6332</x:f>
        <x:v>216.63319999999999</x:v>
      </x:c>
    </x:row>
    <x:row r="868" spans="1:33" x14ac:dyDescent="0.25">
      <x:c r="A868" t="str">
        <x:f>"            ARK Israel Innovative Technolo"</x:f>
        <x:v xml:space="preserve">            ARK Israel Innovative Technolo</x:v>
      </x:c>
      <x:c r="B868" t="str">
        <x:f>"IZRL US Equity"</x:f>
        <x:v>IZRL US Equity</x:v>
      </x:c>
      <x:c r="E868" t="str">
        <x:f t="shared" ref="E868:E899" si="36">"Expression"</x:f>
        <x:v>Expression</x:v>
      </x:c>
      <x:c r="F868">
        <x:f ca="1">IF(AND($B$1012=1,LEN($F$1847)&gt;0),$F$1847,HLOOKUP(INDIRECT(ADDRESS(2,COLUMN())),OFFSET($T$2,0,0,ROW()-1,14),ROW()-1,FALSE))</x:f>
        <x:v>-2.0570810000000002</x:v>
      </x:c>
      <x:c r="G868">
        <x:f ca="1">IF(AND($B$1012=1,LEN($G$1847)&gt;0),$G$1847,HLOOKUP(INDIRECT(ADDRESS(2,COLUMN())),OFFSET($T$2,0,0,ROW()-1,14),ROW()-1,FALSE))</x:f>
        <x:v>-7.1890790000000004</x:v>
      </x:c>
      <x:c r="H868">
        <x:f ca="1">IF(AND($B$1012=1,LEN($H$1847)&gt;0),$H$1847,HLOOKUP(INDIRECT(ADDRESS(2,COLUMN())),OFFSET($T$2,0,0,ROW()-1,14),ROW()-1,FALSE))</x:f>
        <x:v>0</x:v>
      </x:c>
      <x:c r="I868">
        <x:f ca="1">IF(AND($B$1012=1,LEN($I$1847)&gt;0),$I$1847,HLOOKUP(INDIRECT(ADDRESS(2,COLUMN())),OFFSET($T$2,0,0,ROW()-1,14),ROW()-1,FALSE))</x:f>
        <x:v>2.4608449999999999</x:v>
      </x:c>
      <x:c r="J868">
        <x:f ca="1">IF(AND($B$1012=1,LEN($J$1847)&gt;0),$J$1847,HLOOKUP(INDIRECT(ADDRESS(2,COLUMN())),OFFSET($T$2,0,0,ROW()-1,14),ROW()-1,FALSE))</x:f>
        <x:v>-4.9918870000000002</x:v>
      </x:c>
      <x:c r="K868">
        <x:f ca="1">IF(AND($B$1012=1,LEN($K$1847)&gt;0),$K$1847,HLOOKUP(INDIRECT(ADDRESS(2,COLUMN())),OFFSET($T$2,0,0,ROW()-1,14),ROW()-1,FALSE))</x:f>
        <x:v>-2.4115549999999999</x:v>
      </x:c>
      <x:c r="L868">
        <x:f ca="1">IF(AND($B$1012=1,LEN($L$1847)&gt;0),$L$1847,HLOOKUP(INDIRECT(ADDRESS(2,COLUMN())),OFFSET($T$2,0,0,ROW()-1,14),ROW()-1,FALSE))</x:f>
        <x:v>-3.502783</x:v>
      </x:c>
      <x:c r="M868">
        <x:f ca="1">IF(AND($B$1012=1,LEN($M$1847)&gt;0),$M$1847,HLOOKUP(INDIRECT(ADDRESS(2,COLUMN())),OFFSET($T$2,0,0,ROW()-1,14),ROW()-1,FALSE))</x:f>
        <x:v>0</x:v>
      </x:c>
      <x:c r="N868">
        <x:f ca="1">IF(AND($B$1012=1,LEN($N$1847)&gt;0),$N$1847,HLOOKUP(INDIRECT(ADDRESS(2,COLUMN())),OFFSET($T$2,0,0,ROW()-1,14),ROW()-1,FALSE))</x:f>
        <x:v>-0.88348199999999999</x:v>
      </x:c>
      <x:c r="O868">
        <x:f ca="1">IF(AND($B$1012=1,LEN($O$1847)&gt;0),$O$1847,HLOOKUP(INDIRECT(ADDRESS(2,COLUMN())),OFFSET($T$2,0,0,ROW()-1,14),ROW()-1,FALSE))</x:f>
        <x:v>0</x:v>
      </x:c>
      <x:c r="P868">
        <x:f ca="1">IF(AND($B$1012=1,LEN($P$1847)&gt;0),$P$1847,HLOOKUP(INDIRECT(ADDRESS(2,COLUMN())),OFFSET($T$2,0,0,ROW()-1,14),ROW()-1,FALSE))</x:f>
        <x:v>-4.5148710000000003</x:v>
      </x:c>
      <x:c r="Q868">
        <x:f ca="1">IF(AND($B$1012=1,LEN($Q$1847)&gt;0),$Q$1847,HLOOKUP(INDIRECT(ADDRESS(2,COLUMN())),OFFSET($T$2,0,0,ROW()-1,14),ROW()-1,FALSE))</x:f>
        <x:v>2.6262210000000001</x:v>
      </x:c>
      <x:c r="R868">
        <x:f ca="1">IF(AND($B$1012=1,LEN($R$1847)&gt;0),$R$1847,HLOOKUP(INDIRECT(ADDRESS(2,COLUMN())),OFFSET($T$2,0,0,ROW()-1,14),ROW()-1,FALSE))</x:f>
        <x:v>-0.89834899999999995</x:v>
      </x:c>
      <x:c r="S868">
        <x:f ca="1">IF(AND($B$1012=1,LEN($S$1847)&gt;0),$S$1847,HLOOKUP(INDIRECT(ADDRESS(2,COLUMN())),OFFSET($T$2,0,0,ROW()-1,14),ROW()-1,FALSE))</x:f>
        <x:v>-2.6162329999999998</x:v>
      </x:c>
      <x:c r="T868">
        <x:f>-2.057081</x:f>
        <x:v>-2.0570810000000002</x:v>
      </x:c>
      <x:c r="U868">
        <x:f>-7.189079</x:f>
        <x:v>-7.1890790000000004</x:v>
      </x:c>
      <x:c r="V868">
        <x:f>0</x:f>
        <x:v>0</x:v>
      </x:c>
      <x:c r="W868">
        <x:f>2.460845</x:f>
        <x:v>2.4608449999999999</x:v>
      </x:c>
      <x:c r="X868">
        <x:f>-4.991887</x:f>
        <x:v>-4.9918870000000002</x:v>
      </x:c>
      <x:c r="Y868">
        <x:f>-2.411555</x:f>
        <x:v>-2.4115549999999999</x:v>
      </x:c>
      <x:c r="Z868">
        <x:f>-3.502783</x:f>
        <x:v>-3.502783</x:v>
      </x:c>
      <x:c r="AA868">
        <x:f>0</x:f>
        <x:v>0</x:v>
      </x:c>
      <x:c r="AB868">
        <x:f>-0.883482</x:f>
        <x:v>-0.88348199999999999</x:v>
      </x:c>
      <x:c r="AC868">
        <x:f>0</x:f>
        <x:v>0</x:v>
      </x:c>
      <x:c r="AD868">
        <x:f>-4.514871</x:f>
        <x:v>-4.5148710000000003</x:v>
      </x:c>
      <x:c r="AE868">
        <x:f>2.626221</x:f>
        <x:v>2.6262210000000001</x:v>
      </x:c>
      <x:c r="AF868">
        <x:f>-0.898349</x:f>
        <x:v>-0.89834899999999995</x:v>
      </x:c>
      <x:c r="AG868">
        <x:f>-2.616233</x:f>
        <x:v>-2.6162329999999998</x:v>
      </x:c>
    </x:row>
    <x:row r="869" spans="1:33" x14ac:dyDescent="0.25">
      <x:c r="A869" t="str">
        <x:f>"            The 3D Printing ETF"</x:f>
        <x:v xml:space="preserve">            The 3D Printing ETF</x:v>
      </x:c>
      <x:c r="B869" t="str">
        <x:f>"PRNT US Equity"</x:f>
        <x:v>PRNT US Equity</x:v>
      </x:c>
      <x:c r="E869" t="str">
        <x:f t="shared" si="36"/>
        <x:v>Expression</x:v>
      </x:c>
      <x:c r="F869">
        <x:f ca="1">IF(AND($B$1012=1,LEN($F$1848)&gt;0),$F$1848,HLOOKUP(INDIRECT(ADDRESS(2,COLUMN())),OFFSET($T$2,0,0,ROW()-1,14),ROW()-1,FALSE))</x:f>
        <x:v>0</x:v>
      </x:c>
      <x:c r="G869">
        <x:f ca="1">IF(AND($B$1012=1,LEN($G$1848)&gt;0),$G$1848,HLOOKUP(INDIRECT(ADDRESS(2,COLUMN())),OFFSET($T$2,0,0,ROW()-1,14),ROW()-1,FALSE))</x:f>
        <x:v>-2.9207580000000002</x:v>
      </x:c>
      <x:c r="H869">
        <x:f ca="1">IF(AND($B$1012=1,LEN($H$1848)&gt;0),$H$1848,HLOOKUP(INDIRECT(ADDRESS(2,COLUMN())),OFFSET($T$2,0,0,ROW()-1,14),ROW()-1,FALSE))</x:f>
        <x:v>-3.0474350000000001</x:v>
      </x:c>
      <x:c r="I869">
        <x:f ca="1">IF(AND($B$1012=1,LEN($I$1848)&gt;0),$I$1848,HLOOKUP(INDIRECT(ADDRESS(2,COLUMN())),OFFSET($T$2,0,0,ROW()-1,14),ROW()-1,FALSE))</x:f>
        <x:v>-5.5826209999999996</x:v>
      </x:c>
      <x:c r="J869">
        <x:f ca="1">IF(AND($B$1012=1,LEN($J$1848)&gt;0),$J$1848,HLOOKUP(INDIRECT(ADDRESS(2,COLUMN())),OFFSET($T$2,0,0,ROW()-1,14),ROW()-1,FALSE))</x:f>
        <x:v>-1.2475590000000001</x:v>
      </x:c>
      <x:c r="K869">
        <x:f ca="1">IF(AND($B$1012=1,LEN($K$1848)&gt;0),$K$1848,HLOOKUP(INDIRECT(ADDRESS(2,COLUMN())),OFFSET($T$2,0,0,ROW()-1,14),ROW()-1,FALSE))</x:f>
        <x:v>-0.98722100000000002</x:v>
      </x:c>
      <x:c r="L869">
        <x:f ca="1">IF(AND($B$1012=1,LEN($L$1848)&gt;0),$L$1848,HLOOKUP(INDIRECT(ADDRESS(2,COLUMN())),OFFSET($T$2,0,0,ROW()-1,14),ROW()-1,FALSE))</x:f>
        <x:v>-2.160507</x:v>
      </x:c>
      <x:c r="M869">
        <x:f ca="1">IF(AND($B$1012=1,LEN($M$1848)&gt;0),$M$1848,HLOOKUP(INDIRECT(ADDRESS(2,COLUMN())),OFFSET($T$2,0,0,ROW()-1,14),ROW()-1,FALSE))</x:f>
        <x:v>-1.1246590000000001</x:v>
      </x:c>
      <x:c r="N869">
        <x:f ca="1">IF(AND($B$1012=1,LEN($N$1848)&gt;0),$N$1848,HLOOKUP(INDIRECT(ADDRESS(2,COLUMN())),OFFSET($T$2,0,0,ROW()-1,14),ROW()-1,FALSE))</x:f>
        <x:v>-4.3785910000000001</x:v>
      </x:c>
      <x:c r="O869">
        <x:f ca="1">IF(AND($B$1012=1,LEN($O$1848)&gt;0),$O$1848,HLOOKUP(INDIRECT(ADDRESS(2,COLUMN())),OFFSET($T$2,0,0,ROW()-1,14),ROW()-1,FALSE))</x:f>
        <x:v>-4.9033600000000002</x:v>
      </x:c>
      <x:c r="P869">
        <x:f ca="1">IF(AND($B$1012=1,LEN($P$1848)&gt;0),$P$1848,HLOOKUP(INDIRECT(ADDRESS(2,COLUMN())),OFFSET($T$2,0,0,ROW()-1,14),ROW()-1,FALSE))</x:f>
        <x:v>-5.5683889999999998</x:v>
      </x:c>
      <x:c r="Q869">
        <x:f ca="1">IF(AND($B$1012=1,LEN($Q$1848)&gt;0),$Q$1848,HLOOKUP(INDIRECT(ADDRESS(2,COLUMN())),OFFSET($T$2,0,0,ROW()-1,14),ROW()-1,FALSE))</x:f>
        <x:v>-1.0916429999999999</x:v>
      </x:c>
      <x:c r="R869">
        <x:f ca="1">IF(AND($B$1012=1,LEN($R$1848)&gt;0),$R$1848,HLOOKUP(INDIRECT(ADDRESS(2,COLUMN())),OFFSET($T$2,0,0,ROW()-1,14),ROW()-1,FALSE))</x:f>
        <x:v>0</x:v>
      </x:c>
      <x:c r="S869">
        <x:f ca="1">IF(AND($B$1012=1,LEN($S$1848)&gt;0),$S$1848,HLOOKUP(INDIRECT(ADDRESS(2,COLUMN())),OFFSET($T$2,0,0,ROW()-1,14),ROW()-1,FALSE))</x:f>
        <x:v>-7.0532130000000004</x:v>
      </x:c>
      <x:c r="T869">
        <x:f>0</x:f>
        <x:v>0</x:v>
      </x:c>
      <x:c r="U869">
        <x:f>-2.920758</x:f>
        <x:v>-2.9207580000000002</x:v>
      </x:c>
      <x:c r="V869">
        <x:f>-3.047435</x:f>
        <x:v>-3.0474350000000001</x:v>
      </x:c>
      <x:c r="W869">
        <x:f>-5.582621</x:f>
        <x:v>-5.5826209999999996</x:v>
      </x:c>
      <x:c r="X869">
        <x:f>-1.247559</x:f>
        <x:v>-1.2475590000000001</x:v>
      </x:c>
      <x:c r="Y869">
        <x:f>-0.987221</x:f>
        <x:v>-0.98722100000000002</x:v>
      </x:c>
      <x:c r="Z869">
        <x:f>-2.160507</x:f>
        <x:v>-2.160507</x:v>
      </x:c>
      <x:c r="AA869">
        <x:f>-1.124659</x:f>
        <x:v>-1.1246590000000001</x:v>
      </x:c>
      <x:c r="AB869">
        <x:f>-4.378591</x:f>
        <x:v>-4.3785910000000001</x:v>
      </x:c>
      <x:c r="AC869">
        <x:f>-4.90336</x:f>
        <x:v>-4.9033600000000002</x:v>
      </x:c>
      <x:c r="AD869">
        <x:f>-5.568389</x:f>
        <x:v>-5.5683889999999998</x:v>
      </x:c>
      <x:c r="AE869">
        <x:f>-1.091643</x:f>
        <x:v>-1.0916429999999999</x:v>
      </x:c>
      <x:c r="AF869">
        <x:f>0</x:f>
        <x:v>0</x:v>
      </x:c>
      <x:c r="AG869">
        <x:f>-7.053213</x:f>
        <x:v>-7.0532130000000004</x:v>
      </x:c>
    </x:row>
    <x:row r="870" spans="1:33" x14ac:dyDescent="0.25">
      <x:c r="A870" t="str">
        <x:f>"            Knowledge Leaders Developed Wo"</x:f>
        <x:v xml:space="preserve">            Knowledge Leaders Developed Wo</x:v>
      </x:c>
      <x:c r="B870" t="str">
        <x:f>"KLDW US Equity"</x:f>
        <x:v>KLDW US Equity</x:v>
      </x:c>
      <x:c r="E870" t="str">
        <x:f t="shared" si="36"/>
        <x:v>Expression</x:v>
      </x:c>
      <x:c r="F870">
        <x:f ca="1">IF(AND($B$1012=1,LEN($F$1849)&gt;0),$F$1849,HLOOKUP(INDIRECT(ADDRESS(2,COLUMN())),OFFSET($T$2,0,0,ROW()-1,14),ROW()-1,FALSE))</x:f>
        <x:v>0</x:v>
      </x:c>
      <x:c r="G870">
        <x:f ca="1">IF(AND($B$1012=1,LEN($G$1849)&gt;0),$G$1849,HLOOKUP(INDIRECT(ADDRESS(2,COLUMN())),OFFSET($T$2,0,0,ROW()-1,14),ROW()-1,FALSE))</x:f>
        <x:v>-3.7908499999999998</x:v>
      </x:c>
      <x:c r="H870">
        <x:f ca="1">IF(AND($B$1012=1,LEN($H$1849)&gt;0),$H$1849,HLOOKUP(INDIRECT(ADDRESS(2,COLUMN())),OFFSET($T$2,0,0,ROW()-1,14),ROW()-1,FALSE))</x:f>
        <x:v>0</x:v>
      </x:c>
      <x:c r="I870">
        <x:f ca="1">IF(AND($B$1012=1,LEN($I$1849)&gt;0),$I$1849,HLOOKUP(INDIRECT(ADDRESS(2,COLUMN())),OFFSET($T$2,0,0,ROW()-1,14),ROW()-1,FALSE))</x:f>
        <x:v>0</x:v>
      </x:c>
      <x:c r="J870">
        <x:f ca="1">IF(AND($B$1012=1,LEN($J$1849)&gt;0),$J$1849,HLOOKUP(INDIRECT(ADDRESS(2,COLUMN())),OFFSET($T$2,0,0,ROW()-1,14),ROW()-1,FALSE))</x:f>
        <x:v>0</x:v>
      </x:c>
      <x:c r="K870">
        <x:f ca="1">IF(AND($B$1012=1,LEN($K$1849)&gt;0),$K$1849,HLOOKUP(INDIRECT(ADDRESS(2,COLUMN())),OFFSET($T$2,0,0,ROW()-1,14),ROW()-1,FALSE))</x:f>
        <x:v>0</x:v>
      </x:c>
      <x:c r="L870">
        <x:f ca="1">IF(AND($B$1012=1,LEN($L$1849)&gt;0),$L$1849,HLOOKUP(INDIRECT(ADDRESS(2,COLUMN())),OFFSET($T$2,0,0,ROW()-1,14),ROW()-1,FALSE))</x:f>
        <x:v>0</x:v>
      </x:c>
      <x:c r="M870">
        <x:f ca="1">IF(AND($B$1012=1,LEN($M$1849)&gt;0),$M$1849,HLOOKUP(INDIRECT(ADDRESS(2,COLUMN())),OFFSET($T$2,0,0,ROW()-1,14),ROW()-1,FALSE))</x:f>
        <x:v>-4.0047300000000003</x:v>
      </x:c>
      <x:c r="N870">
        <x:f ca="1">IF(AND($B$1012=1,LEN($N$1849)&gt;0),$N$1849,HLOOKUP(INDIRECT(ADDRESS(2,COLUMN())),OFFSET($T$2,0,0,ROW()-1,14),ROW()-1,FALSE))</x:f>
        <x:v>0</x:v>
      </x:c>
      <x:c r="O870">
        <x:f ca="1">IF(AND($B$1012=1,LEN($O$1849)&gt;0),$O$1849,HLOOKUP(INDIRECT(ADDRESS(2,COLUMN())),OFFSET($T$2,0,0,ROW()-1,14),ROW()-1,FALSE))</x:f>
        <x:v>-3.9115000000000002</x:v>
      </x:c>
      <x:c r="P870">
        <x:f ca="1">IF(AND($B$1012=1,LEN($P$1849)&gt;0),$P$1849,HLOOKUP(INDIRECT(ADDRESS(2,COLUMN())),OFFSET($T$2,0,0,ROW()-1,14),ROW()-1,FALSE))</x:f>
        <x:v>0</x:v>
      </x:c>
      <x:c r="Q870">
        <x:f ca="1">IF(AND($B$1012=1,LEN($Q$1849)&gt;0),$Q$1849,HLOOKUP(INDIRECT(ADDRESS(2,COLUMN())),OFFSET($T$2,0,0,ROW()-1,14),ROW()-1,FALSE))</x:f>
        <x:v>0</x:v>
      </x:c>
      <x:c r="R870">
        <x:f ca="1">IF(AND($B$1012=1,LEN($R$1849)&gt;0),$R$1849,HLOOKUP(INDIRECT(ADDRESS(2,COLUMN())),OFFSET($T$2,0,0,ROW()-1,14),ROW()-1,FALSE))</x:f>
        <x:v>-5.0421649999999998</x:v>
      </x:c>
      <x:c r="S870">
        <x:f ca="1">IF(AND($B$1012=1,LEN($S$1849)&gt;0),$S$1849,HLOOKUP(INDIRECT(ADDRESS(2,COLUMN())),OFFSET($T$2,0,0,ROW()-1,14),ROW()-1,FALSE))</x:f>
        <x:v>-1.684995</x:v>
      </x:c>
      <x:c r="T870">
        <x:f>0</x:f>
        <x:v>0</x:v>
      </x:c>
      <x:c r="U870">
        <x:f>-3.79085</x:f>
        <x:v>-3.7908499999999998</x:v>
      </x:c>
      <x:c r="V870">
        <x:f>0</x:f>
        <x:v>0</x:v>
      </x:c>
      <x:c r="W870">
        <x:f>0</x:f>
        <x:v>0</x:v>
      </x:c>
      <x:c r="X870">
        <x:f>0</x:f>
        <x:v>0</x:v>
      </x:c>
      <x:c r="Y870">
        <x:f>0</x:f>
        <x:v>0</x:v>
      </x:c>
      <x:c r="Z870">
        <x:f>0</x:f>
        <x:v>0</x:v>
      </x:c>
      <x:c r="AA870">
        <x:f>-4.00473</x:f>
        <x:v>-4.0047300000000003</x:v>
      </x:c>
      <x:c r="AB870">
        <x:f>0</x:f>
        <x:v>0</x:v>
      </x:c>
      <x:c r="AC870">
        <x:f>-3.9115</x:f>
        <x:v>-3.9115000000000002</x:v>
      </x:c>
      <x:c r="AD870">
        <x:f>0</x:f>
        <x:v>0</x:v>
      </x:c>
      <x:c r="AE870">
        <x:f>0</x:f>
        <x:v>0</x:v>
      </x:c>
      <x:c r="AF870">
        <x:f>-5.042165</x:f>
        <x:v>-5.0421649999999998</x:v>
      </x:c>
      <x:c r="AG870">
        <x:f>-1.684995</x:f>
        <x:v>-1.684995</x:v>
      </x:c>
    </x:row>
    <x:row r="871" spans="1:33" x14ac:dyDescent="0.25">
      <x:c r="A871" t="str">
        <x:f>"            Nashville Area ETF"</x:f>
        <x:v xml:space="preserve">            Nashville Area ETF</x:v>
      </x:c>
      <x:c r="B871" t="str">
        <x:f>"NASH US Equity"</x:f>
        <x:v>NASH US Equity</x:v>
      </x:c>
      <x:c r="E871" t="str">
        <x:f t="shared" si="36"/>
        <x:v>Expression</x:v>
      </x:c>
      <x:c r="F871" t="str">
        <x:f ca="1">IF(AND($B$1012=1,LEN($F$1850)&gt;0),$F$1850,HLOOKUP(INDIRECT(ADDRESS(2,COLUMN())),OFFSET($T$2,0,0,ROW()-1,14),ROW()-1,FALSE))</x:f>
        <x:v/>
      </x:c>
      <x:c r="G871" t="str">
        <x:f ca="1">IF(AND($B$1012=1,LEN($G$1850)&gt;0),$G$1850,HLOOKUP(INDIRECT(ADDRESS(2,COLUMN())),OFFSET($T$2,0,0,ROW()-1,14),ROW()-1,FALSE))</x:f>
        <x:v/>
      </x:c>
      <x:c r="H871" t="str">
        <x:f ca="1">IF(AND($B$1012=1,LEN($H$1850)&gt;0),$H$1850,HLOOKUP(INDIRECT(ADDRESS(2,COLUMN())),OFFSET($T$2,0,0,ROW()-1,14),ROW()-1,FALSE))</x:f>
        <x:v/>
      </x:c>
      <x:c r="I871" t="str">
        <x:f ca="1">IF(AND($B$1012=1,LEN($I$1850)&gt;0),$I$1850,HLOOKUP(INDIRECT(ADDRESS(2,COLUMN())),OFFSET($T$2,0,0,ROW()-1,14),ROW()-1,FALSE))</x:f>
        <x:v/>
      </x:c>
      <x:c r="J871" t="str">
        <x:f ca="1">IF(AND($B$1012=1,LEN($J$1850)&gt;0),$J$1850,HLOOKUP(INDIRECT(ADDRESS(2,COLUMN())),OFFSET($T$2,0,0,ROW()-1,14),ROW()-1,FALSE))</x:f>
        <x:v/>
      </x:c>
      <x:c r="K871" t="str">
        <x:f ca="1">IF(AND($B$1012=1,LEN($K$1850)&gt;0),$K$1850,HLOOKUP(INDIRECT(ADDRESS(2,COLUMN())),OFFSET($T$2,0,0,ROW()-1,14),ROW()-1,FALSE))</x:f>
        <x:v/>
      </x:c>
      <x:c r="L871" t="str">
        <x:f ca="1">IF(AND($B$1012=1,LEN($L$1850)&gt;0),$L$1850,HLOOKUP(INDIRECT(ADDRESS(2,COLUMN())),OFFSET($T$2,0,0,ROW()-1,14),ROW()-1,FALSE))</x:f>
        <x:v/>
      </x:c>
      <x:c r="M871" t="str">
        <x:f ca="1">IF(AND($B$1012=1,LEN($M$1850)&gt;0),$M$1850,HLOOKUP(INDIRECT(ADDRESS(2,COLUMN())),OFFSET($T$2,0,0,ROW()-1,14),ROW()-1,FALSE))</x:f>
        <x:v/>
      </x:c>
      <x:c r="N871" t="str">
        <x:f ca="1">IF(AND($B$1012=1,LEN($N$1850)&gt;0),$N$1850,HLOOKUP(INDIRECT(ADDRESS(2,COLUMN())),OFFSET($T$2,0,0,ROW()-1,14),ROW()-1,FALSE))</x:f>
        <x:v/>
      </x:c>
      <x:c r="O871" t="str">
        <x:f ca="1">IF(AND($B$1012=1,LEN($O$1850)&gt;0),$O$1850,HLOOKUP(INDIRECT(ADDRESS(2,COLUMN())),OFFSET($T$2,0,0,ROW()-1,14),ROW()-1,FALSE))</x:f>
        <x:v/>
      </x:c>
      <x:c r="P871" t="str">
        <x:f ca="1">IF(AND($B$1012=1,LEN($P$1850)&gt;0),$P$1850,HLOOKUP(INDIRECT(ADDRESS(2,COLUMN())),OFFSET($T$2,0,0,ROW()-1,14),ROW()-1,FALSE))</x:f>
        <x:v/>
      </x:c>
      <x:c r="Q871" t="str">
        <x:f ca="1">IF(AND($B$1012=1,LEN($Q$1850)&gt;0),$Q$1850,HLOOKUP(INDIRECT(ADDRESS(2,COLUMN())),OFFSET($T$2,0,0,ROW()-1,14),ROW()-1,FALSE))</x:f>
        <x:v/>
      </x:c>
      <x:c r="R871" t="str">
        <x:f ca="1">IF(AND($B$1012=1,LEN($R$1850)&gt;0),$R$1850,HLOOKUP(INDIRECT(ADDRESS(2,COLUMN())),OFFSET($T$2,0,0,ROW()-1,14),ROW()-1,FALSE))</x:f>
        <x:v/>
      </x:c>
      <x:c r="S871" t="str">
        <x:f ca="1">IF(AND($B$1012=1,LEN($S$1850)&gt;0),$S$1850,HLOOKUP(INDIRECT(ADDRESS(2,COLUMN())),OFFSET($T$2,0,0,ROW()-1,14),ROW()-1,FALSE))</x:f>
        <x:v/>
      </x:c>
      <x:c r="T871" t="str">
        <x:f>""</x:f>
        <x:v/>
      </x:c>
      <x:c r="U871" t="str">
        <x:f>""</x:f>
        <x:v/>
      </x:c>
      <x:c r="V871" t="str">
        <x:f>""</x:f>
        <x:v/>
      </x:c>
      <x:c r="W871" t="str">
        <x:f>""</x:f>
        <x:v/>
      </x:c>
      <x:c r="X871" t="str">
        <x:f>""</x:f>
        <x:v/>
      </x:c>
      <x:c r="Y871" t="str">
        <x:f>""</x:f>
        <x:v/>
      </x:c>
      <x:c r="Z871" t="str">
        <x:f>""</x:f>
        <x:v/>
      </x:c>
      <x:c r="AA871" t="str">
        <x:f>""</x:f>
        <x:v/>
      </x:c>
      <x:c r="AB871" t="str">
        <x:f>""</x:f>
        <x:v/>
      </x:c>
      <x:c r="AC871" t="str">
        <x:f>""</x:f>
        <x:v/>
      </x:c>
      <x:c r="AD871" t="str">
        <x:f>""</x:f>
        <x:v/>
      </x:c>
      <x:c r="AE871" t="str">
        <x:f>""</x:f>
        <x:v/>
      </x:c>
      <x:c r="AF871" t="str">
        <x:f>""</x:f>
        <x:v/>
      </x:c>
      <x:c r="AG871" t="str">
        <x:f>""</x:f>
        <x:v/>
      </x:c>
    </x:row>
    <x:row r="872" spans="1:33" x14ac:dyDescent="0.25">
      <x:c r="A872" t="str">
        <x:f>"            Buzz US Sentiment Leaders ETF"</x:f>
        <x:v xml:space="preserve">            Buzz US Sentiment Leaders ETF</x:v>
      </x:c>
      <x:c r="B872" t="str">
        <x:f>"BUZ US Equity"</x:f>
        <x:v>BUZ US Equity</x:v>
      </x:c>
      <x:c r="E872" t="str">
        <x:f t="shared" si="36"/>
        <x:v>Expression</x:v>
      </x:c>
      <x:c r="F872" t="str">
        <x:f ca="1">IF(AND($B$1012=1,LEN($F$1851)&gt;0),$F$1851,HLOOKUP(INDIRECT(ADDRESS(2,COLUMN())),OFFSET($T$2,0,0,ROW()-1,14),ROW()-1,FALSE))</x:f>
        <x:v/>
      </x:c>
      <x:c r="G872" t="str">
        <x:f ca="1">IF(AND($B$1012=1,LEN($G$1851)&gt;0),$G$1851,HLOOKUP(INDIRECT(ADDRESS(2,COLUMN())),OFFSET($T$2,0,0,ROW()-1,14),ROW()-1,FALSE))</x:f>
        <x:v/>
      </x:c>
      <x:c r="H872" t="str">
        <x:f ca="1">IF(AND($B$1012=1,LEN($H$1851)&gt;0),$H$1851,HLOOKUP(INDIRECT(ADDRESS(2,COLUMN())),OFFSET($T$2,0,0,ROW()-1,14),ROW()-1,FALSE))</x:f>
        <x:v/>
      </x:c>
      <x:c r="I872" t="str">
        <x:f ca="1">IF(AND($B$1012=1,LEN($I$1851)&gt;0),$I$1851,HLOOKUP(INDIRECT(ADDRESS(2,COLUMN())),OFFSET($T$2,0,0,ROW()-1,14),ROW()-1,FALSE))</x:f>
        <x:v/>
      </x:c>
      <x:c r="J872" t="str">
        <x:f ca="1">IF(AND($B$1012=1,LEN($J$1851)&gt;0),$J$1851,HLOOKUP(INDIRECT(ADDRESS(2,COLUMN())),OFFSET($T$2,0,0,ROW()-1,14),ROW()-1,FALSE))</x:f>
        <x:v/>
      </x:c>
      <x:c r="K872" t="str">
        <x:f ca="1">IF(AND($B$1012=1,LEN($K$1851)&gt;0),$K$1851,HLOOKUP(INDIRECT(ADDRESS(2,COLUMN())),OFFSET($T$2,0,0,ROW()-1,14),ROW()-1,FALSE))</x:f>
        <x:v/>
      </x:c>
      <x:c r="L872" t="str">
        <x:f ca="1">IF(AND($B$1012=1,LEN($L$1851)&gt;0),$L$1851,HLOOKUP(INDIRECT(ADDRESS(2,COLUMN())),OFFSET($T$2,0,0,ROW()-1,14),ROW()-1,FALSE))</x:f>
        <x:v/>
      </x:c>
      <x:c r="M872" t="str">
        <x:f ca="1">IF(AND($B$1012=1,LEN($M$1851)&gt;0),$M$1851,HLOOKUP(INDIRECT(ADDRESS(2,COLUMN())),OFFSET($T$2,0,0,ROW()-1,14),ROW()-1,FALSE))</x:f>
        <x:v/>
      </x:c>
      <x:c r="N872" t="str">
        <x:f ca="1">IF(AND($B$1012=1,LEN($N$1851)&gt;0),$N$1851,HLOOKUP(INDIRECT(ADDRESS(2,COLUMN())),OFFSET($T$2,0,0,ROW()-1,14),ROW()-1,FALSE))</x:f>
        <x:v/>
      </x:c>
      <x:c r="O872" t="str">
        <x:f ca="1">IF(AND($B$1012=1,LEN($O$1851)&gt;0),$O$1851,HLOOKUP(INDIRECT(ADDRESS(2,COLUMN())),OFFSET($T$2,0,0,ROW()-1,14),ROW()-1,FALSE))</x:f>
        <x:v/>
      </x:c>
      <x:c r="P872" t="str">
        <x:f ca="1">IF(AND($B$1012=1,LEN($P$1851)&gt;0),$P$1851,HLOOKUP(INDIRECT(ADDRESS(2,COLUMN())),OFFSET($T$2,0,0,ROW()-1,14),ROW()-1,FALSE))</x:f>
        <x:v/>
      </x:c>
      <x:c r="Q872" t="str">
        <x:f ca="1">IF(AND($B$1012=1,LEN($Q$1851)&gt;0),$Q$1851,HLOOKUP(INDIRECT(ADDRESS(2,COLUMN())),OFFSET($T$2,0,0,ROW()-1,14),ROW()-1,FALSE))</x:f>
        <x:v/>
      </x:c>
      <x:c r="R872" t="str">
        <x:f ca="1">IF(AND($B$1012=1,LEN($R$1851)&gt;0),$R$1851,HLOOKUP(INDIRECT(ADDRESS(2,COLUMN())),OFFSET($T$2,0,0,ROW()-1,14),ROW()-1,FALSE))</x:f>
        <x:v/>
      </x:c>
      <x:c r="S872" t="str">
        <x:f ca="1">IF(AND($B$1012=1,LEN($S$1851)&gt;0),$S$1851,HLOOKUP(INDIRECT(ADDRESS(2,COLUMN())),OFFSET($T$2,0,0,ROW()-1,14),ROW()-1,FALSE))</x:f>
        <x:v/>
      </x:c>
      <x:c r="T872" t="str">
        <x:f>""</x:f>
        <x:v/>
      </x:c>
      <x:c r="U872" t="str">
        <x:f>""</x:f>
        <x:v/>
      </x:c>
      <x:c r="V872" t="str">
        <x:f>""</x:f>
        <x:v/>
      </x:c>
      <x:c r="W872" t="str">
        <x:f>""</x:f>
        <x:v/>
      </x:c>
      <x:c r="X872" t="str">
        <x:f>""</x:f>
        <x:v/>
      </x:c>
      <x:c r="Y872" t="str">
        <x:f>""</x:f>
        <x:v/>
      </x:c>
      <x:c r="Z872" t="str">
        <x:f>""</x:f>
        <x:v/>
      </x:c>
      <x:c r="AA872" t="str">
        <x:f>""</x:f>
        <x:v/>
      </x:c>
      <x:c r="AB872" t="str">
        <x:f>""</x:f>
        <x:v/>
      </x:c>
      <x:c r="AC872" t="str">
        <x:f>""</x:f>
        <x:v/>
      </x:c>
      <x:c r="AD872" t="str">
        <x:f>""</x:f>
        <x:v/>
      </x:c>
      <x:c r="AE872" t="str">
        <x:f>""</x:f>
        <x:v/>
      </x:c>
      <x:c r="AF872" t="str">
        <x:f>""</x:f>
        <x:v/>
      </x:c>
      <x:c r="AG872" t="str">
        <x:f>""</x:f>
        <x:v/>
      </x:c>
    </x:row>
    <x:row r="873" spans="1:33" x14ac:dyDescent="0.25">
      <x:c r="A873" t="str">
        <x:f>"            VanEck Vectors Spin-Off ETF"</x:f>
        <x:v xml:space="preserve">            VanEck Vectors Spin-Off ETF</x:v>
      </x:c>
      <x:c r="B873" t="str">
        <x:f>"SPUN US Equity"</x:f>
        <x:v>SPUN US Equity</x:v>
      </x:c>
      <x:c r="E873" t="str">
        <x:f t="shared" si="36"/>
        <x:v>Expression</x:v>
      </x:c>
      <x:c r="F873" t="str">
        <x:f ca="1">IF(AND($B$1012=1,LEN($F$1852)&gt;0),$F$1852,HLOOKUP(INDIRECT(ADDRESS(2,COLUMN())),OFFSET($T$2,0,0,ROW()-1,14),ROW()-1,FALSE))</x:f>
        <x:v/>
      </x:c>
      <x:c r="G873" t="str">
        <x:f ca="1">IF(AND($B$1012=1,LEN($G$1852)&gt;0),$G$1852,HLOOKUP(INDIRECT(ADDRESS(2,COLUMN())),OFFSET($T$2,0,0,ROW()-1,14),ROW()-1,FALSE))</x:f>
        <x:v/>
      </x:c>
      <x:c r="H873" t="str">
        <x:f ca="1">IF(AND($B$1012=1,LEN($H$1852)&gt;0),$H$1852,HLOOKUP(INDIRECT(ADDRESS(2,COLUMN())),OFFSET($T$2,0,0,ROW()-1,14),ROW()-1,FALSE))</x:f>
        <x:v/>
      </x:c>
      <x:c r="I873" t="str">
        <x:f ca="1">IF(AND($B$1012=1,LEN($I$1852)&gt;0),$I$1852,HLOOKUP(INDIRECT(ADDRESS(2,COLUMN())),OFFSET($T$2,0,0,ROW()-1,14),ROW()-1,FALSE))</x:f>
        <x:v/>
      </x:c>
      <x:c r="J873" t="str">
        <x:f ca="1">IF(AND($B$1012=1,LEN($J$1852)&gt;0),$J$1852,HLOOKUP(INDIRECT(ADDRESS(2,COLUMN())),OFFSET($T$2,0,0,ROW()-1,14),ROW()-1,FALSE))</x:f>
        <x:v/>
      </x:c>
      <x:c r="K873" t="str">
        <x:f ca="1">IF(AND($B$1012=1,LEN($K$1852)&gt;0),$K$1852,HLOOKUP(INDIRECT(ADDRESS(2,COLUMN())),OFFSET($T$2,0,0,ROW()-1,14),ROW()-1,FALSE))</x:f>
        <x:v/>
      </x:c>
      <x:c r="L873" t="str">
        <x:f ca="1">IF(AND($B$1012=1,LEN($L$1852)&gt;0),$L$1852,HLOOKUP(INDIRECT(ADDRESS(2,COLUMN())),OFFSET($T$2,0,0,ROW()-1,14),ROW()-1,FALSE))</x:f>
        <x:v/>
      </x:c>
      <x:c r="M873" t="str">
        <x:f ca="1">IF(AND($B$1012=1,LEN($M$1852)&gt;0),$M$1852,HLOOKUP(INDIRECT(ADDRESS(2,COLUMN())),OFFSET($T$2,0,0,ROW()-1,14),ROW()-1,FALSE))</x:f>
        <x:v/>
      </x:c>
      <x:c r="N873" t="str">
        <x:f ca="1">IF(AND($B$1012=1,LEN($N$1852)&gt;0),$N$1852,HLOOKUP(INDIRECT(ADDRESS(2,COLUMN())),OFFSET($T$2,0,0,ROW()-1,14),ROW()-1,FALSE))</x:f>
        <x:v/>
      </x:c>
      <x:c r="O873" t="str">
        <x:f ca="1">IF(AND($B$1012=1,LEN($O$1852)&gt;0),$O$1852,HLOOKUP(INDIRECT(ADDRESS(2,COLUMN())),OFFSET($T$2,0,0,ROW()-1,14),ROW()-1,FALSE))</x:f>
        <x:v/>
      </x:c>
      <x:c r="P873" t="str">
        <x:f ca="1">IF(AND($B$1012=1,LEN($P$1852)&gt;0),$P$1852,HLOOKUP(INDIRECT(ADDRESS(2,COLUMN())),OFFSET($T$2,0,0,ROW()-1,14),ROW()-1,FALSE))</x:f>
        <x:v/>
      </x:c>
      <x:c r="Q873" t="str">
        <x:f ca="1">IF(AND($B$1012=1,LEN($Q$1852)&gt;0),$Q$1852,HLOOKUP(INDIRECT(ADDRESS(2,COLUMN())),OFFSET($T$2,0,0,ROW()-1,14),ROW()-1,FALSE))</x:f>
        <x:v/>
      </x:c>
      <x:c r="R873" t="str">
        <x:f ca="1">IF(AND($B$1012=1,LEN($R$1852)&gt;0),$R$1852,HLOOKUP(INDIRECT(ADDRESS(2,COLUMN())),OFFSET($T$2,0,0,ROW()-1,14),ROW()-1,FALSE))</x:f>
        <x:v/>
      </x:c>
      <x:c r="S873" t="str">
        <x:f ca="1">IF(AND($B$1012=1,LEN($S$1852)&gt;0),$S$1852,HLOOKUP(INDIRECT(ADDRESS(2,COLUMN())),OFFSET($T$2,0,0,ROW()-1,14),ROW()-1,FALSE))</x:f>
        <x:v/>
      </x:c>
      <x:c r="T873" t="str">
        <x:f>""</x:f>
        <x:v/>
      </x:c>
      <x:c r="U873" t="str">
        <x:f>""</x:f>
        <x:v/>
      </x:c>
      <x:c r="V873" t="str">
        <x:f>""</x:f>
        <x:v/>
      </x:c>
      <x:c r="W873" t="str">
        <x:f>""</x:f>
        <x:v/>
      </x:c>
      <x:c r="X873" t="str">
        <x:f>""</x:f>
        <x:v/>
      </x:c>
      <x:c r="Y873" t="str">
        <x:f>""</x:f>
        <x:v/>
      </x:c>
      <x:c r="Z873" t="str">
        <x:f>""</x:f>
        <x:v/>
      </x:c>
      <x:c r="AA873" t="str">
        <x:f>""</x:f>
        <x:v/>
      </x:c>
      <x:c r="AB873" t="str">
        <x:f>""</x:f>
        <x:v/>
      </x:c>
      <x:c r="AC873" t="str">
        <x:f>""</x:f>
        <x:v/>
      </x:c>
      <x:c r="AD873" t="str">
        <x:f>""</x:f>
        <x:v/>
      </x:c>
      <x:c r="AE873" t="str">
        <x:f>""</x:f>
        <x:v/>
      </x:c>
      <x:c r="AF873" t="str">
        <x:f>""</x:f>
        <x:v/>
      </x:c>
      <x:c r="AG873" t="str">
        <x:f>""</x:f>
        <x:v/>
      </x:c>
    </x:row>
    <x:row r="874" spans="1:33" x14ac:dyDescent="0.25">
      <x:c r="A874" t="str">
        <x:f>"            Global X Founder - Run Compani"</x:f>
        <x:v xml:space="preserve">            Global X Founder - Run Compani</x:v>
      </x:c>
      <x:c r="B874" t="str">
        <x:f>"BOSS US Equity"</x:f>
        <x:v>BOSS US Equity</x:v>
      </x:c>
      <x:c r="E874" t="str">
        <x:f t="shared" si="36"/>
        <x:v>Expression</x:v>
      </x:c>
      <x:c r="F874">
        <x:f ca="1">IF(AND($B$1012=1,LEN($F$1853)&gt;0),$F$1853,HLOOKUP(INDIRECT(ADDRESS(2,COLUMN())),OFFSET($T$2,0,0,ROW()-1,14),ROW()-1,FALSE))</x:f>
        <x:v>0</x:v>
      </x:c>
      <x:c r="G874">
        <x:f ca="1">IF(AND($B$1012=1,LEN($G$1853)&gt;0),$G$1853,HLOOKUP(INDIRECT(ADDRESS(2,COLUMN())),OFFSET($T$2,0,0,ROW()-1,14),ROW()-1,FALSE))</x:f>
        <x:v>0</x:v>
      </x:c>
      <x:c r="H874">
        <x:f ca="1">IF(AND($B$1012=1,LEN($H$1853)&gt;0),$H$1853,HLOOKUP(INDIRECT(ADDRESS(2,COLUMN())),OFFSET($T$2,0,0,ROW()-1,14),ROW()-1,FALSE))</x:f>
        <x:v>0</x:v>
      </x:c>
      <x:c r="I874">
        <x:f ca="1">IF(AND($B$1012=1,LEN($I$1853)&gt;0),$I$1853,HLOOKUP(INDIRECT(ADDRESS(2,COLUMN())),OFFSET($T$2,0,0,ROW()-1,14),ROW()-1,FALSE))</x:f>
        <x:v>0</x:v>
      </x:c>
      <x:c r="J874">
        <x:f ca="1">IF(AND($B$1012=1,LEN($J$1853)&gt;0),$J$1853,HLOOKUP(INDIRECT(ADDRESS(2,COLUMN())),OFFSET($T$2,0,0,ROW()-1,14),ROW()-1,FALSE))</x:f>
        <x:v>0</x:v>
      </x:c>
      <x:c r="K874">
        <x:f ca="1">IF(AND($B$1012=1,LEN($K$1853)&gt;0),$K$1853,HLOOKUP(INDIRECT(ADDRESS(2,COLUMN())),OFFSET($T$2,0,0,ROW()-1,14),ROW()-1,FALSE))</x:f>
        <x:v>-0.50560000000000005</x:v>
      </x:c>
      <x:c r="L874">
        <x:f ca="1">IF(AND($B$1012=1,LEN($L$1853)&gt;0),$L$1853,HLOOKUP(INDIRECT(ADDRESS(2,COLUMN())),OFFSET($T$2,0,0,ROW()-1,14),ROW()-1,FALSE))</x:f>
        <x:v>0</x:v>
      </x:c>
      <x:c r="M874">
        <x:f ca="1">IF(AND($B$1012=1,LEN($M$1853)&gt;0),$M$1853,HLOOKUP(INDIRECT(ADDRESS(2,COLUMN())),OFFSET($T$2,0,0,ROW()-1,14),ROW()-1,FALSE))</x:f>
        <x:v>0</x:v>
      </x:c>
      <x:c r="N874">
        <x:f ca="1">IF(AND($B$1012=1,LEN($N$1853)&gt;0),$N$1853,HLOOKUP(INDIRECT(ADDRESS(2,COLUMN())),OFFSET($T$2,0,0,ROW()-1,14),ROW()-1,FALSE))</x:f>
        <x:v>-0.6966</x:v>
      </x:c>
      <x:c r="O874">
        <x:f ca="1">IF(AND($B$1012=1,LEN($O$1853)&gt;0),$O$1853,HLOOKUP(INDIRECT(ADDRESS(2,COLUMN())),OFFSET($T$2,0,0,ROW()-1,14),ROW()-1,FALSE))</x:f>
        <x:v>0</x:v>
      </x:c>
      <x:c r="P874">
        <x:f ca="1">IF(AND($B$1012=1,LEN($P$1853)&gt;0),$P$1853,HLOOKUP(INDIRECT(ADDRESS(2,COLUMN())),OFFSET($T$2,0,0,ROW()-1,14),ROW()-1,FALSE))</x:f>
        <x:v>-0.70469999999999999</x:v>
      </x:c>
      <x:c r="Q874">
        <x:f ca="1">IF(AND($B$1012=1,LEN($Q$1853)&gt;0),$Q$1853,HLOOKUP(INDIRECT(ADDRESS(2,COLUMN())),OFFSET($T$2,0,0,ROW()-1,14),ROW()-1,FALSE))</x:f>
        <x:v>0</x:v>
      </x:c>
      <x:c r="R874">
        <x:f ca="1">IF(AND($B$1012=1,LEN($R$1853)&gt;0),$R$1853,HLOOKUP(INDIRECT(ADDRESS(2,COLUMN())),OFFSET($T$2,0,0,ROW()-1,14),ROW()-1,FALSE))</x:f>
        <x:v>-0.47570000000000001</x:v>
      </x:c>
      <x:c r="S874">
        <x:f ca="1">IF(AND($B$1012=1,LEN($S$1853)&gt;0),$S$1853,HLOOKUP(INDIRECT(ADDRESS(2,COLUMN())),OFFSET($T$2,0,0,ROW()-1,14),ROW()-1,FALSE))</x:f>
        <x:v>0</x:v>
      </x:c>
      <x:c r="T874">
        <x:f>0</x:f>
        <x:v>0</x:v>
      </x:c>
      <x:c r="U874">
        <x:f>0</x:f>
        <x:v>0</x:v>
      </x:c>
      <x:c r="V874">
        <x:f>0</x:f>
        <x:v>0</x:v>
      </x:c>
      <x:c r="W874">
        <x:f>0</x:f>
        <x:v>0</x:v>
      </x:c>
      <x:c r="X874">
        <x:f>0</x:f>
        <x:v>0</x:v>
      </x:c>
      <x:c r="Y874">
        <x:f>-0.5056</x:f>
        <x:v>-0.50560000000000005</x:v>
      </x:c>
      <x:c r="Z874">
        <x:f>0</x:f>
        <x:v>0</x:v>
      </x:c>
      <x:c r="AA874">
        <x:f>0</x:f>
        <x:v>0</x:v>
      </x:c>
      <x:c r="AB874">
        <x:f>-0.6966</x:f>
        <x:v>-0.6966</x:v>
      </x:c>
      <x:c r="AC874">
        <x:f>0</x:f>
        <x:v>0</x:v>
      </x:c>
      <x:c r="AD874">
        <x:f>-0.7047</x:f>
        <x:v>-0.70469999999999999</x:v>
      </x:c>
      <x:c r="AE874">
        <x:f>0</x:f>
        <x:v>0</x:v>
      </x:c>
      <x:c r="AF874">
        <x:f>-0.4757</x:f>
        <x:v>-0.47570000000000001</x:v>
      </x:c>
      <x:c r="AG874">
        <x:f>0</x:f>
        <x:v>0</x:v>
      </x:c>
    </x:row>
    <x:row r="875" spans="1:33" x14ac:dyDescent="0.25">
      <x:c r="A875" t="str">
        <x:f>"            ProSports Sponsors ETF"</x:f>
        <x:v xml:space="preserve">            ProSports Sponsors ETF</x:v>
      </x:c>
      <x:c r="B875" t="str">
        <x:f>"FANZ US Equity"</x:f>
        <x:v>FANZ US Equity</x:v>
      </x:c>
      <x:c r="E875" t="str">
        <x:f t="shared" si="36"/>
        <x:v>Expression</x:v>
      </x:c>
      <x:c r="F875" t="str">
        <x:f ca="1">IF(AND($B$1012=1,LEN($F$1854)&gt;0),$F$1854,HLOOKUP(INDIRECT(ADDRESS(2,COLUMN())),OFFSET($T$2,0,0,ROW()-1,14),ROW()-1,FALSE))</x:f>
        <x:v/>
      </x:c>
      <x:c r="G875" t="str">
        <x:f ca="1">IF(AND($B$1012=1,LEN($G$1854)&gt;0),$G$1854,HLOOKUP(INDIRECT(ADDRESS(2,COLUMN())),OFFSET($T$2,0,0,ROW()-1,14),ROW()-1,FALSE))</x:f>
        <x:v/>
      </x:c>
      <x:c r="H875" t="str">
        <x:f ca="1">IF(AND($B$1012=1,LEN($H$1854)&gt;0),$H$1854,HLOOKUP(INDIRECT(ADDRESS(2,COLUMN())),OFFSET($T$2,0,0,ROW()-1,14),ROW()-1,FALSE))</x:f>
        <x:v/>
      </x:c>
      <x:c r="I875" t="str">
        <x:f ca="1">IF(AND($B$1012=1,LEN($I$1854)&gt;0),$I$1854,HLOOKUP(INDIRECT(ADDRESS(2,COLUMN())),OFFSET($T$2,0,0,ROW()-1,14),ROW()-1,FALSE))</x:f>
        <x:v/>
      </x:c>
      <x:c r="J875" t="str">
        <x:f ca="1">IF(AND($B$1012=1,LEN($J$1854)&gt;0),$J$1854,HLOOKUP(INDIRECT(ADDRESS(2,COLUMN())),OFFSET($T$2,0,0,ROW()-1,14),ROW()-1,FALSE))</x:f>
        <x:v/>
      </x:c>
      <x:c r="K875" t="str">
        <x:f ca="1">IF(AND($B$1012=1,LEN($K$1854)&gt;0),$K$1854,HLOOKUP(INDIRECT(ADDRESS(2,COLUMN())),OFFSET($T$2,0,0,ROW()-1,14),ROW()-1,FALSE))</x:f>
        <x:v/>
      </x:c>
      <x:c r="L875" t="str">
        <x:f ca="1">IF(AND($B$1012=1,LEN($L$1854)&gt;0),$L$1854,HLOOKUP(INDIRECT(ADDRESS(2,COLUMN())),OFFSET($T$2,0,0,ROW()-1,14),ROW()-1,FALSE))</x:f>
        <x:v/>
      </x:c>
      <x:c r="M875" t="str">
        <x:f ca="1">IF(AND($B$1012=1,LEN($M$1854)&gt;0),$M$1854,HLOOKUP(INDIRECT(ADDRESS(2,COLUMN())),OFFSET($T$2,0,0,ROW()-1,14),ROW()-1,FALSE))</x:f>
        <x:v/>
      </x:c>
      <x:c r="N875" t="str">
        <x:f ca="1">IF(AND($B$1012=1,LEN($N$1854)&gt;0),$N$1854,HLOOKUP(INDIRECT(ADDRESS(2,COLUMN())),OFFSET($T$2,0,0,ROW()-1,14),ROW()-1,FALSE))</x:f>
        <x:v/>
      </x:c>
      <x:c r="O875" t="str">
        <x:f ca="1">IF(AND($B$1012=1,LEN($O$1854)&gt;0),$O$1854,HLOOKUP(INDIRECT(ADDRESS(2,COLUMN())),OFFSET($T$2,0,0,ROW()-1,14),ROW()-1,FALSE))</x:f>
        <x:v/>
      </x:c>
      <x:c r="P875" t="str">
        <x:f ca="1">IF(AND($B$1012=1,LEN($P$1854)&gt;0),$P$1854,HLOOKUP(INDIRECT(ADDRESS(2,COLUMN())),OFFSET($T$2,0,0,ROW()-1,14),ROW()-1,FALSE))</x:f>
        <x:v/>
      </x:c>
      <x:c r="Q875" t="str">
        <x:f ca="1">IF(AND($B$1012=1,LEN($Q$1854)&gt;0),$Q$1854,HLOOKUP(INDIRECT(ADDRESS(2,COLUMN())),OFFSET($T$2,0,0,ROW()-1,14),ROW()-1,FALSE))</x:f>
        <x:v/>
      </x:c>
      <x:c r="R875" t="str">
        <x:f ca="1">IF(AND($B$1012=1,LEN($R$1854)&gt;0),$R$1854,HLOOKUP(INDIRECT(ADDRESS(2,COLUMN())),OFFSET($T$2,0,0,ROW()-1,14),ROW()-1,FALSE))</x:f>
        <x:v/>
      </x:c>
      <x:c r="S875" t="str">
        <x:f ca="1">IF(AND($B$1012=1,LEN($S$1854)&gt;0),$S$1854,HLOOKUP(INDIRECT(ADDRESS(2,COLUMN())),OFFSET($T$2,0,0,ROW()-1,14),ROW()-1,FALSE))</x:f>
        <x:v/>
      </x:c>
      <x:c r="T875" t="str">
        <x:f>""</x:f>
        <x:v/>
      </x:c>
      <x:c r="U875" t="str">
        <x:f>""</x:f>
        <x:v/>
      </x:c>
      <x:c r="V875" t="str">
        <x:f>""</x:f>
        <x:v/>
      </x:c>
      <x:c r="W875" t="str">
        <x:f>""</x:f>
        <x:v/>
      </x:c>
      <x:c r="X875" t="str">
        <x:f>""</x:f>
        <x:v/>
      </x:c>
      <x:c r="Y875" t="str">
        <x:f>""</x:f>
        <x:v/>
      </x:c>
      <x:c r="Z875" t="str">
        <x:f>""</x:f>
        <x:v/>
      </x:c>
      <x:c r="AA875" t="str">
        <x:f>""</x:f>
        <x:v/>
      </x:c>
      <x:c r="AB875" t="str">
        <x:f>""</x:f>
        <x:v/>
      </x:c>
      <x:c r="AC875" t="str">
        <x:f>""</x:f>
        <x:v/>
      </x:c>
      <x:c r="AD875" t="str">
        <x:f>""</x:f>
        <x:v/>
      </x:c>
      <x:c r="AE875" t="str">
        <x:f>""</x:f>
        <x:v/>
      </x:c>
      <x:c r="AF875" t="str">
        <x:f>""</x:f>
        <x:v/>
      </x:c>
      <x:c r="AG875" t="str">
        <x:f>""</x:f>
        <x:v/>
      </x:c>
    </x:row>
    <x:row r="876" spans="1:33" x14ac:dyDescent="0.25">
      <x:c r="A876" t="str">
        <x:f>"            Point Bridge America First ETF"</x:f>
        <x:v xml:space="preserve">            Point Bridge America First ETF</x:v>
      </x:c>
      <x:c r="B876" t="str">
        <x:f>"MAGA US Equity"</x:f>
        <x:v>MAGA US Equity</x:v>
      </x:c>
      <x:c r="E876" t="str">
        <x:f t="shared" si="36"/>
        <x:v>Expression</x:v>
      </x:c>
      <x:c r="F876">
        <x:f ca="1">IF(AND($B$1012=1,LEN($F$1855)&gt;0),$F$1855,HLOOKUP(INDIRECT(ADDRESS(2,COLUMN())),OFFSET($T$2,0,0,ROW()-1,14),ROW()-1,FALSE))</x:f>
        <x:v>0</x:v>
      </x:c>
      <x:c r="G876">
        <x:f ca="1">IF(AND($B$1012=1,LEN($G$1855)&gt;0),$G$1855,HLOOKUP(INDIRECT(ADDRESS(2,COLUMN())),OFFSET($T$2,0,0,ROW()-1,14),ROW()-1,FALSE))</x:f>
        <x:v>0</x:v>
      </x:c>
      <x:c r="H876">
        <x:f ca="1">IF(AND($B$1012=1,LEN($H$1855)&gt;0),$H$1855,HLOOKUP(INDIRECT(ADDRESS(2,COLUMN())),OFFSET($T$2,0,0,ROW()-1,14),ROW()-1,FALSE))</x:f>
        <x:v>1.1670000000000001E-3</x:v>
      </x:c>
      <x:c r="I876">
        <x:f ca="1">IF(AND($B$1012=1,LEN($I$1855)&gt;0),$I$1855,HLOOKUP(INDIRECT(ADDRESS(2,COLUMN())),OFFSET($T$2,0,0,ROW()-1,14),ROW()-1,FALSE))</x:f>
        <x:v>0</x:v>
      </x:c>
      <x:c r="J876">
        <x:f ca="1">IF(AND($B$1012=1,LEN($J$1855)&gt;0),$J$1855,HLOOKUP(INDIRECT(ADDRESS(2,COLUMN())),OFFSET($T$2,0,0,ROW()-1,14),ROW()-1,FALSE))</x:f>
        <x:v>0</x:v>
      </x:c>
      <x:c r="K876">
        <x:f ca="1">IF(AND($B$1012=1,LEN($K$1855)&gt;0),$K$1855,HLOOKUP(INDIRECT(ADDRESS(2,COLUMN())),OFFSET($T$2,0,0,ROW()-1,14),ROW()-1,FALSE))</x:f>
        <x:v>-0.92605800000000005</x:v>
      </x:c>
      <x:c r="L876">
        <x:f ca="1">IF(AND($B$1012=1,LEN($L$1855)&gt;0),$L$1855,HLOOKUP(INDIRECT(ADDRESS(2,COLUMN())),OFFSET($T$2,0,0,ROW()-1,14),ROW()-1,FALSE))</x:f>
        <x:v>0</x:v>
      </x:c>
      <x:c r="M876">
        <x:f ca="1">IF(AND($B$1012=1,LEN($M$1855)&gt;0),$M$1855,HLOOKUP(INDIRECT(ADDRESS(2,COLUMN())),OFFSET($T$2,0,0,ROW()-1,14),ROW()-1,FALSE))</x:f>
        <x:v>0</x:v>
      </x:c>
      <x:c r="N876">
        <x:f ca="1">IF(AND($B$1012=1,LEN($N$1855)&gt;0),$N$1855,HLOOKUP(INDIRECT(ADDRESS(2,COLUMN())),OFFSET($T$2,0,0,ROW()-1,14),ROW()-1,FALSE))</x:f>
        <x:v>0.92622800000000005</x:v>
      </x:c>
      <x:c r="O876">
        <x:f ca="1">IF(AND($B$1012=1,LEN($O$1855)&gt;0),$O$1855,HLOOKUP(INDIRECT(ADDRESS(2,COLUMN())),OFFSET($T$2,0,0,ROW()-1,14),ROW()-1,FALSE))</x:f>
        <x:v>0</x:v>
      </x:c>
      <x:c r="P876">
        <x:f ca="1">IF(AND($B$1012=1,LEN($P$1855)&gt;0),$P$1855,HLOOKUP(INDIRECT(ADDRESS(2,COLUMN())),OFFSET($T$2,0,0,ROW()-1,14),ROW()-1,FALSE))</x:f>
        <x:v>-4.1320000000000003E-2</x:v>
      </x:c>
      <x:c r="Q876">
        <x:f ca="1">IF(AND($B$1012=1,LEN($Q$1855)&gt;0),$Q$1855,HLOOKUP(INDIRECT(ADDRESS(2,COLUMN())),OFFSET($T$2,0,0,ROW()-1,14),ROW()-1,FALSE))</x:f>
        <x:v>0.99034500000000003</x:v>
      </x:c>
      <x:c r="R876">
        <x:f ca="1">IF(AND($B$1012=1,LEN($R$1855)&gt;0),$R$1855,HLOOKUP(INDIRECT(ADDRESS(2,COLUMN())),OFFSET($T$2,0,0,ROW()-1,14),ROW()-1,FALSE))</x:f>
        <x:v>1.9864550000000001</x:v>
      </x:c>
      <x:c r="S876">
        <x:f ca="1">IF(AND($B$1012=1,LEN($S$1855)&gt;0),$S$1855,HLOOKUP(INDIRECT(ADDRESS(2,COLUMN())),OFFSET($T$2,0,0,ROW()-1,14),ROW()-1,FALSE))</x:f>
        <x:v>0</x:v>
      </x:c>
      <x:c r="T876">
        <x:f>0</x:f>
        <x:v>0</x:v>
      </x:c>
      <x:c r="U876">
        <x:f>0</x:f>
        <x:v>0</x:v>
      </x:c>
      <x:c r="V876">
        <x:f>0.001167</x:f>
        <x:v>1.1670000000000001E-3</x:v>
      </x:c>
      <x:c r="W876">
        <x:f>0</x:f>
        <x:v>0</x:v>
      </x:c>
      <x:c r="X876">
        <x:f>0</x:f>
        <x:v>0</x:v>
      </x:c>
      <x:c r="Y876">
        <x:f>-0.926058</x:f>
        <x:v>-0.92605800000000005</x:v>
      </x:c>
      <x:c r="Z876">
        <x:f>0</x:f>
        <x:v>0</x:v>
      </x:c>
      <x:c r="AA876">
        <x:f>0</x:f>
        <x:v>0</x:v>
      </x:c>
      <x:c r="AB876">
        <x:f>0.926228</x:f>
        <x:v>0.92622800000000005</x:v>
      </x:c>
      <x:c r="AC876">
        <x:f>0</x:f>
        <x:v>0</x:v>
      </x:c>
      <x:c r="AD876">
        <x:f>-0.04132</x:f>
        <x:v>-4.1320000000000003E-2</x:v>
      </x:c>
      <x:c r="AE876">
        <x:f>0.990345</x:f>
        <x:v>0.99034500000000003</x:v>
      </x:c>
      <x:c r="AF876">
        <x:f>1.986455</x:f>
        <x:v>1.9864550000000001</x:v>
      </x:c>
      <x:c r="AG876">
        <x:f>0</x:f>
        <x:v>0</x:v>
      </x:c>
    </x:row>
    <x:row r="877" spans="1:33" x14ac:dyDescent="0.25">
      <x:c r="A877" t="str">
        <x:f>"            ETF Series Solutions-Brand Val"</x:f>
        <x:v xml:space="preserve">            ETF Series Solutions-Brand Val</x:v>
      </x:c>
      <x:c r="B877" t="str">
        <x:f>"BVAL US Equity"</x:f>
        <x:v>BVAL US Equity</x:v>
      </x:c>
      <x:c r="E877" t="str">
        <x:f t="shared" si="36"/>
        <x:v>Expression</x:v>
      </x:c>
      <x:c r="F877" t="str">
        <x:f ca="1">IF(AND($B$1012=1,LEN($F$1856)&gt;0),$F$1856,HLOOKUP(INDIRECT(ADDRESS(2,COLUMN())),OFFSET($T$2,0,0,ROW()-1,14),ROW()-1,FALSE))</x:f>
        <x:v/>
      </x:c>
      <x:c r="G877" t="str">
        <x:f ca="1">IF(AND($B$1012=1,LEN($G$1856)&gt;0),$G$1856,HLOOKUP(INDIRECT(ADDRESS(2,COLUMN())),OFFSET($T$2,0,0,ROW()-1,14),ROW()-1,FALSE))</x:f>
        <x:v/>
      </x:c>
      <x:c r="H877" t="str">
        <x:f ca="1">IF(AND($B$1012=1,LEN($H$1856)&gt;0),$H$1856,HLOOKUP(INDIRECT(ADDRESS(2,COLUMN())),OFFSET($T$2,0,0,ROW()-1,14),ROW()-1,FALSE))</x:f>
        <x:v/>
      </x:c>
      <x:c r="I877" t="str">
        <x:f ca="1">IF(AND($B$1012=1,LEN($I$1856)&gt;0),$I$1856,HLOOKUP(INDIRECT(ADDRESS(2,COLUMN())),OFFSET($T$2,0,0,ROW()-1,14),ROW()-1,FALSE))</x:f>
        <x:v/>
      </x:c>
      <x:c r="J877" t="str">
        <x:f ca="1">IF(AND($B$1012=1,LEN($J$1856)&gt;0),$J$1856,HLOOKUP(INDIRECT(ADDRESS(2,COLUMN())),OFFSET($T$2,0,0,ROW()-1,14),ROW()-1,FALSE))</x:f>
        <x:v/>
      </x:c>
      <x:c r="K877" t="str">
        <x:f ca="1">IF(AND($B$1012=1,LEN($K$1856)&gt;0),$K$1856,HLOOKUP(INDIRECT(ADDRESS(2,COLUMN())),OFFSET($T$2,0,0,ROW()-1,14),ROW()-1,FALSE))</x:f>
        <x:v/>
      </x:c>
      <x:c r="L877" t="str">
        <x:f ca="1">IF(AND($B$1012=1,LEN($L$1856)&gt;0),$L$1856,HLOOKUP(INDIRECT(ADDRESS(2,COLUMN())),OFFSET($T$2,0,0,ROW()-1,14),ROW()-1,FALSE))</x:f>
        <x:v/>
      </x:c>
      <x:c r="M877" t="str">
        <x:f ca="1">IF(AND($B$1012=1,LEN($M$1856)&gt;0),$M$1856,HLOOKUP(INDIRECT(ADDRESS(2,COLUMN())),OFFSET($T$2,0,0,ROW()-1,14),ROW()-1,FALSE))</x:f>
        <x:v/>
      </x:c>
      <x:c r="N877" t="str">
        <x:f ca="1">IF(AND($B$1012=1,LEN($N$1856)&gt;0),$N$1856,HLOOKUP(INDIRECT(ADDRESS(2,COLUMN())),OFFSET($T$2,0,0,ROW()-1,14),ROW()-1,FALSE))</x:f>
        <x:v/>
      </x:c>
      <x:c r="O877" t="str">
        <x:f ca="1">IF(AND($B$1012=1,LEN($O$1856)&gt;0),$O$1856,HLOOKUP(INDIRECT(ADDRESS(2,COLUMN())),OFFSET($T$2,0,0,ROW()-1,14),ROW()-1,FALSE))</x:f>
        <x:v/>
      </x:c>
      <x:c r="P877" t="str">
        <x:f ca="1">IF(AND($B$1012=1,LEN($P$1856)&gt;0),$P$1856,HLOOKUP(INDIRECT(ADDRESS(2,COLUMN())),OFFSET($T$2,0,0,ROW()-1,14),ROW()-1,FALSE))</x:f>
        <x:v/>
      </x:c>
      <x:c r="Q877" t="str">
        <x:f ca="1">IF(AND($B$1012=1,LEN($Q$1856)&gt;0),$Q$1856,HLOOKUP(INDIRECT(ADDRESS(2,COLUMN())),OFFSET($T$2,0,0,ROW()-1,14),ROW()-1,FALSE))</x:f>
        <x:v/>
      </x:c>
      <x:c r="R877" t="str">
        <x:f ca="1">IF(AND($B$1012=1,LEN($R$1856)&gt;0),$R$1856,HLOOKUP(INDIRECT(ADDRESS(2,COLUMN())),OFFSET($T$2,0,0,ROW()-1,14),ROW()-1,FALSE))</x:f>
        <x:v/>
      </x:c>
      <x:c r="S877" t="str">
        <x:f ca="1">IF(AND($B$1012=1,LEN($S$1856)&gt;0),$S$1856,HLOOKUP(INDIRECT(ADDRESS(2,COLUMN())),OFFSET($T$2,0,0,ROW()-1,14),ROW()-1,FALSE))</x:f>
        <x:v/>
      </x:c>
      <x:c r="T877" t="str">
        <x:f>""</x:f>
        <x:v/>
      </x:c>
      <x:c r="U877" t="str">
        <x:f>""</x:f>
        <x:v/>
      </x:c>
      <x:c r="V877" t="str">
        <x:f>""</x:f>
        <x:v/>
      </x:c>
      <x:c r="W877" t="str">
        <x:f>""</x:f>
        <x:v/>
      </x:c>
      <x:c r="X877" t="str">
        <x:f>""</x:f>
        <x:v/>
      </x:c>
      <x:c r="Y877" t="str">
        <x:f>""</x:f>
        <x:v/>
      </x:c>
      <x:c r="Z877" t="str">
        <x:f>""</x:f>
        <x:v/>
      </x:c>
      <x:c r="AA877" t="str">
        <x:f>""</x:f>
        <x:v/>
      </x:c>
      <x:c r="AB877" t="str">
        <x:f>""</x:f>
        <x:v/>
      </x:c>
      <x:c r="AC877" t="str">
        <x:f>""</x:f>
        <x:v/>
      </x:c>
      <x:c r="AD877" t="str">
        <x:f>""</x:f>
        <x:v/>
      </x:c>
      <x:c r="AE877" t="str">
        <x:f>""</x:f>
        <x:v/>
      </x:c>
      <x:c r="AF877" t="str">
        <x:f>""</x:f>
        <x:v/>
      </x:c>
      <x:c r="AG877" t="str">
        <x:f>""</x:f>
        <x:v/>
      </x:c>
    </x:row>
    <x:row r="878" spans="1:33" x14ac:dyDescent="0.25">
      <x:c r="A878" t="str">
        <x:f>"            SPDR S&amp;P Kensho Future Securit"</x:f>
        <x:v xml:space="preserve">            SPDR S&amp;P Kensho Future Securit</x:v>
      </x:c>
      <x:c r="B878" t="str">
        <x:f>"FITE US Equity"</x:f>
        <x:v>FITE US Equity</x:v>
      </x:c>
      <x:c r="E878" t="str">
        <x:f t="shared" si="36"/>
        <x:v>Expression</x:v>
      </x:c>
      <x:c r="F878">
        <x:f ca="1">IF(AND($B$1012=1,LEN($F$1857)&gt;0),$F$1857,HLOOKUP(INDIRECT(ADDRESS(2,COLUMN())),OFFSET($T$2,0,0,ROW()-1,14),ROW()-1,FALSE))</x:f>
        <x:v>0.95180299999999995</x:v>
      </x:c>
      <x:c r="G878">
        <x:f ca="1">IF(AND($B$1012=1,LEN($G$1857)&gt;0),$G$1857,HLOOKUP(INDIRECT(ADDRESS(2,COLUMN())),OFFSET($T$2,0,0,ROW()-1,14),ROW()-1,FALSE))</x:f>
        <x:v>0</x:v>
      </x:c>
      <x:c r="H878">
        <x:f ca="1">IF(AND($B$1012=1,LEN($H$1857)&gt;0),$H$1857,HLOOKUP(INDIRECT(ADDRESS(2,COLUMN())),OFFSET($T$2,0,0,ROW()-1,14),ROW()-1,FALSE))</x:f>
        <x:v>0</x:v>
      </x:c>
      <x:c r="I878">
        <x:f ca="1">IF(AND($B$1012=1,LEN($I$1857)&gt;0),$I$1857,HLOOKUP(INDIRECT(ADDRESS(2,COLUMN())),OFFSET($T$2,0,0,ROW()-1,14),ROW()-1,FALSE))</x:f>
        <x:v>3.8265009999999999</x:v>
      </x:c>
      <x:c r="J878">
        <x:f ca="1">IF(AND($B$1012=1,LEN($J$1857)&gt;0),$J$1857,HLOOKUP(INDIRECT(ADDRESS(2,COLUMN())),OFFSET($T$2,0,0,ROW()-1,14),ROW()-1,FALSE))</x:f>
        <x:v>-2.9230719999999999</x:v>
      </x:c>
      <x:c r="K878">
        <x:f ca="1">IF(AND($B$1012=1,LEN($K$1857)&gt;0),$K$1857,HLOOKUP(INDIRECT(ADDRESS(2,COLUMN())),OFFSET($T$2,0,0,ROW()-1,14),ROW()-1,FALSE))</x:f>
        <x:v>2.4104950000000001</x:v>
      </x:c>
      <x:c r="L878">
        <x:f ca="1">IF(AND($B$1012=1,LEN($L$1857)&gt;0),$L$1857,HLOOKUP(INDIRECT(ADDRESS(2,COLUMN())),OFFSET($T$2,0,0,ROW()-1,14),ROW()-1,FALSE))</x:f>
        <x:v>0</x:v>
      </x:c>
      <x:c r="M878">
        <x:f ca="1">IF(AND($B$1012=1,LEN($M$1857)&gt;0),$M$1857,HLOOKUP(INDIRECT(ADDRESS(2,COLUMN())),OFFSET($T$2,0,0,ROW()-1,14),ROW()-1,FALSE))</x:f>
        <x:v>-0.93553799999999998</x:v>
      </x:c>
      <x:c r="N878">
        <x:f ca="1">IF(AND($B$1012=1,LEN($N$1857)&gt;0),$N$1857,HLOOKUP(INDIRECT(ADDRESS(2,COLUMN())),OFFSET($T$2,0,0,ROW()-1,14),ROW()-1,FALSE))</x:f>
        <x:v>0</x:v>
      </x:c>
      <x:c r="O878">
        <x:f ca="1">IF(AND($B$1012=1,LEN($O$1857)&gt;0),$O$1857,HLOOKUP(INDIRECT(ADDRESS(2,COLUMN())),OFFSET($T$2,0,0,ROW()-1,14),ROW()-1,FALSE))</x:f>
        <x:v>0.45899200000000001</x:v>
      </x:c>
      <x:c r="P878">
        <x:f ca="1">IF(AND($B$1012=1,LEN($P$1857)&gt;0),$P$1857,HLOOKUP(INDIRECT(ADDRESS(2,COLUMN())),OFFSET($T$2,0,0,ROW()-1,14),ROW()-1,FALSE))</x:f>
        <x:v>0</x:v>
      </x:c>
      <x:c r="Q878">
        <x:f ca="1">IF(AND($B$1012=1,LEN($Q$1857)&gt;0),$Q$1857,HLOOKUP(INDIRECT(ADDRESS(2,COLUMN())),OFFSET($T$2,0,0,ROW()-1,14),ROW()-1,FALSE))</x:f>
        <x:v>-0.84945999999999999</x:v>
      </x:c>
      <x:c r="R878">
        <x:f ca="1">IF(AND($B$1012=1,LEN($R$1857)&gt;0),$R$1857,HLOOKUP(INDIRECT(ADDRESS(2,COLUMN())),OFFSET($T$2,0,0,ROW()-1,14),ROW()-1,FALSE))</x:f>
        <x:v>-0.89002800000000004</x:v>
      </x:c>
      <x:c r="S878">
        <x:f ca="1">IF(AND($B$1012=1,LEN($S$1857)&gt;0),$S$1857,HLOOKUP(INDIRECT(ADDRESS(2,COLUMN())),OFFSET($T$2,0,0,ROW()-1,14),ROW()-1,FALSE))</x:f>
        <x:v>-1.382403</x:v>
      </x:c>
      <x:c r="T878">
        <x:f>0.951803</x:f>
        <x:v>0.95180299999999995</x:v>
      </x:c>
      <x:c r="U878">
        <x:f>0</x:f>
        <x:v>0</x:v>
      </x:c>
      <x:c r="V878">
        <x:f>0</x:f>
        <x:v>0</x:v>
      </x:c>
      <x:c r="W878">
        <x:f>3.826501</x:f>
        <x:v>3.8265009999999999</x:v>
      </x:c>
      <x:c r="X878">
        <x:f>-2.923072</x:f>
        <x:v>-2.9230719999999999</x:v>
      </x:c>
      <x:c r="Y878">
        <x:f>2.410495</x:f>
        <x:v>2.4104950000000001</x:v>
      </x:c>
      <x:c r="Z878">
        <x:f>0</x:f>
        <x:v>0</x:v>
      </x:c>
      <x:c r="AA878">
        <x:f>-0.935538</x:f>
        <x:v>-0.93553799999999998</x:v>
      </x:c>
      <x:c r="AB878">
        <x:f>0</x:f>
        <x:v>0</x:v>
      </x:c>
      <x:c r="AC878">
        <x:f>0.458992</x:f>
        <x:v>0.45899200000000001</x:v>
      </x:c>
      <x:c r="AD878">
        <x:f>0</x:f>
        <x:v>0</x:v>
      </x:c>
      <x:c r="AE878">
        <x:f>-0.84946</x:f>
        <x:v>-0.84945999999999999</x:v>
      </x:c>
      <x:c r="AF878">
        <x:f>-0.890028</x:f>
        <x:v>-0.89002800000000004</x:v>
      </x:c>
      <x:c r="AG878">
        <x:f>-1.382403</x:f>
        <x:v>-1.382403</x:v>
      </x:c>
    </x:row>
    <x:row r="879" spans="1:33" x14ac:dyDescent="0.25">
      <x:c r="A879" t="str">
        <x:f>"            Democratic Policies Fund"</x:f>
        <x:v xml:space="preserve">            Democratic Policies Fund</x:v>
      </x:c>
      <x:c r="B879" t="str">
        <x:f>"DEMS US Equity"</x:f>
        <x:v>DEMS US Equity</x:v>
      </x:c>
      <x:c r="E879" t="str">
        <x:f t="shared" si="36"/>
        <x:v>Expression</x:v>
      </x:c>
      <x:c r="F879" t="str">
        <x:f ca="1">IF(AND($B$1012=1,LEN($F$1858)&gt;0),$F$1858,HLOOKUP(INDIRECT(ADDRESS(2,COLUMN())),OFFSET($T$2,0,0,ROW()-1,14),ROW()-1,FALSE))</x:f>
        <x:v/>
      </x:c>
      <x:c r="G879" t="str">
        <x:f ca="1">IF(AND($B$1012=1,LEN($G$1858)&gt;0),$G$1858,HLOOKUP(INDIRECT(ADDRESS(2,COLUMN())),OFFSET($T$2,0,0,ROW()-1,14),ROW()-1,FALSE))</x:f>
        <x:v/>
      </x:c>
      <x:c r="H879" t="str">
        <x:f ca="1">IF(AND($B$1012=1,LEN($H$1858)&gt;0),$H$1858,HLOOKUP(INDIRECT(ADDRESS(2,COLUMN())),OFFSET($T$2,0,0,ROW()-1,14),ROW()-1,FALSE))</x:f>
        <x:v/>
      </x:c>
      <x:c r="I879" t="str">
        <x:f ca="1">IF(AND($B$1012=1,LEN($I$1858)&gt;0),$I$1858,HLOOKUP(INDIRECT(ADDRESS(2,COLUMN())),OFFSET($T$2,0,0,ROW()-1,14),ROW()-1,FALSE))</x:f>
        <x:v/>
      </x:c>
      <x:c r="J879" t="str">
        <x:f ca="1">IF(AND($B$1012=1,LEN($J$1858)&gt;0),$J$1858,HLOOKUP(INDIRECT(ADDRESS(2,COLUMN())),OFFSET($T$2,0,0,ROW()-1,14),ROW()-1,FALSE))</x:f>
        <x:v/>
      </x:c>
      <x:c r="K879" t="str">
        <x:f ca="1">IF(AND($B$1012=1,LEN($K$1858)&gt;0),$K$1858,HLOOKUP(INDIRECT(ADDRESS(2,COLUMN())),OFFSET($T$2,0,0,ROW()-1,14),ROW()-1,FALSE))</x:f>
        <x:v/>
      </x:c>
      <x:c r="L879" t="str">
        <x:f ca="1">IF(AND($B$1012=1,LEN($L$1858)&gt;0),$L$1858,HLOOKUP(INDIRECT(ADDRESS(2,COLUMN())),OFFSET($T$2,0,0,ROW()-1,14),ROW()-1,FALSE))</x:f>
        <x:v/>
      </x:c>
      <x:c r="M879" t="str">
        <x:f ca="1">IF(AND($B$1012=1,LEN($M$1858)&gt;0),$M$1858,HLOOKUP(INDIRECT(ADDRESS(2,COLUMN())),OFFSET($T$2,0,0,ROW()-1,14),ROW()-1,FALSE))</x:f>
        <x:v/>
      </x:c>
      <x:c r="N879" t="str">
        <x:f ca="1">IF(AND($B$1012=1,LEN($N$1858)&gt;0),$N$1858,HLOOKUP(INDIRECT(ADDRESS(2,COLUMN())),OFFSET($T$2,0,0,ROW()-1,14),ROW()-1,FALSE))</x:f>
        <x:v/>
      </x:c>
      <x:c r="O879" t="str">
        <x:f ca="1">IF(AND($B$1012=1,LEN($O$1858)&gt;0),$O$1858,HLOOKUP(INDIRECT(ADDRESS(2,COLUMN())),OFFSET($T$2,0,0,ROW()-1,14),ROW()-1,FALSE))</x:f>
        <x:v/>
      </x:c>
      <x:c r="P879" t="str">
        <x:f ca="1">IF(AND($B$1012=1,LEN($P$1858)&gt;0),$P$1858,HLOOKUP(INDIRECT(ADDRESS(2,COLUMN())),OFFSET($T$2,0,0,ROW()-1,14),ROW()-1,FALSE))</x:f>
        <x:v/>
      </x:c>
      <x:c r="Q879" t="str">
        <x:f ca="1">IF(AND($B$1012=1,LEN($Q$1858)&gt;0),$Q$1858,HLOOKUP(INDIRECT(ADDRESS(2,COLUMN())),OFFSET($T$2,0,0,ROW()-1,14),ROW()-1,FALSE))</x:f>
        <x:v/>
      </x:c>
      <x:c r="R879" t="str">
        <x:f ca="1">IF(AND($B$1012=1,LEN($R$1858)&gt;0),$R$1858,HLOOKUP(INDIRECT(ADDRESS(2,COLUMN())),OFFSET($T$2,0,0,ROW()-1,14),ROW()-1,FALSE))</x:f>
        <x:v/>
      </x:c>
      <x:c r="S879" t="str">
        <x:f ca="1">IF(AND($B$1012=1,LEN($S$1858)&gt;0),$S$1858,HLOOKUP(INDIRECT(ADDRESS(2,COLUMN())),OFFSET($T$2,0,0,ROW()-1,14),ROW()-1,FALSE))</x:f>
        <x:v/>
      </x:c>
      <x:c r="T879" t="str">
        <x:f>""</x:f>
        <x:v/>
      </x:c>
      <x:c r="U879" t="str">
        <x:f>""</x:f>
        <x:v/>
      </x:c>
      <x:c r="V879" t="str">
        <x:f>""</x:f>
        <x:v/>
      </x:c>
      <x:c r="W879" t="str">
        <x:f>""</x:f>
        <x:v/>
      </x:c>
      <x:c r="X879" t="str">
        <x:f>""</x:f>
        <x:v/>
      </x:c>
      <x:c r="Y879" t="str">
        <x:f>""</x:f>
        <x:v/>
      </x:c>
      <x:c r="Z879" t="str">
        <x:f>""</x:f>
        <x:v/>
      </x:c>
      <x:c r="AA879" t="str">
        <x:f>""</x:f>
        <x:v/>
      </x:c>
      <x:c r="AB879" t="str">
        <x:f>""</x:f>
        <x:v/>
      </x:c>
      <x:c r="AC879" t="str">
        <x:f>""</x:f>
        <x:v/>
      </x:c>
      <x:c r="AD879" t="str">
        <x:f>""</x:f>
        <x:v/>
      </x:c>
      <x:c r="AE879" t="str">
        <x:f>""</x:f>
        <x:v/>
      </x:c>
      <x:c r="AF879" t="str">
        <x:f>""</x:f>
        <x:v/>
      </x:c>
      <x:c r="AG879" t="str">
        <x:f>""</x:f>
        <x:v/>
      </x:c>
    </x:row>
    <x:row r="880" spans="1:33" x14ac:dyDescent="0.25">
      <x:c r="A880" t="str">
        <x:f>"            Republican Policies Fund"</x:f>
        <x:v xml:space="preserve">            Republican Policies Fund</x:v>
      </x:c>
      <x:c r="B880" t="str">
        <x:f>"GOP US Equity"</x:f>
        <x:v>GOP US Equity</x:v>
      </x:c>
      <x:c r="E880" t="str">
        <x:f t="shared" si="36"/>
        <x:v>Expression</x:v>
      </x:c>
      <x:c r="F880" t="str">
        <x:f ca="1">IF(AND($B$1012=1,LEN($F$1859)&gt;0),$F$1859,HLOOKUP(INDIRECT(ADDRESS(2,COLUMN())),OFFSET($T$2,0,0,ROW()-1,14),ROW()-1,FALSE))</x:f>
        <x:v/>
      </x:c>
      <x:c r="G880" t="str">
        <x:f ca="1">IF(AND($B$1012=1,LEN($G$1859)&gt;0),$G$1859,HLOOKUP(INDIRECT(ADDRESS(2,COLUMN())),OFFSET($T$2,0,0,ROW()-1,14),ROW()-1,FALSE))</x:f>
        <x:v/>
      </x:c>
      <x:c r="H880" t="str">
        <x:f ca="1">IF(AND($B$1012=1,LEN($H$1859)&gt;0),$H$1859,HLOOKUP(INDIRECT(ADDRESS(2,COLUMN())),OFFSET($T$2,0,0,ROW()-1,14),ROW()-1,FALSE))</x:f>
        <x:v/>
      </x:c>
      <x:c r="I880" t="str">
        <x:f ca="1">IF(AND($B$1012=1,LEN($I$1859)&gt;0),$I$1859,HLOOKUP(INDIRECT(ADDRESS(2,COLUMN())),OFFSET($T$2,0,0,ROW()-1,14),ROW()-1,FALSE))</x:f>
        <x:v/>
      </x:c>
      <x:c r="J880" t="str">
        <x:f ca="1">IF(AND($B$1012=1,LEN($J$1859)&gt;0),$J$1859,HLOOKUP(INDIRECT(ADDRESS(2,COLUMN())),OFFSET($T$2,0,0,ROW()-1,14),ROW()-1,FALSE))</x:f>
        <x:v/>
      </x:c>
      <x:c r="K880" t="str">
        <x:f ca="1">IF(AND($B$1012=1,LEN($K$1859)&gt;0),$K$1859,HLOOKUP(INDIRECT(ADDRESS(2,COLUMN())),OFFSET($T$2,0,0,ROW()-1,14),ROW()-1,FALSE))</x:f>
        <x:v/>
      </x:c>
      <x:c r="L880" t="str">
        <x:f ca="1">IF(AND($B$1012=1,LEN($L$1859)&gt;0),$L$1859,HLOOKUP(INDIRECT(ADDRESS(2,COLUMN())),OFFSET($T$2,0,0,ROW()-1,14),ROW()-1,FALSE))</x:f>
        <x:v/>
      </x:c>
      <x:c r="M880" t="str">
        <x:f ca="1">IF(AND($B$1012=1,LEN($M$1859)&gt;0),$M$1859,HLOOKUP(INDIRECT(ADDRESS(2,COLUMN())),OFFSET($T$2,0,0,ROW()-1,14),ROW()-1,FALSE))</x:f>
        <x:v/>
      </x:c>
      <x:c r="N880" t="str">
        <x:f ca="1">IF(AND($B$1012=1,LEN($N$1859)&gt;0),$N$1859,HLOOKUP(INDIRECT(ADDRESS(2,COLUMN())),OFFSET($T$2,0,0,ROW()-1,14),ROW()-1,FALSE))</x:f>
        <x:v/>
      </x:c>
      <x:c r="O880" t="str">
        <x:f ca="1">IF(AND($B$1012=1,LEN($O$1859)&gt;0),$O$1859,HLOOKUP(INDIRECT(ADDRESS(2,COLUMN())),OFFSET($T$2,0,0,ROW()-1,14),ROW()-1,FALSE))</x:f>
        <x:v/>
      </x:c>
      <x:c r="P880" t="str">
        <x:f ca="1">IF(AND($B$1012=1,LEN($P$1859)&gt;0),$P$1859,HLOOKUP(INDIRECT(ADDRESS(2,COLUMN())),OFFSET($T$2,0,0,ROW()-1,14),ROW()-1,FALSE))</x:f>
        <x:v/>
      </x:c>
      <x:c r="Q880" t="str">
        <x:f ca="1">IF(AND($B$1012=1,LEN($Q$1859)&gt;0),$Q$1859,HLOOKUP(INDIRECT(ADDRESS(2,COLUMN())),OFFSET($T$2,0,0,ROW()-1,14),ROW()-1,FALSE))</x:f>
        <x:v/>
      </x:c>
      <x:c r="R880" t="str">
        <x:f ca="1">IF(AND($B$1012=1,LEN($R$1859)&gt;0),$R$1859,HLOOKUP(INDIRECT(ADDRESS(2,COLUMN())),OFFSET($T$2,0,0,ROW()-1,14),ROW()-1,FALSE))</x:f>
        <x:v/>
      </x:c>
      <x:c r="S880" t="str">
        <x:f ca="1">IF(AND($B$1012=1,LEN($S$1859)&gt;0),$S$1859,HLOOKUP(INDIRECT(ADDRESS(2,COLUMN())),OFFSET($T$2,0,0,ROW()-1,14),ROW()-1,FALSE))</x:f>
        <x:v/>
      </x:c>
      <x:c r="T880" t="str">
        <x:f>""</x:f>
        <x:v/>
      </x:c>
      <x:c r="U880" t="str">
        <x:f>""</x:f>
        <x:v/>
      </x:c>
      <x:c r="V880" t="str">
        <x:f>""</x:f>
        <x:v/>
      </x:c>
      <x:c r="W880" t="str">
        <x:f>""</x:f>
        <x:v/>
      </x:c>
      <x:c r="X880" t="str">
        <x:f>""</x:f>
        <x:v/>
      </x:c>
      <x:c r="Y880" t="str">
        <x:f>""</x:f>
        <x:v/>
      </x:c>
      <x:c r="Z880" t="str">
        <x:f>""</x:f>
        <x:v/>
      </x:c>
      <x:c r="AA880" t="str">
        <x:f>""</x:f>
        <x:v/>
      </x:c>
      <x:c r="AB880" t="str">
        <x:f>""</x:f>
        <x:v/>
      </x:c>
      <x:c r="AC880" t="str">
        <x:f>""</x:f>
        <x:v/>
      </x:c>
      <x:c r="AD880" t="str">
        <x:f>""</x:f>
        <x:v/>
      </x:c>
      <x:c r="AE880" t="str">
        <x:f>""</x:f>
        <x:v/>
      </x:c>
      <x:c r="AF880" t="str">
        <x:f>""</x:f>
        <x:v/>
      </x:c>
      <x:c r="AG880" t="str">
        <x:f>""</x:f>
        <x:v/>
      </x:c>
    </x:row>
    <x:row r="881" spans="1:33" x14ac:dyDescent="0.25">
      <x:c r="A881" t="str">
        <x:f>"            EventShares US Legislative Opp"</x:f>
        <x:v xml:space="preserve">            EventShares US Legislative Opp</x:v>
      </x:c>
      <x:c r="B881" t="str">
        <x:f>"PLCY US Equity"</x:f>
        <x:v>PLCY US Equity</x:v>
      </x:c>
      <x:c r="E881" t="str">
        <x:f t="shared" si="36"/>
        <x:v>Expression</x:v>
      </x:c>
      <x:c r="F881" t="str">
        <x:f ca="1">IF(AND($B$1012=1,LEN($F$1860)&gt;0),$F$1860,HLOOKUP(INDIRECT(ADDRESS(2,COLUMN())),OFFSET($T$2,0,0,ROW()-1,14),ROW()-1,FALSE))</x:f>
        <x:v/>
      </x:c>
      <x:c r="G881" t="str">
        <x:f ca="1">IF(AND($B$1012=1,LEN($G$1860)&gt;0),$G$1860,HLOOKUP(INDIRECT(ADDRESS(2,COLUMN())),OFFSET($T$2,0,0,ROW()-1,14),ROW()-1,FALSE))</x:f>
        <x:v/>
      </x:c>
      <x:c r="H881" t="str">
        <x:f ca="1">IF(AND($B$1012=1,LEN($H$1860)&gt;0),$H$1860,HLOOKUP(INDIRECT(ADDRESS(2,COLUMN())),OFFSET($T$2,0,0,ROW()-1,14),ROW()-1,FALSE))</x:f>
        <x:v/>
      </x:c>
      <x:c r="I881" t="str">
        <x:f ca="1">IF(AND($B$1012=1,LEN($I$1860)&gt;0),$I$1860,HLOOKUP(INDIRECT(ADDRESS(2,COLUMN())),OFFSET($T$2,0,0,ROW()-1,14),ROW()-1,FALSE))</x:f>
        <x:v/>
      </x:c>
      <x:c r="J881" t="str">
        <x:f ca="1">IF(AND($B$1012=1,LEN($J$1860)&gt;0),$J$1860,HLOOKUP(INDIRECT(ADDRESS(2,COLUMN())),OFFSET($T$2,0,0,ROW()-1,14),ROW()-1,FALSE))</x:f>
        <x:v/>
      </x:c>
      <x:c r="K881" t="str">
        <x:f ca="1">IF(AND($B$1012=1,LEN($K$1860)&gt;0),$K$1860,HLOOKUP(INDIRECT(ADDRESS(2,COLUMN())),OFFSET($T$2,0,0,ROW()-1,14),ROW()-1,FALSE))</x:f>
        <x:v/>
      </x:c>
      <x:c r="L881" t="str">
        <x:f ca="1">IF(AND($B$1012=1,LEN($L$1860)&gt;0),$L$1860,HLOOKUP(INDIRECT(ADDRESS(2,COLUMN())),OFFSET($T$2,0,0,ROW()-1,14),ROW()-1,FALSE))</x:f>
        <x:v/>
      </x:c>
      <x:c r="M881" t="str">
        <x:f ca="1">IF(AND($B$1012=1,LEN($M$1860)&gt;0),$M$1860,HLOOKUP(INDIRECT(ADDRESS(2,COLUMN())),OFFSET($T$2,0,0,ROW()-1,14),ROW()-1,FALSE))</x:f>
        <x:v/>
      </x:c>
      <x:c r="N881" t="str">
        <x:f ca="1">IF(AND($B$1012=1,LEN($N$1860)&gt;0),$N$1860,HLOOKUP(INDIRECT(ADDRESS(2,COLUMN())),OFFSET($T$2,0,0,ROW()-1,14),ROW()-1,FALSE))</x:f>
        <x:v/>
      </x:c>
      <x:c r="O881" t="str">
        <x:f ca="1">IF(AND($B$1012=1,LEN($O$1860)&gt;0),$O$1860,HLOOKUP(INDIRECT(ADDRESS(2,COLUMN())),OFFSET($T$2,0,0,ROW()-1,14),ROW()-1,FALSE))</x:f>
        <x:v/>
      </x:c>
      <x:c r="P881" t="str">
        <x:f ca="1">IF(AND($B$1012=1,LEN($P$1860)&gt;0),$P$1860,HLOOKUP(INDIRECT(ADDRESS(2,COLUMN())),OFFSET($T$2,0,0,ROW()-1,14),ROW()-1,FALSE))</x:f>
        <x:v/>
      </x:c>
      <x:c r="Q881" t="str">
        <x:f ca="1">IF(AND($B$1012=1,LEN($Q$1860)&gt;0),$Q$1860,HLOOKUP(INDIRECT(ADDRESS(2,COLUMN())),OFFSET($T$2,0,0,ROW()-1,14),ROW()-1,FALSE))</x:f>
        <x:v/>
      </x:c>
      <x:c r="R881" t="str">
        <x:f ca="1">IF(AND($B$1012=1,LEN($R$1860)&gt;0),$R$1860,HLOOKUP(INDIRECT(ADDRESS(2,COLUMN())),OFFSET($T$2,0,0,ROW()-1,14),ROW()-1,FALSE))</x:f>
        <x:v/>
      </x:c>
      <x:c r="S881" t="str">
        <x:f ca="1">IF(AND($B$1012=1,LEN($S$1860)&gt;0),$S$1860,HLOOKUP(INDIRECT(ADDRESS(2,COLUMN())),OFFSET($T$2,0,0,ROW()-1,14),ROW()-1,FALSE))</x:f>
        <x:v/>
      </x:c>
      <x:c r="T881" t="str">
        <x:f>""</x:f>
        <x:v/>
      </x:c>
      <x:c r="U881" t="str">
        <x:f>""</x:f>
        <x:v/>
      </x:c>
      <x:c r="V881" t="str">
        <x:f>""</x:f>
        <x:v/>
      </x:c>
      <x:c r="W881" t="str">
        <x:f>""</x:f>
        <x:v/>
      </x:c>
      <x:c r="X881" t="str">
        <x:f>""</x:f>
        <x:v/>
      </x:c>
      <x:c r="Y881" t="str">
        <x:f>""</x:f>
        <x:v/>
      </x:c>
      <x:c r="Z881" t="str">
        <x:f>""</x:f>
        <x:v/>
      </x:c>
      <x:c r="AA881" t="str">
        <x:f>""</x:f>
        <x:v/>
      </x:c>
      <x:c r="AB881" t="str">
        <x:f>""</x:f>
        <x:v/>
      </x:c>
      <x:c r="AC881" t="str">
        <x:f>""</x:f>
        <x:v/>
      </x:c>
      <x:c r="AD881" t="str">
        <x:f>""</x:f>
        <x:v/>
      </x:c>
      <x:c r="AE881" t="str">
        <x:f>""</x:f>
        <x:v/>
      </x:c>
      <x:c r="AF881" t="str">
        <x:f>""</x:f>
        <x:v/>
      </x:c>
      <x:c r="AG881" t="str">
        <x:f>""</x:f>
        <x:v/>
      </x:c>
    </x:row>
    <x:row r="882" spans="1:33" x14ac:dyDescent="0.25">
      <x:c r="A882" t="str">
        <x:f>"            Pacer US Export Leaders ETF"</x:f>
        <x:v xml:space="preserve">            Pacer US Export Leaders ETF</x:v>
      </x:c>
      <x:c r="B882" t="str">
        <x:f>"PEXL US Equity"</x:f>
        <x:v>PEXL US Equity</x:v>
      </x:c>
      <x:c r="E882" t="str">
        <x:f t="shared" si="36"/>
        <x:v>Expression</x:v>
      </x:c>
      <x:c r="F882">
        <x:f ca="1">IF(AND($B$1012=1,LEN($F$1861)&gt;0),$F$1861,HLOOKUP(INDIRECT(ADDRESS(2,COLUMN())),OFFSET($T$2,0,0,ROW()-1,14),ROW()-1,FALSE))</x:f>
        <x:v>0</x:v>
      </x:c>
      <x:c r="G882">
        <x:f ca="1">IF(AND($B$1012=1,LEN($G$1861)&gt;0),$G$1861,HLOOKUP(INDIRECT(ADDRESS(2,COLUMN())),OFFSET($T$2,0,0,ROW()-1,14),ROW()-1,FALSE))</x:f>
        <x:v>4.0779100000000001</x:v>
      </x:c>
      <x:c r="H882">
        <x:f ca="1">IF(AND($B$1012=1,LEN($H$1861)&gt;0),$H$1861,HLOOKUP(INDIRECT(ADDRESS(2,COLUMN())),OFFSET($T$2,0,0,ROW()-1,14),ROW()-1,FALSE))</x:f>
        <x:v>0</x:v>
      </x:c>
      <x:c r="I882">
        <x:f ca="1">IF(AND($B$1012=1,LEN($I$1861)&gt;0),$I$1861,HLOOKUP(INDIRECT(ADDRESS(2,COLUMN())),OFFSET($T$2,0,0,ROW()-1,14),ROW()-1,FALSE))</x:f>
        <x:v>2.1154850000000001</x:v>
      </x:c>
      <x:c r="J882">
        <x:f ca="1">IF(AND($B$1012=1,LEN($J$1861)&gt;0),$J$1861,HLOOKUP(INDIRECT(ADDRESS(2,COLUMN())),OFFSET($T$2,0,0,ROW()-1,14),ROW()-1,FALSE))</x:f>
        <x:v>2.218045</x:v>
      </x:c>
      <x:c r="K882">
        <x:f ca="1">IF(AND($B$1012=1,LEN($K$1861)&gt;0),$K$1861,HLOOKUP(INDIRECT(ADDRESS(2,COLUMN())),OFFSET($T$2,0,0,ROW()-1,14),ROW()-1,FALSE))</x:f>
        <x:v>3.8769999999999999E-2</x:v>
      </x:c>
      <x:c r="L882">
        <x:f ca="1">IF(AND($B$1012=1,LEN($L$1861)&gt;0),$L$1861,HLOOKUP(INDIRECT(ADDRESS(2,COLUMN())),OFFSET($T$2,0,0,ROW()-1,14),ROW()-1,FALSE))</x:f>
        <x:v>8.0778449999999999</x:v>
      </x:c>
      <x:c r="M882">
        <x:f ca="1">IF(AND($B$1012=1,LEN($M$1861)&gt;0),$M$1861,HLOOKUP(INDIRECT(ADDRESS(2,COLUMN())),OFFSET($T$2,0,0,ROW()-1,14),ROW()-1,FALSE))</x:f>
        <x:v>2.0514649999999999</x:v>
      </x:c>
      <x:c r="N882">
        <x:f ca="1">IF(AND($B$1012=1,LEN($N$1861)&gt;0),$N$1861,HLOOKUP(INDIRECT(ADDRESS(2,COLUMN())),OFFSET($T$2,0,0,ROW()-1,14),ROW()-1,FALSE))</x:f>
        <x:v>3.989995</x:v>
      </x:c>
      <x:c r="O882">
        <x:f ca="1">IF(AND($B$1012=1,LEN($O$1861)&gt;0),$O$1861,HLOOKUP(INDIRECT(ADDRESS(2,COLUMN())),OFFSET($T$2,0,0,ROW()-1,14),ROW()-1,FALSE))</x:f>
        <x:v>2.0469050000000002</x:v>
      </x:c>
      <x:c r="P882">
        <x:f ca="1">IF(AND($B$1012=1,LEN($P$1861)&gt;0),$P$1861,HLOOKUP(INDIRECT(ADDRESS(2,COLUMN())),OFFSET($T$2,0,0,ROW()-1,14),ROW()-1,FALSE))</x:f>
        <x:v>0</x:v>
      </x:c>
      <x:c r="Q882">
        <x:f ca="1">IF(AND($B$1012=1,LEN($Q$1861)&gt;0),$Q$1861,HLOOKUP(INDIRECT(ADDRESS(2,COLUMN())),OFFSET($T$2,0,0,ROW()-1,14),ROW()-1,FALSE))</x:f>
        <x:v>0</x:v>
      </x:c>
      <x:c r="R882">
        <x:f ca="1">IF(AND($B$1012=1,LEN($R$1861)&gt;0),$R$1861,HLOOKUP(INDIRECT(ADDRESS(2,COLUMN())),OFFSET($T$2,0,0,ROW()-1,14),ROW()-1,FALSE))</x:f>
        <x:v>1.89195</x:v>
      </x:c>
      <x:c r="S882">
        <x:f ca="1">IF(AND($B$1012=1,LEN($S$1861)&gt;0),$S$1861,HLOOKUP(INDIRECT(ADDRESS(2,COLUMN())),OFFSET($T$2,0,0,ROW()-1,14),ROW()-1,FALSE))</x:f>
        <x:v>0</x:v>
      </x:c>
      <x:c r="T882">
        <x:f>0</x:f>
        <x:v>0</x:v>
      </x:c>
      <x:c r="U882">
        <x:f>4.07791</x:f>
        <x:v>4.0779100000000001</x:v>
      </x:c>
      <x:c r="V882">
        <x:f>0</x:f>
        <x:v>0</x:v>
      </x:c>
      <x:c r="W882">
        <x:f>2.115485</x:f>
        <x:v>2.1154850000000001</x:v>
      </x:c>
      <x:c r="X882">
        <x:f>2.218045</x:f>
        <x:v>2.218045</x:v>
      </x:c>
      <x:c r="Y882">
        <x:f>0.03877</x:f>
        <x:v>3.8769999999999999E-2</x:v>
      </x:c>
      <x:c r="Z882">
        <x:f>8.077845</x:f>
        <x:v>8.0778449999999999</x:v>
      </x:c>
      <x:c r="AA882">
        <x:f>2.051465</x:f>
        <x:v>2.0514649999999999</x:v>
      </x:c>
      <x:c r="AB882">
        <x:f>3.989995</x:f>
        <x:v>3.989995</x:v>
      </x:c>
      <x:c r="AC882">
        <x:f>2.046905</x:f>
        <x:v>2.0469050000000002</x:v>
      </x:c>
      <x:c r="AD882">
        <x:f>0</x:f>
        <x:v>0</x:v>
      </x:c>
      <x:c r="AE882">
        <x:f>0</x:f>
        <x:v>0</x:v>
      </x:c>
      <x:c r="AF882">
        <x:f>1.89195</x:f>
        <x:v>1.89195</x:v>
      </x:c>
      <x:c r="AG882">
        <x:f>0</x:f>
        <x:v>0</x:v>
      </x:c>
    </x:row>
    <x:row r="883" spans="1:33" x14ac:dyDescent="0.25">
      <x:c r="A883" t="str">
        <x:f>"            Direxion Msci Defensives Over"</x:f>
        <x:v xml:space="preserve">            Direxion Msci Defensives Over</x:v>
      </x:c>
      <x:c r="B883" t="str">
        <x:f>"RWDC US Equity"</x:f>
        <x:v>RWDC US Equity</x:v>
      </x:c>
      <x:c r="E883" t="str">
        <x:f t="shared" si="36"/>
        <x:v>Expression</x:v>
      </x:c>
      <x:c r="F883" t="str">
        <x:f ca="1">IF(AND($B$1012=1,LEN($F$1862)&gt;0),$F$1862,HLOOKUP(INDIRECT(ADDRESS(2,COLUMN())),OFFSET($T$2,0,0,ROW()-1,14),ROW()-1,FALSE))</x:f>
        <x:v/>
      </x:c>
      <x:c r="G883" t="str">
        <x:f ca="1">IF(AND($B$1012=1,LEN($G$1862)&gt;0),$G$1862,HLOOKUP(INDIRECT(ADDRESS(2,COLUMN())),OFFSET($T$2,0,0,ROW()-1,14),ROW()-1,FALSE))</x:f>
        <x:v/>
      </x:c>
      <x:c r="H883" t="str">
        <x:f ca="1">IF(AND($B$1012=1,LEN($H$1862)&gt;0),$H$1862,HLOOKUP(INDIRECT(ADDRESS(2,COLUMN())),OFFSET($T$2,0,0,ROW()-1,14),ROW()-1,FALSE))</x:f>
        <x:v/>
      </x:c>
      <x:c r="I883" t="str">
        <x:f ca="1">IF(AND($B$1012=1,LEN($I$1862)&gt;0),$I$1862,HLOOKUP(INDIRECT(ADDRESS(2,COLUMN())),OFFSET($T$2,0,0,ROW()-1,14),ROW()-1,FALSE))</x:f>
        <x:v/>
      </x:c>
      <x:c r="J883" t="str">
        <x:f ca="1">IF(AND($B$1012=1,LEN($J$1862)&gt;0),$J$1862,HLOOKUP(INDIRECT(ADDRESS(2,COLUMN())),OFFSET($T$2,0,0,ROW()-1,14),ROW()-1,FALSE))</x:f>
        <x:v/>
      </x:c>
      <x:c r="K883" t="str">
        <x:f ca="1">IF(AND($B$1012=1,LEN($K$1862)&gt;0),$K$1862,HLOOKUP(INDIRECT(ADDRESS(2,COLUMN())),OFFSET($T$2,0,0,ROW()-1,14),ROW()-1,FALSE))</x:f>
        <x:v/>
      </x:c>
      <x:c r="L883" t="str">
        <x:f ca="1">IF(AND($B$1012=1,LEN($L$1862)&gt;0),$L$1862,HLOOKUP(INDIRECT(ADDRESS(2,COLUMN())),OFFSET($T$2,0,0,ROW()-1,14),ROW()-1,FALSE))</x:f>
        <x:v/>
      </x:c>
      <x:c r="M883" t="str">
        <x:f ca="1">IF(AND($B$1012=1,LEN($M$1862)&gt;0),$M$1862,HLOOKUP(INDIRECT(ADDRESS(2,COLUMN())),OFFSET($T$2,0,0,ROW()-1,14),ROW()-1,FALSE))</x:f>
        <x:v/>
      </x:c>
      <x:c r="N883" t="str">
        <x:f ca="1">IF(AND($B$1012=1,LEN($N$1862)&gt;0),$N$1862,HLOOKUP(INDIRECT(ADDRESS(2,COLUMN())),OFFSET($T$2,0,0,ROW()-1,14),ROW()-1,FALSE))</x:f>
        <x:v/>
      </x:c>
      <x:c r="O883" t="str">
        <x:f ca="1">IF(AND($B$1012=1,LEN($O$1862)&gt;0),$O$1862,HLOOKUP(INDIRECT(ADDRESS(2,COLUMN())),OFFSET($T$2,0,0,ROW()-1,14),ROW()-1,FALSE))</x:f>
        <x:v/>
      </x:c>
      <x:c r="P883" t="str">
        <x:f ca="1">IF(AND($B$1012=1,LEN($P$1862)&gt;0),$P$1862,HLOOKUP(INDIRECT(ADDRESS(2,COLUMN())),OFFSET($T$2,0,0,ROW()-1,14),ROW()-1,FALSE))</x:f>
        <x:v/>
      </x:c>
      <x:c r="Q883" t="str">
        <x:f ca="1">IF(AND($B$1012=1,LEN($Q$1862)&gt;0),$Q$1862,HLOOKUP(INDIRECT(ADDRESS(2,COLUMN())),OFFSET($T$2,0,0,ROW()-1,14),ROW()-1,FALSE))</x:f>
        <x:v/>
      </x:c>
      <x:c r="R883" t="str">
        <x:f ca="1">IF(AND($B$1012=1,LEN($R$1862)&gt;0),$R$1862,HLOOKUP(INDIRECT(ADDRESS(2,COLUMN())),OFFSET($T$2,0,0,ROW()-1,14),ROW()-1,FALSE))</x:f>
        <x:v/>
      </x:c>
      <x:c r="S883" t="str">
        <x:f ca="1">IF(AND($B$1012=1,LEN($S$1862)&gt;0),$S$1862,HLOOKUP(INDIRECT(ADDRESS(2,COLUMN())),OFFSET($T$2,0,0,ROW()-1,14),ROW()-1,FALSE))</x:f>
        <x:v/>
      </x:c>
      <x:c r="T883" t="str">
        <x:f>""</x:f>
        <x:v/>
      </x:c>
      <x:c r="U883" t="str">
        <x:f>""</x:f>
        <x:v/>
      </x:c>
      <x:c r="V883" t="str">
        <x:f>""</x:f>
        <x:v/>
      </x:c>
      <x:c r="W883" t="str">
        <x:f>""</x:f>
        <x:v/>
      </x:c>
      <x:c r="X883" t="str">
        <x:f>""</x:f>
        <x:v/>
      </x:c>
      <x:c r="Y883" t="str">
        <x:f>""</x:f>
        <x:v/>
      </x:c>
      <x:c r="Z883" t="str">
        <x:f>""</x:f>
        <x:v/>
      </x:c>
      <x:c r="AA883" t="str">
        <x:f>""</x:f>
        <x:v/>
      </x:c>
      <x:c r="AB883" t="str">
        <x:f>""</x:f>
        <x:v/>
      </x:c>
      <x:c r="AC883" t="str">
        <x:f>""</x:f>
        <x:v/>
      </x:c>
      <x:c r="AD883" t="str">
        <x:f>""</x:f>
        <x:v/>
      </x:c>
      <x:c r="AE883" t="str">
        <x:f>""</x:f>
        <x:v/>
      </x:c>
      <x:c r="AF883" t="str">
        <x:f>""</x:f>
        <x:v/>
      </x:c>
      <x:c r="AG883" t="str">
        <x:f>""</x:f>
        <x:v/>
      </x:c>
    </x:row>
    <x:row r="884" spans="1:33" x14ac:dyDescent="0.25">
      <x:c r="A884" t="str">
        <x:f>"            Direxion Msci Cyclicals Over D"</x:f>
        <x:v xml:space="preserve">            Direxion Msci Cyclicals Over D</x:v>
      </x:c>
      <x:c r="B884" t="str">
        <x:f>"RWCD US Equity"</x:f>
        <x:v>RWCD US Equity</x:v>
      </x:c>
      <x:c r="E884" t="str">
        <x:f t="shared" si="36"/>
        <x:v>Expression</x:v>
      </x:c>
      <x:c r="F884" t="str">
        <x:f ca="1">IF(AND($B$1012=1,LEN($F$1863)&gt;0),$F$1863,HLOOKUP(INDIRECT(ADDRESS(2,COLUMN())),OFFSET($T$2,0,0,ROW()-1,14),ROW()-1,FALSE))</x:f>
        <x:v/>
      </x:c>
      <x:c r="G884" t="str">
        <x:f ca="1">IF(AND($B$1012=1,LEN($G$1863)&gt;0),$G$1863,HLOOKUP(INDIRECT(ADDRESS(2,COLUMN())),OFFSET($T$2,0,0,ROW()-1,14),ROW()-1,FALSE))</x:f>
        <x:v/>
      </x:c>
      <x:c r="H884" t="str">
        <x:f ca="1">IF(AND($B$1012=1,LEN($H$1863)&gt;0),$H$1863,HLOOKUP(INDIRECT(ADDRESS(2,COLUMN())),OFFSET($T$2,0,0,ROW()-1,14),ROW()-1,FALSE))</x:f>
        <x:v/>
      </x:c>
      <x:c r="I884" t="str">
        <x:f ca="1">IF(AND($B$1012=1,LEN($I$1863)&gt;0),$I$1863,HLOOKUP(INDIRECT(ADDRESS(2,COLUMN())),OFFSET($T$2,0,0,ROW()-1,14),ROW()-1,FALSE))</x:f>
        <x:v/>
      </x:c>
      <x:c r="J884" t="str">
        <x:f ca="1">IF(AND($B$1012=1,LEN($J$1863)&gt;0),$J$1863,HLOOKUP(INDIRECT(ADDRESS(2,COLUMN())),OFFSET($T$2,0,0,ROW()-1,14),ROW()-1,FALSE))</x:f>
        <x:v/>
      </x:c>
      <x:c r="K884" t="str">
        <x:f ca="1">IF(AND($B$1012=1,LEN($K$1863)&gt;0),$K$1863,HLOOKUP(INDIRECT(ADDRESS(2,COLUMN())),OFFSET($T$2,0,0,ROW()-1,14),ROW()-1,FALSE))</x:f>
        <x:v/>
      </x:c>
      <x:c r="L884" t="str">
        <x:f ca="1">IF(AND($B$1012=1,LEN($L$1863)&gt;0),$L$1863,HLOOKUP(INDIRECT(ADDRESS(2,COLUMN())),OFFSET($T$2,0,0,ROW()-1,14),ROW()-1,FALSE))</x:f>
        <x:v/>
      </x:c>
      <x:c r="M884" t="str">
        <x:f ca="1">IF(AND($B$1012=1,LEN($M$1863)&gt;0),$M$1863,HLOOKUP(INDIRECT(ADDRESS(2,COLUMN())),OFFSET($T$2,0,0,ROW()-1,14),ROW()-1,FALSE))</x:f>
        <x:v/>
      </x:c>
      <x:c r="N884" t="str">
        <x:f ca="1">IF(AND($B$1012=1,LEN($N$1863)&gt;0),$N$1863,HLOOKUP(INDIRECT(ADDRESS(2,COLUMN())),OFFSET($T$2,0,0,ROW()-1,14),ROW()-1,FALSE))</x:f>
        <x:v/>
      </x:c>
      <x:c r="O884" t="str">
        <x:f ca="1">IF(AND($B$1012=1,LEN($O$1863)&gt;0),$O$1863,HLOOKUP(INDIRECT(ADDRESS(2,COLUMN())),OFFSET($T$2,0,0,ROW()-1,14),ROW()-1,FALSE))</x:f>
        <x:v/>
      </x:c>
      <x:c r="P884" t="str">
        <x:f ca="1">IF(AND($B$1012=1,LEN($P$1863)&gt;0),$P$1863,HLOOKUP(INDIRECT(ADDRESS(2,COLUMN())),OFFSET($T$2,0,0,ROW()-1,14),ROW()-1,FALSE))</x:f>
        <x:v/>
      </x:c>
      <x:c r="Q884" t="str">
        <x:f ca="1">IF(AND($B$1012=1,LEN($Q$1863)&gt;0),$Q$1863,HLOOKUP(INDIRECT(ADDRESS(2,COLUMN())),OFFSET($T$2,0,0,ROW()-1,14),ROW()-1,FALSE))</x:f>
        <x:v/>
      </x:c>
      <x:c r="R884" t="str">
        <x:f ca="1">IF(AND($B$1012=1,LEN($R$1863)&gt;0),$R$1863,HLOOKUP(INDIRECT(ADDRESS(2,COLUMN())),OFFSET($T$2,0,0,ROW()-1,14),ROW()-1,FALSE))</x:f>
        <x:v/>
      </x:c>
      <x:c r="S884" t="str">
        <x:f ca="1">IF(AND($B$1012=1,LEN($S$1863)&gt;0),$S$1863,HLOOKUP(INDIRECT(ADDRESS(2,COLUMN())),OFFSET($T$2,0,0,ROW()-1,14),ROW()-1,FALSE))</x:f>
        <x:v/>
      </x:c>
      <x:c r="T884" t="str">
        <x:f>""</x:f>
        <x:v/>
      </x:c>
      <x:c r="U884" t="str">
        <x:f>""</x:f>
        <x:v/>
      </x:c>
      <x:c r="V884" t="str">
        <x:f>""</x:f>
        <x:v/>
      </x:c>
      <x:c r="W884" t="str">
        <x:f>""</x:f>
        <x:v/>
      </x:c>
      <x:c r="X884" t="str">
        <x:f>""</x:f>
        <x:v/>
      </x:c>
      <x:c r="Y884" t="str">
        <x:f>""</x:f>
        <x:v/>
      </x:c>
      <x:c r="Z884" t="str">
        <x:f>""</x:f>
        <x:v/>
      </x:c>
      <x:c r="AA884" t="str">
        <x:f>""</x:f>
        <x:v/>
      </x:c>
      <x:c r="AB884" t="str">
        <x:f>""</x:f>
        <x:v/>
      </x:c>
      <x:c r="AC884" t="str">
        <x:f>""</x:f>
        <x:v/>
      </x:c>
      <x:c r="AD884" t="str">
        <x:f>""</x:f>
        <x:v/>
      </x:c>
      <x:c r="AE884" t="str">
        <x:f>""</x:f>
        <x:v/>
      </x:c>
      <x:c r="AF884" t="str">
        <x:f>""</x:f>
        <x:v/>
      </x:c>
      <x:c r="AG884" t="str">
        <x:f>""</x:f>
        <x:v/>
      </x:c>
    </x:row>
    <x:row r="885" spans="1:33" x14ac:dyDescent="0.25">
      <x:c r="A885" t="str">
        <x:f>"            Goldman Sachs Manufacturing Re"</x:f>
        <x:v xml:space="preserve">            Goldman Sachs Manufacturing Re</x:v>
      </x:c>
      <x:c r="B885" t="str">
        <x:f>"GMAN US Equity"</x:f>
        <x:v>GMAN US Equity</x:v>
      </x:c>
      <x:c r="E885" t="str">
        <x:f t="shared" si="36"/>
        <x:v>Expression</x:v>
      </x:c>
      <x:c r="F885" t="str">
        <x:f ca="1">IF(AND($B$1012=1,LEN($F$1864)&gt;0),$F$1864,HLOOKUP(INDIRECT(ADDRESS(2,COLUMN())),OFFSET($T$2,0,0,ROW()-1,14),ROW()-1,FALSE))</x:f>
        <x:v/>
      </x:c>
      <x:c r="G885" t="str">
        <x:f ca="1">IF(AND($B$1012=1,LEN($G$1864)&gt;0),$G$1864,HLOOKUP(INDIRECT(ADDRESS(2,COLUMN())),OFFSET($T$2,0,0,ROW()-1,14),ROW()-1,FALSE))</x:f>
        <x:v/>
      </x:c>
      <x:c r="H885" t="str">
        <x:f ca="1">IF(AND($B$1012=1,LEN($H$1864)&gt;0),$H$1864,HLOOKUP(INDIRECT(ADDRESS(2,COLUMN())),OFFSET($T$2,0,0,ROW()-1,14),ROW()-1,FALSE))</x:f>
        <x:v/>
      </x:c>
      <x:c r="I885" t="str">
        <x:f ca="1">IF(AND($B$1012=1,LEN($I$1864)&gt;0),$I$1864,HLOOKUP(INDIRECT(ADDRESS(2,COLUMN())),OFFSET($T$2,0,0,ROW()-1,14),ROW()-1,FALSE))</x:f>
        <x:v/>
      </x:c>
      <x:c r="J885" t="str">
        <x:f ca="1">IF(AND($B$1012=1,LEN($J$1864)&gt;0),$J$1864,HLOOKUP(INDIRECT(ADDRESS(2,COLUMN())),OFFSET($T$2,0,0,ROW()-1,14),ROW()-1,FALSE))</x:f>
        <x:v/>
      </x:c>
      <x:c r="K885" t="str">
        <x:f ca="1">IF(AND($B$1012=1,LEN($K$1864)&gt;0),$K$1864,HLOOKUP(INDIRECT(ADDRESS(2,COLUMN())),OFFSET($T$2,0,0,ROW()-1,14),ROW()-1,FALSE))</x:f>
        <x:v/>
      </x:c>
      <x:c r="L885" t="str">
        <x:f ca="1">IF(AND($B$1012=1,LEN($L$1864)&gt;0),$L$1864,HLOOKUP(INDIRECT(ADDRESS(2,COLUMN())),OFFSET($T$2,0,0,ROW()-1,14),ROW()-1,FALSE))</x:f>
        <x:v/>
      </x:c>
      <x:c r="M885" t="str">
        <x:f ca="1">IF(AND($B$1012=1,LEN($M$1864)&gt;0),$M$1864,HLOOKUP(INDIRECT(ADDRESS(2,COLUMN())),OFFSET($T$2,0,0,ROW()-1,14),ROW()-1,FALSE))</x:f>
        <x:v/>
      </x:c>
      <x:c r="N885" t="str">
        <x:f ca="1">IF(AND($B$1012=1,LEN($N$1864)&gt;0),$N$1864,HLOOKUP(INDIRECT(ADDRESS(2,COLUMN())),OFFSET($T$2,0,0,ROW()-1,14),ROW()-1,FALSE))</x:f>
        <x:v/>
      </x:c>
      <x:c r="O885" t="str">
        <x:f ca="1">IF(AND($B$1012=1,LEN($O$1864)&gt;0),$O$1864,HLOOKUP(INDIRECT(ADDRESS(2,COLUMN())),OFFSET($T$2,0,0,ROW()-1,14),ROW()-1,FALSE))</x:f>
        <x:v/>
      </x:c>
      <x:c r="P885" t="str">
        <x:f ca="1">IF(AND($B$1012=1,LEN($P$1864)&gt;0),$P$1864,HLOOKUP(INDIRECT(ADDRESS(2,COLUMN())),OFFSET($T$2,0,0,ROW()-1,14),ROW()-1,FALSE))</x:f>
        <x:v/>
      </x:c>
      <x:c r="Q885" t="str">
        <x:f ca="1">IF(AND($B$1012=1,LEN($Q$1864)&gt;0),$Q$1864,HLOOKUP(INDIRECT(ADDRESS(2,COLUMN())),OFFSET($T$2,0,0,ROW()-1,14),ROW()-1,FALSE))</x:f>
        <x:v/>
      </x:c>
      <x:c r="R885" t="str">
        <x:f ca="1">IF(AND($B$1012=1,LEN($R$1864)&gt;0),$R$1864,HLOOKUP(INDIRECT(ADDRESS(2,COLUMN())),OFFSET($T$2,0,0,ROW()-1,14),ROW()-1,FALSE))</x:f>
        <x:v/>
      </x:c>
      <x:c r="S885" t="str">
        <x:f ca="1">IF(AND($B$1012=1,LEN($S$1864)&gt;0),$S$1864,HLOOKUP(INDIRECT(ADDRESS(2,COLUMN())),OFFSET($T$2,0,0,ROW()-1,14),ROW()-1,FALSE))</x:f>
        <x:v/>
      </x:c>
      <x:c r="T885" t="str">
        <x:f>""</x:f>
        <x:v/>
      </x:c>
      <x:c r="U885" t="str">
        <x:f>""</x:f>
        <x:v/>
      </x:c>
      <x:c r="V885" t="str">
        <x:f>""</x:f>
        <x:v/>
      </x:c>
      <x:c r="W885" t="str">
        <x:f>""</x:f>
        <x:v/>
      </x:c>
      <x:c r="X885" t="str">
        <x:f>""</x:f>
        <x:v/>
      </x:c>
      <x:c r="Y885" t="str">
        <x:f>""</x:f>
        <x:v/>
      </x:c>
      <x:c r="Z885" t="str">
        <x:f>""</x:f>
        <x:v/>
      </x:c>
      <x:c r="AA885" t="str">
        <x:f>""</x:f>
        <x:v/>
      </x:c>
      <x:c r="AB885" t="str">
        <x:f>""</x:f>
        <x:v/>
      </x:c>
      <x:c r="AC885" t="str">
        <x:f>""</x:f>
        <x:v/>
      </x:c>
      <x:c r="AD885" t="str">
        <x:f>""</x:f>
        <x:v/>
      </x:c>
      <x:c r="AE885" t="str">
        <x:f>""</x:f>
        <x:v/>
      </x:c>
      <x:c r="AF885" t="str">
        <x:f>""</x:f>
        <x:v/>
      </x:c>
      <x:c r="AG885" t="str">
        <x:f>""</x:f>
        <x:v/>
      </x:c>
    </x:row>
    <x:row r="886" spans="1:33" x14ac:dyDescent="0.25">
      <x:c r="A886" t="str">
        <x:f>"            Proshares Pet Care ETF"</x:f>
        <x:v xml:space="preserve">            Proshares Pet Care ETF</x:v>
      </x:c>
      <x:c r="B886" t="str">
        <x:f>"PAWZ US Equity"</x:f>
        <x:v>PAWZ US Equity</x:v>
      </x:c>
      <x:c r="E886" t="str">
        <x:f t="shared" si="36"/>
        <x:v>Expression</x:v>
      </x:c>
      <x:c r="F886">
        <x:f ca="1">IF(AND($B$1012=1,LEN($F$1865)&gt;0),$F$1865,HLOOKUP(INDIRECT(ADDRESS(2,COLUMN())),OFFSET($T$2,0,0,ROW()-1,14),ROW()-1,FALSE))</x:f>
        <x:v>-2.2303649999999999</x:v>
      </x:c>
      <x:c r="G886">
        <x:f ca="1">IF(AND($B$1012=1,LEN($G$1865)&gt;0),$G$1865,HLOOKUP(INDIRECT(ADDRESS(2,COLUMN())),OFFSET($T$2,0,0,ROW()-1,14),ROW()-1,FALSE))</x:f>
        <x:v>-2.1774849999999999</x:v>
      </x:c>
      <x:c r="H886">
        <x:f ca="1">IF(AND($B$1012=1,LEN($H$1865)&gt;0),$H$1865,HLOOKUP(INDIRECT(ADDRESS(2,COLUMN())),OFFSET($T$2,0,0,ROW()-1,14),ROW()-1,FALSE))</x:f>
        <x:v>-2.2186499999999998</x:v>
      </x:c>
      <x:c r="I886">
        <x:f ca="1">IF(AND($B$1012=1,LEN($I$1865)&gt;0),$I$1865,HLOOKUP(INDIRECT(ADDRESS(2,COLUMN())),OFFSET($T$2,0,0,ROW()-1,14),ROW()-1,FALSE))</x:f>
        <x:v>-3.7815219999999998</x:v>
      </x:c>
      <x:c r="J886">
        <x:f ca="1">IF(AND($B$1012=1,LEN($J$1865)&gt;0),$J$1865,HLOOKUP(INDIRECT(ADDRESS(2,COLUMN())),OFFSET($T$2,0,0,ROW()-1,14),ROW()-1,FALSE))</x:f>
        <x:v>0</x:v>
      </x:c>
      <x:c r="K886">
        <x:f ca="1">IF(AND($B$1012=1,LEN($K$1865)&gt;0),$K$1865,HLOOKUP(INDIRECT(ADDRESS(2,COLUMN())),OFFSET($T$2,0,0,ROW()-1,14),ROW()-1,FALSE))</x:f>
        <x:v>0</x:v>
      </x:c>
      <x:c r="L886">
        <x:f ca="1">IF(AND($B$1012=1,LEN($L$1865)&gt;0),$L$1865,HLOOKUP(INDIRECT(ADDRESS(2,COLUMN())),OFFSET($T$2,0,0,ROW()-1,14),ROW()-1,FALSE))</x:f>
        <x:v>-2.6093199999999999</x:v>
      </x:c>
      <x:c r="M886">
        <x:f ca="1">IF(AND($B$1012=1,LEN($M$1865)&gt;0),$M$1865,HLOOKUP(INDIRECT(ADDRESS(2,COLUMN())),OFFSET($T$2,0,0,ROW()-1,14),ROW()-1,FALSE))</x:f>
        <x:v>-3.7501470000000001</x:v>
      </x:c>
      <x:c r="N886">
        <x:f ca="1">IF(AND($B$1012=1,LEN($N$1865)&gt;0),$N$1865,HLOOKUP(INDIRECT(ADDRESS(2,COLUMN())),OFFSET($T$2,0,0,ROW()-1,14),ROW()-1,FALSE))</x:f>
        <x:v>-2.4611999999999998</x:v>
      </x:c>
      <x:c r="O886">
        <x:f ca="1">IF(AND($B$1012=1,LEN($O$1865)&gt;0),$O$1865,HLOOKUP(INDIRECT(ADDRESS(2,COLUMN())),OFFSET($T$2,0,0,ROW()-1,14),ROW()-1,FALSE))</x:f>
        <x:v>0</x:v>
      </x:c>
      <x:c r="P886">
        <x:f ca="1">IF(AND($B$1012=1,LEN($P$1865)&gt;0),$P$1865,HLOOKUP(INDIRECT(ADDRESS(2,COLUMN())),OFFSET($T$2,0,0,ROW()-1,14),ROW()-1,FALSE))</x:f>
        <x:v>-8.9970379999999999</x:v>
      </x:c>
      <x:c r="Q886">
        <x:f ca="1">IF(AND($B$1012=1,LEN($Q$1865)&gt;0),$Q$1865,HLOOKUP(INDIRECT(ADDRESS(2,COLUMN())),OFFSET($T$2,0,0,ROW()-1,14),ROW()-1,FALSE))</x:f>
        <x:v>-2.4721950000000001</x:v>
      </x:c>
      <x:c r="R886">
        <x:f ca="1">IF(AND($B$1012=1,LEN($R$1865)&gt;0),$R$1865,HLOOKUP(INDIRECT(ADDRESS(2,COLUMN())),OFFSET($T$2,0,0,ROW()-1,14),ROW()-1,FALSE))</x:f>
        <x:v>-7.3162469999999997</x:v>
      </x:c>
      <x:c r="S886">
        <x:f ca="1">IF(AND($B$1012=1,LEN($S$1865)&gt;0),$S$1865,HLOOKUP(INDIRECT(ADDRESS(2,COLUMN())),OFFSET($T$2,0,0,ROW()-1,14),ROW()-1,FALSE))</x:f>
        <x:v>-5.668615</x:v>
      </x:c>
      <x:c r="T886">
        <x:f>-2.230365</x:f>
        <x:v>-2.2303649999999999</x:v>
      </x:c>
      <x:c r="U886">
        <x:f>-2.177485</x:f>
        <x:v>-2.1774849999999999</x:v>
      </x:c>
      <x:c r="V886">
        <x:f>-2.21865</x:f>
        <x:v>-2.2186499999999998</x:v>
      </x:c>
      <x:c r="W886">
        <x:f>-3.781522</x:f>
        <x:v>-3.7815219999999998</x:v>
      </x:c>
      <x:c r="X886">
        <x:f>0</x:f>
        <x:v>0</x:v>
      </x:c>
      <x:c r="Y886">
        <x:f>0</x:f>
        <x:v>0</x:v>
      </x:c>
      <x:c r="Z886">
        <x:f>-2.60932</x:f>
        <x:v>-2.6093199999999999</x:v>
      </x:c>
      <x:c r="AA886">
        <x:f>-3.750147</x:f>
        <x:v>-3.7501470000000001</x:v>
      </x:c>
      <x:c r="AB886">
        <x:f>-2.4612</x:f>
        <x:v>-2.4611999999999998</x:v>
      </x:c>
      <x:c r="AC886">
        <x:f>0</x:f>
        <x:v>0</x:v>
      </x:c>
      <x:c r="AD886">
        <x:f>-8.997038</x:f>
        <x:v>-8.9970379999999999</x:v>
      </x:c>
      <x:c r="AE886">
        <x:f>-2.472195</x:f>
        <x:v>-2.4721950000000001</x:v>
      </x:c>
      <x:c r="AF886">
        <x:f>-7.316247</x:f>
        <x:v>-7.3162469999999997</x:v>
      </x:c>
      <x:c r="AG886">
        <x:f>-5.668615</x:f>
        <x:v>-5.668615</x:v>
      </x:c>
    </x:row>
    <x:row r="887" spans="1:33" x14ac:dyDescent="0.25">
      <x:c r="A887" t="str">
        <x:f>"            US Vegan Climate ETF"</x:f>
        <x:v xml:space="preserve">            US Vegan Climate ETF</x:v>
      </x:c>
      <x:c r="B887" t="str">
        <x:f>"VEGN US Equity"</x:f>
        <x:v>VEGN US Equity</x:v>
      </x:c>
      <x:c r="E887" t="str">
        <x:f t="shared" si="36"/>
        <x:v>Expression</x:v>
      </x:c>
      <x:c r="F887">
        <x:f ca="1">IF(AND($B$1012=1,LEN($F$1866)&gt;0),$F$1866,HLOOKUP(INDIRECT(ADDRESS(2,COLUMN())),OFFSET($T$2,0,0,ROW()-1,14),ROW()-1,FALSE))</x:f>
        <x:v>0</x:v>
      </x:c>
      <x:c r="G887">
        <x:f ca="1">IF(AND($B$1012=1,LEN($G$1866)&gt;0),$G$1866,HLOOKUP(INDIRECT(ADDRESS(2,COLUMN())),OFFSET($T$2,0,0,ROW()-1,14),ROW()-1,FALSE))</x:f>
        <x:v>0.95071499999999998</x:v>
      </x:c>
      <x:c r="H887">
        <x:f ca="1">IF(AND($B$1012=1,LEN($H$1866)&gt;0),$H$1866,HLOOKUP(INDIRECT(ADDRESS(2,COLUMN())),OFFSET($T$2,0,0,ROW()-1,14),ROW()-1,FALSE))</x:f>
        <x:v>0.95459499999999997</x:v>
      </x:c>
      <x:c r="I887">
        <x:f ca="1">IF(AND($B$1012=1,LEN($I$1866)&gt;0),$I$1866,HLOOKUP(INDIRECT(ADDRESS(2,COLUMN())),OFFSET($T$2,0,0,ROW()-1,14),ROW()-1,FALSE))</x:f>
        <x:v>0.98386499999999999</x:v>
      </x:c>
      <x:c r="J887">
        <x:f ca="1">IF(AND($B$1012=1,LEN($J$1866)&gt;0),$J$1866,HLOOKUP(INDIRECT(ADDRESS(2,COLUMN())),OFFSET($T$2,0,0,ROW()-1,14),ROW()-1,FALSE))</x:f>
        <x:v>0</x:v>
      </x:c>
      <x:c r="K887">
        <x:f ca="1">IF(AND($B$1012=1,LEN($K$1866)&gt;0),$K$1866,HLOOKUP(INDIRECT(ADDRESS(2,COLUMN())),OFFSET($T$2,0,0,ROW()-1,14),ROW()-1,FALSE))</x:f>
        <x:v>0</x:v>
      </x:c>
      <x:c r="L887">
        <x:f ca="1">IF(AND($B$1012=1,LEN($L$1866)&gt;0),$L$1866,HLOOKUP(INDIRECT(ADDRESS(2,COLUMN())),OFFSET($T$2,0,0,ROW()-1,14),ROW()-1,FALSE))</x:f>
        <x:v>-1.7267999999999999</x:v>
      </x:c>
      <x:c r="M887">
        <x:f ca="1">IF(AND($B$1012=1,LEN($M$1866)&gt;0),$M$1866,HLOOKUP(INDIRECT(ADDRESS(2,COLUMN())),OFFSET($T$2,0,0,ROW()-1,14),ROW()-1,FALSE))</x:f>
        <x:v>0</x:v>
      </x:c>
      <x:c r="N887">
        <x:f ca="1">IF(AND($B$1012=1,LEN($N$1866)&gt;0),$N$1866,HLOOKUP(INDIRECT(ADDRESS(2,COLUMN())),OFFSET($T$2,0,0,ROW()-1,14),ROW()-1,FALSE))</x:f>
        <x:v>0</x:v>
      </x:c>
      <x:c r="O887">
        <x:f ca="1">IF(AND($B$1012=1,LEN($O$1866)&gt;0),$O$1866,HLOOKUP(INDIRECT(ADDRESS(2,COLUMN())),OFFSET($T$2,0,0,ROW()-1,14),ROW()-1,FALSE))</x:f>
        <x:v>0</x:v>
      </x:c>
      <x:c r="P887">
        <x:f ca="1">IF(AND($B$1012=1,LEN($P$1866)&gt;0),$P$1866,HLOOKUP(INDIRECT(ADDRESS(2,COLUMN())),OFFSET($T$2,0,0,ROW()-1,14),ROW()-1,FALSE))</x:f>
        <x:v>0</x:v>
      </x:c>
      <x:c r="Q887">
        <x:f ca="1">IF(AND($B$1012=1,LEN($Q$1866)&gt;0),$Q$1866,HLOOKUP(INDIRECT(ADDRESS(2,COLUMN())),OFFSET($T$2,0,0,ROW()-1,14),ROW()-1,FALSE))</x:f>
        <x:v>0</x:v>
      </x:c>
      <x:c r="R887">
        <x:f ca="1">IF(AND($B$1012=1,LEN($R$1866)&gt;0),$R$1866,HLOOKUP(INDIRECT(ADDRESS(2,COLUMN())),OFFSET($T$2,0,0,ROW()-1,14),ROW()-1,FALSE))</x:f>
        <x:v>0</x:v>
      </x:c>
      <x:c r="S887">
        <x:f ca="1">IF(AND($B$1012=1,LEN($S$1866)&gt;0),$S$1866,HLOOKUP(INDIRECT(ADDRESS(2,COLUMN())),OFFSET($T$2,0,0,ROW()-1,14),ROW()-1,FALSE))</x:f>
        <x:v>0</x:v>
      </x:c>
      <x:c r="T887">
        <x:f>0</x:f>
        <x:v>0</x:v>
      </x:c>
      <x:c r="U887">
        <x:f>0.950715</x:f>
        <x:v>0.95071499999999998</x:v>
      </x:c>
      <x:c r="V887">
        <x:f>0.954595</x:f>
        <x:v>0.95459499999999997</x:v>
      </x:c>
      <x:c r="W887">
        <x:f>0.983865</x:f>
        <x:v>0.98386499999999999</x:v>
      </x:c>
      <x:c r="X887">
        <x:f>0</x:f>
        <x:v>0</x:v>
      </x:c>
      <x:c r="Y887">
        <x:f>0</x:f>
        <x:v>0</x:v>
      </x:c>
      <x:c r="Z887">
        <x:f>-1.7268</x:f>
        <x:v>-1.7267999999999999</x:v>
      </x:c>
      <x:c r="AA887">
        <x:f>0</x:f>
        <x:v>0</x:v>
      </x:c>
      <x:c r="AB887">
        <x:f>0</x:f>
        <x:v>0</x:v>
      </x:c>
      <x:c r="AC887">
        <x:f>0</x:f>
        <x:v>0</x:v>
      </x:c>
      <x:c r="AD887">
        <x:f>0</x:f>
        <x:v>0</x:v>
      </x:c>
      <x:c r="AE887">
        <x:f>0</x:f>
        <x:v>0</x:v>
      </x:c>
      <x:c r="AF887">
        <x:f>0</x:f>
        <x:v>0</x:v>
      </x:c>
      <x:c r="AG887">
        <x:f>0</x:f>
        <x:v>0</x:v>
      </x:c>
    </x:row>
    <x:row r="888" spans="1:33" x14ac:dyDescent="0.25">
      <x:c r="A888" t="str">
        <x:f>"            SoFi Be Your Own Boss ETF"</x:f>
        <x:v xml:space="preserve">            SoFi Be Your Own Boss ETF</x:v>
      </x:c>
      <x:c r="B888" t="str">
        <x:f>"GIGE US Equity"</x:f>
        <x:v>GIGE US Equity</x:v>
      </x:c>
      <x:c r="E888" t="str">
        <x:f t="shared" si="36"/>
        <x:v>Expression</x:v>
      </x:c>
      <x:c r="F888">
        <x:f ca="1">IF(AND($B$1012=1,LEN($F$1867)&gt;0),$F$1867,HLOOKUP(INDIRECT(ADDRESS(2,COLUMN())),OFFSET($T$2,0,0,ROW()-1,14),ROW()-1,FALSE))</x:f>
        <x:v>0</x:v>
      </x:c>
      <x:c r="G888">
        <x:f ca="1">IF(AND($B$1012=1,LEN($G$1867)&gt;0),$G$1867,HLOOKUP(INDIRECT(ADDRESS(2,COLUMN())),OFFSET($T$2,0,0,ROW()-1,14),ROW()-1,FALSE))</x:f>
        <x:v>0</x:v>
      </x:c>
      <x:c r="H888">
        <x:f ca="1">IF(AND($B$1012=1,LEN($H$1867)&gt;0),$H$1867,HLOOKUP(INDIRECT(ADDRESS(2,COLUMN())),OFFSET($T$2,0,0,ROW()-1,14),ROW()-1,FALSE))</x:f>
        <x:v>0</x:v>
      </x:c>
      <x:c r="I888">
        <x:f ca="1">IF(AND($B$1012=1,LEN($I$1867)&gt;0),$I$1867,HLOOKUP(INDIRECT(ADDRESS(2,COLUMN())),OFFSET($T$2,0,0,ROW()-1,14),ROW()-1,FALSE))</x:f>
        <x:v>-0.32597999999999999</x:v>
      </x:c>
      <x:c r="J888">
        <x:f ca="1">IF(AND($B$1012=1,LEN($J$1867)&gt;0),$J$1867,HLOOKUP(INDIRECT(ADDRESS(2,COLUMN())),OFFSET($T$2,0,0,ROW()-1,14),ROW()-1,FALSE))</x:f>
        <x:v>0</x:v>
      </x:c>
      <x:c r="K888">
        <x:f ca="1">IF(AND($B$1012=1,LEN($K$1867)&gt;0),$K$1867,HLOOKUP(INDIRECT(ADDRESS(2,COLUMN())),OFFSET($T$2,0,0,ROW()-1,14),ROW()-1,FALSE))</x:f>
        <x:v>0</x:v>
      </x:c>
      <x:c r="L888">
        <x:f ca="1">IF(AND($B$1012=1,LEN($L$1867)&gt;0),$L$1867,HLOOKUP(INDIRECT(ADDRESS(2,COLUMN())),OFFSET($T$2,0,0,ROW()-1,14),ROW()-1,FALSE))</x:f>
        <x:v>0</x:v>
      </x:c>
      <x:c r="M888">
        <x:f ca="1">IF(AND($B$1012=1,LEN($M$1867)&gt;0),$M$1867,HLOOKUP(INDIRECT(ADDRESS(2,COLUMN())),OFFSET($T$2,0,0,ROW()-1,14),ROW()-1,FALSE))</x:f>
        <x:v>-0.79201999999999995</x:v>
      </x:c>
      <x:c r="N888">
        <x:f ca="1">IF(AND($B$1012=1,LEN($N$1867)&gt;0),$N$1867,HLOOKUP(INDIRECT(ADDRESS(2,COLUMN())),OFFSET($T$2,0,0,ROW()-1,14),ROW()-1,FALSE))</x:f>
        <x:v>0</x:v>
      </x:c>
      <x:c r="O888">
        <x:f ca="1">IF(AND($B$1012=1,LEN($O$1867)&gt;0),$O$1867,HLOOKUP(INDIRECT(ADDRESS(2,COLUMN())),OFFSET($T$2,0,0,ROW()-1,14),ROW()-1,FALSE))</x:f>
        <x:v>-0.851105</x:v>
      </x:c>
      <x:c r="P888">
        <x:f ca="1">IF(AND($B$1012=1,LEN($P$1867)&gt;0),$P$1867,HLOOKUP(INDIRECT(ADDRESS(2,COLUMN())),OFFSET($T$2,0,0,ROW()-1,14),ROW()-1,FALSE))</x:f>
        <x:v>0</x:v>
      </x:c>
      <x:c r="Q888">
        <x:f ca="1">IF(AND($B$1012=1,LEN($Q$1867)&gt;0),$Q$1867,HLOOKUP(INDIRECT(ADDRESS(2,COLUMN())),OFFSET($T$2,0,0,ROW()-1,14),ROW()-1,FALSE))</x:f>
        <x:v>0</x:v>
      </x:c>
      <x:c r="R888">
        <x:f ca="1">IF(AND($B$1012=1,LEN($R$1867)&gt;0),$R$1867,HLOOKUP(INDIRECT(ADDRESS(2,COLUMN())),OFFSET($T$2,0,0,ROW()-1,14),ROW()-1,FALSE))</x:f>
        <x:v>0</x:v>
      </x:c>
      <x:c r="S888">
        <x:f ca="1">IF(AND($B$1012=1,LEN($S$1867)&gt;0),$S$1867,HLOOKUP(INDIRECT(ADDRESS(2,COLUMN())),OFFSET($T$2,0,0,ROW()-1,14),ROW()-1,FALSE))</x:f>
        <x:v>0</x:v>
      </x:c>
      <x:c r="T888">
        <x:f>0</x:f>
        <x:v>0</x:v>
      </x:c>
      <x:c r="U888">
        <x:f>0</x:f>
        <x:v>0</x:v>
      </x:c>
      <x:c r="V888">
        <x:f>0</x:f>
        <x:v>0</x:v>
      </x:c>
      <x:c r="W888">
        <x:f>-0.32598</x:f>
        <x:v>-0.32597999999999999</x:v>
      </x:c>
      <x:c r="X888">
        <x:f>0</x:f>
        <x:v>0</x:v>
      </x:c>
      <x:c r="Y888">
        <x:f>0</x:f>
        <x:v>0</x:v>
      </x:c>
      <x:c r="Z888">
        <x:f>0</x:f>
        <x:v>0</x:v>
      </x:c>
      <x:c r="AA888">
        <x:f>-0.79202</x:f>
        <x:v>-0.79201999999999995</x:v>
      </x:c>
      <x:c r="AB888">
        <x:f>0</x:f>
        <x:v>0</x:v>
      </x:c>
      <x:c r="AC888">
        <x:f>-0.851105</x:f>
        <x:v>-0.851105</x:v>
      </x:c>
      <x:c r="AD888">
        <x:f>0</x:f>
        <x:v>0</x:v>
      </x:c>
      <x:c r="AE888">
        <x:f>0</x:f>
        <x:v>0</x:v>
      </x:c>
      <x:c r="AF888">
        <x:f>0</x:f>
        <x:v>0</x:v>
      </x:c>
      <x:c r="AG888">
        <x:f>0</x:f>
        <x:v>0</x:v>
      </x:c>
    </x:row>
    <x:row r="889" spans="1:33" x14ac:dyDescent="0.25">
      <x:c r="A889" t="str">
        <x:f>"            Pacer Biothreat ETF"</x:f>
        <x:v xml:space="preserve">            Pacer Biothreat ETF</x:v>
      </x:c>
      <x:c r="B889" t="str">
        <x:f>"VIRS US Equity"</x:f>
        <x:v>VIRS US Equity</x:v>
      </x:c>
      <x:c r="E889" t="str">
        <x:f t="shared" si="36"/>
        <x:v>Expression</x:v>
      </x:c>
      <x:c r="F889">
        <x:f ca="1">IF(AND($B$1012=1,LEN($F$1868)&gt;0),$F$1868,HLOOKUP(INDIRECT(ADDRESS(2,COLUMN())),OFFSET($T$2,0,0,ROW()-1,14),ROW()-1,FALSE))</x:f>
        <x:v>0</x:v>
      </x:c>
      <x:c r="G889">
        <x:f ca="1">IF(AND($B$1012=1,LEN($G$1868)&gt;0),$G$1868,HLOOKUP(INDIRECT(ADDRESS(2,COLUMN())),OFFSET($T$2,0,0,ROW()-1,14),ROW()-1,FALSE))</x:f>
        <x:v>0</x:v>
      </x:c>
      <x:c r="H889">
        <x:f ca="1">IF(AND($B$1012=1,LEN($H$1868)&gt;0),$H$1868,HLOOKUP(INDIRECT(ADDRESS(2,COLUMN())),OFFSET($T$2,0,0,ROW()-1,14),ROW()-1,FALSE))</x:f>
        <x:v>0</x:v>
      </x:c>
      <x:c r="I889">
        <x:f ca="1">IF(AND($B$1012=1,LEN($I$1868)&gt;0),$I$1868,HLOOKUP(INDIRECT(ADDRESS(2,COLUMN())),OFFSET($T$2,0,0,ROW()-1,14),ROW()-1,FALSE))</x:f>
        <x:v>0</x:v>
      </x:c>
      <x:c r="J889">
        <x:f ca="1">IF(AND($B$1012=1,LEN($J$1868)&gt;0),$J$1868,HLOOKUP(INDIRECT(ADDRESS(2,COLUMN())),OFFSET($T$2,0,0,ROW()-1,14),ROW()-1,FALSE))</x:f>
        <x:v>0</x:v>
      </x:c>
      <x:c r="K889">
        <x:f ca="1">IF(AND($B$1012=1,LEN($K$1868)&gt;0),$K$1868,HLOOKUP(INDIRECT(ADDRESS(2,COLUMN())),OFFSET($T$2,0,0,ROW()-1,14),ROW()-1,FALSE))</x:f>
        <x:v>3.2469999999999999E-3</x:v>
      </x:c>
      <x:c r="L889">
        <x:f ca="1">IF(AND($B$1012=1,LEN($L$1868)&gt;0),$L$1868,HLOOKUP(INDIRECT(ADDRESS(2,COLUMN())),OFFSET($T$2,0,0,ROW()-1,14),ROW()-1,FALSE))</x:f>
        <x:v>0</x:v>
      </x:c>
      <x:c r="M889">
        <x:f ca="1">IF(AND($B$1012=1,LEN($M$1868)&gt;0),$M$1868,HLOOKUP(INDIRECT(ADDRESS(2,COLUMN())),OFFSET($T$2,0,0,ROW()-1,14),ROW()-1,FALSE))</x:f>
        <x:v>0</x:v>
      </x:c>
      <x:c r="N889">
        <x:f ca="1">IF(AND($B$1012=1,LEN($N$1868)&gt;0),$N$1868,HLOOKUP(INDIRECT(ADDRESS(2,COLUMN())),OFFSET($T$2,0,0,ROW()-1,14),ROW()-1,FALSE))</x:f>
        <x:v>0</x:v>
      </x:c>
      <x:c r="O889">
        <x:f ca="1">IF(AND($B$1012=1,LEN($O$1868)&gt;0),$O$1868,HLOOKUP(INDIRECT(ADDRESS(2,COLUMN())),OFFSET($T$2,0,0,ROW()-1,14),ROW()-1,FALSE))</x:f>
        <x:v>0</x:v>
      </x:c>
      <x:c r="P889">
        <x:f ca="1">IF(AND($B$1012=1,LEN($P$1868)&gt;0),$P$1868,HLOOKUP(INDIRECT(ADDRESS(2,COLUMN())),OFFSET($T$2,0,0,ROW()-1,14),ROW()-1,FALSE))</x:f>
        <x:v>0</x:v>
      </x:c>
      <x:c r="Q889">
        <x:f ca="1">IF(AND($B$1012=1,LEN($Q$1868)&gt;0),$Q$1868,HLOOKUP(INDIRECT(ADDRESS(2,COLUMN())),OFFSET($T$2,0,0,ROW()-1,14),ROW()-1,FALSE))</x:f>
        <x:v>-0.74356500000000003</x:v>
      </x:c>
      <x:c r="R889">
        <x:f ca="1">IF(AND($B$1012=1,LEN($R$1868)&gt;0),$R$1868,HLOOKUP(INDIRECT(ADDRESS(2,COLUMN())),OFFSET($T$2,0,0,ROW()-1,14),ROW()-1,FALSE))</x:f>
        <x:v>0</x:v>
      </x:c>
      <x:c r="S889">
        <x:f ca="1">IF(AND($B$1012=1,LEN($S$1868)&gt;0),$S$1868,HLOOKUP(INDIRECT(ADDRESS(2,COLUMN())),OFFSET($T$2,0,0,ROW()-1,14),ROW()-1,FALSE))</x:f>
        <x:v>0</x:v>
      </x:c>
      <x:c r="T889">
        <x:f>0</x:f>
        <x:v>0</x:v>
      </x:c>
      <x:c r="U889">
        <x:f>0</x:f>
        <x:v>0</x:v>
      </x:c>
      <x:c r="V889">
        <x:f>0</x:f>
        <x:v>0</x:v>
      </x:c>
      <x:c r="W889">
        <x:f>0</x:f>
        <x:v>0</x:v>
      </x:c>
      <x:c r="X889">
        <x:f>0</x:f>
        <x:v>0</x:v>
      </x:c>
      <x:c r="Y889">
        <x:f>0.003247</x:f>
        <x:v>3.2469999999999999E-3</x:v>
      </x:c>
      <x:c r="Z889">
        <x:f>0</x:f>
        <x:v>0</x:v>
      </x:c>
      <x:c r="AA889">
        <x:f>0</x:f>
        <x:v>0</x:v>
      </x:c>
      <x:c r="AB889">
        <x:f>0</x:f>
        <x:v>0</x:v>
      </x:c>
      <x:c r="AC889">
        <x:f>0</x:f>
        <x:v>0</x:v>
      </x:c>
      <x:c r="AD889">
        <x:f>0</x:f>
        <x:v>0</x:v>
      </x:c>
      <x:c r="AE889">
        <x:f>-0.743565</x:f>
        <x:v>-0.74356500000000003</x:v>
      </x:c>
      <x:c r="AF889">
        <x:f>0</x:f>
        <x:v>0</x:v>
      </x:c>
      <x:c r="AG889">
        <x:f>0</x:f>
        <x:v>0</x:v>
      </x:c>
    </x:row>
    <x:row r="890" spans="1:33" x14ac:dyDescent="0.25">
      <x:c r="A890" t="str">
        <x:f>"            Global X Education ETF"</x:f>
        <x:v xml:space="preserve">            Global X Education ETF</x:v>
      </x:c>
      <x:c r="B890" t="str">
        <x:f>"EDUT US Equity"</x:f>
        <x:v>EDUT US Equity</x:v>
      </x:c>
      <x:c r="E890" t="str">
        <x:f t="shared" si="36"/>
        <x:v>Expression</x:v>
      </x:c>
      <x:c r="F890">
        <x:f ca="1">IF(AND($B$1012=1,LEN($F$1869)&gt;0),$F$1869,HLOOKUP(INDIRECT(ADDRESS(2,COLUMN())),OFFSET($T$2,0,0,ROW()-1,14),ROW()-1,FALSE))</x:f>
        <x:v>0</x:v>
      </x:c>
      <x:c r="G890">
        <x:f ca="1">IF(AND($B$1012=1,LEN($G$1869)&gt;0),$G$1869,HLOOKUP(INDIRECT(ADDRESS(2,COLUMN())),OFFSET($T$2,0,0,ROW()-1,14),ROW()-1,FALSE))</x:f>
        <x:v>0</x:v>
      </x:c>
      <x:c r="H890">
        <x:f ca="1">IF(AND($B$1012=1,LEN($H$1869)&gt;0),$H$1869,HLOOKUP(INDIRECT(ADDRESS(2,COLUMN())),OFFSET($T$2,0,0,ROW()-1,14),ROW()-1,FALSE))</x:f>
        <x:v>0</x:v>
      </x:c>
      <x:c r="I890">
        <x:f ca="1">IF(AND($B$1012=1,LEN($I$1869)&gt;0),$I$1869,HLOOKUP(INDIRECT(ADDRESS(2,COLUMN())),OFFSET($T$2,0,0,ROW()-1,14),ROW()-1,FALSE))</x:f>
        <x:v>-0.21390000000000001</x:v>
      </x:c>
      <x:c r="J890">
        <x:f ca="1">IF(AND($B$1012=1,LEN($J$1869)&gt;0),$J$1869,HLOOKUP(INDIRECT(ADDRESS(2,COLUMN())),OFFSET($T$2,0,0,ROW()-1,14),ROW()-1,FALSE))</x:f>
        <x:v>0</x:v>
      </x:c>
      <x:c r="K890">
        <x:f ca="1">IF(AND($B$1012=1,LEN($K$1869)&gt;0),$K$1869,HLOOKUP(INDIRECT(ADDRESS(2,COLUMN())),OFFSET($T$2,0,0,ROW()-1,14),ROW()-1,FALSE))</x:f>
        <x:v>0</x:v>
      </x:c>
      <x:c r="L890">
        <x:f ca="1">IF(AND($B$1012=1,LEN($L$1869)&gt;0),$L$1869,HLOOKUP(INDIRECT(ADDRESS(2,COLUMN())),OFFSET($T$2,0,0,ROW()-1,14),ROW()-1,FALSE))</x:f>
        <x:v>-0.193</x:v>
      </x:c>
      <x:c r="M890">
        <x:f ca="1">IF(AND($B$1012=1,LEN($M$1869)&gt;0),$M$1869,HLOOKUP(INDIRECT(ADDRESS(2,COLUMN())),OFFSET($T$2,0,0,ROW()-1,14),ROW()-1,FALSE))</x:f>
        <x:v>0</x:v>
      </x:c>
      <x:c r="N890">
        <x:f ca="1">IF(AND($B$1012=1,LEN($N$1869)&gt;0),$N$1869,HLOOKUP(INDIRECT(ADDRESS(2,COLUMN())),OFFSET($T$2,0,0,ROW()-1,14),ROW()-1,FALSE))</x:f>
        <x:v>0</x:v>
      </x:c>
      <x:c r="O890">
        <x:f ca="1">IF(AND($B$1012=1,LEN($O$1869)&gt;0),$O$1869,HLOOKUP(INDIRECT(ADDRESS(2,COLUMN())),OFFSET($T$2,0,0,ROW()-1,14),ROW()-1,FALSE))</x:f>
        <x:v>0</x:v>
      </x:c>
      <x:c r="P890">
        <x:f ca="1">IF(AND($B$1012=1,LEN($P$1869)&gt;0),$P$1869,HLOOKUP(INDIRECT(ADDRESS(2,COLUMN())),OFFSET($T$2,0,0,ROW()-1,14),ROW()-1,FALSE))</x:f>
        <x:v>-3.447E-3</x:v>
      </x:c>
      <x:c r="Q890">
        <x:f ca="1">IF(AND($B$1012=1,LEN($Q$1869)&gt;0),$Q$1869,HLOOKUP(INDIRECT(ADDRESS(2,COLUMN())),OFFSET($T$2,0,0,ROW()-1,14),ROW()-1,FALSE))</x:f>
        <x:v>3.0000000000000001E-6</x:v>
      </x:c>
      <x:c r="R890">
        <x:f ca="1">IF(AND($B$1012=1,LEN($R$1869)&gt;0),$R$1869,HLOOKUP(INDIRECT(ADDRESS(2,COLUMN())),OFFSET($T$2,0,0,ROW()-1,14),ROW()-1,FALSE))</x:f>
        <x:v>0</x:v>
      </x:c>
      <x:c r="S890">
        <x:f ca="1">IF(AND($B$1012=1,LEN($S$1869)&gt;0),$S$1869,HLOOKUP(INDIRECT(ADDRESS(2,COLUMN())),OFFSET($T$2,0,0,ROW()-1,14),ROW()-1,FALSE))</x:f>
        <x:v>0</x:v>
      </x:c>
      <x:c r="T890">
        <x:f>0</x:f>
        <x:v>0</x:v>
      </x:c>
      <x:c r="U890">
        <x:f>0</x:f>
        <x:v>0</x:v>
      </x:c>
      <x:c r="V890">
        <x:f>0</x:f>
        <x:v>0</x:v>
      </x:c>
      <x:c r="W890">
        <x:f>-0.2139</x:f>
        <x:v>-0.21390000000000001</x:v>
      </x:c>
      <x:c r="X890">
        <x:f>0</x:f>
        <x:v>0</x:v>
      </x:c>
      <x:c r="Y890">
        <x:f>0</x:f>
        <x:v>0</x:v>
      </x:c>
      <x:c r="Z890">
        <x:f>-0.193</x:f>
        <x:v>-0.193</x:v>
      </x:c>
      <x:c r="AA890">
        <x:f>0</x:f>
        <x:v>0</x:v>
      </x:c>
      <x:c r="AB890">
        <x:f>0</x:f>
        <x:v>0</x:v>
      </x:c>
      <x:c r="AC890">
        <x:f>0</x:f>
        <x:v>0</x:v>
      </x:c>
      <x:c r="AD890">
        <x:f>-0.003447</x:f>
        <x:v>-3.447E-3</x:v>
      </x:c>
      <x:c r="AE890">
        <x:f>0.000003</x:f>
        <x:v>3.0000000000000001E-6</x:v>
      </x:c>
      <x:c r="AF890">
        <x:f>0</x:f>
        <x:v>0</x:v>
      </x:c>
      <x:c r="AG890">
        <x:f>0</x:f>
        <x:v>0</x:v>
      </x:c>
    </x:row>
    <x:row r="891" spans="1:33" x14ac:dyDescent="0.25">
      <x:c r="A891" t="str">
        <x:f>"            Emles Made in America ETF"</x:f>
        <x:v xml:space="preserve">            Emles Made in America ETF</x:v>
      </x:c>
      <x:c r="B891" t="str">
        <x:f>"AMER US Equity"</x:f>
        <x:v>AMER US Equity</x:v>
      </x:c>
      <x:c r="E891" t="str">
        <x:f t="shared" si="36"/>
        <x:v>Expression</x:v>
      </x:c>
      <x:c r="F891" t="str">
        <x:f ca="1">IF(AND($B$1012=1,LEN($F$1870)&gt;0),$F$1870,HLOOKUP(INDIRECT(ADDRESS(2,COLUMN())),OFFSET($T$2,0,0,ROW()-1,14),ROW()-1,FALSE))</x:f>
        <x:v/>
      </x:c>
      <x:c r="G891" t="str">
        <x:f ca="1">IF(AND($B$1012=1,LEN($G$1870)&gt;0),$G$1870,HLOOKUP(INDIRECT(ADDRESS(2,COLUMN())),OFFSET($T$2,0,0,ROW()-1,14),ROW()-1,FALSE))</x:f>
        <x:v/>
      </x:c>
      <x:c r="H891" t="str">
        <x:f ca="1">IF(AND($B$1012=1,LEN($H$1870)&gt;0),$H$1870,HLOOKUP(INDIRECT(ADDRESS(2,COLUMN())),OFFSET($T$2,0,0,ROW()-1,14),ROW()-1,FALSE))</x:f>
        <x:v/>
      </x:c>
      <x:c r="I891" t="str">
        <x:f ca="1">IF(AND($B$1012=1,LEN($I$1870)&gt;0),$I$1870,HLOOKUP(INDIRECT(ADDRESS(2,COLUMN())),OFFSET($T$2,0,0,ROW()-1,14),ROW()-1,FALSE))</x:f>
        <x:v/>
      </x:c>
      <x:c r="J891" t="str">
        <x:f ca="1">IF(AND($B$1012=1,LEN($J$1870)&gt;0),$J$1870,HLOOKUP(INDIRECT(ADDRESS(2,COLUMN())),OFFSET($T$2,0,0,ROW()-1,14),ROW()-1,FALSE))</x:f>
        <x:v/>
      </x:c>
      <x:c r="K891" t="str">
        <x:f ca="1">IF(AND($B$1012=1,LEN($K$1870)&gt;0),$K$1870,HLOOKUP(INDIRECT(ADDRESS(2,COLUMN())),OFFSET($T$2,0,0,ROW()-1,14),ROW()-1,FALSE))</x:f>
        <x:v/>
      </x:c>
      <x:c r="L891" t="str">
        <x:f ca="1">IF(AND($B$1012=1,LEN($L$1870)&gt;0),$L$1870,HLOOKUP(INDIRECT(ADDRESS(2,COLUMN())),OFFSET($T$2,0,0,ROW()-1,14),ROW()-1,FALSE))</x:f>
        <x:v/>
      </x:c>
      <x:c r="M891" t="str">
        <x:f ca="1">IF(AND($B$1012=1,LEN($M$1870)&gt;0),$M$1870,HLOOKUP(INDIRECT(ADDRESS(2,COLUMN())),OFFSET($T$2,0,0,ROW()-1,14),ROW()-1,FALSE))</x:f>
        <x:v/>
      </x:c>
      <x:c r="N891" t="str">
        <x:f ca="1">IF(AND($B$1012=1,LEN($N$1870)&gt;0),$N$1870,HLOOKUP(INDIRECT(ADDRESS(2,COLUMN())),OFFSET($T$2,0,0,ROW()-1,14),ROW()-1,FALSE))</x:f>
        <x:v/>
      </x:c>
      <x:c r="O891" t="str">
        <x:f ca="1">IF(AND($B$1012=1,LEN($O$1870)&gt;0),$O$1870,HLOOKUP(INDIRECT(ADDRESS(2,COLUMN())),OFFSET($T$2,0,0,ROW()-1,14),ROW()-1,FALSE))</x:f>
        <x:v/>
      </x:c>
      <x:c r="P891" t="str">
        <x:f ca="1">IF(AND($B$1012=1,LEN($P$1870)&gt;0),$P$1870,HLOOKUP(INDIRECT(ADDRESS(2,COLUMN())),OFFSET($T$2,0,0,ROW()-1,14),ROW()-1,FALSE))</x:f>
        <x:v/>
      </x:c>
      <x:c r="Q891" t="str">
        <x:f ca="1">IF(AND($B$1012=1,LEN($Q$1870)&gt;0),$Q$1870,HLOOKUP(INDIRECT(ADDRESS(2,COLUMN())),OFFSET($T$2,0,0,ROW()-1,14),ROW()-1,FALSE))</x:f>
        <x:v/>
      </x:c>
      <x:c r="R891" t="str">
        <x:f ca="1">IF(AND($B$1012=1,LEN($R$1870)&gt;0),$R$1870,HLOOKUP(INDIRECT(ADDRESS(2,COLUMN())),OFFSET($T$2,0,0,ROW()-1,14),ROW()-1,FALSE))</x:f>
        <x:v/>
      </x:c>
      <x:c r="S891">
        <x:f ca="1">IF(AND($B$1012=1,LEN($S$1870)&gt;0),$S$1870,HLOOKUP(INDIRECT(ADDRESS(2,COLUMN())),OFFSET($T$2,0,0,ROW()-1,14),ROW()-1,FALSE))</x:f>
        <x:v>-3.7229999999999999E-2</x:v>
      </x:c>
      <x:c r="T891" t="str">
        <x:f>""</x:f>
        <x:v/>
      </x:c>
      <x:c r="U891" t="str">
        <x:f>""</x:f>
        <x:v/>
      </x:c>
      <x:c r="V891" t="str">
        <x:f>""</x:f>
        <x:v/>
      </x:c>
      <x:c r="W891" t="str">
        <x:f>""</x:f>
        <x:v/>
      </x:c>
      <x:c r="X891" t="str">
        <x:f>""</x:f>
        <x:v/>
      </x:c>
      <x:c r="Y891" t="str">
        <x:f>""</x:f>
        <x:v/>
      </x:c>
      <x:c r="Z891" t="str">
        <x:f>""</x:f>
        <x:v/>
      </x:c>
      <x:c r="AA891" t="str">
        <x:f>""</x:f>
        <x:v/>
      </x:c>
      <x:c r="AB891" t="str">
        <x:f>""</x:f>
        <x:v/>
      </x:c>
      <x:c r="AC891" t="str">
        <x:f>""</x:f>
        <x:v/>
      </x:c>
      <x:c r="AD891" t="str">
        <x:f>""</x:f>
        <x:v/>
      </x:c>
      <x:c r="AE891" t="str">
        <x:f>""</x:f>
        <x:v/>
      </x:c>
      <x:c r="AF891" t="str">
        <x:f>""</x:f>
        <x:v/>
      </x:c>
      <x:c r="AG891">
        <x:f>-0.03723</x:f>
        <x:v>-3.7229999999999999E-2</x:v>
      </x:c>
    </x:row>
    <x:row r="892" spans="1:33" x14ac:dyDescent="0.25">
      <x:c r="A892" t="str">
        <x:f>"            Emles Federal Contractors ETF"</x:f>
        <x:v xml:space="preserve">            Emles Federal Contractors ETF</x:v>
      </x:c>
      <x:c r="B892" t="str">
        <x:f>"FEDX US Equity"</x:f>
        <x:v>FEDX US Equity</x:v>
      </x:c>
      <x:c r="E892" t="str">
        <x:f t="shared" si="36"/>
        <x:v>Expression</x:v>
      </x:c>
      <x:c r="F892" t="str">
        <x:f ca="1">IF(AND($B$1012=1,LEN($F$1871)&gt;0),$F$1871,HLOOKUP(INDIRECT(ADDRESS(2,COLUMN())),OFFSET($T$2,0,0,ROW()-1,14),ROW()-1,FALSE))</x:f>
        <x:v/>
      </x:c>
      <x:c r="G892" t="str">
        <x:f ca="1">IF(AND($B$1012=1,LEN($G$1871)&gt;0),$G$1871,HLOOKUP(INDIRECT(ADDRESS(2,COLUMN())),OFFSET($T$2,0,0,ROW()-1,14),ROW()-1,FALSE))</x:f>
        <x:v/>
      </x:c>
      <x:c r="H892" t="str">
        <x:f ca="1">IF(AND($B$1012=1,LEN($H$1871)&gt;0),$H$1871,HLOOKUP(INDIRECT(ADDRESS(2,COLUMN())),OFFSET($T$2,0,0,ROW()-1,14),ROW()-1,FALSE))</x:f>
        <x:v/>
      </x:c>
      <x:c r="I892" t="str">
        <x:f ca="1">IF(AND($B$1012=1,LEN($I$1871)&gt;0),$I$1871,HLOOKUP(INDIRECT(ADDRESS(2,COLUMN())),OFFSET($T$2,0,0,ROW()-1,14),ROW()-1,FALSE))</x:f>
        <x:v/>
      </x:c>
      <x:c r="J892" t="str">
        <x:f ca="1">IF(AND($B$1012=1,LEN($J$1871)&gt;0),$J$1871,HLOOKUP(INDIRECT(ADDRESS(2,COLUMN())),OFFSET($T$2,0,0,ROW()-1,14),ROW()-1,FALSE))</x:f>
        <x:v/>
      </x:c>
      <x:c r="K892" t="str">
        <x:f ca="1">IF(AND($B$1012=1,LEN($K$1871)&gt;0),$K$1871,HLOOKUP(INDIRECT(ADDRESS(2,COLUMN())),OFFSET($T$2,0,0,ROW()-1,14),ROW()-1,FALSE))</x:f>
        <x:v/>
      </x:c>
      <x:c r="L892" t="str">
        <x:f ca="1">IF(AND($B$1012=1,LEN($L$1871)&gt;0),$L$1871,HLOOKUP(INDIRECT(ADDRESS(2,COLUMN())),OFFSET($T$2,0,0,ROW()-1,14),ROW()-1,FALSE))</x:f>
        <x:v/>
      </x:c>
      <x:c r="M892" t="str">
        <x:f ca="1">IF(AND($B$1012=1,LEN($M$1871)&gt;0),$M$1871,HLOOKUP(INDIRECT(ADDRESS(2,COLUMN())),OFFSET($T$2,0,0,ROW()-1,14),ROW()-1,FALSE))</x:f>
        <x:v/>
      </x:c>
      <x:c r="N892" t="str">
        <x:f ca="1">IF(AND($B$1012=1,LEN($N$1871)&gt;0),$N$1871,HLOOKUP(INDIRECT(ADDRESS(2,COLUMN())),OFFSET($T$2,0,0,ROW()-1,14),ROW()-1,FALSE))</x:f>
        <x:v/>
      </x:c>
      <x:c r="O892" t="str">
        <x:f ca="1">IF(AND($B$1012=1,LEN($O$1871)&gt;0),$O$1871,HLOOKUP(INDIRECT(ADDRESS(2,COLUMN())),OFFSET($T$2,0,0,ROW()-1,14),ROW()-1,FALSE))</x:f>
        <x:v/>
      </x:c>
      <x:c r="P892" t="str">
        <x:f ca="1">IF(AND($B$1012=1,LEN($P$1871)&gt;0),$P$1871,HLOOKUP(INDIRECT(ADDRESS(2,COLUMN())),OFFSET($T$2,0,0,ROW()-1,14),ROW()-1,FALSE))</x:f>
        <x:v/>
      </x:c>
      <x:c r="Q892" t="str">
        <x:f ca="1">IF(AND($B$1012=1,LEN($Q$1871)&gt;0),$Q$1871,HLOOKUP(INDIRECT(ADDRESS(2,COLUMN())),OFFSET($T$2,0,0,ROW()-1,14),ROW()-1,FALSE))</x:f>
        <x:v/>
      </x:c>
      <x:c r="R892" t="str">
        <x:f ca="1">IF(AND($B$1012=1,LEN($R$1871)&gt;0),$R$1871,HLOOKUP(INDIRECT(ADDRESS(2,COLUMN())),OFFSET($T$2,0,0,ROW()-1,14),ROW()-1,FALSE))</x:f>
        <x:v/>
      </x:c>
      <x:c r="S892">
        <x:f ca="1">IF(AND($B$1012=1,LEN($S$1871)&gt;0),$S$1871,HLOOKUP(INDIRECT(ADDRESS(2,COLUMN())),OFFSET($T$2,0,0,ROW()-1,14),ROW()-1,FALSE))</x:f>
        <x:v>-1.2522949999999999</x:v>
      </x:c>
      <x:c r="T892" t="str">
        <x:f>""</x:f>
        <x:v/>
      </x:c>
      <x:c r="U892" t="str">
        <x:f>""</x:f>
        <x:v/>
      </x:c>
      <x:c r="V892" t="str">
        <x:f>""</x:f>
        <x:v/>
      </x:c>
      <x:c r="W892" t="str">
        <x:f>""</x:f>
        <x:v/>
      </x:c>
      <x:c r="X892" t="str">
        <x:f>""</x:f>
        <x:v/>
      </x:c>
      <x:c r="Y892" t="str">
        <x:f>""</x:f>
        <x:v/>
      </x:c>
      <x:c r="Z892" t="str">
        <x:f>""</x:f>
        <x:v/>
      </x:c>
      <x:c r="AA892" t="str">
        <x:f>""</x:f>
        <x:v/>
      </x:c>
      <x:c r="AB892" t="str">
        <x:f>""</x:f>
        <x:v/>
      </x:c>
      <x:c r="AC892" t="str">
        <x:f>""</x:f>
        <x:v/>
      </x:c>
      <x:c r="AD892" t="str">
        <x:f>""</x:f>
        <x:v/>
      </x:c>
      <x:c r="AE892" t="str">
        <x:f>""</x:f>
        <x:v/>
      </x:c>
      <x:c r="AF892" t="str">
        <x:f>""</x:f>
        <x:v/>
      </x:c>
      <x:c r="AG892">
        <x:f>-1.252295</x:f>
        <x:v>-1.2522949999999999</x:v>
      </x:c>
    </x:row>
    <x:row r="893" spans="1:33" x14ac:dyDescent="0.25">
      <x:c r="A893" t="str">
        <x:f>"            Simplify Volt Pop Culture Disr"</x:f>
        <x:v xml:space="preserve">            Simplify Volt Pop Culture Disr</x:v>
      </x:c>
      <x:c r="B893" t="str">
        <x:f>"VPOP US Equity"</x:f>
        <x:v>VPOP US Equity</x:v>
      </x:c>
      <x:c r="E893" t="str">
        <x:f t="shared" si="36"/>
        <x:v>Expression</x:v>
      </x:c>
      <x:c r="F893" t="str">
        <x:f ca="1">IF(AND($B$1012=1,LEN($F$1872)&gt;0),$F$1872,HLOOKUP(INDIRECT(ADDRESS(2,COLUMN())),OFFSET($T$2,0,0,ROW()-1,14),ROW()-1,FALSE))</x:f>
        <x:v/>
      </x:c>
      <x:c r="G893" t="str">
        <x:f ca="1">IF(AND($B$1012=1,LEN($G$1872)&gt;0),$G$1872,HLOOKUP(INDIRECT(ADDRESS(2,COLUMN())),OFFSET($T$2,0,0,ROW()-1,14),ROW()-1,FALSE))</x:f>
        <x:v/>
      </x:c>
      <x:c r="H893" t="str">
        <x:f ca="1">IF(AND($B$1012=1,LEN($H$1872)&gt;0),$H$1872,HLOOKUP(INDIRECT(ADDRESS(2,COLUMN())),OFFSET($T$2,0,0,ROW()-1,14),ROW()-1,FALSE))</x:f>
        <x:v/>
      </x:c>
      <x:c r="I893" t="str">
        <x:f ca="1">IF(AND($B$1012=1,LEN($I$1872)&gt;0),$I$1872,HLOOKUP(INDIRECT(ADDRESS(2,COLUMN())),OFFSET($T$2,0,0,ROW()-1,14),ROW()-1,FALSE))</x:f>
        <x:v/>
      </x:c>
      <x:c r="J893" t="str">
        <x:f ca="1">IF(AND($B$1012=1,LEN($J$1872)&gt;0),$J$1872,HLOOKUP(INDIRECT(ADDRESS(2,COLUMN())),OFFSET($T$2,0,0,ROW()-1,14),ROW()-1,FALSE))</x:f>
        <x:v/>
      </x:c>
      <x:c r="K893" t="str">
        <x:f ca="1">IF(AND($B$1012=1,LEN($K$1872)&gt;0),$K$1872,HLOOKUP(INDIRECT(ADDRESS(2,COLUMN())),OFFSET($T$2,0,0,ROW()-1,14),ROW()-1,FALSE))</x:f>
        <x:v/>
      </x:c>
      <x:c r="L893" t="str">
        <x:f ca="1">IF(AND($B$1012=1,LEN($L$1872)&gt;0),$L$1872,HLOOKUP(INDIRECT(ADDRESS(2,COLUMN())),OFFSET($T$2,0,0,ROW()-1,14),ROW()-1,FALSE))</x:f>
        <x:v/>
      </x:c>
      <x:c r="M893" t="str">
        <x:f ca="1">IF(AND($B$1012=1,LEN($M$1872)&gt;0),$M$1872,HLOOKUP(INDIRECT(ADDRESS(2,COLUMN())),OFFSET($T$2,0,0,ROW()-1,14),ROW()-1,FALSE))</x:f>
        <x:v/>
      </x:c>
      <x:c r="N893" t="str">
        <x:f ca="1">IF(AND($B$1012=1,LEN($N$1872)&gt;0),$N$1872,HLOOKUP(INDIRECT(ADDRESS(2,COLUMN())),OFFSET($T$2,0,0,ROW()-1,14),ROW()-1,FALSE))</x:f>
        <x:v/>
      </x:c>
      <x:c r="O893" t="str">
        <x:f ca="1">IF(AND($B$1012=1,LEN($O$1872)&gt;0),$O$1872,HLOOKUP(INDIRECT(ADDRESS(2,COLUMN())),OFFSET($T$2,0,0,ROW()-1,14),ROW()-1,FALSE))</x:f>
        <x:v/>
      </x:c>
      <x:c r="P893" t="str">
        <x:f ca="1">IF(AND($B$1012=1,LEN($P$1872)&gt;0),$P$1872,HLOOKUP(INDIRECT(ADDRESS(2,COLUMN())),OFFSET($T$2,0,0,ROW()-1,14),ROW()-1,FALSE))</x:f>
        <x:v/>
      </x:c>
      <x:c r="Q893" t="str">
        <x:f ca="1">IF(AND($B$1012=1,LEN($Q$1872)&gt;0),$Q$1872,HLOOKUP(INDIRECT(ADDRESS(2,COLUMN())),OFFSET($T$2,0,0,ROW()-1,14),ROW()-1,FALSE))</x:f>
        <x:v/>
      </x:c>
      <x:c r="R893" t="str">
        <x:f ca="1">IF(AND($B$1012=1,LEN($R$1872)&gt;0),$R$1872,HLOOKUP(INDIRECT(ADDRESS(2,COLUMN())),OFFSET($T$2,0,0,ROW()-1,14),ROW()-1,FALSE))</x:f>
        <x:v/>
      </x:c>
      <x:c r="S893" t="str">
        <x:f ca="1">IF(AND($B$1012=1,LEN($S$1872)&gt;0),$S$1872,HLOOKUP(INDIRECT(ADDRESS(2,COLUMN())),OFFSET($T$2,0,0,ROW()-1,14),ROW()-1,FALSE))</x:f>
        <x:v/>
      </x:c>
      <x:c r="T893" t="str">
        <x:f>""</x:f>
        <x:v/>
      </x:c>
      <x:c r="U893" t="str">
        <x:f>""</x:f>
        <x:v/>
      </x:c>
      <x:c r="V893" t="str">
        <x:f>""</x:f>
        <x:v/>
      </x:c>
      <x:c r="W893" t="str">
        <x:f>""</x:f>
        <x:v/>
      </x:c>
      <x:c r="X893" t="str">
        <x:f>""</x:f>
        <x:v/>
      </x:c>
      <x:c r="Y893" t="str">
        <x:f>""</x:f>
        <x:v/>
      </x:c>
      <x:c r="Z893" t="str">
        <x:f>""</x:f>
        <x:v/>
      </x:c>
      <x:c r="AA893" t="str">
        <x:f>""</x:f>
        <x:v/>
      </x:c>
      <x:c r="AB893" t="str">
        <x:f>""</x:f>
        <x:v/>
      </x:c>
      <x:c r="AC893" t="str">
        <x:f>""</x:f>
        <x:v/>
      </x:c>
      <x:c r="AD893" t="str">
        <x:f>""</x:f>
        <x:v/>
      </x:c>
      <x:c r="AE893" t="str">
        <x:f>""</x:f>
        <x:v/>
      </x:c>
      <x:c r="AF893" t="str">
        <x:f>""</x:f>
        <x:v/>
      </x:c>
      <x:c r="AG893" t="str">
        <x:f>""</x:f>
        <x:v/>
      </x:c>
    </x:row>
    <x:row r="894" spans="1:33" x14ac:dyDescent="0.25">
      <x:c r="A894" t="str">
        <x:f>"            Roundhill Pro Sports Media &amp; A"</x:f>
        <x:v xml:space="preserve">            Roundhill Pro Sports Media &amp; A</x:v>
      </x:c>
      <x:c r="B894" t="str">
        <x:f>"MVP US Equity"</x:f>
        <x:v>MVP US Equity</x:v>
      </x:c>
      <x:c r="E894" t="str">
        <x:f t="shared" si="36"/>
        <x:v>Expression</x:v>
      </x:c>
      <x:c r="F894" t="str">
        <x:f ca="1">IF(AND($B$1012=1,LEN($F$1873)&gt;0),$F$1873,HLOOKUP(INDIRECT(ADDRESS(2,COLUMN())),OFFSET($T$2,0,0,ROW()-1,14),ROW()-1,FALSE))</x:f>
        <x:v/>
      </x:c>
      <x:c r="G894" t="str">
        <x:f ca="1">IF(AND($B$1012=1,LEN($G$1873)&gt;0),$G$1873,HLOOKUP(INDIRECT(ADDRESS(2,COLUMN())),OFFSET($T$2,0,0,ROW()-1,14),ROW()-1,FALSE))</x:f>
        <x:v/>
      </x:c>
      <x:c r="H894" t="str">
        <x:f ca="1">IF(AND($B$1012=1,LEN($H$1873)&gt;0),$H$1873,HLOOKUP(INDIRECT(ADDRESS(2,COLUMN())),OFFSET($T$2,0,0,ROW()-1,14),ROW()-1,FALSE))</x:f>
        <x:v/>
      </x:c>
      <x:c r="I894" t="str">
        <x:f ca="1">IF(AND($B$1012=1,LEN($I$1873)&gt;0),$I$1873,HLOOKUP(INDIRECT(ADDRESS(2,COLUMN())),OFFSET($T$2,0,0,ROW()-1,14),ROW()-1,FALSE))</x:f>
        <x:v/>
      </x:c>
      <x:c r="J894" t="str">
        <x:f ca="1">IF(AND($B$1012=1,LEN($J$1873)&gt;0),$J$1873,HLOOKUP(INDIRECT(ADDRESS(2,COLUMN())),OFFSET($T$2,0,0,ROW()-1,14),ROW()-1,FALSE))</x:f>
        <x:v/>
      </x:c>
      <x:c r="K894" t="str">
        <x:f ca="1">IF(AND($B$1012=1,LEN($K$1873)&gt;0),$K$1873,HLOOKUP(INDIRECT(ADDRESS(2,COLUMN())),OFFSET($T$2,0,0,ROW()-1,14),ROW()-1,FALSE))</x:f>
        <x:v/>
      </x:c>
      <x:c r="L894" t="str">
        <x:f ca="1">IF(AND($B$1012=1,LEN($L$1873)&gt;0),$L$1873,HLOOKUP(INDIRECT(ADDRESS(2,COLUMN())),OFFSET($T$2,0,0,ROW()-1,14),ROW()-1,FALSE))</x:f>
        <x:v/>
      </x:c>
      <x:c r="M894" t="str">
        <x:f ca="1">IF(AND($B$1012=1,LEN($M$1873)&gt;0),$M$1873,HLOOKUP(INDIRECT(ADDRESS(2,COLUMN())),OFFSET($T$2,0,0,ROW()-1,14),ROW()-1,FALSE))</x:f>
        <x:v/>
      </x:c>
      <x:c r="N894" t="str">
        <x:f ca="1">IF(AND($B$1012=1,LEN($N$1873)&gt;0),$N$1873,HLOOKUP(INDIRECT(ADDRESS(2,COLUMN())),OFFSET($T$2,0,0,ROW()-1,14),ROW()-1,FALSE))</x:f>
        <x:v/>
      </x:c>
      <x:c r="O894" t="str">
        <x:f ca="1">IF(AND($B$1012=1,LEN($O$1873)&gt;0),$O$1873,HLOOKUP(INDIRECT(ADDRESS(2,COLUMN())),OFFSET($T$2,0,0,ROW()-1,14),ROW()-1,FALSE))</x:f>
        <x:v/>
      </x:c>
      <x:c r="P894" t="str">
        <x:f ca="1">IF(AND($B$1012=1,LEN($P$1873)&gt;0),$P$1873,HLOOKUP(INDIRECT(ADDRESS(2,COLUMN())),OFFSET($T$2,0,0,ROW()-1,14),ROW()-1,FALSE))</x:f>
        <x:v/>
      </x:c>
      <x:c r="Q894" t="str">
        <x:f ca="1">IF(AND($B$1012=1,LEN($Q$1873)&gt;0),$Q$1873,HLOOKUP(INDIRECT(ADDRESS(2,COLUMN())),OFFSET($T$2,0,0,ROW()-1,14),ROW()-1,FALSE))</x:f>
        <x:v/>
      </x:c>
      <x:c r="R894" t="str">
        <x:f ca="1">IF(AND($B$1012=1,LEN($R$1873)&gt;0),$R$1873,HLOOKUP(INDIRECT(ADDRESS(2,COLUMN())),OFFSET($T$2,0,0,ROW()-1,14),ROW()-1,FALSE))</x:f>
        <x:v/>
      </x:c>
      <x:c r="S894" t="str">
        <x:f ca="1">IF(AND($B$1012=1,LEN($S$1873)&gt;0),$S$1873,HLOOKUP(INDIRECT(ADDRESS(2,COLUMN())),OFFSET($T$2,0,0,ROW()-1,14),ROW()-1,FALSE))</x:f>
        <x:v/>
      </x:c>
      <x:c r="T894" t="str">
        <x:f>""</x:f>
        <x:v/>
      </x:c>
      <x:c r="U894" t="str">
        <x:f>""</x:f>
        <x:v/>
      </x:c>
      <x:c r="V894" t="str">
        <x:f>""</x:f>
        <x:v/>
      </x:c>
      <x:c r="W894" t="str">
        <x:f>""</x:f>
        <x:v/>
      </x:c>
      <x:c r="X894" t="str">
        <x:f>""</x:f>
        <x:v/>
      </x:c>
      <x:c r="Y894" t="str">
        <x:f>""</x:f>
        <x:v/>
      </x:c>
      <x:c r="Z894" t="str">
        <x:f>""</x:f>
        <x:v/>
      </x:c>
      <x:c r="AA894" t="str">
        <x:f>""</x:f>
        <x:v/>
      </x:c>
      <x:c r="AB894" t="str">
        <x:f>""</x:f>
        <x:v/>
      </x:c>
      <x:c r="AC894" t="str">
        <x:f>""</x:f>
        <x:v/>
      </x:c>
      <x:c r="AD894" t="str">
        <x:f>""</x:f>
        <x:v/>
      </x:c>
      <x:c r="AE894" t="str">
        <x:f>""</x:f>
        <x:v/>
      </x:c>
      <x:c r="AF894" t="str">
        <x:f>""</x:f>
        <x:v/>
      </x:c>
      <x:c r="AG894" t="str">
        <x:f>""</x:f>
        <x:v/>
      </x:c>
    </x:row>
    <x:row r="895" spans="1:33" x14ac:dyDescent="0.25">
      <x:c r="A895" t="str">
        <x:f>"            LeaderShares Activist Leaders"</x:f>
        <x:v xml:space="preserve">            LeaderShares Activist Leaders</x:v>
      </x:c>
      <x:c r="B895" t="str">
        <x:f>"ACTV US Equity"</x:f>
        <x:v>ACTV US Equity</x:v>
      </x:c>
      <x:c r="E895" t="str">
        <x:f t="shared" si="36"/>
        <x:v>Expression</x:v>
      </x:c>
      <x:c r="F895">
        <x:f ca="1">IF(AND($B$1012=1,LEN($F$1874)&gt;0),$F$1874,HLOOKUP(INDIRECT(ADDRESS(2,COLUMN())),OFFSET($T$2,0,0,ROW()-1,14),ROW()-1,FALSE))</x:f>
        <x:v>-11.596</x:v>
      </x:c>
      <x:c r="G895">
        <x:f ca="1">IF(AND($B$1012=1,LEN($G$1874)&gt;0),$G$1874,HLOOKUP(INDIRECT(ADDRESS(2,COLUMN())),OFFSET($T$2,0,0,ROW()-1,14),ROW()-1,FALSE))</x:f>
        <x:v>0.68925000000000003</x:v>
      </x:c>
      <x:c r="H895">
        <x:f ca="1">IF(AND($B$1012=1,LEN($H$1874)&gt;0),$H$1874,HLOOKUP(INDIRECT(ADDRESS(2,COLUMN())),OFFSET($T$2,0,0,ROW()-1,14),ROW()-1,FALSE))</x:f>
        <x:v>-1.524</x:v>
      </x:c>
      <x:c r="I895">
        <x:f ca="1">IF(AND($B$1012=1,LEN($I$1874)&gt;0),$I$1874,HLOOKUP(INDIRECT(ADDRESS(2,COLUMN())),OFFSET($T$2,0,0,ROW()-1,14),ROW()-1,FALSE))</x:f>
        <x:v>1.375E-2</x:v>
      </x:c>
      <x:c r="J895">
        <x:f ca="1">IF(AND($B$1012=1,LEN($J$1874)&gt;0),$J$1874,HLOOKUP(INDIRECT(ADDRESS(2,COLUMN())),OFFSET($T$2,0,0,ROW()-1,14),ROW()-1,FALSE))</x:f>
        <x:v>1.4390000000000001</x:v>
      </x:c>
      <x:c r="K895">
        <x:f ca="1">IF(AND($B$1012=1,LEN($K$1874)&gt;0),$K$1874,HLOOKUP(INDIRECT(ADDRESS(2,COLUMN())),OFFSET($T$2,0,0,ROW()-1,14),ROW()-1,FALSE))</x:f>
        <x:v>-1.2E-2</x:v>
      </x:c>
      <x:c r="L895">
        <x:f ca="1">IF(AND($B$1012=1,LEN($L$1874)&gt;0),$L$1874,HLOOKUP(INDIRECT(ADDRESS(2,COLUMN())),OFFSET($T$2,0,0,ROW()-1,14),ROW()-1,FALSE))</x:f>
        <x:v>3.2000000000000001E-2</x:v>
      </x:c>
      <x:c r="M895">
        <x:f ca="1">IF(AND($B$1012=1,LEN($M$1874)&gt;0),$M$1874,HLOOKUP(INDIRECT(ADDRESS(2,COLUMN())),OFFSET($T$2,0,0,ROW()-1,14),ROW()-1,FALSE))</x:f>
        <x:v>1.4610000000000001</x:v>
      </x:c>
      <x:c r="N895">
        <x:f ca="1">IF(AND($B$1012=1,LEN($N$1874)&gt;0),$N$1874,HLOOKUP(INDIRECT(ADDRESS(2,COLUMN())),OFFSET($T$2,0,0,ROW()-1,14),ROW()-1,FALSE))</x:f>
        <x:v>1.49675</x:v>
      </x:c>
      <x:c r="O895">
        <x:f ca="1">IF(AND($B$1012=1,LEN($O$1874)&gt;0),$O$1874,HLOOKUP(INDIRECT(ADDRESS(2,COLUMN())),OFFSET($T$2,0,0,ROW()-1,14),ROW()-1,FALSE))</x:f>
        <x:v>3.3042500000000001</x:v>
      </x:c>
      <x:c r="P895">
        <x:f ca="1">IF(AND($B$1012=1,LEN($P$1874)&gt;0),$P$1874,HLOOKUP(INDIRECT(ADDRESS(2,COLUMN())),OFFSET($T$2,0,0,ROW()-1,14),ROW()-1,FALSE))</x:f>
        <x:v>-7.1999999999999995E-2</x:v>
      </x:c>
      <x:c r="Q895">
        <x:f ca="1">IF(AND($B$1012=1,LEN($Q$1874)&gt;0),$Q$1874,HLOOKUP(INDIRECT(ADDRESS(2,COLUMN())),OFFSET($T$2,0,0,ROW()-1,14),ROW()-1,FALSE))</x:f>
        <x:v>2.2130000000000001</x:v>
      </x:c>
      <x:c r="R895">
        <x:f ca="1">IF(AND($B$1012=1,LEN($R$1874)&gt;0),$R$1874,HLOOKUP(INDIRECT(ADDRESS(2,COLUMN())),OFFSET($T$2,0,0,ROW()-1,14),ROW()-1,FALSE))</x:f>
        <x:v>-0.14174999999999999</x:v>
      </x:c>
      <x:c r="S895">
        <x:f ca="1">IF(AND($B$1012=1,LEN($S$1874)&gt;0),$S$1874,HLOOKUP(INDIRECT(ADDRESS(2,COLUMN())),OFFSET($T$2,0,0,ROW()-1,14),ROW()-1,FALSE))</x:f>
        <x:v>1.37825</x:v>
      </x:c>
      <x:c r="T895">
        <x:f>-11.596</x:f>
        <x:v>-11.596</x:v>
      </x:c>
      <x:c r="U895">
        <x:f>0.68925</x:f>
        <x:v>0.68925000000000003</x:v>
      </x:c>
      <x:c r="V895">
        <x:f>-1.524</x:f>
        <x:v>-1.524</x:v>
      </x:c>
      <x:c r="W895">
        <x:f>0.01375</x:f>
        <x:v>1.375E-2</x:v>
      </x:c>
      <x:c r="X895">
        <x:f>1.439</x:f>
        <x:v>1.4390000000000001</x:v>
      </x:c>
      <x:c r="Y895">
        <x:f>-0.012</x:f>
        <x:v>-1.2E-2</x:v>
      </x:c>
      <x:c r="Z895">
        <x:f>0.032</x:f>
        <x:v>3.2000000000000001E-2</x:v>
      </x:c>
      <x:c r="AA895">
        <x:f>1.461</x:f>
        <x:v>1.4610000000000001</x:v>
      </x:c>
      <x:c r="AB895">
        <x:f>1.49675</x:f>
        <x:v>1.49675</x:v>
      </x:c>
      <x:c r="AC895">
        <x:f>3.30425</x:f>
        <x:v>3.3042500000000001</x:v>
      </x:c>
      <x:c r="AD895">
        <x:f>-0.072</x:f>
        <x:v>-7.1999999999999995E-2</x:v>
      </x:c>
      <x:c r="AE895">
        <x:f>2.213</x:f>
        <x:v>2.2130000000000001</x:v>
      </x:c>
      <x:c r="AF895">
        <x:f>-0.14175</x:f>
        <x:v>-0.14174999999999999</x:v>
      </x:c>
      <x:c r="AG895">
        <x:f>1.37825</x:f>
        <x:v>1.37825</x:v>
      </x:c>
    </x:row>
    <x:row r="896" spans="1:33" x14ac:dyDescent="0.25">
      <x:c r="A896" t="str">
        <x:f>"            VanEck Social Sentiment ETF"</x:f>
        <x:v xml:space="preserve">            VanEck Social Sentiment ETF</x:v>
      </x:c>
      <x:c r="B896" t="str">
        <x:f>"BUZZ US Equity"</x:f>
        <x:v>BUZZ US Equity</x:v>
      </x:c>
      <x:c r="E896" t="str">
        <x:f t="shared" si="36"/>
        <x:v>Expression</x:v>
      </x:c>
      <x:c r="F896">
        <x:f ca="1">IF(AND($B$1012=1,LEN($F$1875)&gt;0),$F$1875,HLOOKUP(INDIRECT(ADDRESS(2,COLUMN())),OFFSET($T$2,0,0,ROW()-1,14),ROW()-1,FALSE))</x:f>
        <x:v>-3.1244999999999998E-2</x:v>
      </x:c>
      <x:c r="G896">
        <x:f ca="1">IF(AND($B$1012=1,LEN($G$1875)&gt;0),$G$1875,HLOOKUP(INDIRECT(ADDRESS(2,COLUMN())),OFFSET($T$2,0,0,ROW()-1,14),ROW()-1,FALSE))</x:f>
        <x:v>-1.243134</x:v>
      </x:c>
      <x:c r="H896">
        <x:f ca="1">IF(AND($B$1012=1,LEN($H$1875)&gt;0),$H$1875,HLOOKUP(INDIRECT(ADDRESS(2,COLUMN())),OFFSET($T$2,0,0,ROW()-1,14),ROW()-1,FALSE))</x:f>
        <x:v>-0.94581000000000004</x:v>
      </x:c>
      <x:c r="I896">
        <x:f ca="1">IF(AND($B$1012=1,LEN($I$1875)&gt;0),$I$1875,HLOOKUP(INDIRECT(ADDRESS(2,COLUMN())),OFFSET($T$2,0,0,ROW()-1,14),ROW()-1,FALSE))</x:f>
        <x:v>8.3389000000000005E-2</x:v>
      </x:c>
      <x:c r="J896">
        <x:f ca="1">IF(AND($B$1012=1,LEN($J$1875)&gt;0),$J$1875,HLOOKUP(INDIRECT(ADDRESS(2,COLUMN())),OFFSET($T$2,0,0,ROW()-1,14),ROW()-1,FALSE))</x:f>
        <x:v>-1.598741</x:v>
      </x:c>
      <x:c r="K896">
        <x:f ca="1">IF(AND($B$1012=1,LEN($K$1875)&gt;0),$K$1875,HLOOKUP(INDIRECT(ADDRESS(2,COLUMN())),OFFSET($T$2,0,0,ROW()-1,14),ROW()-1,FALSE))</x:f>
        <x:v>-0.970329</x:v>
      </x:c>
      <x:c r="L896">
        <x:f ca="1">IF(AND($B$1012=1,LEN($L$1875)&gt;0),$L$1875,HLOOKUP(INDIRECT(ADDRESS(2,COLUMN())),OFFSET($T$2,0,0,ROW()-1,14),ROW()-1,FALSE))</x:f>
        <x:v>-2.1078060000000001</x:v>
      </x:c>
      <x:c r="M896">
        <x:f ca="1">IF(AND($B$1012=1,LEN($M$1875)&gt;0),$M$1875,HLOOKUP(INDIRECT(ADDRESS(2,COLUMN())),OFFSET($T$2,0,0,ROW()-1,14),ROW()-1,FALSE))</x:f>
        <x:v>0.589341</x:v>
      </x:c>
      <x:c r="N896">
        <x:f ca="1">IF(AND($B$1012=1,LEN($N$1875)&gt;0),$N$1875,HLOOKUP(INDIRECT(ADDRESS(2,COLUMN())),OFFSET($T$2,0,0,ROW()-1,14),ROW()-1,FALSE))</x:f>
        <x:v>-2.1757149999999998</x:v>
      </x:c>
      <x:c r="O896">
        <x:f ca="1">IF(AND($B$1012=1,LEN($O$1875)&gt;0),$O$1875,HLOOKUP(INDIRECT(ADDRESS(2,COLUMN())),OFFSET($T$2,0,0,ROW()-1,14),ROW()-1,FALSE))</x:f>
        <x:v>-1.1379060000000001</x:v>
      </x:c>
      <x:c r="P896">
        <x:f ca="1">IF(AND($B$1012=1,LEN($P$1875)&gt;0),$P$1875,HLOOKUP(INDIRECT(ADDRESS(2,COLUMN())),OFFSET($T$2,0,0,ROW()-1,14),ROW()-1,FALSE))</x:f>
        <x:v>-1.587685</x:v>
      </x:c>
      <x:c r="Q896">
        <x:f ca="1">IF(AND($B$1012=1,LEN($Q$1875)&gt;0),$Q$1875,HLOOKUP(INDIRECT(ADDRESS(2,COLUMN())),OFFSET($T$2,0,0,ROW()-1,14),ROW()-1,FALSE))</x:f>
        <x:v>-0.38333299999999998</x:v>
      </x:c>
      <x:c r="R896">
        <x:f ca="1">IF(AND($B$1012=1,LEN($R$1875)&gt;0),$R$1875,HLOOKUP(INDIRECT(ADDRESS(2,COLUMN())),OFFSET($T$2,0,0,ROW()-1,14),ROW()-1,FALSE))</x:f>
        <x:v>-2.2841840000000002</x:v>
      </x:c>
      <x:c r="S896">
        <x:f ca="1">IF(AND($B$1012=1,LEN($S$1875)&gt;0),$S$1875,HLOOKUP(INDIRECT(ADDRESS(2,COLUMN())),OFFSET($T$2,0,0,ROW()-1,14),ROW()-1,FALSE))</x:f>
        <x:v>-1.696E-3</x:v>
      </x:c>
      <x:c r="T896">
        <x:f>-0.031245</x:f>
        <x:v>-3.1244999999999998E-2</x:v>
      </x:c>
      <x:c r="U896">
        <x:f>-1.243134</x:f>
        <x:v>-1.243134</x:v>
      </x:c>
      <x:c r="V896">
        <x:f>-0.94581</x:f>
        <x:v>-0.94581000000000004</x:v>
      </x:c>
      <x:c r="W896">
        <x:f>0.083389</x:f>
        <x:v>8.3389000000000005E-2</x:v>
      </x:c>
      <x:c r="X896">
        <x:f>-1.598741</x:f>
        <x:v>-1.598741</x:v>
      </x:c>
      <x:c r="Y896">
        <x:f>-0.970329</x:f>
        <x:v>-0.970329</x:v>
      </x:c>
      <x:c r="Z896">
        <x:f>-2.107806</x:f>
        <x:v>-2.1078060000000001</x:v>
      </x:c>
      <x:c r="AA896">
        <x:f>0.589341</x:f>
        <x:v>0.589341</x:v>
      </x:c>
      <x:c r="AB896">
        <x:f>-2.175715</x:f>
        <x:v>-2.1757149999999998</x:v>
      </x:c>
      <x:c r="AC896">
        <x:f>-1.137906</x:f>
        <x:v>-1.1379060000000001</x:v>
      </x:c>
      <x:c r="AD896">
        <x:f>-1.587685</x:f>
        <x:v>-1.587685</x:v>
      </x:c>
      <x:c r="AE896">
        <x:f>-0.383333</x:f>
        <x:v>-0.38333299999999998</x:v>
      </x:c>
      <x:c r="AF896">
        <x:f>-2.284184</x:f>
        <x:v>-2.2841840000000002</x:v>
      </x:c>
      <x:c r="AG896">
        <x:f>-0.001696</x:f>
        <x:v>-1.696E-3</x:v>
      </x:c>
    </x:row>
    <x:row r="897" spans="1:33" x14ac:dyDescent="0.25">
      <x:c r="A897" t="str">
        <x:f>"            Principal Millennials ETF"</x:f>
        <x:v xml:space="preserve">            Principal Millennials ETF</x:v>
      </x:c>
      <x:c r="B897" t="str">
        <x:f>"GENY US Equity"</x:f>
        <x:v>GENY US Equity</x:v>
      </x:c>
      <x:c r="E897" t="str">
        <x:f t="shared" si="36"/>
        <x:v>Expression</x:v>
      </x:c>
      <x:c r="F897" t="str">
        <x:f ca="1">IF(AND($B$1012=1,LEN($F$1876)&gt;0),$F$1876,HLOOKUP(INDIRECT(ADDRESS(2,COLUMN())),OFFSET($T$2,0,0,ROW()-1,14),ROW()-1,FALSE))</x:f>
        <x:v/>
      </x:c>
      <x:c r="G897">
        <x:f ca="1">IF(AND($B$1012=1,LEN($G$1876)&gt;0),$G$1876,HLOOKUP(INDIRECT(ADDRESS(2,COLUMN())),OFFSET($T$2,0,0,ROW()-1,14),ROW()-1,FALSE))</x:f>
        <x:v>-17.351966999999998</x:v>
      </x:c>
      <x:c r="H897">
        <x:f ca="1">IF(AND($B$1012=1,LEN($H$1876)&gt;0),$H$1876,HLOOKUP(INDIRECT(ADDRESS(2,COLUMN())),OFFSET($T$2,0,0,ROW()-1,14),ROW()-1,FALSE))</x:f>
        <x:v>0</x:v>
      </x:c>
      <x:c r="I897">
        <x:f ca="1">IF(AND($B$1012=1,LEN($I$1876)&gt;0),$I$1876,HLOOKUP(INDIRECT(ADDRESS(2,COLUMN())),OFFSET($T$2,0,0,ROW()-1,14),ROW()-1,FALSE))</x:f>
        <x:v>2.1894290000000001</x:v>
      </x:c>
      <x:c r="J897">
        <x:f ca="1">IF(AND($B$1012=1,LEN($J$1876)&gt;0),$J$1876,HLOOKUP(INDIRECT(ADDRESS(2,COLUMN())),OFFSET($T$2,0,0,ROW()-1,14),ROW()-1,FALSE))</x:f>
        <x:v>0</x:v>
      </x:c>
      <x:c r="K897">
        <x:f ca="1">IF(AND($B$1012=1,LEN($K$1876)&gt;0),$K$1876,HLOOKUP(INDIRECT(ADDRESS(2,COLUMN())),OFFSET($T$2,0,0,ROW()-1,14),ROW()-1,FALSE))</x:f>
        <x:v>0</x:v>
      </x:c>
      <x:c r="L897">
        <x:f ca="1">IF(AND($B$1012=1,LEN($L$1876)&gt;0),$L$1876,HLOOKUP(INDIRECT(ADDRESS(2,COLUMN())),OFFSET($T$2,0,0,ROW()-1,14),ROW()-1,FALSE))</x:f>
        <x:v>0</x:v>
      </x:c>
      <x:c r="M897">
        <x:f ca="1">IF(AND($B$1012=1,LEN($M$1876)&gt;0),$M$1876,HLOOKUP(INDIRECT(ADDRESS(2,COLUMN())),OFFSET($T$2,0,0,ROW()-1,14),ROW()-1,FALSE))</x:f>
        <x:v>0</x:v>
      </x:c>
      <x:c r="N897">
        <x:f ca="1">IF(AND($B$1012=1,LEN($N$1876)&gt;0),$N$1876,HLOOKUP(INDIRECT(ADDRESS(2,COLUMN())),OFFSET($T$2,0,0,ROW()-1,14),ROW()-1,FALSE))</x:f>
        <x:v>2.1186050000000001</x:v>
      </x:c>
      <x:c r="O897">
        <x:f ca="1">IF(AND($B$1012=1,LEN($O$1876)&gt;0),$O$1876,HLOOKUP(INDIRECT(ADDRESS(2,COLUMN())),OFFSET($T$2,0,0,ROW()-1,14),ROW()-1,FALSE))</x:f>
        <x:v>0</x:v>
      </x:c>
      <x:c r="P897">
        <x:f ca="1">IF(AND($B$1012=1,LEN($P$1876)&gt;0),$P$1876,HLOOKUP(INDIRECT(ADDRESS(2,COLUMN())),OFFSET($T$2,0,0,ROW()-1,14),ROW()-1,FALSE))</x:f>
        <x:v>0</x:v>
      </x:c>
      <x:c r="Q897">
        <x:f ca="1">IF(AND($B$1012=1,LEN($Q$1876)&gt;0),$Q$1876,HLOOKUP(INDIRECT(ADDRESS(2,COLUMN())),OFFSET($T$2,0,0,ROW()-1,14),ROW()-1,FALSE))</x:f>
        <x:v>0</x:v>
      </x:c>
      <x:c r="R897">
        <x:f ca="1">IF(AND($B$1012=1,LEN($R$1876)&gt;0),$R$1876,HLOOKUP(INDIRECT(ADDRESS(2,COLUMN())),OFFSET($T$2,0,0,ROW()-1,14),ROW()-1,FALSE))</x:f>
        <x:v>0</x:v>
      </x:c>
      <x:c r="S897">
        <x:f ca="1">IF(AND($B$1012=1,LEN($S$1876)&gt;0),$S$1876,HLOOKUP(INDIRECT(ADDRESS(2,COLUMN())),OFFSET($T$2,0,0,ROW()-1,14),ROW()-1,FALSE))</x:f>
        <x:v>1.7295510000000001</x:v>
      </x:c>
      <x:c r="T897" t="str">
        <x:f>""</x:f>
        <x:v/>
      </x:c>
      <x:c r="U897">
        <x:f>-17.351967</x:f>
        <x:v>-17.351966999999998</x:v>
      </x:c>
      <x:c r="V897">
        <x:f>0</x:f>
        <x:v>0</x:v>
      </x:c>
      <x:c r="W897">
        <x:f>2.189429</x:f>
        <x:v>2.1894290000000001</x:v>
      </x:c>
      <x:c r="X897">
        <x:f>0</x:f>
        <x:v>0</x:v>
      </x:c>
      <x:c r="Y897">
        <x:f>0</x:f>
        <x:v>0</x:v>
      </x:c>
      <x:c r="Z897">
        <x:f>0</x:f>
        <x:v>0</x:v>
      </x:c>
      <x:c r="AA897">
        <x:f>0</x:f>
        <x:v>0</x:v>
      </x:c>
      <x:c r="AB897">
        <x:f>2.118605</x:f>
        <x:v>2.1186050000000001</x:v>
      </x:c>
      <x:c r="AC897">
        <x:f>0</x:f>
        <x:v>0</x:v>
      </x:c>
      <x:c r="AD897">
        <x:f>0</x:f>
        <x:v>0</x:v>
      </x:c>
      <x:c r="AE897">
        <x:f>0</x:f>
        <x:v>0</x:v>
      </x:c>
      <x:c r="AF897">
        <x:f>0</x:f>
        <x:v>0</x:v>
      </x:c>
      <x:c r="AG897">
        <x:f>1.729551</x:f>
        <x:v>1.7295510000000001</x:v>
      </x:c>
    </x:row>
    <x:row r="898" spans="1:33" x14ac:dyDescent="0.25">
      <x:c r="A898" t="str">
        <x:f>"            Global X Funds Global X Millen"</x:f>
        <x:v xml:space="preserve">            Global X Funds Global X Millen</x:v>
      </x:c>
      <x:c r="B898" t="str">
        <x:f>"MILN US Equity"</x:f>
        <x:v>MILN US Equity</x:v>
      </x:c>
      <x:c r="E898" t="str">
        <x:f t="shared" si="36"/>
        <x:v>Expression</x:v>
      </x:c>
      <x:c r="F898">
        <x:f ca="1">IF(AND($B$1012=1,LEN($F$1877)&gt;0),$F$1877,HLOOKUP(INDIRECT(ADDRESS(2,COLUMN())),OFFSET($T$2,0,0,ROW()-1,14),ROW()-1,FALSE))</x:f>
        <x:v>-0.3075</x:v>
      </x:c>
      <x:c r="G898">
        <x:f ca="1">IF(AND($B$1012=1,LEN($G$1877)&gt;0),$G$1877,HLOOKUP(INDIRECT(ADDRESS(2,COLUMN())),OFFSET($T$2,0,0,ROW()-1,14),ROW()-1,FALSE))</x:f>
        <x:v>0.28810000000000002</x:v>
      </x:c>
      <x:c r="H898">
        <x:f ca="1">IF(AND($B$1012=1,LEN($H$1877)&gt;0),$H$1877,HLOOKUP(INDIRECT(ADDRESS(2,COLUMN())),OFFSET($T$2,0,0,ROW()-1,14),ROW()-1,FALSE))</x:f>
        <x:v>-0.60519999999999996</x:v>
      </x:c>
      <x:c r="I898">
        <x:f ca="1">IF(AND($B$1012=1,LEN($I$1877)&gt;0),$I$1877,HLOOKUP(INDIRECT(ADDRESS(2,COLUMN())),OFFSET($T$2,0,0,ROW()-1,14),ROW()-1,FALSE))</x:f>
        <x:v>1.0500000000000001E-2</x:v>
      </x:c>
      <x:c r="J898">
        <x:f ca="1">IF(AND($B$1012=1,LEN($J$1877)&gt;0),$J$1877,HLOOKUP(INDIRECT(ADDRESS(2,COLUMN())),OFFSET($T$2,0,0,ROW()-1,14),ROW()-1,FALSE))</x:f>
        <x:v>1.3371</x:v>
      </x:c>
      <x:c r="K898">
        <x:f ca="1">IF(AND($B$1012=1,LEN($K$1877)&gt;0),$K$1877,HLOOKUP(INDIRECT(ADDRESS(2,COLUMN())),OFFSET($T$2,0,0,ROW()-1,14),ROW()-1,FALSE))</x:f>
        <x:v>-2.8298999999999999</x:v>
      </x:c>
      <x:c r="L898">
        <x:f ca="1">IF(AND($B$1012=1,LEN($L$1877)&gt;0),$L$1877,HLOOKUP(INDIRECT(ADDRESS(2,COLUMN())),OFFSET($T$2,0,0,ROW()-1,14),ROW()-1,FALSE))</x:f>
        <x:v>-0.88900000000000001</x:v>
      </x:c>
      <x:c r="M898">
        <x:f ca="1">IF(AND($B$1012=1,LEN($M$1877)&gt;0),$M$1877,HLOOKUP(INDIRECT(ADDRESS(2,COLUMN())),OFFSET($T$2,0,0,ROW()-1,14),ROW()-1,FALSE))</x:f>
        <x:v>-1.4830000000000001</x:v>
      </x:c>
      <x:c r="N898">
        <x:f ca="1">IF(AND($B$1012=1,LEN($N$1877)&gt;0),$N$1877,HLOOKUP(INDIRECT(ADDRESS(2,COLUMN())),OFFSET($T$2,0,0,ROW()-1,14),ROW()-1,FALSE))</x:f>
        <x:v>-2.3433000000000002</x:v>
      </x:c>
      <x:c r="O898">
        <x:f ca="1">IF(AND($B$1012=1,LEN($O$1877)&gt;0),$O$1877,HLOOKUP(INDIRECT(ADDRESS(2,COLUMN())),OFFSET($T$2,0,0,ROW()-1,14),ROW()-1,FALSE))</x:f>
        <x:v>-3.3317999999999999</x:v>
      </x:c>
      <x:c r="P898">
        <x:f ca="1">IF(AND($B$1012=1,LEN($P$1877)&gt;0),$P$1877,HLOOKUP(INDIRECT(ADDRESS(2,COLUMN())),OFFSET($T$2,0,0,ROW()-1,14),ROW()-1,FALSE))</x:f>
        <x:v>0.63319999999999999</x:v>
      </x:c>
      <x:c r="Q898">
        <x:f ca="1">IF(AND($B$1012=1,LEN($Q$1877)&gt;0),$Q$1877,HLOOKUP(INDIRECT(ADDRESS(2,COLUMN())),OFFSET($T$2,0,0,ROW()-1,14),ROW()-1,FALSE))</x:f>
        <x:v>-4.5171000000000001</x:v>
      </x:c>
      <x:c r="R898">
        <x:f ca="1">IF(AND($B$1012=1,LEN($R$1877)&gt;0),$R$1877,HLOOKUP(INDIRECT(ADDRESS(2,COLUMN())),OFFSET($T$2,0,0,ROW()-1,14),ROW()-1,FALSE))</x:f>
        <x:v>-1.0660000000000001</x:v>
      </x:c>
      <x:c r="S898">
        <x:f ca="1">IF(AND($B$1012=1,LEN($S$1877)&gt;0),$S$1877,HLOOKUP(INDIRECT(ADDRESS(2,COLUMN())),OFFSET($T$2,0,0,ROW()-1,14),ROW()-1,FALSE))</x:f>
        <x:v>-2.3874</x:v>
      </x:c>
      <x:c r="T898">
        <x:f>-0.3075</x:f>
        <x:v>-0.3075</x:v>
      </x:c>
      <x:c r="U898">
        <x:f>0.2881</x:f>
        <x:v>0.28810000000000002</x:v>
      </x:c>
      <x:c r="V898">
        <x:f>-0.6052</x:f>
        <x:v>-0.60519999999999996</x:v>
      </x:c>
      <x:c r="W898">
        <x:f>0.0105</x:f>
        <x:v>1.0500000000000001E-2</x:v>
      </x:c>
      <x:c r="X898">
        <x:f>1.3371</x:f>
        <x:v>1.3371</x:v>
      </x:c>
      <x:c r="Y898">
        <x:f>-2.8299</x:f>
        <x:v>-2.8298999999999999</x:v>
      </x:c>
      <x:c r="Z898">
        <x:f>-0.889</x:f>
        <x:v>-0.88900000000000001</x:v>
      </x:c>
      <x:c r="AA898">
        <x:f>-1.483</x:f>
        <x:v>-1.4830000000000001</x:v>
      </x:c>
      <x:c r="AB898">
        <x:f>-2.3433</x:f>
        <x:v>-2.3433000000000002</x:v>
      </x:c>
      <x:c r="AC898">
        <x:f>-3.3318</x:f>
        <x:v>-3.3317999999999999</x:v>
      </x:c>
      <x:c r="AD898">
        <x:f>0.6332</x:f>
        <x:v>0.63319999999999999</x:v>
      </x:c>
      <x:c r="AE898">
        <x:f>-4.5171</x:f>
        <x:v>-4.5171000000000001</x:v>
      </x:c>
      <x:c r="AF898">
        <x:f>-1.066</x:f>
        <x:v>-1.0660000000000001</x:v>
      </x:c>
      <x:c r="AG898">
        <x:f>-2.3874</x:f>
        <x:v>-2.3874</x:v>
      </x:c>
    </x:row>
    <x:row r="899" spans="1:33" x14ac:dyDescent="0.25">
      <x:c r="A899" t="str">
        <x:f>"            Roundhill Meme ETF"</x:f>
        <x:v xml:space="preserve">            Roundhill Meme ETF</x:v>
      </x:c>
      <x:c r="B899" t="str">
        <x:f>"MEME US Equity"</x:f>
        <x:v>MEME US Equity</x:v>
      </x:c>
      <x:c r="E899" t="str">
        <x:f t="shared" si="36"/>
        <x:v>Expression</x:v>
      </x:c>
      <x:c r="F899">
        <x:f ca="1">IF(AND($B$1012=1,LEN($F$1878)&gt;0),$F$1878,HLOOKUP(INDIRECT(ADDRESS(2,COLUMN())),OFFSET($T$2,0,0,ROW()-1,14),ROW()-1,FALSE))</x:f>
        <x:v>0</x:v>
      </x:c>
      <x:c r="G899">
        <x:f ca="1">IF(AND($B$1012=1,LEN($G$1878)&gt;0),$G$1878,HLOOKUP(INDIRECT(ADDRESS(2,COLUMN())),OFFSET($T$2,0,0,ROW()-1,14),ROW()-1,FALSE))</x:f>
        <x:v>-0.30508999999999997</x:v>
      </x:c>
      <x:c r="H899">
        <x:f ca="1">IF(AND($B$1012=1,LEN($H$1878)&gt;0),$H$1878,HLOOKUP(INDIRECT(ADDRESS(2,COLUMN())),OFFSET($T$2,0,0,ROW()-1,14),ROW()-1,FALSE))</x:f>
        <x:v>4.6259999999999999E-3</x:v>
      </x:c>
      <x:c r="I899">
        <x:f ca="1">IF(AND($B$1012=1,LEN($I$1878)&gt;0),$I$1878,HLOOKUP(INDIRECT(ADDRESS(2,COLUMN())),OFFSET($T$2,0,0,ROW()-1,14),ROW()-1,FALSE))</x:f>
        <x:v>0.44704100000000002</x:v>
      </x:c>
      <x:c r="J899">
        <x:f ca="1">IF(AND($B$1012=1,LEN($J$1878)&gt;0),$J$1878,HLOOKUP(INDIRECT(ADDRESS(2,COLUMN())),OFFSET($T$2,0,0,ROW()-1,14),ROW()-1,FALSE))</x:f>
        <x:v>2.0018479999999998</x:v>
      </x:c>
      <x:c r="K899">
        <x:f ca="1">IF(AND($B$1012=1,LEN($K$1878)&gt;0),$K$1878,HLOOKUP(INDIRECT(ADDRESS(2,COLUMN())),OFFSET($T$2,0,0,ROW()-1,14),ROW()-1,FALSE))</x:f>
        <x:v>2.183E-3</x:v>
      </x:c>
      <x:c r="L899">
        <x:f ca="1">IF(AND($B$1012=1,LEN($L$1878)&gt;0),$L$1878,HLOOKUP(INDIRECT(ADDRESS(2,COLUMN())),OFFSET($T$2,0,0,ROW()-1,14),ROW()-1,FALSE))</x:f>
        <x:v>0</x:v>
      </x:c>
      <x:c r="M899">
        <x:f ca="1">IF(AND($B$1012=1,LEN($M$1878)&gt;0),$M$1878,HLOOKUP(INDIRECT(ADDRESS(2,COLUMN())),OFFSET($T$2,0,0,ROW()-1,14),ROW()-1,FALSE))</x:f>
        <x:v>8.2299999999999995E-3</x:v>
      </x:c>
      <x:c r="N899">
        <x:f ca="1">IF(AND($B$1012=1,LEN($N$1878)&gt;0),$N$1878,HLOOKUP(INDIRECT(ADDRESS(2,COLUMN())),OFFSET($T$2,0,0,ROW()-1,14),ROW()-1,FALSE))</x:f>
        <x:v>-1.2345E-2</x:v>
      </x:c>
      <x:c r="O899">
        <x:f ca="1">IF(AND($B$1012=1,LEN($O$1878)&gt;0),$O$1878,HLOOKUP(INDIRECT(ADDRESS(2,COLUMN())),OFFSET($T$2,0,0,ROW()-1,14),ROW()-1,FALSE))</x:f>
        <x:v>-0.33022000000000001</x:v>
      </x:c>
      <x:c r="P899">
        <x:f ca="1">IF(AND($B$1012=1,LEN($P$1878)&gt;0),$P$1878,HLOOKUP(INDIRECT(ADDRESS(2,COLUMN())),OFFSET($T$2,0,0,ROW()-1,14),ROW()-1,FALSE))</x:f>
        <x:v>0.32549499999999998</x:v>
      </x:c>
      <x:c r="Q899">
        <x:f ca="1">IF(AND($B$1012=1,LEN($Q$1878)&gt;0),$Q$1878,HLOOKUP(INDIRECT(ADDRESS(2,COLUMN())),OFFSET($T$2,0,0,ROW()-1,14),ROW()-1,FALSE))</x:f>
        <x:v>7.6800000000000002E-3</x:v>
      </x:c>
      <x:c r="R899">
        <x:f ca="1">IF(AND($B$1012=1,LEN($R$1878)&gt;0),$R$1878,HLOOKUP(INDIRECT(ADDRESS(2,COLUMN())),OFFSET($T$2,0,0,ROW()-1,14),ROW()-1,FALSE))</x:f>
        <x:v>9.1549999999999999E-3</x:v>
      </x:c>
      <x:c r="S899">
        <x:f ca="1">IF(AND($B$1012=1,LEN($S$1878)&gt;0),$S$1878,HLOOKUP(INDIRECT(ADDRESS(2,COLUMN())),OFFSET($T$2,0,0,ROW()-1,14),ROW()-1,FALSE))</x:f>
        <x:v>0</x:v>
      </x:c>
      <x:c r="T899">
        <x:f>0</x:f>
        <x:v>0</x:v>
      </x:c>
      <x:c r="U899">
        <x:f>-0.30509</x:f>
        <x:v>-0.30508999999999997</x:v>
      </x:c>
      <x:c r="V899">
        <x:f>0.004626</x:f>
        <x:v>4.6259999999999999E-3</x:v>
      </x:c>
      <x:c r="W899">
        <x:f>0.447041</x:f>
        <x:v>0.44704100000000002</x:v>
      </x:c>
      <x:c r="X899">
        <x:f>2.001848</x:f>
        <x:v>2.0018479999999998</x:v>
      </x:c>
      <x:c r="Y899">
        <x:f>0.002183</x:f>
        <x:v>2.183E-3</x:v>
      </x:c>
      <x:c r="Z899">
        <x:f>0</x:f>
        <x:v>0</x:v>
      </x:c>
      <x:c r="AA899">
        <x:f>0.00823</x:f>
        <x:v>8.2299999999999995E-3</x:v>
      </x:c>
      <x:c r="AB899">
        <x:f>-0.012345</x:f>
        <x:v>-1.2345E-2</x:v>
      </x:c>
      <x:c r="AC899">
        <x:f>-0.33022</x:f>
        <x:v>-0.33022000000000001</x:v>
      </x:c>
      <x:c r="AD899">
        <x:f>0.325495</x:f>
        <x:v>0.32549499999999998</x:v>
      </x:c>
      <x:c r="AE899">
        <x:f>0.00768</x:f>
        <x:v>7.6800000000000002E-3</x:v>
      </x:c>
      <x:c r="AF899">
        <x:f>0.009155</x:f>
        <x:v>9.1549999999999999E-3</x:v>
      </x:c>
      <x:c r="AG899">
        <x:f>0</x:f>
        <x:v>0</x:v>
      </x:c>
    </x:row>
    <x:row r="900" spans="1:33" x14ac:dyDescent="0.25">
      <x:c r="A900" t="str">
        <x:f>"            Direxion Nanotechnology ETF"</x:f>
        <x:v xml:space="preserve">            Direxion Nanotechnology ETF</x:v>
      </x:c>
      <x:c r="B900" t="str">
        <x:f>"TYNE US Equity"</x:f>
        <x:v>TYNE US Equity</x:v>
      </x:c>
      <x:c r="E900" t="str">
        <x:f t="shared" ref="E900:E917" si="37">"Expression"</x:f>
        <x:v>Expression</x:v>
      </x:c>
      <x:c r="F900" t="str">
        <x:f ca="1">IF(AND($B$1012=1,LEN($F$1879)&gt;0),$F$1879,HLOOKUP(INDIRECT(ADDRESS(2,COLUMN())),OFFSET($T$2,0,0,ROW()-1,14),ROW()-1,FALSE))</x:f>
        <x:v/>
      </x:c>
      <x:c r="G900" t="str">
        <x:f ca="1">IF(AND($B$1012=1,LEN($G$1879)&gt;0),$G$1879,HLOOKUP(INDIRECT(ADDRESS(2,COLUMN())),OFFSET($T$2,0,0,ROW()-1,14),ROW()-1,FALSE))</x:f>
        <x:v/>
      </x:c>
      <x:c r="H900" t="str">
        <x:f ca="1">IF(AND($B$1012=1,LEN($H$1879)&gt;0),$H$1879,HLOOKUP(INDIRECT(ADDRESS(2,COLUMN())),OFFSET($T$2,0,0,ROW()-1,14),ROW()-1,FALSE))</x:f>
        <x:v/>
      </x:c>
      <x:c r="I900" t="str">
        <x:f ca="1">IF(AND($B$1012=1,LEN($I$1879)&gt;0),$I$1879,HLOOKUP(INDIRECT(ADDRESS(2,COLUMN())),OFFSET($T$2,0,0,ROW()-1,14),ROW()-1,FALSE))</x:f>
        <x:v/>
      </x:c>
      <x:c r="J900" t="str">
        <x:f ca="1">IF(AND($B$1012=1,LEN($J$1879)&gt;0),$J$1879,HLOOKUP(INDIRECT(ADDRESS(2,COLUMN())),OFFSET($T$2,0,0,ROW()-1,14),ROW()-1,FALSE))</x:f>
        <x:v/>
      </x:c>
      <x:c r="K900" t="str">
        <x:f ca="1">IF(AND($B$1012=1,LEN($K$1879)&gt;0),$K$1879,HLOOKUP(INDIRECT(ADDRESS(2,COLUMN())),OFFSET($T$2,0,0,ROW()-1,14),ROW()-1,FALSE))</x:f>
        <x:v/>
      </x:c>
      <x:c r="L900" t="str">
        <x:f ca="1">IF(AND($B$1012=1,LEN($L$1879)&gt;0),$L$1879,HLOOKUP(INDIRECT(ADDRESS(2,COLUMN())),OFFSET($T$2,0,0,ROW()-1,14),ROW()-1,FALSE))</x:f>
        <x:v/>
      </x:c>
      <x:c r="M900" t="str">
        <x:f ca="1">IF(AND($B$1012=1,LEN($M$1879)&gt;0),$M$1879,HLOOKUP(INDIRECT(ADDRESS(2,COLUMN())),OFFSET($T$2,0,0,ROW()-1,14),ROW()-1,FALSE))</x:f>
        <x:v/>
      </x:c>
      <x:c r="N900" t="str">
        <x:f ca="1">IF(AND($B$1012=1,LEN($N$1879)&gt;0),$N$1879,HLOOKUP(INDIRECT(ADDRESS(2,COLUMN())),OFFSET($T$2,0,0,ROW()-1,14),ROW()-1,FALSE))</x:f>
        <x:v/>
      </x:c>
      <x:c r="O900">
        <x:f ca="1">IF(AND($B$1012=1,LEN($O$1879)&gt;0),$O$1879,HLOOKUP(INDIRECT(ADDRESS(2,COLUMN())),OFFSET($T$2,0,0,ROW()-1,14),ROW()-1,FALSE))</x:f>
        <x:v>-0.43040099999999998</x:v>
      </x:c>
      <x:c r="P900">
        <x:f ca="1">IF(AND($B$1012=1,LEN($P$1879)&gt;0),$P$1879,HLOOKUP(INDIRECT(ADDRESS(2,COLUMN())),OFFSET($T$2,0,0,ROW()-1,14),ROW()-1,FALSE))</x:f>
        <x:v>0</x:v>
      </x:c>
      <x:c r="Q900">
        <x:f ca="1">IF(AND($B$1012=1,LEN($Q$1879)&gt;0),$Q$1879,HLOOKUP(INDIRECT(ADDRESS(2,COLUMN())),OFFSET($T$2,0,0,ROW()-1,14),ROW()-1,FALSE))</x:f>
        <x:v>-0.42488300000000001</x:v>
      </x:c>
      <x:c r="R900">
        <x:f ca="1">IF(AND($B$1012=1,LEN($R$1879)&gt;0),$R$1879,HLOOKUP(INDIRECT(ADDRESS(2,COLUMN())),OFFSET($T$2,0,0,ROW()-1,14),ROW()-1,FALSE))</x:f>
        <x:v>0</x:v>
      </x:c>
      <x:c r="S900">
        <x:f ca="1">IF(AND($B$1012=1,LEN($S$1879)&gt;0),$S$1879,HLOOKUP(INDIRECT(ADDRESS(2,COLUMN())),OFFSET($T$2,0,0,ROW()-1,14),ROW()-1,FALSE))</x:f>
        <x:v>0</x:v>
      </x:c>
      <x:c r="T900" t="str">
        <x:f>""</x:f>
        <x:v/>
      </x:c>
      <x:c r="U900" t="str">
        <x:f>""</x:f>
        <x:v/>
      </x:c>
      <x:c r="V900" t="str">
        <x:f>""</x:f>
        <x:v/>
      </x:c>
      <x:c r="W900" t="str">
        <x:f>""</x:f>
        <x:v/>
      </x:c>
      <x:c r="X900" t="str">
        <x:f>""</x:f>
        <x:v/>
      </x:c>
      <x:c r="Y900" t="str">
        <x:f>""</x:f>
        <x:v/>
      </x:c>
      <x:c r="Z900" t="str">
        <x:f>""</x:f>
        <x:v/>
      </x:c>
      <x:c r="AA900" t="str">
        <x:f>""</x:f>
        <x:v/>
      </x:c>
      <x:c r="AB900" t="str">
        <x:f>""</x:f>
        <x:v/>
      </x:c>
      <x:c r="AC900">
        <x:f>-0.430401</x:f>
        <x:v>-0.43040099999999998</x:v>
      </x:c>
      <x:c r="AD900">
        <x:f>0</x:f>
        <x:v>0</x:v>
      </x:c>
      <x:c r="AE900">
        <x:f>-0.424883</x:f>
        <x:v>-0.42488300000000001</x:v>
      </x:c>
      <x:c r="AF900">
        <x:f>0</x:f>
        <x:v>0</x:v>
      </x:c>
      <x:c r="AG900">
        <x:f>0</x:f>
        <x:v>0</x:v>
      </x:c>
    </x:row>
    <x:row r="901" spans="1:33" x14ac:dyDescent="0.25">
      <x:c r="A901" t="str">
        <x:f>"            HARBOR ETF Trust - Harbor Corp"</x:f>
        <x:v xml:space="preserve">            HARBOR ETF Trust - Harbor Corp</x:v>
      </x:c>
      <x:c r="B901" t="str">
        <x:f>"HAPY US Equity"</x:f>
        <x:v>HAPY US Equity</x:v>
      </x:c>
      <x:c r="E901" t="str">
        <x:f t="shared" si="37"/>
        <x:v>Expression</x:v>
      </x:c>
      <x:c r="F901">
        <x:f ca="1">IF(AND($B$1012=1,LEN($F$1880)&gt;0),$F$1880,HLOOKUP(INDIRECT(ADDRESS(2,COLUMN())),OFFSET($T$2,0,0,ROW()-1,14),ROW()-1,FALSE))</x:f>
        <x:v>-1.7964999999999998E-2</x:v>
      </x:c>
      <x:c r="G901">
        <x:f ca="1">IF(AND($B$1012=1,LEN($G$1880)&gt;0),$G$1880,HLOOKUP(INDIRECT(ADDRESS(2,COLUMN())),OFFSET($T$2,0,0,ROW()-1,14),ROW()-1,FALSE))</x:f>
        <x:v>0</x:v>
      </x:c>
      <x:c r="H901">
        <x:f ca="1">IF(AND($B$1012=1,LEN($H$1880)&gt;0),$H$1880,HLOOKUP(INDIRECT(ADDRESS(2,COLUMN())),OFFSET($T$2,0,0,ROW()-1,14),ROW()-1,FALSE))</x:f>
        <x:v>0</x:v>
      </x:c>
      <x:c r="I901">
        <x:f ca="1">IF(AND($B$1012=1,LEN($I$1880)&gt;0),$I$1880,HLOOKUP(INDIRECT(ADDRESS(2,COLUMN())),OFFSET($T$2,0,0,ROW()-1,14),ROW()-1,FALSE))</x:f>
        <x:v>-6.4819999999999999E-3</x:v>
      </x:c>
      <x:c r="J901">
        <x:f ca="1">IF(AND($B$1012=1,LEN($J$1880)&gt;0),$J$1880,HLOOKUP(INDIRECT(ADDRESS(2,COLUMN())),OFFSET($T$2,0,0,ROW()-1,14),ROW()-1,FALSE))</x:f>
        <x:v>0</x:v>
      </x:c>
      <x:c r="K901">
        <x:f ca="1">IF(AND($B$1012=1,LEN($K$1880)&gt;0),$K$1880,HLOOKUP(INDIRECT(ADDRESS(2,COLUMN())),OFFSET($T$2,0,0,ROW()-1,14),ROW()-1,FALSE))</x:f>
        <x:v>0</x:v>
      </x:c>
      <x:c r="L901">
        <x:f ca="1">IF(AND($B$1012=1,LEN($L$1880)&gt;0),$L$1880,HLOOKUP(INDIRECT(ADDRESS(2,COLUMN())),OFFSET($T$2,0,0,ROW()-1,14),ROW()-1,FALSE))</x:f>
        <x:v>-0.40934799999999999</x:v>
      </x:c>
      <x:c r="M901">
        <x:f ca="1">IF(AND($B$1012=1,LEN($M$1880)&gt;0),$M$1880,HLOOKUP(INDIRECT(ADDRESS(2,COLUMN())),OFFSET($T$2,0,0,ROW()-1,14),ROW()-1,FALSE))</x:f>
        <x:v>0</x:v>
      </x:c>
      <x:c r="N901">
        <x:f ca="1">IF(AND($B$1012=1,LEN($N$1880)&gt;0),$N$1880,HLOOKUP(INDIRECT(ADDRESS(2,COLUMN())),OFFSET($T$2,0,0,ROW()-1,14),ROW()-1,FALSE))</x:f>
        <x:v>0</x:v>
      </x:c>
      <x:c r="O901">
        <x:f ca="1">IF(AND($B$1012=1,LEN($O$1880)&gt;0),$O$1880,HLOOKUP(INDIRECT(ADDRESS(2,COLUMN())),OFFSET($T$2,0,0,ROW()-1,14),ROW()-1,FALSE))</x:f>
        <x:v>0</x:v>
      </x:c>
      <x:c r="P901">
        <x:f ca="1">IF(AND($B$1012=1,LEN($P$1880)&gt;0),$P$1880,HLOOKUP(INDIRECT(ADDRESS(2,COLUMN())),OFFSET($T$2,0,0,ROW()-1,14),ROW()-1,FALSE))</x:f>
        <x:v>2.9060510000000002</x:v>
      </x:c>
      <x:c r="Q901">
        <x:f ca="1">IF(AND($B$1012=1,LEN($Q$1880)&gt;0),$Q$1880,HLOOKUP(INDIRECT(ADDRESS(2,COLUMN())),OFFSET($T$2,0,0,ROW()-1,14),ROW()-1,FALSE))</x:f>
        <x:v>0</x:v>
      </x:c>
      <x:c r="R901">
        <x:f ca="1">IF(AND($B$1012=1,LEN($R$1880)&gt;0),$R$1880,HLOOKUP(INDIRECT(ADDRESS(2,COLUMN())),OFFSET($T$2,0,0,ROW()-1,14),ROW()-1,FALSE))</x:f>
        <x:v>0</x:v>
      </x:c>
      <x:c r="S901">
        <x:f ca="1">IF(AND($B$1012=1,LEN($S$1880)&gt;0),$S$1880,HLOOKUP(INDIRECT(ADDRESS(2,COLUMN())),OFFSET($T$2,0,0,ROW()-1,14),ROW()-1,FALSE))</x:f>
        <x:v>0</x:v>
      </x:c>
      <x:c r="T901">
        <x:f>-0.017965</x:f>
        <x:v>-1.7964999999999998E-2</x:v>
      </x:c>
      <x:c r="U901">
        <x:f>0</x:f>
        <x:v>0</x:v>
      </x:c>
      <x:c r="V901">
        <x:f>0</x:f>
        <x:v>0</x:v>
      </x:c>
      <x:c r="W901">
        <x:f>-0.006482</x:f>
        <x:v>-6.4819999999999999E-3</x:v>
      </x:c>
      <x:c r="X901">
        <x:f>0</x:f>
        <x:v>0</x:v>
      </x:c>
      <x:c r="Y901">
        <x:f>0</x:f>
        <x:v>0</x:v>
      </x:c>
      <x:c r="Z901">
        <x:f>-0.409348</x:f>
        <x:v>-0.40934799999999999</x:v>
      </x:c>
      <x:c r="AA901">
        <x:f>0</x:f>
        <x:v>0</x:v>
      </x:c>
      <x:c r="AB901">
        <x:f>0</x:f>
        <x:v>0</x:v>
      </x:c>
      <x:c r="AC901">
        <x:f>0</x:f>
        <x:v>0</x:v>
      </x:c>
      <x:c r="AD901">
        <x:f>2.906051</x:f>
        <x:v>2.9060510000000002</x:v>
      </x:c>
      <x:c r="AE901">
        <x:f>0</x:f>
        <x:v>0</x:v>
      </x:c>
      <x:c r="AF901">
        <x:f>0</x:f>
        <x:v>0</x:v>
      </x:c>
      <x:c r="AG901">
        <x:f>0</x:f>
        <x:v>0</x:v>
      </x:c>
    </x:row>
    <x:row r="902" spans="1:33" x14ac:dyDescent="0.25">
      <x:c r="A902" t="str">
        <x:f>"            Strategas Global Policy Opport"</x:f>
        <x:v xml:space="preserve">            Strategas Global Policy Opport</x:v>
      </x:c>
      <x:c r="B902" t="str">
        <x:f>"SAGP US Equity"</x:f>
        <x:v>SAGP US Equity</x:v>
      </x:c>
      <x:c r="E902" t="str">
        <x:f t="shared" si="37"/>
        <x:v>Expression</x:v>
      </x:c>
      <x:c r="F902">
        <x:f ca="1">IF(AND($B$1012=1,LEN($F$1881)&gt;0),$F$1881,HLOOKUP(INDIRECT(ADDRESS(2,COLUMN())),OFFSET($T$2,0,0,ROW()-1,14),ROW()-1,FALSE))</x:f>
        <x:v>-3.7423999999999999</x:v>
      </x:c>
      <x:c r="G902">
        <x:f ca="1">IF(AND($B$1012=1,LEN($G$1881)&gt;0),$G$1881,HLOOKUP(INDIRECT(ADDRESS(2,COLUMN())),OFFSET($T$2,0,0,ROW()-1,14),ROW()-1,FALSE))</x:f>
        <x:v>0.46579999999999999</x:v>
      </x:c>
      <x:c r="H902">
        <x:f ca="1">IF(AND($B$1012=1,LEN($H$1881)&gt;0),$H$1881,HLOOKUP(INDIRECT(ADDRESS(2,COLUMN())),OFFSET($T$2,0,0,ROW()-1,14),ROW()-1,FALSE))</x:f>
        <x:v>0.2482</x:v>
      </x:c>
      <x:c r="I902">
        <x:f ca="1">IF(AND($B$1012=1,LEN($I$1881)&gt;0),$I$1881,HLOOKUP(INDIRECT(ADDRESS(2,COLUMN())),OFFSET($T$2,0,0,ROW()-1,14),ROW()-1,FALSE))</x:f>
        <x:v>0.2477</x:v>
      </x:c>
      <x:c r="J902">
        <x:f ca="1">IF(AND($B$1012=1,LEN($J$1881)&gt;0),$J$1881,HLOOKUP(INDIRECT(ADDRESS(2,COLUMN())),OFFSET($T$2,0,0,ROW()-1,14),ROW()-1,FALSE))</x:f>
        <x:v>0</x:v>
      </x:c>
      <x:c r="K902">
        <x:f ca="1">IF(AND($B$1012=1,LEN($K$1881)&gt;0),$K$1881,HLOOKUP(INDIRECT(ADDRESS(2,COLUMN())),OFFSET($T$2,0,0,ROW()-1,14),ROW()-1,FALSE))</x:f>
        <x:v>0.49959999999999999</x:v>
      </x:c>
      <x:c r="L902">
        <x:f ca="1">IF(AND($B$1012=1,LEN($L$1881)&gt;0),$L$1881,HLOOKUP(INDIRECT(ADDRESS(2,COLUMN())),OFFSET($T$2,0,0,ROW()-1,14),ROW()-1,FALSE))</x:f>
        <x:v>1.2145999999999999</x:v>
      </x:c>
      <x:c r="M902">
        <x:f ca="1">IF(AND($B$1012=1,LEN($M$1881)&gt;0),$M$1881,HLOOKUP(INDIRECT(ADDRESS(2,COLUMN())),OFFSET($T$2,0,0,ROW()-1,14),ROW()-1,FALSE))</x:f>
        <x:v>1.4757</x:v>
      </x:c>
      <x:c r="N902">
        <x:f ca="1">IF(AND($B$1012=1,LEN($N$1881)&gt;0),$N$1881,HLOOKUP(INDIRECT(ADDRESS(2,COLUMN())),OFFSET($T$2,0,0,ROW()-1,14),ROW()-1,FALSE))</x:f>
        <x:v>2.1505000000000001</x:v>
      </x:c>
      <x:c r="O902">
        <x:f ca="1">IF(AND($B$1012=1,LEN($O$1881)&gt;0),$O$1881,HLOOKUP(INDIRECT(ADDRESS(2,COLUMN())),OFFSET($T$2,0,0,ROW()-1,14),ROW()-1,FALSE))</x:f>
        <x:v>4.4438000000000004</x:v>
      </x:c>
      <x:c r="P902">
        <x:f ca="1">IF(AND($B$1012=1,LEN($P$1881)&gt;0),$P$1881,HLOOKUP(INDIRECT(ADDRESS(2,COLUMN())),OFFSET($T$2,0,0,ROW()-1,14),ROW()-1,FALSE))</x:f>
        <x:v>3.1890999999999998</x:v>
      </x:c>
      <x:c r="Q902">
        <x:f ca="1">IF(AND($B$1012=1,LEN($Q$1881)&gt;0),$Q$1881,HLOOKUP(INDIRECT(ADDRESS(2,COLUMN())),OFFSET($T$2,0,0,ROW()-1,14),ROW()-1,FALSE))</x:f>
        <x:v>1.1889000000000001</x:v>
      </x:c>
      <x:c r="R902">
        <x:f ca="1">IF(AND($B$1012=1,LEN($R$1881)&gt;0),$R$1881,HLOOKUP(INDIRECT(ADDRESS(2,COLUMN())),OFFSET($T$2,0,0,ROW()-1,14),ROW()-1,FALSE))</x:f>
        <x:v>0.22339999999999999</x:v>
      </x:c>
      <x:c r="S902">
        <x:f ca="1">IF(AND($B$1012=1,LEN($S$1881)&gt;0),$S$1881,HLOOKUP(INDIRECT(ADDRESS(2,COLUMN())),OFFSET($T$2,0,0,ROW()-1,14),ROW()-1,FALSE))</x:f>
        <x:v>1.3223</x:v>
      </x:c>
      <x:c r="T902">
        <x:f>-3.7424</x:f>
        <x:v>-3.7423999999999999</x:v>
      </x:c>
      <x:c r="U902">
        <x:f>0.4658</x:f>
        <x:v>0.46579999999999999</x:v>
      </x:c>
      <x:c r="V902">
        <x:f>0.2482</x:f>
        <x:v>0.2482</x:v>
      </x:c>
      <x:c r="W902">
        <x:f>0.2477</x:f>
        <x:v>0.2477</x:v>
      </x:c>
      <x:c r="X902">
        <x:f>0</x:f>
        <x:v>0</x:v>
      </x:c>
      <x:c r="Y902">
        <x:f>0.4996</x:f>
        <x:v>0.49959999999999999</x:v>
      </x:c>
      <x:c r="Z902">
        <x:f>1.2146</x:f>
        <x:v>1.2145999999999999</x:v>
      </x:c>
      <x:c r="AA902">
        <x:f>1.4757</x:f>
        <x:v>1.4757</x:v>
      </x:c>
      <x:c r="AB902">
        <x:f>2.1505</x:f>
        <x:v>2.1505000000000001</x:v>
      </x:c>
      <x:c r="AC902">
        <x:f>4.4438</x:f>
        <x:v>4.4438000000000004</x:v>
      </x:c>
      <x:c r="AD902">
        <x:f>3.1891</x:f>
        <x:v>3.1890999999999998</x:v>
      </x:c>
      <x:c r="AE902">
        <x:f>1.1889</x:f>
        <x:v>1.1889000000000001</x:v>
      </x:c>
      <x:c r="AF902">
        <x:f>0.2234</x:f>
        <x:v>0.22339999999999999</x:v>
      </x:c>
      <x:c r="AG902">
        <x:f>1.3223</x:f>
        <x:v>1.3223</x:v>
      </x:c>
    </x:row>
    <x:row r="903" spans="1:33" x14ac:dyDescent="0.25">
      <x:c r="A903" t="str">
        <x:f>"            Strategas Macro Thematic Oppor"</x:f>
        <x:v xml:space="preserve">            Strategas Macro Thematic Oppor</x:v>
      </x:c>
      <x:c r="B903" t="str">
        <x:f>"SAMT US Equity"</x:f>
        <x:v>SAMT US Equity</x:v>
      </x:c>
      <x:c r="E903" t="str">
        <x:f t="shared" si="37"/>
        <x:v>Expression</x:v>
      </x:c>
      <x:c r="F903">
        <x:f ca="1">IF(AND($B$1012=1,LEN($F$1882)&gt;0),$F$1882,HLOOKUP(INDIRECT(ADDRESS(2,COLUMN())),OFFSET($T$2,0,0,ROW()-1,14),ROW()-1,FALSE))</x:f>
        <x:v>0</x:v>
      </x:c>
      <x:c r="G903">
        <x:f ca="1">IF(AND($B$1012=1,LEN($G$1882)&gt;0),$G$1882,HLOOKUP(INDIRECT(ADDRESS(2,COLUMN())),OFFSET($T$2,0,0,ROW()-1,14),ROW()-1,FALSE))</x:f>
        <x:v>-0.22720000000000001</x:v>
      </x:c>
      <x:c r="H903">
        <x:f ca="1">IF(AND($B$1012=1,LEN($H$1882)&gt;0),$H$1882,HLOOKUP(INDIRECT(ADDRESS(2,COLUMN())),OFFSET($T$2,0,0,ROW()-1,14),ROW()-1,FALSE))</x:f>
        <x:v>0</x:v>
      </x:c>
      <x:c r="I903">
        <x:f ca="1">IF(AND($B$1012=1,LEN($I$1882)&gt;0),$I$1882,HLOOKUP(INDIRECT(ADDRESS(2,COLUMN())),OFFSET($T$2,0,0,ROW()-1,14),ROW()-1,FALSE))</x:f>
        <x:v>0.69540000000000002</x:v>
      </x:c>
      <x:c r="J903">
        <x:f ca="1">IF(AND($B$1012=1,LEN($J$1882)&gt;0),$J$1882,HLOOKUP(INDIRECT(ADDRESS(2,COLUMN())),OFFSET($T$2,0,0,ROW()-1,14),ROW()-1,FALSE))</x:f>
        <x:v>-5.6102999999999996</x:v>
      </x:c>
      <x:c r="K903">
        <x:f ca="1">IF(AND($B$1012=1,LEN($K$1882)&gt;0),$K$1882,HLOOKUP(INDIRECT(ADDRESS(2,COLUMN())),OFFSET($T$2,0,0,ROW()-1,14),ROW()-1,FALSE))</x:f>
        <x:v>0</x:v>
      </x:c>
      <x:c r="L903">
        <x:f ca="1">IF(AND($B$1012=1,LEN($L$1882)&gt;0),$L$1882,HLOOKUP(INDIRECT(ADDRESS(2,COLUMN())),OFFSET($T$2,0,0,ROW()-1,14),ROW()-1,FALSE))</x:f>
        <x:v>-1.8044</x:v>
      </x:c>
      <x:c r="M903">
        <x:f ca="1">IF(AND($B$1012=1,LEN($M$1882)&gt;0),$M$1882,HLOOKUP(INDIRECT(ADDRESS(2,COLUMN())),OFFSET($T$2,0,0,ROW()-1,14),ROW()-1,FALSE))</x:f>
        <x:v>-1.5781000000000001</x:v>
      </x:c>
      <x:c r="N903">
        <x:f ca="1">IF(AND($B$1012=1,LEN($N$1882)&gt;0),$N$1882,HLOOKUP(INDIRECT(ADDRESS(2,COLUMN())),OFFSET($T$2,0,0,ROW()-1,14),ROW()-1,FALSE))</x:f>
        <x:v>-6.2900999999999998</x:v>
      </x:c>
      <x:c r="O903">
        <x:f ca="1">IF(AND($B$1012=1,LEN($O$1882)&gt;0),$O$1882,HLOOKUP(INDIRECT(ADDRESS(2,COLUMN())),OFFSET($T$2,0,0,ROW()-1,14),ROW()-1,FALSE))</x:f>
        <x:v>-0.4612</x:v>
      </x:c>
      <x:c r="P903">
        <x:f ca="1">IF(AND($B$1012=1,LEN($P$1882)&gt;0),$P$1882,HLOOKUP(INDIRECT(ADDRESS(2,COLUMN())),OFFSET($T$2,0,0,ROW()-1,14),ROW()-1,FALSE))</x:f>
        <x:v>4.3710000000000004</x:v>
      </x:c>
      <x:c r="Q903">
        <x:f ca="1">IF(AND($B$1012=1,LEN($Q$1882)&gt;0),$Q$1882,HLOOKUP(INDIRECT(ADDRESS(2,COLUMN())),OFFSET($T$2,0,0,ROW()-1,14),ROW()-1,FALSE))</x:f>
        <x:v>3.2625999999999999</x:v>
      </x:c>
      <x:c r="R903">
        <x:f ca="1">IF(AND($B$1012=1,LEN($R$1882)&gt;0),$R$1882,HLOOKUP(INDIRECT(ADDRESS(2,COLUMN())),OFFSET($T$2,0,0,ROW()-1,14),ROW()-1,FALSE))</x:f>
        <x:v>4.4295</x:v>
      </x:c>
      <x:c r="S903">
        <x:f ca="1">IF(AND($B$1012=1,LEN($S$1882)&gt;0),$S$1882,HLOOKUP(INDIRECT(ADDRESS(2,COLUMN())),OFFSET($T$2,0,0,ROW()-1,14),ROW()-1,FALSE))</x:f>
        <x:v>9.6191999999999993</x:v>
      </x:c>
      <x:c r="T903">
        <x:f>0</x:f>
        <x:v>0</x:v>
      </x:c>
      <x:c r="U903">
        <x:f>-0.2272</x:f>
        <x:v>-0.22720000000000001</x:v>
      </x:c>
      <x:c r="V903">
        <x:f>0</x:f>
        <x:v>0</x:v>
      </x:c>
      <x:c r="W903">
        <x:f>0.6954</x:f>
        <x:v>0.69540000000000002</x:v>
      </x:c>
      <x:c r="X903">
        <x:f>-5.6103</x:f>
        <x:v>-5.6102999999999996</x:v>
      </x:c>
      <x:c r="Y903">
        <x:f>0</x:f>
        <x:v>0</x:v>
      </x:c>
      <x:c r="Z903">
        <x:f>-1.8044</x:f>
        <x:v>-1.8044</x:v>
      </x:c>
      <x:c r="AA903">
        <x:f>-1.5781</x:f>
        <x:v>-1.5781000000000001</x:v>
      </x:c>
      <x:c r="AB903">
        <x:f>-6.2901</x:f>
        <x:v>-6.2900999999999998</x:v>
      </x:c>
      <x:c r="AC903">
        <x:f>-0.4612</x:f>
        <x:v>-0.4612</x:v>
      </x:c>
      <x:c r="AD903">
        <x:f>4.371</x:f>
        <x:v>4.3710000000000004</x:v>
      </x:c>
      <x:c r="AE903">
        <x:f>3.2626</x:f>
        <x:v>3.2625999999999999</x:v>
      </x:c>
      <x:c r="AF903">
        <x:f>4.4295</x:f>
        <x:v>4.4295</x:v>
      </x:c>
      <x:c r="AG903">
        <x:f>9.6192</x:f>
        <x:v>9.6191999999999993</x:v>
      </x:c>
    </x:row>
    <x:row r="904" spans="1:33" x14ac:dyDescent="0.25">
      <x:c r="A904" t="str">
        <x:f>"            Amplify Inflation Fighter ETF"</x:f>
        <x:v xml:space="preserve">            Amplify Inflation Fighter ETF</x:v>
      </x:c>
      <x:c r="B904" t="str">
        <x:f>"IWIN US Equity"</x:f>
        <x:v>IWIN US Equity</x:v>
      </x:c>
      <x:c r="E904" t="str">
        <x:f t="shared" si="37"/>
        <x:v>Expression</x:v>
      </x:c>
      <x:c r="F904">
        <x:f ca="1">IF(AND($B$1012=1,LEN($F$1883)&gt;0),$F$1883,HLOOKUP(INDIRECT(ADDRESS(2,COLUMN())),OFFSET($T$2,0,0,ROW()-1,14),ROW()-1,FALSE))</x:f>
        <x:v>0</x:v>
      </x:c>
      <x:c r="G904">
        <x:f ca="1">IF(AND($B$1012=1,LEN($G$1883)&gt;0),$G$1883,HLOOKUP(INDIRECT(ADDRESS(2,COLUMN())),OFFSET($T$2,0,0,ROW()-1,14),ROW()-1,FALSE))</x:f>
        <x:v>0</x:v>
      </x:c>
      <x:c r="H904">
        <x:f ca="1">IF(AND($B$1012=1,LEN($H$1883)&gt;0),$H$1883,HLOOKUP(INDIRECT(ADDRESS(2,COLUMN())),OFFSET($T$2,0,0,ROW()-1,14),ROW()-1,FALSE))</x:f>
        <x:v>0</x:v>
      </x:c>
      <x:c r="I904">
        <x:f ca="1">IF(AND($B$1012=1,LEN($I$1883)&gt;0),$I$1883,HLOOKUP(INDIRECT(ADDRESS(2,COLUMN())),OFFSET($T$2,0,0,ROW()-1,14),ROW()-1,FALSE))</x:f>
        <x:v>-0.61418799999999996</x:v>
      </x:c>
      <x:c r="J904">
        <x:f ca="1">IF(AND($B$1012=1,LEN($J$1883)&gt;0),$J$1883,HLOOKUP(INDIRECT(ADDRESS(2,COLUMN())),OFFSET($T$2,0,0,ROW()-1,14),ROW()-1,FALSE))</x:f>
        <x:v>0</x:v>
      </x:c>
      <x:c r="K904">
        <x:f ca="1">IF(AND($B$1012=1,LEN($K$1883)&gt;0),$K$1883,HLOOKUP(INDIRECT(ADDRESS(2,COLUMN())),OFFSET($T$2,0,0,ROW()-1,14),ROW()-1,FALSE))</x:f>
        <x:v>0</x:v>
      </x:c>
      <x:c r="L904">
        <x:f ca="1">IF(AND($B$1012=1,LEN($L$1883)&gt;0),$L$1883,HLOOKUP(INDIRECT(ADDRESS(2,COLUMN())),OFFSET($T$2,0,0,ROW()-1,14),ROW()-1,FALSE))</x:f>
        <x:v>-0.55493999999999999</x:v>
      </x:c>
      <x:c r="M904">
        <x:f ca="1">IF(AND($B$1012=1,LEN($M$1883)&gt;0),$M$1883,HLOOKUP(INDIRECT(ADDRESS(2,COLUMN())),OFFSET($T$2,0,0,ROW()-1,14),ROW()-1,FALSE))</x:f>
        <x:v>0</x:v>
      </x:c>
      <x:c r="N904">
        <x:f ca="1">IF(AND($B$1012=1,LEN($N$1883)&gt;0),$N$1883,HLOOKUP(INDIRECT(ADDRESS(2,COLUMN())),OFFSET($T$2,0,0,ROW()-1,14),ROW()-1,FALSE))</x:f>
        <x:v>0.53912000000000004</x:v>
      </x:c>
      <x:c r="O904">
        <x:f ca="1">IF(AND($B$1012=1,LEN($O$1883)&gt;0),$O$1883,HLOOKUP(INDIRECT(ADDRESS(2,COLUMN())),OFFSET($T$2,0,0,ROW()-1,14),ROW()-1,FALSE))</x:f>
        <x:v>-2.1610299999999998</x:v>
      </x:c>
      <x:c r="P904">
        <x:f ca="1">IF(AND($B$1012=1,LEN($P$1883)&gt;0),$P$1883,HLOOKUP(INDIRECT(ADDRESS(2,COLUMN())),OFFSET($T$2,0,0,ROW()-1,14),ROW()-1,FALSE))</x:f>
        <x:v>0</x:v>
      </x:c>
      <x:c r="Q904">
        <x:f ca="1">IF(AND($B$1012=1,LEN($Q$1883)&gt;0),$Q$1883,HLOOKUP(INDIRECT(ADDRESS(2,COLUMN())),OFFSET($T$2,0,0,ROW()-1,14),ROW()-1,FALSE))</x:f>
        <x:v>0</x:v>
      </x:c>
      <x:c r="R904">
        <x:f ca="1">IF(AND($B$1012=1,LEN($R$1883)&gt;0),$R$1883,HLOOKUP(INDIRECT(ADDRESS(2,COLUMN())),OFFSET($T$2,0,0,ROW()-1,14),ROW()-1,FALSE))</x:f>
        <x:v>-1.565553</x:v>
      </x:c>
      <x:c r="S904">
        <x:f ca="1">IF(AND($B$1012=1,LEN($S$1883)&gt;0),$S$1883,HLOOKUP(INDIRECT(ADDRESS(2,COLUMN())),OFFSET($T$2,0,0,ROW()-1,14),ROW()-1,FALSE))</x:f>
        <x:v>-1.02359</x:v>
      </x:c>
      <x:c r="T904">
        <x:f>0</x:f>
        <x:v>0</x:v>
      </x:c>
      <x:c r="U904">
        <x:f>0</x:f>
        <x:v>0</x:v>
      </x:c>
      <x:c r="V904">
        <x:f>0</x:f>
        <x:v>0</x:v>
      </x:c>
      <x:c r="W904">
        <x:f>-0.614188</x:f>
        <x:v>-0.61418799999999996</x:v>
      </x:c>
      <x:c r="X904">
        <x:f>0</x:f>
        <x:v>0</x:v>
      </x:c>
      <x:c r="Y904">
        <x:f>0</x:f>
        <x:v>0</x:v>
      </x:c>
      <x:c r="Z904">
        <x:f>-0.55494</x:f>
        <x:v>-0.55493999999999999</x:v>
      </x:c>
      <x:c r="AA904">
        <x:f>0</x:f>
        <x:v>0</x:v>
      </x:c>
      <x:c r="AB904">
        <x:f>0.53912</x:f>
        <x:v>0.53912000000000004</x:v>
      </x:c>
      <x:c r="AC904">
        <x:f>-2.16103</x:f>
        <x:v>-2.1610299999999998</x:v>
      </x:c>
      <x:c r="AD904">
        <x:f>0</x:f>
        <x:v>0</x:v>
      </x:c>
      <x:c r="AE904">
        <x:f>0</x:f>
        <x:v>0</x:v>
      </x:c>
      <x:c r="AF904">
        <x:f>-1.565553</x:f>
        <x:v>-1.565553</x:v>
      </x:c>
      <x:c r="AG904">
        <x:f>-1.02359</x:f>
        <x:v>-1.02359</x:v>
      </x:c>
    </x:row>
    <x:row r="905" spans="1:33" x14ac:dyDescent="0.25">
      <x:c r="A905" t="str">
        <x:f>"            Newday Ocean Health ETF"</x:f>
        <x:v xml:space="preserve">            Newday Ocean Health ETF</x:v>
      </x:c>
      <x:c r="B905" t="str">
        <x:f>"AHOY US Equity"</x:f>
        <x:v>AHOY US Equity</x:v>
      </x:c>
      <x:c r="E905" t="str">
        <x:f t="shared" si="37"/>
        <x:v>Expression</x:v>
      </x:c>
      <x:c r="F905">
        <x:f ca="1">IF(AND($B$1012=1,LEN($F$1884)&gt;0),$F$1884,HLOOKUP(INDIRECT(ADDRESS(2,COLUMN())),OFFSET($T$2,0,0,ROW()-1,14),ROW()-1,FALSE))</x:f>
        <x:v>0</x:v>
      </x:c>
      <x:c r="G905">
        <x:f ca="1">IF(AND($B$1012=1,LEN($G$1884)&gt;0),$G$1884,HLOOKUP(INDIRECT(ADDRESS(2,COLUMN())),OFFSET($T$2,0,0,ROW()-1,14),ROW()-1,FALSE))</x:f>
        <x:v>0</x:v>
      </x:c>
      <x:c r="H905">
        <x:f ca="1">IF(AND($B$1012=1,LEN($H$1884)&gt;0),$H$1884,HLOOKUP(INDIRECT(ADDRESS(2,COLUMN())),OFFSET($T$2,0,0,ROW()-1,14),ROW()-1,FALSE))</x:f>
        <x:v>0.51188500000000003</x:v>
      </x:c>
      <x:c r="I905">
        <x:f ca="1">IF(AND($B$1012=1,LEN($I$1884)&gt;0),$I$1884,HLOOKUP(INDIRECT(ADDRESS(2,COLUMN())),OFFSET($T$2,0,0,ROW()-1,14),ROW()-1,FALSE))</x:f>
        <x:v>0</x:v>
      </x:c>
      <x:c r="J905">
        <x:f ca="1">IF(AND($B$1012=1,LEN($J$1884)&gt;0),$J$1884,HLOOKUP(INDIRECT(ADDRESS(2,COLUMN())),OFFSET($T$2,0,0,ROW()-1,14),ROW()-1,FALSE))</x:f>
        <x:v>0</x:v>
      </x:c>
      <x:c r="K905">
        <x:f ca="1">IF(AND($B$1012=1,LEN($K$1884)&gt;0),$K$1884,HLOOKUP(INDIRECT(ADDRESS(2,COLUMN())),OFFSET($T$2,0,0,ROW()-1,14),ROW()-1,FALSE))</x:f>
        <x:v>0</x:v>
      </x:c>
      <x:c r="L905">
        <x:f ca="1">IF(AND($B$1012=1,LEN($L$1884)&gt;0),$L$1884,HLOOKUP(INDIRECT(ADDRESS(2,COLUMN())),OFFSET($T$2,0,0,ROW()-1,14),ROW()-1,FALSE))</x:f>
        <x:v>0</x:v>
      </x:c>
      <x:c r="M905">
        <x:f ca="1">IF(AND($B$1012=1,LEN($M$1884)&gt;0),$M$1884,HLOOKUP(INDIRECT(ADDRESS(2,COLUMN())),OFFSET($T$2,0,0,ROW()-1,14),ROW()-1,FALSE))</x:f>
        <x:v>0</x:v>
      </x:c>
      <x:c r="N905">
        <x:f ca="1">IF(AND($B$1012=1,LEN($N$1884)&gt;0),$N$1884,HLOOKUP(INDIRECT(ADDRESS(2,COLUMN())),OFFSET($T$2,0,0,ROW()-1,14),ROW()-1,FALSE))</x:f>
        <x:v>0.47495500000000002</x:v>
      </x:c>
      <x:c r="O905">
        <x:f ca="1">IF(AND($B$1012=1,LEN($O$1884)&gt;0),$O$1884,HLOOKUP(INDIRECT(ADDRESS(2,COLUMN())),OFFSET($T$2,0,0,ROW()-1,14),ROW()-1,FALSE))</x:f>
        <x:v>0</x:v>
      </x:c>
      <x:c r="P905">
        <x:f ca="1">IF(AND($B$1012=1,LEN($P$1884)&gt;0),$P$1884,HLOOKUP(INDIRECT(ADDRESS(2,COLUMN())),OFFSET($T$2,0,0,ROW()-1,14),ROW()-1,FALSE))</x:f>
        <x:v>0</x:v>
      </x:c>
      <x:c r="Q905">
        <x:f ca="1">IF(AND($B$1012=1,LEN($Q$1884)&gt;0),$Q$1884,HLOOKUP(INDIRECT(ADDRESS(2,COLUMN())),OFFSET($T$2,0,0,ROW()-1,14),ROW()-1,FALSE))</x:f>
        <x:v>0</x:v>
      </x:c>
      <x:c r="R905">
        <x:f ca="1">IF(AND($B$1012=1,LEN($R$1884)&gt;0),$R$1884,HLOOKUP(INDIRECT(ADDRESS(2,COLUMN())),OFFSET($T$2,0,0,ROW()-1,14),ROW()-1,FALSE))</x:f>
        <x:v>0</x:v>
      </x:c>
      <x:c r="S905">
        <x:f ca="1">IF(AND($B$1012=1,LEN($S$1884)&gt;0),$S$1884,HLOOKUP(INDIRECT(ADDRESS(2,COLUMN())),OFFSET($T$2,0,0,ROW()-1,14),ROW()-1,FALSE))</x:f>
        <x:v>0</x:v>
      </x:c>
      <x:c r="T905">
        <x:f>0</x:f>
        <x:v>0</x:v>
      </x:c>
      <x:c r="U905">
        <x:f>0</x:f>
        <x:v>0</x:v>
      </x:c>
      <x:c r="V905">
        <x:f>0.511885</x:f>
        <x:v>0.51188500000000003</x:v>
      </x:c>
      <x:c r="W905">
        <x:f>0</x:f>
        <x:v>0</x:v>
      </x:c>
      <x:c r="X905">
        <x:f>0</x:f>
        <x:v>0</x:v>
      </x:c>
      <x:c r="Y905">
        <x:f>0</x:f>
        <x:v>0</x:v>
      </x:c>
      <x:c r="Z905">
        <x:f>0</x:f>
        <x:v>0</x:v>
      </x:c>
      <x:c r="AA905">
        <x:f>0</x:f>
        <x:v>0</x:v>
      </x:c>
      <x:c r="AB905">
        <x:f>0.474955</x:f>
        <x:v>0.47495500000000002</x:v>
      </x:c>
      <x:c r="AC905">
        <x:f>0</x:f>
        <x:v>0</x:v>
      </x:c>
      <x:c r="AD905">
        <x:f>0</x:f>
        <x:v>0</x:v>
      </x:c>
      <x:c r="AE905">
        <x:f>0</x:f>
        <x:v>0</x:v>
      </x:c>
      <x:c r="AF905">
        <x:f>0</x:f>
        <x:v>0</x:v>
      </x:c>
      <x:c r="AG905">
        <x:f>0</x:f>
        <x:v>0</x:v>
      </x:c>
    </x:row>
    <x:row r="906" spans="1:33" x14ac:dyDescent="0.25">
      <x:c r="A906" t="str">
        <x:f>"            Axs Change Finance ESG ETF"</x:f>
        <x:v xml:space="preserve">            Axs Change Finance ESG ETF</x:v>
      </x:c>
      <x:c r="B906" t="str">
        <x:f>"CHGX US Equity"</x:f>
        <x:v>CHGX US Equity</x:v>
      </x:c>
      <x:c r="E906" t="str">
        <x:f t="shared" si="37"/>
        <x:v>Expression</x:v>
      </x:c>
      <x:c r="F906">
        <x:f ca="1">IF(AND($B$1012=1,LEN($F$1885)&gt;0),$F$1885,HLOOKUP(INDIRECT(ADDRESS(2,COLUMN())),OFFSET($T$2,0,0,ROW()-1,14),ROW()-1,FALSE))</x:f>
        <x:v>0</x:v>
      </x:c>
      <x:c r="G906">
        <x:f ca="1">IF(AND($B$1012=1,LEN($G$1885)&gt;0),$G$1885,HLOOKUP(INDIRECT(ADDRESS(2,COLUMN())),OFFSET($T$2,0,0,ROW()-1,14),ROW()-1,FALSE))</x:f>
        <x:v>-0.71713499999999997</x:v>
      </x:c>
      <x:c r="H906">
        <x:f ca="1">IF(AND($B$1012=1,LEN($H$1885)&gt;0),$H$1885,HLOOKUP(INDIRECT(ADDRESS(2,COLUMN())),OFFSET($T$2,0,0,ROW()-1,14),ROW()-1,FALSE))</x:f>
        <x:v>4.2499999999999998E-4</x:v>
      </x:c>
      <x:c r="I906">
        <x:f ca="1">IF(AND($B$1012=1,LEN($I$1885)&gt;0),$I$1885,HLOOKUP(INDIRECT(ADDRESS(2,COLUMN())),OFFSET($T$2,0,0,ROW()-1,14),ROW()-1,FALSE))</x:f>
        <x:v>0.76512000000000002</x:v>
      </x:c>
      <x:c r="J906">
        <x:f ca="1">IF(AND($B$1012=1,LEN($J$1885)&gt;0),$J$1885,HLOOKUP(INDIRECT(ADDRESS(2,COLUMN())),OFFSET($T$2,0,0,ROW()-1,14),ROW()-1,FALSE))</x:f>
        <x:v>2.8320000000000001E-2</x:v>
      </x:c>
      <x:c r="K906">
        <x:f ca="1">IF(AND($B$1012=1,LEN($K$1885)&gt;0),$K$1885,HLOOKUP(INDIRECT(ADDRESS(2,COLUMN())),OFFSET($T$2,0,0,ROW()-1,14),ROW()-1,FALSE))</x:f>
        <x:v>-1.7454750000000001</x:v>
      </x:c>
      <x:c r="L906">
        <x:f ca="1">IF(AND($B$1012=1,LEN($L$1885)&gt;0),$L$1885,HLOOKUP(INDIRECT(ADDRESS(2,COLUMN())),OFFSET($T$2,0,0,ROW()-1,14),ROW()-1,FALSE))</x:f>
        <x:v>-0.72249699999999994</x:v>
      </x:c>
      <x:c r="M906">
        <x:f ca="1">IF(AND($B$1012=1,LEN($M$1885)&gt;0),$M$1885,HLOOKUP(INDIRECT(ADDRESS(2,COLUMN())),OFFSET($T$2,0,0,ROW()-1,14),ROW()-1,FALSE))</x:f>
        <x:v>2.4220000000000001E-3</x:v>
      </x:c>
      <x:c r="N906">
        <x:f ca="1">IF(AND($B$1012=1,LEN($N$1885)&gt;0),$N$1885,HLOOKUP(INDIRECT(ADDRESS(2,COLUMN())),OFFSET($T$2,0,0,ROW()-1,14),ROW()-1,FALSE))</x:f>
        <x:v>0.67027999999999999</x:v>
      </x:c>
      <x:c r="O906">
        <x:f ca="1">IF(AND($B$1012=1,LEN($O$1885)&gt;0),$O$1885,HLOOKUP(INDIRECT(ADDRESS(2,COLUMN())),OFFSET($T$2,0,0,ROW()-1,14),ROW()-1,FALSE))</x:f>
        <x:v>1.4632050000000001</x:v>
      </x:c>
      <x:c r="P906">
        <x:f ca="1">IF(AND($B$1012=1,LEN($P$1885)&gt;0),$P$1885,HLOOKUP(INDIRECT(ADDRESS(2,COLUMN())),OFFSET($T$2,0,0,ROW()-1,14),ROW()-1,FALSE))</x:f>
        <x:v>0</x:v>
      </x:c>
      <x:c r="Q906">
        <x:f ca="1">IF(AND($B$1012=1,LEN($Q$1885)&gt;0),$Q$1885,HLOOKUP(INDIRECT(ADDRESS(2,COLUMN())),OFFSET($T$2,0,0,ROW()-1,14),ROW()-1,FALSE))</x:f>
        <x:v>3.4084219999999998</x:v>
      </x:c>
      <x:c r="R906">
        <x:f ca="1">IF(AND($B$1012=1,LEN($R$1885)&gt;0),$R$1885,HLOOKUP(INDIRECT(ADDRESS(2,COLUMN())),OFFSET($T$2,0,0,ROW()-1,14),ROW()-1,FALSE))</x:f>
        <x:v>6.2730600000000001</x:v>
      </x:c>
      <x:c r="S906">
        <x:f ca="1">IF(AND($B$1012=1,LEN($S$1885)&gt;0),$S$1885,HLOOKUP(INDIRECT(ADDRESS(2,COLUMN())),OFFSET($T$2,0,0,ROW()-1,14),ROW()-1,FALSE))</x:f>
        <x:v>-3.3035950000000001</x:v>
      </x:c>
      <x:c r="T906">
        <x:f>0</x:f>
        <x:v>0</x:v>
      </x:c>
      <x:c r="U906">
        <x:f>-0.717135</x:f>
        <x:v>-0.71713499999999997</x:v>
      </x:c>
      <x:c r="V906">
        <x:f>0.000425</x:f>
        <x:v>4.2499999999999998E-4</x:v>
      </x:c>
      <x:c r="W906">
        <x:f>0.76512</x:f>
        <x:v>0.76512000000000002</x:v>
      </x:c>
      <x:c r="X906">
        <x:f>0.02832</x:f>
        <x:v>2.8320000000000001E-2</x:v>
      </x:c>
      <x:c r="Y906">
        <x:f>-1.745475</x:f>
        <x:v>-1.7454750000000001</x:v>
      </x:c>
      <x:c r="Z906">
        <x:f>-0.722497</x:f>
        <x:v>-0.72249699999999994</x:v>
      </x:c>
      <x:c r="AA906">
        <x:f>0.002422</x:f>
        <x:v>2.4220000000000001E-3</x:v>
      </x:c>
      <x:c r="AB906">
        <x:f>0.67028</x:f>
        <x:v>0.67027999999999999</x:v>
      </x:c>
      <x:c r="AC906">
        <x:f>1.463205</x:f>
        <x:v>1.4632050000000001</x:v>
      </x:c>
      <x:c r="AD906">
        <x:f>0</x:f>
        <x:v>0</x:v>
      </x:c>
      <x:c r="AE906">
        <x:f>3.408422</x:f>
        <x:v>3.4084219999999998</x:v>
      </x:c>
      <x:c r="AF906">
        <x:f>6.27306</x:f>
        <x:v>6.2730600000000001</x:v>
      </x:c>
      <x:c r="AG906">
        <x:f>-3.303595</x:f>
        <x:v>-3.3035950000000001</x:v>
      </x:c>
    </x:row>
    <x:row r="907" spans="1:33" x14ac:dyDescent="0.25">
      <x:c r="A907" t="str">
        <x:f>"            JPMorgan Sustainable Consumpti"</x:f>
        <x:v xml:space="preserve">            JPMorgan Sustainable Consumpti</x:v>
      </x:c>
      <x:c r="B907" t="str">
        <x:f>"CIRC US Equity"</x:f>
        <x:v>CIRC US Equity</x:v>
      </x:c>
      <x:c r="E907" t="str">
        <x:f t="shared" si="37"/>
        <x:v>Expression</x:v>
      </x:c>
      <x:c r="F907">
        <x:f ca="1">IF(AND($B$1012=1,LEN($F$1886)&gt;0),$F$1886,HLOOKUP(INDIRECT(ADDRESS(2,COLUMN())),OFFSET($T$2,0,0,ROW()-1,14),ROW()-1,FALSE))</x:f>
        <x:v>0</x:v>
      </x:c>
      <x:c r="G907">
        <x:f ca="1">IF(AND($B$1012=1,LEN($G$1886)&gt;0),$G$1886,HLOOKUP(INDIRECT(ADDRESS(2,COLUMN())),OFFSET($T$2,0,0,ROW()-1,14),ROW()-1,FALSE))</x:f>
        <x:v>0</x:v>
      </x:c>
      <x:c r="H907">
        <x:f ca="1">IF(AND($B$1012=1,LEN($H$1886)&gt;0),$H$1886,HLOOKUP(INDIRECT(ADDRESS(2,COLUMN())),OFFSET($T$2,0,0,ROW()-1,14),ROW()-1,FALSE))</x:f>
        <x:v>0</x:v>
      </x:c>
      <x:c r="I907">
        <x:f ca="1">IF(AND($B$1012=1,LEN($I$1886)&gt;0),$I$1886,HLOOKUP(INDIRECT(ADDRESS(2,COLUMN())),OFFSET($T$2,0,0,ROW()-1,14),ROW()-1,FALSE))</x:f>
        <x:v>0</x:v>
      </x:c>
      <x:c r="J907">
        <x:f ca="1">IF(AND($B$1012=1,LEN($J$1886)&gt;0),$J$1886,HLOOKUP(INDIRECT(ADDRESS(2,COLUMN())),OFFSET($T$2,0,0,ROW()-1,14),ROW()-1,FALSE))</x:f>
        <x:v>0</x:v>
      </x:c>
      <x:c r="K907">
        <x:f ca="1">IF(AND($B$1012=1,LEN($K$1886)&gt;0),$K$1886,HLOOKUP(INDIRECT(ADDRESS(2,COLUMN())),OFFSET($T$2,0,0,ROW()-1,14),ROW()-1,FALSE))</x:f>
        <x:v>0</x:v>
      </x:c>
      <x:c r="L907">
        <x:f ca="1">IF(AND($B$1012=1,LEN($L$1886)&gt;0),$L$1886,HLOOKUP(INDIRECT(ADDRESS(2,COLUMN())),OFFSET($T$2,0,0,ROW()-1,14),ROW()-1,FALSE))</x:f>
        <x:v>0</x:v>
      </x:c>
      <x:c r="M907">
        <x:f ca="1">IF(AND($B$1012=1,LEN($M$1886)&gt;0),$M$1886,HLOOKUP(INDIRECT(ADDRESS(2,COLUMN())),OFFSET($T$2,0,0,ROW()-1,14),ROW()-1,FALSE))</x:f>
        <x:v>0</x:v>
      </x:c>
      <x:c r="N907">
        <x:f ca="1">IF(AND($B$1012=1,LEN($N$1886)&gt;0),$N$1886,HLOOKUP(INDIRECT(ADDRESS(2,COLUMN())),OFFSET($T$2,0,0,ROW()-1,14),ROW()-1,FALSE))</x:f>
        <x:v>0</x:v>
      </x:c>
      <x:c r="O907">
        <x:f ca="1">IF(AND($B$1012=1,LEN($O$1886)&gt;0),$O$1886,HLOOKUP(INDIRECT(ADDRESS(2,COLUMN())),OFFSET($T$2,0,0,ROW()-1,14),ROW()-1,FALSE))</x:f>
        <x:v>0</x:v>
      </x:c>
      <x:c r="P907">
        <x:f ca="1">IF(AND($B$1012=1,LEN($P$1886)&gt;0),$P$1886,HLOOKUP(INDIRECT(ADDRESS(2,COLUMN())),OFFSET($T$2,0,0,ROW()-1,14),ROW()-1,FALSE))</x:f>
        <x:v>0</x:v>
      </x:c>
      <x:c r="Q907">
        <x:f ca="1">IF(AND($B$1012=1,LEN($Q$1886)&gt;0),$Q$1886,HLOOKUP(INDIRECT(ADDRESS(2,COLUMN())),OFFSET($T$2,0,0,ROW()-1,14),ROW()-1,FALSE))</x:f>
        <x:v>0</x:v>
      </x:c>
      <x:c r="R907">
        <x:f ca="1">IF(AND($B$1012=1,LEN($R$1886)&gt;0),$R$1886,HLOOKUP(INDIRECT(ADDRESS(2,COLUMN())),OFFSET($T$2,0,0,ROW()-1,14),ROW()-1,FALSE))</x:f>
        <x:v>0</x:v>
      </x:c>
      <x:c r="S907">
        <x:f ca="1">IF(AND($B$1012=1,LEN($S$1886)&gt;0),$S$1886,HLOOKUP(INDIRECT(ADDRESS(2,COLUMN())),OFFSET($T$2,0,0,ROW()-1,14),ROW()-1,FALSE))</x:f>
        <x:v>0</x:v>
      </x:c>
      <x:c r="T907">
        <x:f>0</x:f>
        <x:v>0</x:v>
      </x:c>
      <x:c r="U907">
        <x:f>0</x:f>
        <x:v>0</x:v>
      </x:c>
      <x:c r="V907">
        <x:f>0</x:f>
        <x:v>0</x:v>
      </x:c>
      <x:c r="W907">
        <x:f>0</x:f>
        <x:v>0</x:v>
      </x:c>
      <x:c r="X907">
        <x:f>0</x:f>
        <x:v>0</x:v>
      </x:c>
      <x:c r="Y907">
        <x:f>0</x:f>
        <x:v>0</x:v>
      </x:c>
      <x:c r="Z907">
        <x:f>0</x:f>
        <x:v>0</x:v>
      </x:c>
      <x:c r="AA907">
        <x:f>0</x:f>
        <x:v>0</x:v>
      </x:c>
      <x:c r="AB907">
        <x:f>0</x:f>
        <x:v>0</x:v>
      </x:c>
      <x:c r="AC907">
        <x:f>0</x:f>
        <x:v>0</x:v>
      </x:c>
      <x:c r="AD907">
        <x:f>0</x:f>
        <x:v>0</x:v>
      </x:c>
      <x:c r="AE907">
        <x:f>0</x:f>
        <x:v>0</x:v>
      </x:c>
      <x:c r="AF907">
        <x:f>0</x:f>
        <x:v>0</x:v>
      </x:c>
      <x:c r="AG907">
        <x:f>0</x:f>
        <x:v>0</x:v>
      </x:c>
    </x:row>
    <x:row r="908" spans="1:33" x14ac:dyDescent="0.25">
      <x:c r="A908" t="str">
        <x:f>"            First Trust Bloomberg Inflatio"</x:f>
        <x:v xml:space="preserve">            First Trust Bloomberg Inflatio</x:v>
      </x:c>
      <x:c r="B908" t="str">
        <x:f>"FTIF US Equity"</x:f>
        <x:v>FTIF US Equity</x:v>
      </x:c>
      <x:c r="E908" t="str">
        <x:f t="shared" si="37"/>
        <x:v>Expression</x:v>
      </x:c>
      <x:c r="F908">
        <x:f ca="1">IF(AND($B$1012=1,LEN($F$1887)&gt;0),$F$1887,HLOOKUP(INDIRECT(ADDRESS(2,COLUMN())),OFFSET($T$2,0,0,ROW()-1,14),ROW()-1,FALSE))</x:f>
        <x:v>0</x:v>
      </x:c>
      <x:c r="G908">
        <x:f ca="1">IF(AND($B$1012=1,LEN($G$1887)&gt;0),$G$1887,HLOOKUP(INDIRECT(ADDRESS(2,COLUMN())),OFFSET($T$2,0,0,ROW()-1,14),ROW()-1,FALSE))</x:f>
        <x:v>0</x:v>
      </x:c>
      <x:c r="H908">
        <x:f ca="1">IF(AND($B$1012=1,LEN($H$1887)&gt;0),$H$1887,HLOOKUP(INDIRECT(ADDRESS(2,COLUMN())),OFFSET($T$2,0,0,ROW()-1,14),ROW()-1,FALSE))</x:f>
        <x:v>0</x:v>
      </x:c>
      <x:c r="I908">
        <x:f ca="1">IF(AND($B$1012=1,LEN($I$1887)&gt;0),$I$1887,HLOOKUP(INDIRECT(ADDRESS(2,COLUMN())),OFFSET($T$2,0,0,ROW()-1,14),ROW()-1,FALSE))</x:f>
        <x:v>0</x:v>
      </x:c>
      <x:c r="J908">
        <x:f ca="1">IF(AND($B$1012=1,LEN($J$1887)&gt;0),$J$1887,HLOOKUP(INDIRECT(ADDRESS(2,COLUMN())),OFFSET($T$2,0,0,ROW()-1,14),ROW()-1,FALSE))</x:f>
        <x:v>2.5000000000000001E-3</x:v>
      </x:c>
      <x:c r="K908">
        <x:f ca="1">IF(AND($B$1012=1,LEN($K$1887)&gt;0),$K$1887,HLOOKUP(INDIRECT(ADDRESS(2,COLUMN())),OFFSET($T$2,0,0,ROW()-1,14),ROW()-1,FALSE))</x:f>
        <x:v>0</x:v>
      </x:c>
      <x:c r="L908">
        <x:f ca="1">IF(AND($B$1012=1,LEN($L$1887)&gt;0),$L$1887,HLOOKUP(INDIRECT(ADDRESS(2,COLUMN())),OFFSET($T$2,0,0,ROW()-1,14),ROW()-1,FALSE))</x:f>
        <x:v>0</x:v>
      </x:c>
      <x:c r="M908">
        <x:f ca="1">IF(AND($B$1012=1,LEN($M$1887)&gt;0),$M$1887,HLOOKUP(INDIRECT(ADDRESS(2,COLUMN())),OFFSET($T$2,0,0,ROW()-1,14),ROW()-1,FALSE))</x:f>
        <x:v>0</x:v>
      </x:c>
      <x:c r="N908">
        <x:f ca="1">IF(AND($B$1012=1,LEN($N$1887)&gt;0),$N$1887,HLOOKUP(INDIRECT(ADDRESS(2,COLUMN())),OFFSET($T$2,0,0,ROW()-1,14),ROW()-1,FALSE))</x:f>
        <x:v>0</x:v>
      </x:c>
      <x:c r="O908" t="str">
        <x:f ca="1">IF(AND($B$1012=1,LEN($O$1887)&gt;0),$O$1887,HLOOKUP(INDIRECT(ADDRESS(2,COLUMN())),OFFSET($T$2,0,0,ROW()-1,14),ROW()-1,FALSE))</x:f>
        <x:v/>
      </x:c>
      <x:c r="P908" t="str">
        <x:f ca="1">IF(AND($B$1012=1,LEN($P$1887)&gt;0),$P$1887,HLOOKUP(INDIRECT(ADDRESS(2,COLUMN())),OFFSET($T$2,0,0,ROW()-1,14),ROW()-1,FALSE))</x:f>
        <x:v/>
      </x:c>
      <x:c r="Q908" t="str">
        <x:f ca="1">IF(AND($B$1012=1,LEN($Q$1887)&gt;0),$Q$1887,HLOOKUP(INDIRECT(ADDRESS(2,COLUMN())),OFFSET($T$2,0,0,ROW()-1,14),ROW()-1,FALSE))</x:f>
        <x:v/>
      </x:c>
      <x:c r="R908" t="str">
        <x:f ca="1">IF(AND($B$1012=1,LEN($R$1887)&gt;0),$R$1887,HLOOKUP(INDIRECT(ADDRESS(2,COLUMN())),OFFSET($T$2,0,0,ROW()-1,14),ROW()-1,FALSE))</x:f>
        <x:v/>
      </x:c>
      <x:c r="S908" t="str">
        <x:f ca="1">IF(AND($B$1012=1,LEN($S$1887)&gt;0),$S$1887,HLOOKUP(INDIRECT(ADDRESS(2,COLUMN())),OFFSET($T$2,0,0,ROW()-1,14),ROW()-1,FALSE))</x:f>
        <x:v/>
      </x:c>
      <x:c r="T908">
        <x:f>0</x:f>
        <x:v>0</x:v>
      </x:c>
      <x:c r="U908">
        <x:f>0</x:f>
        <x:v>0</x:v>
      </x:c>
      <x:c r="V908">
        <x:f>0</x:f>
        <x:v>0</x:v>
      </x:c>
      <x:c r="W908">
        <x:f>0</x:f>
        <x:v>0</x:v>
      </x:c>
      <x:c r="X908">
        <x:f>0.0025</x:f>
        <x:v>2.5000000000000001E-3</x:v>
      </x:c>
      <x:c r="Y908">
        <x:f>0</x:f>
        <x:v>0</x:v>
      </x:c>
      <x:c r="Z908">
        <x:f>0</x:f>
        <x:v>0</x:v>
      </x:c>
      <x:c r="AA908">
        <x:f>0</x:f>
        <x:v>0</x:v>
      </x:c>
      <x:c r="AB908">
        <x:f>0</x:f>
        <x:v>0</x:v>
      </x:c>
      <x:c r="AC908" t="str">
        <x:f>""</x:f>
        <x:v/>
      </x:c>
      <x:c r="AD908" t="str">
        <x:f>""</x:f>
        <x:v/>
      </x:c>
      <x:c r="AE908" t="str">
        <x:f>""</x:f>
        <x:v/>
      </x:c>
      <x:c r="AF908" t="str">
        <x:f>""</x:f>
        <x:v/>
      </x:c>
      <x:c r="AG908" t="str">
        <x:f>""</x:f>
        <x:v/>
      </x:c>
    </x:row>
    <x:row r="909" spans="1:33" x14ac:dyDescent="0.25">
      <x:c r="A909" t="str">
        <x:f>"            Global X Funds-Global X Green"</x:f>
        <x:v xml:space="preserve">            Global X Funds-Global X Green</x:v>
      </x:c>
      <x:c r="B909" t="str">
        <x:f>"GRNR US Equity"</x:f>
        <x:v>GRNR US Equity</x:v>
      </x:c>
      <x:c r="E909" t="str">
        <x:f t="shared" si="37"/>
        <x:v>Expression</x:v>
      </x:c>
      <x:c r="F909">
        <x:f ca="1">IF(AND($B$1012=1,LEN($F$1888)&gt;0),$F$1888,HLOOKUP(INDIRECT(ADDRESS(2,COLUMN())),OFFSET($T$2,0,0,ROW()-1,14),ROW()-1,FALSE))</x:f>
        <x:v>0</x:v>
      </x:c>
      <x:c r="G909">
        <x:f ca="1">IF(AND($B$1012=1,LEN($G$1888)&gt;0),$G$1888,HLOOKUP(INDIRECT(ADDRESS(2,COLUMN())),OFFSET($T$2,0,0,ROW()-1,14),ROW()-1,FALSE))</x:f>
        <x:v>0</x:v>
      </x:c>
      <x:c r="H909">
        <x:f ca="1">IF(AND($B$1012=1,LEN($H$1888)&gt;0),$H$1888,HLOOKUP(INDIRECT(ADDRESS(2,COLUMN())),OFFSET($T$2,0,0,ROW()-1,14),ROW()-1,FALSE))</x:f>
        <x:v>0</x:v>
      </x:c>
      <x:c r="I909">
        <x:f ca="1">IF(AND($B$1012=1,LEN($I$1888)&gt;0),$I$1888,HLOOKUP(INDIRECT(ADDRESS(2,COLUMN())),OFFSET($T$2,0,0,ROW()-1,14),ROW()-1,FALSE))</x:f>
        <x:v>0</x:v>
      </x:c>
      <x:c r="J909">
        <x:f ca="1">IF(AND($B$1012=1,LEN($J$1888)&gt;0),$J$1888,HLOOKUP(INDIRECT(ADDRESS(2,COLUMN())),OFFSET($T$2,0,0,ROW()-1,14),ROW()-1,FALSE))</x:f>
        <x:v>0</x:v>
      </x:c>
      <x:c r="K909">
        <x:f ca="1">IF(AND($B$1012=1,LEN($K$1888)&gt;0),$K$1888,HLOOKUP(INDIRECT(ADDRESS(2,COLUMN())),OFFSET($T$2,0,0,ROW()-1,14),ROW()-1,FALSE))</x:f>
        <x:v>0</x:v>
      </x:c>
      <x:c r="L909">
        <x:f ca="1">IF(AND($B$1012=1,LEN($L$1888)&gt;0),$L$1888,HLOOKUP(INDIRECT(ADDRESS(2,COLUMN())),OFFSET($T$2,0,0,ROW()-1,14),ROW()-1,FALSE))</x:f>
        <x:v>0</x:v>
      </x:c>
      <x:c r="M909">
        <x:f ca="1">IF(AND($B$1012=1,LEN($M$1888)&gt;0),$M$1888,HLOOKUP(INDIRECT(ADDRESS(2,COLUMN())),OFFSET($T$2,0,0,ROW()-1,14),ROW()-1,FALSE))</x:f>
        <x:v>0</x:v>
      </x:c>
      <x:c r="N909">
        <x:f ca="1">IF(AND($B$1012=1,LEN($N$1888)&gt;0),$N$1888,HLOOKUP(INDIRECT(ADDRESS(2,COLUMN())),OFFSET($T$2,0,0,ROW()-1,14),ROW()-1,FALSE))</x:f>
        <x:v>0</x:v>
      </x:c>
      <x:c r="O909">
        <x:f ca="1">IF(AND($B$1012=1,LEN($O$1888)&gt;0),$O$1888,HLOOKUP(INDIRECT(ADDRESS(2,COLUMN())),OFFSET($T$2,0,0,ROW()-1,14),ROW()-1,FALSE))</x:f>
        <x:v>-1.47E-2</x:v>
      </x:c>
      <x:c r="P909">
        <x:f ca="1">IF(AND($B$1012=1,LEN($P$1888)&gt;0),$P$1888,HLOOKUP(INDIRECT(ADDRESS(2,COLUMN())),OFFSET($T$2,0,0,ROW()-1,14),ROW()-1,FALSE))</x:f>
        <x:v>0</x:v>
      </x:c>
      <x:c r="Q909">
        <x:f ca="1">IF(AND($B$1012=1,LEN($Q$1888)&gt;0),$Q$1888,HLOOKUP(INDIRECT(ADDRESS(2,COLUMN())),OFFSET($T$2,0,0,ROW()-1,14),ROW()-1,FALSE))</x:f>
        <x:v>0</x:v>
      </x:c>
      <x:c r="R909">
        <x:f ca="1">IF(AND($B$1012=1,LEN($R$1888)&gt;0),$R$1888,HLOOKUP(INDIRECT(ADDRESS(2,COLUMN())),OFFSET($T$2,0,0,ROW()-1,14),ROW()-1,FALSE))</x:f>
        <x:v>0</x:v>
      </x:c>
      <x:c r="S909">
        <x:f ca="1">IF(AND($B$1012=1,LEN($S$1888)&gt;0),$S$1888,HLOOKUP(INDIRECT(ADDRESS(2,COLUMN())),OFFSET($T$2,0,0,ROW()-1,14),ROW()-1,FALSE))</x:f>
        <x:v>0</x:v>
      </x:c>
      <x:c r="T909">
        <x:f>0</x:f>
        <x:v>0</x:v>
      </x:c>
      <x:c r="U909">
        <x:f>0</x:f>
        <x:v>0</x:v>
      </x:c>
      <x:c r="V909">
        <x:f>0</x:f>
        <x:v>0</x:v>
      </x:c>
      <x:c r="W909">
        <x:f>0</x:f>
        <x:v>0</x:v>
      </x:c>
      <x:c r="X909">
        <x:f>0</x:f>
        <x:v>0</x:v>
      </x:c>
      <x:c r="Y909">
        <x:f>0</x:f>
        <x:v>0</x:v>
      </x:c>
      <x:c r="Z909">
        <x:f>0</x:f>
        <x:v>0</x:v>
      </x:c>
      <x:c r="AA909">
        <x:f>0</x:f>
        <x:v>0</x:v>
      </x:c>
      <x:c r="AB909">
        <x:f>0</x:f>
        <x:v>0</x:v>
      </x:c>
      <x:c r="AC909">
        <x:f>-0.0147</x:f>
        <x:v>-1.47E-2</x:v>
      </x:c>
      <x:c r="AD909">
        <x:f>0</x:f>
        <x:v>0</x:v>
      </x:c>
      <x:c r="AE909">
        <x:f>0</x:f>
        <x:v>0</x:v>
      </x:c>
      <x:c r="AF909">
        <x:f>0</x:f>
        <x:v>0</x:v>
      </x:c>
      <x:c r="AG909">
        <x:f>0</x:f>
        <x:v>0</x:v>
      </x:c>
    </x:row>
    <x:row r="910" spans="1:33" x14ac:dyDescent="0.25">
      <x:c r="A910" t="str">
        <x:f>"            Harbor ETF Trust - Harbor Corp"</x:f>
        <x:v xml:space="preserve">            Harbor ETF Trust - Harbor Corp</x:v>
      </x:c>
      <x:c r="B910" t="str">
        <x:f>"HAPI US Equity"</x:f>
        <x:v>HAPI US Equity</x:v>
      </x:c>
      <x:c r="E910" t="str">
        <x:f t="shared" si="37"/>
        <x:v>Expression</x:v>
      </x:c>
      <x:c r="F910">
        <x:f ca="1">IF(AND($B$1012=1,LEN($F$1889)&gt;0),$F$1889,HLOOKUP(INDIRECT(ADDRESS(2,COLUMN())),OFFSET($T$2,0,0,ROW()-1,14),ROW()-1,FALSE))</x:f>
        <x:v>0</x:v>
      </x:c>
      <x:c r="G910">
        <x:f ca="1">IF(AND($B$1012=1,LEN($G$1889)&gt;0),$G$1889,HLOOKUP(INDIRECT(ADDRESS(2,COLUMN())),OFFSET($T$2,0,0,ROW()-1,14),ROW()-1,FALSE))</x:f>
        <x:v>0.63517000000000001</x:v>
      </x:c>
      <x:c r="H910">
        <x:f ca="1">IF(AND($B$1012=1,LEN($H$1889)&gt;0),$H$1889,HLOOKUP(INDIRECT(ADDRESS(2,COLUMN())),OFFSET($T$2,0,0,ROW()-1,14),ROW()-1,FALSE))</x:f>
        <x:v>0</x:v>
      </x:c>
      <x:c r="I910">
        <x:f ca="1">IF(AND($B$1012=1,LEN($I$1889)&gt;0),$I$1889,HLOOKUP(INDIRECT(ADDRESS(2,COLUMN())),OFFSET($T$2,0,0,ROW()-1,14),ROW()-1,FALSE))</x:f>
        <x:v>0</x:v>
      </x:c>
      <x:c r="J910">
        <x:f ca="1">IF(AND($B$1012=1,LEN($J$1889)&gt;0),$J$1889,HLOOKUP(INDIRECT(ADDRESS(2,COLUMN())),OFFSET($T$2,0,0,ROW()-1,14),ROW()-1,FALSE))</x:f>
        <x:v>0</x:v>
      </x:c>
      <x:c r="K910">
        <x:f ca="1">IF(AND($B$1012=1,LEN($K$1889)&gt;0),$K$1889,HLOOKUP(INDIRECT(ADDRESS(2,COLUMN())),OFFSET($T$2,0,0,ROW()-1,14),ROW()-1,FALSE))</x:f>
        <x:v>0</x:v>
      </x:c>
      <x:c r="L910">
        <x:f ca="1">IF(AND($B$1012=1,LEN($L$1889)&gt;0),$L$1889,HLOOKUP(INDIRECT(ADDRESS(2,COLUMN())),OFFSET($T$2,0,0,ROW()-1,14),ROW()-1,FALSE))</x:f>
        <x:v>0</x:v>
      </x:c>
      <x:c r="M910">
        <x:f ca="1">IF(AND($B$1012=1,LEN($M$1889)&gt;0),$M$1889,HLOOKUP(INDIRECT(ADDRESS(2,COLUMN())),OFFSET($T$2,0,0,ROW()-1,14),ROW()-1,FALSE))</x:f>
        <x:v>0</x:v>
      </x:c>
      <x:c r="N910">
        <x:f ca="1">IF(AND($B$1012=1,LEN($N$1889)&gt;0),$N$1889,HLOOKUP(INDIRECT(ADDRESS(2,COLUMN())),OFFSET($T$2,0,0,ROW()-1,14),ROW()-1,FALSE))</x:f>
        <x:v>0</x:v>
      </x:c>
      <x:c r="O910">
        <x:f ca="1">IF(AND($B$1012=1,LEN($O$1889)&gt;0),$O$1889,HLOOKUP(INDIRECT(ADDRESS(2,COLUMN())),OFFSET($T$2,0,0,ROW()-1,14),ROW()-1,FALSE))</x:f>
        <x:v>0.458561</x:v>
      </x:c>
      <x:c r="P910">
        <x:f ca="1">IF(AND($B$1012=1,LEN($P$1889)&gt;0),$P$1889,HLOOKUP(INDIRECT(ADDRESS(2,COLUMN())),OFFSET($T$2,0,0,ROW()-1,14),ROW()-1,FALSE))</x:f>
        <x:v>1.0940110000000001</x:v>
      </x:c>
      <x:c r="Q910">
        <x:f ca="1">IF(AND($B$1012=1,LEN($Q$1889)&gt;0),$Q$1889,HLOOKUP(INDIRECT(ADDRESS(2,COLUMN())),OFFSET($T$2,0,0,ROW()-1,14),ROW()-1,FALSE))</x:f>
        <x:v>0</x:v>
      </x:c>
      <x:c r="R910">
        <x:f ca="1">IF(AND($B$1012=1,LEN($R$1889)&gt;0),$R$1889,HLOOKUP(INDIRECT(ADDRESS(2,COLUMN())),OFFSET($T$2,0,0,ROW()-1,14),ROW()-1,FALSE))</x:f>
        <x:v>-2.2397429999999998</x:v>
      </x:c>
      <x:c r="S910">
        <x:f ca="1">IF(AND($B$1012=1,LEN($S$1889)&gt;0),$S$1889,HLOOKUP(INDIRECT(ADDRESS(2,COLUMN())),OFFSET($T$2,0,0,ROW()-1,14),ROW()-1,FALSE))</x:f>
        <x:v>214.07825099999999</x:v>
      </x:c>
      <x:c r="T910">
        <x:f>0</x:f>
        <x:v>0</x:v>
      </x:c>
      <x:c r="U910">
        <x:f>0.63517</x:f>
        <x:v>0.63517000000000001</x:v>
      </x:c>
      <x:c r="V910">
        <x:f>0</x:f>
        <x:v>0</x:v>
      </x:c>
      <x:c r="W910">
        <x:f>0</x:f>
        <x:v>0</x:v>
      </x:c>
      <x:c r="X910">
        <x:f>0</x:f>
        <x:v>0</x:v>
      </x:c>
      <x:c r="Y910">
        <x:f>0</x:f>
        <x:v>0</x:v>
      </x:c>
      <x:c r="Z910">
        <x:f>0</x:f>
        <x:v>0</x:v>
      </x:c>
      <x:c r="AA910">
        <x:f>0</x:f>
        <x:v>0</x:v>
      </x:c>
      <x:c r="AB910">
        <x:f>0</x:f>
        <x:v>0</x:v>
      </x:c>
      <x:c r="AC910">
        <x:f>0.458561</x:f>
        <x:v>0.458561</x:v>
      </x:c>
      <x:c r="AD910">
        <x:f>1.094011</x:f>
        <x:v>1.0940110000000001</x:v>
      </x:c>
      <x:c r="AE910">
        <x:f>0</x:f>
        <x:v>0</x:v>
      </x:c>
      <x:c r="AF910">
        <x:f>-2.239743</x:f>
        <x:v>-2.2397429999999998</x:v>
      </x:c>
      <x:c r="AG910">
        <x:f>214.078251</x:f>
        <x:v>214.07825099999999</x:v>
      </x:c>
    </x:row>
    <x:row r="911" spans="1:33" x14ac:dyDescent="0.25">
      <x:c r="A911" t="str">
        <x:f>"            Amplify Thematic All-Stars ETF"</x:f>
        <x:v xml:space="preserve">            Amplify Thematic All-Stars ETF</x:v>
      </x:c>
      <x:c r="B911" t="str">
        <x:f>"MVPS US Equity"</x:f>
        <x:v>MVPS US Equity</x:v>
      </x:c>
      <x:c r="E911" t="str">
        <x:f t="shared" si="37"/>
        <x:v>Expression</x:v>
      </x:c>
      <x:c r="F911">
        <x:f ca="1">IF(AND($B$1012=1,LEN($F$1890)&gt;0),$F$1890,HLOOKUP(INDIRECT(ADDRESS(2,COLUMN())),OFFSET($T$2,0,0,ROW()-1,14),ROW()-1,FALSE))</x:f>
        <x:v>0</x:v>
      </x:c>
      <x:c r="G911">
        <x:f ca="1">IF(AND($B$1012=1,LEN($G$1890)&gt;0),$G$1890,HLOOKUP(INDIRECT(ADDRESS(2,COLUMN())),OFFSET($T$2,0,0,ROW()-1,14),ROW()-1,FALSE))</x:f>
        <x:v>-0.84133000000000002</x:v>
      </x:c>
      <x:c r="H911">
        <x:f ca="1">IF(AND($B$1012=1,LEN($H$1890)&gt;0),$H$1890,HLOOKUP(INDIRECT(ADDRESS(2,COLUMN())),OFFSET($T$2,0,0,ROW()-1,14),ROW()-1,FALSE))</x:f>
        <x:v>0</x:v>
      </x:c>
      <x:c r="I911">
        <x:f ca="1">IF(AND($B$1012=1,LEN($I$1890)&gt;0),$I$1890,HLOOKUP(INDIRECT(ADDRESS(2,COLUMN())),OFFSET($T$2,0,0,ROW()-1,14),ROW()-1,FALSE))</x:f>
        <x:v>0</x:v>
      </x:c>
      <x:c r="J911">
        <x:f ca="1">IF(AND($B$1012=1,LEN($J$1890)&gt;0),$J$1890,HLOOKUP(INDIRECT(ADDRESS(2,COLUMN())),OFFSET($T$2,0,0,ROW()-1,14),ROW()-1,FALSE))</x:f>
        <x:v>0</x:v>
      </x:c>
      <x:c r="K911">
        <x:f ca="1">IF(AND($B$1012=1,LEN($K$1890)&gt;0),$K$1890,HLOOKUP(INDIRECT(ADDRESS(2,COLUMN())),OFFSET($T$2,0,0,ROW()-1,14),ROW()-1,FALSE))</x:f>
        <x:v>-0.475775</x:v>
      </x:c>
      <x:c r="L911">
        <x:f ca="1">IF(AND($B$1012=1,LEN($L$1890)&gt;0),$L$1890,HLOOKUP(INDIRECT(ADDRESS(2,COLUMN())),OFFSET($T$2,0,0,ROW()-1,14),ROW()-1,FALSE))</x:f>
        <x:v>0</x:v>
      </x:c>
      <x:c r="M911">
        <x:f ca="1">IF(AND($B$1012=1,LEN($M$1890)&gt;0),$M$1890,HLOOKUP(INDIRECT(ADDRESS(2,COLUMN())),OFFSET($T$2,0,0,ROW()-1,14),ROW()-1,FALSE))</x:f>
        <x:v>0</x:v>
      </x:c>
      <x:c r="N911">
        <x:f ca="1">IF(AND($B$1012=1,LEN($N$1890)&gt;0),$N$1890,HLOOKUP(INDIRECT(ADDRESS(2,COLUMN())),OFFSET($T$2,0,0,ROW()-1,14),ROW()-1,FALSE))</x:f>
        <x:v>0</x:v>
      </x:c>
      <x:c r="O911">
        <x:f ca="1">IF(AND($B$1012=1,LEN($O$1890)&gt;0),$O$1890,HLOOKUP(INDIRECT(ADDRESS(2,COLUMN())),OFFSET($T$2,0,0,ROW()-1,14),ROW()-1,FALSE))</x:f>
        <x:v>0</x:v>
      </x:c>
      <x:c r="P911">
        <x:f ca="1">IF(AND($B$1012=1,LEN($P$1890)&gt;0),$P$1890,HLOOKUP(INDIRECT(ADDRESS(2,COLUMN())),OFFSET($T$2,0,0,ROW()-1,14),ROW()-1,FALSE))</x:f>
        <x:v>0</x:v>
      </x:c>
      <x:c r="Q911">
        <x:f ca="1">IF(AND($B$1012=1,LEN($Q$1890)&gt;0),$Q$1890,HLOOKUP(INDIRECT(ADDRESS(2,COLUMN())),OFFSET($T$2,0,0,ROW()-1,14),ROW()-1,FALSE))</x:f>
        <x:v>-1.126455</x:v>
      </x:c>
      <x:c r="R911">
        <x:f ca="1">IF(AND($B$1012=1,LEN($R$1890)&gt;0),$R$1890,HLOOKUP(INDIRECT(ADDRESS(2,COLUMN())),OFFSET($T$2,0,0,ROW()-1,14),ROW()-1,FALSE))</x:f>
        <x:v>0</x:v>
      </x:c>
      <x:c r="S911">
        <x:f ca="1">IF(AND($B$1012=1,LEN($S$1890)&gt;0),$S$1890,HLOOKUP(INDIRECT(ADDRESS(2,COLUMN())),OFFSET($T$2,0,0,ROW()-1,14),ROW()-1,FALSE))</x:f>
        <x:v>-0.74839</x:v>
      </x:c>
      <x:c r="T911">
        <x:f>0</x:f>
        <x:v>0</x:v>
      </x:c>
      <x:c r="U911">
        <x:f>-0.84133</x:f>
        <x:v>-0.84133000000000002</x:v>
      </x:c>
      <x:c r="V911">
        <x:f>0</x:f>
        <x:v>0</x:v>
      </x:c>
      <x:c r="W911">
        <x:f>0</x:f>
        <x:v>0</x:v>
      </x:c>
      <x:c r="X911">
        <x:f>0</x:f>
        <x:v>0</x:v>
      </x:c>
      <x:c r="Y911">
        <x:f>-0.475775</x:f>
        <x:v>-0.475775</x:v>
      </x:c>
      <x:c r="Z911">
        <x:f>0</x:f>
        <x:v>0</x:v>
      </x:c>
      <x:c r="AA911">
        <x:f>0</x:f>
        <x:v>0</x:v>
      </x:c>
      <x:c r="AB911">
        <x:f>0</x:f>
        <x:v>0</x:v>
      </x:c>
      <x:c r="AC911">
        <x:f>0</x:f>
        <x:v>0</x:v>
      </x:c>
      <x:c r="AD911">
        <x:f>0</x:f>
        <x:v>0</x:v>
      </x:c>
      <x:c r="AE911">
        <x:f>-1.126455</x:f>
        <x:v>-1.126455</x:v>
      </x:c>
      <x:c r="AF911">
        <x:f>0</x:f>
        <x:v>0</x:v>
      </x:c>
      <x:c r="AG911">
        <x:f>-0.74839</x:f>
        <x:v>-0.74839</x:v>
      </x:c>
    </x:row>
    <x:row r="912" spans="1:33" x14ac:dyDescent="0.25">
      <x:c r="A912" t="str">
        <x:f>"            Nuveen Global Net Zero Transit"</x:f>
        <x:v xml:space="preserve">            Nuveen Global Net Zero Transit</x:v>
      </x:c>
      <x:c r="B912" t="str">
        <x:f>"NTZG US Equity"</x:f>
        <x:v>NTZG US Equity</x:v>
      </x:c>
      <x:c r="E912" t="str">
        <x:f t="shared" si="37"/>
        <x:v>Expression</x:v>
      </x:c>
      <x:c r="F912">
        <x:f ca="1">IF(AND($B$1012=1,LEN($F$1891)&gt;0),$F$1891,HLOOKUP(INDIRECT(ADDRESS(2,COLUMN())),OFFSET($T$2,0,0,ROW()-1,14),ROW()-1,FALSE))</x:f>
        <x:v>0</x:v>
      </x:c>
      <x:c r="G912">
        <x:f ca="1">IF(AND($B$1012=1,LEN($G$1891)&gt;0),$G$1891,HLOOKUP(INDIRECT(ADDRESS(2,COLUMN())),OFFSET($T$2,0,0,ROW()-1,14),ROW()-1,FALSE))</x:f>
        <x:v>0</x:v>
      </x:c>
      <x:c r="H912">
        <x:f ca="1">IF(AND($B$1012=1,LEN($H$1891)&gt;0),$H$1891,HLOOKUP(INDIRECT(ADDRESS(2,COLUMN())),OFFSET($T$2,0,0,ROW()-1,14),ROW()-1,FALSE))</x:f>
        <x:v>0</x:v>
      </x:c>
      <x:c r="I912">
        <x:f ca="1">IF(AND($B$1012=1,LEN($I$1891)&gt;0),$I$1891,HLOOKUP(INDIRECT(ADDRESS(2,COLUMN())),OFFSET($T$2,0,0,ROW()-1,14),ROW()-1,FALSE))</x:f>
        <x:v>0</x:v>
      </x:c>
      <x:c r="J912">
        <x:f ca="1">IF(AND($B$1012=1,LEN($J$1891)&gt;0),$J$1891,HLOOKUP(INDIRECT(ADDRESS(2,COLUMN())),OFFSET($T$2,0,0,ROW()-1,14),ROW()-1,FALSE))</x:f>
        <x:v>0</x:v>
      </x:c>
      <x:c r="K912">
        <x:f ca="1">IF(AND($B$1012=1,LEN($K$1891)&gt;0),$K$1891,HLOOKUP(INDIRECT(ADDRESS(2,COLUMN())),OFFSET($T$2,0,0,ROW()-1,14),ROW()-1,FALSE))</x:f>
        <x:v>0</x:v>
      </x:c>
      <x:c r="L912">
        <x:f ca="1">IF(AND($B$1012=1,LEN($L$1891)&gt;0),$L$1891,HLOOKUP(INDIRECT(ADDRESS(2,COLUMN())),OFFSET($T$2,0,0,ROW()-1,14),ROW()-1,FALSE))</x:f>
        <x:v>0</x:v>
      </x:c>
      <x:c r="M912">
        <x:f ca="1">IF(AND($B$1012=1,LEN($M$1891)&gt;0),$M$1891,HLOOKUP(INDIRECT(ADDRESS(2,COLUMN())),OFFSET($T$2,0,0,ROW()-1,14),ROW()-1,FALSE))</x:f>
        <x:v>0</x:v>
      </x:c>
      <x:c r="N912">
        <x:f ca="1">IF(AND($B$1012=1,LEN($N$1891)&gt;0),$N$1891,HLOOKUP(INDIRECT(ADDRESS(2,COLUMN())),OFFSET($T$2,0,0,ROW()-1,14),ROW()-1,FALSE))</x:f>
        <x:v>0</x:v>
      </x:c>
      <x:c r="O912">
        <x:f ca="1">IF(AND($B$1012=1,LEN($O$1891)&gt;0),$O$1891,HLOOKUP(INDIRECT(ADDRESS(2,COLUMN())),OFFSET($T$2,0,0,ROW()-1,14),ROW()-1,FALSE))</x:f>
        <x:v>0</x:v>
      </x:c>
      <x:c r="P912">
        <x:f ca="1">IF(AND($B$1012=1,LEN($P$1891)&gt;0),$P$1891,HLOOKUP(INDIRECT(ADDRESS(2,COLUMN())),OFFSET($T$2,0,0,ROW()-1,14),ROW()-1,FALSE))</x:f>
        <x:v>0</x:v>
      </x:c>
      <x:c r="Q912">
        <x:f ca="1">IF(AND($B$1012=1,LEN($Q$1891)&gt;0),$Q$1891,HLOOKUP(INDIRECT(ADDRESS(2,COLUMN())),OFFSET($T$2,0,0,ROW()-1,14),ROW()-1,FALSE))</x:f>
        <x:v>0</x:v>
      </x:c>
      <x:c r="R912">
        <x:f ca="1">IF(AND($B$1012=1,LEN($R$1891)&gt;0),$R$1891,HLOOKUP(INDIRECT(ADDRESS(2,COLUMN())),OFFSET($T$2,0,0,ROW()-1,14),ROW()-1,FALSE))</x:f>
        <x:v>0</x:v>
      </x:c>
      <x:c r="S912">
        <x:f ca="1">IF(AND($B$1012=1,LEN($S$1891)&gt;0),$S$1891,HLOOKUP(INDIRECT(ADDRESS(2,COLUMN())),OFFSET($T$2,0,0,ROW()-1,14),ROW()-1,FALSE))</x:f>
        <x:v>0</x:v>
      </x:c>
      <x:c r="T912">
        <x:f>0</x:f>
        <x:v>0</x:v>
      </x:c>
      <x:c r="U912">
        <x:f>0</x:f>
        <x:v>0</x:v>
      </x:c>
      <x:c r="V912">
        <x:f>0</x:f>
        <x:v>0</x:v>
      </x:c>
      <x:c r="W912">
        <x:f>0</x:f>
        <x:v>0</x:v>
      </x:c>
      <x:c r="X912">
        <x:f>0</x:f>
        <x:v>0</x:v>
      </x:c>
      <x:c r="Y912">
        <x:f>0</x:f>
        <x:v>0</x:v>
      </x:c>
      <x:c r="Z912">
        <x:f>0</x:f>
        <x:v>0</x:v>
      </x:c>
      <x:c r="AA912">
        <x:f>0</x:f>
        <x:v>0</x:v>
      </x:c>
      <x:c r="AB912">
        <x:f>0</x:f>
        <x:v>0</x:v>
      </x:c>
      <x:c r="AC912">
        <x:f>0</x:f>
        <x:v>0</x:v>
      </x:c>
      <x:c r="AD912">
        <x:f>0</x:f>
        <x:v>0</x:v>
      </x:c>
      <x:c r="AE912">
        <x:f>0</x:f>
        <x:v>0</x:v>
      </x:c>
      <x:c r="AF912">
        <x:f>0</x:f>
        <x:v>0</x:v>
      </x:c>
      <x:c r="AG912">
        <x:f>0</x:f>
        <x:v>0</x:v>
      </x:c>
    </x:row>
    <x:row r="913" spans="1:33" x14ac:dyDescent="0.25">
      <x:c r="A913" t="str">
        <x:f>"            Optimize AI Smart Sentiment Ev"</x:f>
        <x:v xml:space="preserve">            Optimize AI Smart Sentiment Ev</x:v>
      </x:c>
      <x:c r="B913" t="str">
        <x:f>"OAIE US Equity"</x:f>
        <x:v>OAIE US Equity</x:v>
      </x:c>
      <x:c r="E913" t="str">
        <x:f t="shared" si="37"/>
        <x:v>Expression</x:v>
      </x:c>
      <x:c r="F913">
        <x:f ca="1">IF(AND($B$1012=1,LEN($F$1892)&gt;0),$F$1892,HLOOKUP(INDIRECT(ADDRESS(2,COLUMN())),OFFSET($T$2,0,0,ROW()-1,14),ROW()-1,FALSE))</x:f>
        <x:v>0</x:v>
      </x:c>
      <x:c r="G913">
        <x:f ca="1">IF(AND($B$1012=1,LEN($G$1892)&gt;0),$G$1892,HLOOKUP(INDIRECT(ADDRESS(2,COLUMN())),OFFSET($T$2,0,0,ROW()-1,14),ROW()-1,FALSE))</x:f>
        <x:v>0</x:v>
      </x:c>
      <x:c r="H913">
        <x:f ca="1">IF(AND($B$1012=1,LEN($H$1892)&gt;0),$H$1892,HLOOKUP(INDIRECT(ADDRESS(2,COLUMN())),OFFSET($T$2,0,0,ROW()-1,14),ROW()-1,FALSE))</x:f>
        <x:v>0</x:v>
      </x:c>
      <x:c r="I913">
        <x:f ca="1">IF(AND($B$1012=1,LEN($I$1892)&gt;0),$I$1892,HLOOKUP(INDIRECT(ADDRESS(2,COLUMN())),OFFSET($T$2,0,0,ROW()-1,14),ROW()-1,FALSE))</x:f>
        <x:v>0</x:v>
      </x:c>
      <x:c r="J913">
        <x:f ca="1">IF(AND($B$1012=1,LEN($J$1892)&gt;0),$J$1892,HLOOKUP(INDIRECT(ADDRESS(2,COLUMN())),OFFSET($T$2,0,0,ROW()-1,14),ROW()-1,FALSE))</x:f>
        <x:v>0</x:v>
      </x:c>
      <x:c r="K913">
        <x:f ca="1">IF(AND($B$1012=1,LEN($K$1892)&gt;0),$K$1892,HLOOKUP(INDIRECT(ADDRESS(2,COLUMN())),OFFSET($T$2,0,0,ROW()-1,14),ROW()-1,FALSE))</x:f>
        <x:v>0</x:v>
      </x:c>
      <x:c r="L913">
        <x:f ca="1">IF(AND($B$1012=1,LEN($L$1892)&gt;0),$L$1892,HLOOKUP(INDIRECT(ADDRESS(2,COLUMN())),OFFSET($T$2,0,0,ROW()-1,14),ROW()-1,FALSE))</x:f>
        <x:v>0</x:v>
      </x:c>
      <x:c r="M913">
        <x:f ca="1">IF(AND($B$1012=1,LEN($M$1892)&gt;0),$M$1892,HLOOKUP(INDIRECT(ADDRESS(2,COLUMN())),OFFSET($T$2,0,0,ROW()-1,14),ROW()-1,FALSE))</x:f>
        <x:v>0</x:v>
      </x:c>
      <x:c r="N913">
        <x:f ca="1">IF(AND($B$1012=1,LEN($N$1892)&gt;0),$N$1892,HLOOKUP(INDIRECT(ADDRESS(2,COLUMN())),OFFSET($T$2,0,0,ROW()-1,14),ROW()-1,FALSE))</x:f>
        <x:v>0</x:v>
      </x:c>
      <x:c r="O913">
        <x:f ca="1">IF(AND($B$1012=1,LEN($O$1892)&gt;0),$O$1892,HLOOKUP(INDIRECT(ADDRESS(2,COLUMN())),OFFSET($T$2,0,0,ROW()-1,14),ROW()-1,FALSE))</x:f>
        <x:v>0</x:v>
      </x:c>
      <x:c r="P913">
        <x:f ca="1">IF(AND($B$1012=1,LEN($P$1892)&gt;0),$P$1892,HLOOKUP(INDIRECT(ADDRESS(2,COLUMN())),OFFSET($T$2,0,0,ROW()-1,14),ROW()-1,FALSE))</x:f>
        <x:v>0</x:v>
      </x:c>
      <x:c r="Q913">
        <x:f ca="1">IF(AND($B$1012=1,LEN($Q$1892)&gt;0),$Q$1892,HLOOKUP(INDIRECT(ADDRESS(2,COLUMN())),OFFSET($T$2,0,0,ROW()-1,14),ROW()-1,FALSE))</x:f>
        <x:v>0</x:v>
      </x:c>
      <x:c r="R913">
        <x:f ca="1">IF(AND($B$1012=1,LEN($R$1892)&gt;0),$R$1892,HLOOKUP(INDIRECT(ADDRESS(2,COLUMN())),OFFSET($T$2,0,0,ROW()-1,14),ROW()-1,FALSE))</x:f>
        <x:v>0</x:v>
      </x:c>
      <x:c r="S913">
        <x:f ca="1">IF(AND($B$1012=1,LEN($S$1892)&gt;0),$S$1892,HLOOKUP(INDIRECT(ADDRESS(2,COLUMN())),OFFSET($T$2,0,0,ROW()-1,14),ROW()-1,FALSE))</x:f>
        <x:v>0</x:v>
      </x:c>
      <x:c r="T913">
        <x:f>0</x:f>
        <x:v>0</x:v>
      </x:c>
      <x:c r="U913">
        <x:f>0</x:f>
        <x:v>0</x:v>
      </x:c>
      <x:c r="V913">
        <x:f>0</x:f>
        <x:v>0</x:v>
      </x:c>
      <x:c r="W913">
        <x:f>0</x:f>
        <x:v>0</x:v>
      </x:c>
      <x:c r="X913">
        <x:f>0</x:f>
        <x:v>0</x:v>
      </x:c>
      <x:c r="Y913">
        <x:f>0</x:f>
        <x:v>0</x:v>
      </x:c>
      <x:c r="Z913">
        <x:f>0</x:f>
        <x:v>0</x:v>
      </x:c>
      <x:c r="AA913">
        <x:f>0</x:f>
        <x:v>0</x:v>
      </x:c>
      <x:c r="AB913">
        <x:f>0</x:f>
        <x:v>0</x:v>
      </x:c>
      <x:c r="AC913">
        <x:f>0</x:f>
        <x:v>0</x:v>
      </x:c>
      <x:c r="AD913">
        <x:f>0</x:f>
        <x:v>0</x:v>
      </x:c>
      <x:c r="AE913">
        <x:f>0</x:f>
        <x:v>0</x:v>
      </x:c>
      <x:c r="AF913">
        <x:f>0</x:f>
        <x:v>0</x:v>
      </x:c>
      <x:c r="AG913">
        <x:f>0</x:f>
        <x:v>0</x:v>
      </x:c>
    </x:row>
    <x:row r="914" spans="1:33" x14ac:dyDescent="0.25">
      <x:c r="A914" t="str">
        <x:f>"            Proshares Supply Chain Logisti"</x:f>
        <x:v xml:space="preserve">            Proshares Supply Chain Logisti</x:v>
      </x:c>
      <x:c r="B914" t="str">
        <x:f>"SUPL US Equity"</x:f>
        <x:v>SUPL US Equity</x:v>
      </x:c>
      <x:c r="E914" t="str">
        <x:f t="shared" si="37"/>
        <x:v>Expression</x:v>
      </x:c>
      <x:c r="F914">
        <x:f ca="1">IF(AND($B$1012=1,LEN($F$1893)&gt;0),$F$1893,HLOOKUP(INDIRECT(ADDRESS(2,COLUMN())),OFFSET($T$2,0,0,ROW()-1,14),ROW()-1,FALSE))</x:f>
        <x:v>0</x:v>
      </x:c>
      <x:c r="G914">
        <x:f ca="1">IF(AND($B$1012=1,LEN($G$1893)&gt;0),$G$1893,HLOOKUP(INDIRECT(ADDRESS(2,COLUMN())),OFFSET($T$2,0,0,ROW()-1,14),ROW()-1,FALSE))</x:f>
        <x:v>0</x:v>
      </x:c>
      <x:c r="H914">
        <x:f ca="1">IF(AND($B$1012=1,LEN($H$1893)&gt;0),$H$1893,HLOOKUP(INDIRECT(ADDRESS(2,COLUMN())),OFFSET($T$2,0,0,ROW()-1,14),ROW()-1,FALSE))</x:f>
        <x:v>0</x:v>
      </x:c>
      <x:c r="I914">
        <x:f ca="1">IF(AND($B$1012=1,LEN($I$1893)&gt;0),$I$1893,HLOOKUP(INDIRECT(ADDRESS(2,COLUMN())),OFFSET($T$2,0,0,ROW()-1,14),ROW()-1,FALSE))</x:f>
        <x:v>0</x:v>
      </x:c>
      <x:c r="J914">
        <x:f ca="1">IF(AND($B$1012=1,LEN($J$1893)&gt;0),$J$1893,HLOOKUP(INDIRECT(ADDRESS(2,COLUMN())),OFFSET($T$2,0,0,ROW()-1,14),ROW()-1,FALSE))</x:f>
        <x:v>0</x:v>
      </x:c>
      <x:c r="K914">
        <x:f ca="1">IF(AND($B$1012=1,LEN($K$1893)&gt;0),$K$1893,HLOOKUP(INDIRECT(ADDRESS(2,COLUMN())),OFFSET($T$2,0,0,ROW()-1,14),ROW()-1,FALSE))</x:f>
        <x:v>0</x:v>
      </x:c>
      <x:c r="L914">
        <x:f ca="1">IF(AND($B$1012=1,LEN($L$1893)&gt;0),$L$1893,HLOOKUP(INDIRECT(ADDRESS(2,COLUMN())),OFFSET($T$2,0,0,ROW()-1,14),ROW()-1,FALSE))</x:f>
        <x:v>0</x:v>
      </x:c>
      <x:c r="M914">
        <x:f ca="1">IF(AND($B$1012=1,LEN($M$1893)&gt;0),$M$1893,HLOOKUP(INDIRECT(ADDRESS(2,COLUMN())),OFFSET($T$2,0,0,ROW()-1,14),ROW()-1,FALSE))</x:f>
        <x:v>0</x:v>
      </x:c>
      <x:c r="N914">
        <x:f ca="1">IF(AND($B$1012=1,LEN($N$1893)&gt;0),$N$1893,HLOOKUP(INDIRECT(ADDRESS(2,COLUMN())),OFFSET($T$2,0,0,ROW()-1,14),ROW()-1,FALSE))</x:f>
        <x:v>0</x:v>
      </x:c>
      <x:c r="O914">
        <x:f ca="1">IF(AND($B$1012=1,LEN($O$1893)&gt;0),$O$1893,HLOOKUP(INDIRECT(ADDRESS(2,COLUMN())),OFFSET($T$2,0,0,ROW()-1,14),ROW()-1,FALSE))</x:f>
        <x:v>0</x:v>
      </x:c>
      <x:c r="P914">
        <x:f ca="1">IF(AND($B$1012=1,LEN($P$1893)&gt;0),$P$1893,HLOOKUP(INDIRECT(ADDRESS(2,COLUMN())),OFFSET($T$2,0,0,ROW()-1,14),ROW()-1,FALSE))</x:f>
        <x:v>0</x:v>
      </x:c>
      <x:c r="Q914">
        <x:f ca="1">IF(AND($B$1012=1,LEN($Q$1893)&gt;0),$Q$1893,HLOOKUP(INDIRECT(ADDRESS(2,COLUMN())),OFFSET($T$2,0,0,ROW()-1,14),ROW()-1,FALSE))</x:f>
        <x:v>0</x:v>
      </x:c>
      <x:c r="R914">
        <x:f ca="1">IF(AND($B$1012=1,LEN($R$1893)&gt;0),$R$1893,HLOOKUP(INDIRECT(ADDRESS(2,COLUMN())),OFFSET($T$2,0,0,ROW()-1,14),ROW()-1,FALSE))</x:f>
        <x:v>0</x:v>
      </x:c>
      <x:c r="S914">
        <x:f ca="1">IF(AND($B$1012=1,LEN($S$1893)&gt;0),$S$1893,HLOOKUP(INDIRECT(ADDRESS(2,COLUMN())),OFFSET($T$2,0,0,ROW()-1,14),ROW()-1,FALSE))</x:f>
        <x:v>0</x:v>
      </x:c>
      <x:c r="T914">
        <x:f>0</x:f>
        <x:v>0</x:v>
      </x:c>
      <x:c r="U914">
        <x:f>0</x:f>
        <x:v>0</x:v>
      </x:c>
      <x:c r="V914">
        <x:f>0</x:f>
        <x:v>0</x:v>
      </x:c>
      <x:c r="W914">
        <x:f>0</x:f>
        <x:v>0</x:v>
      </x:c>
      <x:c r="X914">
        <x:f>0</x:f>
        <x:v>0</x:v>
      </x:c>
      <x:c r="Y914">
        <x:f>0</x:f>
        <x:v>0</x:v>
      </x:c>
      <x:c r="Z914">
        <x:f>0</x:f>
        <x:v>0</x:v>
      </x:c>
      <x:c r="AA914">
        <x:f>0</x:f>
        <x:v>0</x:v>
      </x:c>
      <x:c r="AB914">
        <x:f>0</x:f>
        <x:v>0</x:v>
      </x:c>
      <x:c r="AC914">
        <x:f>0</x:f>
        <x:v>0</x:v>
      </x:c>
      <x:c r="AD914">
        <x:f>0</x:f>
        <x:v>0</x:v>
      </x:c>
      <x:c r="AE914">
        <x:f>0</x:f>
        <x:v>0</x:v>
      </x:c>
      <x:c r="AF914">
        <x:f>0</x:f>
        <x:v>0</x:v>
      </x:c>
      <x:c r="AG914">
        <x:f>0</x:f>
        <x:v>0</x:v>
      </x:c>
    </x:row>
    <x:row r="915" spans="1:33" x14ac:dyDescent="0.25">
      <x:c r="A915" t="str">
        <x:f>"            Engine No 1 Transform Supply C"</x:f>
        <x:v xml:space="preserve">            Engine No 1 Transform Supply C</x:v>
      </x:c>
      <x:c r="B915" t="str">
        <x:f>"SUPP US Equity"</x:f>
        <x:v>SUPP US Equity</x:v>
      </x:c>
      <x:c r="E915" t="str">
        <x:f t="shared" si="37"/>
        <x:v>Expression</x:v>
      </x:c>
      <x:c r="F915">
        <x:f ca="1">IF(AND($B$1012=1,LEN($F$1894)&gt;0),$F$1894,HLOOKUP(INDIRECT(ADDRESS(2,COLUMN())),OFFSET($T$2,0,0,ROW()-1,14),ROW()-1,FALSE))</x:f>
        <x:v>0</x:v>
      </x:c>
      <x:c r="G915">
        <x:f ca="1">IF(AND($B$1012=1,LEN($G$1894)&gt;0),$G$1894,HLOOKUP(INDIRECT(ADDRESS(2,COLUMN())),OFFSET($T$2,0,0,ROW()-1,14),ROW()-1,FALSE))</x:f>
        <x:v>1.2581E-2</x:v>
      </x:c>
      <x:c r="H915">
        <x:f ca="1">IF(AND($B$1012=1,LEN($H$1894)&gt;0),$H$1894,HLOOKUP(INDIRECT(ADDRESS(2,COLUMN())),OFFSET($T$2,0,0,ROW()-1,14),ROW()-1,FALSE))</x:f>
        <x:v>0</x:v>
      </x:c>
      <x:c r="I915">
        <x:f ca="1">IF(AND($B$1012=1,LEN($I$1894)&gt;0),$I$1894,HLOOKUP(INDIRECT(ADDRESS(2,COLUMN())),OFFSET($T$2,0,0,ROW()-1,14),ROW()-1,FALSE))</x:f>
        <x:v>-2.0839999999999999E-3</x:v>
      </x:c>
      <x:c r="J915">
        <x:f ca="1">IF(AND($B$1012=1,LEN($J$1894)&gt;0),$J$1894,HLOOKUP(INDIRECT(ADDRESS(2,COLUMN())),OFFSET($T$2,0,0,ROW()-1,14),ROW()-1,FALSE))</x:f>
        <x:v>-9.1719999999999996E-3</x:v>
      </x:c>
      <x:c r="K915">
        <x:f ca="1">IF(AND($B$1012=1,LEN($K$1894)&gt;0),$K$1894,HLOOKUP(INDIRECT(ADDRESS(2,COLUMN())),OFFSET($T$2,0,0,ROW()-1,14),ROW()-1,FALSE))</x:f>
        <x:v>-1.0638E-2</x:v>
      </x:c>
      <x:c r="L915">
        <x:f ca="1">IF(AND($B$1012=1,LEN($L$1894)&gt;0),$L$1894,HLOOKUP(INDIRECT(ADDRESS(2,COLUMN())),OFFSET($T$2,0,0,ROW()-1,14),ROW()-1,FALSE))</x:f>
        <x:v>0</x:v>
      </x:c>
      <x:c r="M915">
        <x:f ca="1">IF(AND($B$1012=1,LEN($M$1894)&gt;0),$M$1894,HLOOKUP(INDIRECT(ADDRESS(2,COLUMN())),OFFSET($T$2,0,0,ROW()-1,14),ROW()-1,FALSE))</x:f>
        <x:v>0</x:v>
      </x:c>
      <x:c r="N915">
        <x:f ca="1">IF(AND($B$1012=1,LEN($N$1894)&gt;0),$N$1894,HLOOKUP(INDIRECT(ADDRESS(2,COLUMN())),OFFSET($T$2,0,0,ROW()-1,14),ROW()-1,FALSE))</x:f>
        <x:v>0</x:v>
      </x:c>
      <x:c r="O915">
        <x:f ca="1">IF(AND($B$1012=1,LEN($O$1894)&gt;0),$O$1894,HLOOKUP(INDIRECT(ADDRESS(2,COLUMN())),OFFSET($T$2,0,0,ROW()-1,14),ROW()-1,FALSE))</x:f>
        <x:v>0</x:v>
      </x:c>
      <x:c r="P915" t="str">
        <x:f ca="1">IF(AND($B$1012=1,LEN($P$1894)&gt;0),$P$1894,HLOOKUP(INDIRECT(ADDRESS(2,COLUMN())),OFFSET($T$2,0,0,ROW()-1,14),ROW()-1,FALSE))</x:f>
        <x:v/>
      </x:c>
      <x:c r="Q915" t="str">
        <x:f ca="1">IF(AND($B$1012=1,LEN($Q$1894)&gt;0),$Q$1894,HLOOKUP(INDIRECT(ADDRESS(2,COLUMN())),OFFSET($T$2,0,0,ROW()-1,14),ROW()-1,FALSE))</x:f>
        <x:v/>
      </x:c>
      <x:c r="R915" t="str">
        <x:f ca="1">IF(AND($B$1012=1,LEN($R$1894)&gt;0),$R$1894,HLOOKUP(INDIRECT(ADDRESS(2,COLUMN())),OFFSET($T$2,0,0,ROW()-1,14),ROW()-1,FALSE))</x:f>
        <x:v/>
      </x:c>
      <x:c r="S915" t="str">
        <x:f ca="1">IF(AND($B$1012=1,LEN($S$1894)&gt;0),$S$1894,HLOOKUP(INDIRECT(ADDRESS(2,COLUMN())),OFFSET($T$2,0,0,ROW()-1,14),ROW()-1,FALSE))</x:f>
        <x:v/>
      </x:c>
      <x:c r="T915">
        <x:f>0</x:f>
        <x:v>0</x:v>
      </x:c>
      <x:c r="U915">
        <x:f>0.012581</x:f>
        <x:v>1.2581E-2</x:v>
      </x:c>
      <x:c r="V915">
        <x:f>0</x:f>
        <x:v>0</x:v>
      </x:c>
      <x:c r="W915">
        <x:f>-0.002084</x:f>
        <x:v>-2.0839999999999999E-3</x:v>
      </x:c>
      <x:c r="X915">
        <x:f>-0.009172</x:f>
        <x:v>-9.1719999999999996E-3</x:v>
      </x:c>
      <x:c r="Y915">
        <x:f>-0.010638</x:f>
        <x:v>-1.0638E-2</x:v>
      </x:c>
      <x:c r="Z915">
        <x:f>0</x:f>
        <x:v>0</x:v>
      </x:c>
      <x:c r="AA915">
        <x:f>0</x:f>
        <x:v>0</x:v>
      </x:c>
      <x:c r="AB915">
        <x:f>0</x:f>
        <x:v>0</x:v>
      </x:c>
      <x:c r="AC915">
        <x:f>0</x:f>
        <x:v>0</x:v>
      </x:c>
      <x:c r="AD915" t="str">
        <x:f>""</x:f>
        <x:v/>
      </x:c>
      <x:c r="AE915" t="str">
        <x:f>""</x:f>
        <x:v/>
      </x:c>
      <x:c r="AF915" t="str">
        <x:f>""</x:f>
        <x:v/>
      </x:c>
      <x:c r="AG915" t="str">
        <x:f>""</x:f>
        <x:v/>
      </x:c>
    </x:row>
    <x:row r="916" spans="1:33" x14ac:dyDescent="0.25">
      <x:c r="A916" t="str">
        <x:f>"            Fairlead Tactical Sector Fund"</x:f>
        <x:v xml:space="preserve">            Fairlead Tactical Sector Fund</x:v>
      </x:c>
      <x:c r="B916" t="str">
        <x:f>"TACK US Equity"</x:f>
        <x:v>TACK US Equity</x:v>
      </x:c>
      <x:c r="E916" t="str">
        <x:f t="shared" si="37"/>
        <x:v>Expression</x:v>
      </x:c>
      <x:c r="F916">
        <x:f ca="1">IF(AND($B$1012=1,LEN($F$1895)&gt;0),$F$1895,HLOOKUP(INDIRECT(ADDRESS(2,COLUMN())),OFFSET($T$2,0,0,ROW()-1,14),ROW()-1,FALSE))</x:f>
        <x:v>-7.8807999999999998</x:v>
      </x:c>
      <x:c r="G916">
        <x:f ca="1">IF(AND($B$1012=1,LEN($G$1895)&gt;0),$G$1895,HLOOKUP(INDIRECT(ADDRESS(2,COLUMN())),OFFSET($T$2,0,0,ROW()-1,14),ROW()-1,FALSE))</x:f>
        <x:v>-13.7462</x:v>
      </x:c>
      <x:c r="H916">
        <x:f ca="1">IF(AND($B$1012=1,LEN($H$1895)&gt;0),$H$1895,HLOOKUP(INDIRECT(ADDRESS(2,COLUMN())),OFFSET($T$2,0,0,ROW()-1,14),ROW()-1,FALSE))</x:f>
        <x:v>-3.5221</x:v>
      </x:c>
      <x:c r="I916">
        <x:f ca="1">IF(AND($B$1012=1,LEN($I$1895)&gt;0),$I$1895,HLOOKUP(INDIRECT(ADDRESS(2,COLUMN())),OFFSET($T$2,0,0,ROW()-1,14),ROW()-1,FALSE))</x:f>
        <x:v>-4.8064999999999998</x:v>
      </x:c>
      <x:c r="J916">
        <x:f ca="1">IF(AND($B$1012=1,LEN($J$1895)&gt;0),$J$1895,HLOOKUP(INDIRECT(ADDRESS(2,COLUMN())),OFFSET($T$2,0,0,ROW()-1,14),ROW()-1,FALSE))</x:f>
        <x:v>-1.9201999999999999</x:v>
      </x:c>
      <x:c r="K916">
        <x:f ca="1">IF(AND($B$1012=1,LEN($K$1895)&gt;0),$K$1895,HLOOKUP(INDIRECT(ADDRESS(2,COLUMN())),OFFSET($T$2,0,0,ROW()-1,14),ROW()-1,FALSE))</x:f>
        <x:v>3.5436000000000001</x:v>
      </x:c>
      <x:c r="L916">
        <x:f ca="1">IF(AND($B$1012=1,LEN($L$1895)&gt;0),$L$1895,HLOOKUP(INDIRECT(ADDRESS(2,COLUMN())),OFFSET($T$2,0,0,ROW()-1,14),ROW()-1,FALSE))</x:f>
        <x:v>6.2041000000000004</x:v>
      </x:c>
      <x:c r="M916">
        <x:f ca="1">IF(AND($B$1012=1,LEN($M$1895)&gt;0),$M$1895,HLOOKUP(INDIRECT(ADDRESS(2,COLUMN())),OFFSET($T$2,0,0,ROW()-1,14),ROW()-1,FALSE))</x:f>
        <x:v>11.4293</x:v>
      </x:c>
      <x:c r="N916">
        <x:f ca="1">IF(AND($B$1012=1,LEN($N$1895)&gt;0),$N$1895,HLOOKUP(INDIRECT(ADDRESS(2,COLUMN())),OFFSET($T$2,0,0,ROW()-1,14),ROW()-1,FALSE))</x:f>
        <x:v>-1.0506</x:v>
      </x:c>
      <x:c r="O916">
        <x:f ca="1">IF(AND($B$1012=1,LEN($O$1895)&gt;0),$O$1895,HLOOKUP(INDIRECT(ADDRESS(2,COLUMN())),OFFSET($T$2,0,0,ROW()-1,14),ROW()-1,FALSE))</x:f>
        <x:v>11.290100000000001</x:v>
      </x:c>
      <x:c r="P916">
        <x:f ca="1">IF(AND($B$1012=1,LEN($P$1895)&gt;0),$P$1895,HLOOKUP(INDIRECT(ADDRESS(2,COLUMN())),OFFSET($T$2,0,0,ROW()-1,14),ROW()-1,FALSE))</x:f>
        <x:v>14.7841</x:v>
      </x:c>
      <x:c r="Q916">
        <x:f ca="1">IF(AND($B$1012=1,LEN($Q$1895)&gt;0),$Q$1895,HLOOKUP(INDIRECT(ADDRESS(2,COLUMN())),OFFSET($T$2,0,0,ROW()-1,14),ROW()-1,FALSE))</x:f>
        <x:v>13.488799999999999</x:v>
      </x:c>
      <x:c r="R916">
        <x:f ca="1">IF(AND($B$1012=1,LEN($R$1895)&gt;0),$R$1895,HLOOKUP(INDIRECT(ADDRESS(2,COLUMN())),OFFSET($T$2,0,0,ROW()-1,14),ROW()-1,FALSE))</x:f>
        <x:v>5.3869999999999996</x:v>
      </x:c>
      <x:c r="S916">
        <x:f ca="1">IF(AND($B$1012=1,LEN($S$1895)&gt;0),$S$1895,HLOOKUP(INDIRECT(ADDRESS(2,COLUMN())),OFFSET($T$2,0,0,ROW()-1,14),ROW()-1,FALSE))</x:f>
        <x:v>14.5428</x:v>
      </x:c>
      <x:c r="T916">
        <x:f>-7.8808</x:f>
        <x:v>-7.8807999999999998</x:v>
      </x:c>
      <x:c r="U916">
        <x:f>-13.7462</x:f>
        <x:v>-13.7462</x:v>
      </x:c>
      <x:c r="V916">
        <x:f>-3.5221</x:f>
        <x:v>-3.5221</x:v>
      </x:c>
      <x:c r="W916">
        <x:f>-4.8065</x:f>
        <x:v>-4.8064999999999998</x:v>
      </x:c>
      <x:c r="X916">
        <x:f>-1.9202</x:f>
        <x:v>-1.9201999999999999</x:v>
      </x:c>
      <x:c r="Y916">
        <x:f>3.5436</x:f>
        <x:v>3.5436000000000001</x:v>
      </x:c>
      <x:c r="Z916">
        <x:f>6.2041</x:f>
        <x:v>6.2041000000000004</x:v>
      </x:c>
      <x:c r="AA916">
        <x:f>11.4293</x:f>
        <x:v>11.4293</x:v>
      </x:c>
      <x:c r="AB916">
        <x:f>-1.0506</x:f>
        <x:v>-1.0506</x:v>
      </x:c>
      <x:c r="AC916">
        <x:f>11.2901</x:f>
        <x:v>11.290100000000001</x:v>
      </x:c>
      <x:c r="AD916">
        <x:f>14.7841</x:f>
        <x:v>14.7841</x:v>
      </x:c>
      <x:c r="AE916">
        <x:f>13.4888</x:f>
        <x:v>13.488799999999999</x:v>
      </x:c>
      <x:c r="AF916">
        <x:f>5.387</x:f>
        <x:v>5.3869999999999996</x:v>
      </x:c>
      <x:c r="AG916">
        <x:f>14.5428</x:f>
        <x:v>14.5428</x:v>
      </x:c>
    </x:row>
    <x:row r="917" spans="1:33" x14ac:dyDescent="0.25">
      <x:c r="A917" t="str">
        <x:f>"            JPMorgan Social Advancement ET"</x:f>
        <x:v xml:space="preserve">            JPMorgan Social Advancement ET</x:v>
      </x:c>
      <x:c r="B917" t="str">
        <x:f>"UPWD US Equity"</x:f>
        <x:v>UPWD US Equity</x:v>
      </x:c>
      <x:c r="E917" t="str">
        <x:f t="shared" si="37"/>
        <x:v>Expression</x:v>
      </x:c>
      <x:c r="F917">
        <x:f ca="1">IF(AND($B$1012=1,LEN($F$1896)&gt;0),$F$1896,HLOOKUP(INDIRECT(ADDRESS(2,COLUMN())),OFFSET($T$2,0,0,ROW()-1,14),ROW()-1,FALSE))</x:f>
        <x:v>0</x:v>
      </x:c>
      <x:c r="G917">
        <x:f ca="1">IF(AND($B$1012=1,LEN($G$1896)&gt;0),$G$1896,HLOOKUP(INDIRECT(ADDRESS(2,COLUMN())),OFFSET($T$2,0,0,ROW()-1,14),ROW()-1,FALSE))</x:f>
        <x:v>0</x:v>
      </x:c>
      <x:c r="H917">
        <x:f ca="1">IF(AND($B$1012=1,LEN($H$1896)&gt;0),$H$1896,HLOOKUP(INDIRECT(ADDRESS(2,COLUMN())),OFFSET($T$2,0,0,ROW()-1,14),ROW()-1,FALSE))</x:f>
        <x:v>0</x:v>
      </x:c>
      <x:c r="I917">
        <x:f ca="1">IF(AND($B$1012=1,LEN($I$1896)&gt;0),$I$1896,HLOOKUP(INDIRECT(ADDRESS(2,COLUMN())),OFFSET($T$2,0,0,ROW()-1,14),ROW()-1,FALSE))</x:f>
        <x:v>0</x:v>
      </x:c>
      <x:c r="J917">
        <x:f ca="1">IF(AND($B$1012=1,LEN($J$1896)&gt;0),$J$1896,HLOOKUP(INDIRECT(ADDRESS(2,COLUMN())),OFFSET($T$2,0,0,ROW()-1,14),ROW()-1,FALSE))</x:f>
        <x:v>0</x:v>
      </x:c>
      <x:c r="K917">
        <x:f ca="1">IF(AND($B$1012=1,LEN($K$1896)&gt;0),$K$1896,HLOOKUP(INDIRECT(ADDRESS(2,COLUMN())),OFFSET($T$2,0,0,ROW()-1,14),ROW()-1,FALSE))</x:f>
        <x:v>0</x:v>
      </x:c>
      <x:c r="L917">
        <x:f ca="1">IF(AND($B$1012=1,LEN($L$1896)&gt;0),$L$1896,HLOOKUP(INDIRECT(ADDRESS(2,COLUMN())),OFFSET($T$2,0,0,ROW()-1,14),ROW()-1,FALSE))</x:f>
        <x:v>0</x:v>
      </x:c>
      <x:c r="M917">
        <x:f ca="1">IF(AND($B$1012=1,LEN($M$1896)&gt;0),$M$1896,HLOOKUP(INDIRECT(ADDRESS(2,COLUMN())),OFFSET($T$2,0,0,ROW()-1,14),ROW()-1,FALSE))</x:f>
        <x:v>0</x:v>
      </x:c>
      <x:c r="N917">
        <x:f ca="1">IF(AND($B$1012=1,LEN($N$1896)&gt;0),$N$1896,HLOOKUP(INDIRECT(ADDRESS(2,COLUMN())),OFFSET($T$2,0,0,ROW()-1,14),ROW()-1,FALSE))</x:f>
        <x:v>0</x:v>
      </x:c>
      <x:c r="O917">
        <x:f ca="1">IF(AND($B$1012=1,LEN($O$1896)&gt;0),$O$1896,HLOOKUP(INDIRECT(ADDRESS(2,COLUMN())),OFFSET($T$2,0,0,ROW()-1,14),ROW()-1,FALSE))</x:f>
        <x:v>0</x:v>
      </x:c>
      <x:c r="P917">
        <x:f ca="1">IF(AND($B$1012=1,LEN($P$1896)&gt;0),$P$1896,HLOOKUP(INDIRECT(ADDRESS(2,COLUMN())),OFFSET($T$2,0,0,ROW()-1,14),ROW()-1,FALSE))</x:f>
        <x:v>0</x:v>
      </x:c>
      <x:c r="Q917">
        <x:f ca="1">IF(AND($B$1012=1,LEN($Q$1896)&gt;0),$Q$1896,HLOOKUP(INDIRECT(ADDRESS(2,COLUMN())),OFFSET($T$2,0,0,ROW()-1,14),ROW()-1,FALSE))</x:f>
        <x:v>0</x:v>
      </x:c>
      <x:c r="R917">
        <x:f ca="1">IF(AND($B$1012=1,LEN($R$1896)&gt;0),$R$1896,HLOOKUP(INDIRECT(ADDRESS(2,COLUMN())),OFFSET($T$2,0,0,ROW()-1,14),ROW()-1,FALSE))</x:f>
        <x:v>0</x:v>
      </x:c>
      <x:c r="S917">
        <x:f ca="1">IF(AND($B$1012=1,LEN($S$1896)&gt;0),$S$1896,HLOOKUP(INDIRECT(ADDRESS(2,COLUMN())),OFFSET($T$2,0,0,ROW()-1,14),ROW()-1,FALSE))</x:f>
        <x:v>1.122503</x:v>
      </x:c>
      <x:c r="T917">
        <x:f>0</x:f>
        <x:v>0</x:v>
      </x:c>
      <x:c r="U917">
        <x:f>0</x:f>
        <x:v>0</x:v>
      </x:c>
      <x:c r="V917">
        <x:f>0</x:f>
        <x:v>0</x:v>
      </x:c>
      <x:c r="W917">
        <x:f>0</x:f>
        <x:v>0</x:v>
      </x:c>
      <x:c r="X917">
        <x:f>0</x:f>
        <x:v>0</x:v>
      </x:c>
      <x:c r="Y917">
        <x:f>0</x:f>
        <x:v>0</x:v>
      </x:c>
      <x:c r="Z917">
        <x:f>0</x:f>
        <x:v>0</x:v>
      </x:c>
      <x:c r="AA917">
        <x:f>0</x:f>
        <x:v>0</x:v>
      </x:c>
      <x:c r="AB917">
        <x:f>0</x:f>
        <x:v>0</x:v>
      </x:c>
      <x:c r="AC917">
        <x:f>0</x:f>
        <x:v>0</x:v>
      </x:c>
      <x:c r="AD917">
        <x:f>0</x:f>
        <x:v>0</x:v>
      </x:c>
      <x:c r="AE917">
        <x:f>0</x:f>
        <x:v>0</x:v>
      </x:c>
      <x:c r="AF917">
        <x:f>0</x:f>
        <x:v>0</x:v>
      </x:c>
      <x:c r="AG917">
        <x:f>1.122503</x:f>
        <x:v>1.122503</x:v>
      </x:c>
    </x:row>
    <x:row r="918" spans="1:33" x14ac:dyDescent="0.25">
      <x:c r="A918" t="str">
        <x:f>"        Agriculture"</x:f>
        <x:v xml:space="preserve">        Agriculture</x:v>
      </x:c>
      <x:c r="B918" t="str">
        <x:f>""</x:f>
        <x:v/>
      </x:c>
      <x:c r="E918" t="str">
        <x:f>"Sum"</x:f>
        <x:v>Sum</x:v>
      </x:c>
      <x:c r="F918">
        <x:f ca="1">IF(ISERROR(IF(SUM($F$919:$F$929) = 0, "", SUM($F$919:$F$929))), "", (IF(SUM($F$919:$F$929) = 0, "", SUM($F$919:$F$929))))</x:f>
        <x:v>-6.2843289999999996</x:v>
      </x:c>
      <x:c r="G918">
        <x:f ca="1">IF(ISERROR(IF(SUM($G$919:$G$929) = 0, "", SUM($G$919:$G$929))), "", (IF(SUM($G$919:$G$929) = 0, "", SUM($G$919:$G$929))))</x:f>
        <x:v>-38.473805999999996</x:v>
      </x:c>
      <x:c r="H918">
        <x:f ca="1">IF(ISERROR(IF(SUM($H$919:$H$929) = 0, "", SUM($H$919:$H$929))), "", (IF(SUM($H$919:$H$929) = 0, "", SUM($H$919:$H$929))))</x:f>
        <x:v>-28.513143000000003</x:v>
      </x:c>
      <x:c r="I918">
        <x:f ca="1">IF(ISERROR(IF(SUM($I$919:$I$929) = 0, "", SUM($I$919:$I$929))), "", (IF(SUM($I$919:$I$929) = 0, "", SUM($I$919:$I$929))))</x:f>
        <x:v>-20.430305999999998</x:v>
      </x:c>
      <x:c r="J918">
        <x:f ca="1">IF(ISERROR(IF(SUM($J$919:$J$929) = 0, "", SUM($J$919:$J$929))), "", (IF(SUM($J$919:$J$929) = 0, "", SUM($J$919:$J$929))))</x:f>
        <x:v>-30.999434999999998</x:v>
      </x:c>
      <x:c r="K918">
        <x:f ca="1">IF(ISERROR(IF(SUM($K$919:$K$929) = 0, "", SUM($K$919:$K$929))), "", (IF(SUM($K$919:$K$929) = 0, "", SUM($K$919:$K$929))))</x:f>
        <x:v>-23.066248000000002</x:v>
      </x:c>
      <x:c r="L918">
        <x:f ca="1">IF(ISERROR(IF(SUM($L$919:$L$929) = 0, "", SUM($L$919:$L$929))), "", (IF(SUM($L$919:$L$929) = 0, "", SUM($L$919:$L$929))))</x:f>
        <x:v>-76.91036099999998</x:v>
      </x:c>
      <x:c r="M918">
        <x:f ca="1">IF(ISERROR(IF(SUM($M$919:$M$929) = 0, "", SUM($M$919:$M$929))), "", (IF(SUM($M$919:$M$929) = 0, "", SUM($M$919:$M$929))))</x:f>
        <x:v>-35.982388999999998</x:v>
      </x:c>
      <x:c r="N918">
        <x:f ca="1">IF(ISERROR(IF(SUM($N$919:$N$929) = 0, "", SUM($N$919:$N$929))), "", (IF(SUM($N$919:$N$929) = 0, "", SUM($N$919:$N$929))))</x:f>
        <x:v>-43.368216000000004</x:v>
      </x:c>
      <x:c r="O918">
        <x:f ca="1">IF(ISERROR(IF(SUM($O$919:$O$929) = 0, "", SUM($O$919:$O$929))), "", (IF(SUM($O$919:$O$929) = 0, "", SUM($O$919:$O$929))))</x:f>
        <x:v>-37.649161999999997</x:v>
      </x:c>
      <x:c r="P918">
        <x:f ca="1">IF(ISERROR(IF(SUM($P$919:$P$929) = 0, "", SUM($P$919:$P$929))), "", (IF(SUM($P$919:$P$929) = 0, "", SUM($P$919:$P$929))))</x:f>
        <x:v>-43.434443000000002</x:v>
      </x:c>
      <x:c r="Q918">
        <x:f ca="1">IF(ISERROR(IF(SUM($Q$919:$Q$929) = 0, "", SUM($Q$919:$Q$929))), "", (IF(SUM($Q$919:$Q$929) = 0, "", SUM($Q$919:$Q$929))))</x:f>
        <x:v>-69.165447</x:v>
      </x:c>
      <x:c r="R918">
        <x:f ca="1">IF(ISERROR(IF(SUM($R$919:$R$929) = 0, "", SUM($R$919:$R$929))), "", (IF(SUM($R$919:$R$929) = 0, "", SUM($R$919:$R$929))))</x:f>
        <x:v>5.7596379999999998</x:v>
      </x:c>
      <x:c r="S918">
        <x:f ca="1">IF(ISERROR(IF(SUM($S$919:$S$929) = 0, "", SUM($S$919:$S$929))), "", (IF(SUM($S$919:$S$929) = 0, "", SUM($S$919:$S$929))))</x:f>
        <x:v>-8.0834810000000008</x:v>
      </x:c>
      <x:c r="T918">
        <x:f>-6.284329</x:f>
        <x:v>-6.2843289999999996</x:v>
      </x:c>
      <x:c r="U918">
        <x:f>-38.473806</x:f>
        <x:v>-38.473806000000003</x:v>
      </x:c>
      <x:c r="V918">
        <x:f>-28.513143</x:f>
        <x:v>-28.513142999999999</x:v>
      </x:c>
      <x:c r="W918">
        <x:f>-20.430306</x:f>
        <x:v>-20.430306000000002</x:v>
      </x:c>
      <x:c r="X918">
        <x:f>-30.999435</x:f>
        <x:v>-30.999434999999998</x:v>
      </x:c>
      <x:c r="Y918">
        <x:f>-23.066248</x:f>
        <x:v>-23.066248000000002</x:v>
      </x:c>
      <x:c r="Z918">
        <x:f>-76.910361</x:f>
        <x:v>-76.910360999999995</x:v>
      </x:c>
      <x:c r="AA918">
        <x:f>-35.982389</x:f>
        <x:v>-35.982388999999998</x:v>
      </x:c>
      <x:c r="AB918">
        <x:f>-43.368216</x:f>
        <x:v>-43.368215999999997</x:v>
      </x:c>
      <x:c r="AC918">
        <x:f>-37.649162</x:f>
        <x:v>-37.649161999999997</x:v>
      </x:c>
      <x:c r="AD918">
        <x:f>-43.434443</x:f>
        <x:v>-43.434443000000002</x:v>
      </x:c>
      <x:c r="AE918">
        <x:f>-69.165447</x:f>
        <x:v>-69.165447</x:v>
      </x:c>
      <x:c r="AF918">
        <x:f>5.759638</x:f>
        <x:v>5.7596379999999998</x:v>
      </x:c>
      <x:c r="AG918">
        <x:f>-8.083481</x:f>
        <x:v>-8.0834810000000008</x:v>
      </x:c>
    </x:row>
    <x:row r="919" spans="1:33" x14ac:dyDescent="0.25">
      <x:c r="A919" t="str">
        <x:f>"            iShares MSCI Agriculture Produ"</x:f>
        <x:v xml:space="preserve">            iShares MSCI Agriculture Produ</x:v>
      </x:c>
      <x:c r="B919" t="str">
        <x:f>"VEGI US Equity"</x:f>
        <x:v>VEGI US Equity</x:v>
      </x:c>
      <x:c r="E919" t="str">
        <x:f t="shared" ref="E919:E929" si="38">"Expression"</x:f>
        <x:v>Expression</x:v>
      </x:c>
      <x:c r="F919">
        <x:f ca="1">IF(AND($B$1012=1,LEN($F$1897)&gt;0),$F$1897,HLOOKUP(INDIRECT(ADDRESS(2,COLUMN())),OFFSET($T$2,0,0,ROW()-1,14),ROW()-1,FALSE))</x:f>
        <x:v>0</x:v>
      </x:c>
      <x:c r="G919">
        <x:f ca="1">IF(AND($B$1012=1,LEN($G$1897)&gt;0),$G$1897,HLOOKUP(INDIRECT(ADDRESS(2,COLUMN())),OFFSET($T$2,0,0,ROW()-1,14),ROW()-1,FALSE))</x:f>
        <x:v>-14.572234999999999</x:v>
      </x:c>
      <x:c r="H919">
        <x:f ca="1">IF(AND($B$1012=1,LEN($H$1897)&gt;0),$H$1897,HLOOKUP(INDIRECT(ADDRESS(2,COLUMN())),OFFSET($T$2,0,0,ROW()-1,14),ROW()-1,FALSE))</x:f>
        <x:v>-6.0215100000000001</x:v>
      </x:c>
      <x:c r="I919">
        <x:f ca="1">IF(AND($B$1012=1,LEN($I$1897)&gt;0),$I$1897,HLOOKUP(INDIRECT(ADDRESS(2,COLUMN())),OFFSET($T$2,0,0,ROW()-1,14),ROW()-1,FALSE))</x:f>
        <x:v>-4.0934900000000001</x:v>
      </x:c>
      <x:c r="J919">
        <x:f ca="1">IF(AND($B$1012=1,LEN($J$1897)&gt;0),$J$1897,HLOOKUP(INDIRECT(ADDRESS(2,COLUMN())),OFFSET($T$2,0,0,ROW()-1,14),ROW()-1,FALSE))</x:f>
        <x:v>-8.0194600000000005</x:v>
      </x:c>
      <x:c r="K919">
        <x:f ca="1">IF(AND($B$1012=1,LEN($K$1897)&gt;0),$K$1897,HLOOKUP(INDIRECT(ADDRESS(2,COLUMN())),OFFSET($T$2,0,0,ROW()-1,14),ROW()-1,FALSE))</x:f>
        <x:v>-7.9135200000000001</x:v>
      </x:c>
      <x:c r="L919">
        <x:f ca="1">IF(AND($B$1012=1,LEN($L$1897)&gt;0),$L$1897,HLOOKUP(INDIRECT(ADDRESS(2,COLUMN())),OFFSET($T$2,0,0,ROW()-1,14),ROW()-1,FALSE))</x:f>
        <x:v>-11.381790000000001</x:v>
      </x:c>
      <x:c r="M919">
        <x:f ca="1">IF(AND($B$1012=1,LEN($M$1897)&gt;0),$M$1897,HLOOKUP(INDIRECT(ADDRESS(2,COLUMN())),OFFSET($T$2,0,0,ROW()-1,14),ROW()-1,FALSE))</x:f>
        <x:v>-10.250064999999999</x:v>
      </x:c>
      <x:c r="N919">
        <x:f ca="1">IF(AND($B$1012=1,LEN($N$1897)&gt;0),$N$1897,HLOOKUP(INDIRECT(ADDRESS(2,COLUMN())),OFFSET($T$2,0,0,ROW()-1,14),ROW()-1,FALSE))</x:f>
        <x:v>-10.154019999999999</x:v>
      </x:c>
      <x:c r="O919">
        <x:f ca="1">IF(AND($B$1012=1,LEN($O$1897)&gt;0),$O$1897,HLOOKUP(INDIRECT(ADDRESS(2,COLUMN())),OFFSET($T$2,0,0,ROW()-1,14),ROW()-1,FALSE))</x:f>
        <x:v>-8.7032900000000009</x:v>
      </x:c>
      <x:c r="P919">
        <x:f ca="1">IF(AND($B$1012=1,LEN($P$1897)&gt;0),$P$1897,HLOOKUP(INDIRECT(ADDRESS(2,COLUMN())),OFFSET($T$2,0,0,ROW()-1,14),ROW()-1,FALSE))</x:f>
        <x:v>-8.4719999999999995</x:v>
      </x:c>
      <x:c r="Q919">
        <x:f ca="1">IF(AND($B$1012=1,LEN($Q$1897)&gt;0),$Q$1897,HLOOKUP(INDIRECT(ADDRESS(2,COLUMN())),OFFSET($T$2,0,0,ROW()-1,14),ROW()-1,FALSE))</x:f>
        <x:v>-24.246625000000002</x:v>
      </x:c>
      <x:c r="R919">
        <x:f ca="1">IF(AND($B$1012=1,LEN($R$1897)&gt;0),$R$1897,HLOOKUP(INDIRECT(ADDRESS(2,COLUMN())),OFFSET($T$2,0,0,ROW()-1,14),ROW()-1,FALSE))</x:f>
        <x:v>19.833494999999999</x:v>
      </x:c>
      <x:c r="S919">
        <x:f ca="1">IF(AND($B$1012=1,LEN($S$1897)&gt;0),$S$1897,HLOOKUP(INDIRECT(ADDRESS(2,COLUMN())),OFFSET($T$2,0,0,ROW()-1,14),ROW()-1,FALSE))</x:f>
        <x:v>14.453189999999999</x:v>
      </x:c>
      <x:c r="T919">
        <x:f>0</x:f>
        <x:v>0</x:v>
      </x:c>
      <x:c r="U919">
        <x:f>-14.572235</x:f>
        <x:v>-14.572234999999999</x:v>
      </x:c>
      <x:c r="V919">
        <x:f>-6.02151</x:f>
        <x:v>-6.0215100000000001</x:v>
      </x:c>
      <x:c r="W919">
        <x:f>-4.09349</x:f>
        <x:v>-4.0934900000000001</x:v>
      </x:c>
      <x:c r="X919">
        <x:f>-8.01946</x:f>
        <x:v>-8.0194600000000005</x:v>
      </x:c>
      <x:c r="Y919">
        <x:f>-7.91352</x:f>
        <x:v>-7.9135200000000001</x:v>
      </x:c>
      <x:c r="Z919">
        <x:f>-11.38179</x:f>
        <x:v>-11.381790000000001</x:v>
      </x:c>
      <x:c r="AA919">
        <x:f>-10.250065</x:f>
        <x:v>-10.250064999999999</x:v>
      </x:c>
      <x:c r="AB919">
        <x:f>-10.15402</x:f>
        <x:v>-10.154019999999999</x:v>
      </x:c>
      <x:c r="AC919">
        <x:f>-8.70329</x:f>
        <x:v>-8.7032900000000009</x:v>
      </x:c>
      <x:c r="AD919">
        <x:f>-8.472</x:f>
        <x:v>-8.4719999999999995</x:v>
      </x:c>
      <x:c r="AE919">
        <x:f>-24.246625</x:f>
        <x:v>-24.246625000000002</x:v>
      </x:c>
      <x:c r="AF919">
        <x:f>19.833495</x:f>
        <x:v>19.833494999999999</x:v>
      </x:c>
      <x:c r="AG919">
        <x:f>14.45319</x:f>
        <x:v>14.453189999999999</x:v>
      </x:c>
    </x:row>
    <x:row r="920" spans="1:33" x14ac:dyDescent="0.25">
      <x:c r="A920" t="str">
        <x:f>"            Invesco Global Agriculture ETF"</x:f>
        <x:v xml:space="preserve">            Invesco Global Agriculture ETF</x:v>
      </x:c>
      <x:c r="B920" t="str">
        <x:f>"PAGG US Equity"</x:f>
        <x:v>PAGG US Equity</x:v>
      </x:c>
      <x:c r="E920" t="str">
        <x:f t="shared" si="38"/>
        <x:v>Expression</x:v>
      </x:c>
      <x:c r="F920" t="str">
        <x:f ca="1">IF(AND($B$1012=1,LEN($F$1898)&gt;0),$F$1898,HLOOKUP(INDIRECT(ADDRESS(2,COLUMN())),OFFSET($T$2,0,0,ROW()-1,14),ROW()-1,FALSE))</x:f>
        <x:v/>
      </x:c>
      <x:c r="G920" t="str">
        <x:f ca="1">IF(AND($B$1012=1,LEN($G$1898)&gt;0),$G$1898,HLOOKUP(INDIRECT(ADDRESS(2,COLUMN())),OFFSET($T$2,0,0,ROW()-1,14),ROW()-1,FALSE))</x:f>
        <x:v/>
      </x:c>
      <x:c r="H920" t="str">
        <x:f ca="1">IF(AND($B$1012=1,LEN($H$1898)&gt;0),$H$1898,HLOOKUP(INDIRECT(ADDRESS(2,COLUMN())),OFFSET($T$2,0,0,ROW()-1,14),ROW()-1,FALSE))</x:f>
        <x:v/>
      </x:c>
      <x:c r="I920" t="str">
        <x:f ca="1">IF(AND($B$1012=1,LEN($I$1898)&gt;0),$I$1898,HLOOKUP(INDIRECT(ADDRESS(2,COLUMN())),OFFSET($T$2,0,0,ROW()-1,14),ROW()-1,FALSE))</x:f>
        <x:v/>
      </x:c>
      <x:c r="J920" t="str">
        <x:f ca="1">IF(AND($B$1012=1,LEN($J$1898)&gt;0),$J$1898,HLOOKUP(INDIRECT(ADDRESS(2,COLUMN())),OFFSET($T$2,0,0,ROW()-1,14),ROW()-1,FALSE))</x:f>
        <x:v/>
      </x:c>
      <x:c r="K920" t="str">
        <x:f ca="1">IF(AND($B$1012=1,LEN($K$1898)&gt;0),$K$1898,HLOOKUP(INDIRECT(ADDRESS(2,COLUMN())),OFFSET($T$2,0,0,ROW()-1,14),ROW()-1,FALSE))</x:f>
        <x:v/>
      </x:c>
      <x:c r="L920" t="str">
        <x:f ca="1">IF(AND($B$1012=1,LEN($L$1898)&gt;0),$L$1898,HLOOKUP(INDIRECT(ADDRESS(2,COLUMN())),OFFSET($T$2,0,0,ROW()-1,14),ROW()-1,FALSE))</x:f>
        <x:v/>
      </x:c>
      <x:c r="M920" t="str">
        <x:f ca="1">IF(AND($B$1012=1,LEN($M$1898)&gt;0),$M$1898,HLOOKUP(INDIRECT(ADDRESS(2,COLUMN())),OFFSET($T$2,0,0,ROW()-1,14),ROW()-1,FALSE))</x:f>
        <x:v/>
      </x:c>
      <x:c r="N920" t="str">
        <x:f ca="1">IF(AND($B$1012=1,LEN($N$1898)&gt;0),$N$1898,HLOOKUP(INDIRECT(ADDRESS(2,COLUMN())),OFFSET($T$2,0,0,ROW()-1,14),ROW()-1,FALSE))</x:f>
        <x:v/>
      </x:c>
      <x:c r="O920" t="str">
        <x:f ca="1">IF(AND($B$1012=1,LEN($O$1898)&gt;0),$O$1898,HLOOKUP(INDIRECT(ADDRESS(2,COLUMN())),OFFSET($T$2,0,0,ROW()-1,14),ROW()-1,FALSE))</x:f>
        <x:v/>
      </x:c>
      <x:c r="P920" t="str">
        <x:f ca="1">IF(AND($B$1012=1,LEN($P$1898)&gt;0),$P$1898,HLOOKUP(INDIRECT(ADDRESS(2,COLUMN())),OFFSET($T$2,0,0,ROW()-1,14),ROW()-1,FALSE))</x:f>
        <x:v/>
      </x:c>
      <x:c r="Q920" t="str">
        <x:f ca="1">IF(AND($B$1012=1,LEN($Q$1898)&gt;0),$Q$1898,HLOOKUP(INDIRECT(ADDRESS(2,COLUMN())),OFFSET($T$2,0,0,ROW()-1,14),ROW()-1,FALSE))</x:f>
        <x:v/>
      </x:c>
      <x:c r="R920" t="str">
        <x:f ca="1">IF(AND($B$1012=1,LEN($R$1898)&gt;0),$R$1898,HLOOKUP(INDIRECT(ADDRESS(2,COLUMN())),OFFSET($T$2,0,0,ROW()-1,14),ROW()-1,FALSE))</x:f>
        <x:v/>
      </x:c>
      <x:c r="S920" t="str">
        <x:f ca="1">IF(AND($B$1012=1,LEN($S$1898)&gt;0),$S$1898,HLOOKUP(INDIRECT(ADDRESS(2,COLUMN())),OFFSET($T$2,0,0,ROW()-1,14),ROW()-1,FALSE))</x:f>
        <x:v/>
      </x:c>
      <x:c r="T920" t="str">
        <x:f>""</x:f>
        <x:v/>
      </x:c>
      <x:c r="U920" t="str">
        <x:f>""</x:f>
        <x:v/>
      </x:c>
      <x:c r="V920" t="str">
        <x:f>""</x:f>
        <x:v/>
      </x:c>
      <x:c r="W920" t="str">
        <x:f>""</x:f>
        <x:v/>
      </x:c>
      <x:c r="X920" t="str">
        <x:f>""</x:f>
        <x:v/>
      </x:c>
      <x:c r="Y920" t="str">
        <x:f>""</x:f>
        <x:v/>
      </x:c>
      <x:c r="Z920" t="str">
        <x:f>""</x:f>
        <x:v/>
      </x:c>
      <x:c r="AA920" t="str">
        <x:f>""</x:f>
        <x:v/>
      </x:c>
      <x:c r="AB920" t="str">
        <x:f>""</x:f>
        <x:v/>
      </x:c>
      <x:c r="AC920" t="str">
        <x:f>""</x:f>
        <x:v/>
      </x:c>
      <x:c r="AD920" t="str">
        <x:f>""</x:f>
        <x:v/>
      </x:c>
      <x:c r="AE920" t="str">
        <x:f>""</x:f>
        <x:v/>
      </x:c>
      <x:c r="AF920" t="str">
        <x:f>""</x:f>
        <x:v/>
      </x:c>
      <x:c r="AG920" t="str">
        <x:f>""</x:f>
        <x:v/>
      </x:c>
    </x:row>
    <x:row r="921" spans="1:33" x14ac:dyDescent="0.25">
      <x:c r="A921" t="str">
        <x:f>"            VanEck Agribusiness ETF"</x:f>
        <x:v xml:space="preserve">            VanEck Agribusiness ETF</x:v>
      </x:c>
      <x:c r="B921" t="str">
        <x:f>"MOO US Equity"</x:f>
        <x:v>MOO US Equity</x:v>
      </x:c>
      <x:c r="E921" t="str">
        <x:f t="shared" si="38"/>
        <x:v>Expression</x:v>
      </x:c>
      <x:c r="F921">
        <x:f ca="1">IF(AND($B$1012=1,LEN($F$1899)&gt;0),$F$1899,HLOOKUP(INDIRECT(ADDRESS(2,COLUMN())),OFFSET($T$2,0,0,ROW()-1,14),ROW()-1,FALSE))</x:f>
        <x:v>0</x:v>
      </x:c>
      <x:c r="G921">
        <x:f ca="1">IF(AND($B$1012=1,LEN($G$1899)&gt;0),$G$1899,HLOOKUP(INDIRECT(ADDRESS(2,COLUMN())),OFFSET($T$2,0,0,ROW()-1,14),ROW()-1,FALSE))</x:f>
        <x:v>-22.6252</x:v>
      </x:c>
      <x:c r="H921">
        <x:f ca="1">IF(AND($B$1012=1,LEN($H$1899)&gt;0),$H$1899,HLOOKUP(INDIRECT(ADDRESS(2,COLUMN())),OFFSET($T$2,0,0,ROW()-1,14),ROW()-1,FALSE))</x:f>
        <x:v>-12.154327</x:v>
      </x:c>
      <x:c r="I921">
        <x:f ca="1">IF(AND($B$1012=1,LEN($I$1899)&gt;0),$I$1899,HLOOKUP(INDIRECT(ADDRESS(2,COLUMN())),OFFSET($T$2,0,0,ROW()-1,14),ROW()-1,FALSE))</x:f>
        <x:v>-16.823025999999999</x:v>
      </x:c>
      <x:c r="J921">
        <x:f ca="1">IF(AND($B$1012=1,LEN($J$1899)&gt;0),$J$1899,HLOOKUP(INDIRECT(ADDRESS(2,COLUMN())),OFFSET($T$2,0,0,ROW()-1,14),ROW()-1,FALSE))</x:f>
        <x:v>-21.637975000000001</x:v>
      </x:c>
      <x:c r="K921">
        <x:f ca="1">IF(AND($B$1012=1,LEN($K$1899)&gt;0),$K$1899,HLOOKUP(INDIRECT(ADDRESS(2,COLUMN())),OFFSET($T$2,0,0,ROW()-1,14),ROW()-1,FALSE))</x:f>
        <x:v>-7.9740380000000002</x:v>
      </x:c>
      <x:c r="L921">
        <x:f ca="1">IF(AND($B$1012=1,LEN($L$1899)&gt;0),$L$1899,HLOOKUP(INDIRECT(ADDRESS(2,COLUMN())),OFFSET($T$2,0,0,ROW()-1,14),ROW()-1,FALSE))</x:f>
        <x:v>-65.390204999999995</x:v>
      </x:c>
      <x:c r="M921">
        <x:f ca="1">IF(AND($B$1012=1,LEN($M$1899)&gt;0),$M$1899,HLOOKUP(INDIRECT(ADDRESS(2,COLUMN())),OFFSET($T$2,0,0,ROW()-1,14),ROW()-1,FALSE))</x:f>
        <x:v>-25.732323999999998</x:v>
      </x:c>
      <x:c r="N921">
        <x:f ca="1">IF(AND($B$1012=1,LEN($N$1899)&gt;0),$N$1899,HLOOKUP(INDIRECT(ADDRESS(2,COLUMN())),OFFSET($T$2,0,0,ROW()-1,14),ROW()-1,FALSE))</x:f>
        <x:v>-25.853064</x:v>
      </x:c>
      <x:c r="O921">
        <x:f ca="1">IF(AND($B$1012=1,LEN($O$1899)&gt;0),$O$1899,HLOOKUP(INDIRECT(ADDRESS(2,COLUMN())),OFFSET($T$2,0,0,ROW()-1,14),ROW()-1,FALSE))</x:f>
        <x:v>-22.667448</x:v>
      </x:c>
      <x:c r="P921">
        <x:f ca="1">IF(AND($B$1012=1,LEN($P$1899)&gt;0),$P$1899,HLOOKUP(INDIRECT(ADDRESS(2,COLUMN())),OFFSET($T$2,0,0,ROW()-1,14),ROW()-1,FALSE))</x:f>
        <x:v>-34.962443</x:v>
      </x:c>
      <x:c r="Q921">
        <x:f ca="1">IF(AND($B$1012=1,LEN($Q$1899)&gt;0),$Q$1899,HLOOKUP(INDIRECT(ADDRESS(2,COLUMN())),OFFSET($T$2,0,0,ROW()-1,14),ROW()-1,FALSE))</x:f>
        <x:v>-36.144553999999999</x:v>
      </x:c>
      <x:c r="R921">
        <x:f ca="1">IF(AND($B$1012=1,LEN($R$1899)&gt;0),$R$1899,HLOOKUP(INDIRECT(ADDRESS(2,COLUMN())),OFFSET($T$2,0,0,ROW()-1,14),ROW()-1,FALSE))</x:f>
        <x:v>-9.3168279999999992</x:v>
      </x:c>
      <x:c r="S921">
        <x:f ca="1">IF(AND($B$1012=1,LEN($S$1899)&gt;0),$S$1899,HLOOKUP(INDIRECT(ADDRESS(2,COLUMN())),OFFSET($T$2,0,0,ROW()-1,14),ROW()-1,FALSE))</x:f>
        <x:v>-17.062514</x:v>
      </x:c>
      <x:c r="T921">
        <x:f>0</x:f>
        <x:v>0</x:v>
      </x:c>
      <x:c r="U921">
        <x:f>-22.6252</x:f>
        <x:v>-22.6252</x:v>
      </x:c>
      <x:c r="V921">
        <x:f>-12.154327</x:f>
        <x:v>-12.154327</x:v>
      </x:c>
      <x:c r="W921">
        <x:f>-16.823026</x:f>
        <x:v>-16.823025999999999</x:v>
      </x:c>
      <x:c r="X921">
        <x:f>-21.637975</x:f>
        <x:v>-21.637975000000001</x:v>
      </x:c>
      <x:c r="Y921">
        <x:f>-7.974038</x:f>
        <x:v>-7.9740380000000002</x:v>
      </x:c>
      <x:c r="Z921">
        <x:f>-65.390205</x:f>
        <x:v>-65.390204999999995</x:v>
      </x:c>
      <x:c r="AA921">
        <x:f>-25.732324</x:f>
        <x:v>-25.732323999999998</x:v>
      </x:c>
      <x:c r="AB921">
        <x:f>-25.853064</x:f>
        <x:v>-25.853064</x:v>
      </x:c>
      <x:c r="AC921">
        <x:f>-22.667448</x:f>
        <x:v>-22.667448</x:v>
      </x:c>
      <x:c r="AD921">
        <x:f>-34.962443</x:f>
        <x:v>-34.962443</x:v>
      </x:c>
      <x:c r="AE921">
        <x:f>-36.144554</x:f>
        <x:v>-36.144553999999999</x:v>
      </x:c>
      <x:c r="AF921">
        <x:f>-9.316828</x:f>
        <x:v>-9.3168279999999992</x:v>
      </x:c>
      <x:c r="AG921">
        <x:f>-17.062514</x:f>
        <x:v>-17.062514</x:v>
      </x:c>
    </x:row>
    <x:row r="922" spans="1:33" x14ac:dyDescent="0.25">
      <x:c r="A922" t="str">
        <x:f>"            First Trust Indxx Global Agric"</x:f>
        <x:v xml:space="preserve">            First Trust Indxx Global Agric</x:v>
      </x:c>
      <x:c r="B922" t="str">
        <x:f>"FTAG US Equity"</x:f>
        <x:v>FTAG US Equity</x:v>
      </x:c>
      <x:c r="E922" t="str">
        <x:f t="shared" si="38"/>
        <x:v>Expression</x:v>
      </x:c>
      <x:c r="F922">
        <x:f ca="1">IF(AND($B$1012=1,LEN($F$1900)&gt;0),$F$1900,HLOOKUP(INDIRECT(ADDRESS(2,COLUMN())),OFFSET($T$2,0,0,ROW()-1,14),ROW()-1,FALSE))</x:f>
        <x:v>1.223263</x:v>
      </x:c>
      <x:c r="G922">
        <x:f ca="1">IF(AND($B$1012=1,LEN($G$1900)&gt;0),$G$1900,HLOOKUP(INDIRECT(ADDRESS(2,COLUMN())),OFFSET($T$2,0,0,ROW()-1,14),ROW()-1,FALSE))</x:f>
        <x:v>-1.2763709999999999</x:v>
      </x:c>
      <x:c r="H922">
        <x:f ca="1">IF(AND($B$1012=1,LEN($H$1900)&gt;0),$H$1900,HLOOKUP(INDIRECT(ADDRESS(2,COLUMN())),OFFSET($T$2,0,0,ROW()-1,14),ROW()-1,FALSE))</x:f>
        <x:v>0</x:v>
      </x:c>
      <x:c r="I922">
        <x:f ca="1">IF(AND($B$1012=1,LEN($I$1900)&gt;0),$I$1900,HLOOKUP(INDIRECT(ADDRESS(2,COLUMN())),OFFSET($T$2,0,0,ROW()-1,14),ROW()-1,FALSE))</x:f>
        <x:v>0</x:v>
      </x:c>
      <x:c r="J922">
        <x:f ca="1">IF(AND($B$1012=1,LEN($J$1900)&gt;0),$J$1900,HLOOKUP(INDIRECT(ADDRESS(2,COLUMN())),OFFSET($T$2,0,0,ROW()-1,14),ROW()-1,FALSE))</x:f>
        <x:v>-1.3420000000000001</x:v>
      </x:c>
      <x:c r="K922">
        <x:f ca="1">IF(AND($B$1012=1,LEN($K$1900)&gt;0),$K$1900,HLOOKUP(INDIRECT(ADDRESS(2,COLUMN())),OFFSET($T$2,0,0,ROW()-1,14),ROW()-1,FALSE))</x:f>
        <x:v>-2.7719999999999998</x:v>
      </x:c>
      <x:c r="L922">
        <x:f ca="1">IF(AND($B$1012=1,LEN($L$1900)&gt;0),$L$1900,HLOOKUP(INDIRECT(ADDRESS(2,COLUMN())),OFFSET($T$2,0,0,ROW()-1,14),ROW()-1,FALSE))</x:f>
        <x:v>0</x:v>
      </x:c>
      <x:c r="M922">
        <x:f ca="1">IF(AND($B$1012=1,LEN($M$1900)&gt;0),$M$1900,HLOOKUP(INDIRECT(ADDRESS(2,COLUMN())),OFFSET($T$2,0,0,ROW()-1,14),ROW()-1,FALSE))</x:f>
        <x:v>0</x:v>
      </x:c>
      <x:c r="N922">
        <x:f ca="1">IF(AND($B$1012=1,LEN($N$1900)&gt;0),$N$1900,HLOOKUP(INDIRECT(ADDRESS(2,COLUMN())),OFFSET($T$2,0,0,ROW()-1,14),ROW()-1,FALSE))</x:f>
        <x:v>-2.8294999999999999</x:v>
      </x:c>
      <x:c r="O922">
        <x:f ca="1">IF(AND($B$1012=1,LEN($O$1900)&gt;0),$O$1900,HLOOKUP(INDIRECT(ADDRESS(2,COLUMN())),OFFSET($T$2,0,0,ROW()-1,14),ROW()-1,FALSE))</x:f>
        <x:v>-3.01</x:v>
      </x:c>
      <x:c r="P922">
        <x:f ca="1">IF(AND($B$1012=1,LEN($P$1900)&gt;0),$P$1900,HLOOKUP(INDIRECT(ADDRESS(2,COLUMN())),OFFSET($T$2,0,0,ROW()-1,14),ROW()-1,FALSE))</x:f>
        <x:v>0</x:v>
      </x:c>
      <x:c r="Q922">
        <x:f ca="1">IF(AND($B$1012=1,LEN($Q$1900)&gt;0),$Q$1900,HLOOKUP(INDIRECT(ADDRESS(2,COLUMN())),OFFSET($T$2,0,0,ROW()-1,14),ROW()-1,FALSE))</x:f>
        <x:v>0</x:v>
      </x:c>
      <x:c r="R922">
        <x:f ca="1">IF(AND($B$1012=1,LEN($R$1900)&gt;0),$R$1900,HLOOKUP(INDIRECT(ADDRESS(2,COLUMN())),OFFSET($T$2,0,0,ROW()-1,14),ROW()-1,FALSE))</x:f>
        <x:v>0</x:v>
      </x:c>
      <x:c r="S922">
        <x:f ca="1">IF(AND($B$1012=1,LEN($S$1900)&gt;0),$S$1900,HLOOKUP(INDIRECT(ADDRESS(2,COLUMN())),OFFSET($T$2,0,0,ROW()-1,14),ROW()-1,FALSE))</x:f>
        <x:v>0</x:v>
      </x:c>
      <x:c r="T922">
        <x:f>1.223263</x:f>
        <x:v>1.223263</x:v>
      </x:c>
      <x:c r="U922">
        <x:f>-1.276371</x:f>
        <x:v>-1.2763709999999999</x:v>
      </x:c>
      <x:c r="V922">
        <x:f>0</x:f>
        <x:v>0</x:v>
      </x:c>
      <x:c r="W922">
        <x:f>0</x:f>
        <x:v>0</x:v>
      </x:c>
      <x:c r="X922">
        <x:f>-1.342</x:f>
        <x:v>-1.3420000000000001</x:v>
      </x:c>
      <x:c r="Y922">
        <x:f>-2.772</x:f>
        <x:v>-2.7719999999999998</x:v>
      </x:c>
      <x:c r="Z922">
        <x:f>0</x:f>
        <x:v>0</x:v>
      </x:c>
      <x:c r="AA922">
        <x:f>0</x:f>
        <x:v>0</x:v>
      </x:c>
      <x:c r="AB922">
        <x:f>-2.8295</x:f>
        <x:v>-2.8294999999999999</x:v>
      </x:c>
      <x:c r="AC922">
        <x:f>-3.01</x:f>
        <x:v>-3.01</x:v>
      </x:c>
      <x:c r="AD922">
        <x:f>0</x:f>
        <x:v>0</x:v>
      </x:c>
      <x:c r="AE922">
        <x:f>0</x:f>
        <x:v>0</x:v>
      </x:c>
      <x:c r="AF922">
        <x:f>0</x:f>
        <x:v>0</x:v>
      </x:c>
      <x:c r="AG922">
        <x:f>0</x:f>
        <x:v>0</x:v>
      </x:c>
    </x:row>
    <x:row r="923" spans="1:33" x14ac:dyDescent="0.25">
      <x:c r="A923" t="str">
        <x:f>"            iShares Global Timber &amp; Forest"</x:f>
        <x:v xml:space="preserve">            iShares Global Timber &amp; Forest</x:v>
      </x:c>
      <x:c r="B923" t="str">
        <x:f>"WOOD US Equity"</x:f>
        <x:v>WOOD US Equity</x:v>
      </x:c>
      <x:c r="E923" t="str">
        <x:f t="shared" si="38"/>
        <x:v>Expression</x:v>
      </x:c>
      <x:c r="F923">
        <x:f ca="1">IF(AND($B$1012=1,LEN($F$1901)&gt;0),$F$1901,HLOOKUP(INDIRECT(ADDRESS(2,COLUMN())),OFFSET($T$2,0,0,ROW()-1,14),ROW()-1,FALSE))</x:f>
        <x:v>-4.4218310000000001</x:v>
      </x:c>
      <x:c r="G923">
        <x:f ca="1">IF(AND($B$1012=1,LEN($G$1901)&gt;0),$G$1901,HLOOKUP(INDIRECT(ADDRESS(2,COLUMN())),OFFSET($T$2,0,0,ROW()-1,14),ROW()-1,FALSE))</x:f>
        <x:v>0</x:v>
      </x:c>
      <x:c r="H923">
        <x:f ca="1">IF(AND($B$1012=1,LEN($H$1901)&gt;0),$H$1901,HLOOKUP(INDIRECT(ADDRESS(2,COLUMN())),OFFSET($T$2,0,0,ROW()-1,14),ROW()-1,FALSE))</x:f>
        <x:v>-8.8344760000000004</x:v>
      </x:c>
      <x:c r="I923">
        <x:f ca="1">IF(AND($B$1012=1,LEN($I$1901)&gt;0),$I$1901,HLOOKUP(INDIRECT(ADDRESS(2,COLUMN())),OFFSET($T$2,0,0,ROW()-1,14),ROW()-1,FALSE))</x:f>
        <x:v>0</x:v>
      </x:c>
      <x:c r="J923">
        <x:f ca="1">IF(AND($B$1012=1,LEN($J$1901)&gt;0),$J$1901,HLOOKUP(INDIRECT(ADDRESS(2,COLUMN())),OFFSET($T$2,0,0,ROW()-1,14),ROW()-1,FALSE))</x:f>
        <x:v>0</x:v>
      </x:c>
      <x:c r="K923">
        <x:f ca="1">IF(AND($B$1012=1,LEN($K$1901)&gt;0),$K$1901,HLOOKUP(INDIRECT(ADDRESS(2,COLUMN())),OFFSET($T$2,0,0,ROW()-1,14),ROW()-1,FALSE))</x:f>
        <x:v>-4.2819900000000004</x:v>
      </x:c>
      <x:c r="L923">
        <x:f ca="1">IF(AND($B$1012=1,LEN($L$1901)&gt;0),$L$1901,HLOOKUP(INDIRECT(ADDRESS(2,COLUMN())),OFFSET($T$2,0,0,ROW()-1,14),ROW()-1,FALSE))</x:f>
        <x:v>4.3365600000000004</x:v>
      </x:c>
      <x:c r="M923">
        <x:f ca="1">IF(AND($B$1012=1,LEN($M$1901)&gt;0),$M$1901,HLOOKUP(INDIRECT(ADDRESS(2,COLUMN())),OFFSET($T$2,0,0,ROW()-1,14),ROW()-1,FALSE))</x:f>
        <x:v>0</x:v>
      </x:c>
      <x:c r="N923">
        <x:f ca="1">IF(AND($B$1012=1,LEN($N$1901)&gt;0),$N$1901,HLOOKUP(INDIRECT(ADDRESS(2,COLUMN())),OFFSET($T$2,0,0,ROW()-1,14),ROW()-1,FALSE))</x:f>
        <x:v>-4.5316320000000001</x:v>
      </x:c>
      <x:c r="O923">
        <x:f ca="1">IF(AND($B$1012=1,LEN($O$1901)&gt;0),$O$1901,HLOOKUP(INDIRECT(ADDRESS(2,COLUMN())),OFFSET($T$2,0,0,ROW()-1,14),ROW()-1,FALSE))</x:f>
        <x:v>-4.5334560000000002</x:v>
      </x:c>
      <x:c r="P923">
        <x:f ca="1">IF(AND($B$1012=1,LEN($P$1901)&gt;0),$P$1901,HLOOKUP(INDIRECT(ADDRESS(2,COLUMN())),OFFSET($T$2,0,0,ROW()-1,14),ROW()-1,FALSE))</x:f>
        <x:v>0</x:v>
      </x:c>
      <x:c r="Q923">
        <x:f ca="1">IF(AND($B$1012=1,LEN($Q$1901)&gt;0),$Q$1901,HLOOKUP(INDIRECT(ADDRESS(2,COLUMN())),OFFSET($T$2,0,0,ROW()-1,14),ROW()-1,FALSE))</x:f>
        <x:v>-8.7742679999999993</x:v>
      </x:c>
      <x:c r="R923">
        <x:f ca="1">IF(AND($B$1012=1,LEN($R$1901)&gt;0),$R$1901,HLOOKUP(INDIRECT(ADDRESS(2,COLUMN())),OFFSET($T$2,0,0,ROW()-1,14),ROW()-1,FALSE))</x:f>
        <x:v>-4.2486660000000001</x:v>
      </x:c>
      <x:c r="S923">
        <x:f ca="1">IF(AND($B$1012=1,LEN($S$1901)&gt;0),$S$1901,HLOOKUP(INDIRECT(ADDRESS(2,COLUMN())),OFFSET($T$2,0,0,ROW()-1,14),ROW()-1,FALSE))</x:f>
        <x:v>-4.0739879999999999</x:v>
      </x:c>
      <x:c r="T923">
        <x:f>-4.421831</x:f>
        <x:v>-4.4218310000000001</x:v>
      </x:c>
      <x:c r="U923">
        <x:f>0</x:f>
        <x:v>0</x:v>
      </x:c>
      <x:c r="V923">
        <x:f>-8.834476</x:f>
        <x:v>-8.8344760000000004</x:v>
      </x:c>
      <x:c r="W923">
        <x:f>0</x:f>
        <x:v>0</x:v>
      </x:c>
      <x:c r="X923">
        <x:f>0</x:f>
        <x:v>0</x:v>
      </x:c>
      <x:c r="Y923">
        <x:f>-4.28199</x:f>
        <x:v>-4.2819900000000004</x:v>
      </x:c>
      <x:c r="Z923">
        <x:f>4.33656</x:f>
        <x:v>4.3365600000000004</x:v>
      </x:c>
      <x:c r="AA923">
        <x:f>0</x:f>
        <x:v>0</x:v>
      </x:c>
      <x:c r="AB923">
        <x:f>-4.531632</x:f>
        <x:v>-4.5316320000000001</x:v>
      </x:c>
      <x:c r="AC923">
        <x:f>-4.533456</x:f>
        <x:v>-4.5334560000000002</x:v>
      </x:c>
      <x:c r="AD923">
        <x:f>0</x:f>
        <x:v>0</x:v>
      </x:c>
      <x:c r="AE923">
        <x:f>-8.774268</x:f>
        <x:v>-8.7742679999999993</x:v>
      </x:c>
      <x:c r="AF923">
        <x:f>-4.248666</x:f>
        <x:v>-4.2486660000000001</x:v>
      </x:c>
      <x:c r="AG923">
        <x:f>-4.073988</x:f>
        <x:v>-4.0739879999999999</x:v>
      </x:c>
    </x:row>
    <x:row r="924" spans="1:33" x14ac:dyDescent="0.25">
      <x:c r="A924" t="str">
        <x:f>"            Invesco MSCI Global Timber ETF"</x:f>
        <x:v xml:space="preserve">            Invesco MSCI Global Timber ETF</x:v>
      </x:c>
      <x:c r="B924" t="str">
        <x:f>"CUT US Equity"</x:f>
        <x:v>CUT US Equity</x:v>
      </x:c>
      <x:c r="E924" t="str">
        <x:f t="shared" si="38"/>
        <x:v>Expression</x:v>
      </x:c>
      <x:c r="F924">
        <x:f ca="1">IF(AND($B$1012=1,LEN($F$1902)&gt;0),$F$1902,HLOOKUP(INDIRECT(ADDRESS(2,COLUMN())),OFFSET($T$2,0,0,ROW()-1,14),ROW()-1,FALSE))</x:f>
        <x:v>-3.0857610000000002</x:v>
      </x:c>
      <x:c r="G924">
        <x:f ca="1">IF(AND($B$1012=1,LEN($G$1902)&gt;0),$G$1902,HLOOKUP(INDIRECT(ADDRESS(2,COLUMN())),OFFSET($T$2,0,0,ROW()-1,14),ROW()-1,FALSE))</x:f>
        <x:v>0</x:v>
      </x:c>
      <x:c r="H924">
        <x:f ca="1">IF(AND($B$1012=1,LEN($H$1902)&gt;0),$H$1902,HLOOKUP(INDIRECT(ADDRESS(2,COLUMN())),OFFSET($T$2,0,0,ROW()-1,14),ROW()-1,FALSE))</x:f>
        <x:v>-1.5028300000000001</x:v>
      </x:c>
      <x:c r="I924">
        <x:f ca="1">IF(AND($B$1012=1,LEN($I$1902)&gt;0),$I$1902,HLOOKUP(INDIRECT(ADDRESS(2,COLUMN())),OFFSET($T$2,0,0,ROW()-1,14),ROW()-1,FALSE))</x:f>
        <x:v>0</x:v>
      </x:c>
      <x:c r="J924">
        <x:f ca="1">IF(AND($B$1012=1,LEN($J$1902)&gt;0),$J$1902,HLOOKUP(INDIRECT(ADDRESS(2,COLUMN())),OFFSET($T$2,0,0,ROW()-1,14),ROW()-1,FALSE))</x:f>
        <x:v>0</x:v>
      </x:c>
      <x:c r="K924">
        <x:f ca="1">IF(AND($B$1012=1,LEN($K$1902)&gt;0),$K$1902,HLOOKUP(INDIRECT(ADDRESS(2,COLUMN())),OFFSET($T$2,0,0,ROW()-1,14),ROW()-1,FALSE))</x:f>
        <x:v>0</x:v>
      </x:c>
      <x:c r="L924">
        <x:f ca="1">IF(AND($B$1012=1,LEN($L$1902)&gt;0),$L$1902,HLOOKUP(INDIRECT(ADDRESS(2,COLUMN())),OFFSET($T$2,0,0,ROW()-1,14),ROW()-1,FALSE))</x:f>
        <x:v>-4.474926</x:v>
      </x:c>
      <x:c r="M924">
        <x:f ca="1">IF(AND($B$1012=1,LEN($M$1902)&gt;0),$M$1902,HLOOKUP(INDIRECT(ADDRESS(2,COLUMN())),OFFSET($T$2,0,0,ROW()-1,14),ROW()-1,FALSE))</x:f>
        <x:v>0</x:v>
      </x:c>
      <x:c r="N924">
        <x:f ca="1">IF(AND($B$1012=1,LEN($N$1902)&gt;0),$N$1902,HLOOKUP(INDIRECT(ADDRESS(2,COLUMN())),OFFSET($T$2,0,0,ROW()-1,14),ROW()-1,FALSE))</x:f>
        <x:v>0</x:v>
      </x:c>
      <x:c r="O924">
        <x:f ca="1">IF(AND($B$1012=1,LEN($O$1902)&gt;0),$O$1902,HLOOKUP(INDIRECT(ADDRESS(2,COLUMN())),OFFSET($T$2,0,0,ROW()-1,14),ROW()-1,FALSE))</x:f>
        <x:v>0</x:v>
      </x:c>
      <x:c r="P924">
        <x:f ca="1">IF(AND($B$1012=1,LEN($P$1902)&gt;0),$P$1902,HLOOKUP(INDIRECT(ADDRESS(2,COLUMN())),OFFSET($T$2,0,0,ROW()-1,14),ROW()-1,FALSE))</x:f>
        <x:v>0</x:v>
      </x:c>
      <x:c r="Q924">
        <x:f ca="1">IF(AND($B$1012=1,LEN($Q$1902)&gt;0),$Q$1902,HLOOKUP(INDIRECT(ADDRESS(2,COLUMN())),OFFSET($T$2,0,0,ROW()-1,14),ROW()-1,FALSE))</x:f>
        <x:v>0</x:v>
      </x:c>
      <x:c r="R924">
        <x:f ca="1">IF(AND($B$1012=1,LEN($R$1902)&gt;0),$R$1902,HLOOKUP(INDIRECT(ADDRESS(2,COLUMN())),OFFSET($T$2,0,0,ROW()-1,14),ROW()-1,FALSE))</x:f>
        <x:v>-1.574808</x:v>
      </x:c>
      <x:c r="S924">
        <x:f ca="1">IF(AND($B$1012=1,LEN($S$1902)&gt;0),$S$1902,HLOOKUP(INDIRECT(ADDRESS(2,COLUMN())),OFFSET($T$2,0,0,ROW()-1,14),ROW()-1,FALSE))</x:f>
        <x:v>-1.400169</x:v>
      </x:c>
      <x:c r="T924">
        <x:f>-3.085761</x:f>
        <x:v>-3.0857610000000002</x:v>
      </x:c>
      <x:c r="U924">
        <x:f>0</x:f>
        <x:v>0</x:v>
      </x:c>
      <x:c r="V924">
        <x:f>-1.50283</x:f>
        <x:v>-1.5028300000000001</x:v>
      </x:c>
      <x:c r="W924">
        <x:f>0</x:f>
        <x:v>0</x:v>
      </x:c>
      <x:c r="X924">
        <x:f>0</x:f>
        <x:v>0</x:v>
      </x:c>
      <x:c r="Y924">
        <x:f>0</x:f>
        <x:v>0</x:v>
      </x:c>
      <x:c r="Z924">
        <x:f>-4.474926</x:f>
        <x:v>-4.474926</x:v>
      </x:c>
      <x:c r="AA924">
        <x:f>0</x:f>
        <x:v>0</x:v>
      </x:c>
      <x:c r="AB924">
        <x:f>0</x:f>
        <x:v>0</x:v>
      </x:c>
      <x:c r="AC924">
        <x:f>0</x:f>
        <x:v>0</x:v>
      </x:c>
      <x:c r="AD924">
        <x:f>0</x:f>
        <x:v>0</x:v>
      </x:c>
      <x:c r="AE924">
        <x:f>0</x:f>
        <x:v>0</x:v>
      </x:c>
      <x:c r="AF924">
        <x:f>-1.574808</x:f>
        <x:v>-1.574808</x:v>
      </x:c>
      <x:c r="AG924">
        <x:f>-1.400169</x:f>
        <x:v>-1.400169</x:v>
      </x:c>
    </x:row>
    <x:row r="925" spans="1:33" x14ac:dyDescent="0.25">
      <x:c r="A925" t="str">
        <x:f>"            Defiance Next Gen Food &amp; Agric"</x:f>
        <x:v xml:space="preserve">            Defiance Next Gen Food &amp; Agric</x:v>
      </x:c>
      <x:c r="B925" t="str">
        <x:f>"DIET US Equity"</x:f>
        <x:v>DIET US Equity</x:v>
      </x:c>
      <x:c r="E925" t="str">
        <x:f t="shared" si="38"/>
        <x:v>Expression</x:v>
      </x:c>
      <x:c r="F925" t="str">
        <x:f ca="1">IF(AND($B$1012=1,LEN($F$1903)&gt;0),$F$1903,HLOOKUP(INDIRECT(ADDRESS(2,COLUMN())),OFFSET($T$2,0,0,ROW()-1,14),ROW()-1,FALSE))</x:f>
        <x:v/>
      </x:c>
      <x:c r="G925" t="str">
        <x:f ca="1">IF(AND($B$1012=1,LEN($G$1903)&gt;0),$G$1903,HLOOKUP(INDIRECT(ADDRESS(2,COLUMN())),OFFSET($T$2,0,0,ROW()-1,14),ROW()-1,FALSE))</x:f>
        <x:v/>
      </x:c>
      <x:c r="H925" t="str">
        <x:f ca="1">IF(AND($B$1012=1,LEN($H$1903)&gt;0),$H$1903,HLOOKUP(INDIRECT(ADDRESS(2,COLUMN())),OFFSET($T$2,0,0,ROW()-1,14),ROW()-1,FALSE))</x:f>
        <x:v/>
      </x:c>
      <x:c r="I925" t="str">
        <x:f ca="1">IF(AND($B$1012=1,LEN($I$1903)&gt;0),$I$1903,HLOOKUP(INDIRECT(ADDRESS(2,COLUMN())),OFFSET($T$2,0,0,ROW()-1,14),ROW()-1,FALSE))</x:f>
        <x:v/>
      </x:c>
      <x:c r="J925" t="str">
        <x:f ca="1">IF(AND($B$1012=1,LEN($J$1903)&gt;0),$J$1903,HLOOKUP(INDIRECT(ADDRESS(2,COLUMN())),OFFSET($T$2,0,0,ROW()-1,14),ROW()-1,FALSE))</x:f>
        <x:v/>
      </x:c>
      <x:c r="K925" t="str">
        <x:f ca="1">IF(AND($B$1012=1,LEN($K$1903)&gt;0),$K$1903,HLOOKUP(INDIRECT(ADDRESS(2,COLUMN())),OFFSET($T$2,0,0,ROW()-1,14),ROW()-1,FALSE))</x:f>
        <x:v/>
      </x:c>
      <x:c r="L925" t="str">
        <x:f ca="1">IF(AND($B$1012=1,LEN($L$1903)&gt;0),$L$1903,HLOOKUP(INDIRECT(ADDRESS(2,COLUMN())),OFFSET($T$2,0,0,ROW()-1,14),ROW()-1,FALSE))</x:f>
        <x:v/>
      </x:c>
      <x:c r="M925" t="str">
        <x:f ca="1">IF(AND($B$1012=1,LEN($M$1903)&gt;0),$M$1903,HLOOKUP(INDIRECT(ADDRESS(2,COLUMN())),OFFSET($T$2,0,0,ROW()-1,14),ROW()-1,FALSE))</x:f>
        <x:v/>
      </x:c>
      <x:c r="N925" t="str">
        <x:f ca="1">IF(AND($B$1012=1,LEN($N$1903)&gt;0),$N$1903,HLOOKUP(INDIRECT(ADDRESS(2,COLUMN())),OFFSET($T$2,0,0,ROW()-1,14),ROW()-1,FALSE))</x:f>
        <x:v/>
      </x:c>
      <x:c r="O925" t="str">
        <x:f ca="1">IF(AND($B$1012=1,LEN($O$1903)&gt;0),$O$1903,HLOOKUP(INDIRECT(ADDRESS(2,COLUMN())),OFFSET($T$2,0,0,ROW()-1,14),ROW()-1,FALSE))</x:f>
        <x:v/>
      </x:c>
      <x:c r="P925" t="str">
        <x:f ca="1">IF(AND($B$1012=1,LEN($P$1903)&gt;0),$P$1903,HLOOKUP(INDIRECT(ADDRESS(2,COLUMN())),OFFSET($T$2,0,0,ROW()-1,14),ROW()-1,FALSE))</x:f>
        <x:v/>
      </x:c>
      <x:c r="Q925" t="str">
        <x:f ca="1">IF(AND($B$1012=1,LEN($Q$1903)&gt;0),$Q$1903,HLOOKUP(INDIRECT(ADDRESS(2,COLUMN())),OFFSET($T$2,0,0,ROW()-1,14),ROW()-1,FALSE))</x:f>
        <x:v/>
      </x:c>
      <x:c r="R925" t="str">
        <x:f ca="1">IF(AND($B$1012=1,LEN($R$1903)&gt;0),$R$1903,HLOOKUP(INDIRECT(ADDRESS(2,COLUMN())),OFFSET($T$2,0,0,ROW()-1,14),ROW()-1,FALSE))</x:f>
        <x:v/>
      </x:c>
      <x:c r="S925" t="str">
        <x:f ca="1">IF(AND($B$1012=1,LEN($S$1903)&gt;0),$S$1903,HLOOKUP(INDIRECT(ADDRESS(2,COLUMN())),OFFSET($T$2,0,0,ROW()-1,14),ROW()-1,FALSE))</x:f>
        <x:v/>
      </x:c>
      <x:c r="T925" t="str">
        <x:f>""</x:f>
        <x:v/>
      </x:c>
      <x:c r="U925" t="str">
        <x:f>""</x:f>
        <x:v/>
      </x:c>
      <x:c r="V925" t="str">
        <x:f>""</x:f>
        <x:v/>
      </x:c>
      <x:c r="W925" t="str">
        <x:f>""</x:f>
        <x:v/>
      </x:c>
      <x:c r="X925" t="str">
        <x:f>""</x:f>
        <x:v/>
      </x:c>
      <x:c r="Y925" t="str">
        <x:f>""</x:f>
        <x:v/>
      </x:c>
      <x:c r="Z925" t="str">
        <x:f>""</x:f>
        <x:v/>
      </x:c>
      <x:c r="AA925" t="str">
        <x:f>""</x:f>
        <x:v/>
      </x:c>
      <x:c r="AB925" t="str">
        <x:f>""</x:f>
        <x:v/>
      </x:c>
      <x:c r="AC925" t="str">
        <x:f>""</x:f>
        <x:v/>
      </x:c>
      <x:c r="AD925" t="str">
        <x:f>""</x:f>
        <x:v/>
      </x:c>
      <x:c r="AE925" t="str">
        <x:f>""</x:f>
        <x:v/>
      </x:c>
      <x:c r="AF925" t="str">
        <x:f>""</x:f>
        <x:v/>
      </x:c>
      <x:c r="AG925" t="str">
        <x:f>""</x:f>
        <x:v/>
      </x:c>
    </x:row>
    <x:row r="926" spans="1:33" x14ac:dyDescent="0.25">
      <x:c r="A926" t="str">
        <x:f>"            Global X AgTech &amp; Food Innovat"</x:f>
        <x:v xml:space="preserve">            Global X AgTech &amp; Food Innovat</x:v>
      </x:c>
      <x:c r="B926" t="str">
        <x:f>"KROP US Equity"</x:f>
        <x:v>KROP US Equity</x:v>
      </x:c>
      <x:c r="E926" t="str">
        <x:f t="shared" si="38"/>
        <x:v>Expression</x:v>
      </x:c>
      <x:c r="F926">
        <x:f ca="1">IF(AND($B$1012=1,LEN($F$1904)&gt;0),$F$1904,HLOOKUP(INDIRECT(ADDRESS(2,COLUMN())),OFFSET($T$2,0,0,ROW()-1,14),ROW()-1,FALSE))</x:f>
        <x:v>0</x:v>
      </x:c>
      <x:c r="G926">
        <x:f ca="1">IF(AND($B$1012=1,LEN($G$1904)&gt;0),$G$1904,HLOOKUP(INDIRECT(ADDRESS(2,COLUMN())),OFFSET($T$2,0,0,ROW()-1,14),ROW()-1,FALSE))</x:f>
        <x:v>0</x:v>
      </x:c>
      <x:c r="H926">
        <x:f ca="1">IF(AND($B$1012=1,LEN($H$1904)&gt;0),$H$1904,HLOOKUP(INDIRECT(ADDRESS(2,COLUMN())),OFFSET($T$2,0,0,ROW()-1,14),ROW()-1,FALSE))</x:f>
        <x:v>0</x:v>
      </x:c>
      <x:c r="I926">
        <x:f ca="1">IF(AND($B$1012=1,LEN($I$1904)&gt;0),$I$1904,HLOOKUP(INDIRECT(ADDRESS(2,COLUMN())),OFFSET($T$2,0,0,ROW()-1,14),ROW()-1,FALSE))</x:f>
        <x:v>0</x:v>
      </x:c>
      <x:c r="J926">
        <x:f ca="1">IF(AND($B$1012=1,LEN($J$1904)&gt;0),$J$1904,HLOOKUP(INDIRECT(ADDRESS(2,COLUMN())),OFFSET($T$2,0,0,ROW()-1,14),ROW()-1,FALSE))</x:f>
        <x:v>0</x:v>
      </x:c>
      <x:c r="K926">
        <x:f ca="1">IF(AND($B$1012=1,LEN($K$1904)&gt;0),$K$1904,HLOOKUP(INDIRECT(ADDRESS(2,COLUMN())),OFFSET($T$2,0,0,ROW()-1,14),ROW()-1,FALSE))</x:f>
        <x:v>-0.12470000000000001</x:v>
      </x:c>
      <x:c r="L926">
        <x:f ca="1">IF(AND($B$1012=1,LEN($L$1904)&gt;0),$L$1904,HLOOKUP(INDIRECT(ADDRESS(2,COLUMN())),OFFSET($T$2,0,0,ROW()-1,14),ROW()-1,FALSE))</x:f>
        <x:v>0</x:v>
      </x:c>
      <x:c r="M926">
        <x:f ca="1">IF(AND($B$1012=1,LEN($M$1904)&gt;0),$M$1904,HLOOKUP(INDIRECT(ADDRESS(2,COLUMN())),OFFSET($T$2,0,0,ROW()-1,14),ROW()-1,FALSE))</x:f>
        <x:v>0</x:v>
      </x:c>
      <x:c r="N926">
        <x:f ca="1">IF(AND($B$1012=1,LEN($N$1904)&gt;0),$N$1904,HLOOKUP(INDIRECT(ADDRESS(2,COLUMN())),OFFSET($T$2,0,0,ROW()-1,14),ROW()-1,FALSE))</x:f>
        <x:v>0</x:v>
      </x:c>
      <x:c r="O926">
        <x:f ca="1">IF(AND($B$1012=1,LEN($O$1904)&gt;0),$O$1904,HLOOKUP(INDIRECT(ADDRESS(2,COLUMN())),OFFSET($T$2,0,0,ROW()-1,14),ROW()-1,FALSE))</x:f>
        <x:v>0.30980000000000002</x:v>
      </x:c>
      <x:c r="P926">
        <x:f ca="1">IF(AND($B$1012=1,LEN($P$1904)&gt;0),$P$1904,HLOOKUP(INDIRECT(ADDRESS(2,COLUMN())),OFFSET($T$2,0,0,ROW()-1,14),ROW()-1,FALSE))</x:f>
        <x:v>0</x:v>
      </x:c>
      <x:c r="Q926">
        <x:f ca="1">IF(AND($B$1012=1,LEN($Q$1904)&gt;0),$Q$1904,HLOOKUP(INDIRECT(ADDRESS(2,COLUMN())),OFFSET($T$2,0,0,ROW()-1,14),ROW()-1,FALSE))</x:f>
        <x:v>0</x:v>
      </x:c>
      <x:c r="R926">
        <x:f ca="1">IF(AND($B$1012=1,LEN($R$1904)&gt;0),$R$1904,HLOOKUP(INDIRECT(ADDRESS(2,COLUMN())),OFFSET($T$2,0,0,ROW()-1,14),ROW()-1,FALSE))</x:f>
        <x:v>0</x:v>
      </x:c>
      <x:c r="S926">
        <x:f ca="1">IF(AND($B$1012=1,LEN($S$1904)&gt;0),$S$1904,HLOOKUP(INDIRECT(ADDRESS(2,COLUMN())),OFFSET($T$2,0,0,ROW()-1,14),ROW()-1,FALSE))</x:f>
        <x:v>0</x:v>
      </x:c>
      <x:c r="T926">
        <x:f>0</x:f>
        <x:v>0</x:v>
      </x:c>
      <x:c r="U926">
        <x:f>0</x:f>
        <x:v>0</x:v>
      </x:c>
      <x:c r="V926">
        <x:f>0</x:f>
        <x:v>0</x:v>
      </x:c>
      <x:c r="W926">
        <x:f>0</x:f>
        <x:v>0</x:v>
      </x:c>
      <x:c r="X926">
        <x:f>0</x:f>
        <x:v>0</x:v>
      </x:c>
      <x:c r="Y926">
        <x:f>-0.1247</x:f>
        <x:v>-0.12470000000000001</x:v>
      </x:c>
      <x:c r="Z926">
        <x:f>0</x:f>
        <x:v>0</x:v>
      </x:c>
      <x:c r="AA926">
        <x:f>0</x:f>
        <x:v>0</x:v>
      </x:c>
      <x:c r="AB926">
        <x:f>0</x:f>
        <x:v>0</x:v>
      </x:c>
      <x:c r="AC926">
        <x:f>0.3098</x:f>
        <x:v>0.30980000000000002</x:v>
      </x:c>
      <x:c r="AD926">
        <x:f>0</x:f>
        <x:v>0</x:v>
      </x:c>
      <x:c r="AE926">
        <x:f>0</x:f>
        <x:v>0</x:v>
      </x:c>
      <x:c r="AF926">
        <x:f>0</x:f>
        <x:v>0</x:v>
      </x:c>
      <x:c r="AG926">
        <x:f>0</x:f>
        <x:v>0</x:v>
      </x:c>
    </x:row>
    <x:row r="927" spans="1:33" x14ac:dyDescent="0.25">
      <x:c r="A927" t="str">
        <x:f>"            VanEck Future of Food ETF"</x:f>
        <x:v xml:space="preserve">            VanEck Future of Food ETF</x:v>
      </x:c>
      <x:c r="B927" t="str">
        <x:f>"YUMY US Equity"</x:f>
        <x:v>YUMY US Equity</x:v>
      </x:c>
      <x:c r="E927" t="str">
        <x:f t="shared" si="38"/>
        <x:v>Expression</x:v>
      </x:c>
      <x:c r="F927">
        <x:f ca="1">IF(AND($B$1012=1,LEN($F$1905)&gt;0),$F$1905,HLOOKUP(INDIRECT(ADDRESS(2,COLUMN())),OFFSET($T$2,0,0,ROW()-1,14),ROW()-1,FALSE))</x:f>
        <x:v>0</x:v>
      </x:c>
      <x:c r="G927">
        <x:f ca="1">IF(AND($B$1012=1,LEN($G$1905)&gt;0),$G$1905,HLOOKUP(INDIRECT(ADDRESS(2,COLUMN())),OFFSET($T$2,0,0,ROW()-1,14),ROW()-1,FALSE))</x:f>
        <x:v>0</x:v>
      </x:c>
      <x:c r="H927">
        <x:f ca="1">IF(AND($B$1012=1,LEN($H$1905)&gt;0),$H$1905,HLOOKUP(INDIRECT(ADDRESS(2,COLUMN())),OFFSET($T$2,0,0,ROW()-1,14),ROW()-1,FALSE))</x:f>
        <x:v>0</x:v>
      </x:c>
      <x:c r="I927">
        <x:f ca="1">IF(AND($B$1012=1,LEN($I$1905)&gt;0),$I$1905,HLOOKUP(INDIRECT(ADDRESS(2,COLUMN())),OFFSET($T$2,0,0,ROW()-1,14),ROW()-1,FALSE))</x:f>
        <x:v>0</x:v>
      </x:c>
      <x:c r="J927">
        <x:f ca="1">IF(AND($B$1012=1,LEN($J$1905)&gt;0),$J$1905,HLOOKUP(INDIRECT(ADDRESS(2,COLUMN())),OFFSET($T$2,0,0,ROW()-1,14),ROW()-1,FALSE))</x:f>
        <x:v>0</x:v>
      </x:c>
      <x:c r="K927">
        <x:f ca="1">IF(AND($B$1012=1,LEN($K$1905)&gt;0),$K$1905,HLOOKUP(INDIRECT(ADDRESS(2,COLUMN())),OFFSET($T$2,0,0,ROW()-1,14),ROW()-1,FALSE))</x:f>
        <x:v>0</x:v>
      </x:c>
      <x:c r="L927">
        <x:f ca="1">IF(AND($B$1012=1,LEN($L$1905)&gt;0),$L$1905,HLOOKUP(INDIRECT(ADDRESS(2,COLUMN())),OFFSET($T$2,0,0,ROW()-1,14),ROW()-1,FALSE))</x:f>
        <x:v>0</x:v>
      </x:c>
      <x:c r="M927">
        <x:f ca="1">IF(AND($B$1012=1,LEN($M$1905)&gt;0),$M$1905,HLOOKUP(INDIRECT(ADDRESS(2,COLUMN())),OFFSET($T$2,0,0,ROW()-1,14),ROW()-1,FALSE))</x:f>
        <x:v>0</x:v>
      </x:c>
      <x:c r="N927">
        <x:f ca="1">IF(AND($B$1012=1,LEN($N$1905)&gt;0),$N$1905,HLOOKUP(INDIRECT(ADDRESS(2,COLUMN())),OFFSET($T$2,0,0,ROW()-1,14),ROW()-1,FALSE))</x:f>
        <x:v>0</x:v>
      </x:c>
      <x:c r="O927">
        <x:f ca="1">IF(AND($B$1012=1,LEN($O$1905)&gt;0),$O$1905,HLOOKUP(INDIRECT(ADDRESS(2,COLUMN())),OFFSET($T$2,0,0,ROW()-1,14),ROW()-1,FALSE))</x:f>
        <x:v>0.95523199999999997</x:v>
      </x:c>
      <x:c r="P927">
        <x:f ca="1">IF(AND($B$1012=1,LEN($P$1905)&gt;0),$P$1905,HLOOKUP(INDIRECT(ADDRESS(2,COLUMN())),OFFSET($T$2,0,0,ROW()-1,14),ROW()-1,FALSE))</x:f>
        <x:v>0</x:v>
      </x:c>
      <x:c r="Q927">
        <x:f ca="1">IF(AND($B$1012=1,LEN($Q$1905)&gt;0),$Q$1905,HLOOKUP(INDIRECT(ADDRESS(2,COLUMN())),OFFSET($T$2,0,0,ROW()-1,14),ROW()-1,FALSE))</x:f>
        <x:v>0</x:v>
      </x:c>
      <x:c r="R927">
        <x:f ca="1">IF(AND($B$1012=1,LEN($R$1905)&gt;0),$R$1905,HLOOKUP(INDIRECT(ADDRESS(2,COLUMN())),OFFSET($T$2,0,0,ROW()-1,14),ROW()-1,FALSE))</x:f>
        <x:v>0</x:v>
      </x:c>
      <x:c r="S927">
        <x:f ca="1">IF(AND($B$1012=1,LEN($S$1905)&gt;0),$S$1905,HLOOKUP(INDIRECT(ADDRESS(2,COLUMN())),OFFSET($T$2,0,0,ROW()-1,14),ROW()-1,FALSE))</x:f>
        <x:v>0</x:v>
      </x:c>
      <x:c r="T927">
        <x:f>0</x:f>
        <x:v>0</x:v>
      </x:c>
      <x:c r="U927">
        <x:f>0</x:f>
        <x:v>0</x:v>
      </x:c>
      <x:c r="V927">
        <x:f>0</x:f>
        <x:v>0</x:v>
      </x:c>
      <x:c r="W927">
        <x:f>0</x:f>
        <x:v>0</x:v>
      </x:c>
      <x:c r="X927">
        <x:f>0</x:f>
        <x:v>0</x:v>
      </x:c>
      <x:c r="Y927">
        <x:f>0</x:f>
        <x:v>0</x:v>
      </x:c>
      <x:c r="Z927">
        <x:f>0</x:f>
        <x:v>0</x:v>
      </x:c>
      <x:c r="AA927">
        <x:f>0</x:f>
        <x:v>0</x:v>
      </x:c>
      <x:c r="AB927">
        <x:f>0</x:f>
        <x:v>0</x:v>
      </x:c>
      <x:c r="AC927">
        <x:f>0.955232</x:f>
        <x:v>0.95523199999999997</x:v>
      </x:c>
      <x:c r="AD927">
        <x:f>0</x:f>
        <x:v>0</x:v>
      </x:c>
      <x:c r="AE927">
        <x:f>0</x:f>
        <x:v>0</x:v>
      </x:c>
      <x:c r="AF927">
        <x:f>0</x:f>
        <x:v>0</x:v>
      </x:c>
      <x:c r="AG927">
        <x:f>0</x:f>
        <x:v>0</x:v>
      </x:c>
    </x:row>
    <x:row r="928" spans="1:33" x14ac:dyDescent="0.25">
      <x:c r="A928" t="str">
        <x:f>"            VegTech Plant-Based Innovation"</x:f>
        <x:v xml:space="preserve">            VegTech Plant-Based Innovation</x:v>
      </x:c>
      <x:c r="B928" t="str">
        <x:f>"EATV US Equity"</x:f>
        <x:v>EATV US Equity</x:v>
      </x:c>
      <x:c r="E928" t="str">
        <x:f t="shared" si="38"/>
        <x:v>Expression</x:v>
      </x:c>
      <x:c r="F928">
        <x:f ca="1">IF(AND($B$1012=1,LEN($F$1906)&gt;0),$F$1906,HLOOKUP(INDIRECT(ADDRESS(2,COLUMN())),OFFSET($T$2,0,0,ROW()-1,14),ROW()-1,FALSE))</x:f>
        <x:v>0</x:v>
      </x:c>
      <x:c r="G928">
        <x:f ca="1">IF(AND($B$1012=1,LEN($G$1906)&gt;0),$G$1906,HLOOKUP(INDIRECT(ADDRESS(2,COLUMN())),OFFSET($T$2,0,0,ROW()-1,14),ROW()-1,FALSE))</x:f>
        <x:v>0</x:v>
      </x:c>
      <x:c r="H928">
        <x:f ca="1">IF(AND($B$1012=1,LEN($H$1906)&gt;0),$H$1906,HLOOKUP(INDIRECT(ADDRESS(2,COLUMN())),OFFSET($T$2,0,0,ROW()-1,14),ROW()-1,FALSE))</x:f>
        <x:v>0</x:v>
      </x:c>
      <x:c r="I928">
        <x:f ca="1">IF(AND($B$1012=1,LEN($I$1906)&gt;0),$I$1906,HLOOKUP(INDIRECT(ADDRESS(2,COLUMN())),OFFSET($T$2,0,0,ROW()-1,14),ROW()-1,FALSE))</x:f>
        <x:v>0.48620999999999998</x:v>
      </x:c>
      <x:c r="J928">
        <x:f ca="1">IF(AND($B$1012=1,LEN($J$1906)&gt;0),$J$1906,HLOOKUP(INDIRECT(ADDRESS(2,COLUMN())),OFFSET($T$2,0,0,ROW()-1,14),ROW()-1,FALSE))</x:f>
        <x:v>0</x:v>
      </x:c>
      <x:c r="K928">
        <x:f ca="1">IF(AND($B$1012=1,LEN($K$1906)&gt;0),$K$1906,HLOOKUP(INDIRECT(ADDRESS(2,COLUMN())),OFFSET($T$2,0,0,ROW()-1,14),ROW()-1,FALSE))</x:f>
        <x:v>0</x:v>
      </x:c>
      <x:c r="L928">
        <x:f ca="1">IF(AND($B$1012=1,LEN($L$1906)&gt;0),$L$1906,HLOOKUP(INDIRECT(ADDRESS(2,COLUMN())),OFFSET($T$2,0,0,ROW()-1,14),ROW()-1,FALSE))</x:f>
        <x:v>0</x:v>
      </x:c>
      <x:c r="M928">
        <x:f ca="1">IF(AND($B$1012=1,LEN($M$1906)&gt;0),$M$1906,HLOOKUP(INDIRECT(ADDRESS(2,COLUMN())),OFFSET($T$2,0,0,ROW()-1,14),ROW()-1,FALSE))</x:f>
        <x:v>0</x:v>
      </x:c>
      <x:c r="N928">
        <x:f ca="1">IF(AND($B$1012=1,LEN($N$1906)&gt;0),$N$1906,HLOOKUP(INDIRECT(ADDRESS(2,COLUMN())),OFFSET($T$2,0,0,ROW()-1,14),ROW()-1,FALSE))</x:f>
        <x:v>0</x:v>
      </x:c>
      <x:c r="O928">
        <x:f ca="1">IF(AND($B$1012=1,LEN($O$1906)&gt;0),$O$1906,HLOOKUP(INDIRECT(ADDRESS(2,COLUMN())),OFFSET($T$2,0,0,ROW()-1,14),ROW()-1,FALSE))</x:f>
        <x:v>0</x:v>
      </x:c>
      <x:c r="P928">
        <x:f ca="1">IF(AND($B$1012=1,LEN($P$1906)&gt;0),$P$1906,HLOOKUP(INDIRECT(ADDRESS(2,COLUMN())),OFFSET($T$2,0,0,ROW()-1,14),ROW()-1,FALSE))</x:f>
        <x:v>0</x:v>
      </x:c>
      <x:c r="Q928">
        <x:f ca="1">IF(AND($B$1012=1,LEN($Q$1906)&gt;0),$Q$1906,HLOOKUP(INDIRECT(ADDRESS(2,COLUMN())),OFFSET($T$2,0,0,ROW()-1,14),ROW()-1,FALSE))</x:f>
        <x:v>0</x:v>
      </x:c>
      <x:c r="R928">
        <x:f ca="1">IF(AND($B$1012=1,LEN($R$1906)&gt;0),$R$1906,HLOOKUP(INDIRECT(ADDRESS(2,COLUMN())),OFFSET($T$2,0,0,ROW()-1,14),ROW()-1,FALSE))</x:f>
        <x:v>0</x:v>
      </x:c>
      <x:c r="S928">
        <x:f ca="1">IF(AND($B$1012=1,LEN($S$1906)&gt;0),$S$1906,HLOOKUP(INDIRECT(ADDRESS(2,COLUMN())),OFFSET($T$2,0,0,ROW()-1,14),ROW()-1,FALSE))</x:f>
        <x:v>0</x:v>
      </x:c>
      <x:c r="T928">
        <x:f>0</x:f>
        <x:v>0</x:v>
      </x:c>
      <x:c r="U928">
        <x:f>0</x:f>
        <x:v>0</x:v>
      </x:c>
      <x:c r="V928">
        <x:f>0</x:f>
        <x:v>0</x:v>
      </x:c>
      <x:c r="W928">
        <x:f>0.48621</x:f>
        <x:v>0.48620999999999998</x:v>
      </x:c>
      <x:c r="X928">
        <x:f>0</x:f>
        <x:v>0</x:v>
      </x:c>
      <x:c r="Y928">
        <x:f>0</x:f>
        <x:v>0</x:v>
      </x:c>
      <x:c r="Z928">
        <x:f>0</x:f>
        <x:v>0</x:v>
      </x:c>
      <x:c r="AA928">
        <x:f>0</x:f>
        <x:v>0</x:v>
      </x:c>
      <x:c r="AB928">
        <x:f>0</x:f>
        <x:v>0</x:v>
      </x:c>
      <x:c r="AC928">
        <x:f>0</x:f>
        <x:v>0</x:v>
      </x:c>
      <x:c r="AD928">
        <x:f>0</x:f>
        <x:v>0</x:v>
      </x:c>
      <x:c r="AE928">
        <x:f>0</x:f>
        <x:v>0</x:v>
      </x:c>
      <x:c r="AF928">
        <x:f>0</x:f>
        <x:v>0</x:v>
      </x:c>
      <x:c r="AG928">
        <x:f>0</x:f>
        <x:v>0</x:v>
      </x:c>
    </x:row>
    <x:row r="929" spans="1:33" x14ac:dyDescent="0.25">
      <x:c r="A929" t="str">
        <x:f>"            iShares Emergent Food And AgTe"</x:f>
        <x:v xml:space="preserve">            iShares Emergent Food And AgTe</x:v>
      </x:c>
      <x:c r="B929" t="str">
        <x:f>"IVEG US Equity"</x:f>
        <x:v>IVEG US Equity</x:v>
      </x:c>
      <x:c r="E929" t="str">
        <x:f t="shared" si="38"/>
        <x:v>Expression</x:v>
      </x:c>
      <x:c r="F929">
        <x:f ca="1">IF(AND($B$1012=1,LEN($F$1907)&gt;0),$F$1907,HLOOKUP(INDIRECT(ADDRESS(2,COLUMN())),OFFSET($T$2,0,0,ROW()-1,14),ROW()-1,FALSE))</x:f>
        <x:v>0</x:v>
      </x:c>
      <x:c r="G929">
        <x:f ca="1">IF(AND($B$1012=1,LEN($G$1907)&gt;0),$G$1907,HLOOKUP(INDIRECT(ADDRESS(2,COLUMN())),OFFSET($T$2,0,0,ROW()-1,14),ROW()-1,FALSE))</x:f>
        <x:v>0</x:v>
      </x:c>
      <x:c r="H929">
        <x:f ca="1">IF(AND($B$1012=1,LEN($H$1907)&gt;0),$H$1907,HLOOKUP(INDIRECT(ADDRESS(2,COLUMN())),OFFSET($T$2,0,0,ROW()-1,14),ROW()-1,FALSE))</x:f>
        <x:v>0</x:v>
      </x:c>
      <x:c r="I929">
        <x:f ca="1">IF(AND($B$1012=1,LEN($I$1907)&gt;0),$I$1907,HLOOKUP(INDIRECT(ADDRESS(2,COLUMN())),OFFSET($T$2,0,0,ROW()-1,14),ROW()-1,FALSE))</x:f>
        <x:v>0</x:v>
      </x:c>
      <x:c r="J929">
        <x:f ca="1">IF(AND($B$1012=1,LEN($J$1907)&gt;0),$J$1907,HLOOKUP(INDIRECT(ADDRESS(2,COLUMN())),OFFSET($T$2,0,0,ROW()-1,14),ROW()-1,FALSE))</x:f>
        <x:v>0</x:v>
      </x:c>
      <x:c r="K929">
        <x:f ca="1">IF(AND($B$1012=1,LEN($K$1907)&gt;0),$K$1907,HLOOKUP(INDIRECT(ADDRESS(2,COLUMN())),OFFSET($T$2,0,0,ROW()-1,14),ROW()-1,FALSE))</x:f>
        <x:v>0</x:v>
      </x:c>
      <x:c r="L929">
        <x:f ca="1">IF(AND($B$1012=1,LEN($L$1907)&gt;0),$L$1907,HLOOKUP(INDIRECT(ADDRESS(2,COLUMN())),OFFSET($T$2,0,0,ROW()-1,14),ROW()-1,FALSE))</x:f>
        <x:v>0</x:v>
      </x:c>
      <x:c r="M929">
        <x:f ca="1">IF(AND($B$1012=1,LEN($M$1907)&gt;0),$M$1907,HLOOKUP(INDIRECT(ADDRESS(2,COLUMN())),OFFSET($T$2,0,0,ROW()-1,14),ROW()-1,FALSE))</x:f>
        <x:v>0</x:v>
      </x:c>
      <x:c r="N929">
        <x:f ca="1">IF(AND($B$1012=1,LEN($N$1907)&gt;0),$N$1907,HLOOKUP(INDIRECT(ADDRESS(2,COLUMN())),OFFSET($T$2,0,0,ROW()-1,14),ROW()-1,FALSE))</x:f>
        <x:v>0</x:v>
      </x:c>
      <x:c r="O929">
        <x:f ca="1">IF(AND($B$1012=1,LEN($O$1907)&gt;0),$O$1907,HLOOKUP(INDIRECT(ADDRESS(2,COLUMN())),OFFSET($T$2,0,0,ROW()-1,14),ROW()-1,FALSE))</x:f>
        <x:v>0</x:v>
      </x:c>
      <x:c r="P929">
        <x:f ca="1">IF(AND($B$1012=1,LEN($P$1907)&gt;0),$P$1907,HLOOKUP(INDIRECT(ADDRESS(2,COLUMN())),OFFSET($T$2,0,0,ROW()-1,14),ROW()-1,FALSE))</x:f>
        <x:v>0</x:v>
      </x:c>
      <x:c r="Q929">
        <x:f ca="1">IF(AND($B$1012=1,LEN($Q$1907)&gt;0),$Q$1907,HLOOKUP(INDIRECT(ADDRESS(2,COLUMN())),OFFSET($T$2,0,0,ROW()-1,14),ROW()-1,FALSE))</x:f>
        <x:v>0</x:v>
      </x:c>
      <x:c r="R929">
        <x:f ca="1">IF(AND($B$1012=1,LEN($R$1907)&gt;0),$R$1907,HLOOKUP(INDIRECT(ADDRESS(2,COLUMN())),OFFSET($T$2,0,0,ROW()-1,14),ROW()-1,FALSE))</x:f>
        <x:v>1.0664450000000001</x:v>
      </x:c>
      <x:c r="S929">
        <x:f ca="1">IF(AND($B$1012=1,LEN($S$1907)&gt;0),$S$1907,HLOOKUP(INDIRECT(ADDRESS(2,COLUMN())),OFFSET($T$2,0,0,ROW()-1,14),ROW()-1,FALSE))</x:f>
        <x:v>0</x:v>
      </x:c>
      <x:c r="T929">
        <x:f>0</x:f>
        <x:v>0</x:v>
      </x:c>
      <x:c r="U929">
        <x:f>0</x:f>
        <x:v>0</x:v>
      </x:c>
      <x:c r="V929">
        <x:f>0</x:f>
        <x:v>0</x:v>
      </x:c>
      <x:c r="W929">
        <x:f>0</x:f>
        <x:v>0</x:v>
      </x:c>
      <x:c r="X929">
        <x:f>0</x:f>
        <x:v>0</x:v>
      </x:c>
      <x:c r="Y929">
        <x:f>0</x:f>
        <x:v>0</x:v>
      </x:c>
      <x:c r="Z929">
        <x:f>0</x:f>
        <x:v>0</x:v>
      </x:c>
      <x:c r="AA929">
        <x:f>0</x:f>
        <x:v>0</x:v>
      </x:c>
      <x:c r="AB929">
        <x:f>0</x:f>
        <x:v>0</x:v>
      </x:c>
      <x:c r="AC929">
        <x:f>0</x:f>
        <x:v>0</x:v>
      </x:c>
      <x:c r="AD929">
        <x:f>0</x:f>
        <x:v>0</x:v>
      </x:c>
      <x:c r="AE929">
        <x:f>0</x:f>
        <x:v>0</x:v>
      </x:c>
      <x:c r="AF929">
        <x:f>1.066445</x:f>
        <x:v>1.0664450000000001</x:v>
      </x:c>
      <x:c r="AG929">
        <x:f>0</x:f>
        <x:v>0</x:v>
      </x:c>
    </x:row>
    <x:row r="930" spans="1:33" x14ac:dyDescent="0.25">
      <x:c r="A930" t="str">
        <x:f>"        Blockchain &amp; Crypto"</x:f>
        <x:v xml:space="preserve">        Blockchain &amp; Crypto</x:v>
      </x:c>
      <x:c r="B930" t="str">
        <x:f>""</x:f>
        <x:v/>
      </x:c>
      <x:c r="E930" t="str">
        <x:f>"Sum"</x:f>
        <x:v>Sum</x:v>
      </x:c>
      <x:c r="F930">
        <x:f ca="1">IF(ISERROR(IF(SUM($F$931:$F$953) = 0, "", SUM($F$931:$F$953))), "", (IF(SUM($F$931:$F$953) = 0, "", SUM($F$931:$F$953))))</x:f>
        <x:v>10.486934999999999</x:v>
      </x:c>
      <x:c r="G930">
        <x:f ca="1">IF(ISERROR(IF(SUM($G$931:$G$953) = 0, "", SUM($G$931:$G$953))), "", (IF(SUM($G$931:$G$953) = 0, "", SUM($G$931:$G$953))))</x:f>
        <x:v>-9.6948750000000015</x:v>
      </x:c>
      <x:c r="H930">
        <x:f ca="1">IF(ISERROR(IF(SUM($H$931:$H$953) = 0, "", SUM($H$931:$H$953))), "", (IF(SUM($H$931:$H$953) = 0, "", SUM($H$931:$H$953))))</x:f>
        <x:v>-10.737014000000002</x:v>
      </x:c>
      <x:c r="I930">
        <x:f ca="1">IF(ISERROR(IF(SUM($I$931:$I$953) = 0, "", SUM($I$931:$I$953))), "", (IF(SUM($I$931:$I$953) = 0, "", SUM($I$931:$I$953))))</x:f>
        <x:v>-26.594317999999998</x:v>
      </x:c>
      <x:c r="J930">
        <x:f ca="1">IF(ISERROR(IF(SUM($J$931:$J$953) = 0, "", SUM($J$931:$J$953))), "", (IF(SUM($J$931:$J$953) = 0, "", SUM($J$931:$J$953))))</x:f>
        <x:v>34.439938999999995</x:v>
      </x:c>
      <x:c r="K930">
        <x:f ca="1">IF(ISERROR(IF(SUM($K$931:$K$953) = 0, "", SUM($K$931:$K$953))), "", (IF(SUM($K$931:$K$953) = 0, "", SUM($K$931:$K$953))))</x:f>
        <x:v>-13.549736000000003</x:v>
      </x:c>
      <x:c r="L930">
        <x:f ca="1">IF(ISERROR(IF(SUM($L$931:$L$953) = 0, "", SUM($L$931:$L$953))), "", (IF(SUM($L$931:$L$953) = 0, "", SUM($L$931:$L$953))))</x:f>
        <x:v>-10.548126</x:v>
      </x:c>
      <x:c r="M930">
        <x:f ca="1">IF(ISERROR(IF(SUM($M$931:$M$953) = 0, "", SUM($M$931:$M$953))), "", (IF(SUM($M$931:$M$953) = 0, "", SUM($M$931:$M$953))))</x:f>
        <x:v>5.4465529999999998</x:v>
      </x:c>
      <x:c r="N930">
        <x:f ca="1">IF(ISERROR(IF(SUM($N$931:$N$953) = 0, "", SUM($N$931:$N$953))), "", (IF(SUM($N$931:$N$953) = 0, "", SUM($N$931:$N$953))))</x:f>
        <x:v>4.3613080000000011</x:v>
      </x:c>
      <x:c r="O930">
        <x:f ca="1">IF(ISERROR(IF(SUM($O$931:$O$953) = 0, "", SUM($O$931:$O$953))), "", (IF(SUM($O$931:$O$953) = 0, "", SUM($O$931:$O$953))))</x:f>
        <x:v>-8.3593679999999999</x:v>
      </x:c>
      <x:c r="P930">
        <x:f ca="1">IF(ISERROR(IF(SUM($P$931:$P$953) = 0, "", SUM($P$931:$P$953))), "", (IF(SUM($P$931:$P$953) = 0, "", SUM($P$931:$P$953))))</x:f>
        <x:v>-7.6282830000000006</x:v>
      </x:c>
      <x:c r="Q930">
        <x:f ca="1">IF(ISERROR(IF(SUM($Q$931:$Q$953) = 0, "", SUM($Q$931:$Q$953))), "", (IF(SUM($Q$931:$Q$953) = 0, "", SUM($Q$931:$Q$953))))</x:f>
        <x:v>-20.792469000000001</x:v>
      </x:c>
      <x:c r="R930">
        <x:f ca="1">IF(ISERROR(IF(SUM($R$931:$R$953) = 0, "", SUM($R$931:$R$953))), "", (IF(SUM($R$931:$R$953) = 0, "", SUM($R$931:$R$953))))</x:f>
        <x:v>-47.242542</x:v>
      </x:c>
      <x:c r="S930">
        <x:f ca="1">IF(ISERROR(IF(SUM($S$931:$S$953) = 0, "", SUM($S$931:$S$953))), "", (IF(SUM($S$931:$S$953) = 0, "", SUM($S$931:$S$953))))</x:f>
        <x:v>4.281174</x:v>
      </x:c>
      <x:c r="T930">
        <x:f>10.486935</x:f>
        <x:v>10.486935000000001</x:v>
      </x:c>
      <x:c r="U930">
        <x:f>-9.694875</x:f>
        <x:v>-9.6948749999999997</x:v>
      </x:c>
      <x:c r="V930">
        <x:f>-10.737014</x:f>
        <x:v>-10.737014</x:v>
      </x:c>
      <x:c r="W930">
        <x:f>-26.594318</x:f>
        <x:v>-26.594318000000001</x:v>
      </x:c>
      <x:c r="X930">
        <x:f>34.439939</x:f>
        <x:v>34.439939000000003</x:v>
      </x:c>
      <x:c r="Y930">
        <x:f>-13.549736</x:f>
        <x:v>-13.549735999999999</x:v>
      </x:c>
      <x:c r="Z930">
        <x:f>-10.548126</x:f>
        <x:v>-10.548126</x:v>
      </x:c>
      <x:c r="AA930">
        <x:f>5.446553</x:f>
        <x:v>5.4465529999999998</x:v>
      </x:c>
      <x:c r="AB930">
        <x:f>4.361308</x:f>
        <x:v>4.3613080000000002</x:v>
      </x:c>
      <x:c r="AC930">
        <x:f>-8.359368</x:f>
        <x:v>-8.3593679999999999</x:v>
      </x:c>
      <x:c r="AD930">
        <x:f>-7.628283</x:f>
        <x:v>-7.6282829999999997</x:v>
      </x:c>
      <x:c r="AE930">
        <x:f>-20.792469</x:f>
        <x:v>-20.792469000000001</x:v>
      </x:c>
      <x:c r="AF930">
        <x:f>-47.242542</x:f>
        <x:v>-47.242542</x:v>
      </x:c>
      <x:c r="AG930">
        <x:f>4.281174</x:f>
        <x:v>4.281174</x:v>
      </x:c>
    </x:row>
    <x:row r="931" spans="1:33" x14ac:dyDescent="0.25">
      <x:c r="A931" t="str">
        <x:f>"            Reality Shares Nasdaq Nexgen E"</x:f>
        <x:v xml:space="preserve">            Reality Shares Nasdaq Nexgen E</x:v>
      </x:c>
      <x:c r="B931" t="str">
        <x:f>"BCNA US Equity"</x:f>
        <x:v>BCNA US Equity</x:v>
      </x:c>
      <x:c r="E931" t="str">
        <x:f t="shared" ref="E931:E953" si="39">"Expression"</x:f>
        <x:v>Expression</x:v>
      </x:c>
      <x:c r="F931" t="str">
        <x:f ca="1">IF(AND($B$1012=1,LEN($F$1908)&gt;0),$F$1908,HLOOKUP(INDIRECT(ADDRESS(2,COLUMN())),OFFSET($T$2,0,0,ROW()-1,14),ROW()-1,FALSE))</x:f>
        <x:v/>
      </x:c>
      <x:c r="G931" t="str">
        <x:f ca="1">IF(AND($B$1012=1,LEN($G$1908)&gt;0),$G$1908,HLOOKUP(INDIRECT(ADDRESS(2,COLUMN())),OFFSET($T$2,0,0,ROW()-1,14),ROW()-1,FALSE))</x:f>
        <x:v/>
      </x:c>
      <x:c r="H931" t="str">
        <x:f ca="1">IF(AND($B$1012=1,LEN($H$1908)&gt;0),$H$1908,HLOOKUP(INDIRECT(ADDRESS(2,COLUMN())),OFFSET($T$2,0,0,ROW()-1,14),ROW()-1,FALSE))</x:f>
        <x:v/>
      </x:c>
      <x:c r="I931" t="str">
        <x:f ca="1">IF(AND($B$1012=1,LEN($I$1908)&gt;0),$I$1908,HLOOKUP(INDIRECT(ADDRESS(2,COLUMN())),OFFSET($T$2,0,0,ROW()-1,14),ROW()-1,FALSE))</x:f>
        <x:v/>
      </x:c>
      <x:c r="J931" t="str">
        <x:f ca="1">IF(AND($B$1012=1,LEN($J$1908)&gt;0),$J$1908,HLOOKUP(INDIRECT(ADDRESS(2,COLUMN())),OFFSET($T$2,0,0,ROW()-1,14),ROW()-1,FALSE))</x:f>
        <x:v/>
      </x:c>
      <x:c r="K931" t="str">
        <x:f ca="1">IF(AND($B$1012=1,LEN($K$1908)&gt;0),$K$1908,HLOOKUP(INDIRECT(ADDRESS(2,COLUMN())),OFFSET($T$2,0,0,ROW()-1,14),ROW()-1,FALSE))</x:f>
        <x:v/>
      </x:c>
      <x:c r="L931" t="str">
        <x:f ca="1">IF(AND($B$1012=1,LEN($L$1908)&gt;0),$L$1908,HLOOKUP(INDIRECT(ADDRESS(2,COLUMN())),OFFSET($T$2,0,0,ROW()-1,14),ROW()-1,FALSE))</x:f>
        <x:v/>
      </x:c>
      <x:c r="M931" t="str">
        <x:f ca="1">IF(AND($B$1012=1,LEN($M$1908)&gt;0),$M$1908,HLOOKUP(INDIRECT(ADDRESS(2,COLUMN())),OFFSET($T$2,0,0,ROW()-1,14),ROW()-1,FALSE))</x:f>
        <x:v/>
      </x:c>
      <x:c r="N931" t="str">
        <x:f ca="1">IF(AND($B$1012=1,LEN($N$1908)&gt;0),$N$1908,HLOOKUP(INDIRECT(ADDRESS(2,COLUMN())),OFFSET($T$2,0,0,ROW()-1,14),ROW()-1,FALSE))</x:f>
        <x:v/>
      </x:c>
      <x:c r="O931" t="str">
        <x:f ca="1">IF(AND($B$1012=1,LEN($O$1908)&gt;0),$O$1908,HLOOKUP(INDIRECT(ADDRESS(2,COLUMN())),OFFSET($T$2,0,0,ROW()-1,14),ROW()-1,FALSE))</x:f>
        <x:v/>
      </x:c>
      <x:c r="P931" t="str">
        <x:f ca="1">IF(AND($B$1012=1,LEN($P$1908)&gt;0),$P$1908,HLOOKUP(INDIRECT(ADDRESS(2,COLUMN())),OFFSET($T$2,0,0,ROW()-1,14),ROW()-1,FALSE))</x:f>
        <x:v/>
      </x:c>
      <x:c r="Q931" t="str">
        <x:f ca="1">IF(AND($B$1012=1,LEN($Q$1908)&gt;0),$Q$1908,HLOOKUP(INDIRECT(ADDRESS(2,COLUMN())),OFFSET($T$2,0,0,ROW()-1,14),ROW()-1,FALSE))</x:f>
        <x:v/>
      </x:c>
      <x:c r="R931" t="str">
        <x:f ca="1">IF(AND($B$1012=1,LEN($R$1908)&gt;0),$R$1908,HLOOKUP(INDIRECT(ADDRESS(2,COLUMN())),OFFSET($T$2,0,0,ROW()-1,14),ROW()-1,FALSE))</x:f>
        <x:v/>
      </x:c>
      <x:c r="S931" t="str">
        <x:f ca="1">IF(AND($B$1012=1,LEN($S$1908)&gt;0),$S$1908,HLOOKUP(INDIRECT(ADDRESS(2,COLUMN())),OFFSET($T$2,0,0,ROW()-1,14),ROW()-1,FALSE))</x:f>
        <x:v/>
      </x:c>
      <x:c r="T931" t="str">
        <x:f>""</x:f>
        <x:v/>
      </x:c>
      <x:c r="U931" t="str">
        <x:f>""</x:f>
        <x:v/>
      </x:c>
      <x:c r="V931" t="str">
        <x:f>""</x:f>
        <x:v/>
      </x:c>
      <x:c r="W931" t="str">
        <x:f>""</x:f>
        <x:v/>
      </x:c>
      <x:c r="X931" t="str">
        <x:f>""</x:f>
        <x:v/>
      </x:c>
      <x:c r="Y931" t="str">
        <x:f>""</x:f>
        <x:v/>
      </x:c>
      <x:c r="Z931" t="str">
        <x:f>""</x:f>
        <x:v/>
      </x:c>
      <x:c r="AA931" t="str">
        <x:f>""</x:f>
        <x:v/>
      </x:c>
      <x:c r="AB931" t="str">
        <x:f>""</x:f>
        <x:v/>
      </x:c>
      <x:c r="AC931" t="str">
        <x:f>""</x:f>
        <x:v/>
      </x:c>
      <x:c r="AD931" t="str">
        <x:f>""</x:f>
        <x:v/>
      </x:c>
      <x:c r="AE931" t="str">
        <x:f>""</x:f>
        <x:v/>
      </x:c>
      <x:c r="AF931" t="str">
        <x:f>""</x:f>
        <x:v/>
      </x:c>
      <x:c r="AG931" t="str">
        <x:f>""</x:f>
        <x:v/>
      </x:c>
    </x:row>
    <x:row r="932" spans="1:33" x14ac:dyDescent="0.25">
      <x:c r="A932" t="str">
        <x:f>"            Capital Link Global Fintech Le"</x:f>
        <x:v xml:space="preserve">            Capital Link Global Fintech Le</x:v>
      </x:c>
      <x:c r="B932" t="str">
        <x:f>"KOIN US Equity"</x:f>
        <x:v>KOIN US Equity</x:v>
      </x:c>
      <x:c r="E932" t="str">
        <x:f t="shared" si="39"/>
        <x:v>Expression</x:v>
      </x:c>
      <x:c r="F932">
        <x:f ca="1">IF(AND($B$1012=1,LEN($F$1909)&gt;0),$F$1909,HLOOKUP(INDIRECT(ADDRESS(2,COLUMN())),OFFSET($T$2,0,0,ROW()-1,14),ROW()-1,FALSE))</x:f>
        <x:v>0</x:v>
      </x:c>
      <x:c r="G932">
        <x:f ca="1">IF(AND($B$1012=1,LEN($G$1909)&gt;0),$G$1909,HLOOKUP(INDIRECT(ADDRESS(2,COLUMN())),OFFSET($T$2,0,0,ROW()-1,14),ROW()-1,FALSE))</x:f>
        <x:v>0</x:v>
      </x:c>
      <x:c r="H932">
        <x:f ca="1">IF(AND($B$1012=1,LEN($H$1909)&gt;0),$H$1909,HLOOKUP(INDIRECT(ADDRESS(2,COLUMN())),OFFSET($T$2,0,0,ROW()-1,14),ROW()-1,FALSE))</x:f>
        <x:v>-0.74646100000000004</x:v>
      </x:c>
      <x:c r="I932">
        <x:f ca="1">IF(AND($B$1012=1,LEN($I$1909)&gt;0),$I$1909,HLOOKUP(INDIRECT(ADDRESS(2,COLUMN())),OFFSET($T$2,0,0,ROW()-1,14),ROW()-1,FALSE))</x:f>
        <x:v>-0.75958000000000003</x:v>
      </x:c>
      <x:c r="J932">
        <x:f ca="1">IF(AND($B$1012=1,LEN($J$1909)&gt;0),$J$1909,HLOOKUP(INDIRECT(ADDRESS(2,COLUMN())),OFFSET($T$2,0,0,ROW()-1,14),ROW()-1,FALSE))</x:f>
        <x:v>0</x:v>
      </x:c>
      <x:c r="K932">
        <x:f ca="1">IF(AND($B$1012=1,LEN($K$1909)&gt;0),$K$1909,HLOOKUP(INDIRECT(ADDRESS(2,COLUMN())),OFFSET($T$2,0,0,ROW()-1,14),ROW()-1,FALSE))</x:f>
        <x:v>0</x:v>
      </x:c>
      <x:c r="L932">
        <x:f ca="1">IF(AND($B$1012=1,LEN($L$1909)&gt;0),$L$1909,HLOOKUP(INDIRECT(ADDRESS(2,COLUMN())),OFFSET($T$2,0,0,ROW()-1,14),ROW()-1,FALSE))</x:f>
        <x:v>0</x:v>
      </x:c>
      <x:c r="M932">
        <x:f ca="1">IF(AND($B$1012=1,LEN($M$1909)&gt;0),$M$1909,HLOOKUP(INDIRECT(ADDRESS(2,COLUMN())),OFFSET($T$2,0,0,ROW()-1,14),ROW()-1,FALSE))</x:f>
        <x:v>-0.70994800000000002</x:v>
      </x:c>
      <x:c r="N932">
        <x:f ca="1">IF(AND($B$1012=1,LEN($N$1909)&gt;0),$N$1909,HLOOKUP(INDIRECT(ADDRESS(2,COLUMN())),OFFSET($T$2,0,0,ROW()-1,14),ROW()-1,FALSE))</x:f>
        <x:v>0</x:v>
      </x:c>
      <x:c r="O932">
        <x:f ca="1">IF(AND($B$1012=1,LEN($O$1909)&gt;0),$O$1909,HLOOKUP(INDIRECT(ADDRESS(2,COLUMN())),OFFSET($T$2,0,0,ROW()-1,14),ROW()-1,FALSE))</x:f>
        <x:v>-0.73841800000000002</x:v>
      </x:c>
      <x:c r="P932">
        <x:f ca="1">IF(AND($B$1012=1,LEN($P$1909)&gt;0),$P$1909,HLOOKUP(INDIRECT(ADDRESS(2,COLUMN())),OFFSET($T$2,0,0,ROW()-1,14),ROW()-1,FALSE))</x:f>
        <x:v>0</x:v>
      </x:c>
      <x:c r="Q932">
        <x:f ca="1">IF(AND($B$1012=1,LEN($Q$1909)&gt;0),$Q$1909,HLOOKUP(INDIRECT(ADDRESS(2,COLUMN())),OFFSET($T$2,0,0,ROW()-1,14),ROW()-1,FALSE))</x:f>
        <x:v>0</x:v>
      </x:c>
      <x:c r="R932">
        <x:f ca="1">IF(AND($B$1012=1,LEN($R$1909)&gt;0),$R$1909,HLOOKUP(INDIRECT(ADDRESS(2,COLUMN())),OFFSET($T$2,0,0,ROW()-1,14),ROW()-1,FALSE))</x:f>
        <x:v>-0.78844999999999998</x:v>
      </x:c>
      <x:c r="S932">
        <x:f ca="1">IF(AND($B$1012=1,LEN($S$1909)&gt;0),$S$1909,HLOOKUP(INDIRECT(ADDRESS(2,COLUMN())),OFFSET($T$2,0,0,ROW()-1,14),ROW()-1,FALSE))</x:f>
        <x:v>0</x:v>
      </x:c>
      <x:c r="T932">
        <x:f>0</x:f>
        <x:v>0</x:v>
      </x:c>
      <x:c r="U932">
        <x:f>0</x:f>
        <x:v>0</x:v>
      </x:c>
      <x:c r="V932">
        <x:f>-0.746461</x:f>
        <x:v>-0.74646100000000004</x:v>
      </x:c>
      <x:c r="W932">
        <x:f>-0.75958</x:f>
        <x:v>-0.75958000000000003</x:v>
      </x:c>
      <x:c r="X932">
        <x:f>0</x:f>
        <x:v>0</x:v>
      </x:c>
      <x:c r="Y932">
        <x:f>0</x:f>
        <x:v>0</x:v>
      </x:c>
      <x:c r="Z932">
        <x:f>0</x:f>
        <x:v>0</x:v>
      </x:c>
      <x:c r="AA932">
        <x:f>-0.709948</x:f>
        <x:v>-0.70994800000000002</x:v>
      </x:c>
      <x:c r="AB932">
        <x:f>0</x:f>
        <x:v>0</x:v>
      </x:c>
      <x:c r="AC932">
        <x:f>-0.738418</x:f>
        <x:v>-0.73841800000000002</x:v>
      </x:c>
      <x:c r="AD932">
        <x:f>0</x:f>
        <x:v>0</x:v>
      </x:c>
      <x:c r="AE932">
        <x:f>0</x:f>
        <x:v>0</x:v>
      </x:c>
      <x:c r="AF932">
        <x:f>-0.78845</x:f>
        <x:v>-0.78844999999999998</x:v>
      </x:c>
      <x:c r="AG932">
        <x:f>0</x:f>
        <x:v>0</x:v>
      </x:c>
    </x:row>
    <x:row r="933" spans="1:33" x14ac:dyDescent="0.25">
      <x:c r="A933" t="str">
        <x:f>"            First Trust Indxx Innovative T"</x:f>
        <x:v xml:space="preserve">            First Trust Indxx Innovative T</x:v>
      </x:c>
      <x:c r="B933" t="str">
        <x:f>"LEGR US Equity"</x:f>
        <x:v>LEGR US Equity</x:v>
      </x:c>
      <x:c r="E933" t="str">
        <x:f t="shared" si="39"/>
        <x:v>Expression</x:v>
      </x:c>
      <x:c r="F933">
        <x:f ca="1">IF(AND($B$1012=1,LEN($F$1910)&gt;0),$F$1910,HLOOKUP(INDIRECT(ADDRESS(2,COLUMN())),OFFSET($T$2,0,0,ROW()-1,14),ROW()-1,FALSE))</x:f>
        <x:v>0</x:v>
      </x:c>
      <x:c r="G933">
        <x:f ca="1">IF(AND($B$1012=1,LEN($G$1910)&gt;0),$G$1910,HLOOKUP(INDIRECT(ADDRESS(2,COLUMN())),OFFSET($T$2,0,0,ROW()-1,14),ROW()-1,FALSE))</x:f>
        <x:v>0</x:v>
      </x:c>
      <x:c r="H933">
        <x:f ca="1">IF(AND($B$1012=1,LEN($H$1910)&gt;0),$H$1910,HLOOKUP(INDIRECT(ADDRESS(2,COLUMN())),OFFSET($T$2,0,0,ROW()-1,14),ROW()-1,FALSE))</x:f>
        <x:v>-9.6199999999999992</x:v>
      </x:c>
      <x:c r="I933">
        <x:f ca="1">IF(AND($B$1012=1,LEN($I$1910)&gt;0),$I$1910,HLOOKUP(INDIRECT(ADDRESS(2,COLUMN())),OFFSET($T$2,0,0,ROW()-1,14),ROW()-1,FALSE))</x:f>
        <x:v>0</x:v>
      </x:c>
      <x:c r="J933">
        <x:f ca="1">IF(AND($B$1012=1,LEN($J$1910)&gt;0),$J$1910,HLOOKUP(INDIRECT(ADDRESS(2,COLUMN())),OFFSET($T$2,0,0,ROW()-1,14),ROW()-1,FALSE))</x:f>
        <x:v>0</x:v>
      </x:c>
      <x:c r="K933">
        <x:f ca="1">IF(AND($B$1012=1,LEN($K$1910)&gt;0),$K$1910,HLOOKUP(INDIRECT(ADDRESS(2,COLUMN())),OFFSET($T$2,0,0,ROW()-1,14),ROW()-1,FALSE))</x:f>
        <x:v>-11.70429</x:v>
      </x:c>
      <x:c r="L933">
        <x:f ca="1">IF(AND($B$1012=1,LEN($L$1910)&gt;0),$L$1910,HLOOKUP(INDIRECT(ADDRESS(2,COLUMN())),OFFSET($T$2,0,0,ROW()-1,14),ROW()-1,FALSE))</x:f>
        <x:v>-8.293E-3</x:v>
      </x:c>
      <x:c r="M933">
        <x:f ca="1">IF(AND($B$1012=1,LEN($M$1910)&gt;0),$M$1910,HLOOKUP(INDIRECT(ADDRESS(2,COLUMN())),OFFSET($T$2,0,0,ROW()-1,14),ROW()-1,FALSE))</x:f>
        <x:v>-1.8817120000000001</x:v>
      </x:c>
      <x:c r="N933">
        <x:f ca="1">IF(AND($B$1012=1,LEN($N$1910)&gt;0),$N$1910,HLOOKUP(INDIRECT(ADDRESS(2,COLUMN())),OFFSET($T$2,0,0,ROW()-1,14),ROW()-1,FALSE))</x:f>
        <x:v>5.1274160000000002</x:v>
      </x:c>
      <x:c r="O933">
        <x:f ca="1">IF(AND($B$1012=1,LEN($O$1910)&gt;0),$O$1910,HLOOKUP(INDIRECT(ADDRESS(2,COLUMN())),OFFSET($T$2,0,0,ROW()-1,14),ROW()-1,FALSE))</x:f>
        <x:v>-1.8883559999999999</x:v>
      </x:c>
      <x:c r="P933">
        <x:f ca="1">IF(AND($B$1012=1,LEN($P$1910)&gt;0),$P$1910,HLOOKUP(INDIRECT(ADDRESS(2,COLUMN())),OFFSET($T$2,0,0,ROW()-1,14),ROW()-1,FALSE))</x:f>
        <x:v>-3.7438500000000001</x:v>
      </x:c>
      <x:c r="Q933">
        <x:f ca="1">IF(AND($B$1012=1,LEN($Q$1910)&gt;0),$Q$1910,HLOOKUP(INDIRECT(ADDRESS(2,COLUMN())),OFFSET($T$2,0,0,ROW()-1,14),ROW()-1,FALSE))</x:f>
        <x:v>-5.1926550000000002</x:v>
      </x:c>
      <x:c r="R933">
        <x:f ca="1">IF(AND($B$1012=1,LEN($R$1910)&gt;0),$R$1910,HLOOKUP(INDIRECT(ADDRESS(2,COLUMN())),OFFSET($T$2,0,0,ROW()-1,14),ROW()-1,FALSE))</x:f>
        <x:v>0</x:v>
      </x:c>
      <x:c r="S933">
        <x:f ca="1">IF(AND($B$1012=1,LEN($S$1910)&gt;0),$S$1910,HLOOKUP(INDIRECT(ADDRESS(2,COLUMN())),OFFSET($T$2,0,0,ROW()-1,14),ROW()-1,FALSE))</x:f>
        <x:v>-7.025E-3</x:v>
      </x:c>
      <x:c r="T933">
        <x:f>0</x:f>
        <x:v>0</x:v>
      </x:c>
      <x:c r="U933">
        <x:f>0</x:f>
        <x:v>0</x:v>
      </x:c>
      <x:c r="V933">
        <x:f>-9.62</x:f>
        <x:v>-9.6199999999999992</x:v>
      </x:c>
      <x:c r="W933">
        <x:f>0</x:f>
        <x:v>0</x:v>
      </x:c>
      <x:c r="X933">
        <x:f>0</x:f>
        <x:v>0</x:v>
      </x:c>
      <x:c r="Y933">
        <x:f>-11.70429</x:f>
        <x:v>-11.70429</x:v>
      </x:c>
      <x:c r="Z933">
        <x:f>-0.008293</x:f>
        <x:v>-8.293E-3</x:v>
      </x:c>
      <x:c r="AA933">
        <x:f>-1.881712</x:f>
        <x:v>-1.8817120000000001</x:v>
      </x:c>
      <x:c r="AB933">
        <x:f>5.127416</x:f>
        <x:v>5.1274160000000002</x:v>
      </x:c>
      <x:c r="AC933">
        <x:f>-1.888356</x:f>
        <x:v>-1.8883559999999999</x:v>
      </x:c>
      <x:c r="AD933">
        <x:f>-3.74385</x:f>
        <x:v>-3.7438500000000001</x:v>
      </x:c>
      <x:c r="AE933">
        <x:f>-5.192655</x:f>
        <x:v>-5.1926550000000002</x:v>
      </x:c>
      <x:c r="AF933">
        <x:f>0</x:f>
        <x:v>0</x:v>
      </x:c>
      <x:c r="AG933">
        <x:f>-0.007025</x:f>
        <x:v>-7.025E-3</x:v>
      </x:c>
    </x:row>
    <x:row r="934" spans="1:33" x14ac:dyDescent="0.25">
      <x:c r="A934" t="str">
        <x:f>"            Siren Nasdaq NexGen Economy ET"</x:f>
        <x:v xml:space="preserve">            Siren Nasdaq NexGen Economy ET</x:v>
      </x:c>
      <x:c r="B934" t="str">
        <x:f>"BLCN US Equity"</x:f>
        <x:v>BLCN US Equity</x:v>
      </x:c>
      <x:c r="E934" t="str">
        <x:f t="shared" si="39"/>
        <x:v>Expression</x:v>
      </x:c>
      <x:c r="F934">
        <x:f ca="1">IF(AND($B$1012=1,LEN($F$1911)&gt;0),$F$1911,HLOOKUP(INDIRECT(ADDRESS(2,COLUMN())),OFFSET($T$2,0,0,ROW()-1,14),ROW()-1,FALSE))</x:f>
        <x:v>0</x:v>
      </x:c>
      <x:c r="G934">
        <x:f ca="1">IF(AND($B$1012=1,LEN($G$1911)&gt;0),$G$1911,HLOOKUP(INDIRECT(ADDRESS(2,COLUMN())),OFFSET($T$2,0,0,ROW()-1,14),ROW()-1,FALSE))</x:f>
        <x:v>0</x:v>
      </x:c>
      <x:c r="H934">
        <x:f ca="1">IF(AND($B$1012=1,LEN($H$1911)&gt;0),$H$1911,HLOOKUP(INDIRECT(ADDRESS(2,COLUMN())),OFFSET($T$2,0,0,ROW()-1,14),ROW()-1,FALSE))</x:f>
        <x:v>-1.9118299999999999</x:v>
      </x:c>
      <x:c r="I934">
        <x:f ca="1">IF(AND($B$1012=1,LEN($I$1911)&gt;0),$I$1911,HLOOKUP(INDIRECT(ADDRESS(2,COLUMN())),OFFSET($T$2,0,0,ROW()-1,14),ROW()-1,FALSE))</x:f>
        <x:v>-2.0291999999999999</x:v>
      </x:c>
      <x:c r="J934">
        <x:f ca="1">IF(AND($B$1012=1,LEN($J$1911)&gt;0),$J$1911,HLOOKUP(INDIRECT(ADDRESS(2,COLUMN())),OFFSET($T$2,0,0,ROW()-1,14),ROW()-1,FALSE))</x:f>
        <x:v>0</x:v>
      </x:c>
      <x:c r="K934">
        <x:f ca="1">IF(AND($B$1012=1,LEN($K$1911)&gt;0),$K$1911,HLOOKUP(INDIRECT(ADDRESS(2,COLUMN())),OFFSET($T$2,0,0,ROW()-1,14),ROW()-1,FALSE))</x:f>
        <x:v>-2.1744300000000001</x:v>
      </x:c>
      <x:c r="L934">
        <x:f ca="1">IF(AND($B$1012=1,LEN($L$1911)&gt;0),$L$1911,HLOOKUP(INDIRECT(ADDRESS(2,COLUMN())),OFFSET($T$2,0,0,ROW()-1,14),ROW()-1,FALSE))</x:f>
        <x:v>-4.7147600000000001</x:v>
      </x:c>
      <x:c r="M934">
        <x:f ca="1">IF(AND($B$1012=1,LEN($M$1911)&gt;0),$M$1911,HLOOKUP(INDIRECT(ADDRESS(2,COLUMN())),OFFSET($T$2,0,0,ROW()-1,14),ROW()-1,FALSE))</x:f>
        <x:v>0</x:v>
      </x:c>
      <x:c r="N934">
        <x:f ca="1">IF(AND($B$1012=1,LEN($N$1911)&gt;0),$N$1911,HLOOKUP(INDIRECT(ADDRESS(2,COLUMN())),OFFSET($T$2,0,0,ROW()-1,14),ROW()-1,FALSE))</x:f>
        <x:v>0</x:v>
      </x:c>
      <x:c r="O934">
        <x:f ca="1">IF(AND($B$1012=1,LEN($O$1911)&gt;0),$O$1911,HLOOKUP(INDIRECT(ADDRESS(2,COLUMN())),OFFSET($T$2,0,0,ROW()-1,14),ROW()-1,FALSE))</x:f>
        <x:v>-5.7449500000000002</x:v>
      </x:c>
      <x:c r="P934">
        <x:f ca="1">IF(AND($B$1012=1,LEN($P$1911)&gt;0),$P$1911,HLOOKUP(INDIRECT(ADDRESS(2,COLUMN())),OFFSET($T$2,0,0,ROW()-1,14),ROW()-1,FALSE))</x:f>
        <x:v>-5.4325400000000004</x:v>
      </x:c>
      <x:c r="Q934">
        <x:f ca="1">IF(AND($B$1012=1,LEN($Q$1911)&gt;0),$Q$1911,HLOOKUP(INDIRECT(ADDRESS(2,COLUMN())),OFFSET($T$2,0,0,ROW()-1,14),ROW()-1,FALSE))</x:f>
        <x:v>0</x:v>
      </x:c>
      <x:c r="R934">
        <x:f ca="1">IF(AND($B$1012=1,LEN($R$1911)&gt;0),$R$1911,HLOOKUP(INDIRECT(ADDRESS(2,COLUMN())),OFFSET($T$2,0,0,ROW()-1,14),ROW()-1,FALSE))</x:f>
        <x:v>-10.255455</x:v>
      </x:c>
      <x:c r="S934">
        <x:f ca="1">IF(AND($B$1012=1,LEN($S$1911)&gt;0),$S$1911,HLOOKUP(INDIRECT(ADDRESS(2,COLUMN())),OFFSET($T$2,0,0,ROW()-1,14),ROW()-1,FALSE))</x:f>
        <x:v>-0.99918700000000005</x:v>
      </x:c>
      <x:c r="T934">
        <x:f>0</x:f>
        <x:v>0</x:v>
      </x:c>
      <x:c r="U934">
        <x:f>0</x:f>
        <x:v>0</x:v>
      </x:c>
      <x:c r="V934">
        <x:f>-1.91183</x:f>
        <x:v>-1.9118299999999999</x:v>
      </x:c>
      <x:c r="W934">
        <x:f>-2.0292</x:f>
        <x:v>-2.0291999999999999</x:v>
      </x:c>
      <x:c r="X934">
        <x:f>0</x:f>
        <x:v>0</x:v>
      </x:c>
      <x:c r="Y934">
        <x:f>-2.17443</x:f>
        <x:v>-2.1744300000000001</x:v>
      </x:c>
      <x:c r="Z934">
        <x:f>-4.71476</x:f>
        <x:v>-4.7147600000000001</x:v>
      </x:c>
      <x:c r="AA934">
        <x:f>0</x:f>
        <x:v>0</x:v>
      </x:c>
      <x:c r="AB934">
        <x:f>0</x:f>
        <x:v>0</x:v>
      </x:c>
      <x:c r="AC934">
        <x:f>-5.74495</x:f>
        <x:v>-5.7449500000000002</x:v>
      </x:c>
      <x:c r="AD934">
        <x:f>-5.43254</x:f>
        <x:v>-5.4325400000000004</x:v>
      </x:c>
      <x:c r="AE934">
        <x:f>0</x:f>
        <x:v>0</x:v>
      </x:c>
      <x:c r="AF934">
        <x:f>-10.255455</x:f>
        <x:v>-10.255455</x:v>
      </x:c>
      <x:c r="AG934">
        <x:f>-0.999187</x:f>
        <x:v>-0.99918700000000005</x:v>
      </x:c>
    </x:row>
    <x:row r="935" spans="1:33" x14ac:dyDescent="0.25">
      <x:c r="A935" t="str">
        <x:f>"            REX BKCM ETF"</x:f>
        <x:v xml:space="preserve">            REX BKCM ETF</x:v>
      </x:c>
      <x:c r="B935" t="str">
        <x:f>"BKC US Equity"</x:f>
        <x:v>BKC US Equity</x:v>
      </x:c>
      <x:c r="E935" t="str">
        <x:f t="shared" si="39"/>
        <x:v>Expression</x:v>
      </x:c>
      <x:c r="F935" t="str">
        <x:f ca="1">IF(AND($B$1012=1,LEN($F$1912)&gt;0),$F$1912,HLOOKUP(INDIRECT(ADDRESS(2,COLUMN())),OFFSET($T$2,0,0,ROW()-1,14),ROW()-1,FALSE))</x:f>
        <x:v/>
      </x:c>
      <x:c r="G935" t="str">
        <x:f ca="1">IF(AND($B$1012=1,LEN($G$1912)&gt;0),$G$1912,HLOOKUP(INDIRECT(ADDRESS(2,COLUMN())),OFFSET($T$2,0,0,ROW()-1,14),ROW()-1,FALSE))</x:f>
        <x:v/>
      </x:c>
      <x:c r="H935" t="str">
        <x:f ca="1">IF(AND($B$1012=1,LEN($H$1912)&gt;0),$H$1912,HLOOKUP(INDIRECT(ADDRESS(2,COLUMN())),OFFSET($T$2,0,0,ROW()-1,14),ROW()-1,FALSE))</x:f>
        <x:v/>
      </x:c>
      <x:c r="I935" t="str">
        <x:f ca="1">IF(AND($B$1012=1,LEN($I$1912)&gt;0),$I$1912,HLOOKUP(INDIRECT(ADDRESS(2,COLUMN())),OFFSET($T$2,0,0,ROW()-1,14),ROW()-1,FALSE))</x:f>
        <x:v/>
      </x:c>
      <x:c r="J935" t="str">
        <x:f ca="1">IF(AND($B$1012=1,LEN($J$1912)&gt;0),$J$1912,HLOOKUP(INDIRECT(ADDRESS(2,COLUMN())),OFFSET($T$2,0,0,ROW()-1,14),ROW()-1,FALSE))</x:f>
        <x:v/>
      </x:c>
      <x:c r="K935" t="str">
        <x:f ca="1">IF(AND($B$1012=1,LEN($K$1912)&gt;0),$K$1912,HLOOKUP(INDIRECT(ADDRESS(2,COLUMN())),OFFSET($T$2,0,0,ROW()-1,14),ROW()-1,FALSE))</x:f>
        <x:v/>
      </x:c>
      <x:c r="L935" t="str">
        <x:f ca="1">IF(AND($B$1012=1,LEN($L$1912)&gt;0),$L$1912,HLOOKUP(INDIRECT(ADDRESS(2,COLUMN())),OFFSET($T$2,0,0,ROW()-1,14),ROW()-1,FALSE))</x:f>
        <x:v/>
      </x:c>
      <x:c r="M935" t="str">
        <x:f ca="1">IF(AND($B$1012=1,LEN($M$1912)&gt;0),$M$1912,HLOOKUP(INDIRECT(ADDRESS(2,COLUMN())),OFFSET($T$2,0,0,ROW()-1,14),ROW()-1,FALSE))</x:f>
        <x:v/>
      </x:c>
      <x:c r="N935" t="str">
        <x:f ca="1">IF(AND($B$1012=1,LEN($N$1912)&gt;0),$N$1912,HLOOKUP(INDIRECT(ADDRESS(2,COLUMN())),OFFSET($T$2,0,0,ROW()-1,14),ROW()-1,FALSE))</x:f>
        <x:v/>
      </x:c>
      <x:c r="O935" t="str">
        <x:f ca="1">IF(AND($B$1012=1,LEN($O$1912)&gt;0),$O$1912,HLOOKUP(INDIRECT(ADDRESS(2,COLUMN())),OFFSET($T$2,0,0,ROW()-1,14),ROW()-1,FALSE))</x:f>
        <x:v/>
      </x:c>
      <x:c r="P935" t="str">
        <x:f ca="1">IF(AND($B$1012=1,LEN($P$1912)&gt;0),$P$1912,HLOOKUP(INDIRECT(ADDRESS(2,COLUMN())),OFFSET($T$2,0,0,ROW()-1,14),ROW()-1,FALSE))</x:f>
        <x:v/>
      </x:c>
      <x:c r="Q935" t="str">
        <x:f ca="1">IF(AND($B$1012=1,LEN($Q$1912)&gt;0),$Q$1912,HLOOKUP(INDIRECT(ADDRESS(2,COLUMN())),OFFSET($T$2,0,0,ROW()-1,14),ROW()-1,FALSE))</x:f>
        <x:v/>
      </x:c>
      <x:c r="R935" t="str">
        <x:f ca="1">IF(AND($B$1012=1,LEN($R$1912)&gt;0),$R$1912,HLOOKUP(INDIRECT(ADDRESS(2,COLUMN())),OFFSET($T$2,0,0,ROW()-1,14),ROW()-1,FALSE))</x:f>
        <x:v/>
      </x:c>
      <x:c r="S935" t="str">
        <x:f ca="1">IF(AND($B$1012=1,LEN($S$1912)&gt;0),$S$1912,HLOOKUP(INDIRECT(ADDRESS(2,COLUMN())),OFFSET($T$2,0,0,ROW()-1,14),ROW()-1,FALSE))</x:f>
        <x:v/>
      </x:c>
      <x:c r="T935" t="str">
        <x:f>""</x:f>
        <x:v/>
      </x:c>
      <x:c r="U935" t="str">
        <x:f>""</x:f>
        <x:v/>
      </x:c>
      <x:c r="V935" t="str">
        <x:f>""</x:f>
        <x:v/>
      </x:c>
      <x:c r="W935" t="str">
        <x:f>""</x:f>
        <x:v/>
      </x:c>
      <x:c r="X935" t="str">
        <x:f>""</x:f>
        <x:v/>
      </x:c>
      <x:c r="Y935" t="str">
        <x:f>""</x:f>
        <x:v/>
      </x:c>
      <x:c r="Z935" t="str">
        <x:f>""</x:f>
        <x:v/>
      </x:c>
      <x:c r="AA935" t="str">
        <x:f>""</x:f>
        <x:v/>
      </x:c>
      <x:c r="AB935" t="str">
        <x:f>""</x:f>
        <x:v/>
      </x:c>
      <x:c r="AC935" t="str">
        <x:f>""</x:f>
        <x:v/>
      </x:c>
      <x:c r="AD935" t="str">
        <x:f>""</x:f>
        <x:v/>
      </x:c>
      <x:c r="AE935" t="str">
        <x:f>""</x:f>
        <x:v/>
      </x:c>
      <x:c r="AF935" t="str">
        <x:f>""</x:f>
        <x:v/>
      </x:c>
      <x:c r="AG935" t="str">
        <x:f>""</x:f>
        <x:v/>
      </x:c>
    </x:row>
    <x:row r="936" spans="1:33" x14ac:dyDescent="0.25">
      <x:c r="A936" t="str">
        <x:f>"            Global X Blockchain ETF"</x:f>
        <x:v xml:space="preserve">            Global X Blockchain ETF</x:v>
      </x:c>
      <x:c r="B936" t="str">
        <x:f>"BKCH US Equity"</x:f>
        <x:v>BKCH US Equity</x:v>
      </x:c>
      <x:c r="E936" t="str">
        <x:f t="shared" si="39"/>
        <x:v>Expression</x:v>
      </x:c>
      <x:c r="F936">
        <x:f ca="1">IF(AND($B$1012=1,LEN($F$1913)&gt;0),$F$1913,HLOOKUP(INDIRECT(ADDRESS(2,COLUMN())),OFFSET($T$2,0,0,ROW()-1,14),ROW()-1,FALSE))</x:f>
        <x:v>1.5354000000000001</x:v>
      </x:c>
      <x:c r="G936">
        <x:f ca="1">IF(AND($B$1012=1,LEN($G$1913)&gt;0),$G$1913,HLOOKUP(INDIRECT(ADDRESS(2,COLUMN())),OFFSET($T$2,0,0,ROW()-1,14),ROW()-1,FALSE))</x:f>
        <x:v>2.4979</x:v>
      </x:c>
      <x:c r="H936">
        <x:f ca="1">IF(AND($B$1012=1,LEN($H$1913)&gt;0),$H$1913,HLOOKUP(INDIRECT(ADDRESS(2,COLUMN())),OFFSET($T$2,0,0,ROW()-1,14),ROW()-1,FALSE))</x:f>
        <x:v>-2.9739</x:v>
      </x:c>
      <x:c r="I936">
        <x:f ca="1">IF(AND($B$1012=1,LEN($I$1913)&gt;0),$I$1913,HLOOKUP(INDIRECT(ADDRESS(2,COLUMN())),OFFSET($T$2,0,0,ROW()-1,14),ROW()-1,FALSE))</x:f>
        <x:v>-3.823</x:v>
      </x:c>
      <x:c r="J936">
        <x:f ca="1">IF(AND($B$1012=1,LEN($J$1913)&gt;0),$J$1913,HLOOKUP(INDIRECT(ADDRESS(2,COLUMN())),OFFSET($T$2,0,0,ROW()-1,14),ROW()-1,FALSE))</x:f>
        <x:v>3.286</x:v>
      </x:c>
      <x:c r="K936">
        <x:f ca="1">IF(AND($B$1012=1,LEN($K$1913)&gt;0),$K$1913,HLOOKUP(INDIRECT(ADDRESS(2,COLUMN())),OFFSET($T$2,0,0,ROW()-1,14),ROW()-1,FALSE))</x:f>
        <x:v>0.30649999999999999</x:v>
      </x:c>
      <x:c r="L936">
        <x:f ca="1">IF(AND($B$1012=1,LEN($L$1913)&gt;0),$L$1913,HLOOKUP(INDIRECT(ADDRESS(2,COLUMN())),OFFSET($T$2,0,0,ROW()-1,14),ROW()-1,FALSE))</x:f>
        <x:v>-1.35</x:v>
      </x:c>
      <x:c r="M936">
        <x:f ca="1">IF(AND($B$1012=1,LEN($M$1913)&gt;0),$M$1913,HLOOKUP(INDIRECT(ADDRESS(2,COLUMN())),OFFSET($T$2,0,0,ROW()-1,14),ROW()-1,FALSE))</x:f>
        <x:v>1.6276999999999999</x:v>
      </x:c>
      <x:c r="N936">
        <x:f ca="1">IF(AND($B$1012=1,LEN($N$1913)&gt;0),$N$1913,HLOOKUP(INDIRECT(ADDRESS(2,COLUMN())),OFFSET($T$2,0,0,ROW()-1,14),ROW()-1,FALSE))</x:f>
        <x:v>-2.5219999999999998</x:v>
      </x:c>
      <x:c r="O936">
        <x:f ca="1">IF(AND($B$1012=1,LEN($O$1913)&gt;0),$O$1913,HLOOKUP(INDIRECT(ADDRESS(2,COLUMN())),OFFSET($T$2,0,0,ROW()-1,14),ROW()-1,FALSE))</x:f>
        <x:v>-0.97899999999999998</x:v>
      </x:c>
      <x:c r="P936">
        <x:f ca="1">IF(AND($B$1012=1,LEN($P$1913)&gt;0),$P$1913,HLOOKUP(INDIRECT(ADDRESS(2,COLUMN())),OFFSET($T$2,0,0,ROW()-1,14),ROW()-1,FALSE))</x:f>
        <x:v>1.848096</x:v>
      </x:c>
      <x:c r="Q936">
        <x:f ca="1">IF(AND($B$1012=1,LEN($Q$1913)&gt;0),$Q$1913,HLOOKUP(INDIRECT(ADDRESS(2,COLUMN())),OFFSET($T$2,0,0,ROW()-1,14),ROW()-1,FALSE))</x:f>
        <x:v>0.1071</x:v>
      </x:c>
      <x:c r="R936">
        <x:f ca="1">IF(AND($B$1012=1,LEN($R$1913)&gt;0),$R$1913,HLOOKUP(INDIRECT(ADDRESS(2,COLUMN())),OFFSET($T$2,0,0,ROW()-1,14),ROW()-1,FALSE))</x:f>
        <x:v>0</x:v>
      </x:c>
      <x:c r="S936">
        <x:f ca="1">IF(AND($B$1012=1,LEN($S$1913)&gt;0),$S$1913,HLOOKUP(INDIRECT(ADDRESS(2,COLUMN())),OFFSET($T$2,0,0,ROW()-1,14),ROW()-1,FALSE))</x:f>
        <x:v>1.0128999999999999</x:v>
      </x:c>
      <x:c r="T936">
        <x:f>1.5354</x:f>
        <x:v>1.5354000000000001</x:v>
      </x:c>
      <x:c r="U936">
        <x:f>2.4979</x:f>
        <x:v>2.4979</x:v>
      </x:c>
      <x:c r="V936">
        <x:f>-2.9739</x:f>
        <x:v>-2.9739</x:v>
      </x:c>
      <x:c r="W936">
        <x:f>-3.823</x:f>
        <x:v>-3.823</x:v>
      </x:c>
      <x:c r="X936">
        <x:f>3.286</x:f>
        <x:v>3.286</x:v>
      </x:c>
      <x:c r="Y936">
        <x:f>0.3065</x:f>
        <x:v>0.30649999999999999</x:v>
      </x:c>
      <x:c r="Z936">
        <x:f>-1.35</x:f>
        <x:v>-1.35</x:v>
      </x:c>
      <x:c r="AA936">
        <x:f>1.6277</x:f>
        <x:v>1.6276999999999999</x:v>
      </x:c>
      <x:c r="AB936">
        <x:f>-2.522</x:f>
        <x:v>-2.5219999999999998</x:v>
      </x:c>
      <x:c r="AC936">
        <x:f>-0.979</x:f>
        <x:v>-0.97899999999999998</x:v>
      </x:c>
      <x:c r="AD936">
        <x:f>1.848096</x:f>
        <x:v>1.848096</x:v>
      </x:c>
      <x:c r="AE936">
        <x:f>0.1071</x:f>
        <x:v>0.1071</x:v>
      </x:c>
      <x:c r="AF936">
        <x:f>0</x:f>
        <x:v>0</x:v>
      </x:c>
      <x:c r="AG936">
        <x:f>1.0129</x:f>
        <x:v>1.0128999999999999</x:v>
      </x:c>
    </x:row>
    <x:row r="937" spans="1:33" x14ac:dyDescent="0.25">
      <x:c r="A937" t="str">
        <x:f>"            Bitwise Crypto Industry Innova"</x:f>
        <x:v xml:space="preserve">            Bitwise Crypto Industry Innova</x:v>
      </x:c>
      <x:c r="B937" t="str">
        <x:f>"BITQ US Equity"</x:f>
        <x:v>BITQ US Equity</x:v>
      </x:c>
      <x:c r="E937" t="str">
        <x:f t="shared" si="39"/>
        <x:v>Expression</x:v>
      </x:c>
      <x:c r="F937">
        <x:f ca="1">IF(AND($B$1012=1,LEN($F$1914)&gt;0),$F$1914,HLOOKUP(INDIRECT(ADDRESS(2,COLUMN())),OFFSET($T$2,0,0,ROW()-1,14),ROW()-1,FALSE))</x:f>
        <x:v>4.3267499999999997</x:v>
      </x:c>
      <x:c r="G937">
        <x:f ca="1">IF(AND($B$1012=1,LEN($G$1914)&gt;0),$G$1914,HLOOKUP(INDIRECT(ADDRESS(2,COLUMN())),OFFSET($T$2,0,0,ROW()-1,14),ROW()-1,FALSE))</x:f>
        <x:v>0.34425</x:v>
      </x:c>
      <x:c r="H937">
        <x:f ca="1">IF(AND($B$1012=1,LEN($H$1914)&gt;0),$H$1914,HLOOKUP(INDIRECT(ADDRESS(2,COLUMN())),OFFSET($T$2,0,0,ROW()-1,14),ROW()-1,FALSE))</x:f>
        <x:v>0.82125000000000004</x:v>
      </x:c>
      <x:c r="I937">
        <x:f ca="1">IF(AND($B$1012=1,LEN($I$1914)&gt;0),$I$1914,HLOOKUP(INDIRECT(ADDRESS(2,COLUMN())),OFFSET($T$2,0,0,ROW()-1,14),ROW()-1,FALSE))</x:f>
        <x:v>-1.4259999999999999</x:v>
      </x:c>
      <x:c r="J937">
        <x:f ca="1">IF(AND($B$1012=1,LEN($J$1914)&gt;0),$J$1914,HLOOKUP(INDIRECT(ADDRESS(2,COLUMN())),OFFSET($T$2,0,0,ROW()-1,14),ROW()-1,FALSE))</x:f>
        <x:v>4.0970000000000004</x:v>
      </x:c>
      <x:c r="K937">
        <x:f ca="1">IF(AND($B$1012=1,LEN($K$1914)&gt;0),$K$1914,HLOOKUP(INDIRECT(ADDRESS(2,COLUMN())),OFFSET($T$2,0,0,ROW()-1,14),ROW()-1,FALSE))</x:f>
        <x:v>0.188</x:v>
      </x:c>
      <x:c r="L937">
        <x:f ca="1">IF(AND($B$1012=1,LEN($L$1914)&gt;0),$L$1914,HLOOKUP(INDIRECT(ADDRESS(2,COLUMN())),OFFSET($T$2,0,0,ROW()-1,14),ROW()-1,FALSE))</x:f>
        <x:v>0.76500000000000001</x:v>
      </x:c>
      <x:c r="M937">
        <x:f ca="1">IF(AND($B$1012=1,LEN($M$1914)&gt;0),$M$1914,HLOOKUP(INDIRECT(ADDRESS(2,COLUMN())),OFFSET($T$2,0,0,ROW()-1,14),ROW()-1,FALSE))</x:f>
        <x:v>1.1067499999999999</x:v>
      </x:c>
      <x:c r="N937">
        <x:f ca="1">IF(AND($B$1012=1,LEN($N$1914)&gt;0),$N$1914,HLOOKUP(INDIRECT(ADDRESS(2,COLUMN())),OFFSET($T$2,0,0,ROW()-1,14),ROW()-1,FALSE))</x:f>
        <x:v>0.53349999999999997</x:v>
      </x:c>
      <x:c r="O937">
        <x:f ca="1">IF(AND($B$1012=1,LEN($O$1914)&gt;0),$O$1914,HLOOKUP(INDIRECT(ADDRESS(2,COLUMN())),OFFSET($T$2,0,0,ROW()-1,14),ROW()-1,FALSE))</x:f>
        <x:v>2.2862499999999999</x:v>
      </x:c>
      <x:c r="P937">
        <x:f ca="1">IF(AND($B$1012=1,LEN($P$1914)&gt;0),$P$1914,HLOOKUP(INDIRECT(ADDRESS(2,COLUMN())),OFFSET($T$2,0,0,ROW()-1,14),ROW()-1,FALSE))</x:f>
        <x:v>0.19700000000000001</x:v>
      </x:c>
      <x:c r="Q937">
        <x:f ca="1">IF(AND($B$1012=1,LEN($Q$1914)&gt;0),$Q$1914,HLOOKUP(INDIRECT(ADDRESS(2,COLUMN())),OFFSET($T$2,0,0,ROW()-1,14),ROW()-1,FALSE))</x:f>
        <x:v>-1.9410000000000001</x:v>
      </x:c>
      <x:c r="R937">
        <x:f ca="1">IF(AND($B$1012=1,LEN($R$1914)&gt;0),$R$1914,HLOOKUP(INDIRECT(ADDRESS(2,COLUMN())),OFFSET($T$2,0,0,ROW()-1,14),ROW()-1,FALSE))</x:f>
        <x:v>-0.85799999999999998</x:v>
      </x:c>
      <x:c r="S937">
        <x:f ca="1">IF(AND($B$1012=1,LEN($S$1914)&gt;0),$S$1914,HLOOKUP(INDIRECT(ADDRESS(2,COLUMN())),OFFSET($T$2,0,0,ROW()-1,14),ROW()-1,FALSE))</x:f>
        <x:v>4.226</x:v>
      </x:c>
      <x:c r="T937">
        <x:f>4.32675</x:f>
        <x:v>4.3267499999999997</x:v>
      </x:c>
      <x:c r="U937">
        <x:f>0.34425</x:f>
        <x:v>0.34425</x:v>
      </x:c>
      <x:c r="V937">
        <x:f>0.82125</x:f>
        <x:v>0.82125000000000004</x:v>
      </x:c>
      <x:c r="W937">
        <x:f>-1.426</x:f>
        <x:v>-1.4259999999999999</x:v>
      </x:c>
      <x:c r="X937">
        <x:f>4.097</x:f>
        <x:v>4.0970000000000004</x:v>
      </x:c>
      <x:c r="Y937">
        <x:f>0.188</x:f>
        <x:v>0.188</x:v>
      </x:c>
      <x:c r="Z937">
        <x:f>0.765</x:f>
        <x:v>0.76500000000000001</x:v>
      </x:c>
      <x:c r="AA937">
        <x:f>1.10675</x:f>
        <x:v>1.1067499999999999</x:v>
      </x:c>
      <x:c r="AB937">
        <x:f>0.5335</x:f>
        <x:v>0.53349999999999997</x:v>
      </x:c>
      <x:c r="AC937">
        <x:f>2.28625</x:f>
        <x:v>2.2862499999999999</x:v>
      </x:c>
      <x:c r="AD937">
        <x:f>0.197</x:f>
        <x:v>0.19700000000000001</x:v>
      </x:c>
      <x:c r="AE937">
        <x:f>-1.941</x:f>
        <x:v>-1.9410000000000001</x:v>
      </x:c>
      <x:c r="AF937">
        <x:f>-0.858</x:f>
        <x:v>-0.85799999999999998</x:v>
      </x:c>
      <x:c r="AG937">
        <x:f>4.226</x:f>
        <x:v>4.226</x:v>
      </x:c>
    </x:row>
    <x:row r="938" spans="1:33" x14ac:dyDescent="0.25">
      <x:c r="A938" t="str">
        <x:f>"            VanEck Digital Transformation"</x:f>
        <x:v xml:space="preserve">            VanEck Digital Transformation</x:v>
      </x:c>
      <x:c r="B938" t="str">
        <x:f>"DAPP US Equity"</x:f>
        <x:v>DAPP US Equity</x:v>
      </x:c>
      <x:c r="E938" t="str">
        <x:f t="shared" si="39"/>
        <x:v>Expression</x:v>
      </x:c>
      <x:c r="F938">
        <x:f ca="1">IF(AND($B$1012=1,LEN($F$1915)&gt;0),$F$1915,HLOOKUP(INDIRECT(ADDRESS(2,COLUMN())),OFFSET($T$2,0,0,ROW()-1,14),ROW()-1,FALSE))</x:f>
        <x:v>2.288618</x:v>
      </x:c>
      <x:c r="G938">
        <x:f ca="1">IF(AND($B$1012=1,LEN($G$1915)&gt;0),$G$1915,HLOOKUP(INDIRECT(ADDRESS(2,COLUMN())),OFFSET($T$2,0,0,ROW()-1,14),ROW()-1,FALSE))</x:f>
        <x:v>0.13932</x:v>
      </x:c>
      <x:c r="H938">
        <x:f ca="1">IF(AND($B$1012=1,LEN($H$1915)&gt;0),$H$1915,HLOOKUP(INDIRECT(ADDRESS(2,COLUMN())),OFFSET($T$2,0,0,ROW()-1,14),ROW()-1,FALSE))</x:f>
        <x:v>3.7559</x:v>
      </x:c>
      <x:c r="I938">
        <x:f ca="1">IF(AND($B$1012=1,LEN($I$1915)&gt;0),$I$1915,HLOOKUP(INDIRECT(ADDRESS(2,COLUMN())),OFFSET($T$2,0,0,ROW()-1,14),ROW()-1,FALSE))</x:f>
        <x:v>-2.4471599999999998</x:v>
      </x:c>
      <x:c r="J938">
        <x:f ca="1">IF(AND($B$1012=1,LEN($J$1915)&gt;0),$J$1915,HLOOKUP(INDIRECT(ADDRESS(2,COLUMN())),OFFSET($T$2,0,0,ROW()-1,14),ROW()-1,FALSE))</x:f>
        <x:v>6.9400930000000001</x:v>
      </x:c>
      <x:c r="K938">
        <x:f ca="1">IF(AND($B$1012=1,LEN($K$1915)&gt;0),$K$1915,HLOOKUP(INDIRECT(ADDRESS(2,COLUMN())),OFFSET($T$2,0,0,ROW()-1,14),ROW()-1,FALSE))</x:f>
        <x:v>2.5835140000000001</x:v>
      </x:c>
      <x:c r="L938">
        <x:f ca="1">IF(AND($B$1012=1,LEN($L$1915)&gt;0),$L$1915,HLOOKUP(INDIRECT(ADDRESS(2,COLUMN())),OFFSET($T$2,0,0,ROW()-1,14),ROW()-1,FALSE))</x:f>
        <x:v>0.54056700000000002</x:v>
      </x:c>
      <x:c r="M938">
        <x:f ca="1">IF(AND($B$1012=1,LEN($M$1915)&gt;0),$M$1915,HLOOKUP(INDIRECT(ADDRESS(2,COLUMN())),OFFSET($T$2,0,0,ROW()-1,14),ROW()-1,FALSE))</x:f>
        <x:v>0</x:v>
      </x:c>
      <x:c r="N938">
        <x:f ca="1">IF(AND($B$1012=1,LEN($N$1915)&gt;0),$N$1915,HLOOKUP(INDIRECT(ADDRESS(2,COLUMN())),OFFSET($T$2,0,0,ROW()-1,14),ROW()-1,FALSE))</x:f>
        <x:v>-1.0366139999999999</x:v>
      </x:c>
      <x:c r="O938">
        <x:f ca="1">IF(AND($B$1012=1,LEN($O$1915)&gt;0),$O$1915,HLOOKUP(INDIRECT(ADDRESS(2,COLUMN())),OFFSET($T$2,0,0,ROW()-1,14),ROW()-1,FALSE))</x:f>
        <x:v>0</x:v>
      </x:c>
      <x:c r="P938">
        <x:f ca="1">IF(AND($B$1012=1,LEN($P$1915)&gt;0),$P$1915,HLOOKUP(INDIRECT(ADDRESS(2,COLUMN())),OFFSET($T$2,0,0,ROW()-1,14),ROW()-1,FALSE))</x:f>
        <x:v>0</x:v>
      </x:c>
      <x:c r="Q938">
        <x:f ca="1">IF(AND($B$1012=1,LEN($Q$1915)&gt;0),$Q$1915,HLOOKUP(INDIRECT(ADDRESS(2,COLUMN())),OFFSET($T$2,0,0,ROW()-1,14),ROW()-1,FALSE))</x:f>
        <x:v>7.6232999999999995E-2</x:v>
      </x:c>
      <x:c r="R938">
        <x:f ca="1">IF(AND($B$1012=1,LEN($R$1915)&gt;0),$R$1915,HLOOKUP(INDIRECT(ADDRESS(2,COLUMN())),OFFSET($T$2,0,0,ROW()-1,14),ROW()-1,FALSE))</x:f>
        <x:v>1.067396</x:v>
      </x:c>
      <x:c r="S938">
        <x:f ca="1">IF(AND($B$1012=1,LEN($S$1915)&gt;0),$S$1915,HLOOKUP(INDIRECT(ADDRESS(2,COLUMN())),OFFSET($T$2,0,0,ROW()-1,14),ROW()-1,FALSE))</x:f>
        <x:v>0.73204499999999995</x:v>
      </x:c>
      <x:c r="T938">
        <x:f>2.288618</x:f>
        <x:v>2.288618</x:v>
      </x:c>
      <x:c r="U938">
        <x:f>0.13932</x:f>
        <x:v>0.13932</x:v>
      </x:c>
      <x:c r="V938">
        <x:f>3.7559</x:f>
        <x:v>3.7559</x:v>
      </x:c>
      <x:c r="W938">
        <x:f>-2.44716</x:f>
        <x:v>-2.4471599999999998</x:v>
      </x:c>
      <x:c r="X938">
        <x:f>6.940093</x:f>
        <x:v>6.9400930000000001</x:v>
      </x:c>
      <x:c r="Y938">
        <x:f>2.583514</x:f>
        <x:v>2.5835140000000001</x:v>
      </x:c>
      <x:c r="Z938">
        <x:f>0.540567</x:f>
        <x:v>0.54056700000000002</x:v>
      </x:c>
      <x:c r="AA938">
        <x:f>0</x:f>
        <x:v>0</x:v>
      </x:c>
      <x:c r="AB938">
        <x:f>-1.036614</x:f>
        <x:v>-1.0366139999999999</x:v>
      </x:c>
      <x:c r="AC938">
        <x:f>0</x:f>
        <x:v>0</x:v>
      </x:c>
      <x:c r="AD938">
        <x:f>0</x:f>
        <x:v>0</x:v>
      </x:c>
      <x:c r="AE938">
        <x:f>0.076233</x:f>
        <x:v>7.6232999999999995E-2</x:v>
      </x:c>
      <x:c r="AF938">
        <x:f>1.067396</x:f>
        <x:v>1.067396</x:v>
      </x:c>
      <x:c r="AG938">
        <x:f>0.732045</x:f>
        <x:v>0.73204499999999995</x:v>
      </x:c>
    </x:row>
    <x:row r="939" spans="1:33" x14ac:dyDescent="0.25">
      <x:c r="A939" t="str">
        <x:f>"            First Trust SkyBridge Crypto I"</x:f>
        <x:v xml:space="preserve">            First Trust SkyBridge Crypto I</x:v>
      </x:c>
      <x:c r="B939" t="str">
        <x:f>"CRPT US Equity"</x:f>
        <x:v>CRPT US Equity</x:v>
      </x:c>
      <x:c r="E939" t="str">
        <x:f t="shared" si="39"/>
        <x:v>Expression</x:v>
      </x:c>
      <x:c r="F939">
        <x:f ca="1">IF(AND($B$1012=1,LEN($F$1916)&gt;0),$F$1916,HLOOKUP(INDIRECT(ADDRESS(2,COLUMN())),OFFSET($T$2,0,0,ROW()-1,14),ROW()-1,FALSE))</x:f>
        <x:v>0</x:v>
      </x:c>
      <x:c r="G939">
        <x:f ca="1">IF(AND($B$1012=1,LEN($G$1916)&gt;0),$G$1916,HLOOKUP(INDIRECT(ADDRESS(2,COLUMN())),OFFSET($T$2,0,0,ROW()-1,14),ROW()-1,FALSE))</x:f>
        <x:v>0</x:v>
      </x:c>
      <x:c r="H939">
        <x:f ca="1">IF(AND($B$1012=1,LEN($H$1916)&gt;0),$H$1916,HLOOKUP(INDIRECT(ADDRESS(2,COLUMN())),OFFSET($T$2,0,0,ROW()-1,14),ROW()-1,FALSE))</x:f>
        <x:v>0</x:v>
      </x:c>
      <x:c r="I939">
        <x:f ca="1">IF(AND($B$1012=1,LEN($I$1916)&gt;0),$I$1916,HLOOKUP(INDIRECT(ADDRESS(2,COLUMN())),OFFSET($T$2,0,0,ROW()-1,14),ROW()-1,FALSE))</x:f>
        <x:v>0</x:v>
      </x:c>
      <x:c r="J939">
        <x:f ca="1">IF(AND($B$1012=1,LEN($J$1916)&gt;0),$J$1916,HLOOKUP(INDIRECT(ADDRESS(2,COLUMN())),OFFSET($T$2,0,0,ROW()-1,14),ROW()-1,FALSE))</x:f>
        <x:v>0.371</x:v>
      </x:c>
      <x:c r="K939">
        <x:f ca="1">IF(AND($B$1012=1,LEN($K$1916)&gt;0),$K$1916,HLOOKUP(INDIRECT(ADDRESS(2,COLUMN())),OFFSET($T$2,0,0,ROW()-1,14),ROW()-1,FALSE))</x:f>
        <x:v>0</x:v>
      </x:c>
      <x:c r="L939">
        <x:f ca="1">IF(AND($B$1012=1,LEN($L$1916)&gt;0),$L$1916,HLOOKUP(INDIRECT(ADDRESS(2,COLUMN())),OFFSET($T$2,0,0,ROW()-1,14),ROW()-1,FALSE))</x:f>
        <x:v>0</x:v>
      </x:c>
      <x:c r="M939">
        <x:f ca="1">IF(AND($B$1012=1,LEN($M$1916)&gt;0),$M$1916,HLOOKUP(INDIRECT(ADDRESS(2,COLUMN())),OFFSET($T$2,0,0,ROW()-1,14),ROW()-1,FALSE))</x:f>
        <x:v>-0.96599999999999997</x:v>
      </x:c>
      <x:c r="N939">
        <x:f ca="1">IF(AND($B$1012=1,LEN($N$1916)&gt;0),$N$1916,HLOOKUP(INDIRECT(ADDRESS(2,COLUMN())),OFFSET($T$2,0,0,ROW()-1,14),ROW()-1,FALSE))</x:f>
        <x:v>-0.45</x:v>
      </x:c>
      <x:c r="O939">
        <x:f ca="1">IF(AND($B$1012=1,LEN($O$1916)&gt;0),$O$1916,HLOOKUP(INDIRECT(ADDRESS(2,COLUMN())),OFFSET($T$2,0,0,ROW()-1,14),ROW()-1,FALSE))</x:f>
        <x:v>-0.46</x:v>
      </x:c>
      <x:c r="P939">
        <x:f ca="1">IF(AND($B$1012=1,LEN($P$1916)&gt;0),$P$1916,HLOOKUP(INDIRECT(ADDRESS(2,COLUMN())),OFFSET($T$2,0,0,ROW()-1,14),ROW()-1,FALSE))</x:f>
        <x:v>-1.6559999999999999</x:v>
      </x:c>
      <x:c r="Q939">
        <x:f ca="1">IF(AND($B$1012=1,LEN($Q$1916)&gt;0),$Q$1916,HLOOKUP(INDIRECT(ADDRESS(2,COLUMN())),OFFSET($T$2,0,0,ROW()-1,14),ROW()-1,FALSE))</x:f>
        <x:v>0</x:v>
      </x:c>
      <x:c r="R939">
        <x:f ca="1">IF(AND($B$1012=1,LEN($R$1916)&gt;0),$R$1916,HLOOKUP(INDIRECT(ADDRESS(2,COLUMN())),OFFSET($T$2,0,0,ROW()-1,14),ROW()-1,FALSE))</x:f>
        <x:v>0.93684900000000004</x:v>
      </x:c>
      <x:c r="S939">
        <x:f ca="1">IF(AND($B$1012=1,LEN($S$1916)&gt;0),$S$1916,HLOOKUP(INDIRECT(ADDRESS(2,COLUMN())),OFFSET($T$2,0,0,ROW()-1,14),ROW()-1,FALSE))</x:f>
        <x:v>-0.88953800000000005</x:v>
      </x:c>
      <x:c r="T939">
        <x:f>0</x:f>
        <x:v>0</x:v>
      </x:c>
      <x:c r="U939">
        <x:f>0</x:f>
        <x:v>0</x:v>
      </x:c>
      <x:c r="V939">
        <x:f>0</x:f>
        <x:v>0</x:v>
      </x:c>
      <x:c r="W939">
        <x:f>0</x:f>
        <x:v>0</x:v>
      </x:c>
      <x:c r="X939">
        <x:f>0.371</x:f>
        <x:v>0.371</x:v>
      </x:c>
      <x:c r="Y939">
        <x:f>0</x:f>
        <x:v>0</x:v>
      </x:c>
      <x:c r="Z939">
        <x:f>0</x:f>
        <x:v>0</x:v>
      </x:c>
      <x:c r="AA939">
        <x:f>-0.966</x:f>
        <x:v>-0.96599999999999997</x:v>
      </x:c>
      <x:c r="AB939">
        <x:f>-0.45</x:f>
        <x:v>-0.45</x:v>
      </x:c>
      <x:c r="AC939">
        <x:f>-0.46</x:f>
        <x:v>-0.46</x:v>
      </x:c>
      <x:c r="AD939">
        <x:f>-1.656</x:f>
        <x:v>-1.6559999999999999</x:v>
      </x:c>
      <x:c r="AE939">
        <x:f>0</x:f>
        <x:v>0</x:v>
      </x:c>
      <x:c r="AF939">
        <x:f>0.936849</x:f>
        <x:v>0.93684900000000004</x:v>
      </x:c>
      <x:c r="AG939">
        <x:f>-0.889538</x:f>
        <x:v>-0.88953800000000005</x:v>
      </x:c>
    </x:row>
    <x:row r="940" spans="1:33" x14ac:dyDescent="0.25">
      <x:c r="A940" t="str">
        <x:f>"            Volt Crypto Industry and Equit"</x:f>
        <x:v xml:space="preserve">            Volt Crypto Industry and Equit</x:v>
      </x:c>
      <x:c r="B940" t="str">
        <x:f>"BTCR US Equity"</x:f>
        <x:v>BTCR US Equity</x:v>
      </x:c>
      <x:c r="E940" t="str">
        <x:f t="shared" si="39"/>
        <x:v>Expression</x:v>
      </x:c>
      <x:c r="F940" t="str">
        <x:f ca="1">IF(AND($B$1012=1,LEN($F$1917)&gt;0),$F$1917,HLOOKUP(INDIRECT(ADDRESS(2,COLUMN())),OFFSET($T$2,0,0,ROW()-1,14),ROW()-1,FALSE))</x:f>
        <x:v/>
      </x:c>
      <x:c r="G940" t="str">
        <x:f ca="1">IF(AND($B$1012=1,LEN($G$1917)&gt;0),$G$1917,HLOOKUP(INDIRECT(ADDRESS(2,COLUMN())),OFFSET($T$2,0,0,ROW()-1,14),ROW()-1,FALSE))</x:f>
        <x:v/>
      </x:c>
      <x:c r="H940" t="str">
        <x:f ca="1">IF(AND($B$1012=1,LEN($H$1917)&gt;0),$H$1917,HLOOKUP(INDIRECT(ADDRESS(2,COLUMN())),OFFSET($T$2,0,0,ROW()-1,14),ROW()-1,FALSE))</x:f>
        <x:v/>
      </x:c>
      <x:c r="I940" t="str">
        <x:f ca="1">IF(AND($B$1012=1,LEN($I$1917)&gt;0),$I$1917,HLOOKUP(INDIRECT(ADDRESS(2,COLUMN())),OFFSET($T$2,0,0,ROW()-1,14),ROW()-1,FALSE))</x:f>
        <x:v/>
      </x:c>
      <x:c r="J940" t="str">
        <x:f ca="1">IF(AND($B$1012=1,LEN($J$1917)&gt;0),$J$1917,HLOOKUP(INDIRECT(ADDRESS(2,COLUMN())),OFFSET($T$2,0,0,ROW()-1,14),ROW()-1,FALSE))</x:f>
        <x:v/>
      </x:c>
      <x:c r="K940" t="str">
        <x:f ca="1">IF(AND($B$1012=1,LEN($K$1917)&gt;0),$K$1917,HLOOKUP(INDIRECT(ADDRESS(2,COLUMN())),OFFSET($T$2,0,0,ROW()-1,14),ROW()-1,FALSE))</x:f>
        <x:v/>
      </x:c>
      <x:c r="L940" t="str">
        <x:f ca="1">IF(AND($B$1012=1,LEN($L$1917)&gt;0),$L$1917,HLOOKUP(INDIRECT(ADDRESS(2,COLUMN())),OFFSET($T$2,0,0,ROW()-1,14),ROW()-1,FALSE))</x:f>
        <x:v/>
      </x:c>
      <x:c r="M940" t="str">
        <x:f ca="1">IF(AND($B$1012=1,LEN($M$1917)&gt;0),$M$1917,HLOOKUP(INDIRECT(ADDRESS(2,COLUMN())),OFFSET($T$2,0,0,ROW()-1,14),ROW()-1,FALSE))</x:f>
        <x:v/>
      </x:c>
      <x:c r="N940" t="str">
        <x:f ca="1">IF(AND($B$1012=1,LEN($N$1917)&gt;0),$N$1917,HLOOKUP(INDIRECT(ADDRESS(2,COLUMN())),OFFSET($T$2,0,0,ROW()-1,14),ROW()-1,FALSE))</x:f>
        <x:v/>
      </x:c>
      <x:c r="O940" t="str">
        <x:f ca="1">IF(AND($B$1012=1,LEN($O$1917)&gt;0),$O$1917,HLOOKUP(INDIRECT(ADDRESS(2,COLUMN())),OFFSET($T$2,0,0,ROW()-1,14),ROW()-1,FALSE))</x:f>
        <x:v/>
      </x:c>
      <x:c r="P940">
        <x:f ca="1">IF(AND($B$1012=1,LEN($P$1917)&gt;0),$P$1917,HLOOKUP(INDIRECT(ADDRESS(2,COLUMN())),OFFSET($T$2,0,0,ROW()-1,14),ROW()-1,FALSE))</x:f>
        <x:v>0</x:v>
      </x:c>
      <x:c r="Q940">
        <x:f ca="1">IF(AND($B$1012=1,LEN($Q$1917)&gt;0),$Q$1917,HLOOKUP(INDIRECT(ADDRESS(2,COLUMN())),OFFSET($T$2,0,0,ROW()-1,14),ROW()-1,FALSE))</x:f>
        <x:v>0</x:v>
      </x:c>
      <x:c r="R940">
        <x:f ca="1">IF(AND($B$1012=1,LEN($R$1917)&gt;0),$R$1917,HLOOKUP(INDIRECT(ADDRESS(2,COLUMN())),OFFSET($T$2,0,0,ROW()-1,14),ROW()-1,FALSE))</x:f>
        <x:v>0</x:v>
      </x:c>
      <x:c r="S940">
        <x:f ca="1">IF(AND($B$1012=1,LEN($S$1917)&gt;0),$S$1917,HLOOKUP(INDIRECT(ADDRESS(2,COLUMN())),OFFSET($T$2,0,0,ROW()-1,14),ROW()-1,FALSE))</x:f>
        <x:v>0</x:v>
      </x:c>
      <x:c r="T940" t="str">
        <x:f>""</x:f>
        <x:v/>
      </x:c>
      <x:c r="U940" t="str">
        <x:f>""</x:f>
        <x:v/>
      </x:c>
      <x:c r="V940" t="str">
        <x:f>""</x:f>
        <x:v/>
      </x:c>
      <x:c r="W940" t="str">
        <x:f>""</x:f>
        <x:v/>
      </x:c>
      <x:c r="X940" t="str">
        <x:f>""</x:f>
        <x:v/>
      </x:c>
      <x:c r="Y940" t="str">
        <x:f>""</x:f>
        <x:v/>
      </x:c>
      <x:c r="Z940" t="str">
        <x:f>""</x:f>
        <x:v/>
      </x:c>
      <x:c r="AA940" t="str">
        <x:f>""</x:f>
        <x:v/>
      </x:c>
      <x:c r="AB940" t="str">
        <x:f>""</x:f>
        <x:v/>
      </x:c>
      <x:c r="AC940" t="str">
        <x:f>""</x:f>
        <x:v/>
      </x:c>
      <x:c r="AD940">
        <x:f>0</x:f>
        <x:v>0</x:v>
      </x:c>
      <x:c r="AE940">
        <x:f>0</x:f>
        <x:v>0</x:v>
      </x:c>
      <x:c r="AF940">
        <x:f>0</x:f>
        <x:v>0</x:v>
      </x:c>
      <x:c r="AG940">
        <x:f>0</x:f>
        <x:v>0</x:v>
      </x:c>
    </x:row>
    <x:row r="941" spans="1:33" x14ac:dyDescent="0.25">
      <x:c r="A941" t="str">
        <x:f>"            Viridi Bitcoin Miners ETF"</x:f>
        <x:v xml:space="preserve">            Viridi Bitcoin Miners ETF</x:v>
      </x:c>
      <x:c r="B941" t="str">
        <x:f>"RIGZ US Equity"</x:f>
        <x:v>RIGZ US Equity</x:v>
      </x:c>
      <x:c r="E941" t="str">
        <x:f t="shared" si="39"/>
        <x:v>Expression</x:v>
      </x:c>
      <x:c r="F941" t="str">
        <x:f ca="1">IF(AND($B$1012=1,LEN($F$1918)&gt;0),$F$1918,HLOOKUP(INDIRECT(ADDRESS(2,COLUMN())),OFFSET($T$2,0,0,ROW()-1,14),ROW()-1,FALSE))</x:f>
        <x:v/>
      </x:c>
      <x:c r="G941" t="str">
        <x:f ca="1">IF(AND($B$1012=1,LEN($G$1918)&gt;0),$G$1918,HLOOKUP(INDIRECT(ADDRESS(2,COLUMN())),OFFSET($T$2,0,0,ROW()-1,14),ROW()-1,FALSE))</x:f>
        <x:v/>
      </x:c>
      <x:c r="H941" t="str">
        <x:f ca="1">IF(AND($B$1012=1,LEN($H$1918)&gt;0),$H$1918,HLOOKUP(INDIRECT(ADDRESS(2,COLUMN())),OFFSET($T$2,0,0,ROW()-1,14),ROW()-1,FALSE))</x:f>
        <x:v/>
      </x:c>
      <x:c r="I941" t="str">
        <x:f ca="1">IF(AND($B$1012=1,LEN($I$1918)&gt;0),$I$1918,HLOOKUP(INDIRECT(ADDRESS(2,COLUMN())),OFFSET($T$2,0,0,ROW()-1,14),ROW()-1,FALSE))</x:f>
        <x:v/>
      </x:c>
      <x:c r="J941" t="str">
        <x:f ca="1">IF(AND($B$1012=1,LEN($J$1918)&gt;0),$J$1918,HLOOKUP(INDIRECT(ADDRESS(2,COLUMN())),OFFSET($T$2,0,0,ROW()-1,14),ROW()-1,FALSE))</x:f>
        <x:v/>
      </x:c>
      <x:c r="K941" t="str">
        <x:f ca="1">IF(AND($B$1012=1,LEN($K$1918)&gt;0),$K$1918,HLOOKUP(INDIRECT(ADDRESS(2,COLUMN())),OFFSET($T$2,0,0,ROW()-1,14),ROW()-1,FALSE))</x:f>
        <x:v/>
      </x:c>
      <x:c r="L941" t="str">
        <x:f ca="1">IF(AND($B$1012=1,LEN($L$1918)&gt;0),$L$1918,HLOOKUP(INDIRECT(ADDRESS(2,COLUMN())),OFFSET($T$2,0,0,ROW()-1,14),ROW()-1,FALSE))</x:f>
        <x:v/>
      </x:c>
      <x:c r="M941" t="str">
        <x:f ca="1">IF(AND($B$1012=1,LEN($M$1918)&gt;0),$M$1918,HLOOKUP(INDIRECT(ADDRESS(2,COLUMN())),OFFSET($T$2,0,0,ROW()-1,14),ROW()-1,FALSE))</x:f>
        <x:v/>
      </x:c>
      <x:c r="N941" t="str">
        <x:f ca="1">IF(AND($B$1012=1,LEN($N$1918)&gt;0),$N$1918,HLOOKUP(INDIRECT(ADDRESS(2,COLUMN())),OFFSET($T$2,0,0,ROW()-1,14),ROW()-1,FALSE))</x:f>
        <x:v/>
      </x:c>
      <x:c r="O941" t="str">
        <x:f ca="1">IF(AND($B$1012=1,LEN($O$1918)&gt;0),$O$1918,HLOOKUP(INDIRECT(ADDRESS(2,COLUMN())),OFFSET($T$2,0,0,ROW()-1,14),ROW()-1,FALSE))</x:f>
        <x:v/>
      </x:c>
      <x:c r="P941">
        <x:f ca="1">IF(AND($B$1012=1,LEN($P$1918)&gt;0),$P$1918,HLOOKUP(INDIRECT(ADDRESS(2,COLUMN())),OFFSET($T$2,0,0,ROW()-1,14),ROW()-1,FALSE))</x:f>
        <x:v>0</x:v>
      </x:c>
      <x:c r="Q941">
        <x:f ca="1">IF(AND($B$1012=1,LEN($Q$1918)&gt;0),$Q$1918,HLOOKUP(INDIRECT(ADDRESS(2,COLUMN())),OFFSET($T$2,0,0,ROW()-1,14),ROW()-1,FALSE))</x:f>
        <x:v>0</x:v>
      </x:c>
      <x:c r="R941">
        <x:f ca="1">IF(AND($B$1012=1,LEN($R$1918)&gt;0),$R$1918,HLOOKUP(INDIRECT(ADDRESS(2,COLUMN())),OFFSET($T$2,0,0,ROW()-1,14),ROW()-1,FALSE))</x:f>
        <x:v>-0.127467</x:v>
      </x:c>
      <x:c r="S941">
        <x:f ca="1">IF(AND($B$1012=1,LEN($S$1918)&gt;0),$S$1918,HLOOKUP(INDIRECT(ADDRESS(2,COLUMN())),OFFSET($T$2,0,0,ROW()-1,14),ROW()-1,FALSE))</x:f>
        <x:v>0</x:v>
      </x:c>
      <x:c r="T941" t="str">
        <x:f>""</x:f>
        <x:v/>
      </x:c>
      <x:c r="U941" t="str">
        <x:f>""</x:f>
        <x:v/>
      </x:c>
      <x:c r="V941" t="str">
        <x:f>""</x:f>
        <x:v/>
      </x:c>
      <x:c r="W941" t="str">
        <x:f>""</x:f>
        <x:v/>
      </x:c>
      <x:c r="X941" t="str">
        <x:f>""</x:f>
        <x:v/>
      </x:c>
      <x:c r="Y941" t="str">
        <x:f>""</x:f>
        <x:v/>
      </x:c>
      <x:c r="Z941" t="str">
        <x:f>""</x:f>
        <x:v/>
      </x:c>
      <x:c r="AA941" t="str">
        <x:f>""</x:f>
        <x:v/>
      </x:c>
      <x:c r="AB941" t="str">
        <x:f>""</x:f>
        <x:v/>
      </x:c>
      <x:c r="AC941" t="str">
        <x:f>""</x:f>
        <x:v/>
      </x:c>
      <x:c r="AD941">
        <x:f>0</x:f>
        <x:v>0</x:v>
      </x:c>
      <x:c r="AE941">
        <x:f>0</x:f>
        <x:v>0</x:v>
      </x:c>
      <x:c r="AF941">
        <x:f>-0.127467</x:f>
        <x:v>-0.127467</x:v>
      </x:c>
      <x:c r="AG941">
        <x:f>0</x:f>
        <x:v>0</x:v>
      </x:c>
    </x:row>
    <x:row r="942" spans="1:33" x14ac:dyDescent="0.25">
      <x:c r="A942" t="str">
        <x:f>"            Invesco Alerian Galaxy Blockch"</x:f>
        <x:v xml:space="preserve">            Invesco Alerian Galaxy Blockch</x:v>
      </x:c>
      <x:c r="B942" t="str">
        <x:f>"BLKC US Equity"</x:f>
        <x:v>BLKC US Equity</x:v>
      </x:c>
      <x:c r="E942" t="str">
        <x:f t="shared" si="39"/>
        <x:v>Expression</x:v>
      </x:c>
      <x:c r="F942">
        <x:f ca="1">IF(AND($B$1012=1,LEN($F$1919)&gt;0),$F$1919,HLOOKUP(INDIRECT(ADDRESS(2,COLUMN())),OFFSET($T$2,0,0,ROW()-1,14),ROW()-1,FALSE))</x:f>
        <x:v>0</x:v>
      </x:c>
      <x:c r="G942">
        <x:f ca="1">IF(AND($B$1012=1,LEN($G$1919)&gt;0),$G$1919,HLOOKUP(INDIRECT(ADDRESS(2,COLUMN())),OFFSET($T$2,0,0,ROW()-1,14),ROW()-1,FALSE))</x:f>
        <x:v>0</x:v>
      </x:c>
      <x:c r="H942">
        <x:f ca="1">IF(AND($B$1012=1,LEN($H$1919)&gt;0),$H$1919,HLOOKUP(INDIRECT(ADDRESS(2,COLUMN())),OFFSET($T$2,0,0,ROW()-1,14),ROW()-1,FALSE))</x:f>
        <x:v>0</x:v>
      </x:c>
      <x:c r="I942">
        <x:f ca="1">IF(AND($B$1012=1,LEN($I$1919)&gt;0),$I$1919,HLOOKUP(INDIRECT(ADDRESS(2,COLUMN())),OFFSET($T$2,0,0,ROW()-1,14),ROW()-1,FALSE))</x:f>
        <x:v>0</x:v>
      </x:c>
      <x:c r="J942">
        <x:f ca="1">IF(AND($B$1012=1,LEN($J$1919)&gt;0),$J$1919,HLOOKUP(INDIRECT(ADDRESS(2,COLUMN())),OFFSET($T$2,0,0,ROW()-1,14),ROW()-1,FALSE))</x:f>
        <x:v>0</x:v>
      </x:c>
      <x:c r="K942">
        <x:f ca="1">IF(AND($B$1012=1,LEN($K$1919)&gt;0),$K$1919,HLOOKUP(INDIRECT(ADDRESS(2,COLUMN())),OFFSET($T$2,0,0,ROW()-1,14),ROW()-1,FALSE))</x:f>
        <x:v>0</x:v>
      </x:c>
      <x:c r="L942">
        <x:f ca="1">IF(AND($B$1012=1,LEN($L$1919)&gt;0),$L$1919,HLOOKUP(INDIRECT(ADDRESS(2,COLUMN())),OFFSET($T$2,0,0,ROW()-1,14),ROW()-1,FALSE))</x:f>
        <x:v>0</x:v>
      </x:c>
      <x:c r="M942">
        <x:f ca="1">IF(AND($B$1012=1,LEN($M$1919)&gt;0),$M$1919,HLOOKUP(INDIRECT(ADDRESS(2,COLUMN())),OFFSET($T$2,0,0,ROW()-1,14),ROW()-1,FALSE))</x:f>
        <x:v>0</x:v>
      </x:c>
      <x:c r="N942">
        <x:f ca="1">IF(AND($B$1012=1,LEN($N$1919)&gt;0),$N$1919,HLOOKUP(INDIRECT(ADDRESS(2,COLUMN())),OFFSET($T$2,0,0,ROW()-1,14),ROW()-1,FALSE))</x:f>
        <x:v>0</x:v>
      </x:c>
      <x:c r="O942">
        <x:f ca="1">IF(AND($B$1012=1,LEN($O$1919)&gt;0),$O$1919,HLOOKUP(INDIRECT(ADDRESS(2,COLUMN())),OFFSET($T$2,0,0,ROW()-1,14),ROW()-1,FALSE))</x:f>
        <x:v>0</x:v>
      </x:c>
      <x:c r="P942">
        <x:f ca="1">IF(AND($B$1012=1,LEN($P$1919)&gt;0),$P$1919,HLOOKUP(INDIRECT(ADDRESS(2,COLUMN())),OFFSET($T$2,0,0,ROW()-1,14),ROW()-1,FALSE))</x:f>
        <x:v>0</x:v>
      </x:c>
      <x:c r="Q942">
        <x:f ca="1">IF(AND($B$1012=1,LEN($Q$1919)&gt;0),$Q$1919,HLOOKUP(INDIRECT(ADDRESS(2,COLUMN())),OFFSET($T$2,0,0,ROW()-1,14),ROW()-1,FALSE))</x:f>
        <x:v>0</x:v>
      </x:c>
      <x:c r="R942">
        <x:f ca="1">IF(AND($B$1012=1,LEN($R$1919)&gt;0),$R$1919,HLOOKUP(INDIRECT(ADDRESS(2,COLUMN())),OFFSET($T$2,0,0,ROW()-1,14),ROW()-1,FALSE))</x:f>
        <x:v>0</x:v>
      </x:c>
      <x:c r="S942">
        <x:f ca="1">IF(AND($B$1012=1,LEN($S$1919)&gt;0),$S$1919,HLOOKUP(INDIRECT(ADDRESS(2,COLUMN())),OFFSET($T$2,0,0,ROW()-1,14),ROW()-1,FALSE))</x:f>
        <x:v>0</x:v>
      </x:c>
      <x:c r="T942">
        <x:f>0</x:f>
        <x:v>0</x:v>
      </x:c>
      <x:c r="U942">
        <x:f>0</x:f>
        <x:v>0</x:v>
      </x:c>
      <x:c r="V942">
        <x:f>0</x:f>
        <x:v>0</x:v>
      </x:c>
      <x:c r="W942">
        <x:f>0</x:f>
        <x:v>0</x:v>
      </x:c>
      <x:c r="X942">
        <x:f>0</x:f>
        <x:v>0</x:v>
      </x:c>
      <x:c r="Y942">
        <x:f>0</x:f>
        <x:v>0</x:v>
      </x:c>
      <x:c r="Z942">
        <x:f>0</x:f>
        <x:v>0</x:v>
      </x:c>
      <x:c r="AA942">
        <x:f>0</x:f>
        <x:v>0</x:v>
      </x:c>
      <x:c r="AB942">
        <x:f>0</x:f>
        <x:v>0</x:v>
      </x:c>
      <x:c r="AC942">
        <x:f>0</x:f>
        <x:v>0</x:v>
      </x:c>
      <x:c r="AD942">
        <x:f>0</x:f>
        <x:v>0</x:v>
      </x:c>
      <x:c r="AE942">
        <x:f>0</x:f>
        <x:v>0</x:v>
      </x:c>
      <x:c r="AF942">
        <x:f>0</x:f>
        <x:v>0</x:v>
      </x:c>
      <x:c r="AG942">
        <x:f>0</x:f>
        <x:v>0</x:v>
      </x:c>
    </x:row>
    <x:row r="943" spans="1:33" x14ac:dyDescent="0.25">
      <x:c r="A943" t="str">
        <x:f>"            Global X Blockchain &amp; Bitcoin"</x:f>
        <x:v xml:space="preserve">            Global X Blockchain &amp; Bitcoin</x:v>
      </x:c>
      <x:c r="B943" t="str">
        <x:f>"BITS US Equity"</x:f>
        <x:v>BITS US Equity</x:v>
      </x:c>
      <x:c r="E943" t="str">
        <x:f t="shared" si="39"/>
        <x:v>Expression</x:v>
      </x:c>
      <x:c r="F943">
        <x:f ca="1">IF(AND($B$1012=1,LEN($F$1920)&gt;0),$F$1920,HLOOKUP(INDIRECT(ADDRESS(2,COLUMN())),OFFSET($T$2,0,0,ROW()-1,14),ROW()-1,FALSE))</x:f>
        <x:v>0</x:v>
      </x:c>
      <x:c r="G943">
        <x:f ca="1">IF(AND($B$1012=1,LEN($G$1920)&gt;0),$G$1920,HLOOKUP(INDIRECT(ADDRESS(2,COLUMN())),OFFSET($T$2,0,0,ROW()-1,14),ROW()-1,FALSE))</x:f>
        <x:v>0.3795</x:v>
      </x:c>
      <x:c r="H943">
        <x:f ca="1">IF(AND($B$1012=1,LEN($H$1920)&gt;0),$H$1920,HLOOKUP(INDIRECT(ADDRESS(2,COLUMN())),OFFSET($T$2,0,0,ROW()-1,14),ROW()-1,FALSE))</x:f>
        <x:v>-0.34250000000000003</x:v>
      </x:c>
      <x:c r="I943">
        <x:f ca="1">IF(AND($B$1012=1,LEN($I$1920)&gt;0),$I$1920,HLOOKUP(INDIRECT(ADDRESS(2,COLUMN())),OFFSET($T$2,0,0,ROW()-1,14),ROW()-1,FALSE))</x:f>
        <x:v>0</x:v>
      </x:c>
      <x:c r="J943">
        <x:f ca="1">IF(AND($B$1012=1,LEN($J$1920)&gt;0),$J$1920,HLOOKUP(INDIRECT(ADDRESS(2,COLUMN())),OFFSET($T$2,0,0,ROW()-1,14),ROW()-1,FALSE))</x:f>
        <x:v>1.41E-2</x:v>
      </x:c>
      <x:c r="K943">
        <x:f ca="1">IF(AND($B$1012=1,LEN($K$1920)&gt;0),$K$1920,HLOOKUP(INDIRECT(ADDRESS(2,COLUMN())),OFFSET($T$2,0,0,ROW()-1,14),ROW()-1,FALSE))</x:f>
        <x:v>0.7954</x:v>
      </x:c>
      <x:c r="L943">
        <x:f ca="1">IF(AND($B$1012=1,LEN($L$1920)&gt;0),$L$1920,HLOOKUP(INDIRECT(ADDRESS(2,COLUMN())),OFFSET($T$2,0,0,ROW()-1,14),ROW()-1,FALSE))</x:f>
        <x:v>0</x:v>
      </x:c>
      <x:c r="M943">
        <x:f ca="1">IF(AND($B$1012=1,LEN($M$1920)&gt;0),$M$1920,HLOOKUP(INDIRECT(ADDRESS(2,COLUMN())),OFFSET($T$2,0,0,ROW()-1,14),ROW()-1,FALSE))</x:f>
        <x:v>0</x:v>
      </x:c>
      <x:c r="N943">
        <x:f ca="1">IF(AND($B$1012=1,LEN($N$1920)&gt;0),$N$1920,HLOOKUP(INDIRECT(ADDRESS(2,COLUMN())),OFFSET($T$2,0,0,ROW()-1,14),ROW()-1,FALSE))</x:f>
        <x:v>-0.27629999999999999</x:v>
      </x:c>
      <x:c r="O943">
        <x:f ca="1">IF(AND($B$1012=1,LEN($O$1920)&gt;0),$O$1920,HLOOKUP(INDIRECT(ADDRESS(2,COLUMN())),OFFSET($T$2,0,0,ROW()-1,14),ROW()-1,FALSE))</x:f>
        <x:v>0</x:v>
      </x:c>
      <x:c r="P943">
        <x:f ca="1">IF(AND($B$1012=1,LEN($P$1920)&gt;0),$P$1920,HLOOKUP(INDIRECT(ADDRESS(2,COLUMN())),OFFSET($T$2,0,0,ROW()-1,14),ROW()-1,FALSE))</x:f>
        <x:v>-7.6229999999999996E-3</x:v>
      </x:c>
      <x:c r="Q943">
        <x:f ca="1">IF(AND($B$1012=1,LEN($Q$1920)&gt;0),$Q$1920,HLOOKUP(INDIRECT(ADDRESS(2,COLUMN())),OFFSET($T$2,0,0,ROW()-1,14),ROW()-1,FALSE))</x:f>
        <x:v>0.1943</x:v>
      </x:c>
      <x:c r="R943">
        <x:f ca="1">IF(AND($B$1012=1,LEN($R$1920)&gt;0),$R$1920,HLOOKUP(INDIRECT(ADDRESS(2,COLUMN())),OFFSET($T$2,0,0,ROW()-1,14),ROW()-1,FALSE))</x:f>
        <x:v>1.2577</x:v>
      </x:c>
      <x:c r="S943">
        <x:f ca="1">IF(AND($B$1012=1,LEN($S$1920)&gt;0),$S$1920,HLOOKUP(INDIRECT(ADDRESS(2,COLUMN())),OFFSET($T$2,0,0,ROW()-1,14),ROW()-1,FALSE))</x:f>
        <x:v>0.14280000000000001</x:v>
      </x:c>
      <x:c r="T943">
        <x:f>0</x:f>
        <x:v>0</x:v>
      </x:c>
      <x:c r="U943">
        <x:f>0.3795</x:f>
        <x:v>0.3795</x:v>
      </x:c>
      <x:c r="V943">
        <x:f>-0.3425</x:f>
        <x:v>-0.34250000000000003</x:v>
      </x:c>
      <x:c r="W943">
        <x:f>0</x:f>
        <x:v>0</x:v>
      </x:c>
      <x:c r="X943">
        <x:f>0.0141</x:f>
        <x:v>1.41E-2</x:v>
      </x:c>
      <x:c r="Y943">
        <x:f>0.7954</x:f>
        <x:v>0.7954</x:v>
      </x:c>
      <x:c r="Z943">
        <x:f>0</x:f>
        <x:v>0</x:v>
      </x:c>
      <x:c r="AA943">
        <x:f>0</x:f>
        <x:v>0</x:v>
      </x:c>
      <x:c r="AB943">
        <x:f>-0.2763</x:f>
        <x:v>-0.27629999999999999</x:v>
      </x:c>
      <x:c r="AC943">
        <x:f>0</x:f>
        <x:v>0</x:v>
      </x:c>
      <x:c r="AD943">
        <x:f>-0.007623</x:f>
        <x:v>-7.6229999999999996E-3</x:v>
      </x:c>
      <x:c r="AE943">
        <x:f>0.1943</x:f>
        <x:v>0.1943</x:v>
      </x:c>
      <x:c r="AF943">
        <x:f>1.2577</x:f>
        <x:v>1.2577</x:v>
      </x:c>
      <x:c r="AG943">
        <x:f>0.1428</x:f>
        <x:v>0.14280000000000001</x:v>
      </x:c>
    </x:row>
    <x:row r="944" spans="1:33" x14ac:dyDescent="0.25">
      <x:c r="A944" t="str">
        <x:f>"            Invesco Alerian Galaxy Crypto Economy ETF"</x:f>
        <x:v xml:space="preserve">            Invesco Alerian Galaxy Crypto Economy ETF</x:v>
      </x:c>
      <x:c r="B944" t="str">
        <x:f>"SATO US Equity"</x:f>
        <x:v>SATO US Equity</x:v>
      </x:c>
      <x:c r="E944" t="str">
        <x:f t="shared" si="39"/>
        <x:v>Expression</x:v>
      </x:c>
      <x:c r="F944">
        <x:f ca="1">IF(AND($B$1012=1,LEN($F$1921)&gt;0),$F$1921,HLOOKUP(INDIRECT(ADDRESS(2,COLUMN())),OFFSET($T$2,0,0,ROW()-1,14),ROW()-1,FALSE))</x:f>
        <x:v>0</x:v>
      </x:c>
      <x:c r="G944">
        <x:f ca="1">IF(AND($B$1012=1,LEN($G$1921)&gt;0),$G$1921,HLOOKUP(INDIRECT(ADDRESS(2,COLUMN())),OFFSET($T$2,0,0,ROW()-1,14),ROW()-1,FALSE))</x:f>
        <x:v>0</x:v>
      </x:c>
      <x:c r="H944">
        <x:f ca="1">IF(AND($B$1012=1,LEN($H$1921)&gt;0),$H$1921,HLOOKUP(INDIRECT(ADDRESS(2,COLUMN())),OFFSET($T$2,0,0,ROW()-1,14),ROW()-1,FALSE))</x:f>
        <x:v>0.42017900000000002</x:v>
      </x:c>
      <x:c r="I944">
        <x:f ca="1">IF(AND($B$1012=1,LEN($I$1921)&gt;0),$I$1921,HLOOKUP(INDIRECT(ADDRESS(2,COLUMN())),OFFSET($T$2,0,0,ROW()-1,14),ROW()-1,FALSE))</x:f>
        <x:v>0</x:v>
      </x:c>
      <x:c r="J944">
        <x:f ca="1">IF(AND($B$1012=1,LEN($J$1921)&gt;0),$J$1921,HLOOKUP(INDIRECT(ADDRESS(2,COLUMN())),OFFSET($T$2,0,0,ROW()-1,14),ROW()-1,FALSE))</x:f>
        <x:v>0</x:v>
      </x:c>
      <x:c r="K944">
        <x:f ca="1">IF(AND($B$1012=1,LEN($K$1921)&gt;0),$K$1921,HLOOKUP(INDIRECT(ADDRESS(2,COLUMN())),OFFSET($T$2,0,0,ROW()-1,14),ROW()-1,FALSE))</x:f>
        <x:v>0</x:v>
      </x:c>
      <x:c r="L944">
        <x:f ca="1">IF(AND($B$1012=1,LEN($L$1921)&gt;0),$L$1921,HLOOKUP(INDIRECT(ADDRESS(2,COLUMN())),OFFSET($T$2,0,0,ROW()-1,14),ROW()-1,FALSE))</x:f>
        <x:v>0</x:v>
      </x:c>
      <x:c r="M944">
        <x:f ca="1">IF(AND($B$1012=1,LEN($M$1921)&gt;0),$M$1921,HLOOKUP(INDIRECT(ADDRESS(2,COLUMN())),OFFSET($T$2,0,0,ROW()-1,14),ROW()-1,FALSE))</x:f>
        <x:v>0</x:v>
      </x:c>
      <x:c r="N944">
        <x:f ca="1">IF(AND($B$1012=1,LEN($N$1921)&gt;0),$N$1921,HLOOKUP(INDIRECT(ADDRESS(2,COLUMN())),OFFSET($T$2,0,0,ROW()-1,14),ROW()-1,FALSE))</x:f>
        <x:v>0.31468099999999999</x:v>
      </x:c>
      <x:c r="O944">
        <x:f ca="1">IF(AND($B$1012=1,LEN($O$1921)&gt;0),$O$1921,HLOOKUP(INDIRECT(ADDRESS(2,COLUMN())),OFFSET($T$2,0,0,ROW()-1,14),ROW()-1,FALSE))</x:f>
        <x:v>0</x:v>
      </x:c>
      <x:c r="P944">
        <x:f ca="1">IF(AND($B$1012=1,LEN($P$1921)&gt;0),$P$1921,HLOOKUP(INDIRECT(ADDRESS(2,COLUMN())),OFFSET($T$2,0,0,ROW()-1,14),ROW()-1,FALSE))</x:f>
        <x:v>0</x:v>
      </x:c>
      <x:c r="Q944">
        <x:f ca="1">IF(AND($B$1012=1,LEN($Q$1921)&gt;0),$Q$1921,HLOOKUP(INDIRECT(ADDRESS(2,COLUMN())),OFFSET($T$2,0,0,ROW()-1,14),ROW()-1,FALSE))</x:f>
        <x:v>0</x:v>
      </x:c>
      <x:c r="R944">
        <x:f ca="1">IF(AND($B$1012=1,LEN($R$1921)&gt;0),$R$1921,HLOOKUP(INDIRECT(ADDRESS(2,COLUMN())),OFFSET($T$2,0,0,ROW()-1,14),ROW()-1,FALSE))</x:f>
        <x:v>0</x:v>
      </x:c>
      <x:c r="S944">
        <x:f ca="1">IF(AND($B$1012=1,LEN($S$1921)&gt;0),$S$1921,HLOOKUP(INDIRECT(ADDRESS(2,COLUMN())),OFFSET($T$2,0,0,ROW()-1,14),ROW()-1,FALSE))</x:f>
        <x:v>0</x:v>
      </x:c>
      <x:c r="T944">
        <x:f>0</x:f>
        <x:v>0</x:v>
      </x:c>
      <x:c r="U944">
        <x:f>0</x:f>
        <x:v>0</x:v>
      </x:c>
      <x:c r="V944">
        <x:f>0.420179</x:f>
        <x:v>0.42017900000000002</x:v>
      </x:c>
      <x:c r="W944">
        <x:f>0</x:f>
        <x:v>0</x:v>
      </x:c>
      <x:c r="X944">
        <x:f>0</x:f>
        <x:v>0</x:v>
      </x:c>
      <x:c r="Y944">
        <x:f>0</x:f>
        <x:v>0</x:v>
      </x:c>
      <x:c r="Z944">
        <x:f>0</x:f>
        <x:v>0</x:v>
      </x:c>
      <x:c r="AA944">
        <x:f>0</x:f>
        <x:v>0</x:v>
      </x:c>
      <x:c r="AB944">
        <x:f>0.314681</x:f>
        <x:v>0.31468099999999999</x:v>
      </x:c>
      <x:c r="AC944">
        <x:f>0</x:f>
        <x:v>0</x:v>
      </x:c>
      <x:c r="AD944">
        <x:f>0</x:f>
        <x:v>0</x:v>
      </x:c>
      <x:c r="AE944">
        <x:f>0</x:f>
        <x:v>0</x:v>
      </x:c>
      <x:c r="AF944">
        <x:f>0</x:f>
        <x:v>0</x:v>
      </x:c>
      <x:c r="AG944">
        <x:f>0</x:f>
        <x:v>0</x:v>
      </x:c>
    </x:row>
    <x:row r="945" spans="1:33" x14ac:dyDescent="0.25">
      <x:c r="A945" t="str">
        <x:f>"            Defiance Digital Revolution ET"</x:f>
        <x:v xml:space="preserve">            Defiance Digital Revolution ET</x:v>
      </x:c>
      <x:c r="B945" t="str">
        <x:f>"NFTZ US Equity"</x:f>
        <x:v>NFTZ US Equity</x:v>
      </x:c>
      <x:c r="E945" t="str">
        <x:f t="shared" si="39"/>
        <x:v>Expression</x:v>
      </x:c>
      <x:c r="F945" t="str">
        <x:f ca="1">IF(AND($B$1012=1,LEN($F$1922)&gt;0),$F$1922,HLOOKUP(INDIRECT(ADDRESS(2,COLUMN())),OFFSET($T$2,0,0,ROW()-1,14),ROW()-1,FALSE))</x:f>
        <x:v/>
      </x:c>
      <x:c r="G945" t="str">
        <x:f ca="1">IF(AND($B$1012=1,LEN($G$1922)&gt;0),$G$1922,HLOOKUP(INDIRECT(ADDRESS(2,COLUMN())),OFFSET($T$2,0,0,ROW()-1,14),ROW()-1,FALSE))</x:f>
        <x:v/>
      </x:c>
      <x:c r="H945" t="str">
        <x:f ca="1">IF(AND($B$1012=1,LEN($H$1922)&gt;0),$H$1922,HLOOKUP(INDIRECT(ADDRESS(2,COLUMN())),OFFSET($T$2,0,0,ROW()-1,14),ROW()-1,FALSE))</x:f>
        <x:v/>
      </x:c>
      <x:c r="I945" t="str">
        <x:f ca="1">IF(AND($B$1012=1,LEN($I$1922)&gt;0),$I$1922,HLOOKUP(INDIRECT(ADDRESS(2,COLUMN())),OFFSET($T$2,0,0,ROW()-1,14),ROW()-1,FALSE))</x:f>
        <x:v/>
      </x:c>
      <x:c r="J945" t="str">
        <x:f ca="1">IF(AND($B$1012=1,LEN($J$1922)&gt;0),$J$1922,HLOOKUP(INDIRECT(ADDRESS(2,COLUMN())),OFFSET($T$2,0,0,ROW()-1,14),ROW()-1,FALSE))</x:f>
        <x:v/>
      </x:c>
      <x:c r="K945" t="str">
        <x:f ca="1">IF(AND($B$1012=1,LEN($K$1922)&gt;0),$K$1922,HLOOKUP(INDIRECT(ADDRESS(2,COLUMN())),OFFSET($T$2,0,0,ROW()-1,14),ROW()-1,FALSE))</x:f>
        <x:v/>
      </x:c>
      <x:c r="L945" t="str">
        <x:f ca="1">IF(AND($B$1012=1,LEN($L$1922)&gt;0),$L$1922,HLOOKUP(INDIRECT(ADDRESS(2,COLUMN())),OFFSET($T$2,0,0,ROW()-1,14),ROW()-1,FALSE))</x:f>
        <x:v/>
      </x:c>
      <x:c r="M945" t="str">
        <x:f ca="1">IF(AND($B$1012=1,LEN($M$1922)&gt;0),$M$1922,HLOOKUP(INDIRECT(ADDRESS(2,COLUMN())),OFFSET($T$2,0,0,ROW()-1,14),ROW()-1,FALSE))</x:f>
        <x:v/>
      </x:c>
      <x:c r="N945" t="str">
        <x:f ca="1">IF(AND($B$1012=1,LEN($N$1922)&gt;0),$N$1922,HLOOKUP(INDIRECT(ADDRESS(2,COLUMN())),OFFSET($T$2,0,0,ROW()-1,14),ROW()-1,FALSE))</x:f>
        <x:v/>
      </x:c>
      <x:c r="O945">
        <x:f ca="1">IF(AND($B$1012=1,LEN($O$1922)&gt;0),$O$1922,HLOOKUP(INDIRECT(ADDRESS(2,COLUMN())),OFFSET($T$2,0,0,ROW()-1,14),ROW()-1,FALSE))</x:f>
        <x:v>0</x:v>
      </x:c>
      <x:c r="P945">
        <x:f ca="1">IF(AND($B$1012=1,LEN($P$1922)&gt;0),$P$1922,HLOOKUP(INDIRECT(ADDRESS(2,COLUMN())),OFFSET($T$2,0,0,ROW()-1,14),ROW()-1,FALSE))</x:f>
        <x:v>-0.70411599999999996</x:v>
      </x:c>
      <x:c r="Q945">
        <x:f ca="1">IF(AND($B$1012=1,LEN($Q$1922)&gt;0),$Q$1922,HLOOKUP(INDIRECT(ADDRESS(2,COLUMN())),OFFSET($T$2,0,0,ROW()-1,14),ROW()-1,FALSE))</x:f>
        <x:v>0</x:v>
      </x:c>
      <x:c r="R945">
        <x:f ca="1">IF(AND($B$1012=1,LEN($R$1922)&gt;0),$R$1922,HLOOKUP(INDIRECT(ADDRESS(2,COLUMN())),OFFSET($T$2,0,0,ROW()-1,14),ROW()-1,FALSE))</x:f>
        <x:v>0</x:v>
      </x:c>
      <x:c r="S945">
        <x:f ca="1">IF(AND($B$1012=1,LEN($S$1922)&gt;0),$S$1922,HLOOKUP(INDIRECT(ADDRESS(2,COLUMN())),OFFSET($T$2,0,0,ROW()-1,14),ROW()-1,FALSE))</x:f>
        <x:v>0</x:v>
      </x:c>
      <x:c r="T945" t="str">
        <x:f>""</x:f>
        <x:v/>
      </x:c>
      <x:c r="U945" t="str">
        <x:f>""</x:f>
        <x:v/>
      </x:c>
      <x:c r="V945" t="str">
        <x:f>""</x:f>
        <x:v/>
      </x:c>
      <x:c r="W945" t="str">
        <x:f>""</x:f>
        <x:v/>
      </x:c>
      <x:c r="X945" t="str">
        <x:f>""</x:f>
        <x:v/>
      </x:c>
      <x:c r="Y945" t="str">
        <x:f>""</x:f>
        <x:v/>
      </x:c>
      <x:c r="Z945" t="str">
        <x:f>""</x:f>
        <x:v/>
      </x:c>
      <x:c r="AA945" t="str">
        <x:f>""</x:f>
        <x:v/>
      </x:c>
      <x:c r="AB945" t="str">
        <x:f>""</x:f>
        <x:v/>
      </x:c>
      <x:c r="AC945">
        <x:f>0</x:f>
        <x:v>0</x:v>
      </x:c>
      <x:c r="AD945">
        <x:f>-0.704116</x:f>
        <x:v>-0.70411599999999996</x:v>
      </x:c>
      <x:c r="AE945">
        <x:f>0</x:f>
        <x:v>0</x:v>
      </x:c>
      <x:c r="AF945">
        <x:f>0</x:f>
        <x:v>0</x:v>
      </x:c>
      <x:c r="AG945">
        <x:f>0</x:f>
        <x:v>0</x:v>
      </x:c>
    </x:row>
    <x:row r="946" spans="1:33" x14ac:dyDescent="0.25">
      <x:c r="A946" t="str">
        <x:f>"            Valkyrie Bitcoin Miners ETF"</x:f>
        <x:v xml:space="preserve">            Valkyrie Bitcoin Miners ETF</x:v>
      </x:c>
      <x:c r="B946" t="str">
        <x:f>"WGMI US Equity"</x:f>
        <x:v>WGMI US Equity</x:v>
      </x:c>
      <x:c r="E946" t="str">
        <x:f t="shared" si="39"/>
        <x:v>Expression</x:v>
      </x:c>
      <x:c r="F946">
        <x:f ca="1">IF(AND($B$1012=1,LEN($F$1923)&gt;0),$F$1923,HLOOKUP(INDIRECT(ADDRESS(2,COLUMN())),OFFSET($T$2,0,0,ROW()-1,14),ROW()-1,FALSE))</x:f>
        <x:v>1.253622</x:v>
      </x:c>
      <x:c r="G946">
        <x:f ca="1">IF(AND($B$1012=1,LEN($G$1923)&gt;0),$G$1923,HLOOKUP(INDIRECT(ADDRESS(2,COLUMN())),OFFSET($T$2,0,0,ROW()-1,14),ROW()-1,FALSE))</x:f>
        <x:v>5.7917100000000001</x:v>
      </x:c>
      <x:c r="H946">
        <x:f ca="1">IF(AND($B$1012=1,LEN($H$1923)&gt;0),$H$1923,HLOOKUP(INDIRECT(ADDRESS(2,COLUMN())),OFFSET($T$2,0,0,ROW()-1,14),ROW()-1,FALSE))</x:f>
        <x:v>-0.55081500000000005</x:v>
      </x:c>
      <x:c r="I946">
        <x:f ca="1">IF(AND($B$1012=1,LEN($I$1923)&gt;0),$I$1923,HLOOKUP(INDIRECT(ADDRESS(2,COLUMN())),OFFSET($T$2,0,0,ROW()-1,14),ROW()-1,FALSE))</x:f>
        <x:v>0.26940500000000001</x:v>
      </x:c>
      <x:c r="J946">
        <x:f ca="1">IF(AND($B$1012=1,LEN($J$1923)&gt;0),$J$1923,HLOOKUP(INDIRECT(ADDRESS(2,COLUMN())),OFFSET($T$2,0,0,ROW()-1,14),ROW()-1,FALSE))</x:f>
        <x:v>7.4693319999999996</x:v>
      </x:c>
      <x:c r="K946">
        <x:f ca="1">IF(AND($B$1012=1,LEN($K$1923)&gt;0),$K$1923,HLOOKUP(INDIRECT(ADDRESS(2,COLUMN())),OFFSET($T$2,0,0,ROW()-1,14),ROW()-1,FALSE))</x:f>
        <x:v>1.8422050000000001</x:v>
      </x:c>
      <x:c r="L946">
        <x:f ca="1">IF(AND($B$1012=1,LEN($L$1923)&gt;0),$L$1923,HLOOKUP(INDIRECT(ADDRESS(2,COLUMN())),OFFSET($T$2,0,0,ROW()-1,14),ROW()-1,FALSE))</x:f>
        <x:v>0</x:v>
      </x:c>
      <x:c r="M946">
        <x:f ca="1">IF(AND($B$1012=1,LEN($M$1923)&gt;0),$M$1923,HLOOKUP(INDIRECT(ADDRESS(2,COLUMN())),OFFSET($T$2,0,0,ROW()-1,14),ROW()-1,FALSE))</x:f>
        <x:v>2.0088949999999999</x:v>
      </x:c>
      <x:c r="N946">
        <x:f ca="1">IF(AND($B$1012=1,LEN($N$1923)&gt;0),$N$1923,HLOOKUP(INDIRECT(ADDRESS(2,COLUMN())),OFFSET($T$2,0,0,ROW()-1,14),ROW()-1,FALSE))</x:f>
        <x:v>0.69369000000000003</x:v>
      </x:c>
      <x:c r="O946">
        <x:f ca="1">IF(AND($B$1012=1,LEN($O$1923)&gt;0),$O$1923,HLOOKUP(INDIRECT(ADDRESS(2,COLUMN())),OFFSET($T$2,0,0,ROW()-1,14),ROW()-1,FALSE))</x:f>
        <x:v>1.8752800000000001</x:v>
      </x:c>
      <x:c r="P946">
        <x:f ca="1">IF(AND($B$1012=1,LEN($P$1923)&gt;0),$P$1923,HLOOKUP(INDIRECT(ADDRESS(2,COLUMN())),OFFSET($T$2,0,0,ROW()-1,14),ROW()-1,FALSE))</x:f>
        <x:v>1.093442</x:v>
      </x:c>
      <x:c r="Q946">
        <x:f ca="1">IF(AND($B$1012=1,LEN($Q$1923)&gt;0),$Q$1923,HLOOKUP(INDIRECT(ADDRESS(2,COLUMN())),OFFSET($T$2,0,0,ROW()-1,14),ROW()-1,FALSE))</x:f>
        <x:v>0</x:v>
      </x:c>
      <x:c r="R946">
        <x:f ca="1">IF(AND($B$1012=1,LEN($R$1923)&gt;0),$R$1923,HLOOKUP(INDIRECT(ADDRESS(2,COLUMN())),OFFSET($T$2,0,0,ROW()-1,14),ROW()-1,FALSE))</x:f>
        <x:v>0</x:v>
      </x:c>
      <x:c r="S946">
        <x:f ca="1">IF(AND($B$1012=1,LEN($S$1923)&gt;0),$S$1923,HLOOKUP(INDIRECT(ADDRESS(2,COLUMN())),OFFSET($T$2,0,0,ROW()-1,14),ROW()-1,FALSE))</x:f>
        <x:v>0</x:v>
      </x:c>
      <x:c r="T946">
        <x:f>1.253622</x:f>
        <x:v>1.253622</x:v>
      </x:c>
      <x:c r="U946">
        <x:f>5.79171</x:f>
        <x:v>5.7917100000000001</x:v>
      </x:c>
      <x:c r="V946">
        <x:f>-0.550815</x:f>
        <x:v>-0.55081500000000005</x:v>
      </x:c>
      <x:c r="W946">
        <x:f>0.269405</x:f>
        <x:v>0.26940500000000001</x:v>
      </x:c>
      <x:c r="X946">
        <x:f>7.469332</x:f>
        <x:v>7.4693319999999996</x:v>
      </x:c>
      <x:c r="Y946">
        <x:f>1.842205</x:f>
        <x:v>1.8422050000000001</x:v>
      </x:c>
      <x:c r="Z946">
        <x:f>0</x:f>
        <x:v>0</x:v>
      </x:c>
      <x:c r="AA946">
        <x:f>2.008895</x:f>
        <x:v>2.0088949999999999</x:v>
      </x:c>
      <x:c r="AB946">
        <x:f>0.69369</x:f>
        <x:v>0.69369000000000003</x:v>
      </x:c>
      <x:c r="AC946">
        <x:f>1.87528</x:f>
        <x:v>1.8752800000000001</x:v>
      </x:c>
      <x:c r="AD946">
        <x:f>1.093442</x:f>
        <x:v>1.093442</x:v>
      </x:c>
      <x:c r="AE946">
        <x:f>0</x:f>
        <x:v>0</x:v>
      </x:c>
      <x:c r="AF946">
        <x:f>0</x:f>
        <x:v>0</x:v>
      </x:c>
      <x:c r="AG946">
        <x:f>0</x:f>
        <x:v>0</x:v>
      </x:c>
    </x:row>
    <x:row r="947" spans="1:33" x14ac:dyDescent="0.25">
      <x:c r="A947" t="str">
        <x:f>"            Vaneck Digital Asset Mining ET"</x:f>
        <x:v xml:space="preserve">            Vaneck Digital Asset Mining ET</x:v>
      </x:c>
      <x:c r="B947" t="str">
        <x:f>"DAM US Equity"</x:f>
        <x:v>DAM US Equity</x:v>
      </x:c>
      <x:c r="E947" t="str">
        <x:f t="shared" si="39"/>
        <x:v>Expression</x:v>
      </x:c>
      <x:c r="F947" t="str">
        <x:f ca="1">IF(AND($B$1012=1,LEN($F$1924)&gt;0),$F$1924,HLOOKUP(INDIRECT(ADDRESS(2,COLUMN())),OFFSET($T$2,0,0,ROW()-1,14),ROW()-1,FALSE))</x:f>
        <x:v/>
      </x:c>
      <x:c r="G947" t="str">
        <x:f ca="1">IF(AND($B$1012=1,LEN($G$1924)&gt;0),$G$1924,HLOOKUP(INDIRECT(ADDRESS(2,COLUMN())),OFFSET($T$2,0,0,ROW()-1,14),ROW()-1,FALSE))</x:f>
        <x:v/>
      </x:c>
      <x:c r="H947" t="str">
        <x:f ca="1">IF(AND($B$1012=1,LEN($H$1924)&gt;0),$H$1924,HLOOKUP(INDIRECT(ADDRESS(2,COLUMN())),OFFSET($T$2,0,0,ROW()-1,14),ROW()-1,FALSE))</x:f>
        <x:v/>
      </x:c>
      <x:c r="I947" t="str">
        <x:f ca="1">IF(AND($B$1012=1,LEN($I$1924)&gt;0),$I$1924,HLOOKUP(INDIRECT(ADDRESS(2,COLUMN())),OFFSET($T$2,0,0,ROW()-1,14),ROW()-1,FALSE))</x:f>
        <x:v/>
      </x:c>
      <x:c r="J947" t="str">
        <x:f ca="1">IF(AND($B$1012=1,LEN($J$1924)&gt;0),$J$1924,HLOOKUP(INDIRECT(ADDRESS(2,COLUMN())),OFFSET($T$2,0,0,ROW()-1,14),ROW()-1,FALSE))</x:f>
        <x:v/>
      </x:c>
      <x:c r="K947" t="str">
        <x:f ca="1">IF(AND($B$1012=1,LEN($K$1924)&gt;0),$K$1924,HLOOKUP(INDIRECT(ADDRESS(2,COLUMN())),OFFSET($T$2,0,0,ROW()-1,14),ROW()-1,FALSE))</x:f>
        <x:v/>
      </x:c>
      <x:c r="L947" t="str">
        <x:f ca="1">IF(AND($B$1012=1,LEN($L$1924)&gt;0),$L$1924,HLOOKUP(INDIRECT(ADDRESS(2,COLUMN())),OFFSET($T$2,0,0,ROW()-1,14),ROW()-1,FALSE))</x:f>
        <x:v/>
      </x:c>
      <x:c r="M947">
        <x:f ca="1">IF(AND($B$1012=1,LEN($M$1924)&gt;0),$M$1924,HLOOKUP(INDIRECT(ADDRESS(2,COLUMN())),OFFSET($T$2,0,0,ROW()-1,14),ROW()-1,FALSE))</x:f>
        <x:v>0.99367499999999997</x:v>
      </x:c>
      <x:c r="N947">
        <x:f ca="1">IF(AND($B$1012=1,LEN($N$1924)&gt;0),$N$1924,HLOOKUP(INDIRECT(ADDRESS(2,COLUMN())),OFFSET($T$2,0,0,ROW()-1,14),ROW()-1,FALSE))</x:f>
        <x:v>0</x:v>
      </x:c>
      <x:c r="O947">
        <x:f ca="1">IF(AND($B$1012=1,LEN($O$1924)&gt;0),$O$1924,HLOOKUP(INDIRECT(ADDRESS(2,COLUMN())),OFFSET($T$2,0,0,ROW()-1,14),ROW()-1,FALSE))</x:f>
        <x:v>0</x:v>
      </x:c>
      <x:c r="P947">
        <x:f ca="1">IF(AND($B$1012=1,LEN($P$1924)&gt;0),$P$1924,HLOOKUP(INDIRECT(ADDRESS(2,COLUMN())),OFFSET($T$2,0,0,ROW()-1,14),ROW()-1,FALSE))</x:f>
        <x:v>0.25522299999999998</x:v>
      </x:c>
      <x:c r="Q947">
        <x:f ca="1">IF(AND($B$1012=1,LEN($Q$1924)&gt;0),$Q$1924,HLOOKUP(INDIRECT(ADDRESS(2,COLUMN())),OFFSET($T$2,0,0,ROW()-1,14),ROW()-1,FALSE))</x:f>
        <x:v>0</x:v>
      </x:c>
      <x:c r="R947">
        <x:f ca="1">IF(AND($B$1012=1,LEN($R$1924)&gt;0),$R$1924,HLOOKUP(INDIRECT(ADDRESS(2,COLUMN())),OFFSET($T$2,0,0,ROW()-1,14),ROW()-1,FALSE))</x:f>
        <x:v>0</x:v>
      </x:c>
      <x:c r="S947">
        <x:f ca="1">IF(AND($B$1012=1,LEN($S$1924)&gt;0),$S$1924,HLOOKUP(INDIRECT(ADDRESS(2,COLUMN())),OFFSET($T$2,0,0,ROW()-1,14),ROW()-1,FALSE))</x:f>
        <x:v>0</x:v>
      </x:c>
      <x:c r="T947" t="str">
        <x:f>""</x:f>
        <x:v/>
      </x:c>
      <x:c r="U947" t="str">
        <x:f>""</x:f>
        <x:v/>
      </x:c>
      <x:c r="V947" t="str">
        <x:f>""</x:f>
        <x:v/>
      </x:c>
      <x:c r="W947" t="str">
        <x:f>""</x:f>
        <x:v/>
      </x:c>
      <x:c r="X947" t="str">
        <x:f>""</x:f>
        <x:v/>
      </x:c>
      <x:c r="Y947" t="str">
        <x:f>""</x:f>
        <x:v/>
      </x:c>
      <x:c r="Z947" t="str">
        <x:f>""</x:f>
        <x:v/>
      </x:c>
      <x:c r="AA947">
        <x:f>0.993675</x:f>
        <x:v>0.99367499999999997</x:v>
      </x:c>
      <x:c r="AB947">
        <x:f>0</x:f>
        <x:v>0</x:v>
      </x:c>
      <x:c r="AC947">
        <x:f>0</x:f>
        <x:v>0</x:v>
      </x:c>
      <x:c r="AD947">
        <x:f>0.255223</x:f>
        <x:v>0.25522299999999998</x:v>
      </x:c>
      <x:c r="AE947">
        <x:f>0</x:f>
        <x:v>0</x:v>
      </x:c>
      <x:c r="AF947">
        <x:f>0</x:f>
        <x:v>0</x:v>
      </x:c>
      <x:c r="AG947">
        <x:f>0</x:f>
        <x:v>0</x:v>
      </x:c>
    </x:row>
    <x:row r="948" spans="1:33" x14ac:dyDescent="0.25">
      <x:c r="A948" t="str">
        <x:f>"            Horizon Kinetics Blockchain De"</x:f>
        <x:v xml:space="preserve">            Horizon Kinetics Blockchain De</x:v>
      </x:c>
      <x:c r="B948" t="str">
        <x:f>"BCDF US Equity"</x:f>
        <x:v>BCDF US Equity</x:v>
      </x:c>
      <x:c r="E948" t="str">
        <x:f t="shared" si="39"/>
        <x:v>Expression</x:v>
      </x:c>
      <x:c r="F948">
        <x:f ca="1">IF(AND($B$1012=1,LEN($F$1925)&gt;0),$F$1925,HLOOKUP(INDIRECT(ADDRESS(2,COLUMN())),OFFSET($T$2,0,0,ROW()-1,14),ROW()-1,FALSE))</x:f>
        <x:v>1.0825450000000001</x:v>
      </x:c>
      <x:c r="G948">
        <x:f ca="1">IF(AND($B$1012=1,LEN($G$1925)&gt;0),$G$1925,HLOOKUP(INDIRECT(ADDRESS(2,COLUMN())),OFFSET($T$2,0,0,ROW()-1,14),ROW()-1,FALSE))</x:f>
        <x:v>0.52825500000000003</x:v>
      </x:c>
      <x:c r="H948">
        <x:f ca="1">IF(AND($B$1012=1,LEN($H$1925)&gt;0),$H$1925,HLOOKUP(INDIRECT(ADDRESS(2,COLUMN())),OFFSET($T$2,0,0,ROW()-1,14),ROW()-1,FALSE))</x:f>
        <x:v>0</x:v>
      </x:c>
      <x:c r="I948">
        <x:f ca="1">IF(AND($B$1012=1,LEN($I$1925)&gt;0),$I$1925,HLOOKUP(INDIRECT(ADDRESS(2,COLUMN())),OFFSET($T$2,0,0,ROW()-1,14),ROW()-1,FALSE))</x:f>
        <x:v>0</x:v>
      </x:c>
      <x:c r="J948">
        <x:f ca="1">IF(AND($B$1012=1,LEN($J$1925)&gt;0),$J$1925,HLOOKUP(INDIRECT(ADDRESS(2,COLUMN())),OFFSET($T$2,0,0,ROW()-1,14),ROW()-1,FALSE))</x:f>
        <x:v>0.55729499999999998</x:v>
      </x:c>
      <x:c r="K948">
        <x:f ca="1">IF(AND($B$1012=1,LEN($K$1925)&gt;0),$K$1925,HLOOKUP(INDIRECT(ADDRESS(2,COLUMN())),OFFSET($T$2,0,0,ROW()-1,14),ROW()-1,FALSE))</x:f>
        <x:v>0</x:v>
      </x:c>
      <x:c r="L948">
        <x:f ca="1">IF(AND($B$1012=1,LEN($L$1925)&gt;0),$L$1925,HLOOKUP(INDIRECT(ADDRESS(2,COLUMN())),OFFSET($T$2,0,0,ROW()-1,14),ROW()-1,FALSE))</x:f>
        <x:v>0</x:v>
      </x:c>
      <x:c r="M948">
        <x:f ca="1">IF(AND($B$1012=1,LEN($M$1925)&gt;0),$M$1925,HLOOKUP(INDIRECT(ADDRESS(2,COLUMN())),OFFSET($T$2,0,0,ROW()-1,14),ROW()-1,FALSE))</x:f>
        <x:v>0</x:v>
      </x:c>
      <x:c r="N948">
        <x:f ca="1">IF(AND($B$1012=1,LEN($N$1925)&gt;0),$N$1925,HLOOKUP(INDIRECT(ADDRESS(2,COLUMN())),OFFSET($T$2,0,0,ROW()-1,14),ROW()-1,FALSE))</x:f>
        <x:v>0.50615500000000002</x:v>
      </x:c>
      <x:c r="O948">
        <x:f ca="1">IF(AND($B$1012=1,LEN($O$1925)&gt;0),$O$1925,HLOOKUP(INDIRECT(ADDRESS(2,COLUMN())),OFFSET($T$2,0,0,ROW()-1,14),ROW()-1,FALSE))</x:f>
        <x:v>0</x:v>
      </x:c>
      <x:c r="P948">
        <x:f ca="1">IF(AND($B$1012=1,LEN($P$1925)&gt;0),$P$1925,HLOOKUP(INDIRECT(ADDRESS(2,COLUMN())),OFFSET($T$2,0,0,ROW()-1,14),ROW()-1,FALSE))</x:f>
        <x:v>0</x:v>
      </x:c>
      <x:c r="Q948">
        <x:f ca="1">IF(AND($B$1012=1,LEN($Q$1925)&gt;0),$Q$1925,HLOOKUP(INDIRECT(ADDRESS(2,COLUMN())),OFFSET($T$2,0,0,ROW()-1,14),ROW()-1,FALSE))</x:f>
        <x:v>0</x:v>
      </x:c>
      <x:c r="R948">
        <x:f ca="1">IF(AND($B$1012=1,LEN($R$1925)&gt;0),$R$1925,HLOOKUP(INDIRECT(ADDRESS(2,COLUMN())),OFFSET($T$2,0,0,ROW()-1,14),ROW()-1,FALSE))</x:f>
        <x:v>0</x:v>
      </x:c>
      <x:c r="S948">
        <x:f ca="1">IF(AND($B$1012=1,LEN($S$1925)&gt;0),$S$1925,HLOOKUP(INDIRECT(ADDRESS(2,COLUMN())),OFFSET($T$2,0,0,ROW()-1,14),ROW()-1,FALSE))</x:f>
        <x:v>0</x:v>
      </x:c>
      <x:c r="T948">
        <x:f>1.082545</x:f>
        <x:v>1.0825450000000001</x:v>
      </x:c>
      <x:c r="U948">
        <x:f>0.528255</x:f>
        <x:v>0.52825500000000003</x:v>
      </x:c>
      <x:c r="V948">
        <x:f>0</x:f>
        <x:v>0</x:v>
      </x:c>
      <x:c r="W948">
        <x:f>0</x:f>
        <x:v>0</x:v>
      </x:c>
      <x:c r="X948">
        <x:f>0.557295</x:f>
        <x:v>0.55729499999999998</x:v>
      </x:c>
      <x:c r="Y948">
        <x:f>0</x:f>
        <x:v>0</x:v>
      </x:c>
      <x:c r="Z948">
        <x:f>0</x:f>
        <x:v>0</x:v>
      </x:c>
      <x:c r="AA948">
        <x:f>0</x:f>
        <x:v>0</x:v>
      </x:c>
      <x:c r="AB948">
        <x:f>0.506155</x:f>
        <x:v>0.50615500000000002</x:v>
      </x:c>
      <x:c r="AC948">
        <x:f>0</x:f>
        <x:v>0</x:v>
      </x:c>
      <x:c r="AD948">
        <x:f>0</x:f>
        <x:v>0</x:v>
      </x:c>
      <x:c r="AE948">
        <x:f>0</x:f>
        <x:v>0</x:v>
      </x:c>
      <x:c r="AF948">
        <x:f>0</x:f>
        <x:v>0</x:v>
      </x:c>
      <x:c r="AG948">
        <x:f>0</x:f>
        <x:v>0</x:v>
      </x:c>
    </x:row>
    <x:row r="949" spans="1:33" x14ac:dyDescent="0.25">
      <x:c r="A949" t="str">
        <x:f>"            iShares Blockchain And Tech ET"</x:f>
        <x:v xml:space="preserve">            iShares Blockchain And Tech ET</x:v>
      </x:c>
      <x:c r="B949" t="str">
        <x:f>"IBLC US Equity"</x:f>
        <x:v>IBLC US Equity</x:v>
      </x:c>
      <x:c r="E949" t="str">
        <x:f t="shared" si="39"/>
        <x:v>Expression</x:v>
      </x:c>
      <x:c r="F949">
        <x:f ca="1">IF(AND($B$1012=1,LEN($F$1926)&gt;0),$F$1926,HLOOKUP(INDIRECT(ADDRESS(2,COLUMN())),OFFSET($T$2,0,0,ROW()-1,14),ROW()-1,FALSE))</x:f>
        <x:v>0</x:v>
      </x:c>
      <x:c r="G949">
        <x:f ca="1">IF(AND($B$1012=1,LEN($G$1926)&gt;0),$G$1926,HLOOKUP(INDIRECT(ADDRESS(2,COLUMN())),OFFSET($T$2,0,0,ROW()-1,14),ROW()-1,FALSE))</x:f>
        <x:v>0.75720399999999999</x:v>
      </x:c>
      <x:c r="H949">
        <x:f ca="1">IF(AND($B$1012=1,LEN($H$1926)&gt;0),$H$1926,HLOOKUP(INDIRECT(ADDRESS(2,COLUMN())),OFFSET($T$2,0,0,ROW()-1,14),ROW()-1,FALSE))</x:f>
        <x:v>0</x:v>
      </x:c>
      <x:c r="I949">
        <x:f ca="1">IF(AND($B$1012=1,LEN($I$1926)&gt;0),$I$1926,HLOOKUP(INDIRECT(ADDRESS(2,COLUMN())),OFFSET($T$2,0,0,ROW()-1,14),ROW()-1,FALSE))</x:f>
        <x:v>1.1575850000000001</x:v>
      </x:c>
      <x:c r="J949">
        <x:f ca="1">IF(AND($B$1012=1,LEN($J$1926)&gt;0),$J$1926,HLOOKUP(INDIRECT(ADDRESS(2,COLUMN())),OFFSET($T$2,0,0,ROW()-1,14),ROW()-1,FALSE))</x:f>
        <x:v>0</x:v>
      </x:c>
      <x:c r="K949">
        <x:f ca="1">IF(AND($B$1012=1,LEN($K$1926)&gt;0),$K$1926,HLOOKUP(INDIRECT(ADDRESS(2,COLUMN())),OFFSET($T$2,0,0,ROW()-1,14),ROW()-1,FALSE))</x:f>
        <x:v>0</x:v>
      </x:c>
      <x:c r="L949">
        <x:f ca="1">IF(AND($B$1012=1,LEN($L$1926)&gt;0),$L$1926,HLOOKUP(INDIRECT(ADDRESS(2,COLUMN())),OFFSET($T$2,0,0,ROW()-1,14),ROW()-1,FALSE))</x:f>
        <x:v>0</x:v>
      </x:c>
      <x:c r="M949">
        <x:f ca="1">IF(AND($B$1012=1,LEN($M$1926)&gt;0),$M$1926,HLOOKUP(INDIRECT(ADDRESS(2,COLUMN())),OFFSET($T$2,0,0,ROW()-1,14),ROW()-1,FALSE))</x:f>
        <x:v>0</x:v>
      </x:c>
      <x:c r="N949">
        <x:f ca="1">IF(AND($B$1012=1,LEN($N$1926)&gt;0),$N$1926,HLOOKUP(INDIRECT(ADDRESS(2,COLUMN())),OFFSET($T$2,0,0,ROW()-1,14),ROW()-1,FALSE))</x:f>
        <x:v>0</x:v>
      </x:c>
      <x:c r="O949">
        <x:f ca="1">IF(AND($B$1012=1,LEN($O$1926)&gt;0),$O$1926,HLOOKUP(INDIRECT(ADDRESS(2,COLUMN())),OFFSET($T$2,0,0,ROW()-1,14),ROW()-1,FALSE))</x:f>
        <x:v>0</x:v>
      </x:c>
      <x:c r="P949">
        <x:f ca="1">IF(AND($B$1012=1,LEN($P$1926)&gt;0),$P$1926,HLOOKUP(INDIRECT(ADDRESS(2,COLUMN())),OFFSET($T$2,0,0,ROW()-1,14),ROW()-1,FALSE))</x:f>
        <x:v>0</x:v>
      </x:c>
      <x:c r="Q949">
        <x:f ca="1">IF(AND($B$1012=1,LEN($Q$1926)&gt;0),$Q$1926,HLOOKUP(INDIRECT(ADDRESS(2,COLUMN())),OFFSET($T$2,0,0,ROW()-1,14),ROW()-1,FALSE))</x:f>
        <x:v>0</x:v>
      </x:c>
      <x:c r="R949">
        <x:f ca="1">IF(AND($B$1012=1,LEN($R$1926)&gt;0),$R$1926,HLOOKUP(INDIRECT(ADDRESS(2,COLUMN())),OFFSET($T$2,0,0,ROW()-1,14),ROW()-1,FALSE))</x:f>
        <x:v>0</x:v>
      </x:c>
      <x:c r="S949">
        <x:f ca="1">IF(AND($B$1012=1,LEN($S$1926)&gt;0),$S$1926,HLOOKUP(INDIRECT(ADDRESS(2,COLUMN())),OFFSET($T$2,0,0,ROW()-1,14),ROW()-1,FALSE))</x:f>
        <x:v>0</x:v>
      </x:c>
      <x:c r="T949">
        <x:f>0</x:f>
        <x:v>0</x:v>
      </x:c>
      <x:c r="U949">
        <x:f>0.757204</x:f>
        <x:v>0.75720399999999999</x:v>
      </x:c>
      <x:c r="V949">
        <x:f>0</x:f>
        <x:v>0</x:v>
      </x:c>
      <x:c r="W949">
        <x:f>1.157585</x:f>
        <x:v>1.1575850000000001</x:v>
      </x:c>
      <x:c r="X949">
        <x:f>0</x:f>
        <x:v>0</x:v>
      </x:c>
      <x:c r="Y949">
        <x:f>0</x:f>
        <x:v>0</x:v>
      </x:c>
      <x:c r="Z949">
        <x:f>0</x:f>
        <x:v>0</x:v>
      </x:c>
      <x:c r="AA949">
        <x:f>0</x:f>
        <x:v>0</x:v>
      </x:c>
      <x:c r="AB949">
        <x:f>0</x:f>
        <x:v>0</x:v>
      </x:c>
      <x:c r="AC949">
        <x:f>0</x:f>
        <x:v>0</x:v>
      </x:c>
      <x:c r="AD949">
        <x:f>0</x:f>
        <x:v>0</x:v>
      </x:c>
      <x:c r="AE949">
        <x:f>0</x:f>
        <x:v>0</x:v>
      </x:c>
      <x:c r="AF949">
        <x:f>0</x:f>
        <x:v>0</x:v>
      </x:c>
      <x:c r="AG949">
        <x:f>0</x:f>
        <x:v>0</x:v>
      </x:c>
    </x:row>
    <x:row r="950" spans="1:33" x14ac:dyDescent="0.25">
      <x:c r="A950" t="str">
        <x:f>"            Invesco Alerian Galaxy Crypto Economy ETF"</x:f>
        <x:v xml:space="preserve">            Invesco Alerian Galaxy Crypto Economy ETF</x:v>
      </x:c>
      <x:c r="B950" t="str">
        <x:f>"BLOK US Equity"</x:f>
        <x:v>BLOK US Equity</x:v>
      </x:c>
      <x:c r="E950" t="str">
        <x:f t="shared" si="39"/>
        <x:v>Expression</x:v>
      </x:c>
      <x:c r="F950">
        <x:f ca="1">IF(AND($B$1012=1,LEN($F$1927)&gt;0),$F$1927,HLOOKUP(INDIRECT(ADDRESS(2,COLUMN())),OFFSET($T$2,0,0,ROW()-1,14),ROW()-1,FALSE))</x:f>
        <x:v>0</x:v>
      </x:c>
      <x:c r="G950">
        <x:f ca="1">IF(AND($B$1012=1,LEN($G$1927)&gt;0),$G$1927,HLOOKUP(INDIRECT(ADDRESS(2,COLUMN())),OFFSET($T$2,0,0,ROW()-1,14),ROW()-1,FALSE))</x:f>
        <x:v>-21.873425000000001</x:v>
      </x:c>
      <x:c r="H950">
        <x:f ca="1">IF(AND($B$1012=1,LEN($H$1927)&gt;0),$H$1927,HLOOKUP(INDIRECT(ADDRESS(2,COLUMN())),OFFSET($T$2,0,0,ROW()-1,14),ROW()-1,FALSE))</x:f>
        <x:v>-2.1354500000000001</x:v>
      </x:c>
      <x:c r="I950">
        <x:f ca="1">IF(AND($B$1012=1,LEN($I$1927)&gt;0),$I$1927,HLOOKUP(INDIRECT(ADDRESS(2,COLUMN())),OFFSET($T$2,0,0,ROW()-1,14),ROW()-1,FALSE))</x:f>
        <x:v>-17.762435</x:v>
      </x:c>
      <x:c r="J950">
        <x:f ca="1">IF(AND($B$1012=1,LEN($J$1927)&gt;0),$J$1927,HLOOKUP(INDIRECT(ADDRESS(2,COLUMN())),OFFSET($T$2,0,0,ROW()-1,14),ROW()-1,FALSE))</x:f>
        <x:v>2.4885999999999999</x:v>
      </x:c>
      <x:c r="K950">
        <x:f ca="1">IF(AND($B$1012=1,LEN($K$1927)&gt;0),$K$1927,HLOOKUP(INDIRECT(ADDRESS(2,COLUMN())),OFFSET($T$2,0,0,ROW()-1,14),ROW()-1,FALSE))</x:f>
        <x:v>-5.3817750000000002</x:v>
      </x:c>
      <x:c r="L950">
        <x:f ca="1">IF(AND($B$1012=1,LEN($L$1927)&gt;0),$L$1927,HLOOKUP(INDIRECT(ADDRESS(2,COLUMN())),OFFSET($T$2,0,0,ROW()-1,14),ROW()-1,FALSE))</x:f>
        <x:v>-5.78064</x:v>
      </x:c>
      <x:c r="M950">
        <x:f ca="1">IF(AND($B$1012=1,LEN($M$1927)&gt;0),$M$1927,HLOOKUP(INDIRECT(ADDRESS(2,COLUMN())),OFFSET($T$2,0,0,ROW()-1,14),ROW()-1,FALSE))</x:f>
        <x:v>0</x:v>
      </x:c>
      <x:c r="N950">
        <x:f ca="1">IF(AND($B$1012=1,LEN($N$1927)&gt;0),$N$1927,HLOOKUP(INDIRECT(ADDRESS(2,COLUMN())),OFFSET($T$2,0,0,ROW()-1,14),ROW()-1,FALSE))</x:f>
        <x:v>-1.8617300000000001</x:v>
      </x:c>
      <x:c r="O950">
        <x:f ca="1">IF(AND($B$1012=1,LEN($O$1927)&gt;0),$O$1927,HLOOKUP(INDIRECT(ADDRESS(2,COLUMN())),OFFSET($T$2,0,0,ROW()-1,14),ROW()-1,FALSE))</x:f>
        <x:v>-2.470755</x:v>
      </x:c>
      <x:c r="P950">
        <x:f ca="1">IF(AND($B$1012=1,LEN($P$1927)&gt;0),$P$1927,HLOOKUP(INDIRECT(ADDRESS(2,COLUMN())),OFFSET($T$2,0,0,ROW()-1,14),ROW()-1,FALSE))</x:f>
        <x:v>0.52208500000000002</x:v>
      </x:c>
      <x:c r="Q950">
        <x:f ca="1">IF(AND($B$1012=1,LEN($Q$1927)&gt;0),$Q$1927,HLOOKUP(INDIRECT(ADDRESS(2,COLUMN())),OFFSET($T$2,0,0,ROW()-1,14),ROW()-1,FALSE))</x:f>
        <x:v>-15.774775</x:v>
      </x:c>
      <x:c r="R950">
        <x:f ca="1">IF(AND($B$1012=1,LEN($R$1927)&gt;0),$R$1927,HLOOKUP(INDIRECT(ADDRESS(2,COLUMN())),OFFSET($T$2,0,0,ROW()-1,14),ROW()-1,FALSE))</x:f>
        <x:v>-39.752850000000002</x:v>
      </x:c>
      <x:c r="S950">
        <x:f ca="1">IF(AND($B$1012=1,LEN($S$1927)&gt;0),$S$1927,HLOOKUP(INDIRECT(ADDRESS(2,COLUMN())),OFFSET($T$2,0,0,ROW()-1,14),ROW()-1,FALSE))</x:f>
        <x:v>-0.92667500000000003</x:v>
      </x:c>
      <x:c r="T950">
        <x:f>0</x:f>
        <x:v>0</x:v>
      </x:c>
      <x:c r="U950">
        <x:f>-21.873425</x:f>
        <x:v>-21.873425000000001</x:v>
      </x:c>
      <x:c r="V950">
        <x:f>-2.13545</x:f>
        <x:v>-2.1354500000000001</x:v>
      </x:c>
      <x:c r="W950">
        <x:f>-17.762435</x:f>
        <x:v>-17.762435</x:v>
      </x:c>
      <x:c r="X950">
        <x:f>2.4886</x:f>
        <x:v>2.4885999999999999</x:v>
      </x:c>
      <x:c r="Y950">
        <x:f>-5.381775</x:f>
        <x:v>-5.3817750000000002</x:v>
      </x:c>
      <x:c r="Z950">
        <x:f>-5.78064</x:f>
        <x:v>-5.78064</x:v>
      </x:c>
      <x:c r="AA950">
        <x:f>0</x:f>
        <x:v>0</x:v>
      </x:c>
      <x:c r="AB950">
        <x:f>-1.86173</x:f>
        <x:v>-1.8617300000000001</x:v>
      </x:c>
      <x:c r="AC950">
        <x:f>-2.470755</x:f>
        <x:v>-2.470755</x:v>
      </x:c>
      <x:c r="AD950">
        <x:f>0.522085</x:f>
        <x:v>0.52208500000000002</x:v>
      </x:c>
      <x:c r="AE950">
        <x:f>-15.774775</x:f>
        <x:v>-15.774775</x:v>
      </x:c>
      <x:c r="AF950">
        <x:f>-39.75285</x:f>
        <x:v>-39.752850000000002</x:v>
      </x:c>
      <x:c r="AG950">
        <x:f>-0.926675</x:f>
        <x:v>-0.92667500000000003</x:v>
      </x:c>
    </x:row>
    <x:row r="951" spans="1:33" x14ac:dyDescent="0.25">
      <x:c r="A951" t="str">
        <x:f>"            Fidelity Crypto Industry And D"</x:f>
        <x:v xml:space="preserve">            Fidelity Crypto Industry And D</x:v>
      </x:c>
      <x:c r="B951" t="str">
        <x:f>"FDIG US Equity"</x:f>
        <x:v>FDIG US Equity</x:v>
      </x:c>
      <x:c r="E951" t="str">
        <x:f t="shared" si="39"/>
        <x:v>Expression</x:v>
      </x:c>
      <x:c r="F951">
        <x:f ca="1">IF(AND($B$1012=1,LEN($F$1928)&gt;0),$F$1928,HLOOKUP(INDIRECT(ADDRESS(2,COLUMN())),OFFSET($T$2,0,0,ROW()-1,14),ROW()-1,FALSE))</x:f>
        <x:v>0</x:v>
      </x:c>
      <x:c r="G951">
        <x:f ca="1">IF(AND($B$1012=1,LEN($G$1928)&gt;0),$G$1928,HLOOKUP(INDIRECT(ADDRESS(2,COLUMN())),OFFSET($T$2,0,0,ROW()-1,14),ROW()-1,FALSE))</x:f>
        <x:v>0.76913500000000001</x:v>
      </x:c>
      <x:c r="H951">
        <x:f ca="1">IF(AND($B$1012=1,LEN($H$1928)&gt;0),$H$1928,HLOOKUP(INDIRECT(ADDRESS(2,COLUMN())),OFFSET($T$2,0,0,ROW()-1,14),ROW()-1,FALSE))</x:f>
        <x:v>2.5466129999999998</x:v>
      </x:c>
      <x:c r="I951">
        <x:f ca="1">IF(AND($B$1012=1,LEN($I$1928)&gt;0),$I$1928,HLOOKUP(INDIRECT(ADDRESS(2,COLUMN())),OFFSET($T$2,0,0,ROW()-1,14),ROW()-1,FALSE))</x:f>
        <x:v>0.22606699999999999</x:v>
      </x:c>
      <x:c r="J951">
        <x:f ca="1">IF(AND($B$1012=1,LEN($J$1928)&gt;0),$J$1928,HLOOKUP(INDIRECT(ADDRESS(2,COLUMN())),OFFSET($T$2,0,0,ROW()-1,14),ROW()-1,FALSE))</x:f>
        <x:v>9.2165189999999999</x:v>
      </x:c>
      <x:c r="K951">
        <x:f ca="1">IF(AND($B$1012=1,LEN($K$1928)&gt;0),$K$1928,HLOOKUP(INDIRECT(ADDRESS(2,COLUMN())),OFFSET($T$2,0,0,ROW()-1,14),ROW()-1,FALSE))</x:f>
        <x:v>0</x:v>
      </x:c>
      <x:c r="L951">
        <x:f ca="1">IF(AND($B$1012=1,LEN($L$1928)&gt;0),$L$1928,HLOOKUP(INDIRECT(ADDRESS(2,COLUMN())),OFFSET($T$2,0,0,ROW()-1,14),ROW()-1,FALSE))</x:f>
        <x:v>0</x:v>
      </x:c>
      <x:c r="M951">
        <x:f ca="1">IF(AND($B$1012=1,LEN($M$1928)&gt;0),$M$1928,HLOOKUP(INDIRECT(ADDRESS(2,COLUMN())),OFFSET($T$2,0,0,ROW()-1,14),ROW()-1,FALSE))</x:f>
        <x:v>3.2671929999999998</x:v>
      </x:c>
      <x:c r="N951">
        <x:f ca="1">IF(AND($B$1012=1,LEN($N$1928)&gt;0),$N$1928,HLOOKUP(INDIRECT(ADDRESS(2,COLUMN())),OFFSET($T$2,0,0,ROW()-1,14),ROW()-1,FALSE))</x:f>
        <x:v>1.440469</x:v>
      </x:c>
      <x:c r="O951">
        <x:f ca="1">IF(AND($B$1012=1,LEN($O$1928)&gt;0),$O$1928,HLOOKUP(INDIRECT(ADDRESS(2,COLUMN())),OFFSET($T$2,0,0,ROW()-1,14),ROW()-1,FALSE))</x:f>
        <x:v>0</x:v>
      </x:c>
      <x:c r="P951">
        <x:f ca="1">IF(AND($B$1012=1,LEN($P$1928)&gt;0),$P$1928,HLOOKUP(INDIRECT(ADDRESS(2,COLUMN())),OFFSET($T$2,0,0,ROW()-1,14),ROW()-1,FALSE))</x:f>
        <x:v>0</x:v>
      </x:c>
      <x:c r="Q951">
        <x:f ca="1">IF(AND($B$1012=1,LEN($Q$1928)&gt;0),$Q$1928,HLOOKUP(INDIRECT(ADDRESS(2,COLUMN())),OFFSET($T$2,0,0,ROW()-1,14),ROW()-1,FALSE))</x:f>
        <x:v>1.7444280000000001</x:v>
      </x:c>
      <x:c r="R951">
        <x:f ca="1">IF(AND($B$1012=1,LEN($R$1928)&gt;0),$R$1928,HLOOKUP(INDIRECT(ADDRESS(2,COLUMN())),OFFSET($T$2,0,0,ROW()-1,14),ROW()-1,FALSE))</x:f>
        <x:v>1.2777350000000001</x:v>
      </x:c>
      <x:c r="S951">
        <x:f ca="1">IF(AND($B$1012=1,LEN($S$1928)&gt;0),$S$1928,HLOOKUP(INDIRECT(ADDRESS(2,COLUMN())),OFFSET($T$2,0,0,ROW()-1,14),ROW()-1,FALSE))</x:f>
        <x:v>0</x:v>
      </x:c>
      <x:c r="T951">
        <x:f>0</x:f>
        <x:v>0</x:v>
      </x:c>
      <x:c r="U951">
        <x:f>0.769135</x:f>
        <x:v>0.76913500000000001</x:v>
      </x:c>
      <x:c r="V951">
        <x:f>2.546613</x:f>
        <x:v>2.5466129999999998</x:v>
      </x:c>
      <x:c r="W951">
        <x:f>0.226067</x:f>
        <x:v>0.22606699999999999</x:v>
      </x:c>
      <x:c r="X951">
        <x:f>9.216519</x:f>
        <x:v>9.2165189999999999</x:v>
      </x:c>
      <x:c r="Y951">
        <x:f>0</x:f>
        <x:v>0</x:v>
      </x:c>
      <x:c r="Z951">
        <x:f>0</x:f>
        <x:v>0</x:v>
      </x:c>
      <x:c r="AA951">
        <x:f>3.267193</x:f>
        <x:v>3.2671929999999998</x:v>
      </x:c>
      <x:c r="AB951">
        <x:f>1.440469</x:f>
        <x:v>1.440469</x:v>
      </x:c>
      <x:c r="AC951">
        <x:f>0</x:f>
        <x:v>0</x:v>
      </x:c>
      <x:c r="AD951">
        <x:f>0</x:f>
        <x:v>0</x:v>
      </x:c>
      <x:c r="AE951">
        <x:f>1.744428</x:f>
        <x:v>1.7444280000000001</x:v>
      </x:c>
      <x:c r="AF951">
        <x:f>1.277735</x:f>
        <x:v>1.2777350000000001</x:v>
      </x:c>
      <x:c r="AG951">
        <x:f>0</x:f>
        <x:v>0</x:v>
      </x:c>
    </x:row>
    <x:row r="952" spans="1:33" x14ac:dyDescent="0.25">
      <x:c r="A952" t="str">
        <x:f>"            Schwab Crypto Thematic ETF"</x:f>
        <x:v xml:space="preserve">            Schwab Crypto Thematic ETF</x:v>
      </x:c>
      <x:c r="B952" t="str">
        <x:f>"STCE US Equity"</x:f>
        <x:v>STCE US Equity</x:v>
      </x:c>
      <x:c r="E952" t="str">
        <x:f t="shared" si="39"/>
        <x:v>Expression</x:v>
      </x:c>
      <x:c r="F952">
        <x:f ca="1">IF(AND($B$1012=1,LEN($F$1929)&gt;0),$F$1929,HLOOKUP(INDIRECT(ADDRESS(2,COLUMN())),OFFSET($T$2,0,0,ROW()-1,14),ROW()-1,FALSE))</x:f>
        <x:v>0</x:v>
      </x:c>
      <x:c r="G952">
        <x:f ca="1">IF(AND($B$1012=1,LEN($G$1929)&gt;0),$G$1929,HLOOKUP(INDIRECT(ADDRESS(2,COLUMN())),OFFSET($T$2,0,0,ROW()-1,14),ROW()-1,FALSE))</x:f>
        <x:v>0.97127600000000003</x:v>
      </x:c>
      <x:c r="H952">
        <x:f ca="1">IF(AND($B$1012=1,LEN($H$1929)&gt;0),$H$1929,HLOOKUP(INDIRECT(ADDRESS(2,COLUMN())),OFFSET($T$2,0,0,ROW()-1,14),ROW()-1,FALSE))</x:f>
        <x:v>0</x:v>
      </x:c>
      <x:c r="I952">
        <x:f ca="1">IF(AND($B$1012=1,LEN($I$1929)&gt;0),$I$1929,HLOOKUP(INDIRECT(ADDRESS(2,COLUMN())),OFFSET($T$2,0,0,ROW()-1,14),ROW()-1,FALSE))</x:f>
        <x:v>0</x:v>
      </x:c>
      <x:c r="J952">
        <x:f ca="1">IF(AND($B$1012=1,LEN($J$1929)&gt;0),$J$1929,HLOOKUP(INDIRECT(ADDRESS(2,COLUMN())),OFFSET($T$2,0,0,ROW()-1,14),ROW()-1,FALSE))</x:f>
        <x:v>0</x:v>
      </x:c>
      <x:c r="K952">
        <x:f ca="1">IF(AND($B$1012=1,LEN($K$1929)&gt;0),$K$1929,HLOOKUP(INDIRECT(ADDRESS(2,COLUMN())),OFFSET($T$2,0,0,ROW()-1,14),ROW()-1,FALSE))</x:f>
        <x:v>0</x:v>
      </x:c>
      <x:c r="L952">
        <x:f ca="1">IF(AND($B$1012=1,LEN($L$1929)&gt;0),$L$1929,HLOOKUP(INDIRECT(ADDRESS(2,COLUMN())),OFFSET($T$2,0,0,ROW()-1,14),ROW()-1,FALSE))</x:f>
        <x:v>0</x:v>
      </x:c>
      <x:c r="M952">
        <x:f ca="1">IF(AND($B$1012=1,LEN($M$1929)&gt;0),$M$1929,HLOOKUP(INDIRECT(ADDRESS(2,COLUMN())),OFFSET($T$2,0,0,ROW()-1,14),ROW()-1,FALSE))</x:f>
        <x:v>0</x:v>
      </x:c>
      <x:c r="N952">
        <x:f ca="1">IF(AND($B$1012=1,LEN($N$1929)&gt;0),$N$1929,HLOOKUP(INDIRECT(ADDRESS(2,COLUMN())),OFFSET($T$2,0,0,ROW()-1,14),ROW()-1,FALSE))</x:f>
        <x:v>1.8920410000000001</x:v>
      </x:c>
      <x:c r="O952">
        <x:f ca="1">IF(AND($B$1012=1,LEN($O$1929)&gt;0),$O$1929,HLOOKUP(INDIRECT(ADDRESS(2,COLUMN())),OFFSET($T$2,0,0,ROW()-1,14),ROW()-1,FALSE))</x:f>
        <x:v>0.99154100000000001</x:v>
      </x:c>
      <x:c r="P952">
        <x:f ca="1">IF(AND($B$1012=1,LEN($P$1929)&gt;0),$P$1929,HLOOKUP(INDIRECT(ADDRESS(2,COLUMN())),OFFSET($T$2,0,0,ROW()-1,14),ROW()-1,FALSE))</x:f>
        <x:v>0</x:v>
      </x:c>
      <x:c r="Q952">
        <x:f ca="1">IF(AND($B$1012=1,LEN($Q$1929)&gt;0),$Q$1929,HLOOKUP(INDIRECT(ADDRESS(2,COLUMN())),OFFSET($T$2,0,0,ROW()-1,14),ROW()-1,FALSE))</x:f>
        <x:v>0</x:v>
      </x:c>
      <x:c r="R952">
        <x:f ca="1">IF(AND($B$1012=1,LEN($R$1929)&gt;0),$R$1929,HLOOKUP(INDIRECT(ADDRESS(2,COLUMN())),OFFSET($T$2,0,0,ROW()-1,14),ROW()-1,FALSE))</x:f>
        <x:v>0</x:v>
      </x:c>
      <x:c r="S952">
        <x:f ca="1">IF(AND($B$1012=1,LEN($S$1929)&gt;0),$S$1929,HLOOKUP(INDIRECT(ADDRESS(2,COLUMN())),OFFSET($T$2,0,0,ROW()-1,14),ROW()-1,FALSE))</x:f>
        <x:v>0.98985400000000001</x:v>
      </x:c>
      <x:c r="T952">
        <x:f>0</x:f>
        <x:v>0</x:v>
      </x:c>
      <x:c r="U952">
        <x:f>0.971276</x:f>
        <x:v>0.97127600000000003</x:v>
      </x:c>
      <x:c r="V952">
        <x:f>0</x:f>
        <x:v>0</x:v>
      </x:c>
      <x:c r="W952">
        <x:f>0</x:f>
        <x:v>0</x:v>
      </x:c>
      <x:c r="X952">
        <x:f>0</x:f>
        <x:v>0</x:v>
      </x:c>
      <x:c r="Y952">
        <x:f>0</x:f>
        <x:v>0</x:v>
      </x:c>
      <x:c r="Z952">
        <x:f>0</x:f>
        <x:v>0</x:v>
      </x:c>
      <x:c r="AA952">
        <x:f>0</x:f>
        <x:v>0</x:v>
      </x:c>
      <x:c r="AB952">
        <x:f>1.892041</x:f>
        <x:v>1.8920410000000001</x:v>
      </x:c>
      <x:c r="AC952">
        <x:f>0.991541</x:f>
        <x:v>0.99154100000000001</x:v>
      </x:c>
      <x:c r="AD952">
        <x:f>0</x:f>
        <x:v>0</x:v>
      </x:c>
      <x:c r="AE952">
        <x:f>0</x:f>
        <x:v>0</x:v>
      </x:c>
      <x:c r="AF952">
        <x:f>0</x:f>
        <x:v>0</x:v>
      </x:c>
      <x:c r="AG952">
        <x:f>0.989854</x:f>
        <x:v>0.98985400000000001</x:v>
      </x:c>
    </x:row>
    <x:row r="953" spans="1:33" x14ac:dyDescent="0.25">
      <x:c r="A953" t="str">
        <x:f>"            Bitwise Web3 ETF"</x:f>
        <x:v xml:space="preserve">            Bitwise Web3 ETF</x:v>
      </x:c>
      <x:c r="B953" t="str">
        <x:f>"BWEB US Equity"</x:f>
        <x:v>BWEB US Equity</x:v>
      </x:c>
      <x:c r="E953" t="str">
        <x:f t="shared" si="39"/>
        <x:v>Expression</x:v>
      </x:c>
      <x:c r="F953">
        <x:f ca="1">IF(AND($B$1012=1,LEN($F$1930)&gt;0),$F$1930,HLOOKUP(INDIRECT(ADDRESS(2,COLUMN())),OFFSET($T$2,0,0,ROW()-1,14),ROW()-1,FALSE))</x:f>
        <x:v>0</x:v>
      </x:c>
      <x:c r="G953">
        <x:f ca="1">IF(AND($B$1012=1,LEN($G$1930)&gt;0),$G$1930,HLOOKUP(INDIRECT(ADDRESS(2,COLUMN())),OFFSET($T$2,0,0,ROW()-1,14),ROW()-1,FALSE))</x:f>
        <x:v>0</x:v>
      </x:c>
      <x:c r="H953">
        <x:f ca="1">IF(AND($B$1012=1,LEN($H$1930)&gt;0),$H$1930,HLOOKUP(INDIRECT(ADDRESS(2,COLUMN())),OFFSET($T$2,0,0,ROW()-1,14),ROW()-1,FALSE))</x:f>
        <x:v>0</x:v>
      </x:c>
      <x:c r="I953">
        <x:f ca="1">IF(AND($B$1012=1,LEN($I$1930)&gt;0),$I$1930,HLOOKUP(INDIRECT(ADDRESS(2,COLUMN())),OFFSET($T$2,0,0,ROW()-1,14),ROW()-1,FALSE))</x:f>
        <x:v>0</x:v>
      </x:c>
      <x:c r="J953">
        <x:f ca="1">IF(AND($B$1012=1,LEN($J$1930)&gt;0),$J$1930,HLOOKUP(INDIRECT(ADDRESS(2,COLUMN())),OFFSET($T$2,0,0,ROW()-1,14),ROW()-1,FALSE))</x:f>
        <x:v>0</x:v>
      </x:c>
      <x:c r="K953">
        <x:f ca="1">IF(AND($B$1012=1,LEN($K$1930)&gt;0),$K$1930,HLOOKUP(INDIRECT(ADDRESS(2,COLUMN())),OFFSET($T$2,0,0,ROW()-1,14),ROW()-1,FALSE))</x:f>
        <x:v>-4.8599999999999997E-3</x:v>
      </x:c>
      <x:c r="L953">
        <x:f ca="1">IF(AND($B$1012=1,LEN($L$1930)&gt;0),$L$1930,HLOOKUP(INDIRECT(ADDRESS(2,COLUMN())),OFFSET($T$2,0,0,ROW()-1,14),ROW()-1,FALSE))</x:f>
        <x:v>0</x:v>
      </x:c>
      <x:c r="M953">
        <x:f ca="1">IF(AND($B$1012=1,LEN($M$1930)&gt;0),$M$1930,HLOOKUP(INDIRECT(ADDRESS(2,COLUMN())),OFFSET($T$2,0,0,ROW()-1,14),ROW()-1,FALSE))</x:f>
        <x:v>0</x:v>
      </x:c>
      <x:c r="N953">
        <x:f ca="1">IF(AND($B$1012=1,LEN($N$1930)&gt;0),$N$1930,HLOOKUP(INDIRECT(ADDRESS(2,COLUMN())),OFFSET($T$2,0,0,ROW()-1,14),ROW()-1,FALSE))</x:f>
        <x:v>0</x:v>
      </x:c>
      <x:c r="O953">
        <x:f ca="1">IF(AND($B$1012=1,LEN($O$1930)&gt;0),$O$1930,HLOOKUP(INDIRECT(ADDRESS(2,COLUMN())),OFFSET($T$2,0,0,ROW()-1,14),ROW()-1,FALSE))</x:f>
        <x:v>-1.2309600000000001</x:v>
      </x:c>
      <x:c r="P953">
        <x:f ca="1">IF(AND($B$1012=1,LEN($P$1930)&gt;0),$P$1930,HLOOKUP(INDIRECT(ADDRESS(2,COLUMN())),OFFSET($T$2,0,0,ROW()-1,14),ROW()-1,FALSE))</x:f>
        <x:v>0</x:v>
      </x:c>
      <x:c r="Q953">
        <x:f ca="1">IF(AND($B$1012=1,LEN($Q$1930)&gt;0),$Q$1930,HLOOKUP(INDIRECT(ADDRESS(2,COLUMN())),OFFSET($T$2,0,0,ROW()-1,14),ROW()-1,FALSE))</x:f>
        <x:v>-6.1000000000000004E-3</x:v>
      </x:c>
      <x:c r="R953">
        <x:f ca="1">IF(AND($B$1012=1,LEN($R$1930)&gt;0),$R$1930,HLOOKUP(INDIRECT(ADDRESS(2,COLUMN())),OFFSET($T$2,0,0,ROW()-1,14),ROW()-1,FALSE))</x:f>
        <x:v>0</x:v>
      </x:c>
      <x:c r="S953">
        <x:f ca="1">IF(AND($B$1012=1,LEN($S$1930)&gt;0),$S$1930,HLOOKUP(INDIRECT(ADDRESS(2,COLUMN())),OFFSET($T$2,0,0,ROW()-1,14),ROW()-1,FALSE))</x:f>
        <x:v>0</x:v>
      </x:c>
      <x:c r="T953">
        <x:f>0</x:f>
        <x:v>0</x:v>
      </x:c>
      <x:c r="U953">
        <x:f>0</x:f>
        <x:v>0</x:v>
      </x:c>
      <x:c r="V953">
        <x:f>0</x:f>
        <x:v>0</x:v>
      </x:c>
      <x:c r="W953">
        <x:f>0</x:f>
        <x:v>0</x:v>
      </x:c>
      <x:c r="X953">
        <x:f>0</x:f>
        <x:v>0</x:v>
      </x:c>
      <x:c r="Y953">
        <x:f>-0.00486</x:f>
        <x:v>-4.8599999999999997E-3</x:v>
      </x:c>
      <x:c r="Z953">
        <x:f>0</x:f>
        <x:v>0</x:v>
      </x:c>
      <x:c r="AA953">
        <x:f>0</x:f>
        <x:v>0</x:v>
      </x:c>
      <x:c r="AB953">
        <x:f>0</x:f>
        <x:v>0</x:v>
      </x:c>
      <x:c r="AC953">
        <x:f>-1.23096</x:f>
        <x:v>-1.2309600000000001</x:v>
      </x:c>
      <x:c r="AD953">
        <x:f>0</x:f>
        <x:v>0</x:v>
      </x:c>
      <x:c r="AE953">
        <x:f>-0.0061</x:f>
        <x:v>-6.1000000000000004E-3</x:v>
      </x:c>
      <x:c r="AF953">
        <x:f>0</x:f>
        <x:v>0</x:v>
      </x:c>
      <x:c r="AG953">
        <x:f>0</x:f>
        <x:v>0</x:v>
      </x:c>
    </x:row>
    <x:row r="954" spans="1:33" x14ac:dyDescent="0.25">
      <x:c r="A954" t="str">
        <x:f>"        Space"</x:f>
        <x:v xml:space="preserve">        Space</x:v>
      </x:c>
      <x:c r="B954" t="str">
        <x:f>""</x:f>
        <x:v/>
      </x:c>
      <x:c r="E954" t="str">
        <x:f>"Sum"</x:f>
        <x:v>Sum</x:v>
      </x:c>
      <x:c r="F954">
        <x:f ca="1">IF(ISERROR(IF(SUM($F$955:$F$957) = 0, "", SUM($F$955:$F$957))), "", (IF(SUM($F$955:$F$957) = 0, "", SUM($F$955:$F$957))))</x:f>
        <x:v>-4.8315989999999998</x:v>
      </x:c>
      <x:c r="G954">
        <x:f ca="1">IF(ISERROR(IF(SUM($G$955:$G$957) = 0, "", SUM($G$955:$G$957))), "", (IF(SUM($G$955:$G$957) = 0, "", SUM($G$955:$G$957))))</x:f>
        <x:v>-2.7932619999999999</x:v>
      </x:c>
      <x:c r="H954">
        <x:f ca="1">IF(ISERROR(IF(SUM($H$955:$H$957) = 0, "", SUM($H$955:$H$957))), "", (IF(SUM($H$955:$H$957) = 0, "", SUM($H$955:$H$957))))</x:f>
        <x:v>-5.8894830000000002</x:v>
      </x:c>
      <x:c r="I954">
        <x:f ca="1">IF(ISERROR(IF(SUM($I$955:$I$957) = 0, "", SUM($I$955:$I$957))), "", (IF(SUM($I$955:$I$957) = 0, "", SUM($I$955:$I$957))))</x:f>
        <x:v>-5.9602729999999999</x:v>
      </x:c>
      <x:c r="J954" t="str">
        <x:f ca="1">IF(ISERROR(IF(SUM($J$955:$J$957) = 0, "", SUM($J$955:$J$957))), "", (IF(SUM($J$955:$J$957) = 0, "", SUM($J$955:$J$957))))</x:f>
        <x:v/>
      </x:c>
      <x:c r="K954">
        <x:f ca="1">IF(ISERROR(IF(SUM($K$955:$K$957) = 0, "", SUM($K$955:$K$957))), "", (IF(SUM($K$955:$K$957) = 0, "", SUM($K$955:$K$957))))</x:f>
        <x:v>-5.7236960000000003</x:v>
      </x:c>
      <x:c r="L954">
        <x:f ca="1">IF(ISERROR(IF(SUM($L$955:$L$957) = 0, "", SUM($L$955:$L$957))), "", (IF(SUM($L$955:$L$957) = 0, "", SUM($L$955:$L$957))))</x:f>
        <x:v>-3.583405</x:v>
      </x:c>
      <x:c r="M954">
        <x:f ca="1">IF(ISERROR(IF(SUM($M$955:$M$957) = 0, "", SUM($M$955:$M$957))), "", (IF(SUM($M$955:$M$957) = 0, "", SUM($M$955:$M$957))))</x:f>
        <x:v>-6.0834269999999995</x:v>
      </x:c>
      <x:c r="N954">
        <x:f ca="1">IF(ISERROR(IF(SUM($N$955:$N$957) = 0, "", SUM($N$955:$N$957))), "", (IF(SUM($N$955:$N$957) = 0, "", SUM($N$955:$N$957))))</x:f>
        <x:v>-5.1673650000000002</x:v>
      </x:c>
      <x:c r="O954">
        <x:f ca="1">IF(ISERROR(IF(SUM($O$955:$O$957) = 0, "", SUM($O$955:$O$957))), "", (IF(SUM($O$955:$O$957) = 0, "", SUM($O$955:$O$957))))</x:f>
        <x:v>-0.69470299999999996</x:v>
      </x:c>
      <x:c r="P954">
        <x:f ca="1">IF(ISERROR(IF(SUM($P$955:$P$957) = 0, "", SUM($P$955:$P$957))), "", (IF(SUM($P$955:$P$957) = 0, "", SUM($P$955:$P$957))))</x:f>
        <x:v>-8.1443130000000004</x:v>
      </x:c>
      <x:c r="Q954">
        <x:f ca="1">IF(ISERROR(IF(SUM($Q$955:$Q$957) = 0, "", SUM($Q$955:$Q$957))), "", (IF(SUM($Q$955:$Q$957) = 0, "", SUM($Q$955:$Q$957))))</x:f>
        <x:v>1.0834090000000003</x:v>
      </x:c>
      <x:c r="R954">
        <x:f ca="1">IF(ISERROR(IF(SUM($R$955:$R$957) = 0, "", SUM($R$955:$R$957))), "", (IF(SUM($R$955:$R$957) = 0, "", SUM($R$955:$R$957))))</x:f>
        <x:v>-6.6888719999999999</x:v>
      </x:c>
      <x:c r="S954">
        <x:f ca="1">IF(ISERROR(IF(SUM($S$955:$S$957) = 0, "", SUM($S$955:$S$957))), "", (IF(SUM($S$955:$S$957) = 0, "", SUM($S$955:$S$957))))</x:f>
        <x:v>-2.8654129999999998</x:v>
      </x:c>
      <x:c r="T954">
        <x:f>-4.831599</x:f>
        <x:v>-4.8315989999999998</x:v>
      </x:c>
      <x:c r="U954">
        <x:f>-2.793262</x:f>
        <x:v>-2.7932619999999999</x:v>
      </x:c>
      <x:c r="V954">
        <x:f>-5.889483</x:f>
        <x:v>-5.8894830000000002</x:v>
      </x:c>
      <x:c r="W954">
        <x:f>-5.960273</x:f>
        <x:v>-5.9602729999999999</x:v>
      </x:c>
      <x:c r="X954">
        <x:f>0</x:f>
        <x:v>0</x:v>
      </x:c>
      <x:c r="Y954">
        <x:f>-5.723696</x:f>
        <x:v>-5.7236960000000003</x:v>
      </x:c>
      <x:c r="Z954">
        <x:f>-3.583405</x:f>
        <x:v>-3.583405</x:v>
      </x:c>
      <x:c r="AA954">
        <x:f>-6.083427</x:f>
        <x:v>-6.0834270000000004</x:v>
      </x:c>
      <x:c r="AB954">
        <x:f>-5.167365</x:f>
        <x:v>-5.1673650000000002</x:v>
      </x:c>
      <x:c r="AC954">
        <x:f>-0.694703</x:f>
        <x:v>-0.69470299999999996</x:v>
      </x:c>
      <x:c r="AD954">
        <x:f>-8.144313</x:f>
        <x:v>-8.1443130000000004</x:v>
      </x:c>
      <x:c r="AE954">
        <x:f>1.083409</x:f>
        <x:v>1.0834090000000001</x:v>
      </x:c>
      <x:c r="AF954">
        <x:f>-6.688872</x:f>
        <x:v>-6.6888719999999999</x:v>
      </x:c>
      <x:c r="AG954">
        <x:f>-2.865413</x:f>
        <x:v>-2.8654130000000002</x:v>
      </x:c>
    </x:row>
    <x:row r="955" spans="1:33" x14ac:dyDescent="0.25">
      <x:c r="A955" t="str">
        <x:f>"            SPDR S&amp;P Kensho Final Frontier"</x:f>
        <x:v xml:space="preserve">            SPDR S&amp;P Kensho Final Frontier</x:v>
      </x:c>
      <x:c r="B955" t="str">
        <x:f>"ROKT US Equity"</x:f>
        <x:v>ROKT US Equity</x:v>
      </x:c>
      <x:c r="E955" t="str">
        <x:f>"Expression"</x:f>
        <x:v>Expression</x:v>
      </x:c>
      <x:c r="F955">
        <x:f ca="1">IF(AND($B$1012=1,LEN($F$1931)&gt;0),$F$1931,HLOOKUP(INDIRECT(ADDRESS(2,COLUMN())),OFFSET($T$2,0,0,ROW()-1,14),ROW()-1,FALSE))</x:f>
        <x:v>0</x:v>
      </x:c>
      <x:c r="G955">
        <x:f ca="1">IF(AND($B$1012=1,LEN($G$1931)&gt;0),$G$1931,HLOOKUP(INDIRECT(ADDRESS(2,COLUMN())),OFFSET($T$2,0,0,ROW()-1,14),ROW()-1,FALSE))</x:f>
        <x:v>0</x:v>
      </x:c>
      <x:c r="H955">
        <x:f ca="1">IF(AND($B$1012=1,LEN($H$1931)&gt;0),$H$1931,HLOOKUP(INDIRECT(ADDRESS(2,COLUMN())),OFFSET($T$2,0,0,ROW()-1,14),ROW()-1,FALSE))</x:f>
        <x:v>-0.39482899999999999</x:v>
      </x:c>
      <x:c r="I955">
        <x:f ca="1">IF(AND($B$1012=1,LEN($I$1931)&gt;0),$I$1931,HLOOKUP(INDIRECT(ADDRESS(2,COLUMN())),OFFSET($T$2,0,0,ROW()-1,14),ROW()-1,FALSE))</x:f>
        <x:v>0</x:v>
      </x:c>
      <x:c r="J955">
        <x:f ca="1">IF(AND($B$1012=1,LEN($J$1931)&gt;0),$J$1931,HLOOKUP(INDIRECT(ADDRESS(2,COLUMN())),OFFSET($T$2,0,0,ROW()-1,14),ROW()-1,FALSE))</x:f>
        <x:v>0</x:v>
      </x:c>
      <x:c r="K955">
        <x:f ca="1">IF(AND($B$1012=1,LEN($K$1931)&gt;0),$K$1931,HLOOKUP(INDIRECT(ADDRESS(2,COLUMN())),OFFSET($T$2,0,0,ROW()-1,14),ROW()-1,FALSE))</x:f>
        <x:v>0</x:v>
      </x:c>
      <x:c r="L955">
        <x:f ca="1">IF(AND($B$1012=1,LEN($L$1931)&gt;0),$L$1931,HLOOKUP(INDIRECT(ADDRESS(2,COLUMN())),OFFSET($T$2,0,0,ROW()-1,14),ROW()-1,FALSE))</x:f>
        <x:v>-0.40521200000000002</x:v>
      </x:c>
      <x:c r="M955">
        <x:f ca="1">IF(AND($B$1012=1,LEN($M$1931)&gt;0),$M$1931,HLOOKUP(INDIRECT(ADDRESS(2,COLUMN())),OFFSET($T$2,0,0,ROW()-1,14),ROW()-1,FALSE))</x:f>
        <x:v>-0.40307500000000002</x:v>
      </x:c>
      <x:c r="N955">
        <x:f ca="1">IF(AND($B$1012=1,LEN($N$1931)&gt;0),$N$1931,HLOOKUP(INDIRECT(ADDRESS(2,COLUMN())),OFFSET($T$2,0,0,ROW()-1,14),ROW()-1,FALSE))</x:f>
        <x:v>-0.401754</x:v>
      </x:c>
      <x:c r="O955">
        <x:f ca="1">IF(AND($B$1012=1,LEN($O$1931)&gt;0),$O$1931,HLOOKUP(INDIRECT(ADDRESS(2,COLUMN())),OFFSET($T$2,0,0,ROW()-1,14),ROW()-1,FALSE))</x:f>
        <x:v>0</x:v>
      </x:c>
      <x:c r="P955">
        <x:f ca="1">IF(AND($B$1012=1,LEN($P$1931)&gt;0),$P$1931,HLOOKUP(INDIRECT(ADDRESS(2,COLUMN())),OFFSET($T$2,0,0,ROW()-1,14),ROW()-1,FALSE))</x:f>
        <x:v>-0.41811900000000002</x:v>
      </x:c>
      <x:c r="Q955">
        <x:f ca="1">IF(AND($B$1012=1,LEN($Q$1931)&gt;0),$Q$1931,HLOOKUP(INDIRECT(ADDRESS(2,COLUMN())),OFFSET($T$2,0,0,ROW()-1,14),ROW()-1,FALSE))</x:f>
        <x:v>0</x:v>
      </x:c>
      <x:c r="R955">
        <x:f ca="1">IF(AND($B$1012=1,LEN($R$1931)&gt;0),$R$1931,HLOOKUP(INDIRECT(ADDRESS(2,COLUMN())),OFFSET($T$2,0,0,ROW()-1,14),ROW()-1,FALSE))</x:f>
        <x:v>-0.38785900000000001</x:v>
      </x:c>
      <x:c r="S955">
        <x:f ca="1">IF(AND($B$1012=1,LEN($S$1931)&gt;0),$S$1931,HLOOKUP(INDIRECT(ADDRESS(2,COLUMN())),OFFSET($T$2,0,0,ROW()-1,14),ROW()-1,FALSE))</x:f>
        <x:v>-0.34556599999999998</x:v>
      </x:c>
      <x:c r="T955">
        <x:f>0</x:f>
        <x:v>0</x:v>
      </x:c>
      <x:c r="U955">
        <x:f>0</x:f>
        <x:v>0</x:v>
      </x:c>
      <x:c r="V955">
        <x:f>-0.394829</x:f>
        <x:v>-0.39482899999999999</x:v>
      </x:c>
      <x:c r="W955">
        <x:f>0</x:f>
        <x:v>0</x:v>
      </x:c>
      <x:c r="X955">
        <x:f>0</x:f>
        <x:v>0</x:v>
      </x:c>
      <x:c r="Y955">
        <x:f>0</x:f>
        <x:v>0</x:v>
      </x:c>
      <x:c r="Z955">
        <x:f>-0.405212</x:f>
        <x:v>-0.40521200000000002</x:v>
      </x:c>
      <x:c r="AA955">
        <x:f>-0.403075</x:f>
        <x:v>-0.40307500000000002</x:v>
      </x:c>
      <x:c r="AB955">
        <x:f>-0.401754</x:f>
        <x:v>-0.401754</x:v>
      </x:c>
      <x:c r="AC955">
        <x:f>0</x:f>
        <x:v>0</x:v>
      </x:c>
      <x:c r="AD955">
        <x:f>-0.418119</x:f>
        <x:v>-0.41811900000000002</x:v>
      </x:c>
      <x:c r="AE955">
        <x:f>0</x:f>
        <x:v>0</x:v>
      </x:c>
      <x:c r="AF955">
        <x:f>-0.387859</x:f>
        <x:v>-0.38785900000000001</x:v>
      </x:c>
      <x:c r="AG955">
        <x:f>-0.345566</x:f>
        <x:v>-0.34556599999999998</x:v>
      </x:c>
    </x:row>
    <x:row r="956" spans="1:33" x14ac:dyDescent="0.25">
      <x:c r="A956" t="str">
        <x:f>"            Procure Space ETF"</x:f>
        <x:v xml:space="preserve">            Procure Space ETF</x:v>
      </x:c>
      <x:c r="B956" t="str">
        <x:f>"UFO US Equity"</x:f>
        <x:v>UFO US Equity</x:v>
      </x:c>
      <x:c r="E956" t="str">
        <x:f>"Expression"</x:f>
        <x:v>Expression</x:v>
      </x:c>
      <x:c r="F956">
        <x:f ca="1">IF(AND($B$1012=1,LEN($F$1932)&gt;0),$F$1932,HLOOKUP(INDIRECT(ADDRESS(2,COLUMN())),OFFSET($T$2,0,0,ROW()-1,14),ROW()-1,FALSE))</x:f>
        <x:v>-0.79854499999999995</x:v>
      </x:c>
      <x:c r="G956">
        <x:f ca="1">IF(AND($B$1012=1,LEN($G$1932)&gt;0),$G$1932,HLOOKUP(INDIRECT(ADDRESS(2,COLUMN())),OFFSET($T$2,0,0,ROW()-1,14),ROW()-1,FALSE))</x:f>
        <x:v>-0.77642999999999995</x:v>
      </x:c>
      <x:c r="H956">
        <x:f ca="1">IF(AND($B$1012=1,LEN($H$1932)&gt;0),$H$1932,HLOOKUP(INDIRECT(ADDRESS(2,COLUMN())),OFFSET($T$2,0,0,ROW()-1,14),ROW()-1,FALSE))</x:f>
        <x:v>-1.355213</x:v>
      </x:c>
      <x:c r="I956">
        <x:f ca="1">IF(AND($B$1012=1,LEN($I$1932)&gt;0),$I$1932,HLOOKUP(INDIRECT(ADDRESS(2,COLUMN())),OFFSET($T$2,0,0,ROW()-1,14),ROW()-1,FALSE))</x:f>
        <x:v>-2.4668950000000001</x:v>
      </x:c>
      <x:c r="J956">
        <x:f ca="1">IF(AND($B$1012=1,LEN($J$1932)&gt;0),$J$1932,HLOOKUP(INDIRECT(ADDRESS(2,COLUMN())),OFFSET($T$2,0,0,ROW()-1,14),ROW()-1,FALSE))</x:f>
        <x:v>0</x:v>
      </x:c>
      <x:c r="K956">
        <x:f ca="1">IF(AND($B$1012=1,LEN($K$1932)&gt;0),$K$1932,HLOOKUP(INDIRECT(ADDRESS(2,COLUMN())),OFFSET($T$2,0,0,ROW()-1,14),ROW()-1,FALSE))</x:f>
        <x:v>-1.439505</x:v>
      </x:c>
      <x:c r="L956">
        <x:f ca="1">IF(AND($B$1012=1,LEN($L$1932)&gt;0),$L$1932,HLOOKUP(INDIRECT(ADDRESS(2,COLUMN())),OFFSET($T$2,0,0,ROW()-1,14),ROW()-1,FALSE))</x:f>
        <x:v>-0.46673799999999999</x:v>
      </x:c>
      <x:c r="M956">
        <x:f ca="1">IF(AND($B$1012=1,LEN($M$1932)&gt;0),$M$1932,HLOOKUP(INDIRECT(ADDRESS(2,COLUMN())),OFFSET($T$2,0,0,ROW()-1,14),ROW()-1,FALSE))</x:f>
        <x:v>-0.93118000000000001</x:v>
      </x:c>
      <x:c r="N956">
        <x:f ca="1">IF(AND($B$1012=1,LEN($N$1932)&gt;0),$N$1932,HLOOKUP(INDIRECT(ADDRESS(2,COLUMN())),OFFSET($T$2,0,0,ROW()-1,14),ROW()-1,FALSE))</x:f>
        <x:v>-3.402987</x:v>
      </x:c>
      <x:c r="O956">
        <x:f ca="1">IF(AND($B$1012=1,LEN($O$1932)&gt;0),$O$1932,HLOOKUP(INDIRECT(ADDRESS(2,COLUMN())),OFFSET($T$2,0,0,ROW()-1,14),ROW()-1,FALSE))</x:f>
        <x:v>0</x:v>
      </x:c>
      <x:c r="P956">
        <x:f ca="1">IF(AND($B$1012=1,LEN($P$1932)&gt;0),$P$1932,HLOOKUP(INDIRECT(ADDRESS(2,COLUMN())),OFFSET($T$2,0,0,ROW()-1,14),ROW()-1,FALSE))</x:f>
        <x:v>-0.53186</x:v>
      </x:c>
      <x:c r="Q956">
        <x:f ca="1">IF(AND($B$1012=1,LEN($Q$1932)&gt;0),$Q$1932,HLOOKUP(INDIRECT(ADDRESS(2,COLUMN())),OFFSET($T$2,0,0,ROW()-1,14),ROW()-1,FALSE))</x:f>
        <x:v>-1.9836419999999999</x:v>
      </x:c>
      <x:c r="R956">
        <x:f ca="1">IF(AND($B$1012=1,LEN($R$1932)&gt;0),$R$1932,HLOOKUP(INDIRECT(ADDRESS(2,COLUMN())),OFFSET($T$2,0,0,ROW()-1,14),ROW()-1,FALSE))</x:f>
        <x:v>-1.0452300000000001</x:v>
      </x:c>
      <x:c r="S956">
        <x:f ca="1">IF(AND($B$1012=1,LEN($S$1932)&gt;0),$S$1932,HLOOKUP(INDIRECT(ADDRESS(2,COLUMN())),OFFSET($T$2,0,0,ROW()-1,14),ROW()-1,FALSE))</x:f>
        <x:v>0</x:v>
      </x:c>
      <x:c r="T956">
        <x:f>-0.798545</x:f>
        <x:v>-0.79854499999999995</x:v>
      </x:c>
      <x:c r="U956">
        <x:f>-0.77643</x:f>
        <x:v>-0.77642999999999995</x:v>
      </x:c>
      <x:c r="V956">
        <x:f>-1.355213</x:f>
        <x:v>-1.355213</x:v>
      </x:c>
      <x:c r="W956">
        <x:f>-2.466895</x:f>
        <x:v>-2.4668950000000001</x:v>
      </x:c>
      <x:c r="X956">
        <x:f>0</x:f>
        <x:v>0</x:v>
      </x:c>
      <x:c r="Y956">
        <x:f>-1.439505</x:f>
        <x:v>-1.439505</x:v>
      </x:c>
      <x:c r="Z956">
        <x:f>-0.466738</x:f>
        <x:v>-0.46673799999999999</x:v>
      </x:c>
      <x:c r="AA956">
        <x:f>-0.93118</x:f>
        <x:v>-0.93118000000000001</x:v>
      </x:c>
      <x:c r="AB956">
        <x:f>-3.402987</x:f>
        <x:v>-3.402987</x:v>
      </x:c>
      <x:c r="AC956">
        <x:f>0</x:f>
        <x:v>0</x:v>
      </x:c>
      <x:c r="AD956">
        <x:f>-0.53186</x:f>
        <x:v>-0.53186</x:v>
      </x:c>
      <x:c r="AE956">
        <x:f>-1.983642</x:f>
        <x:v>-1.9836419999999999</x:v>
      </x:c>
      <x:c r="AF956">
        <x:f>-1.04523</x:f>
        <x:v>-1.0452300000000001</x:v>
      </x:c>
      <x:c r="AG956">
        <x:f>0</x:f>
        <x:v>0</x:v>
      </x:c>
    </x:row>
    <x:row r="957" spans="1:33" x14ac:dyDescent="0.25">
      <x:c r="A957" t="str">
        <x:f>"            ARK Space Exploration &amp; Innova"</x:f>
        <x:v xml:space="preserve">            ARK Space Exploration &amp; Innova</x:v>
      </x:c>
      <x:c r="B957" t="str">
        <x:f>"ARKX US Equity"</x:f>
        <x:v>ARKX US Equity</x:v>
      </x:c>
      <x:c r="E957" t="str">
        <x:f>"Expression"</x:f>
        <x:v>Expression</x:v>
      </x:c>
      <x:c r="F957">
        <x:f ca="1">IF(AND($B$1012=1,LEN($F$1933)&gt;0),$F$1933,HLOOKUP(INDIRECT(ADDRESS(2,COLUMN())),OFFSET($T$2,0,0,ROW()-1,14),ROW()-1,FALSE))</x:f>
        <x:v>-4.0330539999999999</x:v>
      </x:c>
      <x:c r="G957">
        <x:f ca="1">IF(AND($B$1012=1,LEN($G$1933)&gt;0),$G$1933,HLOOKUP(INDIRECT(ADDRESS(2,COLUMN())),OFFSET($T$2,0,0,ROW()-1,14),ROW()-1,FALSE))</x:f>
        <x:v>-2.016832</x:v>
      </x:c>
      <x:c r="H957">
        <x:f ca="1">IF(AND($B$1012=1,LEN($H$1933)&gt;0),$H$1933,HLOOKUP(INDIRECT(ADDRESS(2,COLUMN())),OFFSET($T$2,0,0,ROW()-1,14),ROW()-1,FALSE))</x:f>
        <x:v>-4.1394409999999997</x:v>
      </x:c>
      <x:c r="I957">
        <x:f ca="1">IF(AND($B$1012=1,LEN($I$1933)&gt;0),$I$1933,HLOOKUP(INDIRECT(ADDRESS(2,COLUMN())),OFFSET($T$2,0,0,ROW()-1,14),ROW()-1,FALSE))</x:f>
        <x:v>-3.4933779999999999</x:v>
      </x:c>
      <x:c r="J957">
        <x:f ca="1">IF(AND($B$1012=1,LEN($J$1933)&gt;0),$J$1933,HLOOKUP(INDIRECT(ADDRESS(2,COLUMN())),OFFSET($T$2,0,0,ROW()-1,14),ROW()-1,FALSE))</x:f>
        <x:v>0</x:v>
      </x:c>
      <x:c r="K957">
        <x:f ca="1">IF(AND($B$1012=1,LEN($K$1933)&gt;0),$K$1933,HLOOKUP(INDIRECT(ADDRESS(2,COLUMN())),OFFSET($T$2,0,0,ROW()-1,14),ROW()-1,FALSE))</x:f>
        <x:v>-4.2841909999999999</x:v>
      </x:c>
      <x:c r="L957">
        <x:f ca="1">IF(AND($B$1012=1,LEN($L$1933)&gt;0),$L$1933,HLOOKUP(INDIRECT(ADDRESS(2,COLUMN())),OFFSET($T$2,0,0,ROW()-1,14),ROW()-1,FALSE))</x:f>
        <x:v>-2.7114549999999999</x:v>
      </x:c>
      <x:c r="M957">
        <x:f ca="1">IF(AND($B$1012=1,LEN($M$1933)&gt;0),$M$1933,HLOOKUP(INDIRECT(ADDRESS(2,COLUMN())),OFFSET($T$2,0,0,ROW()-1,14),ROW()-1,FALSE))</x:f>
        <x:v>-4.7491719999999997</x:v>
      </x:c>
      <x:c r="N957">
        <x:f ca="1">IF(AND($B$1012=1,LEN($N$1933)&gt;0),$N$1933,HLOOKUP(INDIRECT(ADDRESS(2,COLUMN())),OFFSET($T$2,0,0,ROW()-1,14),ROW()-1,FALSE))</x:f>
        <x:v>-1.3626240000000001</x:v>
      </x:c>
      <x:c r="O957">
        <x:f ca="1">IF(AND($B$1012=1,LEN($O$1933)&gt;0),$O$1933,HLOOKUP(INDIRECT(ADDRESS(2,COLUMN())),OFFSET($T$2,0,0,ROW()-1,14),ROW()-1,FALSE))</x:f>
        <x:v>-0.69470299999999996</x:v>
      </x:c>
      <x:c r="P957">
        <x:f ca="1">IF(AND($B$1012=1,LEN($P$1933)&gt;0),$P$1933,HLOOKUP(INDIRECT(ADDRESS(2,COLUMN())),OFFSET($T$2,0,0,ROW()-1,14),ROW()-1,FALSE))</x:f>
        <x:v>-7.1943339999999996</x:v>
      </x:c>
      <x:c r="Q957">
        <x:f ca="1">IF(AND($B$1012=1,LEN($Q$1933)&gt;0),$Q$1933,HLOOKUP(INDIRECT(ADDRESS(2,COLUMN())),OFFSET($T$2,0,0,ROW()-1,14),ROW()-1,FALSE))</x:f>
        <x:v>3.0670510000000002</x:v>
      </x:c>
      <x:c r="R957">
        <x:f ca="1">IF(AND($B$1012=1,LEN($R$1933)&gt;0),$R$1933,HLOOKUP(INDIRECT(ADDRESS(2,COLUMN())),OFFSET($T$2,0,0,ROW()-1,14),ROW()-1,FALSE))</x:f>
        <x:v>-5.2557830000000001</x:v>
      </x:c>
      <x:c r="S957">
        <x:f ca="1">IF(AND($B$1012=1,LEN($S$1933)&gt;0),$S$1933,HLOOKUP(INDIRECT(ADDRESS(2,COLUMN())),OFFSET($T$2,0,0,ROW()-1,14),ROW()-1,FALSE))</x:f>
        <x:v>-2.5198469999999999</x:v>
      </x:c>
      <x:c r="T957">
        <x:f>-4.033054</x:f>
        <x:v>-4.0330539999999999</x:v>
      </x:c>
      <x:c r="U957">
        <x:f>-2.016832</x:f>
        <x:v>-2.016832</x:v>
      </x:c>
      <x:c r="V957">
        <x:f>-4.139441</x:f>
        <x:v>-4.1394409999999997</x:v>
      </x:c>
      <x:c r="W957">
        <x:f>-3.493378</x:f>
        <x:v>-3.4933779999999999</x:v>
      </x:c>
      <x:c r="X957">
        <x:f>0</x:f>
        <x:v>0</x:v>
      </x:c>
      <x:c r="Y957">
        <x:f>-4.284191</x:f>
        <x:v>-4.2841909999999999</x:v>
      </x:c>
      <x:c r="Z957">
        <x:f>-2.711455</x:f>
        <x:v>-2.7114549999999999</x:v>
      </x:c>
      <x:c r="AA957">
        <x:f>-4.749172</x:f>
        <x:v>-4.7491719999999997</x:v>
      </x:c>
      <x:c r="AB957">
        <x:f>-1.362624</x:f>
        <x:v>-1.3626240000000001</x:v>
      </x:c>
      <x:c r="AC957">
        <x:f>-0.694703</x:f>
        <x:v>-0.69470299999999996</x:v>
      </x:c>
      <x:c r="AD957">
        <x:f>-7.194334</x:f>
        <x:v>-7.1943339999999996</x:v>
      </x:c>
      <x:c r="AE957">
        <x:f>3.067051</x:f>
        <x:v>3.0670510000000002</x:v>
      </x:c>
      <x:c r="AF957">
        <x:f>-5.255783</x:f>
        <x:v>-5.2557830000000001</x:v>
      </x:c>
      <x:c r="AG957">
        <x:f>-2.519847</x:f>
        <x:v>-2.5198469999999999</x:v>
      </x:c>
    </x:row>
    <x:row r="958" spans="1:33" x14ac:dyDescent="0.25">
      <x:c r="A958" t="str">
        <x:f>"        Work From Home"</x:f>
        <x:v xml:space="preserve">        Work From Home</x:v>
      </x:c>
      <x:c r="B958" t="str">
        <x:f>""</x:f>
        <x:v/>
      </x:c>
      <x:c r="E958" t="str">
        <x:f>"Sum"</x:f>
        <x:v>Sum</x:v>
      </x:c>
      <x:c r="F958" t="str">
        <x:f ca="1">IF(ISERROR(IF(SUM($F$959:$F$961) = 0, "", SUM($F$959:$F$961))), "", (IF(SUM($F$959:$F$961) = 0, "", SUM($F$959:$F$961))))</x:f>
        <x:v/>
      </x:c>
      <x:c r="G958" t="str">
        <x:f ca="1">IF(ISERROR(IF(SUM($G$959:$G$961) = 0, "", SUM($G$959:$G$961))), "", (IF(SUM($G$959:$G$961) = 0, "", SUM($G$959:$G$961))))</x:f>
        <x:v/>
      </x:c>
      <x:c r="H958" t="str">
        <x:f ca="1">IF(ISERROR(IF(SUM($H$959:$H$961) = 0, "", SUM($H$959:$H$961))), "", (IF(SUM($H$959:$H$961) = 0, "", SUM($H$959:$H$961))))</x:f>
        <x:v/>
      </x:c>
      <x:c r="I958">
        <x:f ca="1">IF(ISERROR(IF(SUM($I$959:$I$961) = 0, "", SUM($I$959:$I$961))), "", (IF(SUM($I$959:$I$961) = 0, "", SUM($I$959:$I$961))))</x:f>
        <x:v>-2.5085890000000002</x:v>
      </x:c>
      <x:c r="J958" t="str">
        <x:f ca="1">IF(ISERROR(IF(SUM($J$959:$J$961) = 0, "", SUM($J$959:$J$961))), "", (IF(SUM($J$959:$J$961) = 0, "", SUM($J$959:$J$961))))</x:f>
        <x:v/>
      </x:c>
      <x:c r="K958" t="str">
        <x:f ca="1">IF(ISERROR(IF(SUM($K$959:$K$961) = 0, "", SUM($K$959:$K$961))), "", (IF(SUM($K$959:$K$961) = 0, "", SUM($K$959:$K$961))))</x:f>
        <x:v/>
      </x:c>
      <x:c r="L958">
        <x:f ca="1">IF(ISERROR(IF(SUM($L$959:$L$961) = 0, "", SUM($L$959:$L$961))), "", (IF(SUM($L$959:$L$961) = 0, "", SUM($L$959:$L$961))))</x:f>
        <x:v>-1.1425320000000001</x:v>
      </x:c>
      <x:c r="M958">
        <x:f ca="1">IF(ISERROR(IF(SUM($M$959:$M$961) = 0, "", SUM($M$959:$M$961))), "", (IF(SUM($M$959:$M$961) = 0, "", SUM($M$959:$M$961))))</x:f>
        <x:v>-1.121084</x:v>
      </x:c>
      <x:c r="N958">
        <x:f ca="1">IF(ISERROR(IF(SUM($N$959:$N$961) = 0, "", SUM($N$959:$N$961))), "", (IF(SUM($N$959:$N$961) = 0, "", SUM($N$959:$N$961))))</x:f>
        <x:v>-2.2728429999999999</x:v>
      </x:c>
      <x:c r="O958" t="str">
        <x:f ca="1">IF(ISERROR(IF(SUM($O$959:$O$961) = 0, "", SUM($O$959:$O$961))), "", (IF(SUM($O$959:$O$961) = 0, "", SUM($O$959:$O$961))))</x:f>
        <x:v/>
      </x:c>
      <x:c r="P958">
        <x:f ca="1">IF(ISERROR(IF(SUM($P$959:$P$961) = 0, "", SUM($P$959:$P$961))), "", (IF(SUM($P$959:$P$961) = 0, "", SUM($P$959:$P$961))))</x:f>
        <x:v>-1.098619</x:v>
      </x:c>
      <x:c r="Q958">
        <x:f ca="1">IF(ISERROR(IF(SUM($Q$959:$Q$961) = 0, "", SUM($Q$959:$Q$961))), "", (IF(SUM($Q$959:$Q$961) = 0, "", SUM($Q$959:$Q$961))))</x:f>
        <x:v>-2.0411100000000002</x:v>
      </x:c>
      <x:c r="R958">
        <x:f ca="1">IF(ISERROR(IF(SUM($R$959:$R$961) = 0, "", SUM($R$959:$R$961))), "", (IF(SUM($R$959:$R$961) = 0, "", SUM($R$959:$R$961))))</x:f>
        <x:v>-2.040943</x:v>
      </x:c>
      <x:c r="S958" t="str">
        <x:f ca="1">IF(ISERROR(IF(SUM($S$959:$S$961) = 0, "", SUM($S$959:$S$961))), "", (IF(SUM($S$959:$S$961) = 0, "", SUM($S$959:$S$961))))</x:f>
        <x:v/>
      </x:c>
      <x:c r="T958">
        <x:f>0</x:f>
        <x:v>0</x:v>
      </x:c>
      <x:c r="U958">
        <x:f>0</x:f>
        <x:v>0</x:v>
      </x:c>
      <x:c r="V958">
        <x:f>0</x:f>
        <x:v>0</x:v>
      </x:c>
      <x:c r="W958">
        <x:f>-2.508589</x:f>
        <x:v>-2.5085890000000002</x:v>
      </x:c>
      <x:c r="X958">
        <x:f>0</x:f>
        <x:v>0</x:v>
      </x:c>
      <x:c r="Y958">
        <x:f>0</x:f>
        <x:v>0</x:v>
      </x:c>
      <x:c r="Z958">
        <x:f>-1.142532</x:f>
        <x:v>-1.1425320000000001</x:v>
      </x:c>
      <x:c r="AA958">
        <x:f>-1.121084</x:f>
        <x:v>-1.121084</x:v>
      </x:c>
      <x:c r="AB958">
        <x:f>-2.272843</x:f>
        <x:v>-2.2728429999999999</x:v>
      </x:c>
      <x:c r="AC958">
        <x:f>0</x:f>
        <x:v>0</x:v>
      </x:c>
      <x:c r="AD958">
        <x:f>-1.098619</x:f>
        <x:v>-1.098619</x:v>
      </x:c>
      <x:c r="AE958">
        <x:f>-2.04111</x:f>
        <x:v>-2.0411100000000002</x:v>
      </x:c>
      <x:c r="AF958">
        <x:f>-2.040943</x:f>
        <x:v>-2.040943</x:v>
      </x:c>
      <x:c r="AG958">
        <x:f>0</x:f>
        <x:v>0</x:v>
      </x:c>
    </x:row>
    <x:row r="959" spans="1:33" x14ac:dyDescent="0.25">
      <x:c r="A959" t="str">
        <x:f>"            iShares Virtual Work &amp; Life Mu"</x:f>
        <x:v xml:space="preserve">            iShares Virtual Work &amp; Life Mu</x:v>
      </x:c>
      <x:c r="B959" t="str">
        <x:f>"IWFH US Equity"</x:f>
        <x:v>IWFH US Equity</x:v>
      </x:c>
      <x:c r="E959" t="str">
        <x:f>"Expression"</x:f>
        <x:v>Expression</x:v>
      </x:c>
      <x:c r="F959">
        <x:f ca="1">IF(AND($B$1012=1,LEN($F$1934)&gt;0),$F$1934,HLOOKUP(INDIRECT(ADDRESS(2,COLUMN())),OFFSET($T$2,0,0,ROW()-1,14),ROW()-1,FALSE))</x:f>
        <x:v>0</x:v>
      </x:c>
      <x:c r="G959">
        <x:f ca="1">IF(AND($B$1012=1,LEN($G$1934)&gt;0),$G$1934,HLOOKUP(INDIRECT(ADDRESS(2,COLUMN())),OFFSET($T$2,0,0,ROW()-1,14),ROW()-1,FALSE))</x:f>
        <x:v>0</x:v>
      </x:c>
      <x:c r="H959">
        <x:f ca="1">IF(AND($B$1012=1,LEN($H$1934)&gt;0),$H$1934,HLOOKUP(INDIRECT(ADDRESS(2,COLUMN())),OFFSET($T$2,0,0,ROW()-1,14),ROW()-1,FALSE))</x:f>
        <x:v>0</x:v>
      </x:c>
      <x:c r="I959">
        <x:f ca="1">IF(AND($B$1012=1,LEN($I$1934)&gt;0),$I$1934,HLOOKUP(INDIRECT(ADDRESS(2,COLUMN())),OFFSET($T$2,0,0,ROW()-1,14),ROW()-1,FALSE))</x:f>
        <x:v>0</x:v>
      </x:c>
      <x:c r="J959">
        <x:f ca="1">IF(AND($B$1012=1,LEN($J$1934)&gt;0),$J$1934,HLOOKUP(INDIRECT(ADDRESS(2,COLUMN())),OFFSET($T$2,0,0,ROW()-1,14),ROW()-1,FALSE))</x:f>
        <x:v>0</x:v>
      </x:c>
      <x:c r="K959">
        <x:f ca="1">IF(AND($B$1012=1,LEN($K$1934)&gt;0),$K$1934,HLOOKUP(INDIRECT(ADDRESS(2,COLUMN())),OFFSET($T$2,0,0,ROW()-1,14),ROW()-1,FALSE))</x:f>
        <x:v>0</x:v>
      </x:c>
      <x:c r="L959">
        <x:f ca="1">IF(AND($B$1012=1,LEN($L$1934)&gt;0),$L$1934,HLOOKUP(INDIRECT(ADDRESS(2,COLUMN())),OFFSET($T$2,0,0,ROW()-1,14),ROW()-1,FALSE))</x:f>
        <x:v>0</x:v>
      </x:c>
      <x:c r="M959">
        <x:f ca="1">IF(AND($B$1012=1,LEN($M$1934)&gt;0),$M$1934,HLOOKUP(INDIRECT(ADDRESS(2,COLUMN())),OFFSET($T$2,0,0,ROW()-1,14),ROW()-1,FALSE))</x:f>
        <x:v>0</x:v>
      </x:c>
      <x:c r="N959">
        <x:f ca="1">IF(AND($B$1012=1,LEN($N$1934)&gt;0),$N$1934,HLOOKUP(INDIRECT(ADDRESS(2,COLUMN())),OFFSET($T$2,0,0,ROW()-1,14),ROW()-1,FALSE))</x:f>
        <x:v>0</x:v>
      </x:c>
      <x:c r="O959">
        <x:f ca="1">IF(AND($B$1012=1,LEN($O$1934)&gt;0),$O$1934,HLOOKUP(INDIRECT(ADDRESS(2,COLUMN())),OFFSET($T$2,0,0,ROW()-1,14),ROW()-1,FALSE))</x:f>
        <x:v>0</x:v>
      </x:c>
      <x:c r="P959">
        <x:f ca="1">IF(AND($B$1012=1,LEN($P$1934)&gt;0),$P$1934,HLOOKUP(INDIRECT(ADDRESS(2,COLUMN())),OFFSET($T$2,0,0,ROW()-1,14),ROW()-1,FALSE))</x:f>
        <x:v>0</x:v>
      </x:c>
      <x:c r="Q959">
        <x:f ca="1">IF(AND($B$1012=1,LEN($Q$1934)&gt;0),$Q$1934,HLOOKUP(INDIRECT(ADDRESS(2,COLUMN())),OFFSET($T$2,0,0,ROW()-1,14),ROW()-1,FALSE))</x:f>
        <x:v>0</x:v>
      </x:c>
      <x:c r="R959">
        <x:f ca="1">IF(AND($B$1012=1,LEN($R$1934)&gt;0),$R$1934,HLOOKUP(INDIRECT(ADDRESS(2,COLUMN())),OFFSET($T$2,0,0,ROW()-1,14),ROW()-1,FALSE))</x:f>
        <x:v>0</x:v>
      </x:c>
      <x:c r="S959">
        <x:f ca="1">IF(AND($B$1012=1,LEN($S$1934)&gt;0),$S$1934,HLOOKUP(INDIRECT(ADDRESS(2,COLUMN())),OFFSET($T$2,0,0,ROW()-1,14),ROW()-1,FALSE))</x:f>
        <x:v>0</x:v>
      </x:c>
      <x:c r="T959">
        <x:f>0</x:f>
        <x:v>0</x:v>
      </x:c>
      <x:c r="U959">
        <x:f>0</x:f>
        <x:v>0</x:v>
      </x:c>
      <x:c r="V959">
        <x:f>0</x:f>
        <x:v>0</x:v>
      </x:c>
      <x:c r="W959">
        <x:f>0</x:f>
        <x:v>0</x:v>
      </x:c>
      <x:c r="X959">
        <x:f>0</x:f>
        <x:v>0</x:v>
      </x:c>
      <x:c r="Y959">
        <x:f>0</x:f>
        <x:v>0</x:v>
      </x:c>
      <x:c r="Z959">
        <x:f>0</x:f>
        <x:v>0</x:v>
      </x:c>
      <x:c r="AA959">
        <x:f>0</x:f>
        <x:v>0</x:v>
      </x:c>
      <x:c r="AB959">
        <x:f>0</x:f>
        <x:v>0</x:v>
      </x:c>
      <x:c r="AC959">
        <x:f>0</x:f>
        <x:v>0</x:v>
      </x:c>
      <x:c r="AD959">
        <x:f>0</x:f>
        <x:v>0</x:v>
      </x:c>
      <x:c r="AE959">
        <x:f>0</x:f>
        <x:v>0</x:v>
      </x:c>
      <x:c r="AF959">
        <x:f>0</x:f>
        <x:v>0</x:v>
      </x:c>
      <x:c r="AG959">
        <x:f>0</x:f>
        <x:v>0</x:v>
      </x:c>
    </x:row>
    <x:row r="960" spans="1:33" x14ac:dyDescent="0.25">
      <x:c r="A960" t="str">
        <x:f>"            Direxion Work From Home ETF"</x:f>
        <x:v xml:space="preserve">            Direxion Work From Home ETF</x:v>
      </x:c>
      <x:c r="B960" t="str">
        <x:f>"WFH US Equity"</x:f>
        <x:v>WFH US Equity</x:v>
      </x:c>
      <x:c r="E960" t="str">
        <x:f>"Expression"</x:f>
        <x:v>Expression</x:v>
      </x:c>
      <x:c r="F960">
        <x:f ca="1">IF(AND($B$1012=1,LEN($F$1935)&gt;0),$F$1935,HLOOKUP(INDIRECT(ADDRESS(2,COLUMN())),OFFSET($T$2,0,0,ROW()-1,14),ROW()-1,FALSE))</x:f>
        <x:v>0</x:v>
      </x:c>
      <x:c r="G960">
        <x:f ca="1">IF(AND($B$1012=1,LEN($G$1935)&gt;0),$G$1935,HLOOKUP(INDIRECT(ADDRESS(2,COLUMN())),OFFSET($T$2,0,0,ROW()-1,14),ROW()-1,FALSE))</x:f>
        <x:v>0</x:v>
      </x:c>
      <x:c r="H960">
        <x:f ca="1">IF(AND($B$1012=1,LEN($H$1935)&gt;0),$H$1935,HLOOKUP(INDIRECT(ADDRESS(2,COLUMN())),OFFSET($T$2,0,0,ROW()-1,14),ROW()-1,FALSE))</x:f>
        <x:v>0</x:v>
      </x:c>
      <x:c r="I960">
        <x:f ca="1">IF(AND($B$1012=1,LEN($I$1935)&gt;0),$I$1935,HLOOKUP(INDIRECT(ADDRESS(2,COLUMN())),OFFSET($T$2,0,0,ROW()-1,14),ROW()-1,FALSE))</x:f>
        <x:v>-2.5085890000000002</x:v>
      </x:c>
      <x:c r="J960">
        <x:f ca="1">IF(AND($B$1012=1,LEN($J$1935)&gt;0),$J$1935,HLOOKUP(INDIRECT(ADDRESS(2,COLUMN())),OFFSET($T$2,0,0,ROW()-1,14),ROW()-1,FALSE))</x:f>
        <x:v>0</x:v>
      </x:c>
      <x:c r="K960">
        <x:f ca="1">IF(AND($B$1012=1,LEN($K$1935)&gt;0),$K$1935,HLOOKUP(INDIRECT(ADDRESS(2,COLUMN())),OFFSET($T$2,0,0,ROW()-1,14),ROW()-1,FALSE))</x:f>
        <x:v>0</x:v>
      </x:c>
      <x:c r="L960">
        <x:f ca="1">IF(AND($B$1012=1,LEN($L$1935)&gt;0),$L$1935,HLOOKUP(INDIRECT(ADDRESS(2,COLUMN())),OFFSET($T$2,0,0,ROW()-1,14),ROW()-1,FALSE))</x:f>
        <x:v>-1.1425320000000001</x:v>
      </x:c>
      <x:c r="M960">
        <x:f ca="1">IF(AND($B$1012=1,LEN($M$1935)&gt;0),$M$1935,HLOOKUP(INDIRECT(ADDRESS(2,COLUMN())),OFFSET($T$2,0,0,ROW()-1,14),ROW()-1,FALSE))</x:f>
        <x:v>-1.121084</x:v>
      </x:c>
      <x:c r="N960">
        <x:f ca="1">IF(AND($B$1012=1,LEN($N$1935)&gt;0),$N$1935,HLOOKUP(INDIRECT(ADDRESS(2,COLUMN())),OFFSET($T$2,0,0,ROW()-1,14),ROW()-1,FALSE))</x:f>
        <x:v>-2.2728429999999999</x:v>
      </x:c>
      <x:c r="O960">
        <x:f ca="1">IF(AND($B$1012=1,LEN($O$1935)&gt;0),$O$1935,HLOOKUP(INDIRECT(ADDRESS(2,COLUMN())),OFFSET($T$2,0,0,ROW()-1,14),ROW()-1,FALSE))</x:f>
        <x:v>0</x:v>
      </x:c>
      <x:c r="P960">
        <x:f ca="1">IF(AND($B$1012=1,LEN($P$1935)&gt;0),$P$1935,HLOOKUP(INDIRECT(ADDRESS(2,COLUMN())),OFFSET($T$2,0,0,ROW()-1,14),ROW()-1,FALSE))</x:f>
        <x:v>-1.098619</x:v>
      </x:c>
      <x:c r="Q960">
        <x:f ca="1">IF(AND($B$1012=1,LEN($Q$1935)&gt;0),$Q$1935,HLOOKUP(INDIRECT(ADDRESS(2,COLUMN())),OFFSET($T$2,0,0,ROW()-1,14),ROW()-1,FALSE))</x:f>
        <x:v>-2.0411100000000002</x:v>
      </x:c>
      <x:c r="R960">
        <x:f ca="1">IF(AND($B$1012=1,LEN($R$1935)&gt;0),$R$1935,HLOOKUP(INDIRECT(ADDRESS(2,COLUMN())),OFFSET($T$2,0,0,ROW()-1,14),ROW()-1,FALSE))</x:f>
        <x:v>-2.040943</x:v>
      </x:c>
      <x:c r="S960">
        <x:f ca="1">IF(AND($B$1012=1,LEN($S$1935)&gt;0),$S$1935,HLOOKUP(INDIRECT(ADDRESS(2,COLUMN())),OFFSET($T$2,0,0,ROW()-1,14),ROW()-1,FALSE))</x:f>
        <x:v>0</x:v>
      </x:c>
      <x:c r="T960">
        <x:f>0</x:f>
        <x:v>0</x:v>
      </x:c>
      <x:c r="U960">
        <x:f>0</x:f>
        <x:v>0</x:v>
      </x:c>
      <x:c r="V960">
        <x:f>0</x:f>
        <x:v>0</x:v>
      </x:c>
      <x:c r="W960">
        <x:f>-2.508589</x:f>
        <x:v>-2.5085890000000002</x:v>
      </x:c>
      <x:c r="X960">
        <x:f>0</x:f>
        <x:v>0</x:v>
      </x:c>
      <x:c r="Y960">
        <x:f>0</x:f>
        <x:v>0</x:v>
      </x:c>
      <x:c r="Z960">
        <x:f>-1.142532</x:f>
        <x:v>-1.1425320000000001</x:v>
      </x:c>
      <x:c r="AA960">
        <x:f>-1.121084</x:f>
        <x:v>-1.121084</x:v>
      </x:c>
      <x:c r="AB960">
        <x:f>-2.272843</x:f>
        <x:v>-2.2728429999999999</x:v>
      </x:c>
      <x:c r="AC960">
        <x:f>0</x:f>
        <x:v>0</x:v>
      </x:c>
      <x:c r="AD960">
        <x:f>-1.098619</x:f>
        <x:v>-1.098619</x:v>
      </x:c>
      <x:c r="AE960">
        <x:f>-2.04111</x:f>
        <x:v>-2.0411100000000002</x:v>
      </x:c>
      <x:c r="AF960">
        <x:f>-2.040943</x:f>
        <x:v>-2.040943</x:v>
      </x:c>
      <x:c r="AG960">
        <x:f>0</x:f>
        <x:v>0</x:v>
      </x:c>
    </x:row>
    <x:row r="961" spans="1:33" x14ac:dyDescent="0.25">
      <x:c r="A961" t="str">
        <x:f>"            Emles @Home ETF"</x:f>
        <x:v xml:space="preserve">            Emles @Home ETF</x:v>
      </x:c>
      <x:c r="B961" t="str">
        <x:f>"LIV US Equity"</x:f>
        <x:v>LIV US Equity</x:v>
      </x:c>
      <x:c r="E961" t="str">
        <x:f>"Expression"</x:f>
        <x:v>Expression</x:v>
      </x:c>
      <x:c r="F961" t="str">
        <x:f ca="1">IF(AND($B$1012=1,LEN($F$1936)&gt;0),$F$1936,HLOOKUP(INDIRECT(ADDRESS(2,COLUMN())),OFFSET($T$2,0,0,ROW()-1,14),ROW()-1,FALSE))</x:f>
        <x:v/>
      </x:c>
      <x:c r="G961" t="str">
        <x:f ca="1">IF(AND($B$1012=1,LEN($G$1936)&gt;0),$G$1936,HLOOKUP(INDIRECT(ADDRESS(2,COLUMN())),OFFSET($T$2,0,0,ROW()-1,14),ROW()-1,FALSE))</x:f>
        <x:v/>
      </x:c>
      <x:c r="H961" t="str">
        <x:f ca="1">IF(AND($B$1012=1,LEN($H$1936)&gt;0),$H$1936,HLOOKUP(INDIRECT(ADDRESS(2,COLUMN())),OFFSET($T$2,0,0,ROW()-1,14),ROW()-1,FALSE))</x:f>
        <x:v/>
      </x:c>
      <x:c r="I961" t="str">
        <x:f ca="1">IF(AND($B$1012=1,LEN($I$1936)&gt;0),$I$1936,HLOOKUP(INDIRECT(ADDRESS(2,COLUMN())),OFFSET($T$2,0,0,ROW()-1,14),ROW()-1,FALSE))</x:f>
        <x:v/>
      </x:c>
      <x:c r="J961" t="str">
        <x:f ca="1">IF(AND($B$1012=1,LEN($J$1936)&gt;0),$J$1936,HLOOKUP(INDIRECT(ADDRESS(2,COLUMN())),OFFSET($T$2,0,0,ROW()-1,14),ROW()-1,FALSE))</x:f>
        <x:v/>
      </x:c>
      <x:c r="K961" t="str">
        <x:f ca="1">IF(AND($B$1012=1,LEN($K$1936)&gt;0),$K$1936,HLOOKUP(INDIRECT(ADDRESS(2,COLUMN())),OFFSET($T$2,0,0,ROW()-1,14),ROW()-1,FALSE))</x:f>
        <x:v/>
      </x:c>
      <x:c r="L961" t="str">
        <x:f ca="1">IF(AND($B$1012=1,LEN($L$1936)&gt;0),$L$1936,HLOOKUP(INDIRECT(ADDRESS(2,COLUMN())),OFFSET($T$2,0,0,ROW()-1,14),ROW()-1,FALSE))</x:f>
        <x:v/>
      </x:c>
      <x:c r="M961" t="str">
        <x:f ca="1">IF(AND($B$1012=1,LEN($M$1936)&gt;0),$M$1936,HLOOKUP(INDIRECT(ADDRESS(2,COLUMN())),OFFSET($T$2,0,0,ROW()-1,14),ROW()-1,FALSE))</x:f>
        <x:v/>
      </x:c>
      <x:c r="N961" t="str">
        <x:f ca="1">IF(AND($B$1012=1,LEN($N$1936)&gt;0),$N$1936,HLOOKUP(INDIRECT(ADDRESS(2,COLUMN())),OFFSET($T$2,0,0,ROW()-1,14),ROW()-1,FALSE))</x:f>
        <x:v/>
      </x:c>
      <x:c r="O961" t="str">
        <x:f ca="1">IF(AND($B$1012=1,LEN($O$1936)&gt;0),$O$1936,HLOOKUP(INDIRECT(ADDRESS(2,COLUMN())),OFFSET($T$2,0,0,ROW()-1,14),ROW()-1,FALSE))</x:f>
        <x:v/>
      </x:c>
      <x:c r="P961" t="str">
        <x:f ca="1">IF(AND($B$1012=1,LEN($P$1936)&gt;0),$P$1936,HLOOKUP(INDIRECT(ADDRESS(2,COLUMN())),OFFSET($T$2,0,0,ROW()-1,14),ROW()-1,FALSE))</x:f>
        <x:v/>
      </x:c>
      <x:c r="Q961" t="str">
        <x:f ca="1">IF(AND($B$1012=1,LEN($Q$1936)&gt;0),$Q$1936,HLOOKUP(INDIRECT(ADDRESS(2,COLUMN())),OFFSET($T$2,0,0,ROW()-1,14),ROW()-1,FALSE))</x:f>
        <x:v/>
      </x:c>
      <x:c r="R961" t="str">
        <x:f ca="1">IF(AND($B$1012=1,LEN($R$1936)&gt;0),$R$1936,HLOOKUP(INDIRECT(ADDRESS(2,COLUMN())),OFFSET($T$2,0,0,ROW()-1,14),ROW()-1,FALSE))</x:f>
        <x:v/>
      </x:c>
      <x:c r="S961">
        <x:f ca="1">IF(AND($B$1012=1,LEN($S$1936)&gt;0),$S$1936,HLOOKUP(INDIRECT(ADDRESS(2,COLUMN())),OFFSET($T$2,0,0,ROW()-1,14),ROW()-1,FALSE))</x:f>
        <x:v>0</x:v>
      </x:c>
      <x:c r="T961" t="str">
        <x:f>""</x:f>
        <x:v/>
      </x:c>
      <x:c r="U961" t="str">
        <x:f>""</x:f>
        <x:v/>
      </x:c>
      <x:c r="V961" t="str">
        <x:f>""</x:f>
        <x:v/>
      </x:c>
      <x:c r="W961" t="str">
        <x:f>""</x:f>
        <x:v/>
      </x:c>
      <x:c r="X961" t="str">
        <x:f>""</x:f>
        <x:v/>
      </x:c>
      <x:c r="Y961" t="str">
        <x:f>""</x:f>
        <x:v/>
      </x:c>
      <x:c r="Z961" t="str">
        <x:f>""</x:f>
        <x:v/>
      </x:c>
      <x:c r="AA961" t="str">
        <x:f>""</x:f>
        <x:v/>
      </x:c>
      <x:c r="AB961" t="str">
        <x:f>""</x:f>
        <x:v/>
      </x:c>
      <x:c r="AC961" t="str">
        <x:f>""</x:f>
        <x:v/>
      </x:c>
      <x:c r="AD961" t="str">
        <x:f>""</x:f>
        <x:v/>
      </x:c>
      <x:c r="AE961" t="str">
        <x:f>""</x:f>
        <x:v/>
      </x:c>
      <x:c r="AF961" t="str">
        <x:f>""</x:f>
        <x:v/>
      </x:c>
      <x:c r="AG961">
        <x:f>0</x:f>
        <x:v>0</x:v>
      </x:c>
    </x:row>
    <x:row r="962" spans="1:33" x14ac:dyDescent="0.25">
      <x:c r="A962" t="str">
        <x:f>"        Travel, Vacation &amp; Leisure"</x:f>
        <x:v xml:space="preserve">        Travel, Vacation &amp; Leisure</x:v>
      </x:c>
      <x:c r="B962" t="str">
        <x:f>""</x:f>
        <x:v/>
      </x:c>
      <x:c r="E962" t="str">
        <x:f>"Sum"</x:f>
        <x:v>Sum</x:v>
      </x:c>
      <x:c r="F962">
        <x:f ca="1">IF(ISERROR(IF(SUM($F$963:$F$973) = 0, "", SUM($F$963:$F$973))), "", (IF(SUM($F$963:$F$973) = 0, "", SUM($F$963:$F$973))))</x:f>
        <x:v>86.846486999999996</x:v>
      </x:c>
      <x:c r="G962">
        <x:f ca="1">IF(ISERROR(IF(SUM($G$963:$G$973) = 0, "", SUM($G$963:$G$973))), "", (IF(SUM($G$963:$G$973) = 0, "", SUM($G$963:$G$973))))</x:f>
        <x:v>80.525923000000006</x:v>
      </x:c>
      <x:c r="H962">
        <x:f ca="1">IF(ISERROR(IF(SUM($H$963:$H$973) = 0, "", SUM($H$963:$H$973))), "", (IF(SUM($H$963:$H$973) = 0, "", SUM($H$963:$H$973))))</x:f>
        <x:v>-74.513574000000006</x:v>
      </x:c>
      <x:c r="I962">
        <x:f ca="1">IF(ISERROR(IF(SUM($I$963:$I$973) = 0, "", SUM($I$963:$I$973))), "", (IF(SUM($I$963:$I$973) = 0, "", SUM($I$963:$I$973))))</x:f>
        <x:v>-50.911039000000009</x:v>
      </x:c>
      <x:c r="J962">
        <x:f ca="1">IF(ISERROR(IF(SUM($J$963:$J$973) = 0, "", SUM($J$963:$J$973))), "", (IF(SUM($J$963:$J$973) = 0, "", SUM($J$963:$J$973))))</x:f>
        <x:v>-133.288319</x:v>
      </x:c>
      <x:c r="K962">
        <x:f ca="1">IF(ISERROR(IF(SUM($K$963:$K$973) = 0, "", SUM($K$963:$K$973))), "", (IF(SUM($K$963:$K$973) = 0, "", SUM($K$963:$K$973))))</x:f>
        <x:v>-67.190855999999997</x:v>
      </x:c>
      <x:c r="L962">
        <x:f ca="1">IF(ISERROR(IF(SUM($L$963:$L$973) = 0, "", SUM($L$963:$L$973))), "", (IF(SUM($L$963:$L$973) = 0, "", SUM($L$963:$L$973))))</x:f>
        <x:v>-147.146773</x:v>
      </x:c>
      <x:c r="M962">
        <x:f ca="1">IF(ISERROR(IF(SUM($M$963:$M$973) = 0, "", SUM($M$963:$M$973))), "", (IF(SUM($M$963:$M$973) = 0, "", SUM($M$963:$M$973))))</x:f>
        <x:v>-26.002579000000004</x:v>
      </x:c>
      <x:c r="N962">
        <x:f ca="1">IF(ISERROR(IF(SUM($N$963:$N$973) = 0, "", SUM($N$963:$N$973))), "", (IF(SUM($N$963:$N$973) = 0, "", SUM($N$963:$N$973))))</x:f>
        <x:v>-98.380414000000002</x:v>
      </x:c>
      <x:c r="O962">
        <x:f ca="1">IF(ISERROR(IF(SUM($O$963:$O$973) = 0, "", SUM($O$963:$O$973))), "", (IF(SUM($O$963:$O$973) = 0, "", SUM($O$963:$O$973))))</x:f>
        <x:v>-81.975554000000002</x:v>
      </x:c>
      <x:c r="P962">
        <x:f ca="1">IF(ISERROR(IF(SUM($P$963:$P$973) = 0, "", SUM($P$963:$P$973))), "", (IF(SUM($P$963:$P$973) = 0, "", SUM($P$963:$P$973))))</x:f>
        <x:v>-210.93948900000001</x:v>
      </x:c>
      <x:c r="Q962">
        <x:f ca="1">IF(ISERROR(IF(SUM($Q$963:$Q$973) = 0, "", SUM($Q$963:$Q$973))), "", (IF(SUM($Q$963:$Q$973) = 0, "", SUM($Q$963:$Q$973))))</x:f>
        <x:v>-196.036517</x:v>
      </x:c>
      <x:c r="R962">
        <x:f ca="1">IF(ISERROR(IF(SUM($R$963:$R$973) = 0, "", SUM($R$963:$R$973))), "", (IF(SUM($R$963:$R$973) = 0, "", SUM($R$963:$R$973))))</x:f>
        <x:v>-38.334323999999995</x:v>
      </x:c>
      <x:c r="S962">
        <x:f ca="1">IF(ISERROR(IF(SUM($S$963:$S$973) = 0, "", SUM($S$963:$S$973))), "", (IF(SUM($S$963:$S$973) = 0, "", SUM($S$963:$S$973))))</x:f>
        <x:v>-117.999735</x:v>
      </x:c>
      <x:c r="T962">
        <x:f>86.846487</x:f>
        <x:v>86.846486999999996</x:v>
      </x:c>
      <x:c r="U962">
        <x:f>80.525923</x:f>
        <x:v>80.525923000000006</x:v>
      </x:c>
      <x:c r="V962">
        <x:f>-74.513574</x:f>
        <x:v>-74.513574000000006</x:v>
      </x:c>
      <x:c r="W962">
        <x:f>-50.911039</x:f>
        <x:v>-50.911039000000002</x:v>
      </x:c>
      <x:c r="X962">
        <x:f>-133.288319</x:f>
        <x:v>-133.288319</x:v>
      </x:c>
      <x:c r="Y962">
        <x:f>-67.190856</x:f>
        <x:v>-67.190855999999997</x:v>
      </x:c>
      <x:c r="Z962">
        <x:f>-147.146773</x:f>
        <x:v>-147.146773</x:v>
      </x:c>
      <x:c r="AA962">
        <x:f>-26.002579</x:f>
        <x:v>-26.002579000000001</x:v>
      </x:c>
      <x:c r="AB962">
        <x:f>-98.380414</x:f>
        <x:v>-98.380414000000002</x:v>
      </x:c>
      <x:c r="AC962">
        <x:f>-81.975554</x:f>
        <x:v>-81.975554000000002</x:v>
      </x:c>
      <x:c r="AD962">
        <x:f>-210.939489</x:f>
        <x:v>-210.93948900000001</x:v>
      </x:c>
      <x:c r="AE962">
        <x:f>-196.036517</x:f>
        <x:v>-196.036517</x:v>
      </x:c>
      <x:c r="AF962">
        <x:f>-38.334324</x:f>
        <x:v>-38.334324000000002</x:v>
      </x:c>
      <x:c r="AG962">
        <x:f>-117.999735</x:f>
        <x:v>-117.999735</x:v>
      </x:c>
    </x:row>
    <x:row r="963" spans="1:33" x14ac:dyDescent="0.25">
      <x:c r="A963" t="str">
        <x:f>"            Invesco Dynamic Leisure and En"</x:f>
        <x:v xml:space="preserve">            Invesco Dynamic Leisure and En</x:v>
      </x:c>
      <x:c r="B963" t="str">
        <x:f>"PEJ US Equity"</x:f>
        <x:v>PEJ US Equity</x:v>
      </x:c>
      <x:c r="E963" t="str">
        <x:f t="shared" ref="E963:E973" si="40">"Expression"</x:f>
        <x:v>Expression</x:v>
      </x:c>
      <x:c r="F963">
        <x:f ca="1">IF(AND($B$1012=1,LEN($F$1937)&gt;0),$F$1937,HLOOKUP(INDIRECT(ADDRESS(2,COLUMN())),OFFSET($T$2,0,0,ROW()-1,14),ROW()-1,FALSE))</x:f>
        <x:v>-7.420884</x:v>
      </x:c>
      <x:c r="G963">
        <x:f ca="1">IF(AND($B$1012=1,LEN($G$1937)&gt;0),$G$1937,HLOOKUP(INDIRECT(ADDRESS(2,COLUMN())),OFFSET($T$2,0,0,ROW()-1,14),ROW()-1,FALSE))</x:f>
        <x:v>-13.833550000000001</x:v>
      </x:c>
      <x:c r="H963">
        <x:f ca="1">IF(AND($B$1012=1,LEN($H$1937)&gt;0),$H$1937,HLOOKUP(INDIRECT(ADDRESS(2,COLUMN())),OFFSET($T$2,0,0,ROW()-1,14),ROW()-1,FALSE))</x:f>
        <x:v>-21.13429</x:v>
      </x:c>
      <x:c r="I963">
        <x:f ca="1">IF(AND($B$1012=1,LEN($I$1937)&gt;0),$I$1937,HLOOKUP(INDIRECT(ADDRESS(2,COLUMN())),OFFSET($T$2,0,0,ROW()-1,14),ROW()-1,FALSE))</x:f>
        <x:v>-24.820675000000001</x:v>
      </x:c>
      <x:c r="J963">
        <x:f ca="1">IF(AND($B$1012=1,LEN($J$1937)&gt;0),$J$1937,HLOOKUP(INDIRECT(ADDRESS(2,COLUMN())),OFFSET($T$2,0,0,ROW()-1,14),ROW()-1,FALSE))</x:f>
        <x:v>-6.9411019999999999</x:v>
      </x:c>
      <x:c r="K963">
        <x:f ca="1">IF(AND($B$1012=1,LEN($K$1937)&gt;0),$K$1937,HLOOKUP(INDIRECT(ADDRESS(2,COLUMN())),OFFSET($T$2,0,0,ROW()-1,14),ROW()-1,FALSE))</x:f>
        <x:v>-7.6146659999999997</x:v>
      </x:c>
      <x:c r="L963">
        <x:f ca="1">IF(AND($B$1012=1,LEN($L$1937)&gt;0),$L$1937,HLOOKUP(INDIRECT(ADDRESS(2,COLUMN())),OFFSET($T$2,0,0,ROW()-1,14),ROW()-1,FALSE))</x:f>
        <x:v>-42.352085000000002</x:v>
      </x:c>
      <x:c r="M963">
        <x:f ca="1">IF(AND($B$1012=1,LEN($M$1937)&gt;0),$M$1937,HLOOKUP(INDIRECT(ADDRESS(2,COLUMN())),OFFSET($T$2,0,0,ROW()-1,14),ROW()-1,FALSE))</x:f>
        <x:v>-14.982184999999999</x:v>
      </x:c>
      <x:c r="N963">
        <x:f ca="1">IF(AND($B$1012=1,LEN($N$1937)&gt;0),$N$1937,HLOOKUP(INDIRECT(ADDRESS(2,COLUMN())),OFFSET($T$2,0,0,ROW()-1,14),ROW()-1,FALSE))</x:f>
        <x:v>-7.3949049999999996</x:v>
      </x:c>
      <x:c r="O963">
        <x:f ca="1">IF(AND($B$1012=1,LEN($O$1937)&gt;0),$O$1937,HLOOKUP(INDIRECT(ADDRESS(2,COLUMN())),OFFSET($T$2,0,0,ROW()-1,14),ROW()-1,FALSE))</x:f>
        <x:v>-16.731256999999999</x:v>
      </x:c>
      <x:c r="P963">
        <x:f ca="1">IF(AND($B$1012=1,LEN($P$1937)&gt;0),$P$1937,HLOOKUP(INDIRECT(ADDRESS(2,COLUMN())),OFFSET($T$2,0,0,ROW()-1,14),ROW()-1,FALSE))</x:f>
        <x:v>-6.7433240000000003</x:v>
      </x:c>
      <x:c r="Q963">
        <x:f ca="1">IF(AND($B$1012=1,LEN($Q$1937)&gt;0),$Q$1937,HLOOKUP(INDIRECT(ADDRESS(2,COLUMN())),OFFSET($T$2,0,0,ROW()-1,14),ROW()-1,FALSE))</x:f>
        <x:v>-114.216832</x:v>
      </x:c>
      <x:c r="R963">
        <x:f ca="1">IF(AND($B$1012=1,LEN($R$1937)&gt;0),$R$1937,HLOOKUP(INDIRECT(ADDRESS(2,COLUMN())),OFFSET($T$2,0,0,ROW()-1,14),ROW()-1,FALSE))</x:f>
        <x:v>-23.202476000000001</x:v>
      </x:c>
      <x:c r="S963">
        <x:f ca="1">IF(AND($B$1012=1,LEN($S$1937)&gt;0),$S$1937,HLOOKUP(INDIRECT(ADDRESS(2,COLUMN())),OFFSET($T$2,0,0,ROW()-1,14),ROW()-1,FALSE))</x:f>
        <x:v>-37.816974999999999</x:v>
      </x:c>
      <x:c r="T963">
        <x:f>-7.420884</x:f>
        <x:v>-7.420884</x:v>
      </x:c>
      <x:c r="U963">
        <x:f>-13.83355</x:f>
        <x:v>-13.833550000000001</x:v>
      </x:c>
      <x:c r="V963">
        <x:f>-21.13429</x:f>
        <x:v>-21.13429</x:v>
      </x:c>
      <x:c r="W963">
        <x:f>-24.820675</x:f>
        <x:v>-24.820675000000001</x:v>
      </x:c>
      <x:c r="X963">
        <x:f>-6.941102</x:f>
        <x:v>-6.9411019999999999</x:v>
      </x:c>
      <x:c r="Y963">
        <x:f>-7.614666</x:f>
        <x:v>-7.6146659999999997</x:v>
      </x:c>
      <x:c r="Z963">
        <x:f>-42.352085</x:f>
        <x:v>-42.352085000000002</x:v>
      </x:c>
      <x:c r="AA963">
        <x:f>-14.982185</x:f>
        <x:v>-14.982184999999999</x:v>
      </x:c>
      <x:c r="AB963">
        <x:f>-7.394905</x:f>
        <x:v>-7.3949049999999996</x:v>
      </x:c>
      <x:c r="AC963">
        <x:f>-16.731257</x:f>
        <x:v>-16.731256999999999</x:v>
      </x:c>
      <x:c r="AD963">
        <x:f>-6.743324</x:f>
        <x:v>-6.7433240000000003</x:v>
      </x:c>
      <x:c r="AE963">
        <x:f>-114.216832</x:f>
        <x:v>-114.216832</x:v>
      </x:c>
      <x:c r="AF963">
        <x:f>-23.202476</x:f>
        <x:v>-23.202476000000001</x:v>
      </x:c>
      <x:c r="AG963">
        <x:f>-37.816975</x:f>
        <x:v>-37.816974999999999</x:v>
      </x:c>
    </x:row>
    <x:row r="964" spans="1:33" x14ac:dyDescent="0.25">
      <x:c r="A964" t="str">
        <x:f>"            ETFMG Travel Tech ETF"</x:f>
        <x:v xml:space="preserve">            ETFMG Travel Tech ETF</x:v>
      </x:c>
      <x:c r="B964" t="str">
        <x:f>"AWAY US Equity"</x:f>
        <x:v>AWAY US Equity</x:v>
      </x:c>
      <x:c r="E964" t="str">
        <x:f t="shared" si="40"/>
        <x:v>Expression</x:v>
      </x:c>
      <x:c r="F964">
        <x:f ca="1">IF(AND($B$1012=1,LEN($F$1938)&gt;0),$F$1938,HLOOKUP(INDIRECT(ADDRESS(2,COLUMN())),OFFSET($T$2,0,0,ROW()-1,14),ROW()-1,FALSE))</x:f>
        <x:v>-2.43581</x:v>
      </x:c>
      <x:c r="G964">
        <x:f ca="1">IF(AND($B$1012=1,LEN($G$1938)&gt;0),$G$1938,HLOOKUP(INDIRECT(ADDRESS(2,COLUMN())),OFFSET($T$2,0,0,ROW()-1,14),ROW()-1,FALSE))</x:f>
        <x:v>-2.295795</x:v>
      </x:c>
      <x:c r="H964">
        <x:f ca="1">IF(AND($B$1012=1,LEN($H$1938)&gt;0),$H$1938,HLOOKUP(INDIRECT(ADDRESS(2,COLUMN())),OFFSET($T$2,0,0,ROW()-1,14),ROW()-1,FALSE))</x:f>
        <x:v>0</x:v>
      </x:c>
      <x:c r="I964">
        <x:f ca="1">IF(AND($B$1012=1,LEN($I$1938)&gt;0),$I$1938,HLOOKUP(INDIRECT(ADDRESS(2,COLUMN())),OFFSET($T$2,0,0,ROW()-1,14),ROW()-1,FALSE))</x:f>
        <x:v>-5.3118100000000004</x:v>
      </x:c>
      <x:c r="J964">
        <x:f ca="1">IF(AND($B$1012=1,LEN($J$1938)&gt;0),$J$1938,HLOOKUP(INDIRECT(ADDRESS(2,COLUMN())),OFFSET($T$2,0,0,ROW()-1,14),ROW()-1,FALSE))</x:f>
        <x:v>-3.46726</x:v>
      </x:c>
      <x:c r="K964">
        <x:f ca="1">IF(AND($B$1012=1,LEN($K$1938)&gt;0),$K$1938,HLOOKUP(INDIRECT(ADDRESS(2,COLUMN())),OFFSET($T$2,0,0,ROW()-1,14),ROW()-1,FALSE))</x:f>
        <x:v>-7.8092499999999996</x:v>
      </x:c>
      <x:c r="L964">
        <x:f ca="1">IF(AND($B$1012=1,LEN($L$1938)&gt;0),$L$1938,HLOOKUP(INDIRECT(ADDRESS(2,COLUMN())),OFFSET($T$2,0,0,ROW()-1,14),ROW()-1,FALSE))</x:f>
        <x:v>-8.3937399999999993</x:v>
      </x:c>
      <x:c r="M964">
        <x:f ca="1">IF(AND($B$1012=1,LEN($M$1938)&gt;0),$M$1938,HLOOKUP(INDIRECT(ADDRESS(2,COLUMN())),OFFSET($T$2,0,0,ROW()-1,14),ROW()-1,FALSE))</x:f>
        <x:v>-7.6721000000000004</x:v>
      </x:c>
      <x:c r="N964">
        <x:f ca="1">IF(AND($B$1012=1,LEN($N$1938)&gt;0),$N$1938,HLOOKUP(INDIRECT(ADDRESS(2,COLUMN())),OFFSET($T$2,0,0,ROW()-1,14),ROW()-1,FALSE))</x:f>
        <x:v>-2.564095</x:v>
      </x:c>
      <x:c r="O964">
        <x:f ca="1">IF(AND($B$1012=1,LEN($O$1938)&gt;0),$O$1938,HLOOKUP(INDIRECT(ADDRESS(2,COLUMN())),OFFSET($T$2,0,0,ROW()-1,14),ROW()-1,FALSE))</x:f>
        <x:v>-2.8636900000000001</x:v>
      </x:c>
      <x:c r="P964">
        <x:f ca="1">IF(AND($B$1012=1,LEN($P$1938)&gt;0),$P$1938,HLOOKUP(INDIRECT(ADDRESS(2,COLUMN())),OFFSET($T$2,0,0,ROW()-1,14),ROW()-1,FALSE))</x:f>
        <x:v>-6.2788950000000003</x:v>
      </x:c>
      <x:c r="Q964">
        <x:f ca="1">IF(AND($B$1012=1,LEN($Q$1938)&gt;0),$Q$1938,HLOOKUP(INDIRECT(ADDRESS(2,COLUMN())),OFFSET($T$2,0,0,ROW()-1,14),ROW()-1,FALSE))</x:f>
        <x:v>-4.9785649999999997</x:v>
      </x:c>
      <x:c r="R964">
        <x:f ca="1">IF(AND($B$1012=1,LEN($R$1938)&gt;0),$R$1938,HLOOKUP(INDIRECT(ADDRESS(2,COLUMN())),OFFSET($T$2,0,0,ROW()-1,14),ROW()-1,FALSE))</x:f>
        <x:v>-0.81118000000000001</x:v>
      </x:c>
      <x:c r="S964">
        <x:f ca="1">IF(AND($B$1012=1,LEN($S$1938)&gt;0),$S$1938,HLOOKUP(INDIRECT(ADDRESS(2,COLUMN())),OFFSET($T$2,0,0,ROW()-1,14),ROW()-1,FALSE))</x:f>
        <x:v>-3.2085599999999999</x:v>
      </x:c>
      <x:c r="T964">
        <x:f>-2.43581</x:f>
        <x:v>-2.43581</x:v>
      </x:c>
      <x:c r="U964">
        <x:f>-2.295795</x:f>
        <x:v>-2.295795</x:v>
      </x:c>
      <x:c r="V964">
        <x:f>0</x:f>
        <x:v>0</x:v>
      </x:c>
      <x:c r="W964">
        <x:f>-5.31181</x:f>
        <x:v>-5.3118100000000004</x:v>
      </x:c>
      <x:c r="X964">
        <x:f>-3.46726</x:f>
        <x:v>-3.46726</x:v>
      </x:c>
      <x:c r="Y964">
        <x:f>-7.80925</x:f>
        <x:v>-7.8092499999999996</x:v>
      </x:c>
      <x:c r="Z964">
        <x:f>-8.39374</x:f>
        <x:v>-8.3937399999999993</x:v>
      </x:c>
      <x:c r="AA964">
        <x:f>-7.6721</x:f>
        <x:v>-7.6721000000000004</x:v>
      </x:c>
      <x:c r="AB964">
        <x:f>-2.564095</x:f>
        <x:v>-2.564095</x:v>
      </x:c>
      <x:c r="AC964">
        <x:f>-2.86369</x:f>
        <x:v>-2.8636900000000001</x:v>
      </x:c>
      <x:c r="AD964">
        <x:f>-6.278895</x:f>
        <x:v>-6.2788950000000003</x:v>
      </x:c>
      <x:c r="AE964">
        <x:f>-4.978565</x:f>
        <x:v>-4.9785649999999997</x:v>
      </x:c>
      <x:c r="AF964">
        <x:f>-0.81118</x:f>
        <x:v>-0.81118000000000001</x:v>
      </x:c>
      <x:c r="AG964">
        <x:f>-3.20856</x:f>
        <x:v>-3.2085599999999999</x:v>
      </x:c>
    </x:row>
    <x:row r="965" spans="1:33" x14ac:dyDescent="0.25">
      <x:c r="A965" t="str">
        <x:f>"            Defiance Hotel Airline and Cru"</x:f>
        <x:v xml:space="preserve">            Defiance Hotel Airline and Cru</x:v>
      </x:c>
      <x:c r="B965" t="str">
        <x:f>"CRUZ US Equity"</x:f>
        <x:v>CRUZ US Equity</x:v>
      </x:c>
      <x:c r="E965" t="str">
        <x:f t="shared" si="40"/>
        <x:v>Expression</x:v>
      </x:c>
      <x:c r="F965">
        <x:f ca="1">IF(AND($B$1012=1,LEN($F$1939)&gt;0),$F$1939,HLOOKUP(INDIRECT(ADDRESS(2,COLUMN())),OFFSET($T$2,0,0,ROW()-1,14),ROW()-1,FALSE))</x:f>
        <x:v>0</x:v>
      </x:c>
      <x:c r="G965">
        <x:f ca="1">IF(AND($B$1012=1,LEN($G$1939)&gt;0),$G$1939,HLOOKUP(INDIRECT(ADDRESS(2,COLUMN())),OFFSET($T$2,0,0,ROW()-1,14),ROW()-1,FALSE))</x:f>
        <x:v>-3.0827019999999998</x:v>
      </x:c>
      <x:c r="H965">
        <x:f ca="1">IF(AND($B$1012=1,LEN($H$1939)&gt;0),$H$1939,HLOOKUP(INDIRECT(ADDRESS(2,COLUMN())),OFFSET($T$2,0,0,ROW()-1,14),ROW()-1,FALSE))</x:f>
        <x:v>-6.7102529999999998</x:v>
      </x:c>
      <x:c r="I965">
        <x:f ca="1">IF(AND($B$1012=1,LEN($I$1939)&gt;0),$I$1939,HLOOKUP(INDIRECT(ADDRESS(2,COLUMN())),OFFSET($T$2,0,0,ROW()-1,14),ROW()-1,FALSE))</x:f>
        <x:v>-2.6350799999999999</x:v>
      </x:c>
      <x:c r="J965">
        <x:f ca="1">IF(AND($B$1012=1,LEN($J$1939)&gt;0),$J$1939,HLOOKUP(INDIRECT(ADDRESS(2,COLUMN())),OFFSET($T$2,0,0,ROW()-1,14),ROW()-1,FALSE))</x:f>
        <x:v>7.5780950000000002</x:v>
      </x:c>
      <x:c r="K965">
        <x:f ca="1">IF(AND($B$1012=1,LEN($K$1939)&gt;0),$K$1939,HLOOKUP(INDIRECT(ADDRESS(2,COLUMN())),OFFSET($T$2,0,0,ROW()-1,14),ROW()-1,FALSE))</x:f>
        <x:v>-10.957765</x:v>
      </x:c>
      <x:c r="L965">
        <x:f ca="1">IF(AND($B$1012=1,LEN($L$1939)&gt;0),$L$1939,HLOOKUP(INDIRECT(ADDRESS(2,COLUMN())),OFFSET($T$2,0,0,ROW()-1,14),ROW()-1,FALSE))</x:f>
        <x:v>0</x:v>
      </x:c>
      <x:c r="M965">
        <x:f ca="1">IF(AND($B$1012=1,LEN($M$1939)&gt;0),$M$1939,HLOOKUP(INDIRECT(ADDRESS(2,COLUMN())),OFFSET($T$2,0,0,ROW()-1,14),ROW()-1,FALSE))</x:f>
        <x:v>-1.76475</x:v>
      </x:c>
      <x:c r="N965">
        <x:f ca="1">IF(AND($B$1012=1,LEN($N$1939)&gt;0),$N$1939,HLOOKUP(INDIRECT(ADDRESS(2,COLUMN())),OFFSET($T$2,0,0,ROW()-1,14),ROW()-1,FALSE))</x:f>
        <x:v>-2.5788549999999999</x:v>
      </x:c>
      <x:c r="O965">
        <x:f ca="1">IF(AND($B$1012=1,LEN($O$1939)&gt;0),$O$1939,HLOOKUP(INDIRECT(ADDRESS(2,COLUMN())),OFFSET($T$2,0,0,ROW()-1,14),ROW()-1,FALSE))</x:f>
        <x:v>1.455128</x:v>
      </x:c>
      <x:c r="P965">
        <x:f ca="1">IF(AND($B$1012=1,LEN($P$1939)&gt;0),$P$1939,HLOOKUP(INDIRECT(ADDRESS(2,COLUMN())),OFFSET($T$2,0,0,ROW()-1,14),ROW()-1,FALSE))</x:f>
        <x:v>-1.3952899999999999</x:v>
      </x:c>
      <x:c r="Q965">
        <x:f ca="1">IF(AND($B$1012=1,LEN($Q$1939)&gt;0),$Q$1939,HLOOKUP(INDIRECT(ADDRESS(2,COLUMN())),OFFSET($T$2,0,0,ROW()-1,14),ROW()-1,FALSE))</x:f>
        <x:v>13.562218</x:v>
      </x:c>
      <x:c r="R965">
        <x:f ca="1">IF(AND($B$1012=1,LEN($R$1939)&gt;0),$R$1939,HLOOKUP(INDIRECT(ADDRESS(2,COLUMN())),OFFSET($T$2,0,0,ROW()-1,14),ROW()-1,FALSE))</x:f>
        <x:v>0.45468500000000001</x:v>
      </x:c>
      <x:c r="S965">
        <x:f ca="1">IF(AND($B$1012=1,LEN($S$1939)&gt;0),$S$1939,HLOOKUP(INDIRECT(ADDRESS(2,COLUMN())),OFFSET($T$2,0,0,ROW()-1,14),ROW()-1,FALSE))</x:f>
        <x:v>4.2247E-2</x:v>
      </x:c>
      <x:c r="T965">
        <x:f>0</x:f>
        <x:v>0</x:v>
      </x:c>
      <x:c r="U965">
        <x:f>-3.082702</x:f>
        <x:v>-3.0827019999999998</x:v>
      </x:c>
      <x:c r="V965">
        <x:f>-6.710253</x:f>
        <x:v>-6.7102529999999998</x:v>
      </x:c>
      <x:c r="W965">
        <x:f>-2.63508</x:f>
        <x:v>-2.6350799999999999</x:v>
      </x:c>
      <x:c r="X965">
        <x:f>7.578095</x:f>
        <x:v>7.5780950000000002</x:v>
      </x:c>
      <x:c r="Y965">
        <x:f>-10.957765</x:f>
        <x:v>-10.957765</x:v>
      </x:c>
      <x:c r="Z965">
        <x:f>0</x:f>
        <x:v>0</x:v>
      </x:c>
      <x:c r="AA965">
        <x:f>-1.76475</x:f>
        <x:v>-1.76475</x:v>
      </x:c>
      <x:c r="AB965">
        <x:f>-2.578855</x:f>
        <x:v>-2.5788549999999999</x:v>
      </x:c>
      <x:c r="AC965">
        <x:f>1.455128</x:f>
        <x:v>1.455128</x:v>
      </x:c>
      <x:c r="AD965">
        <x:f>-1.39529</x:f>
        <x:v>-1.3952899999999999</x:v>
      </x:c>
      <x:c r="AE965">
        <x:f>13.562218</x:f>
        <x:v>13.562218</x:v>
      </x:c>
      <x:c r="AF965">
        <x:f>0.454685</x:f>
        <x:v>0.45468500000000001</x:v>
      </x:c>
      <x:c r="AG965">
        <x:f>0.042247</x:f>
        <x:v>4.2247E-2</x:v>
      </x:c>
    </x:row>
    <x:row r="966" spans="1:33" x14ac:dyDescent="0.25">
      <x:c r="A966" t="str">
        <x:f>"            ETFMG 2x Daily Travel Tech ETF"</x:f>
        <x:v xml:space="preserve">            ETFMG 2x Daily Travel Tech ETF</x:v>
      </x:c>
      <x:c r="B966" t="str">
        <x:f>"AWYX US Equity"</x:f>
        <x:v>AWYX US Equity</x:v>
      </x:c>
      <x:c r="E966" t="str">
        <x:f t="shared" si="40"/>
        <x:v>Expression</x:v>
      </x:c>
      <x:c r="F966" t="str">
        <x:f ca="1">IF(AND($B$1012=1,LEN($F$1940)&gt;0),$F$1940,HLOOKUP(INDIRECT(ADDRESS(2,COLUMN())),OFFSET($T$2,0,0,ROW()-1,14),ROW()-1,FALSE))</x:f>
        <x:v/>
      </x:c>
      <x:c r="G966" t="str">
        <x:f ca="1">IF(AND($B$1012=1,LEN($G$1940)&gt;0),$G$1940,HLOOKUP(INDIRECT(ADDRESS(2,COLUMN())),OFFSET($T$2,0,0,ROW()-1,14),ROW()-1,FALSE))</x:f>
        <x:v/>
      </x:c>
      <x:c r="H966" t="str">
        <x:f ca="1">IF(AND($B$1012=1,LEN($H$1940)&gt;0),$H$1940,HLOOKUP(INDIRECT(ADDRESS(2,COLUMN())),OFFSET($T$2,0,0,ROW()-1,14),ROW()-1,FALSE))</x:f>
        <x:v/>
      </x:c>
      <x:c r="I966" t="str">
        <x:f ca="1">IF(AND($B$1012=1,LEN($I$1940)&gt;0),$I$1940,HLOOKUP(INDIRECT(ADDRESS(2,COLUMN())),OFFSET($T$2,0,0,ROW()-1,14),ROW()-1,FALSE))</x:f>
        <x:v/>
      </x:c>
      <x:c r="J966" t="str">
        <x:f ca="1">IF(AND($B$1012=1,LEN($J$1940)&gt;0),$J$1940,HLOOKUP(INDIRECT(ADDRESS(2,COLUMN())),OFFSET($T$2,0,0,ROW()-1,14),ROW()-1,FALSE))</x:f>
        <x:v/>
      </x:c>
      <x:c r="K966" t="str">
        <x:f ca="1">IF(AND($B$1012=1,LEN($K$1940)&gt;0),$K$1940,HLOOKUP(INDIRECT(ADDRESS(2,COLUMN())),OFFSET($T$2,0,0,ROW()-1,14),ROW()-1,FALSE))</x:f>
        <x:v/>
      </x:c>
      <x:c r="L966" t="str">
        <x:f ca="1">IF(AND($B$1012=1,LEN($L$1940)&gt;0),$L$1940,HLOOKUP(INDIRECT(ADDRESS(2,COLUMN())),OFFSET($T$2,0,0,ROW()-1,14),ROW()-1,FALSE))</x:f>
        <x:v/>
      </x:c>
      <x:c r="M966">
        <x:f ca="1">IF(AND($B$1012=1,LEN($M$1940)&gt;0),$M$1940,HLOOKUP(INDIRECT(ADDRESS(2,COLUMN())),OFFSET($T$2,0,0,ROW()-1,14),ROW()-1,FALSE))</x:f>
        <x:v>0</x:v>
      </x:c>
      <x:c r="N966">
        <x:f ca="1">IF(AND($B$1012=1,LEN($N$1940)&gt;0),$N$1940,HLOOKUP(INDIRECT(ADDRESS(2,COLUMN())),OFFSET($T$2,0,0,ROW()-1,14),ROW()-1,FALSE))</x:f>
        <x:v>0</x:v>
      </x:c>
      <x:c r="O966">
        <x:f ca="1">IF(AND($B$1012=1,LEN($O$1940)&gt;0),$O$1940,HLOOKUP(INDIRECT(ADDRESS(2,COLUMN())),OFFSET($T$2,0,0,ROW()-1,14),ROW()-1,FALSE))</x:f>
        <x:v>0</x:v>
      </x:c>
      <x:c r="P966">
        <x:f ca="1">IF(AND($B$1012=1,LEN($P$1940)&gt;0),$P$1940,HLOOKUP(INDIRECT(ADDRESS(2,COLUMN())),OFFSET($T$2,0,0,ROW()-1,14),ROW()-1,FALSE))</x:f>
        <x:v>0</x:v>
      </x:c>
      <x:c r="Q966">
        <x:f ca="1">IF(AND($B$1012=1,LEN($Q$1940)&gt;0),$Q$1940,HLOOKUP(INDIRECT(ADDRESS(2,COLUMN())),OFFSET($T$2,0,0,ROW()-1,14),ROW()-1,FALSE))</x:f>
        <x:v>0</x:v>
      </x:c>
      <x:c r="R966">
        <x:f ca="1">IF(AND($B$1012=1,LEN($R$1940)&gt;0),$R$1940,HLOOKUP(INDIRECT(ADDRESS(2,COLUMN())),OFFSET($T$2,0,0,ROW()-1,14),ROW()-1,FALSE))</x:f>
        <x:v>0</x:v>
      </x:c>
      <x:c r="S966">
        <x:f ca="1">IF(AND($B$1012=1,LEN($S$1940)&gt;0),$S$1940,HLOOKUP(INDIRECT(ADDRESS(2,COLUMN())),OFFSET($T$2,0,0,ROW()-1,14),ROW()-1,FALSE))</x:f>
        <x:v>0</x:v>
      </x:c>
      <x:c r="T966" t="str">
        <x:f>""</x:f>
        <x:v/>
      </x:c>
      <x:c r="U966" t="str">
        <x:f>""</x:f>
        <x:v/>
      </x:c>
      <x:c r="V966" t="str">
        <x:f>""</x:f>
        <x:v/>
      </x:c>
      <x:c r="W966" t="str">
        <x:f>""</x:f>
        <x:v/>
      </x:c>
      <x:c r="X966" t="str">
        <x:f>""</x:f>
        <x:v/>
      </x:c>
      <x:c r="Y966" t="str">
        <x:f>""</x:f>
        <x:v/>
      </x:c>
      <x:c r="Z966" t="str">
        <x:f>""</x:f>
        <x:v/>
      </x:c>
      <x:c r="AA966">
        <x:f>0</x:f>
        <x:v>0</x:v>
      </x:c>
      <x:c r="AB966">
        <x:f>0</x:f>
        <x:v>0</x:v>
      </x:c>
      <x:c r="AC966">
        <x:f>0</x:f>
        <x:v>0</x:v>
      </x:c>
      <x:c r="AD966">
        <x:f>0</x:f>
        <x:v>0</x:v>
      </x:c>
      <x:c r="AE966">
        <x:f>0</x:f>
        <x:v>0</x:v>
      </x:c>
      <x:c r="AF966">
        <x:f>0</x:f>
        <x:v>0</x:v>
      </x:c>
      <x:c r="AG966">
        <x:f>0</x:f>
        <x:v>0</x:v>
      </x:c>
    </x:row>
    <x:row r="967" spans="1:33" x14ac:dyDescent="0.25">
      <x:c r="A967" t="str">
        <x:f>"            Advisorshares Hotel ETF"</x:f>
        <x:v xml:space="preserve">            Advisorshares Hotel ETF</x:v>
      </x:c>
      <x:c r="B967" t="str">
        <x:f>"BEDZ US Equity"</x:f>
        <x:v>BEDZ US Equity</x:v>
      </x:c>
      <x:c r="E967" t="str">
        <x:f t="shared" si="40"/>
        <x:v>Expression</x:v>
      </x:c>
      <x:c r="F967">
        <x:f ca="1">IF(AND($B$1012=1,LEN($F$1941)&gt;0),$F$1941,HLOOKUP(INDIRECT(ADDRESS(2,COLUMN())),OFFSET($T$2,0,0,ROW()-1,14),ROW()-1,FALSE))</x:f>
        <x:v>-0.65239499999999995</x:v>
      </x:c>
      <x:c r="G967">
        <x:f ca="1">IF(AND($B$1012=1,LEN($G$1941)&gt;0),$G$1941,HLOOKUP(INDIRECT(ADDRESS(2,COLUMN())),OFFSET($T$2,0,0,ROW()-1,14),ROW()-1,FALSE))</x:f>
        <x:v>0</x:v>
      </x:c>
      <x:c r="H967">
        <x:f ca="1">IF(AND($B$1012=1,LEN($H$1941)&gt;0),$H$1941,HLOOKUP(INDIRECT(ADDRESS(2,COLUMN())),OFFSET($T$2,0,0,ROW()-1,14),ROW()-1,FALSE))</x:f>
        <x:v>0</x:v>
      </x:c>
      <x:c r="I967">
        <x:f ca="1">IF(AND($B$1012=1,LEN($I$1941)&gt;0),$I$1941,HLOOKUP(INDIRECT(ADDRESS(2,COLUMN())),OFFSET($T$2,0,0,ROW()-1,14),ROW()-1,FALSE))</x:f>
        <x:v>0</x:v>
      </x:c>
      <x:c r="J967">
        <x:f ca="1">IF(AND($B$1012=1,LEN($J$1941)&gt;0),$J$1941,HLOOKUP(INDIRECT(ADDRESS(2,COLUMN())),OFFSET($T$2,0,0,ROW()-1,14),ROW()-1,FALSE))</x:f>
        <x:v>0</x:v>
      </x:c>
      <x:c r="K967">
        <x:f ca="1">IF(AND($B$1012=1,LEN($K$1941)&gt;0),$K$1941,HLOOKUP(INDIRECT(ADDRESS(2,COLUMN())),OFFSET($T$2,0,0,ROW()-1,14),ROW()-1,FALSE))</x:f>
        <x:v>0</x:v>
      </x:c>
      <x:c r="L967">
        <x:f ca="1">IF(AND($B$1012=1,LEN($L$1941)&gt;0),$L$1941,HLOOKUP(INDIRECT(ADDRESS(2,COLUMN())),OFFSET($T$2,0,0,ROW()-1,14),ROW()-1,FALSE))</x:f>
        <x:v>0</x:v>
      </x:c>
      <x:c r="M967">
        <x:f ca="1">IF(AND($B$1012=1,LEN($M$1941)&gt;0),$M$1941,HLOOKUP(INDIRECT(ADDRESS(2,COLUMN())),OFFSET($T$2,0,0,ROW()-1,14),ROW()-1,FALSE))</x:f>
        <x:v>-0.247422</x:v>
      </x:c>
      <x:c r="N967">
        <x:f ca="1">IF(AND($B$1012=1,LEN($N$1941)&gt;0),$N$1941,HLOOKUP(INDIRECT(ADDRESS(2,COLUMN())),OFFSET($T$2,0,0,ROW()-1,14),ROW()-1,FALSE))</x:f>
        <x:v>-0.71692599999999995</x:v>
      </x:c>
      <x:c r="O967">
        <x:f ca="1">IF(AND($B$1012=1,LEN($O$1941)&gt;0),$O$1941,HLOOKUP(INDIRECT(ADDRESS(2,COLUMN())),OFFSET($T$2,0,0,ROW()-1,14),ROW()-1,FALSE))</x:f>
        <x:v>-3.5209999999999998E-3</x:v>
      </x:c>
      <x:c r="P967">
        <x:f ca="1">IF(AND($B$1012=1,LEN($P$1941)&gt;0),$P$1941,HLOOKUP(INDIRECT(ADDRESS(2,COLUMN())),OFFSET($T$2,0,0,ROW()-1,14),ROW()-1,FALSE))</x:f>
        <x:v>0</x:v>
      </x:c>
      <x:c r="Q967">
        <x:f ca="1">IF(AND($B$1012=1,LEN($Q$1941)&gt;0),$Q$1941,HLOOKUP(INDIRECT(ADDRESS(2,COLUMN())),OFFSET($T$2,0,0,ROW()-1,14),ROW()-1,FALSE))</x:f>
        <x:v>0</x:v>
      </x:c>
      <x:c r="R967">
        <x:f ca="1">IF(AND($B$1012=1,LEN($R$1941)&gt;0),$R$1941,HLOOKUP(INDIRECT(ADDRESS(2,COLUMN())),OFFSET($T$2,0,0,ROW()-1,14),ROW()-1,FALSE))</x:f>
        <x:v>0</x:v>
      </x:c>
      <x:c r="S967">
        <x:f ca="1">IF(AND($B$1012=1,LEN($S$1941)&gt;0),$S$1941,HLOOKUP(INDIRECT(ADDRESS(2,COLUMN())),OFFSET($T$2,0,0,ROW()-1,14),ROW()-1,FALSE))</x:f>
        <x:v>-0.20579500000000001</x:v>
      </x:c>
      <x:c r="T967">
        <x:f>-0.652395</x:f>
        <x:v>-0.65239499999999995</x:v>
      </x:c>
      <x:c r="U967">
        <x:f>0</x:f>
        <x:v>0</x:v>
      </x:c>
      <x:c r="V967">
        <x:f>0</x:f>
        <x:v>0</x:v>
      </x:c>
      <x:c r="W967">
        <x:f>0</x:f>
        <x:v>0</x:v>
      </x:c>
      <x:c r="X967">
        <x:f>0</x:f>
        <x:v>0</x:v>
      </x:c>
      <x:c r="Y967">
        <x:f>0</x:f>
        <x:v>0</x:v>
      </x:c>
      <x:c r="Z967">
        <x:f>0</x:f>
        <x:v>0</x:v>
      </x:c>
      <x:c r="AA967">
        <x:f>-0.247422</x:f>
        <x:v>-0.247422</x:v>
      </x:c>
      <x:c r="AB967">
        <x:f>-0.716926</x:f>
        <x:v>-0.71692599999999995</x:v>
      </x:c>
      <x:c r="AC967">
        <x:f>-0.003521</x:f>
        <x:v>-3.5209999999999998E-3</x:v>
      </x:c>
      <x:c r="AD967">
        <x:f>0</x:f>
        <x:v>0</x:v>
      </x:c>
      <x:c r="AE967">
        <x:f>0</x:f>
        <x:v>0</x:v>
      </x:c>
      <x:c r="AF967">
        <x:f>0</x:f>
        <x:v>0</x:v>
      </x:c>
      <x:c r="AG967">
        <x:f>-0.205795</x:f>
        <x:v>-0.20579500000000001</x:v>
      </x:c>
    </x:row>
    <x:row r="968" spans="1:33" x14ac:dyDescent="0.25">
      <x:c r="A968" t="str">
        <x:f>"            Advisorshares Restaurant ETF"</x:f>
        <x:v xml:space="preserve">            Advisorshares Restaurant ETF</x:v>
      </x:c>
      <x:c r="B968" t="str">
        <x:f>"EATZ US Equity"</x:f>
        <x:v>EATZ US Equity</x:v>
      </x:c>
      <x:c r="E968" t="str">
        <x:f t="shared" si="40"/>
        <x:v>Expression</x:v>
      </x:c>
      <x:c r="F968">
        <x:f ca="1">IF(AND($B$1012=1,LEN($F$1942)&gt;0),$F$1942,HLOOKUP(INDIRECT(ADDRESS(2,COLUMN())),OFFSET($T$2,0,0,ROW()-1,14),ROW()-1,FALSE))</x:f>
        <x:v>0</x:v>
      </x:c>
      <x:c r="G968">
        <x:f ca="1">IF(AND($B$1012=1,LEN($G$1942)&gt;0),$G$1942,HLOOKUP(INDIRECT(ADDRESS(2,COLUMN())),OFFSET($T$2,0,0,ROW()-1,14),ROW()-1,FALSE))</x:f>
        <x:v>0</x:v>
      </x:c>
      <x:c r="H968">
        <x:f ca="1">IF(AND($B$1012=1,LEN($H$1942)&gt;0),$H$1942,HLOOKUP(INDIRECT(ADDRESS(2,COLUMN())),OFFSET($T$2,0,0,ROW()-1,14),ROW()-1,FALSE))</x:f>
        <x:v>0</x:v>
      </x:c>
      <x:c r="I968">
        <x:f ca="1">IF(AND($B$1012=1,LEN($I$1942)&gt;0),$I$1942,HLOOKUP(INDIRECT(ADDRESS(2,COLUMN())),OFFSET($T$2,0,0,ROW()-1,14),ROW()-1,FALSE))</x:f>
        <x:v>0.10172399999999999</x:v>
      </x:c>
      <x:c r="J968">
        <x:f ca="1">IF(AND($B$1012=1,LEN($J$1942)&gt;0),$J$1942,HLOOKUP(INDIRECT(ADDRESS(2,COLUMN())),OFFSET($T$2,0,0,ROW()-1,14),ROW()-1,FALSE))</x:f>
        <x:v>0</x:v>
      </x:c>
      <x:c r="K968">
        <x:f ca="1">IF(AND($B$1012=1,LEN($K$1942)&gt;0),$K$1942,HLOOKUP(INDIRECT(ADDRESS(2,COLUMN())),OFFSET($T$2,0,0,ROW()-1,14),ROW()-1,FALSE))</x:f>
        <x:v>-0.10519000000000001</x:v>
      </x:c>
      <x:c r="L968">
        <x:f ca="1">IF(AND($B$1012=1,LEN($L$1942)&gt;0),$L$1942,HLOOKUP(INDIRECT(ADDRESS(2,COLUMN())),OFFSET($T$2,0,0,ROW()-1,14),ROW()-1,FALSE))</x:f>
        <x:v>0</x:v>
      </x:c>
      <x:c r="M968">
        <x:f ca="1">IF(AND($B$1012=1,LEN($M$1942)&gt;0),$M$1942,HLOOKUP(INDIRECT(ADDRESS(2,COLUMN())),OFFSET($T$2,0,0,ROW()-1,14),ROW()-1,FALSE))</x:f>
        <x:v>0</x:v>
      </x:c>
      <x:c r="N968">
        <x:f ca="1">IF(AND($B$1012=1,LEN($N$1942)&gt;0),$N$1942,HLOOKUP(INDIRECT(ADDRESS(2,COLUMN())),OFFSET($T$2,0,0,ROW()-1,14),ROW()-1,FALSE))</x:f>
        <x:v>0</x:v>
      </x:c>
      <x:c r="O968">
        <x:f ca="1">IF(AND($B$1012=1,LEN($O$1942)&gt;0),$O$1942,HLOOKUP(INDIRECT(ADDRESS(2,COLUMN())),OFFSET($T$2,0,0,ROW()-1,14),ROW()-1,FALSE))</x:f>
        <x:v>0</x:v>
      </x:c>
      <x:c r="P968">
        <x:f ca="1">IF(AND($B$1012=1,LEN($P$1942)&gt;0),$P$1942,HLOOKUP(INDIRECT(ADDRESS(2,COLUMN())),OFFSET($T$2,0,0,ROW()-1,14),ROW()-1,FALSE))</x:f>
        <x:v>0</x:v>
      </x:c>
      <x:c r="Q968">
        <x:f ca="1">IF(AND($B$1012=1,LEN($Q$1942)&gt;0),$Q$1942,HLOOKUP(INDIRECT(ADDRESS(2,COLUMN())),OFFSET($T$2,0,0,ROW()-1,14),ROW()-1,FALSE))</x:f>
        <x:v>0</x:v>
      </x:c>
      <x:c r="R968">
        <x:f ca="1">IF(AND($B$1012=1,LEN($R$1942)&gt;0),$R$1942,HLOOKUP(INDIRECT(ADDRESS(2,COLUMN())),OFFSET($T$2,0,0,ROW()-1,14),ROW()-1,FALSE))</x:f>
        <x:v>0</x:v>
      </x:c>
      <x:c r="S968">
        <x:f ca="1">IF(AND($B$1012=1,LEN($S$1942)&gt;0),$S$1942,HLOOKUP(INDIRECT(ADDRESS(2,COLUMN())),OFFSET($T$2,0,0,ROW()-1,14),ROW()-1,FALSE))</x:f>
        <x:v>-0.54282600000000003</x:v>
      </x:c>
      <x:c r="T968">
        <x:f>0</x:f>
        <x:v>0</x:v>
      </x:c>
      <x:c r="U968">
        <x:f>0</x:f>
        <x:v>0</x:v>
      </x:c>
      <x:c r="V968">
        <x:f>0</x:f>
        <x:v>0</x:v>
      </x:c>
      <x:c r="W968">
        <x:f>0.101724</x:f>
        <x:v>0.10172399999999999</x:v>
      </x:c>
      <x:c r="X968">
        <x:f>0</x:f>
        <x:v>0</x:v>
      </x:c>
      <x:c r="Y968">
        <x:f>-0.10519</x:f>
        <x:v>-0.10519000000000001</x:v>
      </x:c>
      <x:c r="Z968">
        <x:f>0</x:f>
        <x:v>0</x:v>
      </x:c>
      <x:c r="AA968">
        <x:f>0</x:f>
        <x:v>0</x:v>
      </x:c>
      <x:c r="AB968">
        <x:f>0</x:f>
        <x:v>0</x:v>
      </x:c>
      <x:c r="AC968">
        <x:f>0</x:f>
        <x:v>0</x:v>
      </x:c>
      <x:c r="AD968">
        <x:f>0</x:f>
        <x:v>0</x:v>
      </x:c>
      <x:c r="AE968">
        <x:f>0</x:f>
        <x:v>0</x:v>
      </x:c>
      <x:c r="AF968">
        <x:f>0</x:f>
        <x:v>0</x:v>
      </x:c>
      <x:c r="AG968">
        <x:f>-0.542826</x:f>
        <x:v>-0.54282600000000003</x:v>
      </x:c>
    </x:row>
    <x:row r="969" spans="1:33" x14ac:dyDescent="0.25">
      <x:c r="A969" t="str">
        <x:f>"            Direxion Daily Travel &amp; Vacati"</x:f>
        <x:v xml:space="preserve">            Direxion Daily Travel &amp; Vacati</x:v>
      </x:c>
      <x:c r="B969" t="str">
        <x:f>"OOTO US Equity"</x:f>
        <x:v>OOTO US Equity</x:v>
      </x:c>
      <x:c r="E969" t="str">
        <x:f t="shared" si="40"/>
        <x:v>Expression</x:v>
      </x:c>
      <x:c r="F969">
        <x:f ca="1">IF(AND($B$1012=1,LEN($F$1943)&gt;0),$F$1943,HLOOKUP(INDIRECT(ADDRESS(2,COLUMN())),OFFSET($T$2,0,0,ROW()-1,14),ROW()-1,FALSE))</x:f>
        <x:v>-0.50234900000000005</x:v>
      </x:c>
      <x:c r="G969">
        <x:f ca="1">IF(AND($B$1012=1,LEN($G$1943)&gt;0),$G$1943,HLOOKUP(INDIRECT(ADDRESS(2,COLUMN())),OFFSET($T$2,0,0,ROW()-1,14),ROW()-1,FALSE))</x:f>
        <x:v>0</x:v>
      </x:c>
      <x:c r="H969">
        <x:f ca="1">IF(AND($B$1012=1,LEN($H$1943)&gt;0),$H$1943,HLOOKUP(INDIRECT(ADDRESS(2,COLUMN())),OFFSET($T$2,0,0,ROW()-1,14),ROW()-1,FALSE))</x:f>
        <x:v>-0.57251099999999999</x:v>
      </x:c>
      <x:c r="I969">
        <x:f ca="1">IF(AND($B$1012=1,LEN($I$1943)&gt;0),$I$1943,HLOOKUP(INDIRECT(ADDRESS(2,COLUMN())),OFFSET($T$2,0,0,ROW()-1,14),ROW()-1,FALSE))</x:f>
        <x:v>-2.0491480000000002</x:v>
      </x:c>
      <x:c r="J969">
        <x:f ca="1">IF(AND($B$1012=1,LEN($J$1943)&gt;0),$J$1943,HLOOKUP(INDIRECT(ADDRESS(2,COLUMN())),OFFSET($T$2,0,0,ROW()-1,14),ROW()-1,FALSE))</x:f>
        <x:v>-0.70753200000000005</x:v>
      </x:c>
      <x:c r="K969">
        <x:f ca="1">IF(AND($B$1012=1,LEN($K$1943)&gt;0),$K$1943,HLOOKUP(INDIRECT(ADDRESS(2,COLUMN())),OFFSET($T$2,0,0,ROW()-1,14),ROW()-1,FALSE))</x:f>
        <x:v>0</x:v>
      </x:c>
      <x:c r="L969">
        <x:f ca="1">IF(AND($B$1012=1,LEN($L$1943)&gt;0),$L$1943,HLOOKUP(INDIRECT(ADDRESS(2,COLUMN())),OFFSET($T$2,0,0,ROW()-1,14),ROW()-1,FALSE))</x:f>
        <x:v>-0.57064300000000001</x:v>
      </x:c>
      <x:c r="M969">
        <x:f ca="1">IF(AND($B$1012=1,LEN($M$1943)&gt;0),$M$1943,HLOOKUP(INDIRECT(ADDRESS(2,COLUMN())),OFFSET($T$2,0,0,ROW()-1,14),ROW()-1,FALSE))</x:f>
        <x:v>-0.57228199999999996</x:v>
      </x:c>
      <x:c r="N969">
        <x:f ca="1">IF(AND($B$1012=1,LEN($N$1943)&gt;0),$N$1943,HLOOKUP(INDIRECT(ADDRESS(2,COLUMN())),OFFSET($T$2,0,0,ROW()-1,14),ROW()-1,FALSE))</x:f>
        <x:v>-0.638104</x:v>
      </x:c>
      <x:c r="O969">
        <x:f ca="1">IF(AND($B$1012=1,LEN($O$1943)&gt;0),$O$1943,HLOOKUP(INDIRECT(ADDRESS(2,COLUMN())),OFFSET($T$2,0,0,ROW()-1,14),ROW()-1,FALSE))</x:f>
        <x:v>-2.0983269999999998</x:v>
      </x:c>
      <x:c r="P969">
        <x:f ca="1">IF(AND($B$1012=1,LEN($P$1943)&gt;0),$P$1943,HLOOKUP(INDIRECT(ADDRESS(2,COLUMN())),OFFSET($T$2,0,0,ROW()-1,14),ROW()-1,FALSE))</x:f>
        <x:v>-1.251498</x:v>
      </x:c>
      <x:c r="Q969">
        <x:f ca="1">IF(AND($B$1012=1,LEN($Q$1943)&gt;0),$Q$1943,HLOOKUP(INDIRECT(ADDRESS(2,COLUMN())),OFFSET($T$2,0,0,ROW()-1,14),ROW()-1,FALSE))</x:f>
        <x:v>-1.9712130000000001</x:v>
      </x:c>
      <x:c r="R969">
        <x:f ca="1">IF(AND($B$1012=1,LEN($R$1943)&gt;0),$R$1943,HLOOKUP(INDIRECT(ADDRESS(2,COLUMN())),OFFSET($T$2,0,0,ROW()-1,14),ROW()-1,FALSE))</x:f>
        <x:v>-2.5355029999999998</x:v>
      </x:c>
      <x:c r="S969">
        <x:f ca="1">IF(AND($B$1012=1,LEN($S$1943)&gt;0),$S$1943,HLOOKUP(INDIRECT(ADDRESS(2,COLUMN())),OFFSET($T$2,0,0,ROW()-1,14),ROW()-1,FALSE))</x:f>
        <x:v>0</x:v>
      </x:c>
      <x:c r="T969">
        <x:f>-0.502349</x:f>
        <x:v>-0.50234900000000005</x:v>
      </x:c>
      <x:c r="U969">
        <x:f>0</x:f>
        <x:v>0</x:v>
      </x:c>
      <x:c r="V969">
        <x:f>-0.572511</x:f>
        <x:v>-0.57251099999999999</x:v>
      </x:c>
      <x:c r="W969">
        <x:f>-2.049148</x:f>
        <x:v>-2.0491480000000002</x:v>
      </x:c>
      <x:c r="X969">
        <x:f>-0.707532</x:f>
        <x:v>-0.70753200000000005</x:v>
      </x:c>
      <x:c r="Y969">
        <x:f>0</x:f>
        <x:v>0</x:v>
      </x:c>
      <x:c r="Z969">
        <x:f>-0.570643</x:f>
        <x:v>-0.57064300000000001</x:v>
      </x:c>
      <x:c r="AA969">
        <x:f>-0.572282</x:f>
        <x:v>-0.57228199999999996</x:v>
      </x:c>
      <x:c r="AB969">
        <x:f>-0.638104</x:f>
        <x:v>-0.638104</x:v>
      </x:c>
      <x:c r="AC969">
        <x:f>-2.098327</x:f>
        <x:v>-2.0983269999999998</x:v>
      </x:c>
      <x:c r="AD969">
        <x:f>-1.251498</x:f>
        <x:v>-1.251498</x:v>
      </x:c>
      <x:c r="AE969">
        <x:f>-1.971213</x:f>
        <x:v>-1.9712130000000001</x:v>
      </x:c>
      <x:c r="AF969">
        <x:f>-2.535503</x:f>
        <x:v>-2.5355029999999998</x:v>
      </x:c>
      <x:c r="AG969">
        <x:f>0</x:f>
        <x:v>0</x:v>
      </x:c>
    </x:row>
    <x:row r="970" spans="1:33" x14ac:dyDescent="0.25">
      <x:c r="A970" t="str">
        <x:f>"            Sonicshares Airlines Hotels Cr"</x:f>
        <x:v xml:space="preserve">            Sonicshares Airlines Hotels Cr</x:v>
      </x:c>
      <x:c r="B970" t="str">
        <x:f>"TRYP US Equity"</x:f>
        <x:v>TRYP US Equity</x:v>
      </x:c>
      <x:c r="E970" t="str">
        <x:f t="shared" si="40"/>
        <x:v>Expression</x:v>
      </x:c>
      <x:c r="F970" t="str">
        <x:f ca="1">IF(AND($B$1012=1,LEN($F$1944)&gt;0),$F$1944,HLOOKUP(INDIRECT(ADDRESS(2,COLUMN())),OFFSET($T$2,0,0,ROW()-1,14),ROW()-1,FALSE))</x:f>
        <x:v/>
      </x:c>
      <x:c r="G970" t="str">
        <x:f ca="1">IF(AND($B$1012=1,LEN($G$1944)&gt;0),$G$1944,HLOOKUP(INDIRECT(ADDRESS(2,COLUMN())),OFFSET($T$2,0,0,ROW()-1,14),ROW()-1,FALSE))</x:f>
        <x:v/>
      </x:c>
      <x:c r="H970" t="str">
        <x:f ca="1">IF(AND($B$1012=1,LEN($H$1944)&gt;0),$H$1944,HLOOKUP(INDIRECT(ADDRESS(2,COLUMN())),OFFSET($T$2,0,0,ROW()-1,14),ROW()-1,FALSE))</x:f>
        <x:v/>
      </x:c>
      <x:c r="I970" t="str">
        <x:f ca="1">IF(AND($B$1012=1,LEN($I$1944)&gt;0),$I$1944,HLOOKUP(INDIRECT(ADDRESS(2,COLUMN())),OFFSET($T$2,0,0,ROW()-1,14),ROW()-1,FALSE))</x:f>
        <x:v/>
      </x:c>
      <x:c r="J970" t="str">
        <x:f ca="1">IF(AND($B$1012=1,LEN($J$1944)&gt;0),$J$1944,HLOOKUP(INDIRECT(ADDRESS(2,COLUMN())),OFFSET($T$2,0,0,ROW()-1,14),ROW()-1,FALSE))</x:f>
        <x:v/>
      </x:c>
      <x:c r="K970" t="str">
        <x:f ca="1">IF(AND($B$1012=1,LEN($K$1944)&gt;0),$K$1944,HLOOKUP(INDIRECT(ADDRESS(2,COLUMN())),OFFSET($T$2,0,0,ROW()-1,14),ROW()-1,FALSE))</x:f>
        <x:v/>
      </x:c>
      <x:c r="L970" t="str">
        <x:f ca="1">IF(AND($B$1012=1,LEN($L$1944)&gt;0),$L$1944,HLOOKUP(INDIRECT(ADDRESS(2,COLUMN())),OFFSET($T$2,0,0,ROW()-1,14),ROW()-1,FALSE))</x:f>
        <x:v/>
      </x:c>
      <x:c r="M970" t="str">
        <x:f ca="1">IF(AND($B$1012=1,LEN($M$1944)&gt;0),$M$1944,HLOOKUP(INDIRECT(ADDRESS(2,COLUMN())),OFFSET($T$2,0,0,ROW()-1,14),ROW()-1,FALSE))</x:f>
        <x:v/>
      </x:c>
      <x:c r="N970" t="str">
        <x:f ca="1">IF(AND($B$1012=1,LEN($N$1944)&gt;0),$N$1944,HLOOKUP(INDIRECT(ADDRESS(2,COLUMN())),OFFSET($T$2,0,0,ROW()-1,14),ROW()-1,FALSE))</x:f>
        <x:v/>
      </x:c>
      <x:c r="O970" t="str">
        <x:f ca="1">IF(AND($B$1012=1,LEN($O$1944)&gt;0),$O$1944,HLOOKUP(INDIRECT(ADDRESS(2,COLUMN())),OFFSET($T$2,0,0,ROW()-1,14),ROW()-1,FALSE))</x:f>
        <x:v/>
      </x:c>
      <x:c r="P970" t="str">
        <x:f ca="1">IF(AND($B$1012=1,LEN($P$1944)&gt;0),$P$1944,HLOOKUP(INDIRECT(ADDRESS(2,COLUMN())),OFFSET($T$2,0,0,ROW()-1,14),ROW()-1,FALSE))</x:f>
        <x:v/>
      </x:c>
      <x:c r="Q970" t="str">
        <x:f ca="1">IF(AND($B$1012=1,LEN($Q$1944)&gt;0),$Q$1944,HLOOKUP(INDIRECT(ADDRESS(2,COLUMN())),OFFSET($T$2,0,0,ROW()-1,14),ROW()-1,FALSE))</x:f>
        <x:v/>
      </x:c>
      <x:c r="R970" t="str">
        <x:f ca="1">IF(AND($B$1012=1,LEN($R$1944)&gt;0),$R$1944,HLOOKUP(INDIRECT(ADDRESS(2,COLUMN())),OFFSET($T$2,0,0,ROW()-1,14),ROW()-1,FALSE))</x:f>
        <x:v/>
      </x:c>
      <x:c r="S970" t="str">
        <x:f ca="1">IF(AND($B$1012=1,LEN($S$1944)&gt;0),$S$1944,HLOOKUP(INDIRECT(ADDRESS(2,COLUMN())),OFFSET($T$2,0,0,ROW()-1,14),ROW()-1,FALSE))</x:f>
        <x:v/>
      </x:c>
      <x:c r="T970" t="str">
        <x:f>""</x:f>
        <x:v/>
      </x:c>
      <x:c r="U970" t="str">
        <x:f>""</x:f>
        <x:v/>
      </x:c>
      <x:c r="V970" t="str">
        <x:f>""</x:f>
        <x:v/>
      </x:c>
      <x:c r="W970" t="str">
        <x:f>""</x:f>
        <x:v/>
      </x:c>
      <x:c r="X970" t="str">
        <x:f>""</x:f>
        <x:v/>
      </x:c>
      <x:c r="Y970" t="str">
        <x:f>""</x:f>
        <x:v/>
      </x:c>
      <x:c r="Z970" t="str">
        <x:f>""</x:f>
        <x:v/>
      </x:c>
      <x:c r="AA970" t="str">
        <x:f>""</x:f>
        <x:v/>
      </x:c>
      <x:c r="AB970" t="str">
        <x:f>""</x:f>
        <x:v/>
      </x:c>
      <x:c r="AC970" t="str">
        <x:f>""</x:f>
        <x:v/>
      </x:c>
      <x:c r="AD970" t="str">
        <x:f>""</x:f>
        <x:v/>
      </x:c>
      <x:c r="AE970" t="str">
        <x:f>""</x:f>
        <x:v/>
      </x:c>
      <x:c r="AF970" t="str">
        <x:f>""</x:f>
        <x:v/>
      </x:c>
      <x:c r="AG970" t="str">
        <x:f>""</x:f>
        <x:v/>
      </x:c>
    </x:row>
    <x:row r="971" spans="1:33" x14ac:dyDescent="0.25">
      <x:c r="A971" t="str">
        <x:f>"            ALPS Global Travel Beneficiari"</x:f>
        <x:v xml:space="preserve">            ALPS Global Travel Beneficiari</x:v>
      </x:c>
      <x:c r="B971" t="str">
        <x:f>"JRNY US Equity"</x:f>
        <x:v>JRNY US Equity</x:v>
      </x:c>
      <x:c r="E971" t="str">
        <x:f t="shared" si="40"/>
        <x:v>Expression</x:v>
      </x:c>
      <x:c r="F971">
        <x:f ca="1">IF(AND($B$1012=1,LEN($F$1945)&gt;0),$F$1945,HLOOKUP(INDIRECT(ADDRESS(2,COLUMN())),OFFSET($T$2,0,0,ROW()-1,14),ROW()-1,FALSE))</x:f>
        <x:v>0</x:v>
      </x:c>
      <x:c r="G971">
        <x:f ca="1">IF(AND($B$1012=1,LEN($G$1945)&gt;0),$G$1945,HLOOKUP(INDIRECT(ADDRESS(2,COLUMN())),OFFSET($T$2,0,0,ROW()-1,14),ROW()-1,FALSE))</x:f>
        <x:v>0</x:v>
      </x:c>
      <x:c r="H971">
        <x:f ca="1">IF(AND($B$1012=1,LEN($H$1945)&gt;0),$H$1945,HLOOKUP(INDIRECT(ADDRESS(2,COLUMN())),OFFSET($T$2,0,0,ROW()-1,14),ROW()-1,FALSE))</x:f>
        <x:v>0</x:v>
      </x:c>
      <x:c r="I971">
        <x:f ca="1">IF(AND($B$1012=1,LEN($I$1945)&gt;0),$I$1945,HLOOKUP(INDIRECT(ADDRESS(2,COLUMN())),OFFSET($T$2,0,0,ROW()-1,14),ROW()-1,FALSE))</x:f>
        <x:v>0</x:v>
      </x:c>
      <x:c r="J971">
        <x:f ca="1">IF(AND($B$1012=1,LEN($J$1945)&gt;0),$J$1945,HLOOKUP(INDIRECT(ADDRESS(2,COLUMN())),OFFSET($T$2,0,0,ROW()-1,14),ROW()-1,FALSE))</x:f>
        <x:v>0</x:v>
      </x:c>
      <x:c r="K971">
        <x:f ca="1">IF(AND($B$1012=1,LEN($K$1945)&gt;0),$K$1945,HLOOKUP(INDIRECT(ADDRESS(2,COLUMN())),OFFSET($T$2,0,0,ROW()-1,14),ROW()-1,FALSE))</x:f>
        <x:v>0</x:v>
      </x:c>
      <x:c r="L971">
        <x:f ca="1">IF(AND($B$1012=1,LEN($L$1945)&gt;0),$L$1945,HLOOKUP(INDIRECT(ADDRESS(2,COLUMN())),OFFSET($T$2,0,0,ROW()-1,14),ROW()-1,FALSE))</x:f>
        <x:v>0</x:v>
      </x:c>
      <x:c r="M971">
        <x:f ca="1">IF(AND($B$1012=1,LEN($M$1945)&gt;0),$M$1945,HLOOKUP(INDIRECT(ADDRESS(2,COLUMN())),OFFSET($T$2,0,0,ROW()-1,14),ROW()-1,FALSE))</x:f>
        <x:v>-0.57289000000000001</x:v>
      </x:c>
      <x:c r="N971">
        <x:f ca="1">IF(AND($B$1012=1,LEN($N$1945)&gt;0),$N$1945,HLOOKUP(INDIRECT(ADDRESS(2,COLUMN())),OFFSET($T$2,0,0,ROW()-1,14),ROW()-1,FALSE))</x:f>
        <x:v>0.57633599999999996</x:v>
      </x:c>
      <x:c r="O971">
        <x:f ca="1">IF(AND($B$1012=1,LEN($O$1945)&gt;0),$O$1945,HLOOKUP(INDIRECT(ADDRESS(2,COLUMN())),OFFSET($T$2,0,0,ROW()-1,14),ROW()-1,FALSE))</x:f>
        <x:v>-1.1309419999999999</x:v>
      </x:c>
      <x:c r="P971">
        <x:f ca="1">IF(AND($B$1012=1,LEN($P$1945)&gt;0),$P$1945,HLOOKUP(INDIRECT(ADDRESS(2,COLUMN())),OFFSET($T$2,0,0,ROW()-1,14),ROW()-1,FALSE))</x:f>
        <x:v>-1.1593070000000001</x:v>
      </x:c>
      <x:c r="Q971">
        <x:f ca="1">IF(AND($B$1012=1,LEN($Q$1945)&gt;0),$Q$1945,HLOOKUP(INDIRECT(ADDRESS(2,COLUMN())),OFFSET($T$2,0,0,ROW()-1,14),ROW()-1,FALSE))</x:f>
        <x:v>0</x:v>
      </x:c>
      <x:c r="R971">
        <x:f ca="1">IF(AND($B$1012=1,LEN($R$1945)&gt;0),$R$1945,HLOOKUP(INDIRECT(ADDRESS(2,COLUMN())),OFFSET($T$2,0,0,ROW()-1,14),ROW()-1,FALSE))</x:f>
        <x:v>0</x:v>
      </x:c>
      <x:c r="S971">
        <x:f ca="1">IF(AND($B$1012=1,LEN($S$1945)&gt;0),$S$1945,HLOOKUP(INDIRECT(ADDRESS(2,COLUMN())),OFFSET($T$2,0,0,ROW()-1,14),ROW()-1,FALSE))</x:f>
        <x:v>-3.8816609999999998</x:v>
      </x:c>
      <x:c r="T971">
        <x:f>0</x:f>
        <x:v>0</x:v>
      </x:c>
      <x:c r="U971">
        <x:f>0</x:f>
        <x:v>0</x:v>
      </x:c>
      <x:c r="V971">
        <x:f>0</x:f>
        <x:v>0</x:v>
      </x:c>
      <x:c r="W971">
        <x:f>0</x:f>
        <x:v>0</x:v>
      </x:c>
      <x:c r="X971">
        <x:f>0</x:f>
        <x:v>0</x:v>
      </x:c>
      <x:c r="Y971">
        <x:f>0</x:f>
        <x:v>0</x:v>
      </x:c>
      <x:c r="Z971">
        <x:f>0</x:f>
        <x:v>0</x:v>
      </x:c>
      <x:c r="AA971">
        <x:f>-0.57289</x:f>
        <x:v>-0.57289000000000001</x:v>
      </x:c>
      <x:c r="AB971">
        <x:f>0.576336</x:f>
        <x:v>0.57633599999999996</x:v>
      </x:c>
      <x:c r="AC971">
        <x:f>-1.130942</x:f>
        <x:v>-1.1309419999999999</x:v>
      </x:c>
      <x:c r="AD971">
        <x:f>-1.159307</x:f>
        <x:v>-1.1593070000000001</x:v>
      </x:c>
      <x:c r="AE971">
        <x:f>0</x:f>
        <x:v>0</x:v>
      </x:c>
      <x:c r="AF971">
        <x:f>0</x:f>
        <x:v>0</x:v>
      </x:c>
      <x:c r="AG971">
        <x:f>-3.881661</x:f>
        <x:v>-3.8816609999999998</x:v>
      </x:c>
    </x:row>
    <x:row r="972" spans="1:33" x14ac:dyDescent="0.25">
      <x:c r="A972" t="str">
        <x:f>"            US Global Jets ETF"</x:f>
        <x:v xml:space="preserve">            US Global Jets ETF</x:v>
      </x:c>
      <x:c r="B972" t="str">
        <x:f>"JETS US Equity"</x:f>
        <x:v>JETS US Equity</x:v>
      </x:c>
      <x:c r="E972" t="str">
        <x:f t="shared" si="40"/>
        <x:v>Expression</x:v>
      </x:c>
      <x:c r="F972">
        <x:f ca="1">IF(AND($B$1012=1,LEN($F$1946)&gt;0),$F$1946,HLOOKUP(INDIRECT(ADDRESS(2,COLUMN())),OFFSET($T$2,0,0,ROW()-1,14),ROW()-1,FALSE))</x:f>
        <x:v>97.857924999999994</x:v>
      </x:c>
      <x:c r="G972">
        <x:f ca="1">IF(AND($B$1012=1,LEN($G$1946)&gt;0),$G$1946,HLOOKUP(INDIRECT(ADDRESS(2,COLUMN())),OFFSET($T$2,0,0,ROW()-1,14),ROW()-1,FALSE))</x:f>
        <x:v>99.737970000000004</x:v>
      </x:c>
      <x:c r="H972">
        <x:f ca="1">IF(AND($B$1012=1,LEN($H$1946)&gt;0),$H$1946,HLOOKUP(INDIRECT(ADDRESS(2,COLUMN())),OFFSET($T$2,0,0,ROW()-1,14),ROW()-1,FALSE))</x:f>
        <x:v>-46.096519999999998</x:v>
      </x:c>
      <x:c r="I972">
        <x:f ca="1">IF(AND($B$1012=1,LEN($I$1946)&gt;0),$I$1946,HLOOKUP(INDIRECT(ADDRESS(2,COLUMN())),OFFSET($T$2,0,0,ROW()-1,14),ROW()-1,FALSE))</x:f>
        <x:v>-16.19605</x:v>
      </x:c>
      <x:c r="J972">
        <x:f ca="1">IF(AND($B$1012=1,LEN($J$1946)&gt;0),$J$1946,HLOOKUP(INDIRECT(ADDRESS(2,COLUMN())),OFFSET($T$2,0,0,ROW()-1,14),ROW()-1,FALSE))</x:f>
        <x:v>-129.75051999999999</x:v>
      </x:c>
      <x:c r="K972">
        <x:f ca="1">IF(AND($B$1012=1,LEN($K$1946)&gt;0),$K$1946,HLOOKUP(INDIRECT(ADDRESS(2,COLUMN())),OFFSET($T$2,0,0,ROW()-1,14),ROW()-1,FALSE))</x:f>
        <x:v>-40.703985000000003</x:v>
      </x:c>
      <x:c r="L972">
        <x:f ca="1">IF(AND($B$1012=1,LEN($L$1946)&gt;0),$L$1946,HLOOKUP(INDIRECT(ADDRESS(2,COLUMN())),OFFSET($T$2,0,0,ROW()-1,14),ROW()-1,FALSE))</x:f>
        <x:v>-95.830304999999996</x:v>
      </x:c>
      <x:c r="M972">
        <x:f ca="1">IF(AND($B$1012=1,LEN($M$1946)&gt;0),$M$1946,HLOOKUP(INDIRECT(ADDRESS(2,COLUMN())),OFFSET($T$2,0,0,ROW()-1,14),ROW()-1,FALSE))</x:f>
        <x:v>-0.19095000000000001</x:v>
      </x:c>
      <x:c r="N972">
        <x:f ca="1">IF(AND($B$1012=1,LEN($N$1946)&gt;0),$N$1946,HLOOKUP(INDIRECT(ADDRESS(2,COLUMN())),OFFSET($T$2,0,0,ROW()-1,14),ROW()-1,FALSE))</x:f>
        <x:v>-85.063865000000007</x:v>
      </x:c>
      <x:c r="O972">
        <x:f ca="1">IF(AND($B$1012=1,LEN($O$1946)&gt;0),$O$1946,HLOOKUP(INDIRECT(ADDRESS(2,COLUMN())),OFFSET($T$2,0,0,ROW()-1,14),ROW()-1,FALSE))</x:f>
        <x:v>-60.602944999999998</x:v>
      </x:c>
      <x:c r="P972">
        <x:f ca="1">IF(AND($B$1012=1,LEN($P$1946)&gt;0),$P$1946,HLOOKUP(INDIRECT(ADDRESS(2,COLUMN())),OFFSET($T$2,0,0,ROW()-1,14),ROW()-1,FALSE))</x:f>
        <x:v>-194.111175</x:v>
      </x:c>
      <x:c r="Q972">
        <x:f ca="1">IF(AND($B$1012=1,LEN($Q$1946)&gt;0),$Q$1946,HLOOKUP(INDIRECT(ADDRESS(2,COLUMN())),OFFSET($T$2,0,0,ROW()-1,14),ROW()-1,FALSE))</x:f>
        <x:v>-88.432124999999999</x:v>
      </x:c>
      <x:c r="R972">
        <x:f ca="1">IF(AND($B$1012=1,LEN($R$1946)&gt;0),$R$1946,HLOOKUP(INDIRECT(ADDRESS(2,COLUMN())),OFFSET($T$2,0,0,ROW()-1,14),ROW()-1,FALSE))</x:f>
        <x:v>-12.239850000000001</x:v>
      </x:c>
      <x:c r="S972">
        <x:f ca="1">IF(AND($B$1012=1,LEN($S$1946)&gt;0),$S$1946,HLOOKUP(INDIRECT(ADDRESS(2,COLUMN())),OFFSET($T$2,0,0,ROW()-1,14),ROW()-1,FALSE))</x:f>
        <x:v>-72.386165000000005</x:v>
      </x:c>
      <x:c r="T972">
        <x:f>97.857925</x:f>
        <x:v>97.857924999999994</x:v>
      </x:c>
      <x:c r="U972">
        <x:f>99.73797</x:f>
        <x:v>99.737970000000004</x:v>
      </x:c>
      <x:c r="V972">
        <x:f>-46.09652</x:f>
        <x:v>-46.096519999999998</x:v>
      </x:c>
      <x:c r="W972">
        <x:f>-16.19605</x:f>
        <x:v>-16.19605</x:v>
      </x:c>
      <x:c r="X972">
        <x:f>-129.75052</x:f>
        <x:v>-129.75051999999999</x:v>
      </x:c>
      <x:c r="Y972">
        <x:f>-40.703985</x:f>
        <x:v>-40.703985000000003</x:v>
      </x:c>
      <x:c r="Z972">
        <x:f>-95.830305</x:f>
        <x:v>-95.830304999999996</x:v>
      </x:c>
      <x:c r="AA972">
        <x:f>-0.19095</x:f>
        <x:v>-0.19095000000000001</x:v>
      </x:c>
      <x:c r="AB972">
        <x:f>-85.063865</x:f>
        <x:v>-85.063865000000007</x:v>
      </x:c>
      <x:c r="AC972">
        <x:f>-60.602945</x:f>
        <x:v>-60.602944999999998</x:v>
      </x:c>
      <x:c r="AD972">
        <x:f>-194.111175</x:f>
        <x:v>-194.111175</x:v>
      </x:c>
      <x:c r="AE972">
        <x:f>-88.432125</x:f>
        <x:v>-88.432124999999999</x:v>
      </x:c>
      <x:c r="AF972">
        <x:f>-12.23985</x:f>
        <x:v>-12.239850000000001</x:v>
      </x:c>
      <x:c r="AG972">
        <x:f>-72.386165</x:f>
        <x:v>-72.386165000000005</x:v>
      </x:c>
    </x:row>
    <x:row r="973" spans="1:33" x14ac:dyDescent="0.25">
      <x:c r="A973" t="str">
        <x:f>"            Kelly Strategic Hotel &amp; Lodgin"</x:f>
        <x:v xml:space="preserve">            Kelly Strategic Hotel &amp; Lodgin</x:v>
      </x:c>
      <x:c r="B973" t="str">
        <x:f>"HOTL US Equity"</x:f>
        <x:v>HOTL US Equity</x:v>
      </x:c>
      <x:c r="E973" t="str">
        <x:f t="shared" si="40"/>
        <x:v>Expression</x:v>
      </x:c>
      <x:c r="F973">
        <x:f ca="1">IF(AND($B$1012=1,LEN($F$1947)&gt;0),$F$1947,HLOOKUP(INDIRECT(ADDRESS(2,COLUMN())),OFFSET($T$2,0,0,ROW()-1,14),ROW()-1,FALSE))</x:f>
        <x:v>0</x:v>
      </x:c>
      <x:c r="G973">
        <x:f ca="1">IF(AND($B$1012=1,LEN($G$1947)&gt;0),$G$1947,HLOOKUP(INDIRECT(ADDRESS(2,COLUMN())),OFFSET($T$2,0,0,ROW()-1,14),ROW()-1,FALSE))</x:f>
        <x:v>0</x:v>
      </x:c>
      <x:c r="H973">
        <x:f ca="1">IF(AND($B$1012=1,LEN($H$1947)&gt;0),$H$1947,HLOOKUP(INDIRECT(ADDRESS(2,COLUMN())),OFFSET($T$2,0,0,ROW()-1,14),ROW()-1,FALSE))</x:f>
        <x:v>0</x:v>
      </x:c>
      <x:c r="I973">
        <x:f ca="1">IF(AND($B$1012=1,LEN($I$1947)&gt;0),$I$1947,HLOOKUP(INDIRECT(ADDRESS(2,COLUMN())),OFFSET($T$2,0,0,ROW()-1,14),ROW()-1,FALSE))</x:f>
        <x:v>0</x:v>
      </x:c>
      <x:c r="J973">
        <x:f ca="1">IF(AND($B$1012=1,LEN($J$1947)&gt;0),$J$1947,HLOOKUP(INDIRECT(ADDRESS(2,COLUMN())),OFFSET($T$2,0,0,ROW()-1,14),ROW()-1,FALSE))</x:f>
        <x:v>0</x:v>
      </x:c>
      <x:c r="K973">
        <x:f ca="1">IF(AND($B$1012=1,LEN($K$1947)&gt;0),$K$1947,HLOOKUP(INDIRECT(ADDRESS(2,COLUMN())),OFFSET($T$2,0,0,ROW()-1,14),ROW()-1,FALSE))</x:f>
        <x:v>0</x:v>
      </x:c>
      <x:c r="L973">
        <x:f ca="1">IF(AND($B$1012=1,LEN($L$1947)&gt;0),$L$1947,HLOOKUP(INDIRECT(ADDRESS(2,COLUMN())),OFFSET($T$2,0,0,ROW()-1,14),ROW()-1,FALSE))</x:f>
        <x:v>0</x:v>
      </x:c>
      <x:c r="M973">
        <x:f ca="1">IF(AND($B$1012=1,LEN($M$1947)&gt;0),$M$1947,HLOOKUP(INDIRECT(ADDRESS(2,COLUMN())),OFFSET($T$2,0,0,ROW()-1,14),ROW()-1,FALSE))</x:f>
        <x:v>0</x:v>
      </x:c>
      <x:c r="N973">
        <x:f ca="1">IF(AND($B$1012=1,LEN($N$1947)&gt;0),$N$1947,HLOOKUP(INDIRECT(ADDRESS(2,COLUMN())),OFFSET($T$2,0,0,ROW()-1,14),ROW()-1,FALSE))</x:f>
        <x:v>0</x:v>
      </x:c>
      <x:c r="O973">
        <x:f ca="1">IF(AND($B$1012=1,LEN($O$1947)&gt;0),$O$1947,HLOOKUP(INDIRECT(ADDRESS(2,COLUMN())),OFFSET($T$2,0,0,ROW()-1,14),ROW()-1,FALSE))</x:f>
        <x:v>0</x:v>
      </x:c>
      <x:c r="P973">
        <x:f ca="1">IF(AND($B$1012=1,LEN($P$1947)&gt;0),$P$1947,HLOOKUP(INDIRECT(ADDRESS(2,COLUMN())),OFFSET($T$2,0,0,ROW()-1,14),ROW()-1,FALSE))</x:f>
        <x:v>0</x:v>
      </x:c>
      <x:c r="Q973">
        <x:f ca="1">IF(AND($B$1012=1,LEN($Q$1947)&gt;0),$Q$1947,HLOOKUP(INDIRECT(ADDRESS(2,COLUMN())),OFFSET($T$2,0,0,ROW()-1,14),ROW()-1,FALSE))</x:f>
        <x:v>0</x:v>
      </x:c>
      <x:c r="R973">
        <x:f ca="1">IF(AND($B$1012=1,LEN($R$1947)&gt;0),$R$1947,HLOOKUP(INDIRECT(ADDRESS(2,COLUMN())),OFFSET($T$2,0,0,ROW()-1,14),ROW()-1,FALSE))</x:f>
        <x:v>0</x:v>
      </x:c>
      <x:c r="S973">
        <x:f ca="1">IF(AND($B$1012=1,LEN($S$1947)&gt;0),$S$1947,HLOOKUP(INDIRECT(ADDRESS(2,COLUMN())),OFFSET($T$2,0,0,ROW()-1,14),ROW()-1,FALSE))</x:f>
        <x:v>0</x:v>
      </x:c>
      <x:c r="T973">
        <x:f>0</x:f>
        <x:v>0</x:v>
      </x:c>
      <x:c r="U973">
        <x:f>0</x:f>
        <x:v>0</x:v>
      </x:c>
      <x:c r="V973">
        <x:f>0</x:f>
        <x:v>0</x:v>
      </x:c>
      <x:c r="W973">
        <x:f>0</x:f>
        <x:v>0</x:v>
      </x:c>
      <x:c r="X973">
        <x:f>0</x:f>
        <x:v>0</x:v>
      </x:c>
      <x:c r="Y973">
        <x:f>0</x:f>
        <x:v>0</x:v>
      </x:c>
      <x:c r="Z973">
        <x:f>0</x:f>
        <x:v>0</x:v>
      </x:c>
      <x:c r="AA973">
        <x:f>0</x:f>
        <x:v>0</x:v>
      </x:c>
      <x:c r="AB973">
        <x:f>0</x:f>
        <x:v>0</x:v>
      </x:c>
      <x:c r="AC973">
        <x:f>0</x:f>
        <x:v>0</x:v>
      </x:c>
      <x:c r="AD973">
        <x:f>0</x:f>
        <x:v>0</x:v>
      </x:c>
      <x:c r="AE973">
        <x:f>0</x:f>
        <x:v>0</x:v>
      </x:c>
      <x:c r="AF973">
        <x:f>0</x:f>
        <x:v>0</x:v>
      </x:c>
      <x:c r="AG973">
        <x:f>0</x:f>
        <x:v>0</x:v>
      </x:c>
    </x:row>
    <x:row r="974" spans="1:33" x14ac:dyDescent="0.25">
      <x:c r="A974" t="str">
        <x:f>"        5G"</x:f>
        <x:v xml:space="preserve">        5G</x:v>
      </x:c>
      <x:c r="B974" t="str">
        <x:f>""</x:f>
        <x:v/>
      </x:c>
      <x:c r="E974" t="str">
        <x:f>"Sum"</x:f>
        <x:v>Sum</x:v>
      </x:c>
      <x:c r="F974">
        <x:f ca="1">IF(ISERROR(IF(SUM($F$975:$F$981) = 0, "", SUM($F$975:$F$981))), "", (IF(SUM($F$975:$F$981) = 0, "", SUM($F$975:$F$981))))</x:f>
        <x:v>-13.7021</x:v>
      </x:c>
      <x:c r="G974">
        <x:f ca="1">IF(ISERROR(IF(SUM($G$975:$G$981) = 0, "", SUM($G$975:$G$981))), "", (IF(SUM($G$975:$G$981) = 0, "", SUM($G$975:$G$981))))</x:f>
        <x:v>-28.666974000000003</x:v>
      </x:c>
      <x:c r="H974">
        <x:f ca="1">IF(ISERROR(IF(SUM($H$975:$H$981) = 0, "", SUM($H$975:$H$981))), "", (IF(SUM($H$975:$H$981) = 0, "", SUM($H$975:$H$981))))</x:f>
        <x:v>-19.514620000000001</x:v>
      </x:c>
      <x:c r="I974">
        <x:f ca="1">IF(ISERROR(IF(SUM($I$975:$I$981) = 0, "", SUM($I$975:$I$981))), "", (IF(SUM($I$975:$I$981) = 0, "", SUM($I$975:$I$981))))</x:f>
        <x:v>-79.111380999999994</x:v>
      </x:c>
      <x:c r="J974">
        <x:f ca="1">IF(ISERROR(IF(SUM($J$975:$J$981) = 0, "", SUM($J$975:$J$981))), "", (IF(SUM($J$975:$J$981) = 0, "", SUM($J$975:$J$981))))</x:f>
        <x:v>-28.327069999999999</x:v>
      </x:c>
      <x:c r="K974">
        <x:f ca="1">IF(ISERROR(IF(SUM($K$975:$K$981) = 0, "", SUM($K$975:$K$981))), "", (IF(SUM($K$975:$K$981) = 0, "", SUM($K$975:$K$981))))</x:f>
        <x:v>-24.899414999999998</x:v>
      </x:c>
      <x:c r="L974">
        <x:f ca="1">IF(ISERROR(IF(SUM($L$975:$L$981) = 0, "", SUM($L$975:$L$981))), "", (IF(SUM($L$975:$L$981) = 0, "", SUM($L$975:$L$981))))</x:f>
        <x:v>-43.249094999999997</x:v>
      </x:c>
      <x:c r="M974">
        <x:f ca="1">IF(ISERROR(IF(SUM($M$975:$M$981) = 0, "", SUM($M$975:$M$981))), "", (IF(SUM($M$975:$M$981) = 0, "", SUM($M$975:$M$981))))</x:f>
        <x:v>-29.738299999999999</x:v>
      </x:c>
      <x:c r="N974">
        <x:f ca="1">IF(ISERROR(IF(SUM($N$975:$N$981) = 0, "", SUM($N$975:$N$981))), "", (IF(SUM($N$975:$N$981) = 0, "", SUM($N$975:$N$981))))</x:f>
        <x:v>-26.922725</x:v>
      </x:c>
      <x:c r="O974">
        <x:f ca="1">IF(ISERROR(IF(SUM($O$975:$O$981) = 0, "", SUM($O$975:$O$981))), "", (IF(SUM($O$975:$O$981) = 0, "", SUM($O$975:$O$981))))</x:f>
        <x:v>-36.676903999999993</x:v>
      </x:c>
      <x:c r="P974">
        <x:f ca="1">IF(ISERROR(IF(SUM($P$975:$P$981) = 0, "", SUM($P$975:$P$981))), "", (IF(SUM($P$975:$P$981) = 0, "", SUM($P$975:$P$981))))</x:f>
        <x:v>-32.145800000000001</x:v>
      </x:c>
      <x:c r="Q974">
        <x:f ca="1">IF(ISERROR(IF(SUM($Q$975:$Q$981) = 0, "", SUM($Q$975:$Q$981))), "", (IF(SUM($Q$975:$Q$981) = 0, "", SUM($Q$975:$Q$981))))</x:f>
        <x:v>-58.518698000000001</x:v>
      </x:c>
      <x:c r="R974">
        <x:f ca="1">IF(ISERROR(IF(SUM($R$975:$R$981) = 0, "", SUM($R$975:$R$981))), "", (IF(SUM($R$975:$R$981) = 0, "", SUM($R$975:$R$981))))</x:f>
        <x:v>-34.456916</x:v>
      </x:c>
      <x:c r="S974">
        <x:f ca="1">IF(ISERROR(IF(SUM($S$975:$S$981) = 0, "", SUM($S$975:$S$981))), "", (IF(SUM($S$975:$S$981) = 0, "", SUM($S$975:$S$981))))</x:f>
        <x:v>-24.153449999999999</x:v>
      </x:c>
      <x:c r="T974">
        <x:f>-13.7021</x:f>
        <x:v>-13.7021</x:v>
      </x:c>
      <x:c r="U974">
        <x:f>-28.666974</x:f>
        <x:v>-28.666974</x:v>
      </x:c>
      <x:c r="V974">
        <x:f>-19.51462</x:f>
        <x:v>-19.514620000000001</x:v>
      </x:c>
      <x:c r="W974">
        <x:f>-79.111381</x:f>
        <x:v>-79.111380999999994</x:v>
      </x:c>
      <x:c r="X974">
        <x:f>-28.32707</x:f>
        <x:v>-28.327069999999999</x:v>
      </x:c>
      <x:c r="Y974">
        <x:f>-24.899415</x:f>
        <x:v>-24.899415000000001</x:v>
      </x:c>
      <x:c r="Z974">
        <x:f>-43.249095</x:f>
        <x:v>-43.249094999999997</x:v>
      </x:c>
      <x:c r="AA974">
        <x:f>-29.7383</x:f>
        <x:v>-29.738299999999999</x:v>
      </x:c>
      <x:c r="AB974">
        <x:f>-26.922725</x:f>
        <x:v>-26.922725</x:v>
      </x:c>
      <x:c r="AC974">
        <x:f>-36.676904</x:f>
        <x:v>-36.676904</x:v>
      </x:c>
      <x:c r="AD974">
        <x:f>-32.1458</x:f>
        <x:v>-32.145800000000001</x:v>
      </x:c>
      <x:c r="AE974">
        <x:f>-58.518698</x:f>
        <x:v>-58.518698000000001</x:v>
      </x:c>
      <x:c r="AF974">
        <x:f>-34.456916</x:f>
        <x:v>-34.456916</x:v>
      </x:c>
      <x:c r="AG974">
        <x:f>-24.15345</x:f>
        <x:v>-24.153449999999999</x:v>
      </x:c>
    </x:row>
    <x:row r="975" spans="1:33" x14ac:dyDescent="0.25">
      <x:c r="A975" t="str">
        <x:f>"            iShares Future Cloud 5G and Te"</x:f>
        <x:v xml:space="preserve">            iShares Future Cloud 5G and Te</x:v>
      </x:c>
      <x:c r="B975" t="str">
        <x:f>"IDAT US Equity"</x:f>
        <x:v>IDAT US Equity</x:v>
      </x:c>
      <x:c r="E975" t="str">
        <x:f t="shared" ref="E975:E981" si="41">"Expression"</x:f>
        <x:v>Expression</x:v>
      </x:c>
      <x:c r="F975">
        <x:f ca="1">IF(AND($B$1012=1,LEN($F$1948)&gt;0),$F$1948,HLOOKUP(INDIRECT(ADDRESS(2,COLUMN())),OFFSET($T$2,0,0,ROW()-1,14),ROW()-1,FALSE))</x:f>
        <x:v>0</x:v>
      </x:c>
      <x:c r="G975">
        <x:f ca="1">IF(AND($B$1012=1,LEN($G$1948)&gt;0),$G$1948,HLOOKUP(INDIRECT(ADDRESS(2,COLUMN())),OFFSET($T$2,0,0,ROW()-1,14),ROW()-1,FALSE))</x:f>
        <x:v>0</x:v>
      </x:c>
      <x:c r="H975">
        <x:f ca="1">IF(AND($B$1012=1,LEN($H$1948)&gt;0),$H$1948,HLOOKUP(INDIRECT(ADDRESS(2,COLUMN())),OFFSET($T$2,0,0,ROW()-1,14),ROW()-1,FALSE))</x:f>
        <x:v>0</x:v>
      </x:c>
      <x:c r="I975">
        <x:f ca="1">IF(AND($B$1012=1,LEN($I$1948)&gt;0),$I$1948,HLOOKUP(INDIRECT(ADDRESS(2,COLUMN())),OFFSET($T$2,0,0,ROW()-1,14),ROW()-1,FALSE))</x:f>
        <x:v>0</x:v>
      </x:c>
      <x:c r="J975">
        <x:f ca="1">IF(AND($B$1012=1,LEN($J$1948)&gt;0),$J$1948,HLOOKUP(INDIRECT(ADDRESS(2,COLUMN())),OFFSET($T$2,0,0,ROW()-1,14),ROW()-1,FALSE))</x:f>
        <x:v>0</x:v>
      </x:c>
      <x:c r="K975">
        <x:f ca="1">IF(AND($B$1012=1,LEN($K$1948)&gt;0),$K$1948,HLOOKUP(INDIRECT(ADDRESS(2,COLUMN())),OFFSET($T$2,0,0,ROW()-1,14),ROW()-1,FALSE))</x:f>
        <x:v>0</x:v>
      </x:c>
      <x:c r="L975">
        <x:f ca="1">IF(AND($B$1012=1,LEN($L$1948)&gt;0),$L$1948,HLOOKUP(INDIRECT(ADDRESS(2,COLUMN())),OFFSET($T$2,0,0,ROW()-1,14),ROW()-1,FALSE))</x:f>
        <x:v>0</x:v>
      </x:c>
      <x:c r="M975">
        <x:f ca="1">IF(AND($B$1012=1,LEN($M$1948)&gt;0),$M$1948,HLOOKUP(INDIRECT(ADDRESS(2,COLUMN())),OFFSET($T$2,0,0,ROW()-1,14),ROW()-1,FALSE))</x:f>
        <x:v>0</x:v>
      </x:c>
      <x:c r="N975">
        <x:f ca="1">IF(AND($B$1012=1,LEN($N$1948)&gt;0),$N$1948,HLOOKUP(INDIRECT(ADDRESS(2,COLUMN())),OFFSET($T$2,0,0,ROW()-1,14),ROW()-1,FALSE))</x:f>
        <x:v>0</x:v>
      </x:c>
      <x:c r="O975">
        <x:f ca="1">IF(AND($B$1012=1,LEN($O$1948)&gt;0),$O$1948,HLOOKUP(INDIRECT(ADDRESS(2,COLUMN())),OFFSET($T$2,0,0,ROW()-1,14),ROW()-1,FALSE))</x:f>
        <x:v>-1.9344239999999999</x:v>
      </x:c>
      <x:c r="P975">
        <x:f ca="1">IF(AND($B$1012=1,LEN($P$1948)&gt;0),$P$1948,HLOOKUP(INDIRECT(ADDRESS(2,COLUMN())),OFFSET($T$2,0,0,ROW()-1,14),ROW()-1,FALSE))</x:f>
        <x:v>0</x:v>
      </x:c>
      <x:c r="Q975">
        <x:f ca="1">IF(AND($B$1012=1,LEN($Q$1948)&gt;0),$Q$1948,HLOOKUP(INDIRECT(ADDRESS(2,COLUMN())),OFFSET($T$2,0,0,ROW()-1,14),ROW()-1,FALSE))</x:f>
        <x:v>0</x:v>
      </x:c>
      <x:c r="R975">
        <x:f ca="1">IF(AND($B$1012=1,LEN($R$1948)&gt;0),$R$1948,HLOOKUP(INDIRECT(ADDRESS(2,COLUMN())),OFFSET($T$2,0,0,ROW()-1,14),ROW()-1,FALSE))</x:f>
        <x:v>0</x:v>
      </x:c>
      <x:c r="S975">
        <x:f ca="1">IF(AND($B$1012=1,LEN($S$1948)&gt;0),$S$1948,HLOOKUP(INDIRECT(ADDRESS(2,COLUMN())),OFFSET($T$2,0,0,ROW()-1,14),ROW()-1,FALSE))</x:f>
        <x:v>0</x:v>
      </x:c>
      <x:c r="T975">
        <x:f>0</x:f>
        <x:v>0</x:v>
      </x:c>
      <x:c r="U975">
        <x:f>0</x:f>
        <x:v>0</x:v>
      </x:c>
      <x:c r="V975">
        <x:f>0</x:f>
        <x:v>0</x:v>
      </x:c>
      <x:c r="W975">
        <x:f>0</x:f>
        <x:v>0</x:v>
      </x:c>
      <x:c r="X975">
        <x:f>0</x:f>
        <x:v>0</x:v>
      </x:c>
      <x:c r="Y975">
        <x:f>0</x:f>
        <x:v>0</x:v>
      </x:c>
      <x:c r="Z975">
        <x:f>0</x:f>
        <x:v>0</x:v>
      </x:c>
      <x:c r="AA975">
        <x:f>0</x:f>
        <x:v>0</x:v>
      </x:c>
      <x:c r="AB975">
        <x:f>0</x:f>
        <x:v>0</x:v>
      </x:c>
      <x:c r="AC975">
        <x:f>-1.934424</x:f>
        <x:v>-1.9344239999999999</x:v>
      </x:c>
      <x:c r="AD975">
        <x:f>0</x:f>
        <x:v>0</x:v>
      </x:c>
      <x:c r="AE975">
        <x:f>0</x:f>
        <x:v>0</x:v>
      </x:c>
      <x:c r="AF975">
        <x:f>0</x:f>
        <x:v>0</x:v>
      </x:c>
      <x:c r="AG975">
        <x:f>0</x:f>
        <x:v>0</x:v>
      </x:c>
    </x:row>
    <x:row r="976" spans="1:33" x14ac:dyDescent="0.25">
      <x:c r="A976" t="str">
        <x:f>"            KraneShares CICC China 5G and"</x:f>
        <x:v xml:space="preserve">            KraneShares CICC China 5G and</x:v>
      </x:c>
      <x:c r="B976" t="str">
        <x:f>"KFVG US Equity"</x:f>
        <x:v>KFVG US Equity</x:v>
      </x:c>
      <x:c r="E976" t="str">
        <x:f t="shared" si="41"/>
        <x:v>Expression</x:v>
      </x:c>
      <x:c r="F976">
        <x:f ca="1">IF(AND($B$1012=1,LEN($F$1949)&gt;0),$F$1949,HLOOKUP(INDIRECT(ADDRESS(2,COLUMN())),OFFSET($T$2,0,0,ROW()-1,14),ROW()-1,FALSE))</x:f>
        <x:v>0</x:v>
      </x:c>
      <x:c r="G976">
        <x:f ca="1">IF(AND($B$1012=1,LEN($G$1949)&gt;0),$G$1949,HLOOKUP(INDIRECT(ADDRESS(2,COLUMN())),OFFSET($T$2,0,0,ROW()-1,14),ROW()-1,FALSE))</x:f>
        <x:v>0</x:v>
      </x:c>
      <x:c r="H976">
        <x:f ca="1">IF(AND($B$1012=1,LEN($H$1949)&gt;0),$H$1949,HLOOKUP(INDIRECT(ADDRESS(2,COLUMN())),OFFSET($T$2,0,0,ROW()-1,14),ROW()-1,FALSE))</x:f>
        <x:v>-0.74</x:v>
      </x:c>
      <x:c r="I976">
        <x:f ca="1">IF(AND($B$1012=1,LEN($I$1949)&gt;0),$I$1949,HLOOKUP(INDIRECT(ADDRESS(2,COLUMN())),OFFSET($T$2,0,0,ROW()-1,14),ROW()-1,FALSE))</x:f>
        <x:v>0</x:v>
      </x:c>
      <x:c r="J976">
        <x:f ca="1">IF(AND($B$1012=1,LEN($J$1949)&gt;0),$J$1949,HLOOKUP(INDIRECT(ADDRESS(2,COLUMN())),OFFSET($T$2,0,0,ROW()-1,14),ROW()-1,FALSE))</x:f>
        <x:v>0</x:v>
      </x:c>
      <x:c r="K976">
        <x:f ca="1">IF(AND($B$1012=1,LEN($K$1949)&gt;0),$K$1949,HLOOKUP(INDIRECT(ADDRESS(2,COLUMN())),OFFSET($T$2,0,0,ROW()-1,14),ROW()-1,FALSE))</x:f>
        <x:v>0</x:v>
      </x:c>
      <x:c r="L976">
        <x:f ca="1">IF(AND($B$1012=1,LEN($L$1949)&gt;0),$L$1949,HLOOKUP(INDIRECT(ADDRESS(2,COLUMN())),OFFSET($T$2,0,0,ROW()-1,14),ROW()-1,FALSE))</x:f>
        <x:v>0</x:v>
      </x:c>
      <x:c r="M976">
        <x:f ca="1">IF(AND($B$1012=1,LEN($M$1949)&gt;0),$M$1949,HLOOKUP(INDIRECT(ADDRESS(2,COLUMN())),OFFSET($T$2,0,0,ROW()-1,14),ROW()-1,FALSE))</x:f>
        <x:v>0</x:v>
      </x:c>
      <x:c r="N976">
        <x:f ca="1">IF(AND($B$1012=1,LEN($N$1949)&gt;0),$N$1949,HLOOKUP(INDIRECT(ADDRESS(2,COLUMN())),OFFSET($T$2,0,0,ROW()-1,14),ROW()-1,FALSE))</x:f>
        <x:v>0</x:v>
      </x:c>
      <x:c r="O976">
        <x:f ca="1">IF(AND($B$1012=1,LEN($O$1949)&gt;0),$O$1949,HLOOKUP(INDIRECT(ADDRESS(2,COLUMN())),OFFSET($T$2,0,0,ROW()-1,14),ROW()-1,FALSE))</x:f>
        <x:v>0</x:v>
      </x:c>
      <x:c r="P976">
        <x:f ca="1">IF(AND($B$1012=1,LEN($P$1949)&gt;0),$P$1949,HLOOKUP(INDIRECT(ADDRESS(2,COLUMN())),OFFSET($T$2,0,0,ROW()-1,14),ROW()-1,FALSE))</x:f>
        <x:v>0</x:v>
      </x:c>
      <x:c r="Q976">
        <x:f ca="1">IF(AND($B$1012=1,LEN($Q$1949)&gt;0),$Q$1949,HLOOKUP(INDIRECT(ADDRESS(2,COLUMN())),OFFSET($T$2,0,0,ROW()-1,14),ROW()-1,FALSE))</x:f>
        <x:v>0</x:v>
      </x:c>
      <x:c r="R976">
        <x:f ca="1">IF(AND($B$1012=1,LEN($R$1949)&gt;0),$R$1949,HLOOKUP(INDIRECT(ADDRESS(2,COLUMN())),OFFSET($T$2,0,0,ROW()-1,14),ROW()-1,FALSE))</x:f>
        <x:v>0</x:v>
      </x:c>
      <x:c r="S976">
        <x:f ca="1">IF(AND($B$1012=1,LEN($S$1949)&gt;0),$S$1949,HLOOKUP(INDIRECT(ADDRESS(2,COLUMN())),OFFSET($T$2,0,0,ROW()-1,14),ROW()-1,FALSE))</x:f>
        <x:v>-1.4590000000000001</x:v>
      </x:c>
      <x:c r="T976">
        <x:f>0</x:f>
        <x:v>0</x:v>
      </x:c>
      <x:c r="U976">
        <x:f>0</x:f>
        <x:v>0</x:v>
      </x:c>
      <x:c r="V976">
        <x:f>-0.74</x:f>
        <x:v>-0.74</x:v>
      </x:c>
      <x:c r="W976">
        <x:f>0</x:f>
        <x:v>0</x:v>
      </x:c>
      <x:c r="X976">
        <x:f>0</x:f>
        <x:v>0</x:v>
      </x:c>
      <x:c r="Y976">
        <x:f>0</x:f>
        <x:v>0</x:v>
      </x:c>
      <x:c r="Z976">
        <x:f>0</x:f>
        <x:v>0</x:v>
      </x:c>
      <x:c r="AA976">
        <x:f>0</x:f>
        <x:v>0</x:v>
      </x:c>
      <x:c r="AB976">
        <x:f>0</x:f>
        <x:v>0</x:v>
      </x:c>
      <x:c r="AC976">
        <x:f>0</x:f>
        <x:v>0</x:v>
      </x:c>
      <x:c r="AD976">
        <x:f>0</x:f>
        <x:v>0</x:v>
      </x:c>
      <x:c r="AE976">
        <x:f>0</x:f>
        <x:v>0</x:v>
      </x:c>
      <x:c r="AF976">
        <x:f>0</x:f>
        <x:v>0</x:v>
      </x:c>
      <x:c r="AG976">
        <x:f>-1.459</x:f>
        <x:v>-1.4590000000000001</x:v>
      </x:c>
    </x:row>
    <x:row r="977" spans="1:33" x14ac:dyDescent="0.25">
      <x:c r="A977" t="str">
        <x:f>"            Defiance Next Gen Connectivity"</x:f>
        <x:v xml:space="preserve">            Defiance Next Gen Connectivity</x:v>
      </x:c>
      <x:c r="B977" t="str">
        <x:f>"FIVG US Equity"</x:f>
        <x:v>FIVG US Equity</x:v>
      </x:c>
      <x:c r="E977" t="str">
        <x:f t="shared" si="41"/>
        <x:v>Expression</x:v>
      </x:c>
      <x:c r="F977">
        <x:f ca="1">IF(AND($B$1012=1,LEN($F$1950)&gt;0),$F$1950,HLOOKUP(INDIRECT(ADDRESS(2,COLUMN())),OFFSET($T$2,0,0,ROW()-1,14),ROW()-1,FALSE))</x:f>
        <x:v>-9.5420149999999992</x:v>
      </x:c>
      <x:c r="G977">
        <x:f ca="1">IF(AND($B$1012=1,LEN($G$1950)&gt;0),$G$1950,HLOOKUP(INDIRECT(ADDRESS(2,COLUMN())),OFFSET($T$2,0,0,ROW()-1,14),ROW()-1,FALSE))</x:f>
        <x:v>-19.360340000000001</x:v>
      </x:c>
      <x:c r="H977">
        <x:f ca="1">IF(AND($B$1012=1,LEN($H$1950)&gt;0),$H$1950,HLOOKUP(INDIRECT(ADDRESS(2,COLUMN())),OFFSET($T$2,0,0,ROW()-1,14),ROW()-1,FALSE))</x:f>
        <x:v>-9.5352499999999996</x:v>
      </x:c>
      <x:c r="I977">
        <x:f ca="1">IF(AND($B$1012=1,LEN($I$1950)&gt;0),$I$1950,HLOOKUP(INDIRECT(ADDRESS(2,COLUMN())),OFFSET($T$2,0,0,ROW()-1,14),ROW()-1,FALSE))</x:f>
        <x:v>-22.668545000000002</x:v>
      </x:c>
      <x:c r="J977">
        <x:f ca="1">IF(AND($B$1012=1,LEN($J$1950)&gt;0),$J$1950,HLOOKUP(INDIRECT(ADDRESS(2,COLUMN())),OFFSET($T$2,0,0,ROW()-1,14),ROW()-1,FALSE))</x:f>
        <x:v>-15.105549999999999</x:v>
      </x:c>
      <x:c r="K977">
        <x:f ca="1">IF(AND($B$1012=1,LEN($K$1950)&gt;0),$K$1950,HLOOKUP(INDIRECT(ADDRESS(2,COLUMN())),OFFSET($T$2,0,0,ROW()-1,14),ROW()-1,FALSE))</x:f>
        <x:v>-14.812165</x:v>
      </x:c>
      <x:c r="L977">
        <x:f ca="1">IF(AND($B$1012=1,LEN($L$1950)&gt;0),$L$1950,HLOOKUP(INDIRECT(ADDRESS(2,COLUMN())),OFFSET($T$2,0,0,ROW()-1,14),ROW()-1,FALSE))</x:f>
        <x:v>-40.375844999999998</x:v>
      </x:c>
      <x:c r="M977">
        <x:f ca="1">IF(AND($B$1012=1,LEN($M$1950)&gt;0),$M$1950,HLOOKUP(INDIRECT(ADDRESS(2,COLUMN())),OFFSET($T$2,0,0,ROW()-1,14),ROW()-1,FALSE))</x:f>
        <x:v>-10.84198</x:v>
      </x:c>
      <x:c r="N977">
        <x:f ca="1">IF(AND($B$1012=1,LEN($N$1950)&gt;0),$N$1950,HLOOKUP(INDIRECT(ADDRESS(2,COLUMN())),OFFSET($T$2,0,0,ROW()-1,14),ROW()-1,FALSE))</x:f>
        <x:v>-19.030474999999999</x:v>
      </x:c>
      <x:c r="O977">
        <x:f ca="1">IF(AND($B$1012=1,LEN($O$1950)&gt;0),$O$1950,HLOOKUP(INDIRECT(ADDRESS(2,COLUMN())),OFFSET($T$2,0,0,ROW()-1,14),ROW()-1,FALSE))</x:f>
        <x:v>-19.790479999999999</x:v>
      </x:c>
      <x:c r="P977">
        <x:f ca="1">IF(AND($B$1012=1,LEN($P$1950)&gt;0),$P$1950,HLOOKUP(INDIRECT(ADDRESS(2,COLUMN())),OFFSET($T$2,0,0,ROW()-1,14),ROW()-1,FALSE))</x:f>
        <x:v>-12.7593</x:v>
      </x:c>
      <x:c r="Q977">
        <x:f ca="1">IF(AND($B$1012=1,LEN($Q$1950)&gt;0),$Q$1950,HLOOKUP(INDIRECT(ADDRESS(2,COLUMN())),OFFSET($T$2,0,0,ROW()-1,14),ROW()-1,FALSE))</x:f>
        <x:v>-42.838344999999997</x:v>
      </x:c>
      <x:c r="R977">
        <x:f ca="1">IF(AND($B$1012=1,LEN($R$1950)&gt;0),$R$1950,HLOOKUP(INDIRECT(ADDRESS(2,COLUMN())),OFFSET($T$2,0,0,ROW()-1,14),ROW()-1,FALSE))</x:f>
        <x:v>-15.251855000000001</x:v>
      </x:c>
      <x:c r="S977">
        <x:f ca="1">IF(AND($B$1012=1,LEN($S$1950)&gt;0),$S$1950,HLOOKUP(INDIRECT(ADDRESS(2,COLUMN())),OFFSET($T$2,0,0,ROW()-1,14),ROW()-1,FALSE))</x:f>
        <x:v>-20.005884999999999</x:v>
      </x:c>
      <x:c r="T977">
        <x:f>-9.542015</x:f>
        <x:v>-9.5420149999999992</x:v>
      </x:c>
      <x:c r="U977">
        <x:f>-19.36034</x:f>
        <x:v>-19.360340000000001</x:v>
      </x:c>
      <x:c r="V977">
        <x:f>-9.53525</x:f>
        <x:v>-9.5352499999999996</x:v>
      </x:c>
      <x:c r="W977">
        <x:f>-22.668545</x:f>
        <x:v>-22.668545000000002</x:v>
      </x:c>
      <x:c r="X977">
        <x:f>-15.10555</x:f>
        <x:v>-15.105549999999999</x:v>
      </x:c>
      <x:c r="Y977">
        <x:f>-14.812165</x:f>
        <x:v>-14.812165</x:v>
      </x:c>
      <x:c r="Z977">
        <x:f>-40.375845</x:f>
        <x:v>-40.375844999999998</x:v>
      </x:c>
      <x:c r="AA977">
        <x:f>-10.84198</x:f>
        <x:v>-10.84198</x:v>
      </x:c>
      <x:c r="AB977">
        <x:f>-19.030475</x:f>
        <x:v>-19.030474999999999</x:v>
      </x:c>
      <x:c r="AC977">
        <x:f>-19.79048</x:f>
        <x:v>-19.790479999999999</x:v>
      </x:c>
      <x:c r="AD977">
        <x:f>-12.7593</x:f>
        <x:v>-12.7593</x:v>
      </x:c>
      <x:c r="AE977">
        <x:f>-42.838345</x:f>
        <x:v>-42.838344999999997</x:v>
      </x:c>
      <x:c r="AF977">
        <x:f>-15.251855</x:f>
        <x:v>-15.251855000000001</x:v>
      </x:c>
      <x:c r="AG977">
        <x:f>-20.005885</x:f>
        <x:v>-20.005884999999999</x:v>
      </x:c>
    </x:row>
    <x:row r="978" spans="1:33" x14ac:dyDescent="0.25">
      <x:c r="A978" t="str">
        <x:f>"            AXS Esoterica NEXTG Economy ET"</x:f>
        <x:v xml:space="preserve">            AXS Esoterica NEXTG Economy ET</x:v>
      </x:c>
      <x:c r="B978" t="str">
        <x:f>"WUGI US Equity"</x:f>
        <x:v>WUGI US Equity</x:v>
      </x:c>
      <x:c r="E978" t="str">
        <x:f t="shared" si="41"/>
        <x:v>Expression</x:v>
      </x:c>
      <x:c r="F978">
        <x:f ca="1">IF(AND($B$1012=1,LEN($F$1951)&gt;0),$F$1951,HLOOKUP(INDIRECT(ADDRESS(2,COLUMN())),OFFSET($T$2,0,0,ROW()-1,14),ROW()-1,FALSE))</x:f>
        <x:v>0</x:v>
      </x:c>
      <x:c r="G978">
        <x:f ca="1">IF(AND($B$1012=1,LEN($G$1951)&gt;0),$G$1951,HLOOKUP(INDIRECT(ADDRESS(2,COLUMN())),OFFSET($T$2,0,0,ROW()-1,14),ROW()-1,FALSE))</x:f>
        <x:v>0</x:v>
      </x:c>
      <x:c r="H978">
        <x:f ca="1">IF(AND($B$1012=1,LEN($H$1951)&gt;0),$H$1951,HLOOKUP(INDIRECT(ADDRESS(2,COLUMN())),OFFSET($T$2,0,0,ROW()-1,14),ROW()-1,FALSE))</x:f>
        <x:v>-2.2330299999999998</x:v>
      </x:c>
      <x:c r="I978">
        <x:f ca="1">IF(AND($B$1012=1,LEN($I$1951)&gt;0),$I$1951,HLOOKUP(INDIRECT(ADDRESS(2,COLUMN())),OFFSET($T$2,0,0,ROW()-1,14),ROW()-1,FALSE))</x:f>
        <x:v>2.276735</x:v>
      </x:c>
      <x:c r="J978">
        <x:f ca="1">IF(AND($B$1012=1,LEN($J$1951)&gt;0),$J$1951,HLOOKUP(INDIRECT(ADDRESS(2,COLUMN())),OFFSET($T$2,0,0,ROW()-1,14),ROW()-1,FALSE))</x:f>
        <x:v>1.2474799999999999</x:v>
      </x:c>
      <x:c r="K978">
        <x:f ca="1">IF(AND($B$1012=1,LEN($K$1951)&gt;0),$K$1951,HLOOKUP(INDIRECT(ADDRESS(2,COLUMN())),OFFSET($T$2,0,0,ROW()-1,14),ROW()-1,FALSE))</x:f>
        <x:v>0</x:v>
      </x:c>
      <x:c r="L978">
        <x:f ca="1">IF(AND($B$1012=1,LEN($L$1951)&gt;0),$L$1951,HLOOKUP(INDIRECT(ADDRESS(2,COLUMN())),OFFSET($T$2,0,0,ROW()-1,14),ROW()-1,FALSE))</x:f>
        <x:v>0</x:v>
      </x:c>
      <x:c r="M978">
        <x:f ca="1">IF(AND($B$1012=1,LEN($M$1951)&gt;0),$M$1951,HLOOKUP(INDIRECT(ADDRESS(2,COLUMN())),OFFSET($T$2,0,0,ROW()-1,14),ROW()-1,FALSE))</x:f>
        <x:v>-1.86582</x:v>
      </x:c>
      <x:c r="N978">
        <x:f ca="1">IF(AND($B$1012=1,LEN($N$1951)&gt;0),$N$1951,HLOOKUP(INDIRECT(ADDRESS(2,COLUMN())),OFFSET($T$2,0,0,ROW()-1,14),ROW()-1,FALSE))</x:f>
        <x:v>0</x:v>
      </x:c>
      <x:c r="O978">
        <x:f ca="1">IF(AND($B$1012=1,LEN($O$1951)&gt;0),$O$1951,HLOOKUP(INDIRECT(ADDRESS(2,COLUMN())),OFFSET($T$2,0,0,ROW()-1,14),ROW()-1,FALSE))</x:f>
        <x:v>0</x:v>
      </x:c>
      <x:c r="P978">
        <x:f ca="1">IF(AND($B$1012=1,LEN($P$1951)&gt;0),$P$1951,HLOOKUP(INDIRECT(ADDRESS(2,COLUMN())),OFFSET($T$2,0,0,ROW()-1,14),ROW()-1,FALSE))</x:f>
        <x:v>0</x:v>
      </x:c>
      <x:c r="Q978">
        <x:f ca="1">IF(AND($B$1012=1,LEN($Q$1951)&gt;0),$Q$1951,HLOOKUP(INDIRECT(ADDRESS(2,COLUMN())),OFFSET($T$2,0,0,ROW()-1,14),ROW()-1,FALSE))</x:f>
        <x:v>0</x:v>
      </x:c>
      <x:c r="R978">
        <x:f ca="1">IF(AND($B$1012=1,LEN($R$1951)&gt;0),$R$1951,HLOOKUP(INDIRECT(ADDRESS(2,COLUMN())),OFFSET($T$2,0,0,ROW()-1,14),ROW()-1,FALSE))</x:f>
        <x:v>0</x:v>
      </x:c>
      <x:c r="S978">
        <x:f ca="1">IF(AND($B$1012=1,LEN($S$1951)&gt;0),$S$1951,HLOOKUP(INDIRECT(ADDRESS(2,COLUMN())),OFFSET($T$2,0,0,ROW()-1,14),ROW()-1,FALSE))</x:f>
        <x:v>-1.639165</x:v>
      </x:c>
      <x:c r="T978">
        <x:f>0</x:f>
        <x:v>0</x:v>
      </x:c>
      <x:c r="U978">
        <x:f>0</x:f>
        <x:v>0</x:v>
      </x:c>
      <x:c r="V978">
        <x:f>-2.23303</x:f>
        <x:v>-2.2330299999999998</x:v>
      </x:c>
      <x:c r="W978">
        <x:f>2.276735</x:f>
        <x:v>2.276735</x:v>
      </x:c>
      <x:c r="X978">
        <x:f>1.24748</x:f>
        <x:v>1.2474799999999999</x:v>
      </x:c>
      <x:c r="Y978">
        <x:f>0</x:f>
        <x:v>0</x:v>
      </x:c>
      <x:c r="Z978">
        <x:f>0</x:f>
        <x:v>0</x:v>
      </x:c>
      <x:c r="AA978">
        <x:f>-1.86582</x:f>
        <x:v>-1.86582</x:v>
      </x:c>
      <x:c r="AB978">
        <x:f>0</x:f>
        <x:v>0</x:v>
      </x:c>
      <x:c r="AC978">
        <x:f>0</x:f>
        <x:v>0</x:v>
      </x:c>
      <x:c r="AD978">
        <x:f>0</x:f>
        <x:v>0</x:v>
      </x:c>
      <x:c r="AE978">
        <x:f>0</x:f>
        <x:v>0</x:v>
      </x:c>
      <x:c r="AF978">
        <x:f>0</x:f>
        <x:v>0</x:v>
      </x:c>
      <x:c r="AG978">
        <x:f>-1.639165</x:f>
        <x:v>-1.639165</x:v>
      </x:c>
    </x:row>
    <x:row r="979" spans="1:33" x14ac:dyDescent="0.25">
      <x:c r="A979" t="str">
        <x:f>"            First Trust Indxx NextG ETF"</x:f>
        <x:v xml:space="preserve">            First Trust Indxx NextG ETF</x:v>
      </x:c>
      <x:c r="B979" t="str">
        <x:f>"NXTG US Equity"</x:f>
        <x:v>NXTG US Equity</x:v>
      </x:c>
      <x:c r="E979" t="str">
        <x:f t="shared" si="41"/>
        <x:v>Expression</x:v>
      </x:c>
      <x:c r="F979">
        <x:f ca="1">IF(AND($B$1012=1,LEN($F$1952)&gt;0),$F$1952,HLOOKUP(INDIRECT(ADDRESS(2,COLUMN())),OFFSET($T$2,0,0,ROW()-1,14),ROW()-1,FALSE))</x:f>
        <x:v>-3.568085</x:v>
      </x:c>
      <x:c r="G979">
        <x:f ca="1">IF(AND($B$1012=1,LEN($G$1952)&gt;0),$G$1952,HLOOKUP(INDIRECT(ADDRESS(2,COLUMN())),OFFSET($T$2,0,0,ROW()-1,14),ROW()-1,FALSE))</x:f>
        <x:v>-9.8568840000000009</x:v>
      </x:c>
      <x:c r="H979">
        <x:f ca="1">IF(AND($B$1012=1,LEN($H$1952)&gt;0),$H$1952,HLOOKUP(INDIRECT(ADDRESS(2,COLUMN())),OFFSET($T$2,0,0,ROW()-1,14),ROW()-1,FALSE))</x:f>
        <x:v>-7.0063399999999998</x:v>
      </x:c>
      <x:c r="I979">
        <x:f ca="1">IF(AND($B$1012=1,LEN($I$1952)&gt;0),$I$1952,HLOOKUP(INDIRECT(ADDRESS(2,COLUMN())),OFFSET($T$2,0,0,ROW()-1,14),ROW()-1,FALSE))</x:f>
        <x:v>-10.461321</x:v>
      </x:c>
      <x:c r="J979">
        <x:f ca="1">IF(AND($B$1012=1,LEN($J$1952)&gt;0),$J$1952,HLOOKUP(INDIRECT(ADDRESS(2,COLUMN())),OFFSET($T$2,0,0,ROW()-1,14),ROW()-1,FALSE))</x:f>
        <x:v>-14.468999999999999</x:v>
      </x:c>
      <x:c r="K979">
        <x:f ca="1">IF(AND($B$1012=1,LEN($K$1952)&gt;0),$K$1952,HLOOKUP(INDIRECT(ADDRESS(2,COLUMN())),OFFSET($T$2,0,0,ROW()-1,14),ROW()-1,FALSE))</x:f>
        <x:v>-10.647</x:v>
      </x:c>
      <x:c r="L979">
        <x:f ca="1">IF(AND($B$1012=1,LEN($L$1952)&gt;0),$L$1952,HLOOKUP(INDIRECT(ADDRESS(2,COLUMN())),OFFSET($T$2,0,0,ROW()-1,14),ROW()-1,FALSE))</x:f>
        <x:v>-3.3559999999999999</x:v>
      </x:c>
      <x:c r="M979">
        <x:f ca="1">IF(AND($B$1012=1,LEN($M$1952)&gt;0),$M$1952,HLOOKUP(INDIRECT(ADDRESS(2,COLUMN())),OFFSET($T$2,0,0,ROW()-1,14),ROW()-1,FALSE))</x:f>
        <x:v>-17.02</x:v>
      </x:c>
      <x:c r="N979">
        <x:f ca="1">IF(AND($B$1012=1,LEN($N$1952)&gt;0),$N$1952,HLOOKUP(INDIRECT(ADDRESS(2,COLUMN())),OFFSET($T$2,0,0,ROW()-1,14),ROW()-1,FALSE))</x:f>
        <x:v>-13.378500000000001</x:v>
      </x:c>
      <x:c r="O979">
        <x:f ca="1">IF(AND($B$1012=1,LEN($O$1952)&gt;0),$O$1952,HLOOKUP(INDIRECT(ADDRESS(2,COLUMN())),OFFSET($T$2,0,0,ROW()-1,14),ROW()-1,FALSE))</x:f>
        <x:v>-16.785499999999999</x:v>
      </x:c>
      <x:c r="P979">
        <x:f ca="1">IF(AND($B$1012=1,LEN($P$1952)&gt;0),$P$1952,HLOOKUP(INDIRECT(ADDRESS(2,COLUMN())),OFFSET($T$2,0,0,ROW()-1,14),ROW()-1,FALSE))</x:f>
        <x:v>-19.386500000000002</x:v>
      </x:c>
      <x:c r="Q979">
        <x:f ca="1">IF(AND($B$1012=1,LEN($Q$1952)&gt;0),$Q$1952,HLOOKUP(INDIRECT(ADDRESS(2,COLUMN())),OFFSET($T$2,0,0,ROW()-1,14),ROW()-1,FALSE))</x:f>
        <x:v>-43.526102999999999</x:v>
      </x:c>
      <x:c r="R979">
        <x:f ca="1">IF(AND($B$1012=1,LEN($R$1952)&gt;0),$R$1952,HLOOKUP(INDIRECT(ADDRESS(2,COLUMN())),OFFSET($T$2,0,0,ROW()-1,14),ROW()-1,FALSE))</x:f>
        <x:v>-18.034310999999999</x:v>
      </x:c>
      <x:c r="S979">
        <x:f ca="1">IF(AND($B$1012=1,LEN($S$1952)&gt;0),$S$1952,HLOOKUP(INDIRECT(ADDRESS(2,COLUMN())),OFFSET($T$2,0,0,ROW()-1,14),ROW()-1,FALSE))</x:f>
        <x:v>-11.18965</x:v>
      </x:c>
      <x:c r="T979">
        <x:f>-3.568085</x:f>
        <x:v>-3.568085</x:v>
      </x:c>
      <x:c r="U979">
        <x:f>-9.856884</x:f>
        <x:v>-9.8568840000000009</x:v>
      </x:c>
      <x:c r="V979">
        <x:f>-7.00634</x:f>
        <x:v>-7.0063399999999998</x:v>
      </x:c>
      <x:c r="W979">
        <x:f>-10.461321</x:f>
        <x:v>-10.461321</x:v>
      </x:c>
      <x:c r="X979">
        <x:f>-14.469</x:f>
        <x:v>-14.468999999999999</x:v>
      </x:c>
      <x:c r="Y979">
        <x:f>-10.647</x:f>
        <x:v>-10.647</x:v>
      </x:c>
      <x:c r="Z979">
        <x:f>-3.356</x:f>
        <x:v>-3.3559999999999999</x:v>
      </x:c>
      <x:c r="AA979">
        <x:f>-17.02</x:f>
        <x:v>-17.02</x:v>
      </x:c>
      <x:c r="AB979">
        <x:f>-13.3785</x:f>
        <x:v>-13.378500000000001</x:v>
      </x:c>
      <x:c r="AC979">
        <x:f>-16.7855</x:f>
        <x:v>-16.785499999999999</x:v>
      </x:c>
      <x:c r="AD979">
        <x:f>-19.3865</x:f>
        <x:v>-19.386500000000002</x:v>
      </x:c>
      <x:c r="AE979">
        <x:f>-43.526103</x:f>
        <x:v>-43.526102999999999</x:v>
      </x:c>
      <x:c r="AF979">
        <x:f>-18.034311</x:f>
        <x:v>-18.034310999999999</x:v>
      </x:c>
      <x:c r="AG979">
        <x:f>-11.18965</x:f>
        <x:v>-11.18965</x:v>
      </x:c>
    </x:row>
    <x:row r="980" spans="1:33" x14ac:dyDescent="0.25">
      <x:c r="A980" t="str">
        <x:f>"            Direxion Daily 5G Communicatio"</x:f>
        <x:v xml:space="preserve">            Direxion Daily 5G Communicatio</x:v>
      </x:c>
      <x:c r="B980" t="str">
        <x:f>"TENG US Equity"</x:f>
        <x:v>TENG US Equity</x:v>
      </x:c>
      <x:c r="E980" t="str">
        <x:f t="shared" si="41"/>
        <x:v>Expression</x:v>
      </x:c>
      <x:c r="F980" t="str">
        <x:f ca="1">IF(AND($B$1012=1,LEN($F$1953)&gt;0),$F$1953,HLOOKUP(INDIRECT(ADDRESS(2,COLUMN())),OFFSET($T$2,0,0,ROW()-1,14),ROW()-1,FALSE))</x:f>
        <x:v/>
      </x:c>
      <x:c r="G980" t="str">
        <x:f ca="1">IF(AND($B$1012=1,LEN($G$1953)&gt;0),$G$1953,HLOOKUP(INDIRECT(ADDRESS(2,COLUMN())),OFFSET($T$2,0,0,ROW()-1,14),ROW()-1,FALSE))</x:f>
        <x:v/>
      </x:c>
      <x:c r="H980" t="str">
        <x:f ca="1">IF(AND($B$1012=1,LEN($H$1953)&gt;0),$H$1953,HLOOKUP(INDIRECT(ADDRESS(2,COLUMN())),OFFSET($T$2,0,0,ROW()-1,14),ROW()-1,FALSE))</x:f>
        <x:v/>
      </x:c>
      <x:c r="I980" t="str">
        <x:f ca="1">IF(AND($B$1012=1,LEN($I$1953)&gt;0),$I$1953,HLOOKUP(INDIRECT(ADDRESS(2,COLUMN())),OFFSET($T$2,0,0,ROW()-1,14),ROW()-1,FALSE))</x:f>
        <x:v/>
      </x:c>
      <x:c r="J980" t="str">
        <x:f ca="1">IF(AND($B$1012=1,LEN($J$1953)&gt;0),$J$1953,HLOOKUP(INDIRECT(ADDRESS(2,COLUMN())),OFFSET($T$2,0,0,ROW()-1,14),ROW()-1,FALSE))</x:f>
        <x:v/>
      </x:c>
      <x:c r="K980" t="str">
        <x:f ca="1">IF(AND($B$1012=1,LEN($K$1953)&gt;0),$K$1953,HLOOKUP(INDIRECT(ADDRESS(2,COLUMN())),OFFSET($T$2,0,0,ROW()-1,14),ROW()-1,FALSE))</x:f>
        <x:v/>
      </x:c>
      <x:c r="L980" t="str">
        <x:f ca="1">IF(AND($B$1012=1,LEN($L$1953)&gt;0),$L$1953,HLOOKUP(INDIRECT(ADDRESS(2,COLUMN())),OFFSET($T$2,0,0,ROW()-1,14),ROW()-1,FALSE))</x:f>
        <x:v/>
      </x:c>
      <x:c r="M980" t="str">
        <x:f ca="1">IF(AND($B$1012=1,LEN($M$1953)&gt;0),$M$1953,HLOOKUP(INDIRECT(ADDRESS(2,COLUMN())),OFFSET($T$2,0,0,ROW()-1,14),ROW()-1,FALSE))</x:f>
        <x:v/>
      </x:c>
      <x:c r="N980" t="str">
        <x:f ca="1">IF(AND($B$1012=1,LEN($N$1953)&gt;0),$N$1953,HLOOKUP(INDIRECT(ADDRESS(2,COLUMN())),OFFSET($T$2,0,0,ROW()-1,14),ROW()-1,FALSE))</x:f>
        <x:v/>
      </x:c>
      <x:c r="O980" t="str">
        <x:f ca="1">IF(AND($B$1012=1,LEN($O$1953)&gt;0),$O$1953,HLOOKUP(INDIRECT(ADDRESS(2,COLUMN())),OFFSET($T$2,0,0,ROW()-1,14),ROW()-1,FALSE))</x:f>
        <x:v/>
      </x:c>
      <x:c r="P980" t="str">
        <x:f ca="1">IF(AND($B$1012=1,LEN($P$1953)&gt;0),$P$1953,HLOOKUP(INDIRECT(ADDRESS(2,COLUMN())),OFFSET($T$2,0,0,ROW()-1,14),ROW()-1,FALSE))</x:f>
        <x:v/>
      </x:c>
      <x:c r="Q980" t="str">
        <x:f ca="1">IF(AND($B$1012=1,LEN($Q$1953)&gt;0),$Q$1953,HLOOKUP(INDIRECT(ADDRESS(2,COLUMN())),OFFSET($T$2,0,0,ROW()-1,14),ROW()-1,FALSE))</x:f>
        <x:v/>
      </x:c>
      <x:c r="R980" t="str">
        <x:f ca="1">IF(AND($B$1012=1,LEN($R$1953)&gt;0),$R$1953,HLOOKUP(INDIRECT(ADDRESS(2,COLUMN())),OFFSET($T$2,0,0,ROW()-1,14),ROW()-1,FALSE))</x:f>
        <x:v/>
      </x:c>
      <x:c r="S980" t="str">
        <x:f ca="1">IF(AND($B$1012=1,LEN($S$1953)&gt;0),$S$1953,HLOOKUP(INDIRECT(ADDRESS(2,COLUMN())),OFFSET($T$2,0,0,ROW()-1,14),ROW()-1,FALSE))</x:f>
        <x:v/>
      </x:c>
      <x:c r="T980" t="str">
        <x:f>""</x:f>
        <x:v/>
      </x:c>
      <x:c r="U980" t="str">
        <x:f>""</x:f>
        <x:v/>
      </x:c>
      <x:c r="V980" t="str">
        <x:f>""</x:f>
        <x:v/>
      </x:c>
      <x:c r="W980" t="str">
        <x:f>""</x:f>
        <x:v/>
      </x:c>
      <x:c r="X980" t="str">
        <x:f>""</x:f>
        <x:v/>
      </x:c>
      <x:c r="Y980" t="str">
        <x:f>""</x:f>
        <x:v/>
      </x:c>
      <x:c r="Z980" t="str">
        <x:f>""</x:f>
        <x:v/>
      </x:c>
      <x:c r="AA980" t="str">
        <x:f>""</x:f>
        <x:v/>
      </x:c>
      <x:c r="AB980" t="str">
        <x:f>""</x:f>
        <x:v/>
      </x:c>
      <x:c r="AC980" t="str">
        <x:f>""</x:f>
        <x:v/>
      </x:c>
      <x:c r="AD980" t="str">
        <x:f>""</x:f>
        <x:v/>
      </x:c>
      <x:c r="AE980" t="str">
        <x:f>""</x:f>
        <x:v/>
      </x:c>
      <x:c r="AF980" t="str">
        <x:f>""</x:f>
        <x:v/>
      </x:c>
      <x:c r="AG980" t="str">
        <x:f>""</x:f>
        <x:v/>
      </x:c>
    </x:row>
    <x:row r="981" spans="1:33" x14ac:dyDescent="0.25">
      <x:c r="A981" t="str">
        <x:f>"            Clockwise Capital Innovation E"</x:f>
        <x:v xml:space="preserve">            Clockwise Capital Innovation E</x:v>
      </x:c>
      <x:c r="B981" t="str">
        <x:f>"CWC US Equity"</x:f>
        <x:v>CWC US Equity</x:v>
      </x:c>
      <x:c r="E981" t="str">
        <x:f t="shared" si="41"/>
        <x:v>Expression</x:v>
      </x:c>
      <x:c r="F981">
        <x:f ca="1">IF(AND($B$1012=1,LEN($F$1954)&gt;0),$F$1954,HLOOKUP(INDIRECT(ADDRESS(2,COLUMN())),OFFSET($T$2,0,0,ROW()-1,14),ROW()-1,FALSE))</x:f>
        <x:v>-0.59199999999999997</x:v>
      </x:c>
      <x:c r="G981">
        <x:f ca="1">IF(AND($B$1012=1,LEN($G$1954)&gt;0),$G$1954,HLOOKUP(INDIRECT(ADDRESS(2,COLUMN())),OFFSET($T$2,0,0,ROW()-1,14),ROW()-1,FALSE))</x:f>
        <x:v>0.55025000000000002</x:v>
      </x:c>
      <x:c r="H981">
        <x:f ca="1">IF(AND($B$1012=1,LEN($H$1954)&gt;0),$H$1954,HLOOKUP(INDIRECT(ADDRESS(2,COLUMN())),OFFSET($T$2,0,0,ROW()-1,14),ROW()-1,FALSE))</x:f>
        <x:v>0</x:v>
      </x:c>
      <x:c r="I981">
        <x:f ca="1">IF(AND($B$1012=1,LEN($I$1954)&gt;0),$I$1954,HLOOKUP(INDIRECT(ADDRESS(2,COLUMN())),OFFSET($T$2,0,0,ROW()-1,14),ROW()-1,FALSE))</x:f>
        <x:v>-48.258249999999997</x:v>
      </x:c>
      <x:c r="J981">
        <x:f ca="1">IF(AND($B$1012=1,LEN($J$1954)&gt;0),$J$1954,HLOOKUP(INDIRECT(ADDRESS(2,COLUMN())),OFFSET($T$2,0,0,ROW()-1,14),ROW()-1,FALSE))</x:f>
        <x:v>0</x:v>
      </x:c>
      <x:c r="K981">
        <x:f ca="1">IF(AND($B$1012=1,LEN($K$1954)&gt;0),$K$1954,HLOOKUP(INDIRECT(ADDRESS(2,COLUMN())),OFFSET($T$2,0,0,ROW()-1,14),ROW()-1,FALSE))</x:f>
        <x:v>0.55974999999999997</x:v>
      </x:c>
      <x:c r="L981">
        <x:f ca="1">IF(AND($B$1012=1,LEN($L$1954)&gt;0),$L$1954,HLOOKUP(INDIRECT(ADDRESS(2,COLUMN())),OFFSET($T$2,0,0,ROW()-1,14),ROW()-1,FALSE))</x:f>
        <x:v>0.48275000000000001</x:v>
      </x:c>
      <x:c r="M981">
        <x:f ca="1">IF(AND($B$1012=1,LEN($M$1954)&gt;0),$M$1954,HLOOKUP(INDIRECT(ADDRESS(2,COLUMN())),OFFSET($T$2,0,0,ROW()-1,14),ROW()-1,FALSE))</x:f>
        <x:v>-1.0500000000000001E-2</x:v>
      </x:c>
      <x:c r="N981">
        <x:f ca="1">IF(AND($B$1012=1,LEN($N$1954)&gt;0),$N$1954,HLOOKUP(INDIRECT(ADDRESS(2,COLUMN())),OFFSET($T$2,0,0,ROW()-1,14),ROW()-1,FALSE))</x:f>
        <x:v>5.4862500000000001</x:v>
      </x:c>
      <x:c r="O981">
        <x:f ca="1">IF(AND($B$1012=1,LEN($O$1954)&gt;0),$O$1954,HLOOKUP(INDIRECT(ADDRESS(2,COLUMN())),OFFSET($T$2,0,0,ROW()-1,14),ROW()-1,FALSE))</x:f>
        <x:v>1.8334999999999999</x:v>
      </x:c>
      <x:c r="P981">
        <x:f ca="1">IF(AND($B$1012=1,LEN($P$1954)&gt;0),$P$1954,HLOOKUP(INDIRECT(ADDRESS(2,COLUMN())),OFFSET($T$2,0,0,ROW()-1,14),ROW()-1,FALSE))</x:f>
        <x:v>0</x:v>
      </x:c>
      <x:c r="Q981">
        <x:f ca="1">IF(AND($B$1012=1,LEN($Q$1954)&gt;0),$Q$1954,HLOOKUP(INDIRECT(ADDRESS(2,COLUMN())),OFFSET($T$2,0,0,ROW()-1,14),ROW()-1,FALSE))</x:f>
        <x:v>27.845749999999999</x:v>
      </x:c>
      <x:c r="R981">
        <x:f ca="1">IF(AND($B$1012=1,LEN($R$1954)&gt;0),$R$1954,HLOOKUP(INDIRECT(ADDRESS(2,COLUMN())),OFFSET($T$2,0,0,ROW()-1,14),ROW()-1,FALSE))</x:f>
        <x:v>-1.17075</x:v>
      </x:c>
      <x:c r="S981">
        <x:f ca="1">IF(AND($B$1012=1,LEN($S$1954)&gt;0),$S$1954,HLOOKUP(INDIRECT(ADDRESS(2,COLUMN())),OFFSET($T$2,0,0,ROW()-1,14),ROW()-1,FALSE))</x:f>
        <x:v>10.14025</x:v>
      </x:c>
      <x:c r="T981">
        <x:f>-0.592</x:f>
        <x:v>-0.59199999999999997</x:v>
      </x:c>
      <x:c r="U981">
        <x:f>0.55025</x:f>
        <x:v>0.55025000000000002</x:v>
      </x:c>
      <x:c r="V981">
        <x:f>0</x:f>
        <x:v>0</x:v>
      </x:c>
      <x:c r="W981">
        <x:f>-48.25825</x:f>
        <x:v>-48.258249999999997</x:v>
      </x:c>
      <x:c r="X981">
        <x:f>0</x:f>
        <x:v>0</x:v>
      </x:c>
      <x:c r="Y981">
        <x:f>0.55975</x:f>
        <x:v>0.55974999999999997</x:v>
      </x:c>
      <x:c r="Z981">
        <x:f>0.48275</x:f>
        <x:v>0.48275000000000001</x:v>
      </x:c>
      <x:c r="AA981">
        <x:f>-0.0105</x:f>
        <x:v>-1.0500000000000001E-2</x:v>
      </x:c>
      <x:c r="AB981">
        <x:f>5.48625</x:f>
        <x:v>5.4862500000000001</x:v>
      </x:c>
      <x:c r="AC981">
        <x:f>1.8335</x:f>
        <x:v>1.8334999999999999</x:v>
      </x:c>
      <x:c r="AD981">
        <x:f>0</x:f>
        <x:v>0</x:v>
      </x:c>
      <x:c r="AE981">
        <x:f>27.84575</x:f>
        <x:v>27.845749999999999</x:v>
      </x:c>
      <x:c r="AF981">
        <x:f>-1.17075</x:f>
        <x:v>-1.17075</x:v>
      </x:c>
      <x:c r="AG981">
        <x:f>10.14025</x:f>
        <x:v>10.14025</x:v>
      </x:c>
    </x:row>
    <x:row r="982" spans="1:33" x14ac:dyDescent="0.25">
      <x:c r="A982" t="str">
        <x:f>"        Metaverse &amp; Video Gaming"</x:f>
        <x:v xml:space="preserve">        Metaverse &amp; Video Gaming</x:v>
      </x:c>
      <x:c r="B982" t="str">
        <x:f>""</x:f>
        <x:v/>
      </x:c>
      <x:c r="E982" t="str">
        <x:f>"Sum"</x:f>
        <x:v>Sum</x:v>
      </x:c>
      <x:c r="F982">
        <x:f ca="1">IF(ISERROR(IF(SUM($F$983:$F$995) = 0, "", SUM($F$983:$F$995))), "", (IF(SUM($F$983:$F$995) = 0, "", SUM($F$983:$F$995))))</x:f>
        <x:v>-10.209837999999998</x:v>
      </x:c>
      <x:c r="G982">
        <x:f ca="1">IF(ISERROR(IF(SUM($G$983:$G$995) = 0, "", SUM($G$983:$G$995))), "", (IF(SUM($G$983:$G$995) = 0, "", SUM($G$983:$G$995))))</x:f>
        <x:v>-18.048321000000001</x:v>
      </x:c>
      <x:c r="H982">
        <x:f ca="1">IF(ISERROR(IF(SUM($H$983:$H$995) = 0, "", SUM($H$983:$H$995))), "", (IF(SUM($H$983:$H$995) = 0, "", SUM($H$983:$H$995))))</x:f>
        <x:v>-48.315748999999997</x:v>
      </x:c>
      <x:c r="I982">
        <x:f ca="1">IF(ISERROR(IF(SUM($I$983:$I$995) = 0, "", SUM($I$983:$I$995))), "", (IF(SUM($I$983:$I$995) = 0, "", SUM($I$983:$I$995))))</x:f>
        <x:v>-34.879547000000002</x:v>
      </x:c>
      <x:c r="J982">
        <x:f ca="1">IF(ISERROR(IF(SUM($J$983:$J$995) = 0, "", SUM($J$983:$J$995))), "", (IF(SUM($J$983:$J$995) = 0, "", SUM($J$983:$J$995))))</x:f>
        <x:v>-24.056102000000003</x:v>
      </x:c>
      <x:c r="K982">
        <x:f ca="1">IF(ISERROR(IF(SUM($K$983:$K$995) = 0, "", SUM($K$983:$K$995))), "", (IF(SUM($K$983:$K$995) = 0, "", SUM($K$983:$K$995))))</x:f>
        <x:v>-4.4713949999999993</x:v>
      </x:c>
      <x:c r="L982">
        <x:f ca="1">IF(ISERROR(IF(SUM($L$983:$L$995) = 0, "", SUM($L$983:$L$995))), "", (IF(SUM($L$983:$L$995) = 0, "", SUM($L$983:$L$995))))</x:f>
        <x:v>-9.6343530000000008</x:v>
      </x:c>
      <x:c r="M982">
        <x:f ca="1">IF(ISERROR(IF(SUM($M$983:$M$995) = 0, "", SUM($M$983:$M$995))), "", (IF(SUM($M$983:$M$995) = 0, "", SUM($M$983:$M$995))))</x:f>
        <x:v>-5.3567650000000011</x:v>
      </x:c>
      <x:c r="N982">
        <x:f ca="1">IF(ISERROR(IF(SUM($N$983:$N$995) = 0, "", SUM($N$983:$N$995))), "", (IF(SUM($N$983:$N$995) = 0, "", SUM($N$983:$N$995))))</x:f>
        <x:v>-7.2276290000000003</x:v>
      </x:c>
      <x:c r="O982">
        <x:f ca="1">IF(ISERROR(IF(SUM($O$983:$O$995) = 0, "", SUM($O$983:$O$995))), "", (IF(SUM($O$983:$O$995) = 0, "", SUM($O$983:$O$995))))</x:f>
        <x:v>-17.179174</x:v>
      </x:c>
      <x:c r="P982">
        <x:f ca="1">IF(ISERROR(IF(SUM($P$983:$P$995) = 0, "", SUM($P$983:$P$995))), "", (IF(SUM($P$983:$P$995) = 0, "", SUM($P$983:$P$995))))</x:f>
        <x:v>-30.219484000000001</x:v>
      </x:c>
      <x:c r="Q982">
        <x:f ca="1">IF(ISERROR(IF(SUM($Q$983:$Q$995) = 0, "", SUM($Q$983:$Q$995))), "", (IF(SUM($Q$983:$Q$995) = 0, "", SUM($Q$983:$Q$995))))</x:f>
        <x:v>-15.546993000000001</x:v>
      </x:c>
      <x:c r="R982">
        <x:f ca="1">IF(ISERROR(IF(SUM($R$983:$R$995) = 0, "", SUM($R$983:$R$995))), "", (IF(SUM($R$983:$R$995) = 0, "", SUM($R$983:$R$995))))</x:f>
        <x:v>-40.516544000000003</x:v>
      </x:c>
      <x:c r="S982">
        <x:f ca="1">IF(ISERROR(IF(SUM($S$983:$S$995) = 0, "", SUM($S$983:$S$995))), "", (IF(SUM($S$983:$S$995) = 0, "", SUM($S$983:$S$995))))</x:f>
        <x:v>-18.394155000000001</x:v>
      </x:c>
      <x:c r="T982">
        <x:f>-10.209838</x:f>
        <x:v>-10.209838</x:v>
      </x:c>
      <x:c r="U982">
        <x:f>-18.048321</x:f>
        <x:v>-18.048321000000001</x:v>
      </x:c>
      <x:c r="V982">
        <x:f>-48.315749</x:f>
        <x:v>-48.315748999999997</x:v>
      </x:c>
      <x:c r="W982">
        <x:f>-34.879547</x:f>
        <x:v>-34.879547000000002</x:v>
      </x:c>
      <x:c r="X982">
        <x:f>-24.056102</x:f>
        <x:v>-24.056101999999999</x:v>
      </x:c>
      <x:c r="Y982">
        <x:f>-4.471395</x:f>
        <x:v>-4.4713950000000002</x:v>
      </x:c>
      <x:c r="Z982">
        <x:f>-9.634353</x:f>
        <x:v>-9.6343530000000008</x:v>
      </x:c>
      <x:c r="AA982">
        <x:f>-5.356765</x:f>
        <x:v>-5.3567650000000002</x:v>
      </x:c>
      <x:c r="AB982">
        <x:f>-7.227629</x:f>
        <x:v>-7.2276290000000003</x:v>
      </x:c>
      <x:c r="AC982">
        <x:f>-17.179174</x:f>
        <x:v>-17.179174</x:v>
      </x:c>
      <x:c r="AD982">
        <x:f>-30.219484</x:f>
        <x:v>-30.219484000000001</x:v>
      </x:c>
      <x:c r="AE982">
        <x:f>-15.546993</x:f>
        <x:v>-15.546993000000001</x:v>
      </x:c>
      <x:c r="AF982">
        <x:f>-40.516544</x:f>
        <x:v>-40.516544000000003</x:v>
      </x:c>
      <x:c r="AG982">
        <x:f>-18.394155</x:f>
        <x:v>-18.394155000000001</x:v>
      </x:c>
    </x:row>
    <x:row r="983" spans="1:33" x14ac:dyDescent="0.25">
      <x:c r="A983" t="str">
        <x:f>"            Roundhill Ball Metaverse ETF"</x:f>
        <x:v xml:space="preserve">            Roundhill Ball Metaverse ETF</x:v>
      </x:c>
      <x:c r="B983" t="str">
        <x:f>"METV US Equity"</x:f>
        <x:v>METV US Equity</x:v>
      </x:c>
      <x:c r="E983" t="str">
        <x:f t="shared" ref="E983:E995" si="42">"Expression"</x:f>
        <x:v>Expression</x:v>
      </x:c>
      <x:c r="F983">
        <x:f ca="1">IF(AND($B$1012=1,LEN($F$1955)&gt;0),$F$1955,HLOOKUP(INDIRECT(ADDRESS(2,COLUMN())),OFFSET($T$2,0,0,ROW()-1,14),ROW()-1,FALSE))</x:f>
        <x:v>-5.0249779999999999</x:v>
      </x:c>
      <x:c r="G983">
        <x:f ca="1">IF(AND($B$1012=1,LEN($G$1955)&gt;0),$G$1955,HLOOKUP(INDIRECT(ADDRESS(2,COLUMN())),OFFSET($T$2,0,0,ROW()-1,14),ROW()-1,FALSE))</x:f>
        <x:v>-15.532495000000001</x:v>
      </x:c>
      <x:c r="H983">
        <x:f ca="1">IF(AND($B$1012=1,LEN($H$1955)&gt;0),$H$1955,HLOOKUP(INDIRECT(ADDRESS(2,COLUMN())),OFFSET($T$2,0,0,ROW()-1,14),ROW()-1,FALSE))</x:f>
        <x:v>-8.6557250000000003</x:v>
      </x:c>
      <x:c r="I983">
        <x:f ca="1">IF(AND($B$1012=1,LEN($I$1955)&gt;0),$I$1955,HLOOKUP(INDIRECT(ADDRESS(2,COLUMN())),OFFSET($T$2,0,0,ROW()-1,14),ROW()-1,FALSE))</x:f>
        <x:v>-20.434487000000001</x:v>
      </x:c>
      <x:c r="J983">
        <x:f ca="1">IF(AND($B$1012=1,LEN($J$1955)&gt;0),$J$1955,HLOOKUP(INDIRECT(ADDRESS(2,COLUMN())),OFFSET($T$2,0,0,ROW()-1,14),ROW()-1,FALSE))</x:f>
        <x:v>-15.877504999999999</x:v>
      </x:c>
      <x:c r="K983">
        <x:f ca="1">IF(AND($B$1012=1,LEN($K$1955)&gt;0),$K$1955,HLOOKUP(INDIRECT(ADDRESS(2,COLUMN())),OFFSET($T$2,0,0,ROW()-1,14),ROW()-1,FALSE))</x:f>
        <x:v>-0.90643799999999997</x:v>
      </x:c>
      <x:c r="L983">
        <x:f ca="1">IF(AND($B$1012=1,LEN($L$1955)&gt;0),$L$1955,HLOOKUP(INDIRECT(ADDRESS(2,COLUMN())),OFFSET($T$2,0,0,ROW()-1,14),ROW()-1,FALSE))</x:f>
        <x:v>-2.2136629999999999</x:v>
      </x:c>
      <x:c r="M983">
        <x:f ca="1">IF(AND($B$1012=1,LEN($M$1955)&gt;0),$M$1955,HLOOKUP(INDIRECT(ADDRESS(2,COLUMN())),OFFSET($T$2,0,0,ROW()-1,14),ROW()-1,FALSE))</x:f>
        <x:v>-2.907222</x:v>
      </x:c>
      <x:c r="N983">
        <x:f ca="1">IF(AND($B$1012=1,LEN($N$1955)&gt;0),$N$1955,HLOOKUP(INDIRECT(ADDRESS(2,COLUMN())),OFFSET($T$2,0,0,ROW()-1,14),ROW()-1,FALSE))</x:f>
        <x:v>-4.4255979999999999</x:v>
      </x:c>
      <x:c r="O983">
        <x:f ca="1">IF(AND($B$1012=1,LEN($O$1955)&gt;0),$O$1955,HLOOKUP(INDIRECT(ADDRESS(2,COLUMN())),OFFSET($T$2,0,0,ROW()-1,14),ROW()-1,FALSE))</x:f>
        <x:v>-3.684628</x:v>
      </x:c>
      <x:c r="P983">
        <x:f ca="1">IF(AND($B$1012=1,LEN($P$1955)&gt;0),$P$1955,HLOOKUP(INDIRECT(ADDRESS(2,COLUMN())),OFFSET($T$2,0,0,ROW()-1,14),ROW()-1,FALSE))</x:f>
        <x:v>-15.866289999999999</x:v>
      </x:c>
      <x:c r="Q983">
        <x:f ca="1">IF(AND($B$1012=1,LEN($Q$1955)&gt;0),$Q$1955,HLOOKUP(INDIRECT(ADDRESS(2,COLUMN())),OFFSET($T$2,0,0,ROW()-1,14),ROW()-1,FALSE))</x:f>
        <x:v>-12.585875</x:v>
      </x:c>
      <x:c r="R983">
        <x:f ca="1">IF(AND($B$1012=1,LEN($R$1955)&gt;0),$R$1955,HLOOKUP(INDIRECT(ADDRESS(2,COLUMN())),OFFSET($T$2,0,0,ROW()-1,14),ROW()-1,FALSE))</x:f>
        <x:v>-10.091392000000001</x:v>
      </x:c>
      <x:c r="S983">
        <x:f ca="1">IF(AND($B$1012=1,LEN($S$1955)&gt;0),$S$1955,HLOOKUP(INDIRECT(ADDRESS(2,COLUMN())),OFFSET($T$2,0,0,ROW()-1,14),ROW()-1,FALSE))</x:f>
        <x:v>-8.5687949999999997</x:v>
      </x:c>
      <x:c r="T983">
        <x:f>-5.024978</x:f>
        <x:v>-5.0249779999999999</x:v>
      </x:c>
      <x:c r="U983">
        <x:f>-15.532495</x:f>
        <x:v>-15.532495000000001</x:v>
      </x:c>
      <x:c r="V983">
        <x:f>-8.655725</x:f>
        <x:v>-8.6557250000000003</x:v>
      </x:c>
      <x:c r="W983">
        <x:f>-20.434487</x:f>
        <x:v>-20.434487000000001</x:v>
      </x:c>
      <x:c r="X983">
        <x:f>-15.877505</x:f>
        <x:v>-15.877504999999999</x:v>
      </x:c>
      <x:c r="Y983">
        <x:f>-0.906438</x:f>
        <x:v>-0.90643799999999997</x:v>
      </x:c>
      <x:c r="Z983">
        <x:f>-2.213663</x:f>
        <x:v>-2.2136629999999999</x:v>
      </x:c>
      <x:c r="AA983">
        <x:f>-2.907222</x:f>
        <x:v>-2.907222</x:v>
      </x:c>
      <x:c r="AB983">
        <x:f>-4.425598</x:f>
        <x:v>-4.4255979999999999</x:v>
      </x:c>
      <x:c r="AC983">
        <x:f>-3.684628</x:f>
        <x:v>-3.684628</x:v>
      </x:c>
      <x:c r="AD983">
        <x:f>-15.86629</x:f>
        <x:v>-15.866289999999999</x:v>
      </x:c>
      <x:c r="AE983">
        <x:f>-12.585875</x:f>
        <x:v>-12.585875</x:v>
      </x:c>
      <x:c r="AF983">
        <x:f>-10.091392</x:f>
        <x:v>-10.091392000000001</x:v>
      </x:c>
      <x:c r="AG983">
        <x:f>-8.568795</x:f>
        <x:v>-8.5687949999999997</x:v>
      </x:c>
    </x:row>
    <x:row r="984" spans="1:33" x14ac:dyDescent="0.25">
      <x:c r="A984" t="str">
        <x:f>"            Fount Metaverse ETF"</x:f>
        <x:v xml:space="preserve">            Fount Metaverse ETF</x:v>
      </x:c>
      <x:c r="B984" t="str">
        <x:f>"MTVR US Equity"</x:f>
        <x:v>MTVR US Equity</x:v>
      </x:c>
      <x:c r="E984" t="str">
        <x:f t="shared" si="42"/>
        <x:v>Expression</x:v>
      </x:c>
      <x:c r="F984" t="str">
        <x:f ca="1">IF(AND($B$1012=1,LEN($F$1956)&gt;0),$F$1956,HLOOKUP(INDIRECT(ADDRESS(2,COLUMN())),OFFSET($T$2,0,0,ROW()-1,14),ROW()-1,FALSE))</x:f>
        <x:v/>
      </x:c>
      <x:c r="G984" t="str">
        <x:f ca="1">IF(AND($B$1012=1,LEN($G$1956)&gt;0),$G$1956,HLOOKUP(INDIRECT(ADDRESS(2,COLUMN())),OFFSET($T$2,0,0,ROW()-1,14),ROW()-1,FALSE))</x:f>
        <x:v/>
      </x:c>
      <x:c r="H984" t="str">
        <x:f ca="1">IF(AND($B$1012=1,LEN($H$1956)&gt;0),$H$1956,HLOOKUP(INDIRECT(ADDRESS(2,COLUMN())),OFFSET($T$2,0,0,ROW()-1,14),ROW()-1,FALSE))</x:f>
        <x:v/>
      </x:c>
      <x:c r="I984" t="str">
        <x:f ca="1">IF(AND($B$1012=1,LEN($I$1956)&gt;0),$I$1956,HLOOKUP(INDIRECT(ADDRESS(2,COLUMN())),OFFSET($T$2,0,0,ROW()-1,14),ROW()-1,FALSE))</x:f>
        <x:v/>
      </x:c>
      <x:c r="J984">
        <x:f ca="1">IF(AND($B$1012=1,LEN($J$1956)&gt;0),$J$1956,HLOOKUP(INDIRECT(ADDRESS(2,COLUMN())),OFFSET($T$2,0,0,ROW()-1,14),ROW()-1,FALSE))</x:f>
        <x:v>-0.462482</x:v>
      </x:c>
      <x:c r="K984">
        <x:f ca="1">IF(AND($B$1012=1,LEN($K$1956)&gt;0),$K$1956,HLOOKUP(INDIRECT(ADDRESS(2,COLUMN())),OFFSET($T$2,0,0,ROW()-1,14),ROW()-1,FALSE))</x:f>
        <x:v>0</x:v>
      </x:c>
      <x:c r="L984">
        <x:f ca="1">IF(AND($B$1012=1,LEN($L$1956)&gt;0),$L$1956,HLOOKUP(INDIRECT(ADDRESS(2,COLUMN())),OFFSET($T$2,0,0,ROW()-1,14),ROW()-1,FALSE))</x:f>
        <x:v>0</x:v>
      </x:c>
      <x:c r="M984">
        <x:f ca="1">IF(AND($B$1012=1,LEN($M$1956)&gt;0),$M$1956,HLOOKUP(INDIRECT(ADDRESS(2,COLUMN())),OFFSET($T$2,0,0,ROW()-1,14),ROW()-1,FALSE))</x:f>
        <x:v>-0.82431100000000002</x:v>
      </x:c>
      <x:c r="N984">
        <x:f ca="1">IF(AND($B$1012=1,LEN($N$1956)&gt;0),$N$1956,HLOOKUP(INDIRECT(ADDRESS(2,COLUMN())),OFFSET($T$2,0,0,ROW()-1,14),ROW()-1,FALSE))</x:f>
        <x:v>0</x:v>
      </x:c>
      <x:c r="O984">
        <x:f ca="1">IF(AND($B$1012=1,LEN($O$1956)&gt;0),$O$1956,HLOOKUP(INDIRECT(ADDRESS(2,COLUMN())),OFFSET($T$2,0,0,ROW()-1,14),ROW()-1,FALSE))</x:f>
        <x:v>-0.40913500000000003</x:v>
      </x:c>
      <x:c r="P984">
        <x:f ca="1">IF(AND($B$1012=1,LEN($P$1956)&gt;0),$P$1956,HLOOKUP(INDIRECT(ADDRESS(2,COLUMN())),OFFSET($T$2,0,0,ROW()-1,14),ROW()-1,FALSE))</x:f>
        <x:v>-1.5747150000000001</x:v>
      </x:c>
      <x:c r="Q984">
        <x:f ca="1">IF(AND($B$1012=1,LEN($Q$1956)&gt;0),$Q$1956,HLOOKUP(INDIRECT(ADDRESS(2,COLUMN())),OFFSET($T$2,0,0,ROW()-1,14),ROW()-1,FALSE))</x:f>
        <x:v>0</x:v>
      </x:c>
      <x:c r="R984">
        <x:f ca="1">IF(AND($B$1012=1,LEN($R$1956)&gt;0),$R$1956,HLOOKUP(INDIRECT(ADDRESS(2,COLUMN())),OFFSET($T$2,0,0,ROW()-1,14),ROW()-1,FALSE))</x:f>
        <x:v>0</x:v>
      </x:c>
      <x:c r="S984">
        <x:f ca="1">IF(AND($B$1012=1,LEN($S$1956)&gt;0),$S$1956,HLOOKUP(INDIRECT(ADDRESS(2,COLUMN())),OFFSET($T$2,0,0,ROW()-1,14),ROW()-1,FALSE))</x:f>
        <x:v>0</x:v>
      </x:c>
      <x:c r="T984" t="str">
        <x:f>""</x:f>
        <x:v/>
      </x:c>
      <x:c r="U984" t="str">
        <x:f>""</x:f>
        <x:v/>
      </x:c>
      <x:c r="V984" t="str">
        <x:f>""</x:f>
        <x:v/>
      </x:c>
      <x:c r="W984" t="str">
        <x:f>""</x:f>
        <x:v/>
      </x:c>
      <x:c r="X984">
        <x:f>-0.462482</x:f>
        <x:v>-0.462482</x:v>
      </x:c>
      <x:c r="Y984">
        <x:f>0</x:f>
        <x:v>0</x:v>
      </x:c>
      <x:c r="Z984">
        <x:f>0</x:f>
        <x:v>0</x:v>
      </x:c>
      <x:c r="AA984">
        <x:f>-0.824311</x:f>
        <x:v>-0.82431100000000002</x:v>
      </x:c>
      <x:c r="AB984">
        <x:f>0</x:f>
        <x:v>0</x:v>
      </x:c>
      <x:c r="AC984">
        <x:f>-0.409135</x:f>
        <x:v>-0.40913500000000003</x:v>
      </x:c>
      <x:c r="AD984">
        <x:f>-1.574715</x:f>
        <x:v>-1.5747150000000001</x:v>
      </x:c>
      <x:c r="AE984">
        <x:f>0</x:f>
        <x:v>0</x:v>
      </x:c>
      <x:c r="AF984">
        <x:f>0</x:f>
        <x:v>0</x:v>
      </x:c>
      <x:c r="AG984">
        <x:f>0</x:f>
        <x:v>0</x:v>
      </x:c>
    </x:row>
    <x:row r="985" spans="1:33" x14ac:dyDescent="0.25">
      <x:c r="A985" t="str">
        <x:f>"            VanEck Video Gaming and eSport"</x:f>
        <x:v xml:space="preserve">            VanEck Video Gaming and eSport</x:v>
      </x:c>
      <x:c r="B985" t="str">
        <x:f>"ESPO US Equity"</x:f>
        <x:v>ESPO US Equity</x:v>
      </x:c>
      <x:c r="E985" t="str">
        <x:f t="shared" si="42"/>
        <x:v>Expression</x:v>
      </x:c>
      <x:c r="F985">
        <x:f ca="1">IF(AND($B$1012=1,LEN($F$1957)&gt;0),$F$1957,HLOOKUP(INDIRECT(ADDRESS(2,COLUMN())),OFFSET($T$2,0,0,ROW()-1,14),ROW()-1,FALSE))</x:f>
        <x:v>-8.0265989999999992</x:v>
      </x:c>
      <x:c r="G985">
        <x:f ca="1">IF(AND($B$1012=1,LEN($G$1957)&gt;0),$G$1957,HLOOKUP(INDIRECT(ADDRESS(2,COLUMN())),OFFSET($T$2,0,0,ROW()-1,14),ROW()-1,FALSE))</x:f>
        <x:v>-2.5158260000000001</x:v>
      </x:c>
      <x:c r="H985">
        <x:f ca="1">IF(AND($B$1012=1,LEN($H$1957)&gt;0),$H$1957,HLOOKUP(INDIRECT(ADDRESS(2,COLUMN())),OFFSET($T$2,0,0,ROW()-1,14),ROW()-1,FALSE))</x:f>
        <x:v>-12.995018999999999</x:v>
      </x:c>
      <x:c r="I985">
        <x:f ca="1">IF(AND($B$1012=1,LEN($I$1957)&gt;0),$I$1957,HLOOKUP(INDIRECT(ADDRESS(2,COLUMN())),OFFSET($T$2,0,0,ROW()-1,14),ROW()-1,FALSE))</x:f>
        <x:v>-10.787043000000001</x:v>
      </x:c>
      <x:c r="J985">
        <x:f ca="1">IF(AND($B$1012=1,LEN($J$1957)&gt;0),$J$1957,HLOOKUP(INDIRECT(ADDRESS(2,COLUMN())),OFFSET($T$2,0,0,ROW()-1,14),ROW()-1,FALSE))</x:f>
        <x:v>-11.531585</x:v>
      </x:c>
      <x:c r="K985">
        <x:f ca="1">IF(AND($B$1012=1,LEN($K$1957)&gt;0),$K$1957,HLOOKUP(INDIRECT(ADDRESS(2,COLUMN())),OFFSET($T$2,0,0,ROW()-1,14),ROW()-1,FALSE))</x:f>
        <x:v>-2.8204729999999998</x:v>
      </x:c>
      <x:c r="L985">
        <x:f ca="1">IF(AND($B$1012=1,LEN($L$1957)&gt;0),$L$1957,HLOOKUP(INDIRECT(ADDRESS(2,COLUMN())),OFFSET($T$2,0,0,ROW()-1,14),ROW()-1,FALSE))</x:f>
        <x:v>0</x:v>
      </x:c>
      <x:c r="M985">
        <x:f ca="1">IF(AND($B$1012=1,LEN($M$1957)&gt;0),$M$1957,HLOOKUP(INDIRECT(ADDRESS(2,COLUMN())),OFFSET($T$2,0,0,ROW()-1,14),ROW()-1,FALSE))</x:f>
        <x:v>-5.0343520000000002</x:v>
      </x:c>
      <x:c r="N985">
        <x:f ca="1">IF(AND($B$1012=1,LEN($N$1957)&gt;0),$N$1957,HLOOKUP(INDIRECT(ADDRESS(2,COLUMN())),OFFSET($T$2,0,0,ROW()-1,14),ROW()-1,FALSE))</x:f>
        <x:v>-4.8226009999999997</x:v>
      </x:c>
      <x:c r="O985">
        <x:f ca="1">IF(AND($B$1012=1,LEN($O$1957)&gt;0),$O$1957,HLOOKUP(INDIRECT(ADDRESS(2,COLUMN())),OFFSET($T$2,0,0,ROW()-1,14),ROW()-1,FALSE))</x:f>
        <x:v>-4.8872109999999997</x:v>
      </x:c>
      <x:c r="P985">
        <x:f ca="1">IF(AND($B$1012=1,LEN($P$1957)&gt;0),$P$1957,HLOOKUP(INDIRECT(ADDRESS(2,COLUMN())),OFFSET($T$2,0,0,ROW()-1,14),ROW()-1,FALSE))</x:f>
        <x:v>-2.431149</x:v>
      </x:c>
      <x:c r="Q985">
        <x:f ca="1">IF(AND($B$1012=1,LEN($Q$1957)&gt;0),$Q$1957,HLOOKUP(INDIRECT(ADDRESS(2,COLUMN())),OFFSET($T$2,0,0,ROW()-1,14),ROW()-1,FALSE))</x:f>
        <x:v>-2.2670180000000002</x:v>
      </x:c>
      <x:c r="R985">
        <x:f ca="1">IF(AND($B$1012=1,LEN($R$1957)&gt;0),$R$1957,HLOOKUP(INDIRECT(ADDRESS(2,COLUMN())),OFFSET($T$2,0,0,ROW()-1,14),ROW()-1,FALSE))</x:f>
        <x:v>-19.602062</x:v>
      </x:c>
      <x:c r="S985">
        <x:f ca="1">IF(AND($B$1012=1,LEN($S$1957)&gt;0),$S$1957,HLOOKUP(INDIRECT(ADDRESS(2,COLUMN())),OFFSET($T$2,0,0,ROW()-1,14),ROW()-1,FALSE))</x:f>
        <x:v>-8.0033700000000003</x:v>
      </x:c>
      <x:c r="T985">
        <x:f>-8.026599</x:f>
        <x:v>-8.0265989999999992</x:v>
      </x:c>
      <x:c r="U985">
        <x:f>-2.515826</x:f>
        <x:v>-2.5158260000000001</x:v>
      </x:c>
      <x:c r="V985">
        <x:f>-12.995019</x:f>
        <x:v>-12.995018999999999</x:v>
      </x:c>
      <x:c r="W985">
        <x:f>-10.787043</x:f>
        <x:v>-10.787043000000001</x:v>
      </x:c>
      <x:c r="X985">
        <x:f>-11.531585</x:f>
        <x:v>-11.531585</x:v>
      </x:c>
      <x:c r="Y985">
        <x:f>-2.820473</x:f>
        <x:v>-2.8204729999999998</x:v>
      </x:c>
      <x:c r="Z985">
        <x:f>0</x:f>
        <x:v>0</x:v>
      </x:c>
      <x:c r="AA985">
        <x:f>-5.034352</x:f>
        <x:v>-5.0343520000000002</x:v>
      </x:c>
      <x:c r="AB985">
        <x:f>-4.822601</x:f>
        <x:v>-4.8226009999999997</x:v>
      </x:c>
      <x:c r="AC985">
        <x:f>-4.887211</x:f>
        <x:v>-4.8872109999999997</x:v>
      </x:c>
      <x:c r="AD985">
        <x:f>-2.431149</x:f>
        <x:v>-2.431149</x:v>
      </x:c>
      <x:c r="AE985">
        <x:f>-2.267018</x:f>
        <x:v>-2.2670180000000002</x:v>
      </x:c>
      <x:c r="AF985">
        <x:f>-19.602062</x:f>
        <x:v>-19.602062</x:v>
      </x:c>
      <x:c r="AG985">
        <x:f>-8.00337</x:f>
        <x:v>-8.0033700000000003</x:v>
      </x:c>
    </x:row>
    <x:row r="986" spans="1:33" x14ac:dyDescent="0.25">
      <x:c r="A986" t="str">
        <x:f>"            Roundhill Video Games ETF"</x:f>
        <x:v xml:space="preserve">            Roundhill Video Games ETF</x:v>
      </x:c>
      <x:c r="B986" t="str">
        <x:f>"NERD US Equity"</x:f>
        <x:v>NERD US Equity</x:v>
      </x:c>
      <x:c r="E986" t="str">
        <x:f t="shared" si="42"/>
        <x:v>Expression</x:v>
      </x:c>
      <x:c r="F986">
        <x:f ca="1">IF(AND($B$1012=1,LEN($F$1958)&gt;0),$F$1958,HLOOKUP(INDIRECT(ADDRESS(2,COLUMN())),OFFSET($T$2,0,0,ROW()-1,14),ROW()-1,FALSE))</x:f>
        <x:v>-1.1324320000000001</x:v>
      </x:c>
      <x:c r="G986">
        <x:f ca="1">IF(AND($B$1012=1,LEN($G$1958)&gt;0),$G$1958,HLOOKUP(INDIRECT(ADDRESS(2,COLUMN())),OFFSET($T$2,0,0,ROW()-1,14),ROW()-1,FALSE))</x:f>
        <x:v>0</x:v>
      </x:c>
      <x:c r="H986">
        <x:f ca="1">IF(AND($B$1012=1,LEN($H$1958)&gt;0),$H$1958,HLOOKUP(INDIRECT(ADDRESS(2,COLUMN())),OFFSET($T$2,0,0,ROW()-1,14),ROW()-1,FALSE))</x:f>
        <x:v>0</x:v>
      </x:c>
      <x:c r="I986">
        <x:f ca="1">IF(AND($B$1012=1,LEN($I$1958)&gt;0),$I$1958,HLOOKUP(INDIRECT(ADDRESS(2,COLUMN())),OFFSET($T$2,0,0,ROW()-1,14),ROW()-1,FALSE))</x:f>
        <x:v>-1.0772170000000001</x:v>
      </x:c>
      <x:c r="J986">
        <x:f ca="1">IF(AND($B$1012=1,LEN($J$1958)&gt;0),$J$1958,HLOOKUP(INDIRECT(ADDRESS(2,COLUMN())),OFFSET($T$2,0,0,ROW()-1,14),ROW()-1,FALSE))</x:f>
        <x:v>0</x:v>
      </x:c>
      <x:c r="K986">
        <x:f ca="1">IF(AND($B$1012=1,LEN($K$1958)&gt;0),$K$1958,HLOOKUP(INDIRECT(ADDRESS(2,COLUMN())),OFFSET($T$2,0,0,ROW()-1,14),ROW()-1,FALSE))</x:f>
        <x:v>-1.187265</x:v>
      </x:c>
      <x:c r="L986">
        <x:f ca="1">IF(AND($B$1012=1,LEN($L$1958)&gt;0),$L$1958,HLOOKUP(INDIRECT(ADDRESS(2,COLUMN())),OFFSET($T$2,0,0,ROW()-1,14),ROW()-1,FALSE))</x:f>
        <x:v>0</x:v>
      </x:c>
      <x:c r="M986">
        <x:f ca="1">IF(AND($B$1012=1,LEN($M$1958)&gt;0),$M$1958,HLOOKUP(INDIRECT(ADDRESS(2,COLUMN())),OFFSET($T$2,0,0,ROW()-1,14),ROW()-1,FALSE))</x:f>
        <x:v>0</x:v>
      </x:c>
      <x:c r="N986">
        <x:f ca="1">IF(AND($B$1012=1,LEN($N$1958)&gt;0),$N$1958,HLOOKUP(INDIRECT(ADDRESS(2,COLUMN())),OFFSET($T$2,0,0,ROW()-1,14),ROW()-1,FALSE))</x:f>
        <x:v>-2.1471300000000002</x:v>
      </x:c>
      <x:c r="O986">
        <x:f ca="1">IF(AND($B$1012=1,LEN($O$1958)&gt;0),$O$1958,HLOOKUP(INDIRECT(ADDRESS(2,COLUMN())),OFFSET($T$2,0,0,ROW()-1,14),ROW()-1,FALSE))</x:f>
        <x:v>0</x:v>
      </x:c>
      <x:c r="P986">
        <x:f ca="1">IF(AND($B$1012=1,LEN($P$1958)&gt;0),$P$1958,HLOOKUP(INDIRECT(ADDRESS(2,COLUMN())),OFFSET($T$2,0,0,ROW()-1,14),ROW()-1,FALSE))</x:f>
        <x:v>0</x:v>
      </x:c>
      <x:c r="Q986">
        <x:f ca="1">IF(AND($B$1012=1,LEN($Q$1958)&gt;0),$Q$1958,HLOOKUP(INDIRECT(ADDRESS(2,COLUMN())),OFFSET($T$2,0,0,ROW()-1,14),ROW()-1,FALSE))</x:f>
        <x:v>0</x:v>
      </x:c>
      <x:c r="R986">
        <x:f ca="1">IF(AND($B$1012=1,LEN($R$1958)&gt;0),$R$1958,HLOOKUP(INDIRECT(ADDRESS(2,COLUMN())),OFFSET($T$2,0,0,ROW()-1,14),ROW()-1,FALSE))</x:f>
        <x:v>-1.0539000000000001</x:v>
      </x:c>
      <x:c r="S986">
        <x:f ca="1">IF(AND($B$1012=1,LEN($S$1958)&gt;0),$S$1958,HLOOKUP(INDIRECT(ADDRESS(2,COLUMN())),OFFSET($T$2,0,0,ROW()-1,14),ROW()-1,FALSE))</x:f>
        <x:v>-0.33478999999999998</x:v>
      </x:c>
      <x:c r="T986">
        <x:f>-1.132432</x:f>
        <x:v>-1.1324320000000001</x:v>
      </x:c>
      <x:c r="U986">
        <x:f>0</x:f>
        <x:v>0</x:v>
      </x:c>
      <x:c r="V986">
        <x:f>0</x:f>
        <x:v>0</x:v>
      </x:c>
      <x:c r="W986">
        <x:f>-1.077217</x:f>
        <x:v>-1.0772170000000001</x:v>
      </x:c>
      <x:c r="X986">
        <x:f>0</x:f>
        <x:v>0</x:v>
      </x:c>
      <x:c r="Y986">
        <x:f>-1.187265</x:f>
        <x:v>-1.187265</x:v>
      </x:c>
      <x:c r="Z986">
        <x:f>0</x:f>
        <x:v>0</x:v>
      </x:c>
      <x:c r="AA986">
        <x:f>0</x:f>
        <x:v>0</x:v>
      </x:c>
      <x:c r="AB986">
        <x:f>-2.14713</x:f>
        <x:v>-2.1471300000000002</x:v>
      </x:c>
      <x:c r="AC986">
        <x:f>0</x:f>
        <x:v>0</x:v>
      </x:c>
      <x:c r="AD986">
        <x:f>0</x:f>
        <x:v>0</x:v>
      </x:c>
      <x:c r="AE986">
        <x:f>0</x:f>
        <x:v>0</x:v>
      </x:c>
      <x:c r="AF986">
        <x:f>-1.0539</x:f>
        <x:v>-1.0539000000000001</x:v>
      </x:c>
      <x:c r="AG986">
        <x:f>-0.33479</x:f>
        <x:v>-0.33478999999999998</x:v>
      </x:c>
    </x:row>
    <x:row r="987" spans="1:33" x14ac:dyDescent="0.25">
      <x:c r="A987" t="str">
        <x:f>"            Defiance Next Gen Video Gaming"</x:f>
        <x:v xml:space="preserve">            Defiance Next Gen Video Gaming</x:v>
      </x:c>
      <x:c r="B987" t="str">
        <x:f>"VIDG US Equity"</x:f>
        <x:v>VIDG US Equity</x:v>
      </x:c>
      <x:c r="E987" t="str">
        <x:f t="shared" si="42"/>
        <x:v>Expression</x:v>
      </x:c>
      <x:c r="F987" t="str">
        <x:f ca="1">IF(AND($B$1012=1,LEN($F$1959)&gt;0),$F$1959,HLOOKUP(INDIRECT(ADDRESS(2,COLUMN())),OFFSET($T$2,0,0,ROW()-1,14),ROW()-1,FALSE))</x:f>
        <x:v/>
      </x:c>
      <x:c r="G987" t="str">
        <x:f ca="1">IF(AND($B$1012=1,LEN($G$1959)&gt;0),$G$1959,HLOOKUP(INDIRECT(ADDRESS(2,COLUMN())),OFFSET($T$2,0,0,ROW()-1,14),ROW()-1,FALSE))</x:f>
        <x:v/>
      </x:c>
      <x:c r="H987" t="str">
        <x:f ca="1">IF(AND($B$1012=1,LEN($H$1959)&gt;0),$H$1959,HLOOKUP(INDIRECT(ADDRESS(2,COLUMN())),OFFSET($T$2,0,0,ROW()-1,14),ROW()-1,FALSE))</x:f>
        <x:v/>
      </x:c>
      <x:c r="I987" t="str">
        <x:f ca="1">IF(AND($B$1012=1,LEN($I$1959)&gt;0),$I$1959,HLOOKUP(INDIRECT(ADDRESS(2,COLUMN())),OFFSET($T$2,0,0,ROW()-1,14),ROW()-1,FALSE))</x:f>
        <x:v/>
      </x:c>
      <x:c r="J987" t="str">
        <x:f ca="1">IF(AND($B$1012=1,LEN($J$1959)&gt;0),$J$1959,HLOOKUP(INDIRECT(ADDRESS(2,COLUMN())),OFFSET($T$2,0,0,ROW()-1,14),ROW()-1,FALSE))</x:f>
        <x:v/>
      </x:c>
      <x:c r="K987" t="str">
        <x:f ca="1">IF(AND($B$1012=1,LEN($K$1959)&gt;0),$K$1959,HLOOKUP(INDIRECT(ADDRESS(2,COLUMN())),OFFSET($T$2,0,0,ROW()-1,14),ROW()-1,FALSE))</x:f>
        <x:v/>
      </x:c>
      <x:c r="L987" t="str">
        <x:f ca="1">IF(AND($B$1012=1,LEN($L$1959)&gt;0),$L$1959,HLOOKUP(INDIRECT(ADDRESS(2,COLUMN())),OFFSET($T$2,0,0,ROW()-1,14),ROW()-1,FALSE))</x:f>
        <x:v/>
      </x:c>
      <x:c r="M987" t="str">
        <x:f ca="1">IF(AND($B$1012=1,LEN($M$1959)&gt;0),$M$1959,HLOOKUP(INDIRECT(ADDRESS(2,COLUMN())),OFFSET($T$2,0,0,ROW()-1,14),ROW()-1,FALSE))</x:f>
        <x:v/>
      </x:c>
      <x:c r="N987" t="str">
        <x:f ca="1">IF(AND($B$1012=1,LEN($N$1959)&gt;0),$N$1959,HLOOKUP(INDIRECT(ADDRESS(2,COLUMN())),OFFSET($T$2,0,0,ROW()-1,14),ROW()-1,FALSE))</x:f>
        <x:v/>
      </x:c>
      <x:c r="O987" t="str">
        <x:f ca="1">IF(AND($B$1012=1,LEN($O$1959)&gt;0),$O$1959,HLOOKUP(INDIRECT(ADDRESS(2,COLUMN())),OFFSET($T$2,0,0,ROW()-1,14),ROW()-1,FALSE))</x:f>
        <x:v/>
      </x:c>
      <x:c r="P987" t="str">
        <x:f ca="1">IF(AND($B$1012=1,LEN($P$1959)&gt;0),$P$1959,HLOOKUP(INDIRECT(ADDRESS(2,COLUMN())),OFFSET($T$2,0,0,ROW()-1,14),ROW()-1,FALSE))</x:f>
        <x:v/>
      </x:c>
      <x:c r="Q987" t="str">
        <x:f ca="1">IF(AND($B$1012=1,LEN($Q$1959)&gt;0),$Q$1959,HLOOKUP(INDIRECT(ADDRESS(2,COLUMN())),OFFSET($T$2,0,0,ROW()-1,14),ROW()-1,FALSE))</x:f>
        <x:v/>
      </x:c>
      <x:c r="R987" t="str">
        <x:f ca="1">IF(AND($B$1012=1,LEN($R$1959)&gt;0),$R$1959,HLOOKUP(INDIRECT(ADDRESS(2,COLUMN())),OFFSET($T$2,0,0,ROW()-1,14),ROW()-1,FALSE))</x:f>
        <x:v/>
      </x:c>
      <x:c r="S987" t="str">
        <x:f ca="1">IF(AND($B$1012=1,LEN($S$1959)&gt;0),$S$1959,HLOOKUP(INDIRECT(ADDRESS(2,COLUMN())),OFFSET($T$2,0,0,ROW()-1,14),ROW()-1,FALSE))</x:f>
        <x:v/>
      </x:c>
      <x:c r="T987" t="str">
        <x:f>""</x:f>
        <x:v/>
      </x:c>
      <x:c r="U987" t="str">
        <x:f>""</x:f>
        <x:v/>
      </x:c>
      <x:c r="V987" t="str">
        <x:f>""</x:f>
        <x:v/>
      </x:c>
      <x:c r="W987" t="str">
        <x:f>""</x:f>
        <x:v/>
      </x:c>
      <x:c r="X987" t="str">
        <x:f>""</x:f>
        <x:v/>
      </x:c>
      <x:c r="Y987" t="str">
        <x:f>""</x:f>
        <x:v/>
      </x:c>
      <x:c r="Z987" t="str">
        <x:f>""</x:f>
        <x:v/>
      </x:c>
      <x:c r="AA987" t="str">
        <x:f>""</x:f>
        <x:v/>
      </x:c>
      <x:c r="AB987" t="str">
        <x:f>""</x:f>
        <x:v/>
      </x:c>
      <x:c r="AC987" t="str">
        <x:f>""</x:f>
        <x:v/>
      </x:c>
      <x:c r="AD987" t="str">
        <x:f>""</x:f>
        <x:v/>
      </x:c>
      <x:c r="AE987" t="str">
        <x:f>""</x:f>
        <x:v/>
      </x:c>
      <x:c r="AF987" t="str">
        <x:f>""</x:f>
        <x:v/>
      </x:c>
      <x:c r="AG987" t="str">
        <x:f>""</x:f>
        <x:v/>
      </x:c>
    </x:row>
    <x:row r="988" spans="1:33" x14ac:dyDescent="0.25">
      <x:c r="A988" t="str">
        <x:f>"            Global X Video Games &amp; Esports"</x:f>
        <x:v xml:space="preserve">            Global X Video Games &amp; Esports</x:v>
      </x:c>
      <x:c r="B988" t="str">
        <x:f>"HERO US Equity"</x:f>
        <x:v>HERO US Equity</x:v>
      </x:c>
      <x:c r="E988" t="str">
        <x:f t="shared" si="42"/>
        <x:v>Expression</x:v>
      </x:c>
      <x:c r="F988">
        <x:f ca="1">IF(AND($B$1012=1,LEN($F$1960)&gt;0),$F$1960,HLOOKUP(INDIRECT(ADDRESS(2,COLUMN())),OFFSET($T$2,0,0,ROW()-1,14),ROW()-1,FALSE))</x:f>
        <x:v>0</x:v>
      </x:c>
      <x:c r="G988">
        <x:f ca="1">IF(AND($B$1012=1,LEN($G$1960)&gt;0),$G$1960,HLOOKUP(INDIRECT(ADDRESS(2,COLUMN())),OFFSET($T$2,0,0,ROW()-1,14),ROW()-1,FALSE))</x:f>
        <x:v>0</x:v>
      </x:c>
      <x:c r="H988">
        <x:f ca="1">IF(AND($B$1012=1,LEN($H$1960)&gt;0),$H$1960,HLOOKUP(INDIRECT(ADDRESS(2,COLUMN())),OFFSET($T$2,0,0,ROW()-1,14),ROW()-1,FALSE))</x:f>
        <x:v>-26.672999999999998</x:v>
      </x:c>
      <x:c r="I988">
        <x:f ca="1">IF(AND($B$1012=1,LEN($I$1960)&gt;0),$I$1960,HLOOKUP(INDIRECT(ADDRESS(2,COLUMN())),OFFSET($T$2,0,0,ROW()-1,14),ROW()-1,FALSE))</x:f>
        <x:v>-2.5808</x:v>
      </x:c>
      <x:c r="J988">
        <x:f ca="1">IF(AND($B$1012=1,LEN($J$1960)&gt;0),$J$1960,HLOOKUP(INDIRECT(ADDRESS(2,COLUMN())),OFFSET($T$2,0,0,ROW()-1,14),ROW()-1,FALSE))</x:f>
        <x:v>2.4533999999999998</x:v>
      </x:c>
      <x:c r="K988">
        <x:f ca="1">IF(AND($B$1012=1,LEN($K$1960)&gt;0),$K$1960,HLOOKUP(INDIRECT(ADDRESS(2,COLUMN())),OFFSET($T$2,0,0,ROW()-1,14),ROW()-1,FALSE))</x:f>
        <x:v>-0.81079999999999997</x:v>
      </x:c>
      <x:c r="L988">
        <x:f ca="1">IF(AND($B$1012=1,LEN($L$1960)&gt;0),$L$1960,HLOOKUP(INDIRECT(ADDRESS(2,COLUMN())),OFFSET($T$2,0,0,ROW()-1,14),ROW()-1,FALSE))</x:f>
        <x:v>-4.4603999999999999</x:v>
      </x:c>
      <x:c r="M988">
        <x:f ca="1">IF(AND($B$1012=1,LEN($M$1960)&gt;0),$M$1960,HLOOKUP(INDIRECT(ADDRESS(2,COLUMN())),OFFSET($T$2,0,0,ROW()-1,14),ROW()-1,FALSE))</x:f>
        <x:v>4.0739999999999998</x:v>
      </x:c>
      <x:c r="N988">
        <x:f ca="1">IF(AND($B$1012=1,LEN($N$1960)&gt;0),$N$1960,HLOOKUP(INDIRECT(ADDRESS(2,COLUMN())),OFFSET($T$2,0,0,ROW()-1,14),ROW()-1,FALSE))</x:f>
        <x:v>7.08</x:v>
      </x:c>
      <x:c r="O988">
        <x:f ca="1">IF(AND($B$1012=1,LEN($O$1960)&gt;0),$O$1960,HLOOKUP(INDIRECT(ADDRESS(2,COLUMN())),OFFSET($T$2,0,0,ROW()-1,14),ROW()-1,FALSE))</x:f>
        <x:v>-8.1981999999999999</x:v>
      </x:c>
      <x:c r="P988">
        <x:f ca="1">IF(AND($B$1012=1,LEN($P$1960)&gt;0),$P$1960,HLOOKUP(INDIRECT(ADDRESS(2,COLUMN())),OFFSET($T$2,0,0,ROW()-1,14),ROW()-1,FALSE))</x:f>
        <x:v>-7.4996</x:v>
      </x:c>
      <x:c r="Q988">
        <x:f ca="1">IF(AND($B$1012=1,LEN($Q$1960)&gt;0),$Q$1960,HLOOKUP(INDIRECT(ADDRESS(2,COLUMN())),OFFSET($T$2,0,0,ROW()-1,14),ROW()-1,FALSE))</x:f>
        <x:v>-0.69410000000000005</x:v>
      </x:c>
      <x:c r="R988">
        <x:f ca="1">IF(AND($B$1012=1,LEN($R$1960)&gt;0),$R$1960,HLOOKUP(INDIRECT(ADDRESS(2,COLUMN())),OFFSET($T$2,0,0,ROW()-1,14),ROW()-1,FALSE))</x:f>
        <x:v>-7.2096</x:v>
      </x:c>
      <x:c r="S988">
        <x:f ca="1">IF(AND($B$1012=1,LEN($S$1960)&gt;0),$S$1960,HLOOKUP(INDIRECT(ADDRESS(2,COLUMN())),OFFSET($T$2,0,0,ROW()-1,14),ROW()-1,FALSE))</x:f>
        <x:v>-1.4872000000000001</x:v>
      </x:c>
      <x:c r="T988">
        <x:f>0</x:f>
        <x:v>0</x:v>
      </x:c>
      <x:c r="U988">
        <x:f>0</x:f>
        <x:v>0</x:v>
      </x:c>
      <x:c r="V988">
        <x:f>-26.673</x:f>
        <x:v>-26.672999999999998</x:v>
      </x:c>
      <x:c r="W988">
        <x:f>-2.5808</x:f>
        <x:v>-2.5808</x:v>
      </x:c>
      <x:c r="X988">
        <x:f>2.4534</x:f>
        <x:v>2.4533999999999998</x:v>
      </x:c>
      <x:c r="Y988">
        <x:f>-0.8108</x:f>
        <x:v>-0.81079999999999997</x:v>
      </x:c>
      <x:c r="Z988">
        <x:f>-4.4604</x:f>
        <x:v>-4.4603999999999999</x:v>
      </x:c>
      <x:c r="AA988">
        <x:f>4.074</x:f>
        <x:v>4.0739999999999998</x:v>
      </x:c>
      <x:c r="AB988">
        <x:f>7.08</x:f>
        <x:v>7.08</x:v>
      </x:c>
      <x:c r="AC988">
        <x:f>-8.1982</x:f>
        <x:v>-8.1981999999999999</x:v>
      </x:c>
      <x:c r="AD988">
        <x:f>-7.4996</x:f>
        <x:v>-7.4996</x:v>
      </x:c>
      <x:c r="AE988">
        <x:f>-0.6941</x:f>
        <x:v>-0.69410000000000005</x:v>
      </x:c>
      <x:c r="AF988">
        <x:f>-7.2096</x:f>
        <x:v>-7.2096</x:v>
      </x:c>
      <x:c r="AG988">
        <x:f>-1.4872</x:f>
        <x:v>-1.4872000000000001</x:v>
      </x:c>
    </x:row>
    <x:row r="989" spans="1:33" x14ac:dyDescent="0.25">
      <x:c r="A989" t="str">
        <x:f>"            Wedbush ETFMG Video Game Tech"</x:f>
        <x:v xml:space="preserve">            Wedbush ETFMG Video Game Tech</x:v>
      </x:c>
      <x:c r="B989" t="str">
        <x:f>"GAMR US Equity"</x:f>
        <x:v>GAMR US Equity</x:v>
      </x:c>
      <x:c r="E989" t="str">
        <x:f t="shared" si="42"/>
        <x:v>Expression</x:v>
      </x:c>
      <x:c r="F989">
        <x:f ca="1">IF(AND($B$1012=1,LEN($F$1961)&gt;0),$F$1961,HLOOKUP(INDIRECT(ADDRESS(2,COLUMN())),OFFSET($T$2,0,0,ROW()-1,14),ROW()-1,FALSE))</x:f>
        <x:v>0</x:v>
      </x:c>
      <x:c r="G989">
        <x:f ca="1">IF(AND($B$1012=1,LEN($G$1961)&gt;0),$G$1961,HLOOKUP(INDIRECT(ADDRESS(2,COLUMN())),OFFSET($T$2,0,0,ROW()-1,14),ROW()-1,FALSE))</x:f>
        <x:v>0</x:v>
      </x:c>
      <x:c r="H989">
        <x:f ca="1">IF(AND($B$1012=1,LEN($H$1961)&gt;0),$H$1961,HLOOKUP(INDIRECT(ADDRESS(2,COLUMN())),OFFSET($T$2,0,0,ROW()-1,14),ROW()-1,FALSE))</x:f>
        <x:v>0</x:v>
      </x:c>
      <x:c r="I989">
        <x:f ca="1">IF(AND($B$1012=1,LEN($I$1961)&gt;0),$I$1961,HLOOKUP(INDIRECT(ADDRESS(2,COLUMN())),OFFSET($T$2,0,0,ROW()-1,14),ROW()-1,FALSE))</x:f>
        <x:v>0</x:v>
      </x:c>
      <x:c r="J989">
        <x:f ca="1">IF(AND($B$1012=1,LEN($J$1961)&gt;0),$J$1961,HLOOKUP(INDIRECT(ADDRESS(2,COLUMN())),OFFSET($T$2,0,0,ROW()-1,14),ROW()-1,FALSE))</x:f>
        <x:v>0</x:v>
      </x:c>
      <x:c r="K989">
        <x:f ca="1">IF(AND($B$1012=1,LEN($K$1961)&gt;0),$K$1961,HLOOKUP(INDIRECT(ADDRESS(2,COLUMN())),OFFSET($T$2,0,0,ROW()-1,14),ROW()-1,FALSE))</x:f>
        <x:v>0</x:v>
      </x:c>
      <x:c r="L989">
        <x:f ca="1">IF(AND($B$1012=1,LEN($L$1961)&gt;0),$L$1961,HLOOKUP(INDIRECT(ADDRESS(2,COLUMN())),OFFSET($T$2,0,0,ROW()-1,14),ROW()-1,FALSE))</x:f>
        <x:v>-2.9602900000000001</x:v>
      </x:c>
      <x:c r="M989">
        <x:f ca="1">IF(AND($B$1012=1,LEN($M$1961)&gt;0),$M$1961,HLOOKUP(INDIRECT(ADDRESS(2,COLUMN())),OFFSET($T$2,0,0,ROW()-1,14),ROW()-1,FALSE))</x:f>
        <x:v>0</x:v>
      </x:c>
      <x:c r="N989">
        <x:f ca="1">IF(AND($B$1012=1,LEN($N$1961)&gt;0),$N$1961,HLOOKUP(INDIRECT(ADDRESS(2,COLUMN())),OFFSET($T$2,0,0,ROW()-1,14),ROW()-1,FALSE))</x:f>
        <x:v>-2.9123000000000001</x:v>
      </x:c>
      <x:c r="O989">
        <x:f ca="1">IF(AND($B$1012=1,LEN($O$1961)&gt;0),$O$1961,HLOOKUP(INDIRECT(ADDRESS(2,COLUMN())),OFFSET($T$2,0,0,ROW()-1,14),ROW()-1,FALSE))</x:f>
        <x:v>0</x:v>
      </x:c>
      <x:c r="P989">
        <x:f ca="1">IF(AND($B$1012=1,LEN($P$1961)&gt;0),$P$1961,HLOOKUP(INDIRECT(ADDRESS(2,COLUMN())),OFFSET($T$2,0,0,ROW()-1,14),ROW()-1,FALSE))</x:f>
        <x:v>-2.8477299999999999</x:v>
      </x:c>
      <x:c r="Q989">
        <x:f ca="1">IF(AND($B$1012=1,LEN($Q$1961)&gt;0),$Q$1961,HLOOKUP(INDIRECT(ADDRESS(2,COLUMN())),OFFSET($T$2,0,0,ROW()-1,14),ROW()-1,FALSE))</x:f>
        <x:v>0</x:v>
      </x:c>
      <x:c r="R989">
        <x:f ca="1">IF(AND($B$1012=1,LEN($R$1961)&gt;0),$R$1961,HLOOKUP(INDIRECT(ADDRESS(2,COLUMN())),OFFSET($T$2,0,0,ROW()-1,14),ROW()-1,FALSE))</x:f>
        <x:v>-2.55959</x:v>
      </x:c>
      <x:c r="S989">
        <x:f ca="1">IF(AND($B$1012=1,LEN($S$1961)&gt;0),$S$1961,HLOOKUP(INDIRECT(ADDRESS(2,COLUMN())),OFFSET($T$2,0,0,ROW()-1,14),ROW()-1,FALSE))</x:f>
        <x:v>0</x:v>
      </x:c>
      <x:c r="T989">
        <x:f>0</x:f>
        <x:v>0</x:v>
      </x:c>
      <x:c r="U989">
        <x:f>0</x:f>
        <x:v>0</x:v>
      </x:c>
      <x:c r="V989">
        <x:f>0</x:f>
        <x:v>0</x:v>
      </x:c>
      <x:c r="W989">
        <x:f>0</x:f>
        <x:v>0</x:v>
      </x:c>
      <x:c r="X989">
        <x:f>0</x:f>
        <x:v>0</x:v>
      </x:c>
      <x:c r="Y989">
        <x:f>0</x:f>
        <x:v>0</x:v>
      </x:c>
      <x:c r="Z989">
        <x:f>-2.96029</x:f>
        <x:v>-2.9602900000000001</x:v>
      </x:c>
      <x:c r="AA989">
        <x:f>0</x:f>
        <x:v>0</x:v>
      </x:c>
      <x:c r="AB989">
        <x:f>-2.9123</x:f>
        <x:v>-2.9123000000000001</x:v>
      </x:c>
      <x:c r="AC989">
        <x:f>0</x:f>
        <x:v>0</x:v>
      </x:c>
      <x:c r="AD989">
        <x:f>-2.84773</x:f>
        <x:v>-2.8477299999999999</x:v>
      </x:c>
      <x:c r="AE989">
        <x:f>0</x:f>
        <x:v>0</x:v>
      </x:c>
      <x:c r="AF989">
        <x:f>-2.55959</x:f>
        <x:v>-2.55959</x:v>
      </x:c>
      <x:c r="AG989">
        <x:f>0</x:f>
        <x:v>0</x:v>
      </x:c>
    </x:row>
    <x:row r="990" spans="1:33" x14ac:dyDescent="0.25">
      <x:c r="A990" t="str">
        <x:f>"            Subversive Metaverse ETF"</x:f>
        <x:v xml:space="preserve">            Subversive Metaverse ETF</x:v>
      </x:c>
      <x:c r="B990" t="str">
        <x:f>"PUNK US Equity"</x:f>
        <x:v>PUNK US Equity</x:v>
      </x:c>
      <x:c r="E990" t="str">
        <x:f t="shared" si="42"/>
        <x:v>Expression</x:v>
      </x:c>
      <x:c r="F990" t="str">
        <x:f ca="1">IF(AND($B$1012=1,LEN($F$1962)&gt;0),$F$1962,HLOOKUP(INDIRECT(ADDRESS(2,COLUMN())),OFFSET($T$2,0,0,ROW()-1,14),ROW()-1,FALSE))</x:f>
        <x:v/>
      </x:c>
      <x:c r="G990" t="str">
        <x:f ca="1">IF(AND($B$1012=1,LEN($G$1962)&gt;0),$G$1962,HLOOKUP(INDIRECT(ADDRESS(2,COLUMN())),OFFSET($T$2,0,0,ROW()-1,14),ROW()-1,FALSE))</x:f>
        <x:v/>
      </x:c>
      <x:c r="H990" t="str">
        <x:f ca="1">IF(AND($B$1012=1,LEN($H$1962)&gt;0),$H$1962,HLOOKUP(INDIRECT(ADDRESS(2,COLUMN())),OFFSET($T$2,0,0,ROW()-1,14),ROW()-1,FALSE))</x:f>
        <x:v/>
      </x:c>
      <x:c r="I990" t="str">
        <x:f ca="1">IF(AND($B$1012=1,LEN($I$1962)&gt;0),$I$1962,HLOOKUP(INDIRECT(ADDRESS(2,COLUMN())),OFFSET($T$2,0,0,ROW()-1,14),ROW()-1,FALSE))</x:f>
        <x:v/>
      </x:c>
      <x:c r="J990" t="str">
        <x:f ca="1">IF(AND($B$1012=1,LEN($J$1962)&gt;0),$J$1962,HLOOKUP(INDIRECT(ADDRESS(2,COLUMN())),OFFSET($T$2,0,0,ROW()-1,14),ROW()-1,FALSE))</x:f>
        <x:v/>
      </x:c>
      <x:c r="K990" t="str">
        <x:f ca="1">IF(AND($B$1012=1,LEN($K$1962)&gt;0),$K$1962,HLOOKUP(INDIRECT(ADDRESS(2,COLUMN())),OFFSET($T$2,0,0,ROW()-1,14),ROW()-1,FALSE))</x:f>
        <x:v/>
      </x:c>
      <x:c r="L990">
        <x:f ca="1">IF(AND($B$1012=1,LEN($L$1962)&gt;0),$L$1962,HLOOKUP(INDIRECT(ADDRESS(2,COLUMN())),OFFSET($T$2,0,0,ROW()-1,14),ROW()-1,FALSE))</x:f>
        <x:v>0</x:v>
      </x:c>
      <x:c r="M990">
        <x:f ca="1">IF(AND($B$1012=1,LEN($M$1962)&gt;0),$M$1962,HLOOKUP(INDIRECT(ADDRESS(2,COLUMN())),OFFSET($T$2,0,0,ROW()-1,14),ROW()-1,FALSE))</x:f>
        <x:v>0</x:v>
      </x:c>
      <x:c r="N990">
        <x:f ca="1">IF(AND($B$1012=1,LEN($N$1962)&gt;0),$N$1962,HLOOKUP(INDIRECT(ADDRESS(2,COLUMN())),OFFSET($T$2,0,0,ROW()-1,14),ROW()-1,FALSE))</x:f>
        <x:v>0</x:v>
      </x:c>
      <x:c r="O990">
        <x:f ca="1">IF(AND($B$1012=1,LEN($O$1962)&gt;0),$O$1962,HLOOKUP(INDIRECT(ADDRESS(2,COLUMN())),OFFSET($T$2,0,0,ROW()-1,14),ROW()-1,FALSE))</x:f>
        <x:v>0</x:v>
      </x:c>
      <x:c r="P990">
        <x:f ca="1">IF(AND($B$1012=1,LEN($P$1962)&gt;0),$P$1962,HLOOKUP(INDIRECT(ADDRESS(2,COLUMN())),OFFSET($T$2,0,0,ROW()-1,14),ROW()-1,FALSE))</x:f>
        <x:v>0</x:v>
      </x:c>
      <x:c r="Q990">
        <x:f ca="1">IF(AND($B$1012=1,LEN($Q$1962)&gt;0),$Q$1962,HLOOKUP(INDIRECT(ADDRESS(2,COLUMN())),OFFSET($T$2,0,0,ROW()-1,14),ROW()-1,FALSE))</x:f>
        <x:v>0</x:v>
      </x:c>
      <x:c r="R990">
        <x:f ca="1">IF(AND($B$1012=1,LEN($R$1962)&gt;0),$R$1962,HLOOKUP(INDIRECT(ADDRESS(2,COLUMN())),OFFSET($T$2,0,0,ROW()-1,14),ROW()-1,FALSE))</x:f>
        <x:v>0</x:v>
      </x:c>
      <x:c r="S990">
        <x:f ca="1">IF(AND($B$1012=1,LEN($S$1962)&gt;0),$S$1962,HLOOKUP(INDIRECT(ADDRESS(2,COLUMN())),OFFSET($T$2,0,0,ROW()-1,14),ROW()-1,FALSE))</x:f>
        <x:v>0</x:v>
      </x:c>
      <x:c r="T990" t="str">
        <x:f>""</x:f>
        <x:v/>
      </x:c>
      <x:c r="U990" t="str">
        <x:f>""</x:f>
        <x:v/>
      </x:c>
      <x:c r="V990" t="str">
        <x:f>""</x:f>
        <x:v/>
      </x:c>
      <x:c r="W990" t="str">
        <x:f>""</x:f>
        <x:v/>
      </x:c>
      <x:c r="X990" t="str">
        <x:f>""</x:f>
        <x:v/>
      </x:c>
      <x:c r="Y990" t="str">
        <x:f>""</x:f>
        <x:v/>
      </x:c>
      <x:c r="Z990">
        <x:f>0</x:f>
        <x:v>0</x:v>
      </x:c>
      <x:c r="AA990">
        <x:f>0</x:f>
        <x:v>0</x:v>
      </x:c>
      <x:c r="AB990">
        <x:f>0</x:f>
        <x:v>0</x:v>
      </x:c>
      <x:c r="AC990">
        <x:f>0</x:f>
        <x:v>0</x:v>
      </x:c>
      <x:c r="AD990">
        <x:f>0</x:f>
        <x:v>0</x:v>
      </x:c>
      <x:c r="AE990">
        <x:f>0</x:f>
        <x:v>0</x:v>
      </x:c>
      <x:c r="AF990">
        <x:f>0</x:f>
        <x:v>0</x:v>
      </x:c>
      <x:c r="AG990">
        <x:f>0</x:f>
        <x:v>0</x:v>
      </x:c>
    </x:row>
    <x:row r="991" spans="1:33" x14ac:dyDescent="0.25">
      <x:c r="A991" t="str">
        <x:f>"            First Trust S-Network Streamin"</x:f>
        <x:v xml:space="preserve">            First Trust S-Network Streamin</x:v>
      </x:c>
      <x:c r="B991" t="str">
        <x:f>"BNGE US Equity"</x:f>
        <x:v>BNGE US Equity</x:v>
      </x:c>
      <x:c r="E991" t="str">
        <x:f t="shared" si="42"/>
        <x:v>Expression</x:v>
      </x:c>
      <x:c r="F991">
        <x:f ca="1">IF(AND($B$1012=1,LEN($F$1963)&gt;0),$F$1963,HLOOKUP(INDIRECT(ADDRESS(2,COLUMN())),OFFSET($T$2,0,0,ROW()-1,14),ROW()-1,FALSE))</x:f>
        <x:v>0</x:v>
      </x:c>
      <x:c r="G991">
        <x:f ca="1">IF(AND($B$1012=1,LEN($G$1963)&gt;0),$G$1963,HLOOKUP(INDIRECT(ADDRESS(2,COLUMN())),OFFSET($T$2,0,0,ROW()-1,14),ROW()-1,FALSE))</x:f>
        <x:v>0</x:v>
      </x:c>
      <x:c r="H991">
        <x:f ca="1">IF(AND($B$1012=1,LEN($H$1963)&gt;0),$H$1963,HLOOKUP(INDIRECT(ADDRESS(2,COLUMN())),OFFSET($T$2,0,0,ROW()-1,14),ROW()-1,FALSE))</x:f>
        <x:v>0</x:v>
      </x:c>
      <x:c r="I991">
        <x:f ca="1">IF(AND($B$1012=1,LEN($I$1963)&gt;0),$I$1963,HLOOKUP(INDIRECT(ADDRESS(2,COLUMN())),OFFSET($T$2,0,0,ROW()-1,14),ROW()-1,FALSE))</x:f>
        <x:v>0</x:v>
      </x:c>
      <x:c r="J991">
        <x:f ca="1">IF(AND($B$1012=1,LEN($J$1963)&gt;0),$J$1963,HLOOKUP(INDIRECT(ADDRESS(2,COLUMN())),OFFSET($T$2,0,0,ROW()-1,14),ROW()-1,FALSE))</x:f>
        <x:v>0</x:v>
      </x:c>
      <x:c r="K991">
        <x:f ca="1">IF(AND($B$1012=1,LEN($K$1963)&gt;0),$K$1963,HLOOKUP(INDIRECT(ADDRESS(2,COLUMN())),OFFSET($T$2,0,0,ROW()-1,14),ROW()-1,FALSE))</x:f>
        <x:v>0</x:v>
      </x:c>
      <x:c r="L991">
        <x:f ca="1">IF(AND($B$1012=1,LEN($L$1963)&gt;0),$L$1963,HLOOKUP(INDIRECT(ADDRESS(2,COLUMN())),OFFSET($T$2,0,0,ROW()-1,14),ROW()-1,FALSE))</x:f>
        <x:v>0</x:v>
      </x:c>
      <x:c r="M991">
        <x:f ca="1">IF(AND($B$1012=1,LEN($M$1963)&gt;0),$M$1963,HLOOKUP(INDIRECT(ADDRESS(2,COLUMN())),OFFSET($T$2,0,0,ROW()-1,14),ROW()-1,FALSE))</x:f>
        <x:v>0</x:v>
      </x:c>
      <x:c r="N991">
        <x:f ca="1">IF(AND($B$1012=1,LEN($N$1963)&gt;0),$N$1963,HLOOKUP(INDIRECT(ADDRESS(2,COLUMN())),OFFSET($T$2,0,0,ROW()-1,14),ROW()-1,FALSE))</x:f>
        <x:v>0</x:v>
      </x:c>
      <x:c r="O991">
        <x:f ca="1">IF(AND($B$1012=1,LEN($O$1963)&gt;0),$O$1963,HLOOKUP(INDIRECT(ADDRESS(2,COLUMN())),OFFSET($T$2,0,0,ROW()-1,14),ROW()-1,FALSE))</x:f>
        <x:v>0</x:v>
      </x:c>
      <x:c r="P991">
        <x:f ca="1">IF(AND($B$1012=1,LEN($P$1963)&gt;0),$P$1963,HLOOKUP(INDIRECT(ADDRESS(2,COLUMN())),OFFSET($T$2,0,0,ROW()-1,14),ROW()-1,FALSE))</x:f>
        <x:v>0</x:v>
      </x:c>
      <x:c r="Q991">
        <x:f ca="1">IF(AND($B$1012=1,LEN($Q$1963)&gt;0),$Q$1963,HLOOKUP(INDIRECT(ADDRESS(2,COLUMN())),OFFSET($T$2,0,0,ROW()-1,14),ROW()-1,FALSE))</x:f>
        <x:v>0</x:v>
      </x:c>
      <x:c r="R991">
        <x:f ca="1">IF(AND($B$1012=1,LEN($R$1963)&gt;0),$R$1963,HLOOKUP(INDIRECT(ADDRESS(2,COLUMN())),OFFSET($T$2,0,0,ROW()-1,14),ROW()-1,FALSE))</x:f>
        <x:v>0</x:v>
      </x:c>
      <x:c r="S991">
        <x:f ca="1">IF(AND($B$1012=1,LEN($S$1963)&gt;0),$S$1963,HLOOKUP(INDIRECT(ADDRESS(2,COLUMN())),OFFSET($T$2,0,0,ROW()-1,14),ROW()-1,FALSE))</x:f>
        <x:v>0</x:v>
      </x:c>
      <x:c r="T991">
        <x:f>0</x:f>
        <x:v>0</x:v>
      </x:c>
      <x:c r="U991">
        <x:f>0</x:f>
        <x:v>0</x:v>
      </x:c>
      <x:c r="V991">
        <x:f>0</x:f>
        <x:v>0</x:v>
      </x:c>
      <x:c r="W991">
        <x:f>0</x:f>
        <x:v>0</x:v>
      </x:c>
      <x:c r="X991">
        <x:f>0</x:f>
        <x:v>0</x:v>
      </x:c>
      <x:c r="Y991">
        <x:f>0</x:f>
        <x:v>0</x:v>
      </x:c>
      <x:c r="Z991">
        <x:f>0</x:f>
        <x:v>0</x:v>
      </x:c>
      <x:c r="AA991">
        <x:f>0</x:f>
        <x:v>0</x:v>
      </x:c>
      <x:c r="AB991">
        <x:f>0</x:f>
        <x:v>0</x:v>
      </x:c>
      <x:c r="AC991">
        <x:f>0</x:f>
        <x:v>0</x:v>
      </x:c>
      <x:c r="AD991">
        <x:f>0</x:f>
        <x:v>0</x:v>
      </x:c>
      <x:c r="AE991">
        <x:f>0</x:f>
        <x:v>0</x:v>
      </x:c>
      <x:c r="AF991">
        <x:f>0</x:f>
        <x:v>0</x:v>
      </x:c>
      <x:c r="AG991">
        <x:f>0</x:f>
        <x:v>0</x:v>
      </x:c>
    </x:row>
    <x:row r="992" spans="1:33" x14ac:dyDescent="0.25">
      <x:c r="A992" t="str">
        <x:f>"            First Trust Indxx Metaverse ET"</x:f>
        <x:v xml:space="preserve">            First Trust Indxx Metaverse ET</x:v>
      </x:c>
      <x:c r="B992" t="str">
        <x:f>"ARVR US Equity"</x:f>
        <x:v>ARVR US Equity</x:v>
      </x:c>
      <x:c r="E992" t="str">
        <x:f t="shared" si="42"/>
        <x:v>Expression</x:v>
      </x:c>
      <x:c r="F992">
        <x:f ca="1">IF(AND($B$1012=1,LEN($F$1964)&gt;0),$F$1964,HLOOKUP(INDIRECT(ADDRESS(2,COLUMN())),OFFSET($T$2,0,0,ROW()-1,14),ROW()-1,FALSE))</x:f>
        <x:v>0</x:v>
      </x:c>
      <x:c r="G992">
        <x:f ca="1">IF(AND($B$1012=1,LEN($G$1964)&gt;0),$G$1964,HLOOKUP(INDIRECT(ADDRESS(2,COLUMN())),OFFSET($T$2,0,0,ROW()-1,14),ROW()-1,FALSE))</x:f>
        <x:v>0</x:v>
      </x:c>
      <x:c r="H992">
        <x:f ca="1">IF(AND($B$1012=1,LEN($H$1964)&gt;0),$H$1964,HLOOKUP(INDIRECT(ADDRESS(2,COLUMN())),OFFSET($T$2,0,0,ROW()-1,14),ROW()-1,FALSE))</x:f>
        <x:v>0</x:v>
      </x:c>
      <x:c r="I992">
        <x:f ca="1">IF(AND($B$1012=1,LEN($I$1964)&gt;0),$I$1964,HLOOKUP(INDIRECT(ADDRESS(2,COLUMN())),OFFSET($T$2,0,0,ROW()-1,14),ROW()-1,FALSE))</x:f>
        <x:v>0</x:v>
      </x:c>
      <x:c r="J992">
        <x:f ca="1">IF(AND($B$1012=1,LEN($J$1964)&gt;0),$J$1964,HLOOKUP(INDIRECT(ADDRESS(2,COLUMN())),OFFSET($T$2,0,0,ROW()-1,14),ROW()-1,FALSE))</x:f>
        <x:v>0</x:v>
      </x:c>
      <x:c r="K992">
        <x:f ca="1">IF(AND($B$1012=1,LEN($K$1964)&gt;0),$K$1964,HLOOKUP(INDIRECT(ADDRESS(2,COLUMN())),OFFSET($T$2,0,0,ROW()-1,14),ROW()-1,FALSE))</x:f>
        <x:v>0</x:v>
      </x:c>
      <x:c r="L992">
        <x:f ca="1">IF(AND($B$1012=1,LEN($L$1964)&gt;0),$L$1964,HLOOKUP(INDIRECT(ADDRESS(2,COLUMN())),OFFSET($T$2,0,0,ROW()-1,14),ROW()-1,FALSE))</x:f>
        <x:v>0</x:v>
      </x:c>
      <x:c r="M992">
        <x:f ca="1">IF(AND($B$1012=1,LEN($M$1964)&gt;0),$M$1964,HLOOKUP(INDIRECT(ADDRESS(2,COLUMN())),OFFSET($T$2,0,0,ROW()-1,14),ROW()-1,FALSE))</x:f>
        <x:v>0</x:v>
      </x:c>
      <x:c r="N992">
        <x:f ca="1">IF(AND($B$1012=1,LEN($N$1964)&gt;0),$N$1964,HLOOKUP(INDIRECT(ADDRESS(2,COLUMN())),OFFSET($T$2,0,0,ROW()-1,14),ROW()-1,FALSE))</x:f>
        <x:v>0</x:v>
      </x:c>
      <x:c r="O992">
        <x:f ca="1">IF(AND($B$1012=1,LEN($O$1964)&gt;0),$O$1964,HLOOKUP(INDIRECT(ADDRESS(2,COLUMN())),OFFSET($T$2,0,0,ROW()-1,14),ROW()-1,FALSE))</x:f>
        <x:v>0</x:v>
      </x:c>
      <x:c r="P992">
        <x:f ca="1">IF(AND($B$1012=1,LEN($P$1964)&gt;0),$P$1964,HLOOKUP(INDIRECT(ADDRESS(2,COLUMN())),OFFSET($T$2,0,0,ROW()-1,14),ROW()-1,FALSE))</x:f>
        <x:v>0</x:v>
      </x:c>
      <x:c r="Q992">
        <x:f ca="1">IF(AND($B$1012=1,LEN($Q$1964)&gt;0),$Q$1964,HLOOKUP(INDIRECT(ADDRESS(2,COLUMN())),OFFSET($T$2,0,0,ROW()-1,14),ROW()-1,FALSE))</x:f>
        <x:v>0</x:v>
      </x:c>
      <x:c r="R992">
        <x:f ca="1">IF(AND($B$1012=1,LEN($R$1964)&gt;0),$R$1964,HLOOKUP(INDIRECT(ADDRESS(2,COLUMN())),OFFSET($T$2,0,0,ROW()-1,14),ROW()-1,FALSE))</x:f>
        <x:v>0</x:v>
      </x:c>
      <x:c r="S992">
        <x:f ca="1">IF(AND($B$1012=1,LEN($S$1964)&gt;0),$S$1964,HLOOKUP(INDIRECT(ADDRESS(2,COLUMN())),OFFSET($T$2,0,0,ROW()-1,14),ROW()-1,FALSE))</x:f>
        <x:v>0</x:v>
      </x:c>
      <x:c r="T992">
        <x:f>0</x:f>
        <x:v>0</x:v>
      </x:c>
      <x:c r="U992">
        <x:f>0</x:f>
        <x:v>0</x:v>
      </x:c>
      <x:c r="V992">
        <x:f>0</x:f>
        <x:v>0</x:v>
      </x:c>
      <x:c r="W992">
        <x:f>0</x:f>
        <x:v>0</x:v>
      </x:c>
      <x:c r="X992">
        <x:f>0</x:f>
        <x:v>0</x:v>
      </x:c>
      <x:c r="Y992">
        <x:f>0</x:f>
        <x:v>0</x:v>
      </x:c>
      <x:c r="Z992">
        <x:f>0</x:f>
        <x:v>0</x:v>
      </x:c>
      <x:c r="AA992">
        <x:f>0</x:f>
        <x:v>0</x:v>
      </x:c>
      <x:c r="AB992">
        <x:f>0</x:f>
        <x:v>0</x:v>
      </x:c>
      <x:c r="AC992">
        <x:f>0</x:f>
        <x:v>0</x:v>
      </x:c>
      <x:c r="AD992">
        <x:f>0</x:f>
        <x:v>0</x:v>
      </x:c>
      <x:c r="AE992">
        <x:f>0</x:f>
        <x:v>0</x:v>
      </x:c>
      <x:c r="AF992">
        <x:f>0</x:f>
        <x:v>0</x:v>
      </x:c>
      <x:c r="AG992">
        <x:f>0</x:f>
        <x:v>0</x:v>
      </x:c>
    </x:row>
    <x:row r="993" spans="1:33" x14ac:dyDescent="0.25">
      <x:c r="A993" t="str">
        <x:f>"            Fidelity Metaverse ETF"</x:f>
        <x:v xml:space="preserve">            Fidelity Metaverse ETF</x:v>
      </x:c>
      <x:c r="B993" t="str">
        <x:f>"FMET US Equity"</x:f>
        <x:v>FMET US Equity</x:v>
      </x:c>
      <x:c r="E993" t="str">
        <x:f t="shared" si="42"/>
        <x:v>Expression</x:v>
      </x:c>
      <x:c r="F993">
        <x:f ca="1">IF(AND($B$1012=1,LEN($F$1965)&gt;0),$F$1965,HLOOKUP(INDIRECT(ADDRESS(2,COLUMN())),OFFSET($T$2,0,0,ROW()-1,14),ROW()-1,FALSE))</x:f>
        <x:v>3.9741710000000001</x:v>
      </x:c>
      <x:c r="G993">
        <x:f ca="1">IF(AND($B$1012=1,LEN($G$1965)&gt;0),$G$1965,HLOOKUP(INDIRECT(ADDRESS(2,COLUMN())),OFFSET($T$2,0,0,ROW()-1,14),ROW()-1,FALSE))</x:f>
        <x:v>0</x:v>
      </x:c>
      <x:c r="H993">
        <x:f ca="1">IF(AND($B$1012=1,LEN($H$1965)&gt;0),$H$1965,HLOOKUP(INDIRECT(ADDRESS(2,COLUMN())),OFFSET($T$2,0,0,ROW()-1,14),ROW()-1,FALSE))</x:f>
        <x:v>7.9950000000000004E-3</x:v>
      </x:c>
      <x:c r="I993">
        <x:f ca="1">IF(AND($B$1012=1,LEN($I$1965)&gt;0),$I$1965,HLOOKUP(INDIRECT(ADDRESS(2,COLUMN())),OFFSET($T$2,0,0,ROW()-1,14),ROW()-1,FALSE))</x:f>
        <x:v>0</x:v>
      </x:c>
      <x:c r="J993">
        <x:f ca="1">IF(AND($B$1012=1,LEN($J$1965)&gt;0),$J$1965,HLOOKUP(INDIRECT(ADDRESS(2,COLUMN())),OFFSET($T$2,0,0,ROW()-1,14),ROW()-1,FALSE))</x:f>
        <x:v>1.3620699999999999</x:v>
      </x:c>
      <x:c r="K993">
        <x:f ca="1">IF(AND($B$1012=1,LEN($K$1965)&gt;0),$K$1965,HLOOKUP(INDIRECT(ADDRESS(2,COLUMN())),OFFSET($T$2,0,0,ROW()-1,14),ROW()-1,FALSE))</x:f>
        <x:v>1.2535810000000001</x:v>
      </x:c>
      <x:c r="L993">
        <x:f ca="1">IF(AND($B$1012=1,LEN($L$1965)&gt;0),$L$1965,HLOOKUP(INDIRECT(ADDRESS(2,COLUMN())),OFFSET($T$2,0,0,ROW()-1,14),ROW()-1,FALSE))</x:f>
        <x:v>0</x:v>
      </x:c>
      <x:c r="M993">
        <x:f ca="1">IF(AND($B$1012=1,LEN($M$1965)&gt;0),$M$1965,HLOOKUP(INDIRECT(ADDRESS(2,COLUMN())),OFFSET($T$2,0,0,ROW()-1,14),ROW()-1,FALSE))</x:f>
        <x:v>0</x:v>
      </x:c>
      <x:c r="N993">
        <x:f ca="1">IF(AND($B$1012=1,LEN($N$1965)&gt;0),$N$1965,HLOOKUP(INDIRECT(ADDRESS(2,COLUMN())),OFFSET($T$2,0,0,ROW()-1,14),ROW()-1,FALSE))</x:f>
        <x:v>0</x:v>
      </x:c>
      <x:c r="O993">
        <x:f ca="1">IF(AND($B$1012=1,LEN($O$1965)&gt;0),$O$1965,HLOOKUP(INDIRECT(ADDRESS(2,COLUMN())),OFFSET($T$2,0,0,ROW()-1,14),ROW()-1,FALSE))</x:f>
        <x:v>0</x:v>
      </x:c>
      <x:c r="P993">
        <x:f ca="1">IF(AND($B$1012=1,LEN($P$1965)&gt;0),$P$1965,HLOOKUP(INDIRECT(ADDRESS(2,COLUMN())),OFFSET($T$2,0,0,ROW()-1,14),ROW()-1,FALSE))</x:f>
        <x:v>0</x:v>
      </x:c>
      <x:c r="Q993">
        <x:f ca="1">IF(AND($B$1012=1,LEN($Q$1965)&gt;0),$Q$1965,HLOOKUP(INDIRECT(ADDRESS(2,COLUMN())),OFFSET($T$2,0,0,ROW()-1,14),ROW()-1,FALSE))</x:f>
        <x:v>0</x:v>
      </x:c>
      <x:c r="R993">
        <x:f ca="1">IF(AND($B$1012=1,LEN($R$1965)&gt;0),$R$1965,HLOOKUP(INDIRECT(ADDRESS(2,COLUMN())),OFFSET($T$2,0,0,ROW()-1,14),ROW()-1,FALSE))</x:f>
        <x:v>0</x:v>
      </x:c>
      <x:c r="S993">
        <x:f ca="1">IF(AND($B$1012=1,LEN($S$1965)&gt;0),$S$1965,HLOOKUP(INDIRECT(ADDRESS(2,COLUMN())),OFFSET($T$2,0,0,ROW()-1,14),ROW()-1,FALSE))</x:f>
        <x:v>0</x:v>
      </x:c>
      <x:c r="T993">
        <x:f>3.974171</x:f>
        <x:v>3.9741710000000001</x:v>
      </x:c>
      <x:c r="U993">
        <x:f>0</x:f>
        <x:v>0</x:v>
      </x:c>
      <x:c r="V993">
        <x:f>0.007995</x:f>
        <x:v>7.9950000000000004E-3</x:v>
      </x:c>
      <x:c r="W993">
        <x:f>0</x:f>
        <x:v>0</x:v>
      </x:c>
      <x:c r="X993">
        <x:f>1.36207</x:f>
        <x:v>1.3620699999999999</x:v>
      </x:c>
      <x:c r="Y993">
        <x:f>1.253581</x:f>
        <x:v>1.2535810000000001</x:v>
      </x:c>
      <x:c r="Z993">
        <x:f>0</x:f>
        <x:v>0</x:v>
      </x:c>
      <x:c r="AA993">
        <x:f>0</x:f>
        <x:v>0</x:v>
      </x:c>
      <x:c r="AB993">
        <x:f>0</x:f>
        <x:v>0</x:v>
      </x:c>
      <x:c r="AC993">
        <x:f>0</x:f>
        <x:v>0</x:v>
      </x:c>
      <x:c r="AD993">
        <x:f>0</x:f>
        <x:v>0</x:v>
      </x:c>
      <x:c r="AE993">
        <x:f>0</x:f>
        <x:v>0</x:v>
      </x:c>
      <x:c r="AF993">
        <x:f>0</x:f>
        <x:v>0</x:v>
      </x:c>
      <x:c r="AG993">
        <x:f>0</x:f>
        <x:v>0</x:v>
      </x:c>
    </x:row>
    <x:row r="994" spans="1:33" x14ac:dyDescent="0.25">
      <x:c r="A994" t="str">
        <x:f>"            iShares Future Metaverse Tech"</x:f>
        <x:v xml:space="preserve">            iShares Future Metaverse Tech</x:v>
      </x:c>
      <x:c r="B994" t="str">
        <x:f>"IVRS US Equity"</x:f>
        <x:v>IVRS US Equity</x:v>
      </x:c>
      <x:c r="E994" t="str">
        <x:f t="shared" si="42"/>
        <x:v>Expression</x:v>
      </x:c>
      <x:c r="F994">
        <x:f ca="1">IF(AND($B$1012=1,LEN($F$1966)&gt;0),$F$1966,HLOOKUP(INDIRECT(ADDRESS(2,COLUMN())),OFFSET($T$2,0,0,ROW()-1,14),ROW()-1,FALSE))</x:f>
        <x:v>0</x:v>
      </x:c>
      <x:c r="G994">
        <x:f ca="1">IF(AND($B$1012=1,LEN($G$1966)&gt;0),$G$1966,HLOOKUP(INDIRECT(ADDRESS(2,COLUMN())),OFFSET($T$2,0,0,ROW()-1,14),ROW()-1,FALSE))</x:f>
        <x:v>0</x:v>
      </x:c>
      <x:c r="H994">
        <x:f ca="1">IF(AND($B$1012=1,LEN($H$1966)&gt;0),$H$1966,HLOOKUP(INDIRECT(ADDRESS(2,COLUMN())),OFFSET($T$2,0,0,ROW()-1,14),ROW()-1,FALSE))</x:f>
        <x:v>0</x:v>
      </x:c>
      <x:c r="I994">
        <x:f ca="1">IF(AND($B$1012=1,LEN($I$1966)&gt;0),$I$1966,HLOOKUP(INDIRECT(ADDRESS(2,COLUMN())),OFFSET($T$2,0,0,ROW()-1,14),ROW()-1,FALSE))</x:f>
        <x:v>0</x:v>
      </x:c>
      <x:c r="J994">
        <x:f ca="1">IF(AND($B$1012=1,LEN($J$1966)&gt;0),$J$1966,HLOOKUP(INDIRECT(ADDRESS(2,COLUMN())),OFFSET($T$2,0,0,ROW()-1,14),ROW()-1,FALSE))</x:f>
        <x:v>0</x:v>
      </x:c>
      <x:c r="K994">
        <x:f ca="1">IF(AND($B$1012=1,LEN($K$1966)&gt;0),$K$1966,HLOOKUP(INDIRECT(ADDRESS(2,COLUMN())),OFFSET($T$2,0,0,ROW()-1,14),ROW()-1,FALSE))</x:f>
        <x:v>0</x:v>
      </x:c>
      <x:c r="L994">
        <x:f ca="1">IF(AND($B$1012=1,LEN($L$1966)&gt;0),$L$1966,HLOOKUP(INDIRECT(ADDRESS(2,COLUMN())),OFFSET($T$2,0,0,ROW()-1,14),ROW()-1,FALSE))</x:f>
        <x:v>0</x:v>
      </x:c>
      <x:c r="M994">
        <x:f ca="1">IF(AND($B$1012=1,LEN($M$1966)&gt;0),$M$1966,HLOOKUP(INDIRECT(ADDRESS(2,COLUMN())),OFFSET($T$2,0,0,ROW()-1,14),ROW()-1,FALSE))</x:f>
        <x:v>0</x:v>
      </x:c>
      <x:c r="N994">
        <x:f ca="1">IF(AND($B$1012=1,LEN($N$1966)&gt;0),$N$1966,HLOOKUP(INDIRECT(ADDRESS(2,COLUMN())),OFFSET($T$2,0,0,ROW()-1,14),ROW()-1,FALSE))</x:f>
        <x:v>0</x:v>
      </x:c>
      <x:c r="O994">
        <x:f ca="1">IF(AND($B$1012=1,LEN($O$1966)&gt;0),$O$1966,HLOOKUP(INDIRECT(ADDRESS(2,COLUMN())),OFFSET($T$2,0,0,ROW()-1,14),ROW()-1,FALSE))</x:f>
        <x:v>0</x:v>
      </x:c>
      <x:c r="P994" t="str">
        <x:f ca="1">IF(AND($B$1012=1,LEN($P$1966)&gt;0),$P$1966,HLOOKUP(INDIRECT(ADDRESS(2,COLUMN())),OFFSET($T$2,0,0,ROW()-1,14),ROW()-1,FALSE))</x:f>
        <x:v/>
      </x:c>
      <x:c r="Q994" t="str">
        <x:f ca="1">IF(AND($B$1012=1,LEN($Q$1966)&gt;0),$Q$1966,HLOOKUP(INDIRECT(ADDRESS(2,COLUMN())),OFFSET($T$2,0,0,ROW()-1,14),ROW()-1,FALSE))</x:f>
        <x:v/>
      </x:c>
      <x:c r="R994" t="str">
        <x:f ca="1">IF(AND($B$1012=1,LEN($R$1966)&gt;0),$R$1966,HLOOKUP(INDIRECT(ADDRESS(2,COLUMN())),OFFSET($T$2,0,0,ROW()-1,14),ROW()-1,FALSE))</x:f>
        <x:v/>
      </x:c>
      <x:c r="S994" t="str">
        <x:f ca="1">IF(AND($B$1012=1,LEN($S$1966)&gt;0),$S$1966,HLOOKUP(INDIRECT(ADDRESS(2,COLUMN())),OFFSET($T$2,0,0,ROW()-1,14),ROW()-1,FALSE))</x:f>
        <x:v/>
      </x:c>
      <x:c r="T994">
        <x:f>0</x:f>
        <x:v>0</x:v>
      </x:c>
      <x:c r="U994">
        <x:f>0</x:f>
        <x:v>0</x:v>
      </x:c>
      <x:c r="V994">
        <x:f>0</x:f>
        <x:v>0</x:v>
      </x:c>
      <x:c r="W994">
        <x:f>0</x:f>
        <x:v>0</x:v>
      </x:c>
      <x:c r="X994">
        <x:f>0</x:f>
        <x:v>0</x:v>
      </x:c>
      <x:c r="Y994">
        <x:f>0</x:f>
        <x:v>0</x:v>
      </x:c>
      <x:c r="Z994">
        <x:f>0</x:f>
        <x:v>0</x:v>
      </x:c>
      <x:c r="AA994">
        <x:f>0</x:f>
        <x:v>0</x:v>
      </x:c>
      <x:c r="AB994">
        <x:f>0</x:f>
        <x:v>0</x:v>
      </x:c>
      <x:c r="AC994">
        <x:f>0</x:f>
        <x:v>0</x:v>
      </x:c>
      <x:c r="AD994" t="str">
        <x:f>""</x:f>
        <x:v/>
      </x:c>
      <x:c r="AE994" t="str">
        <x:f>""</x:f>
        <x:v/>
      </x:c>
      <x:c r="AF994" t="str">
        <x:f>""</x:f>
        <x:v/>
      </x:c>
      <x:c r="AG994" t="str">
        <x:f>""</x:f>
        <x:v/>
      </x:c>
    </x:row>
    <x:row r="995" spans="1:33" x14ac:dyDescent="0.25">
      <x:c r="A995" t="str">
        <x:f>"            Proshares Metaverse ETF"</x:f>
        <x:v xml:space="preserve">            Proshares Metaverse ETF</x:v>
      </x:c>
      <x:c r="B995" t="str">
        <x:f>"VERS US Equity"</x:f>
        <x:v>VERS US Equity</x:v>
      </x:c>
      <x:c r="E995" t="str">
        <x:f t="shared" si="42"/>
        <x:v>Expression</x:v>
      </x:c>
      <x:c r="F995">
        <x:f ca="1">IF(AND($B$1012=1,LEN($F$1967)&gt;0),$F$1967,HLOOKUP(INDIRECT(ADDRESS(2,COLUMN())),OFFSET($T$2,0,0,ROW()-1,14),ROW()-1,FALSE))</x:f>
        <x:v>0</x:v>
      </x:c>
      <x:c r="G995">
        <x:f ca="1">IF(AND($B$1012=1,LEN($G$1967)&gt;0),$G$1967,HLOOKUP(INDIRECT(ADDRESS(2,COLUMN())),OFFSET($T$2,0,0,ROW()-1,14),ROW()-1,FALSE))</x:f>
        <x:v>0</x:v>
      </x:c>
      <x:c r="H995">
        <x:f ca="1">IF(AND($B$1012=1,LEN($H$1967)&gt;0),$H$1967,HLOOKUP(INDIRECT(ADDRESS(2,COLUMN())),OFFSET($T$2,0,0,ROW()-1,14),ROW()-1,FALSE))</x:f>
        <x:v>0</x:v>
      </x:c>
      <x:c r="I995">
        <x:f ca="1">IF(AND($B$1012=1,LEN($I$1967)&gt;0),$I$1967,HLOOKUP(INDIRECT(ADDRESS(2,COLUMN())),OFFSET($T$2,0,0,ROW()-1,14),ROW()-1,FALSE))</x:f>
        <x:v>0</x:v>
      </x:c>
      <x:c r="J995">
        <x:f ca="1">IF(AND($B$1012=1,LEN($J$1967)&gt;0),$J$1967,HLOOKUP(INDIRECT(ADDRESS(2,COLUMN())),OFFSET($T$2,0,0,ROW()-1,14),ROW()-1,FALSE))</x:f>
        <x:v>0</x:v>
      </x:c>
      <x:c r="K995">
        <x:f ca="1">IF(AND($B$1012=1,LEN($K$1967)&gt;0),$K$1967,HLOOKUP(INDIRECT(ADDRESS(2,COLUMN())),OFFSET($T$2,0,0,ROW()-1,14),ROW()-1,FALSE))</x:f>
        <x:v>0</x:v>
      </x:c>
      <x:c r="L995">
        <x:f ca="1">IF(AND($B$1012=1,LEN($L$1967)&gt;0),$L$1967,HLOOKUP(INDIRECT(ADDRESS(2,COLUMN())),OFFSET($T$2,0,0,ROW()-1,14),ROW()-1,FALSE))</x:f>
        <x:v>0</x:v>
      </x:c>
      <x:c r="M995">
        <x:f ca="1">IF(AND($B$1012=1,LEN($M$1967)&gt;0),$M$1967,HLOOKUP(INDIRECT(ADDRESS(2,COLUMN())),OFFSET($T$2,0,0,ROW()-1,14),ROW()-1,FALSE))</x:f>
        <x:v>-0.66488000000000003</x:v>
      </x:c>
      <x:c r="N995">
        <x:f ca="1">IF(AND($B$1012=1,LEN($N$1967)&gt;0),$N$1967,HLOOKUP(INDIRECT(ADDRESS(2,COLUMN())),OFFSET($T$2,0,0,ROW()-1,14),ROW()-1,FALSE))</x:f>
        <x:v>0</x:v>
      </x:c>
      <x:c r="O995">
        <x:f ca="1">IF(AND($B$1012=1,LEN($O$1967)&gt;0),$O$1967,HLOOKUP(INDIRECT(ADDRESS(2,COLUMN())),OFFSET($T$2,0,0,ROW()-1,14),ROW()-1,FALSE))</x:f>
        <x:v>0</x:v>
      </x:c>
      <x:c r="P995">
        <x:f ca="1">IF(AND($B$1012=1,LEN($P$1967)&gt;0),$P$1967,HLOOKUP(INDIRECT(ADDRESS(2,COLUMN())),OFFSET($T$2,0,0,ROW()-1,14),ROW()-1,FALSE))</x:f>
        <x:v>0</x:v>
      </x:c>
      <x:c r="Q995">
        <x:f ca="1">IF(AND($B$1012=1,LEN($Q$1967)&gt;0),$Q$1967,HLOOKUP(INDIRECT(ADDRESS(2,COLUMN())),OFFSET($T$2,0,0,ROW()-1,14),ROW()-1,FALSE))</x:f>
        <x:v>0</x:v>
      </x:c>
      <x:c r="R995">
        <x:f ca="1">IF(AND($B$1012=1,LEN($R$1967)&gt;0),$R$1967,HLOOKUP(INDIRECT(ADDRESS(2,COLUMN())),OFFSET($T$2,0,0,ROW()-1,14),ROW()-1,FALSE))</x:f>
        <x:v>0</x:v>
      </x:c>
      <x:c r="S995">
        <x:f ca="1">IF(AND($B$1012=1,LEN($S$1967)&gt;0),$S$1967,HLOOKUP(INDIRECT(ADDRESS(2,COLUMN())),OFFSET($T$2,0,0,ROW()-1,14),ROW()-1,FALSE))</x:f>
        <x:v>0</x:v>
      </x:c>
      <x:c r="T995">
        <x:f>0</x:f>
        <x:v>0</x:v>
      </x:c>
      <x:c r="U995">
        <x:f>0</x:f>
        <x:v>0</x:v>
      </x:c>
      <x:c r="V995">
        <x:f>0</x:f>
        <x:v>0</x:v>
      </x:c>
      <x:c r="W995">
        <x:f>0</x:f>
        <x:v>0</x:v>
      </x:c>
      <x:c r="X995">
        <x:f>0</x:f>
        <x:v>0</x:v>
      </x:c>
      <x:c r="Y995">
        <x:f>0</x:f>
        <x:v>0</x:v>
      </x:c>
      <x:c r="Z995">
        <x:f>0</x:f>
        <x:v>0</x:v>
      </x:c>
      <x:c r="AA995">
        <x:f>-0.66488</x:f>
        <x:v>-0.66488000000000003</x:v>
      </x:c>
      <x:c r="AB995">
        <x:f>0</x:f>
        <x:v>0</x:v>
      </x:c>
      <x:c r="AC995">
        <x:f>0</x:f>
        <x:v>0</x:v>
      </x:c>
      <x:c r="AD995">
        <x:f>0</x:f>
        <x:v>0</x:v>
      </x:c>
      <x:c r="AE995">
        <x:f>0</x:f>
        <x:v>0</x:v>
      </x:c>
      <x:c r="AF995">
        <x:f>0</x:f>
        <x:v>0</x:v>
      </x:c>
      <x:c r="AG995">
        <x:f>0</x:f>
        <x:v>0</x:v>
      </x:c>
    </x:row>
    <x:row r="996" spans="1:33" x14ac:dyDescent="0.25">
      <x:c r="A996" t="str">
        <x:f>"3/24/2023  - Tickers listed after this date not yet included"</x:f>
        <x:v>3/24/2023  - Tickers listed after this date not yet included</x:v>
      </x:c>
      <x:c r="B996" t="str">
        <x:f>""</x:f>
        <x:v/>
      </x:c>
      <x:c r="E996" t="str">
        <x:f>"Heading"</x:f>
        <x:v>Heading</x:v>
      </x:c>
      <x:c r="T996" t="str">
        <x:f>""</x:f>
        <x:v/>
      </x:c>
      <x:c r="U996" t="str">
        <x:f>""</x:f>
        <x:v/>
      </x:c>
      <x:c r="V996" t="str">
        <x:f>""</x:f>
        <x:v/>
      </x:c>
      <x:c r="W996" t="str">
        <x:f>""</x:f>
        <x:v/>
      </x:c>
      <x:c r="X996" t="str">
        <x:f>""</x:f>
        <x:v/>
      </x:c>
      <x:c r="Y996" t="str">
        <x:f>""</x:f>
        <x:v/>
      </x:c>
      <x:c r="Z996" t="str">
        <x:f>""</x:f>
        <x:v/>
      </x:c>
      <x:c r="AA996" t="str">
        <x:f>""</x:f>
        <x:v/>
      </x:c>
      <x:c r="AB996" t="str">
        <x:f>""</x:f>
        <x:v/>
      </x:c>
      <x:c r="AC996" t="str">
        <x:f>""</x:f>
        <x:v/>
      </x:c>
      <x:c r="AD996" t="str">
        <x:f>""</x:f>
        <x:v/>
      </x:c>
      <x:c r="AE996" t="str">
        <x:f>""</x:f>
        <x:v/>
      </x:c>
      <x:c r="AF996" t="str">
        <x:f>""</x:f>
        <x:v/>
      </x:c>
      <x:c r="AG996" t="str">
        <x:f>""</x:f>
        <x:v/>
      </x:c>
    </x:row>
    <x:row r="997" spans="1:33" x14ac:dyDescent="0.25">
      <x:c r="T997" t="str">
        <x:f>""</x:f>
        <x:v/>
      </x:c>
      <x:c r="U997" t="str">
        <x:f>""</x:f>
        <x:v/>
      </x:c>
      <x:c r="V997" t="str">
        <x:f>""</x:f>
        <x:v/>
      </x:c>
      <x:c r="W997" t="str">
        <x:f>""</x:f>
        <x:v/>
      </x:c>
      <x:c r="X997" t="str">
        <x:f>""</x:f>
        <x:v/>
      </x:c>
      <x:c r="Y997" t="str">
        <x:f>""</x:f>
        <x:v/>
      </x:c>
      <x:c r="Z997" t="str">
        <x:f>""</x:f>
        <x:v/>
      </x:c>
      <x:c r="AA997" t="str">
        <x:f>""</x:f>
        <x:v/>
      </x:c>
      <x:c r="AB997" t="str">
        <x:f>""</x:f>
        <x:v/>
      </x:c>
      <x:c r="AC997" t="str">
        <x:f>""</x:f>
        <x:v/>
      </x:c>
      <x:c r="AD997" t="str">
        <x:f>""</x:f>
        <x:v/>
      </x:c>
      <x:c r="AE997" t="str">
        <x:f>""</x:f>
        <x:v/>
      </x:c>
      <x:c r="AF997" t="str">
        <x:f>""</x:f>
        <x:v/>
      </x:c>
      <x:c r="AG997" t="str">
        <x:f>""</x:f>
        <x:v/>
      </x:c>
    </x:row>
    <x:row r="998" spans="1:33" x14ac:dyDescent="0.25">
      <x:c r="T998" t="str">
        <x:f>""</x:f>
        <x:v/>
      </x:c>
      <x:c r="U998" t="str">
        <x:f>""</x:f>
        <x:v/>
      </x:c>
      <x:c r="V998" t="str">
        <x:f>""</x:f>
        <x:v/>
      </x:c>
      <x:c r="W998" t="str">
        <x:f>""</x:f>
        <x:v/>
      </x:c>
      <x:c r="X998" t="str">
        <x:f>""</x:f>
        <x:v/>
      </x:c>
      <x:c r="Y998" t="str">
        <x:f>""</x:f>
        <x:v/>
      </x:c>
      <x:c r="Z998" t="str">
        <x:f>""</x:f>
        <x:v/>
      </x:c>
      <x:c r="AA998" t="str">
        <x:f>""</x:f>
        <x:v/>
      </x:c>
      <x:c r="AB998" t="str">
        <x:f>""</x:f>
        <x:v/>
      </x:c>
      <x:c r="AC998" t="str">
        <x:f>""</x:f>
        <x:v/>
      </x:c>
      <x:c r="AD998" t="str">
        <x:f>""</x:f>
        <x:v/>
      </x:c>
      <x:c r="AE998" t="str">
        <x:f>""</x:f>
        <x:v/>
      </x:c>
      <x:c r="AF998" t="str">
        <x:f>""</x:f>
        <x:v/>
      </x:c>
      <x:c r="AG998" t="str">
        <x:f>""</x:f>
        <x:v/>
      </x:c>
    </x:row>
    <x:row r="999" spans="1:33" x14ac:dyDescent="0.25">
      <x:c r="T999" t="str">
        <x:f>""</x:f>
        <x:v/>
      </x:c>
      <x:c r="U999" t="str">
        <x:f>""</x:f>
        <x:v/>
      </x:c>
      <x:c r="V999" t="str">
        <x:f>""</x:f>
        <x:v/>
      </x:c>
      <x:c r="W999" t="str">
        <x:f>""</x:f>
        <x:v/>
      </x:c>
      <x:c r="X999" t="str">
        <x:f>""</x:f>
        <x:v/>
      </x:c>
      <x:c r="Y999" t="str">
        <x:f>""</x:f>
        <x:v/>
      </x:c>
      <x:c r="Z999" t="str">
        <x:f>""</x:f>
        <x:v/>
      </x:c>
      <x:c r="AA999" t="str">
        <x:f>""</x:f>
        <x:v/>
      </x:c>
      <x:c r="AB999" t="str">
        <x:f>""</x:f>
        <x:v/>
      </x:c>
      <x:c r="AC999" t="str">
        <x:f>""</x:f>
        <x:v/>
      </x:c>
      <x:c r="AD999" t="str">
        <x:f>""</x:f>
        <x:v/>
      </x:c>
      <x:c r="AE999" t="str">
        <x:f>""</x:f>
        <x:v/>
      </x:c>
      <x:c r="AF999" t="str">
        <x:f>""</x:f>
        <x:v/>
      </x:c>
      <x:c r="AG999" t="str">
        <x:f>""</x:f>
        <x:v/>
      </x:c>
    </x:row>
    <x:row r="1000" spans="1:33" x14ac:dyDescent="0.25">
      <x:c r="T1000" t="str">
        <x:f>""</x:f>
        <x:v/>
      </x:c>
      <x:c r="U1000" t="str">
        <x:f>""</x:f>
        <x:v/>
      </x:c>
      <x:c r="V1000" t="str">
        <x:f>""</x:f>
        <x:v/>
      </x:c>
      <x:c r="W1000" t="str">
        <x:f>""</x:f>
        <x:v/>
      </x:c>
      <x:c r="X1000" t="str">
        <x:f>""</x:f>
        <x:v/>
      </x:c>
      <x:c r="Y1000" t="str">
        <x:f>""</x:f>
        <x:v/>
      </x:c>
      <x:c r="Z1000" t="str">
        <x:f>""</x:f>
        <x:v/>
      </x:c>
      <x:c r="AA1000" t="str">
        <x:f>""</x:f>
        <x:v/>
      </x:c>
      <x:c r="AB1000" t="str">
        <x:f>""</x:f>
        <x:v/>
      </x:c>
      <x:c r="AC1000" t="str">
        <x:f>""</x:f>
        <x:v/>
      </x:c>
      <x:c r="AD1000" t="str">
        <x:f>""</x:f>
        <x:v/>
      </x:c>
      <x:c r="AE1000" t="str">
        <x:f>""</x:f>
        <x:v/>
      </x:c>
      <x:c r="AF1000" t="str">
        <x:f>""</x:f>
        <x:v/>
      </x:c>
      <x:c r="AG1000" t="str">
        <x:f>""</x:f>
        <x:v/>
      </x:c>
    </x:row>
    <x:row r="1001" spans="1:33" x14ac:dyDescent="0.25">
      <x:c r="T1001" t="str">
        <x:f>""</x:f>
        <x:v/>
      </x:c>
      <x:c r="U1001" t="str">
        <x:f>""</x:f>
        <x:v/>
      </x:c>
      <x:c r="V1001" t="str">
        <x:f>""</x:f>
        <x:v/>
      </x:c>
      <x:c r="W1001" t="str">
        <x:f>""</x:f>
        <x:v/>
      </x:c>
      <x:c r="X1001" t="str">
        <x:f>""</x:f>
        <x:v/>
      </x:c>
      <x:c r="Y1001" t="str">
        <x:f>""</x:f>
        <x:v/>
      </x:c>
      <x:c r="Z1001" t="str">
        <x:f>""</x:f>
        <x:v/>
      </x:c>
      <x:c r="AA1001" t="str">
        <x:f>""</x:f>
        <x:v/>
      </x:c>
      <x:c r="AB1001" t="str">
        <x:f>""</x:f>
        <x:v/>
      </x:c>
      <x:c r="AC1001" t="str">
        <x:f>""</x:f>
        <x:v/>
      </x:c>
      <x:c r="AD1001" t="str">
        <x:f>""</x:f>
        <x:v/>
      </x:c>
      <x:c r="AE1001" t="str">
        <x:f>""</x:f>
        <x:v/>
      </x:c>
      <x:c r="AF1001" t="str">
        <x:f>""</x:f>
        <x:v/>
      </x:c>
      <x:c r="AG1001" t="str">
        <x:f>""</x:f>
        <x:v/>
      </x:c>
    </x:row>
    <x:row r="1002" spans="1:33" x14ac:dyDescent="0.25">
      <x:c r="T1002" t="str">
        <x:f>""</x:f>
        <x:v/>
      </x:c>
      <x:c r="U1002" t="str">
        <x:f>""</x:f>
        <x:v/>
      </x:c>
      <x:c r="V1002" t="str">
        <x:f>""</x:f>
        <x:v/>
      </x:c>
      <x:c r="W1002" t="str">
        <x:f>""</x:f>
        <x:v/>
      </x:c>
      <x:c r="X1002" t="str">
        <x:f>""</x:f>
        <x:v/>
      </x:c>
      <x:c r="Y1002" t="str">
        <x:f>""</x:f>
        <x:v/>
      </x:c>
      <x:c r="Z1002" t="str">
        <x:f>""</x:f>
        <x:v/>
      </x:c>
      <x:c r="AA1002" t="str">
        <x:f>""</x:f>
        <x:v/>
      </x:c>
      <x:c r="AB1002" t="str">
        <x:f>""</x:f>
        <x:v/>
      </x:c>
      <x:c r="AC1002" t="str">
        <x:f>""</x:f>
        <x:v/>
      </x:c>
      <x:c r="AD1002" t="str">
        <x:f>""</x:f>
        <x:v/>
      </x:c>
      <x:c r="AE1002" t="str">
        <x:f>""</x:f>
        <x:v/>
      </x:c>
      <x:c r="AF1002" t="str">
        <x:f>""</x:f>
        <x:v/>
      </x:c>
      <x:c r="AG1002" t="str">
        <x:f>""</x:f>
        <x:v/>
      </x:c>
    </x:row>
    <x:row r="1003" spans="1:33" x14ac:dyDescent="0.25">
      <x:c r="T1003" t="str">
        <x:f>""</x:f>
        <x:v/>
      </x:c>
      <x:c r="U1003" t="str">
        <x:f>""</x:f>
        <x:v/>
      </x:c>
      <x:c r="V1003" t="str">
        <x:f>""</x:f>
        <x:v/>
      </x:c>
      <x:c r="W1003" t="str">
        <x:f>""</x:f>
        <x:v/>
      </x:c>
      <x:c r="X1003" t="str">
        <x:f>""</x:f>
        <x:v/>
      </x:c>
      <x:c r="Y1003" t="str">
        <x:f>""</x:f>
        <x:v/>
      </x:c>
      <x:c r="Z1003" t="str">
        <x:f>""</x:f>
        <x:v/>
      </x:c>
      <x:c r="AA1003" t="str">
        <x:f>""</x:f>
        <x:v/>
      </x:c>
      <x:c r="AB1003" t="str">
        <x:f>""</x:f>
        <x:v/>
      </x:c>
      <x:c r="AC1003" t="str">
        <x:f>""</x:f>
        <x:v/>
      </x:c>
      <x:c r="AD1003" t="str">
        <x:f>""</x:f>
        <x:v/>
      </x:c>
      <x:c r="AE1003" t="str">
        <x:f>""</x:f>
        <x:v/>
      </x:c>
      <x:c r="AF1003" t="str">
        <x:f>""</x:f>
        <x:v/>
      </x:c>
      <x:c r="AG1003" t="str">
        <x:f>""</x:f>
        <x:v/>
      </x:c>
    </x:row>
    <x:row r="1004" spans="1:33" x14ac:dyDescent="0.25">
      <x:c r="A1004" t="str">
        <x:f t="shared" ref="A1004:S1004" si="43">"~~~~~~~~~~"</x:f>
        <x:v>~~~~~~~~~~</x:v>
      </x:c>
      <x:c r="B1004" t="str">
        <x:f t="shared" si="43"/>
        <x:v>~~~~~~~~~~</x:v>
      </x:c>
      <x:c r="C1004" t="str">
        <x:f t="shared" si="43"/>
        <x:v>~~~~~~~~~~</x:v>
      </x:c>
      <x:c r="D1004" t="str">
        <x:f t="shared" si="43"/>
        <x:v>~~~~~~~~~~</x:v>
      </x:c>
      <x:c r="E1004" t="str">
        <x:f t="shared" si="43"/>
        <x:v>~~~~~~~~~~</x:v>
      </x:c>
      <x:c r="F1004" t="str">
        <x:f t="shared" si="43"/>
        <x:v>~~~~~~~~~~</x:v>
      </x:c>
      <x:c r="G1004" t="str">
        <x:f t="shared" si="43"/>
        <x:v>~~~~~~~~~~</x:v>
      </x:c>
      <x:c r="H1004" t="str">
        <x:f t="shared" si="43"/>
        <x:v>~~~~~~~~~~</x:v>
      </x:c>
      <x:c r="I1004" t="str">
        <x:f t="shared" si="43"/>
        <x:v>~~~~~~~~~~</x:v>
      </x:c>
      <x:c r="J1004" t="str">
        <x:f t="shared" si="43"/>
        <x:v>~~~~~~~~~~</x:v>
      </x:c>
      <x:c r="K1004" t="str">
        <x:f t="shared" si="43"/>
        <x:v>~~~~~~~~~~</x:v>
      </x:c>
      <x:c r="L1004" t="str">
        <x:f t="shared" si="43"/>
        <x:v>~~~~~~~~~~</x:v>
      </x:c>
      <x:c r="M1004" t="str">
        <x:f t="shared" si="43"/>
        <x:v>~~~~~~~~~~</x:v>
      </x:c>
      <x:c r="N1004" t="str">
        <x:f t="shared" si="43"/>
        <x:v>~~~~~~~~~~</x:v>
      </x:c>
      <x:c r="O1004" t="str">
        <x:f t="shared" si="43"/>
        <x:v>~~~~~~~~~~</x:v>
      </x:c>
      <x:c r="P1004" t="str">
        <x:f t="shared" si="43"/>
        <x:v>~~~~~~~~~~</x:v>
      </x:c>
      <x:c r="Q1004" t="str">
        <x:f t="shared" si="43"/>
        <x:v>~~~~~~~~~~</x:v>
      </x:c>
      <x:c r="R1004" t="str">
        <x:f t="shared" si="43"/>
        <x:v>~~~~~~~~~~</x:v>
      </x:c>
      <x:c r="S1004" t="str">
        <x:f t="shared" si="43"/>
        <x:v>~~~~~~~~~~</x:v>
      </x:c>
      <x:c r="T1004" t="str">
        <x:f>""</x:f>
        <x:v/>
      </x:c>
      <x:c r="U1004" t="str">
        <x:f>""</x:f>
        <x:v/>
      </x:c>
      <x:c r="V1004" t="str">
        <x:f>""</x:f>
        <x:v/>
      </x:c>
      <x:c r="W1004" t="str">
        <x:f>""</x:f>
        <x:v/>
      </x:c>
      <x:c r="X1004" t="str">
        <x:f>""</x:f>
        <x:v/>
      </x:c>
      <x:c r="Y1004" t="str">
        <x:f>""</x:f>
        <x:v/>
      </x:c>
      <x:c r="Z1004" t="str">
        <x:f>""</x:f>
        <x:v/>
      </x:c>
      <x:c r="AA1004" t="str">
        <x:f>""</x:f>
        <x:v/>
      </x:c>
      <x:c r="AB1004" t="str">
        <x:f>""</x:f>
        <x:v/>
      </x:c>
      <x:c r="AC1004" t="str">
        <x:f>""</x:f>
        <x:v/>
      </x:c>
      <x:c r="AD1004" t="str">
        <x:f>""</x:f>
        <x:v/>
      </x:c>
      <x:c r="AE1004" t="str">
        <x:f>""</x:f>
        <x:v/>
      </x:c>
      <x:c r="AF1004" t="str">
        <x:f>""</x:f>
        <x:v/>
      </x:c>
      <x:c r="AG1004" t="str">
        <x:f>""</x:f>
        <x:v/>
      </x:c>
    </x:row>
    <x:row r="1005" spans="1:33" x14ac:dyDescent="0.25">
      <x:c r="A1005" t="str">
        <x:f>"All rows below have been added for reference by formula rows above."</x:f>
        <x:v>All rows below have been added for reference by formula rows above.</x:v>
      </x:c>
      <x:c r="T1005" t="str">
        <x:f>""</x:f>
        <x:v/>
      </x:c>
      <x:c r="U1005" t="str">
        <x:f>""</x:f>
        <x:v/>
      </x:c>
      <x:c r="V1005" t="str">
        <x:f>""</x:f>
        <x:v/>
      </x:c>
      <x:c r="W1005" t="str">
        <x:f>""</x:f>
        <x:v/>
      </x:c>
      <x:c r="X1005" t="str">
        <x:f>""</x:f>
        <x:v/>
      </x:c>
      <x:c r="Y1005" t="str">
        <x:f>""</x:f>
        <x:v/>
      </x:c>
      <x:c r="Z1005" t="str">
        <x:f>""</x:f>
        <x:v/>
      </x:c>
      <x:c r="AA1005" t="str">
        <x:f>""</x:f>
        <x:v/>
      </x:c>
      <x:c r="AB1005" t="str">
        <x:f>""</x:f>
        <x:v/>
      </x:c>
      <x:c r="AC1005" t="str">
        <x:f>""</x:f>
        <x:v/>
      </x:c>
      <x:c r="AD1005" t="str">
        <x:f>""</x:f>
        <x:v/>
      </x:c>
      <x:c r="AE1005" t="str">
        <x:f>""</x:f>
        <x:v/>
      </x:c>
      <x:c r="AF1005" t="str">
        <x:f>""</x:f>
        <x:v/>
      </x:c>
      <x:c r="AG1005" t="str">
        <x:f>""</x:f>
        <x:v/>
      </x:c>
    </x:row>
    <x:row r="1006" spans="1:33" x14ac:dyDescent="0.25">
      <x:c r="A1006">
        <x:f>RTD("bloomberg.ccyreader", "", "#track", "DBG", "BIHITX", "1.0","RepeatHit")</x:f>
        <x:v>0</x:v>
      </x:c>
      <x:c r="T1006" t="str">
        <x:f>""</x:f>
        <x:v/>
      </x:c>
      <x:c r="U1006" t="str">
        <x:f>""</x:f>
        <x:v/>
      </x:c>
      <x:c r="V1006" t="str">
        <x:f>""</x:f>
        <x:v/>
      </x:c>
      <x:c r="W1006" t="str">
        <x:f>""</x:f>
        <x:v/>
      </x:c>
      <x:c r="X1006" t="str">
        <x:f>""</x:f>
        <x:v/>
      </x:c>
      <x:c r="Y1006" t="str">
        <x:f>""</x:f>
        <x:v/>
      </x:c>
      <x:c r="Z1006" t="str">
        <x:f>""</x:f>
        <x:v/>
      </x:c>
      <x:c r="AA1006" t="str">
        <x:f>""</x:f>
        <x:v/>
      </x:c>
      <x:c r="AB1006" t="str">
        <x:f>""</x:f>
        <x:v/>
      </x:c>
      <x:c r="AC1006" t="str">
        <x:f>""</x:f>
        <x:v/>
      </x:c>
      <x:c r="AD1006" t="str">
        <x:f>""</x:f>
        <x:v/>
      </x:c>
      <x:c r="AE1006" t="str">
        <x:f>""</x:f>
        <x:v/>
      </x:c>
      <x:c r="AF1006" t="str">
        <x:f>""</x:f>
        <x:v/>
      </x:c>
      <x:c r="AG1006" t="str">
        <x:f>""</x:f>
        <x:v/>
      </x:c>
    </x:row>
    <x:row r="1007" spans="1:33" x14ac:dyDescent="0.25">
      <x:c r="A1007" t="str">
        <x:f>"Currency"</x:f>
        <x:v>Currency</x:v>
      </x:c>
      <x:c r="B1007" t="str">
        <x:f>"USD"</x:f>
        <x:v>USD</x:v>
      </x:c>
      <x:c r="T1007" t="str">
        <x:f>""</x:f>
        <x:v/>
      </x:c>
      <x:c r="U1007" t="str">
        <x:f>""</x:f>
        <x:v/>
      </x:c>
      <x:c r="V1007" t="str">
        <x:f>""</x:f>
        <x:v/>
      </x:c>
      <x:c r="W1007" t="str">
        <x:f>""</x:f>
        <x:v/>
      </x:c>
      <x:c r="X1007" t="str">
        <x:f>""</x:f>
        <x:v/>
      </x:c>
      <x:c r="Y1007" t="str">
        <x:f>""</x:f>
        <x:v/>
      </x:c>
      <x:c r="Z1007" t="str">
        <x:f>""</x:f>
        <x:v/>
      </x:c>
      <x:c r="AA1007" t="str">
        <x:f>""</x:f>
        <x:v/>
      </x:c>
      <x:c r="AB1007" t="str">
        <x:f>""</x:f>
        <x:v/>
      </x:c>
      <x:c r="AC1007" t="str">
        <x:f>""</x:f>
        <x:v/>
      </x:c>
      <x:c r="AD1007" t="str">
        <x:f>""</x:f>
        <x:v/>
      </x:c>
      <x:c r="AE1007" t="str">
        <x:f>""</x:f>
        <x:v/>
      </x:c>
      <x:c r="AF1007" t="str">
        <x:f>""</x:f>
        <x:v/>
      </x:c>
      <x:c r="AG1007" t="str">
        <x:f>""</x:f>
        <x:v/>
      </x:c>
    </x:row>
    <x:row r="1008" spans="1:33" x14ac:dyDescent="0.25">
      <x:c r="A1008" t="str">
        <x:f>"Periodicity"</x:f>
        <x:v>Periodicity</x:v>
      </x:c>
      <x:c r="B1008" t="str">
        <x:f>"CM"</x:f>
        <x:v>CM</x:v>
      </x:c>
      <x:c r="C1008" t="str">
        <x:f>"AM"</x:f>
        <x:v>AM</x:v>
      </x:c>
      <x:c r="T1008" t="str">
        <x:f>""</x:f>
        <x:v/>
      </x:c>
      <x:c r="U1008" t="str">
        <x:f>""</x:f>
        <x:v/>
      </x:c>
      <x:c r="V1008" t="str">
        <x:f>""</x:f>
        <x:v/>
      </x:c>
      <x:c r="W1008" t="str">
        <x:f>""</x:f>
        <x:v/>
      </x:c>
      <x:c r="X1008" t="str">
        <x:f>""</x:f>
        <x:v/>
      </x:c>
      <x:c r="Y1008" t="str">
        <x:f>""</x:f>
        <x:v/>
      </x:c>
      <x:c r="Z1008" t="str">
        <x:f>""</x:f>
        <x:v/>
      </x:c>
      <x:c r="AA1008" t="str">
        <x:f>""</x:f>
        <x:v/>
      </x:c>
      <x:c r="AB1008" t="str">
        <x:f>""</x:f>
        <x:v/>
      </x:c>
      <x:c r="AC1008" t="str">
        <x:f>""</x:f>
        <x:v/>
      </x:c>
      <x:c r="AD1008" t="str">
        <x:f>""</x:f>
        <x:v/>
      </x:c>
      <x:c r="AE1008" t="str">
        <x:f>""</x:f>
        <x:v/>
      </x:c>
      <x:c r="AF1008" t="str">
        <x:f>""</x:f>
        <x:v/>
      </x:c>
      <x:c r="AG1008" t="str">
        <x:f>""</x:f>
        <x:v/>
      </x:c>
    </x:row>
    <x:row r="1009" spans="1:33" x14ac:dyDescent="0.25">
      <x:c r="A1009" t="str">
        <x:f>"Number of Periods"</x:f>
        <x:v>Number of Periods</x:v>
      </x:c>
      <x:c r="B1009">
        <x:f>14</x:f>
        <x:v>14</x:v>
      </x:c>
      <x:c r="T1009" t="str">
        <x:f>""</x:f>
        <x:v/>
      </x:c>
      <x:c r="U1009" t="str">
        <x:f>""</x:f>
        <x:v/>
      </x:c>
      <x:c r="V1009" t="str">
        <x:f>""</x:f>
        <x:v/>
      </x:c>
      <x:c r="W1009" t="str">
        <x:f>""</x:f>
        <x:v/>
      </x:c>
      <x:c r="X1009" t="str">
        <x:f>""</x:f>
        <x:v/>
      </x:c>
      <x:c r="Y1009" t="str">
        <x:f>""</x:f>
        <x:v/>
      </x:c>
      <x:c r="Z1009" t="str">
        <x:f>""</x:f>
        <x:v/>
      </x:c>
      <x:c r="AA1009" t="str">
        <x:f>""</x:f>
        <x:v/>
      </x:c>
      <x:c r="AB1009" t="str">
        <x:f>""</x:f>
        <x:v/>
      </x:c>
      <x:c r="AC1009" t="str">
        <x:f>""</x:f>
        <x:v/>
      </x:c>
      <x:c r="AD1009" t="str">
        <x:f>""</x:f>
        <x:v/>
      </x:c>
      <x:c r="AE1009" t="str">
        <x:f>""</x:f>
        <x:v/>
      </x:c>
      <x:c r="AF1009" t="str">
        <x:f>""</x:f>
        <x:v/>
      </x:c>
      <x:c r="AG1009" t="str">
        <x:f>""</x:f>
        <x:v/>
      </x:c>
    </x:row>
    <x:row r="1010" spans="1:33" x14ac:dyDescent="0.25">
      <x:c r="A1010" t="str">
        <x:f>"Start Date"</x:f>
        <x:v>Start Date</x:v>
      </x:c>
      <x:c r="B1010" t="str">
        <x:f>CONCATENATE("-",$B$1009,$B$1008)</x:f>
        <x:v>-14CM</x:v>
      </x:c>
      <x:c r="C1010" t="str">
        <x:f>CONCATENATE("-",$B$1009,$C$1008)</x:f>
        <x:v>-14AM</x:v>
      </x:c>
      <x:c r="T1010" t="str">
        <x:f>""</x:f>
        <x:v/>
      </x:c>
      <x:c r="U1010" t="str">
        <x:f>""</x:f>
        <x:v/>
      </x:c>
      <x:c r="V1010" t="str">
        <x:f>""</x:f>
        <x:v/>
      </x:c>
      <x:c r="W1010" t="str">
        <x:f>""</x:f>
        <x:v/>
      </x:c>
      <x:c r="X1010" t="str">
        <x:f>""</x:f>
        <x:v/>
      </x:c>
      <x:c r="Y1010" t="str">
        <x:f>""</x:f>
        <x:v/>
      </x:c>
      <x:c r="Z1010" t="str">
        <x:f>""</x:f>
        <x:v/>
      </x:c>
      <x:c r="AA1010" t="str">
        <x:f>""</x:f>
        <x:v/>
      </x:c>
      <x:c r="AB1010" t="str">
        <x:f>""</x:f>
        <x:v/>
      </x:c>
      <x:c r="AC1010" t="str">
        <x:f>""</x:f>
        <x:v/>
      </x:c>
      <x:c r="AD1010" t="str">
        <x:f>""</x:f>
        <x:v/>
      </x:c>
      <x:c r="AE1010" t="str">
        <x:f>""</x:f>
        <x:v/>
      </x:c>
      <x:c r="AF1010" t="str">
        <x:f>""</x:f>
        <x:v/>
      </x:c>
      <x:c r="AG1010" t="str">
        <x:f>""</x:f>
        <x:v/>
      </x:c>
    </x:row>
    <x:row r="1011" spans="1:33" x14ac:dyDescent="0.25">
      <x:c r="A1011" t="str">
        <x:f>"End Date"</x:f>
        <x:v>End Date</x:v>
      </x:c>
      <x:c r="B1011">
        <x:f ca="1">TODAY()</x:f>
        <x:v>45259</x:v>
      </x:c>
      <x:c r="T1011" t="str">
        <x:f>""</x:f>
        <x:v/>
      </x:c>
      <x:c r="U1011" t="str">
        <x:f>""</x:f>
        <x:v/>
      </x:c>
      <x:c r="V1011" t="str">
        <x:f>""</x:f>
        <x:v/>
      </x:c>
      <x:c r="W1011" t="str">
        <x:f>""</x:f>
        <x:v/>
      </x:c>
      <x:c r="X1011" t="str">
        <x:f>""</x:f>
        <x:v/>
      </x:c>
      <x:c r="Y1011" t="str">
        <x:f>""</x:f>
        <x:v/>
      </x:c>
      <x:c r="Z1011" t="str">
        <x:f>""</x:f>
        <x:v/>
      </x:c>
      <x:c r="AA1011" t="str">
        <x:f>""</x:f>
        <x:v/>
      </x:c>
      <x:c r="AB1011" t="str">
        <x:f>""</x:f>
        <x:v/>
      </x:c>
      <x:c r="AC1011" t="str">
        <x:f>""</x:f>
        <x:v/>
      </x:c>
      <x:c r="AD1011" t="str">
        <x:f>""</x:f>
        <x:v/>
      </x:c>
      <x:c r="AE1011" t="str">
        <x:f>""</x:f>
        <x:v/>
      </x:c>
      <x:c r="AF1011" t="str">
        <x:f>""</x:f>
        <x:v/>
      </x:c>
      <x:c r="AG1011" t="str">
        <x:f>""</x:f>
        <x:v/>
      </x:c>
    </x:row>
    <x:row r="1012" spans="1:33" x14ac:dyDescent="0.25">
      <x:c r="A1012" t="str">
        <x:f>"HeaderStatus"</x:f>
        <x:v>HeaderStatus</x:v>
      </x:c>
      <x:c r="B1012">
        <x:f ca="1">$B$1987*$B$1995</x:f>
        <x:v>4</x:v>
      </x:c>
      <x:c r="T1012" t="str">
        <x:f>""</x:f>
        <x:v/>
      </x:c>
      <x:c r="U1012" t="str">
        <x:f>""</x:f>
        <x:v/>
      </x:c>
      <x:c r="V1012" t="str">
        <x:f>""</x:f>
        <x:v/>
      </x:c>
      <x:c r="W1012" t="str">
        <x:f>""</x:f>
        <x:v/>
      </x:c>
      <x:c r="X1012" t="str">
        <x:f>""</x:f>
        <x:v/>
      </x:c>
      <x:c r="Y1012" t="str">
        <x:f>""</x:f>
        <x:v/>
      </x:c>
      <x:c r="Z1012" t="str">
        <x:f>""</x:f>
        <x:v/>
      </x:c>
      <x:c r="AA1012" t="str">
        <x:f>""</x:f>
        <x:v/>
      </x:c>
      <x:c r="AB1012" t="str">
        <x:f>""</x:f>
        <x:v/>
      </x:c>
      <x:c r="AC1012" t="str">
        <x:f>""</x:f>
        <x:v/>
      </x:c>
      <x:c r="AD1012" t="str">
        <x:f>""</x:f>
        <x:v/>
      </x:c>
      <x:c r="AE1012" t="str">
        <x:f>""</x:f>
        <x:v/>
      </x:c>
      <x:c r="AF1012" t="str">
        <x:f>""</x:f>
        <x:v/>
      </x:c>
      <x:c r="AG1012" t="str">
        <x:f>""</x:f>
        <x:v/>
      </x:c>
    </x:row>
    <x:row r="1013" spans="1:33" x14ac:dyDescent="0.25">
      <x:c r="T1013" t="str">
        <x:f>""</x:f>
        <x:v/>
      </x:c>
      <x:c r="U1013" t="str">
        <x:f>""</x:f>
        <x:v/>
      </x:c>
      <x:c r="V1013" t="str">
        <x:f>""</x:f>
        <x:v/>
      </x:c>
      <x:c r="W1013" t="str">
        <x:f>""</x:f>
        <x:v/>
      </x:c>
      <x:c r="X1013" t="str">
        <x:f>""</x:f>
        <x:v/>
      </x:c>
      <x:c r="Y1013" t="str">
        <x:f>""</x:f>
        <x:v/>
      </x:c>
      <x:c r="Z1013" t="str">
        <x:f>""</x:f>
        <x:v/>
      </x:c>
      <x:c r="AA1013" t="str">
        <x:f>""</x:f>
        <x:v/>
      </x:c>
      <x:c r="AB1013" t="str">
        <x:f>""</x:f>
        <x:v/>
      </x:c>
      <x:c r="AC1013" t="str">
        <x:f>""</x:f>
        <x:v/>
      </x:c>
      <x:c r="AD1013" t="str">
        <x:f>""</x:f>
        <x:v/>
      </x:c>
      <x:c r="AE1013" t="str">
        <x:f>""</x:f>
        <x:v/>
      </x:c>
      <x:c r="AF1013" t="str">
        <x:f>""</x:f>
        <x:v/>
      </x:c>
      <x:c r="AG1013" t="str">
        <x:f>""</x:f>
        <x:v/>
      </x:c>
    </x:row>
    <x:row r="1014" spans="1:33" x14ac:dyDescent="0.25">
      <x:c r="B1014" t="str">
        <x:f>"CHIC US Equity"</x:f>
        <x:v>CHIC US Equity</x:v>
      </x:c>
      <x:c r="C1014" t="str">
        <x:f t="shared" ref="C1014:C1077" si="44">"FD447"</x:f>
        <x:v>FD447</x:v>
      </x:c>
      <x:c r="D1014" t="str">
        <x:f t="shared" ref="D1014:D1077" si="45">"FUND_FLOW"</x:f>
        <x:v>FUND_FLOW</x:v>
      </x:c>
      <x:c r="E1014" t="str">
        <x:f t="shared" ref="E1014:E1077" si="46">"Dynamic"</x:f>
        <x:v>Dynamic</x:v>
      </x:c>
      <x:c r="F1014">
        <x:f ca="1">_xll.BDH($B$1014,$C$1014,$B$1010,$B$1011,CONCATENATE("Per=",$B$1008),"Dts=H","Dir=H",CONCATENATE("Points=",$B$1009),"Sort=R","Days=A","Fill=B",CONCATENATE("FX=", $B$1007),"cols=14;rows=1")</x:f>
        <x:v>0</x:v>
      </x:c>
      <x:c r="G1014">
        <x:v>-0.70199999999999996</x:v>
      </x:c>
      <x:c r="H1014">
        <x:v>0</x:v>
      </x:c>
      <x:c r="I1014">
        <x:v>0</x:v>
      </x:c>
      <x:c r="J1014">
        <x:v>0</x:v>
      </x:c>
      <x:c r="K1014">
        <x:v>0</x:v>
      </x:c>
      <x:c r="L1014">
        <x:v>0</x:v>
      </x:c>
      <x:c r="M1014">
        <x:v>0</x:v>
      </x:c>
      <x:c r="N1014">
        <x:v>0</x:v>
      </x:c>
      <x:c r="O1014">
        <x:v>0</x:v>
      </x:c>
      <x:c r="P1014">
        <x:v>-0.38879999999999998</x:v>
      </x:c>
      <x:c r="Q1014">
        <x:v>0</x:v>
      </x:c>
      <x:c r="R1014">
        <x:v>0</x:v>
      </x:c>
      <x:c r="S1014">
        <x:v>0</x:v>
      </x:c>
      <x:c r="T1014" t="str">
        <x:f>""</x:f>
        <x:v/>
      </x:c>
      <x:c r="U1014" t="str">
        <x:f>""</x:f>
        <x:v/>
      </x:c>
      <x:c r="V1014" t="str">
        <x:f>""</x:f>
        <x:v/>
      </x:c>
      <x:c r="W1014" t="str">
        <x:f>""</x:f>
        <x:v/>
      </x:c>
      <x:c r="X1014" t="str">
        <x:f>""</x:f>
        <x:v/>
      </x:c>
      <x:c r="Y1014" t="str">
        <x:f>""</x:f>
        <x:v/>
      </x:c>
      <x:c r="Z1014" t="str">
        <x:f>""</x:f>
        <x:v/>
      </x:c>
      <x:c r="AA1014" t="str">
        <x:f>""</x:f>
        <x:v/>
      </x:c>
      <x:c r="AB1014" t="str">
        <x:f>""</x:f>
        <x:v/>
      </x:c>
      <x:c r="AC1014" t="str">
        <x:f>""</x:f>
        <x:v/>
      </x:c>
      <x:c r="AD1014" t="str">
        <x:f>""</x:f>
        <x:v/>
      </x:c>
      <x:c r="AE1014" t="str">
        <x:f>""</x:f>
        <x:v/>
      </x:c>
      <x:c r="AF1014" t="str">
        <x:f>""</x:f>
        <x:v/>
      </x:c>
      <x:c r="AG1014" t="str">
        <x:f>""</x:f>
        <x:v/>
      </x:c>
    </x:row>
    <x:row r="1015" spans="1:33" x14ac:dyDescent="0.25">
      <x:c r="B1015" t="str">
        <x:f>"VOX US Equity"</x:f>
        <x:v>VOX US Equity</x:v>
      </x:c>
      <x:c r="C1015" t="str">
        <x:f t="shared" si="44"/>
        <x:v>FD447</x:v>
      </x:c>
      <x:c r="D1015" t="str">
        <x:f t="shared" si="45"/>
        <x:v>FUND_FLOW</x:v>
      </x:c>
      <x:c r="E1015" t="str">
        <x:f t="shared" si="46"/>
        <x:v>Dynamic</x:v>
      </x:c>
      <x:c r="F1015">
        <x:f ca="1">_xll.BDH($B$1015,$C$1015,$B$1010,$B$1011,CONCATENATE("Per=",$B$1008),"Dts=H","Dir=H",CONCATENATE("Points=",$B$1009),"Sort=R","Days=A","Fill=B",CONCATENATE("FX=", $B$1007),"cols=14;rows=1")</x:f>
        <x:v>-169.95480000000001</x:v>
      </x:c>
      <x:c r="G1015">
        <x:v>21.327500000000001</x:v>
      </x:c>
      <x:c r="H1015">
        <x:v>93.558000000000007</x:v>
      </x:c>
      <x:c r="I1015">
        <x:v>255.7577</x:v>
      </x:c>
      <x:c r="J1015">
        <x:v>8.0120000000000005</x:v>
      </x:c>
      <x:c r="K1015">
        <x:v>-38.923699999999997</x:v>
      </x:c>
      <x:c r="L1015">
        <x:v>33.857300000000002</x:v>
      </x:c>
      <x:c r="M1015">
        <x:v>-98.185500000000005</x:v>
      </x:c>
      <x:c r="N1015">
        <x:v>22.970300000000002</x:v>
      </x:c>
      <x:c r="O1015">
        <x:v>-12.8993</x:v>
      </x:c>
      <x:c r="P1015">
        <x:v>-11.843999999999999</x:v>
      </x:c>
      <x:c r="Q1015">
        <x:v>104.081</x:v>
      </x:c>
      <x:c r="R1015">
        <x:v>-26.756499999999999</x:v>
      </x:c>
      <x:c r="S1015">
        <x:v>-34.887500000000003</x:v>
      </x:c>
      <x:c r="T1015" t="str">
        <x:f>""</x:f>
        <x:v/>
      </x:c>
      <x:c r="U1015" t="str">
        <x:f>""</x:f>
        <x:v/>
      </x:c>
      <x:c r="V1015" t="str">
        <x:f>""</x:f>
        <x:v/>
      </x:c>
      <x:c r="W1015" t="str">
        <x:f>""</x:f>
        <x:v/>
      </x:c>
      <x:c r="X1015" t="str">
        <x:f>""</x:f>
        <x:v/>
      </x:c>
      <x:c r="Y1015" t="str">
        <x:f>""</x:f>
        <x:v/>
      </x:c>
      <x:c r="Z1015" t="str">
        <x:f>""</x:f>
        <x:v/>
      </x:c>
      <x:c r="AA1015" t="str">
        <x:f>""</x:f>
        <x:v/>
      </x:c>
      <x:c r="AB1015" t="str">
        <x:f>""</x:f>
        <x:v/>
      </x:c>
      <x:c r="AC1015" t="str">
        <x:f>""</x:f>
        <x:v/>
      </x:c>
      <x:c r="AD1015" t="str">
        <x:f>""</x:f>
        <x:v/>
      </x:c>
      <x:c r="AE1015" t="str">
        <x:f>""</x:f>
        <x:v/>
      </x:c>
      <x:c r="AF1015" t="str">
        <x:f>""</x:f>
        <x:v/>
      </x:c>
      <x:c r="AG1015" t="str">
        <x:f>""</x:f>
        <x:v/>
      </x:c>
    </x:row>
    <x:row r="1016" spans="1:33" x14ac:dyDescent="0.25">
      <x:c r="B1016" t="str">
        <x:f>"IYZ US Equity"</x:f>
        <x:v>IYZ US Equity</x:v>
      </x:c>
      <x:c r="C1016" t="str">
        <x:f t="shared" si="44"/>
        <x:v>FD447</x:v>
      </x:c>
      <x:c r="D1016" t="str">
        <x:f t="shared" si="45"/>
        <x:v>FUND_FLOW</x:v>
      </x:c>
      <x:c r="E1016" t="str">
        <x:f t="shared" si="46"/>
        <x:v>Dynamic</x:v>
      </x:c>
      <x:c r="F1016">
        <x:f ca="1">_xll.BDH($B$1016,$C$1016,$B$1010,$B$1011,CONCATENATE("Per=",$B$1008),"Dts=H","Dir=H",CONCATENATE("Points=",$B$1009),"Sort=R","Days=A","Fill=B",CONCATENATE("FX=", $B$1007),"cols=14;rows=1")</x:f>
        <x:v>-14.592599999999999</x:v>
      </x:c>
      <x:c r="G1016">
        <x:v>-22.827999999999999</x:v>
      </x:c>
      <x:c r="H1016">
        <x:v>18.995699999999999</x:v>
      </x:c>
      <x:c r="I1016">
        <x:v>7.8651999999999997</x:v>
      </x:c>
      <x:c r="J1016">
        <x:v>-5.7293000000000003</x:v>
      </x:c>
      <x:c r="K1016">
        <x:v>-1.6009</x:v>
      </x:c>
      <x:c r="L1016">
        <x:v>-11.5543</x:v>
      </x:c>
      <x:c r="M1016">
        <x:v>-2.5354000000000001</x:v>
      </x:c>
      <x:c r="N1016">
        <x:v>-25.3901</x:v>
      </x:c>
      <x:c r="O1016">
        <x:v>-128.05869999999999</x:v>
      </x:c>
      <x:c r="P1016">
        <x:v>91.257900000000006</x:v>
      </x:c>
      <x:c r="Q1016">
        <x:v>32.235700000000001</x:v>
      </x:c>
      <x:c r="R1016">
        <x:v>-159.81030000000001</x:v>
      </x:c>
      <x:c r="S1016">
        <x:v>131.6558</x:v>
      </x:c>
      <x:c r="T1016" t="str">
        <x:f>""</x:f>
        <x:v/>
      </x:c>
      <x:c r="U1016" t="str">
        <x:f>""</x:f>
        <x:v/>
      </x:c>
      <x:c r="V1016" t="str">
        <x:f>""</x:f>
        <x:v/>
      </x:c>
      <x:c r="W1016" t="str">
        <x:f>""</x:f>
        <x:v/>
      </x:c>
      <x:c r="X1016" t="str">
        <x:f>""</x:f>
        <x:v/>
      </x:c>
      <x:c r="Y1016" t="str">
        <x:f>""</x:f>
        <x:v/>
      </x:c>
      <x:c r="Z1016" t="str">
        <x:f>""</x:f>
        <x:v/>
      </x:c>
      <x:c r="AA1016" t="str">
        <x:f>""</x:f>
        <x:v/>
      </x:c>
      <x:c r="AB1016" t="str">
        <x:f>""</x:f>
        <x:v/>
      </x:c>
      <x:c r="AC1016" t="str">
        <x:f>""</x:f>
        <x:v/>
      </x:c>
      <x:c r="AD1016" t="str">
        <x:f>""</x:f>
        <x:v/>
      </x:c>
      <x:c r="AE1016" t="str">
        <x:f>""</x:f>
        <x:v/>
      </x:c>
      <x:c r="AF1016" t="str">
        <x:f>""</x:f>
        <x:v/>
      </x:c>
      <x:c r="AG1016" t="str">
        <x:f>""</x:f>
        <x:v/>
      </x:c>
    </x:row>
    <x:row r="1017" spans="1:33" x14ac:dyDescent="0.25">
      <x:c r="B1017" t="str">
        <x:f>"IXP US Equity"</x:f>
        <x:v>IXP US Equity</x:v>
      </x:c>
      <x:c r="C1017" t="str">
        <x:f t="shared" si="44"/>
        <x:v>FD447</x:v>
      </x:c>
      <x:c r="D1017" t="str">
        <x:f t="shared" si="45"/>
        <x:v>FUND_FLOW</x:v>
      </x:c>
      <x:c r="E1017" t="str">
        <x:f t="shared" si="46"/>
        <x:v>Dynamic</x:v>
      </x:c>
      <x:c r="F1017">
        <x:f ca="1">_xll.BDH($B$1017,$C$1017,$B$1010,$B$1011,CONCATENATE("Per=",$B$1008),"Dts=H","Dir=H",CONCATENATE("Points=",$B$1009),"Sort=R","Days=A","Fill=B",CONCATENATE("FX=", $B$1007),"cols=14;rows=1")</x:f>
        <x:v>-13.6812</x:v>
      </x:c>
      <x:c r="G1017">
        <x:v>-17.1843</x:v>
      </x:c>
      <x:c r="H1017">
        <x:v>17.537500000000001</x:v>
      </x:c>
      <x:c r="I1017">
        <x:v>-37.698300000000003</x:v>
      </x:c>
      <x:c r="J1017">
        <x:v>10.158099999999999</x:v>
      </x:c>
      <x:c r="K1017">
        <x:v>22.794</x:v>
      </x:c>
      <x:c r="L1017">
        <x:v>12.9907</x:v>
      </x:c>
      <x:c r="M1017">
        <x:v>-11.905900000000001</x:v>
      </x:c>
      <x:c r="N1017">
        <x:v>19.075600000000001</x:v>
      </x:c>
      <x:c r="O1017">
        <x:v>3.0830000000000002</x:v>
      </x:c>
      <x:c r="P1017">
        <x:v>2.7810000000000001</x:v>
      </x:c>
      <x:c r="Q1017">
        <x:v>-70.856800000000007</x:v>
      </x:c>
      <x:c r="R1017">
        <x:v>85.6755</x:v>
      </x:c>
      <x:c r="S1017">
        <x:v>-65.205299999999994</x:v>
      </x:c>
      <x:c r="T1017" t="str">
        <x:f>""</x:f>
        <x:v/>
      </x:c>
      <x:c r="U1017" t="str">
        <x:f>""</x:f>
        <x:v/>
      </x:c>
      <x:c r="V1017" t="str">
        <x:f>""</x:f>
        <x:v/>
      </x:c>
      <x:c r="W1017" t="str">
        <x:f>""</x:f>
        <x:v/>
      </x:c>
      <x:c r="X1017" t="str">
        <x:f>""</x:f>
        <x:v/>
      </x:c>
      <x:c r="Y1017" t="str">
        <x:f>""</x:f>
        <x:v/>
      </x:c>
      <x:c r="Z1017" t="str">
        <x:f>""</x:f>
        <x:v/>
      </x:c>
      <x:c r="AA1017" t="str">
        <x:f>""</x:f>
        <x:v/>
      </x:c>
      <x:c r="AB1017" t="str">
        <x:f>""</x:f>
        <x:v/>
      </x:c>
      <x:c r="AC1017" t="str">
        <x:f>""</x:f>
        <x:v/>
      </x:c>
      <x:c r="AD1017" t="str">
        <x:f>""</x:f>
        <x:v/>
      </x:c>
      <x:c r="AE1017" t="str">
        <x:f>""</x:f>
        <x:v/>
      </x:c>
      <x:c r="AF1017" t="str">
        <x:f>""</x:f>
        <x:v/>
      </x:c>
      <x:c r="AG1017" t="str">
        <x:f>""</x:f>
        <x:v/>
      </x:c>
    </x:row>
    <x:row r="1018" spans="1:33" x14ac:dyDescent="0.25">
      <x:c r="B1018" t="str">
        <x:f>"FCOM US Equity"</x:f>
        <x:v>FCOM US Equity</x:v>
      </x:c>
      <x:c r="C1018" t="str">
        <x:f t="shared" si="44"/>
        <x:v>FD447</x:v>
      </x:c>
      <x:c r="D1018" t="str">
        <x:f t="shared" si="45"/>
        <x:v>FUND_FLOW</x:v>
      </x:c>
      <x:c r="E1018" t="str">
        <x:f t="shared" si="46"/>
        <x:v>Dynamic</x:v>
      </x:c>
      <x:c r="F1018">
        <x:f ca="1">_xll.BDH($B$1018,$C$1018,$B$1010,$B$1011,CONCATENATE("Per=",$B$1008),"Dts=H","Dir=H",CONCATENATE("Points=",$B$1009),"Sort=R","Days=A","Fill=B",CONCATENATE("FX=", $B$1007),"cols=14;rows=1")</x:f>
        <x:v>32.547699999999999</x:v>
      </x:c>
      <x:c r="G1018">
        <x:v>18.0823</x:v>
      </x:c>
      <x:c r="H1018">
        <x:v>-9.6914999999999996</x:v>
      </x:c>
      <x:c r="I1018">
        <x:v>2.0476000000000001</x:v>
      </x:c>
      <x:c r="J1018">
        <x:v>21.582799999999999</x:v>
      </x:c>
      <x:c r="K1018">
        <x:v>77.238200000000006</x:v>
      </x:c>
      <x:c r="L1018">
        <x:v>23.8142</x:v>
      </x:c>
      <x:c r="M1018">
        <x:v>12.527900000000001</x:v>
      </x:c>
      <x:c r="N1018">
        <x:v>18.147500000000001</x:v>
      </x:c>
      <x:c r="O1018">
        <x:v>-4.2656000000000001</x:v>
      </x:c>
      <x:c r="P1018">
        <x:v>-16.842400000000001</x:v>
      </x:c>
      <x:c r="Q1018">
        <x:v>-14.435499999999999</x:v>
      </x:c>
      <x:c r="R1018">
        <x:v>3.3193000000000001</x:v>
      </x:c>
      <x:c r="S1018">
        <x:v>3.7214999999999998</x:v>
      </x:c>
      <x:c r="T1018" t="str">
        <x:f>""</x:f>
        <x:v/>
      </x:c>
      <x:c r="U1018" t="str">
        <x:f>""</x:f>
        <x:v/>
      </x:c>
      <x:c r="V1018" t="str">
        <x:f>""</x:f>
        <x:v/>
      </x:c>
      <x:c r="W1018" t="str">
        <x:f>""</x:f>
        <x:v/>
      </x:c>
      <x:c r="X1018" t="str">
        <x:f>""</x:f>
        <x:v/>
      </x:c>
      <x:c r="Y1018" t="str">
        <x:f>""</x:f>
        <x:v/>
      </x:c>
      <x:c r="Z1018" t="str">
        <x:f>""</x:f>
        <x:v/>
      </x:c>
      <x:c r="AA1018" t="str">
        <x:f>""</x:f>
        <x:v/>
      </x:c>
      <x:c r="AB1018" t="str">
        <x:f>""</x:f>
        <x:v/>
      </x:c>
      <x:c r="AC1018" t="str">
        <x:f>""</x:f>
        <x:v/>
      </x:c>
      <x:c r="AD1018" t="str">
        <x:f>""</x:f>
        <x:v/>
      </x:c>
      <x:c r="AE1018" t="str">
        <x:f>""</x:f>
        <x:v/>
      </x:c>
      <x:c r="AF1018" t="str">
        <x:f>""</x:f>
        <x:v/>
      </x:c>
      <x:c r="AG1018" t="str">
        <x:f>""</x:f>
        <x:v/>
      </x:c>
    </x:row>
    <x:row r="1019" spans="1:33" x14ac:dyDescent="0.25">
      <x:c r="B1019" t="str">
        <x:f>"XTL US Equity"</x:f>
        <x:v>XTL US Equity</x:v>
      </x:c>
      <x:c r="C1019" t="str">
        <x:f t="shared" si="44"/>
        <x:v>FD447</x:v>
      </x:c>
      <x:c r="D1019" t="str">
        <x:f t="shared" si="45"/>
        <x:v>FUND_FLOW</x:v>
      </x:c>
      <x:c r="E1019" t="str">
        <x:f t="shared" si="46"/>
        <x:v>Dynamic</x:v>
      </x:c>
      <x:c r="F1019">
        <x:f ca="1">_xll.BDH($B$1019,$C$1019,$B$1010,$B$1011,CONCATENATE("Per=",$B$1008),"Dts=H","Dir=H",CONCATENATE("Points=",$B$1009),"Sort=R","Days=A","Fill=B",CONCATENATE("FX=", $B$1007),"cols=14;rows=1")</x:f>
        <x:v>-4.9504000000000001</x:v>
      </x:c>
      <x:c r="G1019">
        <x:v>0</x:v>
      </x:c>
      <x:c r="H1019">
        <x:v>3.7957999999999998</x:v>
      </x:c>
      <x:c r="I1019">
        <x:v>-3.8304999999999998</x:v>
      </x:c>
      <x:c r="J1019">
        <x:v>0</x:v>
      </x:c>
      <x:c r="K1019">
        <x:v>0</x:v>
      </x:c>
      <x:c r="L1019">
        <x:v>-1.8232999999999999</x:v>
      </x:c>
      <x:c r="M1019">
        <x:v>-2.0234000000000001</x:v>
      </x:c>
      <x:c r="N1019">
        <x:v>-2.1009000000000002</x:v>
      </x:c>
      <x:c r="O1019">
        <x:v>2.1438999999999999</x:v>
      </x:c>
      <x:c r="P1019">
        <x:v>2.0217000000000001</x:v>
      </x:c>
      <x:c r="Q1019">
        <x:v>6.3777999999999997</x:v>
      </x:c>
      <x:c r="R1019">
        <x:v>2.1048</x:v>
      </x:c>
      <x:c r="S1019">
        <x:v>-6.1761999999999997</x:v>
      </x:c>
      <x:c r="T1019" t="str">
        <x:f>""</x:f>
        <x:v/>
      </x:c>
      <x:c r="U1019" t="str">
        <x:f>""</x:f>
        <x:v/>
      </x:c>
      <x:c r="V1019" t="str">
        <x:f>""</x:f>
        <x:v/>
      </x:c>
      <x:c r="W1019" t="str">
        <x:f>""</x:f>
        <x:v/>
      </x:c>
      <x:c r="X1019" t="str">
        <x:f>""</x:f>
        <x:v/>
      </x:c>
      <x:c r="Y1019" t="str">
        <x:f>""</x:f>
        <x:v/>
      </x:c>
      <x:c r="Z1019" t="str">
        <x:f>""</x:f>
        <x:v/>
      </x:c>
      <x:c r="AA1019" t="str">
        <x:f>""</x:f>
        <x:v/>
      </x:c>
      <x:c r="AB1019" t="str">
        <x:f>""</x:f>
        <x:v/>
      </x:c>
      <x:c r="AC1019" t="str">
        <x:f>""</x:f>
        <x:v/>
      </x:c>
      <x:c r="AD1019" t="str">
        <x:f>""</x:f>
        <x:v/>
      </x:c>
      <x:c r="AE1019" t="str">
        <x:f>""</x:f>
        <x:v/>
      </x:c>
      <x:c r="AF1019" t="str">
        <x:f>""</x:f>
        <x:v/>
      </x:c>
      <x:c r="AG1019" t="str">
        <x:f>""</x:f>
        <x:v/>
      </x:c>
    </x:row>
    <x:row r="1020" spans="1:33" x14ac:dyDescent="0.25">
      <x:c r="B1020" t="str">
        <x:f>"IST US Equity"</x:f>
        <x:v>IST US Equity</x:v>
      </x:c>
      <x:c r="C1020" t="str">
        <x:f t="shared" si="44"/>
        <x:v>FD447</x:v>
      </x:c>
      <x:c r="D1020" t="str">
        <x:f t="shared" si="45"/>
        <x:v>FUND_FLOW</x:v>
      </x:c>
      <x:c r="E1020" t="str">
        <x:f t="shared" si="46"/>
        <x:v>Dynamic</x:v>
      </x:c>
      <x:c r="F1020" t="str">
        <x:f ca="1">_xll.BDH($B$1020,$C$1020,$B$1010,$B$1011,CONCATENATE("Per=",$B$1008),"Dts=H","Dir=H",CONCATENATE("Points=",$B$1009),"Sort=R","Days=A","Fill=B",CONCATENATE("FX=", $B$1007) )</x:f>
        <x:v/>
      </x:c>
      <x:c r="T1020" t="str">
        <x:f>""</x:f>
        <x:v/>
      </x:c>
      <x:c r="U1020" t="str">
        <x:f>""</x:f>
        <x:v/>
      </x:c>
      <x:c r="V1020" t="str">
        <x:f>""</x:f>
        <x:v/>
      </x:c>
      <x:c r="W1020" t="str">
        <x:f>""</x:f>
        <x:v/>
      </x:c>
      <x:c r="X1020" t="str">
        <x:f>""</x:f>
        <x:v/>
      </x:c>
      <x:c r="Y1020" t="str">
        <x:f>""</x:f>
        <x:v/>
      </x:c>
      <x:c r="Z1020" t="str">
        <x:f>""</x:f>
        <x:v/>
      </x:c>
      <x:c r="AA1020" t="str">
        <x:f>""</x:f>
        <x:v/>
      </x:c>
      <x:c r="AB1020" t="str">
        <x:f>""</x:f>
        <x:v/>
      </x:c>
      <x:c r="AC1020" t="str">
        <x:f>""</x:f>
        <x:v/>
      </x:c>
      <x:c r="AD1020" t="str">
        <x:f>""</x:f>
        <x:v/>
      </x:c>
      <x:c r="AE1020" t="str">
        <x:f>""</x:f>
        <x:v/>
      </x:c>
      <x:c r="AF1020" t="str">
        <x:f>""</x:f>
        <x:v/>
      </x:c>
      <x:c r="AG1020" t="str">
        <x:f>""</x:f>
        <x:v/>
      </x:c>
    </x:row>
    <x:row r="1021" spans="1:33" x14ac:dyDescent="0.25">
      <x:c r="B1021" t="str">
        <x:f>"LTL US Equity"</x:f>
        <x:v>LTL US Equity</x:v>
      </x:c>
      <x:c r="C1021" t="str">
        <x:f t="shared" si="44"/>
        <x:v>FD447</x:v>
      </x:c>
      <x:c r="D1021" t="str">
        <x:f t="shared" si="45"/>
        <x:v>FUND_FLOW</x:v>
      </x:c>
      <x:c r="E1021" t="str">
        <x:f t="shared" si="46"/>
        <x:v>Dynamic</x:v>
      </x:c>
      <x:c r="F1021">
        <x:f ca="1">_xll.BDH($B$1021,$C$1021,$B$1010,$B$1011,CONCATENATE("Per=",$B$1008),"Dts=H","Dir=H",CONCATENATE("Points=",$B$1009),"Sort=R","Days=A","Fill=B",CONCATENATE("FX=", $B$1007),"cols=14;rows=1")</x:f>
        <x:v>0</x:v>
      </x:c>
      <x:c r="G1021">
        <x:v>0</x:v>
      </x:c>
      <x:c r="H1021">
        <x:v>0</x:v>
      </x:c>
      <x:c r="I1021">
        <x:v>0</x:v>
      </x:c>
      <x:c r="J1021">
        <x:v>0</x:v>
      </x:c>
      <x:c r="K1021">
        <x:v>0</x:v>
      </x:c>
      <x:c r="L1021">
        <x:v>0</x:v>
      </x:c>
      <x:c r="M1021">
        <x:v>0</x:v>
      </x:c>
      <x:c r="N1021">
        <x:v>-0.7319</x:v>
      </x:c>
      <x:c r="O1021">
        <x:v>0</x:v>
      </x:c>
      <x:c r="P1021">
        <x:v>-1.0819000000000001</x:v>
      </x:c>
      <x:c r="Q1021">
        <x:v>0.79820000000000002</x:v>
      </x:c>
      <x:c r="R1021">
        <x:v>0</x:v>
      </x:c>
      <x:c r="S1021">
        <x:v>0</x:v>
      </x:c>
      <x:c r="T1021" t="str">
        <x:f>""</x:f>
        <x:v/>
      </x:c>
      <x:c r="U1021" t="str">
        <x:f>""</x:f>
        <x:v/>
      </x:c>
      <x:c r="V1021" t="str">
        <x:f>""</x:f>
        <x:v/>
      </x:c>
      <x:c r="W1021" t="str">
        <x:f>""</x:f>
        <x:v/>
      </x:c>
      <x:c r="X1021" t="str">
        <x:f>""</x:f>
        <x:v/>
      </x:c>
      <x:c r="Y1021" t="str">
        <x:f>""</x:f>
        <x:v/>
      </x:c>
      <x:c r="Z1021" t="str">
        <x:f>""</x:f>
        <x:v/>
      </x:c>
      <x:c r="AA1021" t="str">
        <x:f>""</x:f>
        <x:v/>
      </x:c>
      <x:c r="AB1021" t="str">
        <x:f>""</x:f>
        <x:v/>
      </x:c>
      <x:c r="AC1021" t="str">
        <x:f>""</x:f>
        <x:v/>
      </x:c>
      <x:c r="AD1021" t="str">
        <x:f>""</x:f>
        <x:v/>
      </x:c>
      <x:c r="AE1021" t="str">
        <x:f>""</x:f>
        <x:v/>
      </x:c>
      <x:c r="AF1021" t="str">
        <x:f>""</x:f>
        <x:v/>
      </x:c>
      <x:c r="AG1021" t="str">
        <x:f>""</x:f>
        <x:v/>
      </x:c>
    </x:row>
    <x:row r="1022" spans="1:33" x14ac:dyDescent="0.25">
      <x:c r="B1022" t="str">
        <x:f>"IEME US Equity"</x:f>
        <x:v>IEME US Equity</x:v>
      </x:c>
      <x:c r="C1022" t="str">
        <x:f t="shared" si="44"/>
        <x:v>FD447</x:v>
      </x:c>
      <x:c r="D1022" t="str">
        <x:f t="shared" si="45"/>
        <x:v>FUND_FLOW</x:v>
      </x:c>
      <x:c r="E1022" t="str">
        <x:f t="shared" si="46"/>
        <x:v>Dynamic</x:v>
      </x:c>
      <x:c r="F1022" t="str">
        <x:f ca="1">_xll.BDH($B$1022,$C$1022,$B$1010,$B$1011,CONCATENATE("Per=",$B$1008),"Dts=H","Dir=H",CONCATENATE("Points=",$B$1009),"Sort=R","Days=A","Fill=B",CONCATENATE("FX=", $B$1007),"cols=14;rows=1")</x:f>
        <x:v/>
      </x:c>
      <x:c r="T1022" t="str">
        <x:f>""</x:f>
        <x:v/>
      </x:c>
      <x:c r="U1022" t="str">
        <x:f>""</x:f>
        <x:v/>
      </x:c>
      <x:c r="V1022" t="str">
        <x:f>""</x:f>
        <x:v/>
      </x:c>
      <x:c r="W1022" t="str">
        <x:f>""</x:f>
        <x:v/>
      </x:c>
      <x:c r="X1022" t="str">
        <x:f>""</x:f>
        <x:v/>
      </x:c>
      <x:c r="Y1022" t="str">
        <x:f>""</x:f>
        <x:v/>
      </x:c>
      <x:c r="Z1022" t="str">
        <x:f>""</x:f>
        <x:v/>
      </x:c>
      <x:c r="AA1022" t="str">
        <x:f>""</x:f>
        <x:v/>
      </x:c>
      <x:c r="AB1022" t="str">
        <x:f>""</x:f>
        <x:v/>
      </x:c>
      <x:c r="AC1022" t="str">
        <x:f>""</x:f>
        <x:v/>
      </x:c>
      <x:c r="AD1022" t="str">
        <x:f>""</x:f>
        <x:v/>
      </x:c>
      <x:c r="AE1022" t="str">
        <x:f>""</x:f>
        <x:v/>
      </x:c>
      <x:c r="AF1022" t="str">
        <x:f>""</x:f>
        <x:v/>
      </x:c>
      <x:c r="AG1022" t="str">
        <x:f>""</x:f>
        <x:v/>
      </x:c>
    </x:row>
    <x:row r="1023" spans="1:33" x14ac:dyDescent="0.25">
      <x:c r="B1023" t="str">
        <x:f>"XLC US Equity"</x:f>
        <x:v>XLC US Equity</x:v>
      </x:c>
      <x:c r="C1023" t="str">
        <x:f t="shared" si="44"/>
        <x:v>FD447</x:v>
      </x:c>
      <x:c r="D1023" t="str">
        <x:f t="shared" si="45"/>
        <x:v>FUND_FLOW</x:v>
      </x:c>
      <x:c r="E1023" t="str">
        <x:f t="shared" si="46"/>
        <x:v>Dynamic</x:v>
      </x:c>
      <x:c r="F1023">
        <x:f ca="1">_xll.BDH($B$1023,$C$1023,$B$1010,$B$1011,CONCATENATE("Per=",$B$1008),"Dts=H","Dir=H",CONCATENATE("Points=",$B$1009),"Sort=R","Days=A","Fill=B",CONCATENATE("FX=", $B$1007),"cols=14;rows=1")</x:f>
        <x:v>263.48649999999998</x:v>
      </x:c>
      <x:c r="G1023">
        <x:v>-1050.4006999999999</x:v>
      </x:c>
      <x:c r="H1023">
        <x:v>259.19740000000002</x:v>
      </x:c>
      <x:c r="I1023">
        <x:v>672.58659999999998</x:v>
      </x:c>
      <x:c r="J1023">
        <x:v>201.4263</x:v>
      </x:c>
      <x:c r="K1023">
        <x:v>634.88720000000001</x:v>
      </x:c>
      <x:c r="L1023">
        <x:v>887.81479999999999</x:v>
      </x:c>
      <x:c r="M1023">
        <x:v>262.8716</x:v>
      </x:c>
      <x:c r="N1023">
        <x:v>-62.54</x:v>
      </x:c>
      <x:c r="O1023">
        <x:v>254.55850000000001</x:v>
      </x:c>
      <x:c r="P1023">
        <x:v>-146.43010000000001</x:v>
      </x:c>
      <x:c r="Q1023">
        <x:v>-131.6319</x:v>
      </x:c>
      <x:c r="R1023">
        <x:v>598.56420000000003</x:v>
      </x:c>
      <x:c r="S1023">
        <x:v>-954.06349999999998</x:v>
      </x:c>
      <x:c r="T1023" t="str">
        <x:f>""</x:f>
        <x:v/>
      </x:c>
      <x:c r="U1023" t="str">
        <x:f>""</x:f>
        <x:v/>
      </x:c>
      <x:c r="V1023" t="str">
        <x:f>""</x:f>
        <x:v/>
      </x:c>
      <x:c r="W1023" t="str">
        <x:f>""</x:f>
        <x:v/>
      </x:c>
      <x:c r="X1023" t="str">
        <x:f>""</x:f>
        <x:v/>
      </x:c>
      <x:c r="Y1023" t="str">
        <x:f>""</x:f>
        <x:v/>
      </x:c>
      <x:c r="Z1023" t="str">
        <x:f>""</x:f>
        <x:v/>
      </x:c>
      <x:c r="AA1023" t="str">
        <x:f>""</x:f>
        <x:v/>
      </x:c>
      <x:c r="AB1023" t="str">
        <x:f>""</x:f>
        <x:v/>
      </x:c>
      <x:c r="AC1023" t="str">
        <x:f>""</x:f>
        <x:v/>
      </x:c>
      <x:c r="AD1023" t="str">
        <x:f>""</x:f>
        <x:v/>
      </x:c>
      <x:c r="AE1023" t="str">
        <x:f>""</x:f>
        <x:v/>
      </x:c>
      <x:c r="AF1023" t="str">
        <x:f>""</x:f>
        <x:v/>
      </x:c>
      <x:c r="AG1023" t="str">
        <x:f>""</x:f>
        <x:v/>
      </x:c>
    </x:row>
    <x:row r="1024" spans="1:33" x14ac:dyDescent="0.25">
      <x:c r="B1024" t="str">
        <x:f>"EWCO US Equity"</x:f>
        <x:v>EWCO US Equity</x:v>
      </x:c>
      <x:c r="C1024" t="str">
        <x:f t="shared" si="44"/>
        <x:v>FD447</x:v>
      </x:c>
      <x:c r="D1024" t="str">
        <x:f t="shared" si="45"/>
        <x:v>FUND_FLOW</x:v>
      </x:c>
      <x:c r="E1024" t="str">
        <x:f t="shared" si="46"/>
        <x:v>Dynamic</x:v>
      </x:c>
      <x:c r="F1024">
        <x:f ca="1">_xll.BDH($B$1024,$C$1024,$B$1010,$B$1011,CONCATENATE("Per=",$B$1008),"Dts=H","Dir=H",CONCATENATE("Points=",$B$1009),"Sort=R","Days=A","Fill=B",CONCATENATE("FX=", $B$1007),"cols=14;rows=1")</x:f>
        <x:v>0.32579999999999998</x:v>
      </x:c>
      <x:c r="G1024">
        <x:v>0.2666</x:v>
      </x:c>
      <x:c r="H1024">
        <x:v>-1.9384999999999999</x:v>
      </x:c>
      <x:c r="I1024">
        <x:v>0.24690000000000001</x:v>
      </x:c>
      <x:c r="J1024">
        <x:v>-72.011300000000006</x:v>
      </x:c>
      <x:c r="T1024" t="str">
        <x:f>""</x:f>
        <x:v/>
      </x:c>
      <x:c r="U1024" t="str">
        <x:f>""</x:f>
        <x:v/>
      </x:c>
      <x:c r="V1024" t="str">
        <x:f>""</x:f>
        <x:v/>
      </x:c>
      <x:c r="W1024" t="str">
        <x:f>""</x:f>
        <x:v/>
      </x:c>
      <x:c r="X1024" t="str">
        <x:f>""</x:f>
        <x:v/>
      </x:c>
      <x:c r="Y1024" t="str">
        <x:f>""</x:f>
        <x:v/>
      </x:c>
      <x:c r="Z1024" t="str">
        <x:f>""</x:f>
        <x:v/>
      </x:c>
      <x:c r="AA1024" t="str">
        <x:f>""</x:f>
        <x:v/>
      </x:c>
      <x:c r="AB1024" t="str">
        <x:f>""</x:f>
        <x:v/>
      </x:c>
      <x:c r="AC1024" t="str">
        <x:f>""</x:f>
        <x:v/>
      </x:c>
      <x:c r="AD1024" t="str">
        <x:f>""</x:f>
        <x:v/>
      </x:c>
      <x:c r="AE1024" t="str">
        <x:f>""</x:f>
        <x:v/>
      </x:c>
      <x:c r="AF1024" t="str">
        <x:f>""</x:f>
        <x:v/>
      </x:c>
      <x:c r="AG1024" t="str">
        <x:f>""</x:f>
        <x:v/>
      </x:c>
    </x:row>
    <x:row r="1025" spans="2:33" x14ac:dyDescent="0.25">
      <x:c r="B1025" t="str">
        <x:f>"JHCS US Equity"</x:f>
        <x:v>JHCS US Equity</x:v>
      </x:c>
      <x:c r="C1025" t="str">
        <x:f t="shared" si="44"/>
        <x:v>FD447</x:v>
      </x:c>
      <x:c r="D1025" t="str">
        <x:f t="shared" si="45"/>
        <x:v>FUND_FLOW</x:v>
      </x:c>
      <x:c r="E1025" t="str">
        <x:f t="shared" si="46"/>
        <x:v>Dynamic</x:v>
      </x:c>
      <x:c r="F1025" t="str">
        <x:f ca="1">_xll.BDH($B$1025,$C$1025,$B$1010,$B$1011,CONCATENATE("Per=",$B$1008),"Dts=H","Dir=H",CONCATENATE("Points=",$B$1009),"Sort=R","Days=A","Fill=B",CONCATENATE("FX=", $B$1007),"cols=14;rows=1")</x:f>
        <x:v/>
      </x:c>
      <x:c r="R1025">
        <x:v>-0.97199999999999998</x:v>
      </x:c>
      <x:c r="S1025">
        <x:v>3.5299999999999998E-2</x:v>
      </x:c>
      <x:c r="T1025" t="str">
        <x:f>""</x:f>
        <x:v/>
      </x:c>
      <x:c r="U1025" t="str">
        <x:f>""</x:f>
        <x:v/>
      </x:c>
      <x:c r="V1025" t="str">
        <x:f>""</x:f>
        <x:v/>
      </x:c>
      <x:c r="W1025" t="str">
        <x:f>""</x:f>
        <x:v/>
      </x:c>
      <x:c r="X1025" t="str">
        <x:f>""</x:f>
        <x:v/>
      </x:c>
      <x:c r="Y1025" t="str">
        <x:f>""</x:f>
        <x:v/>
      </x:c>
      <x:c r="Z1025" t="str">
        <x:f>""</x:f>
        <x:v/>
      </x:c>
      <x:c r="AA1025" t="str">
        <x:f>""</x:f>
        <x:v/>
      </x:c>
      <x:c r="AB1025" t="str">
        <x:f>""</x:f>
        <x:v/>
      </x:c>
      <x:c r="AC1025" t="str">
        <x:f>""</x:f>
        <x:v/>
      </x:c>
      <x:c r="AD1025" t="str">
        <x:f>""</x:f>
        <x:v/>
      </x:c>
      <x:c r="AE1025" t="str">
        <x:f>""</x:f>
        <x:v/>
      </x:c>
      <x:c r="AF1025" t="str">
        <x:f>""</x:f>
        <x:v/>
      </x:c>
      <x:c r="AG1025" t="str">
        <x:f>""</x:f>
        <x:v/>
      </x:c>
    </x:row>
    <x:row r="1026" spans="2:33" x14ac:dyDescent="0.25">
      <x:c r="B1026" t="str">
        <x:f>"MUTE US Equity"</x:f>
        <x:v>MUTE US Equity</x:v>
      </x:c>
      <x:c r="C1026" t="str">
        <x:f t="shared" si="44"/>
        <x:v>FD447</x:v>
      </x:c>
      <x:c r="D1026" t="str">
        <x:f t="shared" si="45"/>
        <x:v>FUND_FLOW</x:v>
      </x:c>
      <x:c r="E1026" t="str">
        <x:f t="shared" si="46"/>
        <x:v>Dynamic</x:v>
      </x:c>
      <x:c r="F1026" t="str">
        <x:f ca="1">_xll.BDH($B$1026,$C$1026,$B$1010,$B$1011,CONCATENATE("Per=",$B$1008),"Dts=H","Dir=H",CONCATENATE("Points=",$B$1009),"Sort=R","Days=A","Fill=B",CONCATENATE("FX=", $B$1007) )</x:f>
        <x:v/>
      </x:c>
      <x:c r="T1026" t="str">
        <x:f>""</x:f>
        <x:v/>
      </x:c>
      <x:c r="U1026" t="str">
        <x:f>""</x:f>
        <x:v/>
      </x:c>
      <x:c r="V1026" t="str">
        <x:f>""</x:f>
        <x:v/>
      </x:c>
      <x:c r="W1026" t="str">
        <x:f>""</x:f>
        <x:v/>
      </x:c>
      <x:c r="X1026" t="str">
        <x:f>""</x:f>
        <x:v/>
      </x:c>
      <x:c r="Y1026" t="str">
        <x:f>""</x:f>
        <x:v/>
      </x:c>
      <x:c r="Z1026" t="str">
        <x:f>""</x:f>
        <x:v/>
      </x:c>
      <x:c r="AA1026" t="str">
        <x:f>""</x:f>
        <x:v/>
      </x:c>
      <x:c r="AB1026" t="str">
        <x:f>""</x:f>
        <x:v/>
      </x:c>
      <x:c r="AC1026" t="str">
        <x:f>""</x:f>
        <x:v/>
      </x:c>
      <x:c r="AD1026" t="str">
        <x:f>""</x:f>
        <x:v/>
      </x:c>
      <x:c r="AE1026" t="str">
        <x:f>""</x:f>
        <x:v/>
      </x:c>
      <x:c r="AF1026" t="str">
        <x:f>""</x:f>
        <x:v/>
      </x:c>
      <x:c r="AG1026" t="str">
        <x:f>""</x:f>
        <x:v/>
      </x:c>
    </x:row>
    <x:row r="1027" spans="2:33" x14ac:dyDescent="0.25">
      <x:c r="B1027" t="str">
        <x:f>"SCOM US Equity"</x:f>
        <x:v>SCOM US Equity</x:v>
      </x:c>
      <x:c r="C1027" t="str">
        <x:f t="shared" si="44"/>
        <x:v>FD447</x:v>
      </x:c>
      <x:c r="D1027" t="str">
        <x:f t="shared" si="45"/>
        <x:v>FUND_FLOW</x:v>
      </x:c>
      <x:c r="E1027" t="str">
        <x:f t="shared" si="46"/>
        <x:v>Dynamic</x:v>
      </x:c>
      <x:c r="F1027" t="str">
        <x:f ca="1">_xll.BDH($B$1027,$C$1027,$B$1010,$B$1011,CONCATENATE("Per=",$B$1008),"Dts=H","Dir=H",CONCATENATE("Points=",$B$1009),"Sort=R","Days=A","Fill=B",CONCATENATE("FX=", $B$1007) )</x:f>
        <x:v/>
      </x:c>
      <x:c r="T1027" t="str">
        <x:f>""</x:f>
        <x:v/>
      </x:c>
      <x:c r="U1027" t="str">
        <x:f>""</x:f>
        <x:v/>
      </x:c>
      <x:c r="V1027" t="str">
        <x:f>""</x:f>
        <x:v/>
      </x:c>
      <x:c r="W1027" t="str">
        <x:f>""</x:f>
        <x:v/>
      </x:c>
      <x:c r="X1027" t="str">
        <x:f>""</x:f>
        <x:v/>
      </x:c>
      <x:c r="Y1027" t="str">
        <x:f>""</x:f>
        <x:v/>
      </x:c>
      <x:c r="Z1027" t="str">
        <x:f>""</x:f>
        <x:v/>
      </x:c>
      <x:c r="AA1027" t="str">
        <x:f>""</x:f>
        <x:v/>
      </x:c>
      <x:c r="AB1027" t="str">
        <x:f>""</x:f>
        <x:v/>
      </x:c>
      <x:c r="AC1027" t="str">
        <x:f>""</x:f>
        <x:v/>
      </x:c>
      <x:c r="AD1027" t="str">
        <x:f>""</x:f>
        <x:v/>
      </x:c>
      <x:c r="AE1027" t="str">
        <x:f>""</x:f>
        <x:v/>
      </x:c>
      <x:c r="AF1027" t="str">
        <x:f>""</x:f>
        <x:v/>
      </x:c>
      <x:c r="AG1027" t="str">
        <x:f>""</x:f>
        <x:v/>
      </x:c>
    </x:row>
    <x:row r="1028" spans="2:33" x14ac:dyDescent="0.25">
      <x:c r="B1028" t="str">
        <x:f>"TAWK US Equity"</x:f>
        <x:v>TAWK US Equity</x:v>
      </x:c>
      <x:c r="C1028" t="str">
        <x:f t="shared" si="44"/>
        <x:v>FD447</x:v>
      </x:c>
      <x:c r="D1028" t="str">
        <x:f t="shared" si="45"/>
        <x:v>FUND_FLOW</x:v>
      </x:c>
      <x:c r="E1028" t="str">
        <x:f t="shared" si="46"/>
        <x:v>Dynamic</x:v>
      </x:c>
      <x:c r="F1028" t="str">
        <x:f ca="1">_xll.BDH($B$1028,$C$1028,$B$1010,$B$1011,CONCATENATE("Per=",$B$1008),"Dts=H","Dir=H",CONCATENATE("Points=",$B$1009),"Sort=R","Days=A","Fill=B",CONCATENATE("FX=", $B$1007) )</x:f>
        <x:v/>
      </x:c>
      <x:c r="T1028" t="str">
        <x:f>""</x:f>
        <x:v/>
      </x:c>
      <x:c r="U1028" t="str">
        <x:f>""</x:f>
        <x:v/>
      </x:c>
      <x:c r="V1028" t="str">
        <x:f>""</x:f>
        <x:v/>
      </x:c>
      <x:c r="W1028" t="str">
        <x:f>""</x:f>
        <x:v/>
      </x:c>
      <x:c r="X1028" t="str">
        <x:f>""</x:f>
        <x:v/>
      </x:c>
      <x:c r="Y1028" t="str">
        <x:f>""</x:f>
        <x:v/>
      </x:c>
      <x:c r="Z1028" t="str">
        <x:f>""</x:f>
        <x:v/>
      </x:c>
      <x:c r="AA1028" t="str">
        <x:f>""</x:f>
        <x:v/>
      </x:c>
      <x:c r="AB1028" t="str">
        <x:f>""</x:f>
        <x:v/>
      </x:c>
      <x:c r="AC1028" t="str">
        <x:f>""</x:f>
        <x:v/>
      </x:c>
      <x:c r="AD1028" t="str">
        <x:f>""</x:f>
        <x:v/>
      </x:c>
      <x:c r="AE1028" t="str">
        <x:f>""</x:f>
        <x:v/>
      </x:c>
      <x:c r="AF1028" t="str">
        <x:f>""</x:f>
        <x:v/>
      </x:c>
      <x:c r="AG1028" t="str">
        <x:f>""</x:f>
        <x:v/>
      </x:c>
    </x:row>
    <x:row r="1029" spans="2:33" x14ac:dyDescent="0.25">
      <x:c r="B1029" t="str">
        <x:f>"UCOM US Equity"</x:f>
        <x:v>UCOM US Equity</x:v>
      </x:c>
      <x:c r="C1029" t="str">
        <x:f t="shared" si="44"/>
        <x:v>FD447</x:v>
      </x:c>
      <x:c r="D1029" t="str">
        <x:f t="shared" si="45"/>
        <x:v>FUND_FLOW</x:v>
      </x:c>
      <x:c r="E1029" t="str">
        <x:f t="shared" si="46"/>
        <x:v>Dynamic</x:v>
      </x:c>
      <x:c r="F1029" t="str">
        <x:f ca="1">_xll.BDH($B$1029,$C$1029,$B$1010,$B$1011,CONCATENATE("Per=",$B$1008),"Dts=H","Dir=H",CONCATENATE("Points=",$B$1009),"Sort=R","Days=A","Fill=B",CONCATENATE("FX=", $B$1007) )</x:f>
        <x:v/>
      </x:c>
      <x:c r="T1029" t="str">
        <x:f>""</x:f>
        <x:v/>
      </x:c>
      <x:c r="U1029" t="str">
        <x:f>""</x:f>
        <x:v/>
      </x:c>
      <x:c r="V1029" t="str">
        <x:f>""</x:f>
        <x:v/>
      </x:c>
      <x:c r="W1029" t="str">
        <x:f>""</x:f>
        <x:v/>
      </x:c>
      <x:c r="X1029" t="str">
        <x:f>""</x:f>
        <x:v/>
      </x:c>
      <x:c r="Y1029" t="str">
        <x:f>""</x:f>
        <x:v/>
      </x:c>
      <x:c r="Z1029" t="str">
        <x:f>""</x:f>
        <x:v/>
      </x:c>
      <x:c r="AA1029" t="str">
        <x:f>""</x:f>
        <x:v/>
      </x:c>
      <x:c r="AB1029" t="str">
        <x:f>""</x:f>
        <x:v/>
      </x:c>
      <x:c r="AC1029" t="str">
        <x:f>""</x:f>
        <x:v/>
      </x:c>
      <x:c r="AD1029" t="str">
        <x:f>""</x:f>
        <x:v/>
      </x:c>
      <x:c r="AE1029" t="str">
        <x:f>""</x:f>
        <x:v/>
      </x:c>
      <x:c r="AF1029" t="str">
        <x:f>""</x:f>
        <x:v/>
      </x:c>
      <x:c r="AG1029" t="str">
        <x:f>""</x:f>
        <x:v/>
      </x:c>
    </x:row>
    <x:row r="1030" spans="2:33" x14ac:dyDescent="0.25">
      <x:c r="B1030" t="str">
        <x:f>"XCOM US Equity"</x:f>
        <x:v>XCOM US Equity</x:v>
      </x:c>
      <x:c r="C1030" t="str">
        <x:f t="shared" si="44"/>
        <x:v>FD447</x:v>
      </x:c>
      <x:c r="D1030" t="str">
        <x:f t="shared" si="45"/>
        <x:v>FUND_FLOW</x:v>
      </x:c>
      <x:c r="E1030" t="str">
        <x:f t="shared" si="46"/>
        <x:v>Dynamic</x:v>
      </x:c>
      <x:c r="F1030" t="str">
        <x:f ca="1">_xll.BDH($B$1030,$C$1030,$B$1010,$B$1011,CONCATENATE("Per=",$B$1008),"Dts=H","Dir=H",CONCATENATE("Points=",$B$1009),"Sort=R","Days=A","Fill=B",CONCATENATE("FX=", $B$1007) )</x:f>
        <x:v/>
      </x:c>
      <x:c r="T1030" t="str">
        <x:f>""</x:f>
        <x:v/>
      </x:c>
      <x:c r="U1030" t="str">
        <x:f>""</x:f>
        <x:v/>
      </x:c>
      <x:c r="V1030" t="str">
        <x:f>""</x:f>
        <x:v/>
      </x:c>
      <x:c r="W1030" t="str">
        <x:f>""</x:f>
        <x:v/>
      </x:c>
      <x:c r="X1030" t="str">
        <x:f>""</x:f>
        <x:v/>
      </x:c>
      <x:c r="Y1030" t="str">
        <x:f>""</x:f>
        <x:v/>
      </x:c>
      <x:c r="Z1030" t="str">
        <x:f>""</x:f>
        <x:v/>
      </x:c>
      <x:c r="AA1030" t="str">
        <x:f>""</x:f>
        <x:v/>
      </x:c>
      <x:c r="AB1030" t="str">
        <x:f>""</x:f>
        <x:v/>
      </x:c>
      <x:c r="AC1030" t="str">
        <x:f>""</x:f>
        <x:v/>
      </x:c>
      <x:c r="AD1030" t="str">
        <x:f>""</x:f>
        <x:v/>
      </x:c>
      <x:c r="AE1030" t="str">
        <x:f>""</x:f>
        <x:v/>
      </x:c>
      <x:c r="AF1030" t="str">
        <x:f>""</x:f>
        <x:v/>
      </x:c>
      <x:c r="AG1030" t="str">
        <x:f>""</x:f>
        <x:v/>
      </x:c>
    </x:row>
    <x:row r="1031" spans="2:33" x14ac:dyDescent="0.25">
      <x:c r="B1031" t="str">
        <x:f>"YCOM US Equity"</x:f>
        <x:v>YCOM US Equity</x:v>
      </x:c>
      <x:c r="C1031" t="str">
        <x:f t="shared" si="44"/>
        <x:v>FD447</x:v>
      </x:c>
      <x:c r="D1031" t="str">
        <x:f t="shared" si="45"/>
        <x:v>FUND_FLOW</x:v>
      </x:c>
      <x:c r="E1031" t="str">
        <x:f t="shared" si="46"/>
        <x:v>Dynamic</x:v>
      </x:c>
      <x:c r="F1031" t="str">
        <x:f ca="1">_xll.BDH($B$1031,$C$1031,$B$1010,$B$1011,CONCATENATE("Per=",$B$1008),"Dts=H","Dir=H",CONCATENATE("Points=",$B$1009),"Sort=R","Days=A","Fill=B",CONCATENATE("FX=", $B$1007) )</x:f>
        <x:v/>
      </x:c>
      <x:c r="T1031" t="str">
        <x:f>""</x:f>
        <x:v/>
      </x:c>
      <x:c r="U1031" t="str">
        <x:f>""</x:f>
        <x:v/>
      </x:c>
      <x:c r="V1031" t="str">
        <x:f>""</x:f>
        <x:v/>
      </x:c>
      <x:c r="W1031" t="str">
        <x:f>""</x:f>
        <x:v/>
      </x:c>
      <x:c r="X1031" t="str">
        <x:f>""</x:f>
        <x:v/>
      </x:c>
      <x:c r="Y1031" t="str">
        <x:f>""</x:f>
        <x:v/>
      </x:c>
      <x:c r="Z1031" t="str">
        <x:f>""</x:f>
        <x:v/>
      </x:c>
      <x:c r="AA1031" t="str">
        <x:f>""</x:f>
        <x:v/>
      </x:c>
      <x:c r="AB1031" t="str">
        <x:f>""</x:f>
        <x:v/>
      </x:c>
      <x:c r="AC1031" t="str">
        <x:f>""</x:f>
        <x:v/>
      </x:c>
      <x:c r="AD1031" t="str">
        <x:f>""</x:f>
        <x:v/>
      </x:c>
      <x:c r="AE1031" t="str">
        <x:f>""</x:f>
        <x:v/>
      </x:c>
      <x:c r="AF1031" t="str">
        <x:f>""</x:f>
        <x:v/>
      </x:c>
      <x:c r="AG1031" t="str">
        <x:f>""</x:f>
        <x:v/>
      </x:c>
    </x:row>
    <x:row r="1032" spans="2:33" x14ac:dyDescent="0.25">
      <x:c r="B1032" t="str">
        <x:f>"AAPU US Equity"</x:f>
        <x:v>AAPU US Equity</x:v>
      </x:c>
      <x:c r="C1032" t="str">
        <x:f t="shared" si="44"/>
        <x:v>FD447</x:v>
      </x:c>
      <x:c r="D1032" t="str">
        <x:f t="shared" si="45"/>
        <x:v>FUND_FLOW</x:v>
      </x:c>
      <x:c r="E1032" t="str">
        <x:f t="shared" si="46"/>
        <x:v>Dynamic</x:v>
      </x:c>
      <x:c r="F1032">
        <x:f ca="1">_xll.BDH($B$1032,$C$1032,$B$1010,$B$1011,CONCATENATE("Per=",$B$1008),"Dts=H","Dir=H",CONCATENATE("Points=",$B$1009),"Sort=R","Days=A","Fill=B",CONCATENATE("FX=", $B$1007),"cols=14;rows=1")</x:f>
        <x:v>-4.2089999999999996</x:v>
      </x:c>
      <x:c r="G1032">
        <x:v>2.089</x:v>
      </x:c>
      <x:c r="H1032">
        <x:v>-0.41949999999999998</x:v>
      </x:c>
      <x:c r="I1032">
        <x:v>11.7691</x:v>
      </x:c>
      <x:c r="J1032">
        <x:v>8.0130999999999997</x:v>
      </x:c>
      <x:c r="K1032">
        <x:v>2.4586999999999999</x:v>
      </x:c>
      <x:c r="L1032">
        <x:v>0.59509999999999996</x:v>
      </x:c>
      <x:c r="M1032">
        <x:v>1.5962000000000001</x:v>
      </x:c>
      <x:c r="N1032">
        <x:v>3.6924000000000001</x:v>
      </x:c>
      <x:c r="O1032">
        <x:v>0.43819999999999998</x:v>
      </x:c>
      <x:c r="P1032">
        <x:v>2.5003000000000002</x:v>
      </x:c>
      <x:c r="Q1032">
        <x:v>0.39660000000000001</x:v>
      </x:c>
      <x:c r="R1032">
        <x:v>-0.46489999999999998</x:v>
      </x:c>
      <x:c r="S1032">
        <x:v>2.2231000000000001</x:v>
      </x:c>
      <x:c r="T1032" t="str">
        <x:f>""</x:f>
        <x:v/>
      </x:c>
      <x:c r="U1032" t="str">
        <x:f>""</x:f>
        <x:v/>
      </x:c>
      <x:c r="V1032" t="str">
        <x:f>""</x:f>
        <x:v/>
      </x:c>
      <x:c r="W1032" t="str">
        <x:f>""</x:f>
        <x:v/>
      </x:c>
      <x:c r="X1032" t="str">
        <x:f>""</x:f>
        <x:v/>
      </x:c>
      <x:c r="Y1032" t="str">
        <x:f>""</x:f>
        <x:v/>
      </x:c>
      <x:c r="Z1032" t="str">
        <x:f>""</x:f>
        <x:v/>
      </x:c>
      <x:c r="AA1032" t="str">
        <x:f>""</x:f>
        <x:v/>
      </x:c>
      <x:c r="AB1032" t="str">
        <x:f>""</x:f>
        <x:v/>
      </x:c>
      <x:c r="AC1032" t="str">
        <x:f>""</x:f>
        <x:v/>
      </x:c>
      <x:c r="AD1032" t="str">
        <x:f>""</x:f>
        <x:v/>
      </x:c>
      <x:c r="AE1032" t="str">
        <x:f>""</x:f>
        <x:v/>
      </x:c>
      <x:c r="AF1032" t="str">
        <x:f>""</x:f>
        <x:v/>
      </x:c>
      <x:c r="AG1032" t="str">
        <x:f>""</x:f>
        <x:v/>
      </x:c>
    </x:row>
    <x:row r="1033" spans="2:33" x14ac:dyDescent="0.25">
      <x:c r="B1033" t="str">
        <x:f>"KPOP US Equity"</x:f>
        <x:v>KPOP US Equity</x:v>
      </x:c>
      <x:c r="C1033" t="str">
        <x:f t="shared" si="44"/>
        <x:v>FD447</x:v>
      </x:c>
      <x:c r="D1033" t="str">
        <x:f t="shared" si="45"/>
        <x:v>FUND_FLOW</x:v>
      </x:c>
      <x:c r="E1033" t="str">
        <x:f t="shared" si="46"/>
        <x:v>Dynamic</x:v>
      </x:c>
      <x:c r="F1033">
        <x:f ca="1">_xll.BDH($B$1033,$C$1033,$B$1010,$B$1011,CONCATENATE("Per=",$B$1008),"Dts=H","Dir=H",CONCATENATE("Points=",$B$1009),"Sort=R","Days=A","Fill=B",CONCATENATE("FX=", $B$1007),"cols=14;rows=1")</x:f>
        <x:v>0.315</x:v>
      </x:c>
      <x:c r="G1033">
        <x:v>0</x:v>
      </x:c>
      <x:c r="H1033">
        <x:v>0.19139999999999999</x:v>
      </x:c>
      <x:c r="I1033">
        <x:v>0</x:v>
      </x:c>
      <x:c r="J1033">
        <x:v>0</x:v>
      </x:c>
      <x:c r="K1033">
        <x:v>0</x:v>
      </x:c>
      <x:c r="L1033">
        <x:v>0</x:v>
      </x:c>
      <x:c r="M1033">
        <x:v>0</x:v>
      </x:c>
      <x:c r="N1033">
        <x:v>0</x:v>
      </x:c>
      <x:c r="O1033">
        <x:v>0</x:v>
      </x:c>
      <x:c r="P1033">
        <x:v>0</x:v>
      </x:c>
      <x:c r="Q1033">
        <x:v>0</x:v>
      </x:c>
      <x:c r="R1033">
        <x:v>0</x:v>
      </x:c>
      <x:c r="S1033">
        <x:v>2.4438</x:v>
      </x:c>
      <x:c r="T1033" t="str">
        <x:f>""</x:f>
        <x:v/>
      </x:c>
      <x:c r="U1033" t="str">
        <x:f>""</x:f>
        <x:v/>
      </x:c>
      <x:c r="V1033" t="str">
        <x:f>""</x:f>
        <x:v/>
      </x:c>
      <x:c r="W1033" t="str">
        <x:f>""</x:f>
        <x:v/>
      </x:c>
      <x:c r="X1033" t="str">
        <x:f>""</x:f>
        <x:v/>
      </x:c>
      <x:c r="Y1033" t="str">
        <x:f>""</x:f>
        <x:v/>
      </x:c>
      <x:c r="Z1033" t="str">
        <x:f>""</x:f>
        <x:v/>
      </x:c>
      <x:c r="AA1033" t="str">
        <x:f>""</x:f>
        <x:v/>
      </x:c>
      <x:c r="AB1033" t="str">
        <x:f>""</x:f>
        <x:v/>
      </x:c>
      <x:c r="AC1033" t="str">
        <x:f>""</x:f>
        <x:v/>
      </x:c>
      <x:c r="AD1033" t="str">
        <x:f>""</x:f>
        <x:v/>
      </x:c>
      <x:c r="AE1033" t="str">
        <x:f>""</x:f>
        <x:v/>
      </x:c>
      <x:c r="AF1033" t="str">
        <x:f>""</x:f>
        <x:v/>
      </x:c>
      <x:c r="AG1033" t="str">
        <x:f>""</x:f>
        <x:v/>
      </x:c>
    </x:row>
    <x:row r="1034" spans="2:33" x14ac:dyDescent="0.25">
      <x:c r="B1034" t="str">
        <x:f>"XLY US Equity"</x:f>
        <x:v>XLY US Equity</x:v>
      </x:c>
      <x:c r="C1034" t="str">
        <x:f t="shared" si="44"/>
        <x:v>FD447</x:v>
      </x:c>
      <x:c r="D1034" t="str">
        <x:f t="shared" si="45"/>
        <x:v>FUND_FLOW</x:v>
      </x:c>
      <x:c r="E1034" t="str">
        <x:f t="shared" si="46"/>
        <x:v>Dynamic</x:v>
      </x:c>
      <x:c r="F1034">
        <x:f ca="1">_xll.BDH($B$1034,$C$1034,$B$1010,$B$1011,CONCATENATE("Per=",$B$1008),"Dts=H","Dir=H",CONCATENATE("Points=",$B$1009),"Sort=R","Days=A","Fill=B",CONCATENATE("FX=", $B$1007),"cols=14;rows=1")</x:f>
        <x:v>-1076.0463999999999</x:v>
      </x:c>
      <x:c r="G1034">
        <x:v>934.1223</x:v>
      </x:c>
      <x:c r="H1034">
        <x:v>271.57749999999999</x:v>
      </x:c>
      <x:c r="I1034">
        <x:v>18.6312</x:v>
      </x:c>
      <x:c r="J1034">
        <x:v>91.440299999999993</x:v>
      </x:c>
      <x:c r="K1034">
        <x:v>463.6952</x:v>
      </x:c>
      <x:c r="L1034">
        <x:v>271.70510000000002</x:v>
      </x:c>
      <x:c r="M1034">
        <x:v>120.19710000000001</x:v>
      </x:c>
      <x:c r="N1034">
        <x:v>-365.42149999999998</x:v>
      </x:c>
      <x:c r="O1034">
        <x:v>13.161300000000001</x:v>
      </x:c>
      <x:c r="P1034">
        <x:v>170.41669999999999</x:v>
      </x:c>
      <x:c r="Q1034">
        <x:v>-656.62440000000004</x:v>
      </x:c>
      <x:c r="R1034">
        <x:v>286.8741</x:v>
      </x:c>
      <x:c r="S1034">
        <x:v>32.3613</x:v>
      </x:c>
      <x:c r="T1034" t="str">
        <x:f>""</x:f>
        <x:v/>
      </x:c>
      <x:c r="U1034" t="str">
        <x:f>""</x:f>
        <x:v/>
      </x:c>
      <x:c r="V1034" t="str">
        <x:f>""</x:f>
        <x:v/>
      </x:c>
      <x:c r="W1034" t="str">
        <x:f>""</x:f>
        <x:v/>
      </x:c>
      <x:c r="X1034" t="str">
        <x:f>""</x:f>
        <x:v/>
      </x:c>
      <x:c r="Y1034" t="str">
        <x:f>""</x:f>
        <x:v/>
      </x:c>
      <x:c r="Z1034" t="str">
        <x:f>""</x:f>
        <x:v/>
      </x:c>
      <x:c r="AA1034" t="str">
        <x:f>""</x:f>
        <x:v/>
      </x:c>
      <x:c r="AB1034" t="str">
        <x:f>""</x:f>
        <x:v/>
      </x:c>
      <x:c r="AC1034" t="str">
        <x:f>""</x:f>
        <x:v/>
      </x:c>
      <x:c r="AD1034" t="str">
        <x:f>""</x:f>
        <x:v/>
      </x:c>
      <x:c r="AE1034" t="str">
        <x:f>""</x:f>
        <x:v/>
      </x:c>
      <x:c r="AF1034" t="str">
        <x:f>""</x:f>
        <x:v/>
      </x:c>
      <x:c r="AG1034" t="str">
        <x:f>""</x:f>
        <x:v/>
      </x:c>
    </x:row>
    <x:row r="1035" spans="2:33" x14ac:dyDescent="0.25">
      <x:c r="B1035" t="str">
        <x:f>"VCR US Equity"</x:f>
        <x:v>VCR US Equity</x:v>
      </x:c>
      <x:c r="C1035" t="str">
        <x:f t="shared" si="44"/>
        <x:v>FD447</x:v>
      </x:c>
      <x:c r="D1035" t="str">
        <x:f t="shared" si="45"/>
        <x:v>FUND_FLOW</x:v>
      </x:c>
      <x:c r="E1035" t="str">
        <x:f t="shared" si="46"/>
        <x:v>Dynamic</x:v>
      </x:c>
      <x:c r="F1035">
        <x:f ca="1">_xll.BDH($B$1035,$C$1035,$B$1010,$B$1011,CONCATENATE("Per=",$B$1008),"Dts=H","Dir=H",CONCATENATE("Points=",$B$1009),"Sort=R","Days=A","Fill=B",CONCATENATE("FX=", $B$1007),"cols=14;rows=1")</x:f>
        <x:v>-318.6343</x:v>
      </x:c>
      <x:c r="G1035">
        <x:v>-57.536799999999999</x:v>
      </x:c>
      <x:c r="H1035">
        <x:v>72.960499999999996</x:v>
      </x:c>
      <x:c r="I1035">
        <x:v>278.93520000000001</x:v>
      </x:c>
      <x:c r="J1035">
        <x:v>-62.932200000000002</x:v>
      </x:c>
      <x:c r="K1035">
        <x:v>160.70760000000001</x:v>
      </x:c>
      <x:c r="L1035">
        <x:v>0.67789999999999995</x:v>
      </x:c>
      <x:c r="M1035">
        <x:v>-48.043500000000002</x:v>
      </x:c>
      <x:c r="N1035">
        <x:v>65.211200000000005</x:v>
      </x:c>
      <x:c r="O1035">
        <x:v>-75.849999999999994</x:v>
      </x:c>
      <x:c r="P1035">
        <x:v>-203.1875</x:v>
      </x:c>
      <x:c r="Q1035">
        <x:v>30.400500000000001</x:v>
      </x:c>
      <x:c r="R1035">
        <x:v>-65.069000000000003</x:v>
      </x:c>
      <x:c r="S1035">
        <x:v>-56.789099999999998</x:v>
      </x:c>
      <x:c r="T1035" t="str">
        <x:f>""</x:f>
        <x:v/>
      </x:c>
      <x:c r="U1035" t="str">
        <x:f>""</x:f>
        <x:v/>
      </x:c>
      <x:c r="V1035" t="str">
        <x:f>""</x:f>
        <x:v/>
      </x:c>
      <x:c r="W1035" t="str">
        <x:f>""</x:f>
        <x:v/>
      </x:c>
      <x:c r="X1035" t="str">
        <x:f>""</x:f>
        <x:v/>
      </x:c>
      <x:c r="Y1035" t="str">
        <x:f>""</x:f>
        <x:v/>
      </x:c>
      <x:c r="Z1035" t="str">
        <x:f>""</x:f>
        <x:v/>
      </x:c>
      <x:c r="AA1035" t="str">
        <x:f>""</x:f>
        <x:v/>
      </x:c>
      <x:c r="AB1035" t="str">
        <x:f>""</x:f>
        <x:v/>
      </x:c>
      <x:c r="AC1035" t="str">
        <x:f>""</x:f>
        <x:v/>
      </x:c>
      <x:c r="AD1035" t="str">
        <x:f>""</x:f>
        <x:v/>
      </x:c>
      <x:c r="AE1035" t="str">
        <x:f>""</x:f>
        <x:v/>
      </x:c>
      <x:c r="AF1035" t="str">
        <x:f>""</x:f>
        <x:v/>
      </x:c>
      <x:c r="AG1035" t="str">
        <x:f>""</x:f>
        <x:v/>
      </x:c>
    </x:row>
    <x:row r="1036" spans="2:33" x14ac:dyDescent="0.25">
      <x:c r="B1036" t="str">
        <x:f>"BJK US Equity"</x:f>
        <x:v>BJK US Equity</x:v>
      </x:c>
      <x:c r="C1036" t="str">
        <x:f t="shared" si="44"/>
        <x:v>FD447</x:v>
      </x:c>
      <x:c r="D1036" t="str">
        <x:f t="shared" si="45"/>
        <x:v>FUND_FLOW</x:v>
      </x:c>
      <x:c r="E1036" t="str">
        <x:f t="shared" si="46"/>
        <x:v>Dynamic</x:v>
      </x:c>
      <x:c r="F1036">
        <x:f ca="1">_xll.BDH($B$1036,$C$1036,$B$1010,$B$1011,CONCATENATE("Per=",$B$1008),"Dts=H","Dir=H",CONCATENATE("Points=",$B$1009),"Sort=R","Days=A","Fill=B",CONCATENATE("FX=", $B$1007),"cols=14;rows=1")</x:f>
        <x:v>-4.7454999999999998</x:v>
      </x:c>
      <x:c r="G1036">
        <x:v>-6.2178000000000004</x:v>
      </x:c>
      <x:c r="H1036">
        <x:v>0</x:v>
      </x:c>
      <x:c r="I1036">
        <x:v>-1.9822</x:v>
      </x:c>
      <x:c r="J1036">
        <x:v>-30.154399999999999</x:v>
      </x:c>
      <x:c r="K1036">
        <x:v>-1.0736000000000001</x:v>
      </x:c>
      <x:c r="L1036">
        <x:v>4.5548999999999999</x:v>
      </x:c>
      <x:c r="M1036">
        <x:v>-5.3319999999999999</x:v>
      </x:c>
      <x:c r="N1036">
        <x:v>-2.2187999999999999</x:v>
      </x:c>
      <x:c r="O1036">
        <x:v>-11.5725</x:v>
      </x:c>
      <x:c r="P1036">
        <x:v>22.447299999999998</x:v>
      </x:c>
      <x:c r="Q1036">
        <x:v>0</x:v>
      </x:c>
      <x:c r="R1036">
        <x:v>3.2772999999999999</x:v>
      </x:c>
      <x:c r="S1036">
        <x:v>0</x:v>
      </x:c>
      <x:c r="T1036" t="str">
        <x:f>""</x:f>
        <x:v/>
      </x:c>
      <x:c r="U1036" t="str">
        <x:f>""</x:f>
        <x:v/>
      </x:c>
      <x:c r="V1036" t="str">
        <x:f>""</x:f>
        <x:v/>
      </x:c>
      <x:c r="W1036" t="str">
        <x:f>""</x:f>
        <x:v/>
      </x:c>
      <x:c r="X1036" t="str">
        <x:f>""</x:f>
        <x:v/>
      </x:c>
      <x:c r="Y1036" t="str">
        <x:f>""</x:f>
        <x:v/>
      </x:c>
      <x:c r="Z1036" t="str">
        <x:f>""</x:f>
        <x:v/>
      </x:c>
      <x:c r="AA1036" t="str">
        <x:f>""</x:f>
        <x:v/>
      </x:c>
      <x:c r="AB1036" t="str">
        <x:f>""</x:f>
        <x:v/>
      </x:c>
      <x:c r="AC1036" t="str">
        <x:f>""</x:f>
        <x:v/>
      </x:c>
      <x:c r="AD1036" t="str">
        <x:f>""</x:f>
        <x:v/>
      </x:c>
      <x:c r="AE1036" t="str">
        <x:f>""</x:f>
        <x:v/>
      </x:c>
      <x:c r="AF1036" t="str">
        <x:f>""</x:f>
        <x:v/>
      </x:c>
      <x:c r="AG1036" t="str">
        <x:f>""</x:f>
        <x:v/>
      </x:c>
    </x:row>
    <x:row r="1037" spans="2:33" x14ac:dyDescent="0.25">
      <x:c r="B1037" t="str">
        <x:f>"ITB US Equity"</x:f>
        <x:v>ITB US Equity</x:v>
      </x:c>
      <x:c r="C1037" t="str">
        <x:f t="shared" si="44"/>
        <x:v>FD447</x:v>
      </x:c>
      <x:c r="D1037" t="str">
        <x:f t="shared" si="45"/>
        <x:v>FUND_FLOW</x:v>
      </x:c>
      <x:c r="E1037" t="str">
        <x:f t="shared" si="46"/>
        <x:v>Dynamic</x:v>
      </x:c>
      <x:c r="F1037">
        <x:f ca="1">_xll.BDH($B$1037,$C$1037,$B$1010,$B$1011,CONCATENATE("Per=",$B$1008),"Dts=H","Dir=H",CONCATENATE("Points=",$B$1009),"Sort=R","Days=A","Fill=B",CONCATENATE("FX=", $B$1007),"cols=14;rows=1")</x:f>
        <x:v>-136.31899999999999</x:v>
      </x:c>
      <x:c r="G1037">
        <x:v>-167.48429999999999</x:v>
      </x:c>
      <x:c r="H1037">
        <x:v>-182.876</x:v>
      </x:c>
      <x:c r="I1037">
        <x:v>27.654900000000001</x:v>
      </x:c>
      <x:c r="J1037">
        <x:v>284.8485</x:v>
      </x:c>
      <x:c r="K1037">
        <x:v>93.971000000000004</x:v>
      </x:c>
      <x:c r="L1037">
        <x:v>24.5822</x:v>
      </x:c>
      <x:c r="M1037">
        <x:v>257.31220000000002</x:v>
      </x:c>
      <x:c r="N1037">
        <x:v>-270.0172</x:v>
      </x:c>
      <x:c r="O1037">
        <x:v>77.380700000000004</x:v>
      </x:c>
      <x:c r="P1037">
        <x:v>115.67319999999999</x:v>
      </x:c>
      <x:c r="Q1037">
        <x:v>0.30640000000000001</x:v>
      </x:c>
      <x:c r="R1037">
        <x:v>-126.66240000000001</x:v>
      </x:c>
      <x:c r="S1037">
        <x:v>-30.0472</x:v>
      </x:c>
      <x:c r="T1037" t="str">
        <x:f>""</x:f>
        <x:v/>
      </x:c>
      <x:c r="U1037" t="str">
        <x:f>""</x:f>
        <x:v/>
      </x:c>
      <x:c r="V1037" t="str">
        <x:f>""</x:f>
        <x:v/>
      </x:c>
      <x:c r="W1037" t="str">
        <x:f>""</x:f>
        <x:v/>
      </x:c>
      <x:c r="X1037" t="str">
        <x:f>""</x:f>
        <x:v/>
      </x:c>
      <x:c r="Y1037" t="str">
        <x:f>""</x:f>
        <x:v/>
      </x:c>
      <x:c r="Z1037" t="str">
        <x:f>""</x:f>
        <x:v/>
      </x:c>
      <x:c r="AA1037" t="str">
        <x:f>""</x:f>
        <x:v/>
      </x:c>
      <x:c r="AB1037" t="str">
        <x:f>""</x:f>
        <x:v/>
      </x:c>
      <x:c r="AC1037" t="str">
        <x:f>""</x:f>
        <x:v/>
      </x:c>
      <x:c r="AD1037" t="str">
        <x:f>""</x:f>
        <x:v/>
      </x:c>
      <x:c r="AE1037" t="str">
        <x:f>""</x:f>
        <x:v/>
      </x:c>
      <x:c r="AF1037" t="str">
        <x:f>""</x:f>
        <x:v/>
      </x:c>
      <x:c r="AG1037" t="str">
        <x:f>""</x:f>
        <x:v/>
      </x:c>
    </x:row>
    <x:row r="1038" spans="2:33" x14ac:dyDescent="0.25">
      <x:c r="B1038" t="str">
        <x:f>"XHB US Equity"</x:f>
        <x:v>XHB US Equity</x:v>
      </x:c>
      <x:c r="C1038" t="str">
        <x:f t="shared" si="44"/>
        <x:v>FD447</x:v>
      </x:c>
      <x:c r="D1038" t="str">
        <x:f t="shared" si="45"/>
        <x:v>FUND_FLOW</x:v>
      </x:c>
      <x:c r="E1038" t="str">
        <x:f t="shared" si="46"/>
        <x:v>Dynamic</x:v>
      </x:c>
      <x:c r="F1038">
        <x:f ca="1">_xll.BDH($B$1038,$C$1038,$B$1010,$B$1011,CONCATENATE("Per=",$B$1008),"Dts=H","Dir=H",CONCATENATE("Points=",$B$1009),"Sort=R","Days=A","Fill=B",CONCATENATE("FX=", $B$1007),"cols=14;rows=1")</x:f>
        <x:v>-40.300699999999999</x:v>
      </x:c>
      <x:c r="G1038">
        <x:v>-14.6839</x:v>
      </x:c>
      <x:c r="H1038">
        <x:v>-139.97669999999999</x:v>
      </x:c>
      <x:c r="I1038">
        <x:v>76.9148</x:v>
      </x:c>
      <x:c r="J1038">
        <x:v>98.504400000000004</x:v>
      </x:c>
      <x:c r="K1038">
        <x:v>185.28620000000001</x:v>
      </x:c>
      <x:c r="L1038">
        <x:v>-96.621600000000001</x:v>
      </x:c>
      <x:c r="M1038">
        <x:v>11.516500000000001</x:v>
      </x:c>
      <x:c r="N1038">
        <x:v>3.9361999999999999</x:v>
      </x:c>
      <x:c r="O1038">
        <x:v>63.115099999999998</x:v>
      </x:c>
      <x:c r="P1038">
        <x:v>-96.932299999999998</x:v>
      </x:c>
      <x:c r="Q1038">
        <x:v>-108.51300000000001</x:v>
      </x:c>
      <x:c r="R1038">
        <x:v>89.889399999999995</x:v>
      </x:c>
      <x:c r="S1038">
        <x:v>-124.4499</x:v>
      </x:c>
      <x:c r="T1038" t="str">
        <x:f>""</x:f>
        <x:v/>
      </x:c>
      <x:c r="U1038" t="str">
        <x:f>""</x:f>
        <x:v/>
      </x:c>
      <x:c r="V1038" t="str">
        <x:f>""</x:f>
        <x:v/>
      </x:c>
      <x:c r="W1038" t="str">
        <x:f>""</x:f>
        <x:v/>
      </x:c>
      <x:c r="X1038" t="str">
        <x:f>""</x:f>
        <x:v/>
      </x:c>
      <x:c r="Y1038" t="str">
        <x:f>""</x:f>
        <x:v/>
      </x:c>
      <x:c r="Z1038" t="str">
        <x:f>""</x:f>
        <x:v/>
      </x:c>
      <x:c r="AA1038" t="str">
        <x:f>""</x:f>
        <x:v/>
      </x:c>
      <x:c r="AB1038" t="str">
        <x:f>""</x:f>
        <x:v/>
      </x:c>
      <x:c r="AC1038" t="str">
        <x:f>""</x:f>
        <x:v/>
      </x:c>
      <x:c r="AD1038" t="str">
        <x:f>""</x:f>
        <x:v/>
      </x:c>
      <x:c r="AE1038" t="str">
        <x:f>""</x:f>
        <x:v/>
      </x:c>
      <x:c r="AF1038" t="str">
        <x:f>""</x:f>
        <x:v/>
      </x:c>
      <x:c r="AG1038" t="str">
        <x:f>""</x:f>
        <x:v/>
      </x:c>
    </x:row>
    <x:row r="1039" spans="2:33" x14ac:dyDescent="0.25">
      <x:c r="B1039" t="str">
        <x:f>"IYC US Equity"</x:f>
        <x:v>IYC US Equity</x:v>
      </x:c>
      <x:c r="C1039" t="str">
        <x:f t="shared" si="44"/>
        <x:v>FD447</x:v>
      </x:c>
      <x:c r="D1039" t="str">
        <x:f t="shared" si="45"/>
        <x:v>FUND_FLOW</x:v>
      </x:c>
      <x:c r="E1039" t="str">
        <x:f t="shared" si="46"/>
        <x:v>Dynamic</x:v>
      </x:c>
      <x:c r="F1039">
        <x:f ca="1">_xll.BDH($B$1039,$C$1039,$B$1010,$B$1011,CONCATENATE("Per=",$B$1008),"Dts=H","Dir=H",CONCATENATE("Points=",$B$1009),"Sort=R","Days=A","Fill=B",CONCATENATE("FX=", $B$1007),"cols=14;rows=1")</x:f>
        <x:v>-0.17780000000000001</x:v>
      </x:c>
      <x:c r="G1039">
        <x:v>11.5517</x:v>
      </x:c>
      <x:c r="H1039">
        <x:v>-10.136100000000001</x:v>
      </x:c>
      <x:c r="I1039">
        <x:v>45.873899999999999</x:v>
      </x:c>
      <x:c r="J1039">
        <x:v>23.880800000000001</x:v>
      </x:c>
      <x:c r="K1039">
        <x:v>-3.2376</x:v>
      </x:c>
      <x:c r="L1039">
        <x:v>-19.311599999999999</x:v>
      </x:c>
      <x:c r="M1039">
        <x:v>-6.2386999999999997</x:v>
      </x:c>
      <x:c r="N1039">
        <x:v>21.186900000000001</x:v>
      </x:c>
      <x:c r="O1039">
        <x:v>-30.709399999999999</x:v>
      </x:c>
      <x:c r="P1039">
        <x:v>-2.5390000000000001</x:v>
      </x:c>
      <x:c r="Q1039">
        <x:v>8.8981999999999992</x:v>
      </x:c>
      <x:c r="R1039">
        <x:v>5.9446000000000003</x:v>
      </x:c>
      <x:c r="S1039">
        <x:v>-15.8118</x:v>
      </x:c>
      <x:c r="T1039" t="str">
        <x:f>""</x:f>
        <x:v/>
      </x:c>
      <x:c r="U1039" t="str">
        <x:f>""</x:f>
        <x:v/>
      </x:c>
      <x:c r="V1039" t="str">
        <x:f>""</x:f>
        <x:v/>
      </x:c>
      <x:c r="W1039" t="str">
        <x:f>""</x:f>
        <x:v/>
      </x:c>
      <x:c r="X1039" t="str">
        <x:f>""</x:f>
        <x:v/>
      </x:c>
      <x:c r="Y1039" t="str">
        <x:f>""</x:f>
        <x:v/>
      </x:c>
      <x:c r="Z1039" t="str">
        <x:f>""</x:f>
        <x:v/>
      </x:c>
      <x:c r="AA1039" t="str">
        <x:f>""</x:f>
        <x:v/>
      </x:c>
      <x:c r="AB1039" t="str">
        <x:f>""</x:f>
        <x:v/>
      </x:c>
      <x:c r="AC1039" t="str">
        <x:f>""</x:f>
        <x:v/>
      </x:c>
      <x:c r="AD1039" t="str">
        <x:f>""</x:f>
        <x:v/>
      </x:c>
      <x:c r="AE1039" t="str">
        <x:f>""</x:f>
        <x:v/>
      </x:c>
      <x:c r="AF1039" t="str">
        <x:f>""</x:f>
        <x:v/>
      </x:c>
      <x:c r="AG1039" t="str">
        <x:f>""</x:f>
        <x:v/>
      </x:c>
    </x:row>
    <x:row r="1040" spans="2:33" x14ac:dyDescent="0.25">
      <x:c r="B1040" t="str">
        <x:f>"FXD US Equity"</x:f>
        <x:v>FXD US Equity</x:v>
      </x:c>
      <x:c r="C1040" t="str">
        <x:f t="shared" si="44"/>
        <x:v>FD447</x:v>
      </x:c>
      <x:c r="D1040" t="str">
        <x:f t="shared" si="45"/>
        <x:v>FUND_FLOW</x:v>
      </x:c>
      <x:c r="E1040" t="str">
        <x:f t="shared" si="46"/>
        <x:v>Dynamic</x:v>
      </x:c>
      <x:c r="F1040">
        <x:f ca="1">_xll.BDH($B$1040,$C$1040,$B$1010,$B$1011,CONCATENATE("Per=",$B$1008),"Dts=H","Dir=H",CONCATENATE("Points=",$B$1009),"Sort=R","Days=A","Fill=B",CONCATENATE("FX=", $B$1007),"cols=14;rows=1")</x:f>
        <x:v>-78.798599999999993</x:v>
      </x:c>
      <x:c r="G1040">
        <x:v>5.5945999999999998</x:v>
      </x:c>
      <x:c r="H1040">
        <x:v>27.826000000000001</x:v>
      </x:c>
      <x:c r="I1040">
        <x:v>37.134999999999998</x:v>
      </x:c>
      <x:c r="J1040">
        <x:v>59.784999999999997</x:v>
      </x:c>
      <x:c r="K1040">
        <x:v>-8.7499999999999994E-2</x:v>
      </x:c>
      <x:c r="L1040">
        <x:v>30.593499999999999</x:v>
      </x:c>
      <x:c r="M1040">
        <x:v>823.61400000000003</x:v>
      </x:c>
      <x:c r="N1040">
        <x:v>40.177500000000002</x:v>
      </x:c>
      <x:c r="O1040">
        <x:v>-5.335</x:v>
      </x:c>
      <x:c r="P1040">
        <x:v>-16.9664</x:v>
      </x:c>
      <x:c r="Q1040">
        <x:v>-14.570399999999999</x:v>
      </x:c>
      <x:c r="R1040">
        <x:v>-20.666599999999999</x:v>
      </x:c>
      <x:c r="S1040">
        <x:v>-4.8037000000000001</x:v>
      </x:c>
      <x:c r="T1040" t="str">
        <x:f>""</x:f>
        <x:v/>
      </x:c>
      <x:c r="U1040" t="str">
        <x:f>""</x:f>
        <x:v/>
      </x:c>
      <x:c r="V1040" t="str">
        <x:f>""</x:f>
        <x:v/>
      </x:c>
      <x:c r="W1040" t="str">
        <x:f>""</x:f>
        <x:v/>
      </x:c>
      <x:c r="X1040" t="str">
        <x:f>""</x:f>
        <x:v/>
      </x:c>
      <x:c r="Y1040" t="str">
        <x:f>""</x:f>
        <x:v/>
      </x:c>
      <x:c r="Z1040" t="str">
        <x:f>""</x:f>
        <x:v/>
      </x:c>
      <x:c r="AA1040" t="str">
        <x:f>""</x:f>
        <x:v/>
      </x:c>
      <x:c r="AB1040" t="str">
        <x:f>""</x:f>
        <x:v/>
      </x:c>
      <x:c r="AC1040" t="str">
        <x:f>""</x:f>
        <x:v/>
      </x:c>
      <x:c r="AD1040" t="str">
        <x:f>""</x:f>
        <x:v/>
      </x:c>
      <x:c r="AE1040" t="str">
        <x:f>""</x:f>
        <x:v/>
      </x:c>
      <x:c r="AF1040" t="str">
        <x:f>""</x:f>
        <x:v/>
      </x:c>
      <x:c r="AG1040" t="str">
        <x:f>""</x:f>
        <x:v/>
      </x:c>
    </x:row>
    <x:row r="1041" spans="2:33" x14ac:dyDescent="0.25">
      <x:c r="B1041" t="str">
        <x:f>"HOML US Equity"</x:f>
        <x:v>HOML US Equity</x:v>
      </x:c>
      <x:c r="C1041" t="str">
        <x:f t="shared" si="44"/>
        <x:v>FD447</x:v>
      </x:c>
      <x:c r="D1041" t="str">
        <x:f t="shared" si="45"/>
        <x:v>FUND_FLOW</x:v>
      </x:c>
      <x:c r="E1041" t="str">
        <x:f t="shared" si="46"/>
        <x:v>Dynamic</x:v>
      </x:c>
      <x:c r="F1041" t="str">
        <x:f ca="1">_xll.BDH($B$1041,$C$1041,$B$1010,$B$1011,CONCATENATE("Per=",$B$1008),"Dts=H","Dir=H",CONCATENATE("Points=",$B$1009),"Sort=R","Days=A","Fill=B",CONCATENATE("FX=", $B$1007) )</x:f>
        <x:v/>
      </x:c>
      <x:c r="T1041" t="str">
        <x:f>""</x:f>
        <x:v/>
      </x:c>
      <x:c r="U1041" t="str">
        <x:f>""</x:f>
        <x:v/>
      </x:c>
      <x:c r="V1041" t="str">
        <x:f>""</x:f>
        <x:v/>
      </x:c>
      <x:c r="W1041" t="str">
        <x:f>""</x:f>
        <x:v/>
      </x:c>
      <x:c r="X1041" t="str">
        <x:f>""</x:f>
        <x:v/>
      </x:c>
      <x:c r="Y1041" t="str">
        <x:f>""</x:f>
        <x:v/>
      </x:c>
      <x:c r="Z1041" t="str">
        <x:f>""</x:f>
        <x:v/>
      </x:c>
      <x:c r="AA1041" t="str">
        <x:f>""</x:f>
        <x:v/>
      </x:c>
      <x:c r="AB1041" t="str">
        <x:f>""</x:f>
        <x:v/>
      </x:c>
      <x:c r="AC1041" t="str">
        <x:f>""</x:f>
        <x:v/>
      </x:c>
      <x:c r="AD1041" t="str">
        <x:f>""</x:f>
        <x:v/>
      </x:c>
      <x:c r="AE1041" t="str">
        <x:f>""</x:f>
        <x:v/>
      </x:c>
      <x:c r="AF1041" t="str">
        <x:f>""</x:f>
        <x:v/>
      </x:c>
      <x:c r="AG1041" t="str">
        <x:f>""</x:f>
        <x:v/>
      </x:c>
    </x:row>
    <x:row r="1042" spans="2:33" x14ac:dyDescent="0.25">
      <x:c r="B1042" t="str">
        <x:f>"XRT US Equity"</x:f>
        <x:v>XRT US Equity</x:v>
      </x:c>
      <x:c r="C1042" t="str">
        <x:f t="shared" si="44"/>
        <x:v>FD447</x:v>
      </x:c>
      <x:c r="D1042" t="str">
        <x:f t="shared" si="45"/>
        <x:v>FUND_FLOW</x:v>
      </x:c>
      <x:c r="E1042" t="str">
        <x:f t="shared" si="46"/>
        <x:v>Dynamic</x:v>
      </x:c>
      <x:c r="F1042">
        <x:f ca="1">_xll.BDH($B$1042,$C$1042,$B$1010,$B$1011,CONCATENATE("Per=",$B$1008),"Dts=H","Dir=H",CONCATENATE("Points=",$B$1009),"Sort=R","Days=A","Fill=B",CONCATENATE("FX=", $B$1007),"cols=14;rows=1")</x:f>
        <x:v>-53.2027</x:v>
      </x:c>
      <x:c r="G1042">
        <x:v>4.9252000000000002</x:v>
      </x:c>
      <x:c r="H1042">
        <x:v>-56.061300000000003</x:v>
      </x:c>
      <x:c r="I1042">
        <x:v>-29.674399999999999</x:v>
      </x:c>
      <x:c r="J1042">
        <x:v>124.62820000000001</x:v>
      </x:c>
      <x:c r="K1042">
        <x:v>-74.982200000000006</x:v>
      </x:c>
      <x:c r="L1042">
        <x:v>-33.859299999999998</x:v>
      </x:c>
      <x:c r="M1042">
        <x:v>83.434700000000007</x:v>
      </x:c>
      <x:c r="N1042">
        <x:v>35.100900000000003</x:v>
      </x:c>
      <x:c r="O1042">
        <x:v>41.8078</x:v>
      </x:c>
      <x:c r="P1042">
        <x:v>-355.08659999999998</x:v>
      </x:c>
      <x:c r="Q1042">
        <x:v>228.5899</x:v>
      </x:c>
      <x:c r="R1042">
        <x:v>152.35579999999999</x:v>
      </x:c>
      <x:c r="S1042">
        <x:v>-25.3004</x:v>
      </x:c>
      <x:c r="T1042" t="str">
        <x:f>""</x:f>
        <x:v/>
      </x:c>
      <x:c r="U1042" t="str">
        <x:f>""</x:f>
        <x:v/>
      </x:c>
      <x:c r="V1042" t="str">
        <x:f>""</x:f>
        <x:v/>
      </x:c>
      <x:c r="W1042" t="str">
        <x:f>""</x:f>
        <x:v/>
      </x:c>
      <x:c r="X1042" t="str">
        <x:f>""</x:f>
        <x:v/>
      </x:c>
      <x:c r="Y1042" t="str">
        <x:f>""</x:f>
        <x:v/>
      </x:c>
      <x:c r="Z1042" t="str">
        <x:f>""</x:f>
        <x:v/>
      </x:c>
      <x:c r="AA1042" t="str">
        <x:f>""</x:f>
        <x:v/>
      </x:c>
      <x:c r="AB1042" t="str">
        <x:f>""</x:f>
        <x:v/>
      </x:c>
      <x:c r="AC1042" t="str">
        <x:f>""</x:f>
        <x:v/>
      </x:c>
      <x:c r="AD1042" t="str">
        <x:f>""</x:f>
        <x:v/>
      </x:c>
      <x:c r="AE1042" t="str">
        <x:f>""</x:f>
        <x:v/>
      </x:c>
      <x:c r="AF1042" t="str">
        <x:f>""</x:f>
        <x:v/>
      </x:c>
      <x:c r="AG1042" t="str">
        <x:f>""</x:f>
        <x:v/>
      </x:c>
    </x:row>
    <x:row r="1043" spans="2:33" x14ac:dyDescent="0.25">
      <x:c r="B1043" t="str">
        <x:f>"PKB US Equity"</x:f>
        <x:v>PKB US Equity</x:v>
      </x:c>
      <x:c r="C1043" t="str">
        <x:f t="shared" si="44"/>
        <x:v>FD447</x:v>
      </x:c>
      <x:c r="D1043" t="str">
        <x:f t="shared" si="45"/>
        <x:v>FUND_FLOW</x:v>
      </x:c>
      <x:c r="E1043" t="str">
        <x:f t="shared" si="46"/>
        <x:v>Dynamic</x:v>
      </x:c>
      <x:c r="F1043">
        <x:f ca="1">_xll.BDH($B$1043,$C$1043,$B$1010,$B$1011,CONCATENATE("Per=",$B$1008),"Dts=H","Dir=H",CONCATENATE("Points=",$B$1009),"Sort=R","Days=A","Fill=B",CONCATENATE("FX=", $B$1007),"cols=14;rows=1")</x:f>
        <x:v>-12.665699999999999</x:v>
      </x:c>
      <x:c r="G1043">
        <x:v>-25.700099999999999</x:v>
      </x:c>
      <x:c r="H1043">
        <x:v>18.1797</x:v>
      </x:c>
      <x:c r="I1043">
        <x:v>14.0657</x:v>
      </x:c>
      <x:c r="J1043">
        <x:v>1.9792000000000001</x:v>
      </x:c>
      <x:c r="K1043">
        <x:v>15.821199999999999</x:v>
      </x:c>
      <x:c r="L1043">
        <x:v>7.0477999999999996</x:v>
      </x:c>
      <x:c r="M1043">
        <x:v>6.8288000000000002</x:v>
      </x:c>
      <x:c r="N1043">
        <x:v>46.431699999999999</x:v>
      </x:c>
      <x:c r="O1043">
        <x:v>-1.7149000000000001</x:v>
      </x:c>
      <x:c r="P1043">
        <x:v>-2.9171</x:v>
      </x:c>
      <x:c r="Q1043">
        <x:v>-4.8781999999999996</x:v>
      </x:c>
      <x:c r="R1043">
        <x:v>-3.4782000000000002</x:v>
      </x:c>
      <x:c r="S1043">
        <x:v>-4.2850999999999999</x:v>
      </x:c>
      <x:c r="T1043" t="str">
        <x:f>""</x:f>
        <x:v/>
      </x:c>
      <x:c r="U1043" t="str">
        <x:f>""</x:f>
        <x:v/>
      </x:c>
      <x:c r="V1043" t="str">
        <x:f>""</x:f>
        <x:v/>
      </x:c>
      <x:c r="W1043" t="str">
        <x:f>""</x:f>
        <x:v/>
      </x:c>
      <x:c r="X1043" t="str">
        <x:f>""</x:f>
        <x:v/>
      </x:c>
      <x:c r="Y1043" t="str">
        <x:f>""</x:f>
        <x:v/>
      </x:c>
      <x:c r="Z1043" t="str">
        <x:f>""</x:f>
        <x:v/>
      </x:c>
      <x:c r="AA1043" t="str">
        <x:f>""</x:f>
        <x:v/>
      </x:c>
      <x:c r="AB1043" t="str">
        <x:f>""</x:f>
        <x:v/>
      </x:c>
      <x:c r="AC1043" t="str">
        <x:f>""</x:f>
        <x:v/>
      </x:c>
      <x:c r="AD1043" t="str">
        <x:f>""</x:f>
        <x:v/>
      </x:c>
      <x:c r="AE1043" t="str">
        <x:f>""</x:f>
        <x:v/>
      </x:c>
      <x:c r="AF1043" t="str">
        <x:f>""</x:f>
        <x:v/>
      </x:c>
      <x:c r="AG1043" t="str">
        <x:f>""</x:f>
        <x:v/>
      </x:c>
    </x:row>
    <x:row r="1044" spans="2:33" x14ac:dyDescent="0.25">
      <x:c r="B1044" t="str">
        <x:f>"FDIS US Equity"</x:f>
        <x:v>FDIS US Equity</x:v>
      </x:c>
      <x:c r="C1044" t="str">
        <x:f t="shared" si="44"/>
        <x:v>FD447</x:v>
      </x:c>
      <x:c r="D1044" t="str">
        <x:f t="shared" si="45"/>
        <x:v>FUND_FLOW</x:v>
      </x:c>
      <x:c r="E1044" t="str">
        <x:f t="shared" si="46"/>
        <x:v>Dynamic</x:v>
      </x:c>
      <x:c r="F1044">
        <x:f ca="1">_xll.BDH($B$1044,$C$1044,$B$1010,$B$1011,CONCATENATE("Per=",$B$1008),"Dts=H","Dir=H",CONCATENATE("Points=",$B$1009),"Sort=R","Days=A","Fill=B",CONCATENATE("FX=", $B$1007),"cols=14;rows=1")</x:f>
        <x:v>3.4908000000000001</x:v>
      </x:c>
      <x:c r="G1044">
        <x:v>-7.8232999999999997</x:v>
      </x:c>
      <x:c r="H1044">
        <x:v>-17.805299999999999</x:v>
      </x:c>
      <x:c r="I1044">
        <x:v>15.0288</x:v>
      </x:c>
      <x:c r="J1044">
        <x:v>17.933599999999998</x:v>
      </x:c>
      <x:c r="K1044">
        <x:v>-3.2416999999999998</x:v>
      </x:c>
      <x:c r="L1044">
        <x:v>16.207999999999998</x:v>
      </x:c>
      <x:c r="M1044">
        <x:v>21.732600000000001</x:v>
      </x:c>
      <x:c r="N1044">
        <x:v>0.1535</x:v>
      </x:c>
      <x:c r="O1044">
        <x:v>-17.971299999999999</x:v>
      </x:c>
      <x:c r="P1044">
        <x:v>-5.8042999999999996</x:v>
      </x:c>
      <x:c r="Q1044">
        <x:v>-2.9670999999999998</x:v>
      </x:c>
      <x:c r="R1044">
        <x:v>-15.5602</x:v>
      </x:c>
      <x:c r="S1044">
        <x:v>-10.8955</x:v>
      </x:c>
      <x:c r="T1044" t="str">
        <x:f>""</x:f>
        <x:v/>
      </x:c>
      <x:c r="U1044" t="str">
        <x:f>""</x:f>
        <x:v/>
      </x:c>
      <x:c r="V1044" t="str">
        <x:f>""</x:f>
        <x:v/>
      </x:c>
      <x:c r="W1044" t="str">
        <x:f>""</x:f>
        <x:v/>
      </x:c>
      <x:c r="X1044" t="str">
        <x:f>""</x:f>
        <x:v/>
      </x:c>
      <x:c r="Y1044" t="str">
        <x:f>""</x:f>
        <x:v/>
      </x:c>
      <x:c r="Z1044" t="str">
        <x:f>""</x:f>
        <x:v/>
      </x:c>
      <x:c r="AA1044" t="str">
        <x:f>""</x:f>
        <x:v/>
      </x:c>
      <x:c r="AB1044" t="str">
        <x:f>""</x:f>
        <x:v/>
      </x:c>
      <x:c r="AC1044" t="str">
        <x:f>""</x:f>
        <x:v/>
      </x:c>
      <x:c r="AD1044" t="str">
        <x:f>""</x:f>
        <x:v/>
      </x:c>
      <x:c r="AE1044" t="str">
        <x:f>""</x:f>
        <x:v/>
      </x:c>
      <x:c r="AF1044" t="str">
        <x:f>""</x:f>
        <x:v/>
      </x:c>
      <x:c r="AG1044" t="str">
        <x:f>""</x:f>
        <x:v/>
      </x:c>
    </x:row>
    <x:row r="1045" spans="2:33" x14ac:dyDescent="0.25">
      <x:c r="B1045" t="str">
        <x:f>"RXI US Equity"</x:f>
        <x:v>RXI US Equity</x:v>
      </x:c>
      <x:c r="C1045" t="str">
        <x:f t="shared" si="44"/>
        <x:v>FD447</x:v>
      </x:c>
      <x:c r="D1045" t="str">
        <x:f t="shared" si="45"/>
        <x:v>FUND_FLOW</x:v>
      </x:c>
      <x:c r="E1045" t="str">
        <x:f t="shared" si="46"/>
        <x:v>Dynamic</x:v>
      </x:c>
      <x:c r="F1045">
        <x:f ca="1">_xll.BDH($B$1045,$C$1045,$B$1010,$B$1011,CONCATENATE("Per=",$B$1008),"Dts=H","Dir=H",CONCATENATE("Points=",$B$1009),"Sort=R","Days=A","Fill=B",CONCATENATE("FX=", $B$1007),"cols=14;rows=1")</x:f>
        <x:v>0</x:v>
      </x:c>
      <x:c r="G1045">
        <x:v>-14.6675</x:v>
      </x:c>
      <x:c r="H1045">
        <x:v>-7.8761000000000001</x:v>
      </x:c>
      <x:c r="I1045">
        <x:v>0</x:v>
      </x:c>
      <x:c r="J1045">
        <x:v>7.3685999999999998</x:v>
      </x:c>
      <x:c r="K1045">
        <x:v>0</x:v>
      </x:c>
      <x:c r="L1045">
        <x:v>14.332100000000001</x:v>
      </x:c>
      <x:c r="M1045">
        <x:v>6.4366000000000003</x:v>
      </x:c>
      <x:c r="N1045">
        <x:v>-13.962199999999999</x:v>
      </x:c>
      <x:c r="O1045">
        <x:v>13.425800000000001</x:v>
      </x:c>
      <x:c r="P1045">
        <x:v>6.7106000000000003</x:v>
      </x:c>
      <x:c r="Q1045">
        <x:v>13.1678</x:v>
      </x:c>
      <x:c r="R1045">
        <x:v>-42.142099999999999</x:v>
      </x:c>
      <x:c r="S1045">
        <x:v>-12.2323</x:v>
      </x:c>
      <x:c r="T1045" t="str">
        <x:f>""</x:f>
        <x:v/>
      </x:c>
      <x:c r="U1045" t="str">
        <x:f>""</x:f>
        <x:v/>
      </x:c>
      <x:c r="V1045" t="str">
        <x:f>""</x:f>
        <x:v/>
      </x:c>
      <x:c r="W1045" t="str">
        <x:f>""</x:f>
        <x:v/>
      </x:c>
      <x:c r="X1045" t="str">
        <x:f>""</x:f>
        <x:v/>
      </x:c>
      <x:c r="Y1045" t="str">
        <x:f>""</x:f>
        <x:v/>
      </x:c>
      <x:c r="Z1045" t="str">
        <x:f>""</x:f>
        <x:v/>
      </x:c>
      <x:c r="AA1045" t="str">
        <x:f>""</x:f>
        <x:v/>
      </x:c>
      <x:c r="AB1045" t="str">
        <x:f>""</x:f>
        <x:v/>
      </x:c>
      <x:c r="AC1045" t="str">
        <x:f>""</x:f>
        <x:v/>
      </x:c>
      <x:c r="AD1045" t="str">
        <x:f>""</x:f>
        <x:v/>
      </x:c>
      <x:c r="AE1045" t="str">
        <x:f>""</x:f>
        <x:v/>
      </x:c>
      <x:c r="AF1045" t="str">
        <x:f>""</x:f>
        <x:v/>
      </x:c>
      <x:c r="AG1045" t="str">
        <x:f>""</x:f>
        <x:v/>
      </x:c>
    </x:row>
    <x:row r="1046" spans="2:33" x14ac:dyDescent="0.25">
      <x:c r="B1046" t="str">
        <x:f>"PBS US Equity"</x:f>
        <x:v>PBS US Equity</x:v>
      </x:c>
      <x:c r="C1046" t="str">
        <x:f t="shared" si="44"/>
        <x:v>FD447</x:v>
      </x:c>
      <x:c r="D1046" t="str">
        <x:f t="shared" si="45"/>
        <x:v>FUND_FLOW</x:v>
      </x:c>
      <x:c r="E1046" t="str">
        <x:f t="shared" si="46"/>
        <x:v>Dynamic</x:v>
      </x:c>
      <x:c r="F1046">
        <x:f ca="1">_xll.BDH($B$1046,$C$1046,$B$1010,$B$1011,CONCATENATE("Per=",$B$1008),"Dts=H","Dir=H",CONCATENATE("Points=",$B$1009),"Sort=R","Days=A","Fill=B",CONCATENATE("FX=", $B$1007),"cols=14;rows=1")</x:f>
        <x:v>0</x:v>
      </x:c>
      <x:c r="G1046">
        <x:v>0</x:v>
      </x:c>
      <x:c r="H1046">
        <x:v>0</x:v>
      </x:c>
      <x:c r="T1046" t="str">
        <x:f>""</x:f>
        <x:v/>
      </x:c>
      <x:c r="U1046" t="str">
        <x:f>""</x:f>
        <x:v/>
      </x:c>
      <x:c r="V1046" t="str">
        <x:f>""</x:f>
        <x:v/>
      </x:c>
      <x:c r="W1046" t="str">
        <x:f>""</x:f>
        <x:v/>
      </x:c>
      <x:c r="X1046" t="str">
        <x:f>""</x:f>
        <x:v/>
      </x:c>
      <x:c r="Y1046" t="str">
        <x:f>""</x:f>
        <x:v/>
      </x:c>
      <x:c r="Z1046" t="str">
        <x:f>""</x:f>
        <x:v/>
      </x:c>
      <x:c r="AA1046" t="str">
        <x:f>""</x:f>
        <x:v/>
      </x:c>
      <x:c r="AB1046" t="str">
        <x:f>""</x:f>
        <x:v/>
      </x:c>
      <x:c r="AC1046" t="str">
        <x:f>""</x:f>
        <x:v/>
      </x:c>
      <x:c r="AD1046" t="str">
        <x:f>""</x:f>
        <x:v/>
      </x:c>
      <x:c r="AE1046" t="str">
        <x:f>""</x:f>
        <x:v/>
      </x:c>
      <x:c r="AF1046" t="str">
        <x:f>""</x:f>
        <x:v/>
      </x:c>
      <x:c r="AG1046" t="str">
        <x:f>""</x:f>
        <x:v/>
      </x:c>
    </x:row>
    <x:row r="1047" spans="2:33" x14ac:dyDescent="0.25">
      <x:c r="B1047" t="str">
        <x:f>"RCD US Equity"</x:f>
        <x:v>RCD US Equity</x:v>
      </x:c>
      <x:c r="C1047" t="str">
        <x:f t="shared" si="44"/>
        <x:v>FD447</x:v>
      </x:c>
      <x:c r="D1047" t="str">
        <x:f t="shared" si="45"/>
        <x:v>FUND_FLOW</x:v>
      </x:c>
      <x:c r="E1047" t="str">
        <x:f t="shared" si="46"/>
        <x:v>Dynamic</x:v>
      </x:c>
      <x:c r="F1047">
        <x:f ca="1">_xll.BDH($B$1047,$C$1047,$B$1010,$B$1011,CONCATENATE("Per=",$B$1008),"Dts=H","Dir=H",CONCATENATE("Points=",$B$1009),"Sort=R","Days=A","Fill=B",CONCATENATE("FX=", $B$1007),"cols=14;rows=1")</x:f>
        <x:v>-159.7345</x:v>
      </x:c>
      <x:c r="G1047">
        <x:v>91.366200000000006</x:v>
      </x:c>
      <x:c r="H1047">
        <x:v>-0.98040000000000005</x:v>
      </x:c>
      <x:c r="I1047">
        <x:v>11.3169</x:v>
      </x:c>
      <x:c r="J1047">
        <x:v>-6.3956999999999997</x:v>
      </x:c>
      <x:c r="K1047">
        <x:v>-10.199199999999999</x:v>
      </x:c>
      <x:c r="L1047">
        <x:v>6.3026</x:v>
      </x:c>
      <x:c r="M1047">
        <x:v>-132.65</x:v>
      </x:c>
      <x:c r="N1047">
        <x:v>20.9087</x:v>
      </x:c>
      <x:c r="O1047">
        <x:v>104.23139999999999</x:v>
      </x:c>
      <x:c r="P1047">
        <x:v>-43.497199999999999</x:v>
      </x:c>
      <x:c r="Q1047">
        <x:v>141.92019999999999</x:v>
      </x:c>
      <x:c r="R1047">
        <x:v>1.1940999999999999</x:v>
      </x:c>
      <x:c r="S1047">
        <x:v>-13.5961</x:v>
      </x:c>
      <x:c r="T1047" t="str">
        <x:f>""</x:f>
        <x:v/>
      </x:c>
      <x:c r="U1047" t="str">
        <x:f>""</x:f>
        <x:v/>
      </x:c>
      <x:c r="V1047" t="str">
        <x:f>""</x:f>
        <x:v/>
      </x:c>
      <x:c r="W1047" t="str">
        <x:f>""</x:f>
        <x:v/>
      </x:c>
      <x:c r="X1047" t="str">
        <x:f>""</x:f>
        <x:v/>
      </x:c>
      <x:c r="Y1047" t="str">
        <x:f>""</x:f>
        <x:v/>
      </x:c>
      <x:c r="Z1047" t="str">
        <x:f>""</x:f>
        <x:v/>
      </x:c>
      <x:c r="AA1047" t="str">
        <x:f>""</x:f>
        <x:v/>
      </x:c>
      <x:c r="AB1047" t="str">
        <x:f>""</x:f>
        <x:v/>
      </x:c>
      <x:c r="AC1047" t="str">
        <x:f>""</x:f>
        <x:v/>
      </x:c>
      <x:c r="AD1047" t="str">
        <x:f>""</x:f>
        <x:v/>
      </x:c>
      <x:c r="AE1047" t="str">
        <x:f>""</x:f>
        <x:v/>
      </x:c>
      <x:c r="AF1047" t="str">
        <x:f>""</x:f>
        <x:v/>
      </x:c>
      <x:c r="AG1047" t="str">
        <x:f>""</x:f>
        <x:v/>
      </x:c>
    </x:row>
    <x:row r="1048" spans="2:33" x14ac:dyDescent="0.25">
      <x:c r="B1048" t="str">
        <x:f>"CHIQ US Equity"</x:f>
        <x:v>CHIQ US Equity</x:v>
      </x:c>
      <x:c r="C1048" t="str">
        <x:f t="shared" si="44"/>
        <x:v>FD447</x:v>
      </x:c>
      <x:c r="D1048" t="str">
        <x:f t="shared" si="45"/>
        <x:v>FUND_FLOW</x:v>
      </x:c>
      <x:c r="E1048" t="str">
        <x:f t="shared" si="46"/>
        <x:v>Dynamic</x:v>
      </x:c>
      <x:c r="F1048">
        <x:f ca="1">_xll.BDH($B$1048,$C$1048,$B$1010,$B$1011,CONCATENATE("Per=",$B$1008),"Dts=H","Dir=H",CONCATENATE("Points=",$B$1009),"Sort=R","Days=A","Fill=B",CONCATENATE("FX=", $B$1007),"cols=14;rows=1")</x:f>
        <x:v>-9.6929999999999996</x:v>
      </x:c>
      <x:c r="G1048">
        <x:v>-1.3411999999999999</x:v>
      </x:c>
      <x:c r="H1048">
        <x:v>-11.592000000000001</x:v>
      </x:c>
      <x:c r="I1048">
        <x:v>0</x:v>
      </x:c>
      <x:c r="J1048">
        <x:v>-4.9382999999999999</x:v>
      </x:c>
      <x:c r="K1048">
        <x:v>-4.3848000000000003</x:v>
      </x:c>
      <x:c r="L1048">
        <x:v>0</x:v>
      </x:c>
      <x:c r="M1048">
        <x:v>0</x:v>
      </x:c>
      <x:c r="N1048">
        <x:v>9.8122000000000007</x:v>
      </x:c>
      <x:c r="O1048">
        <x:v>57.566200000000002</x:v>
      </x:c>
      <x:c r="P1048">
        <x:v>3.6432000000000002</x:v>
      </x:c>
      <x:c r="Q1048">
        <x:v>-9.0208999999999993</x:v>
      </x:c>
      <x:c r="R1048">
        <x:v>-11.051299999999999</x:v>
      </x:c>
      <x:c r="S1048">
        <x:v>-20.717500000000001</x:v>
      </x:c>
      <x:c r="T1048" t="str">
        <x:f>""</x:f>
        <x:v/>
      </x:c>
      <x:c r="U1048" t="str">
        <x:f>""</x:f>
        <x:v/>
      </x:c>
      <x:c r="V1048" t="str">
        <x:f>""</x:f>
        <x:v/>
      </x:c>
      <x:c r="W1048" t="str">
        <x:f>""</x:f>
        <x:v/>
      </x:c>
      <x:c r="X1048" t="str">
        <x:f>""</x:f>
        <x:v/>
      </x:c>
      <x:c r="Y1048" t="str">
        <x:f>""</x:f>
        <x:v/>
      </x:c>
      <x:c r="Z1048" t="str">
        <x:f>""</x:f>
        <x:v/>
      </x:c>
      <x:c r="AA1048" t="str">
        <x:f>""</x:f>
        <x:v/>
      </x:c>
      <x:c r="AB1048" t="str">
        <x:f>""</x:f>
        <x:v/>
      </x:c>
      <x:c r="AC1048" t="str">
        <x:f>""</x:f>
        <x:v/>
      </x:c>
      <x:c r="AD1048" t="str">
        <x:f>""</x:f>
        <x:v/>
      </x:c>
      <x:c r="AE1048" t="str">
        <x:f>""</x:f>
        <x:v/>
      </x:c>
      <x:c r="AF1048" t="str">
        <x:f>""</x:f>
        <x:v/>
      </x:c>
      <x:c r="AG1048" t="str">
        <x:f>""</x:f>
        <x:v/>
      </x:c>
    </x:row>
    <x:row r="1049" spans="2:33" x14ac:dyDescent="0.25">
      <x:c r="B1049" t="str">
        <x:f>"RTH US Equity"</x:f>
        <x:v>RTH US Equity</x:v>
      </x:c>
      <x:c r="C1049" t="str">
        <x:f t="shared" si="44"/>
        <x:v>FD447</x:v>
      </x:c>
      <x:c r="D1049" t="str">
        <x:f t="shared" si="45"/>
        <x:v>FUND_FLOW</x:v>
      </x:c>
      <x:c r="E1049" t="str">
        <x:f t="shared" si="46"/>
        <x:v>Dynamic</x:v>
      </x:c>
      <x:c r="F1049">
        <x:f ca="1">_xll.BDH($B$1049,$C$1049,$B$1010,$B$1011,CONCATENATE("Per=",$B$1008),"Dts=H","Dir=H",CONCATENATE("Points=",$B$1009),"Sort=R","Days=A","Fill=B",CONCATENATE("FX=", $B$1007),"cols=14;rows=1")</x:f>
        <x:v>8.1552000000000007</x:v>
      </x:c>
      <x:c r="G1049">
        <x:v>8.8661999999999992</x:v>
      </x:c>
      <x:c r="H1049">
        <x:v>0</x:v>
      </x:c>
      <x:c r="I1049">
        <x:v>0</x:v>
      </x:c>
      <x:c r="J1049">
        <x:v>0</x:v>
      </x:c>
      <x:c r="K1049">
        <x:v>-8.1362000000000005</x:v>
      </x:c>
      <x:c r="L1049">
        <x:v>0</x:v>
      </x:c>
      <x:c r="M1049">
        <x:v>-4.5999999999999999E-3</x:v>
      </x:c>
      <x:c r="N1049">
        <x:v>0</x:v>
      </x:c>
      <x:c r="O1049">
        <x:v>0</x:v>
      </x:c>
      <x:c r="P1049">
        <x:v>0</x:v>
      </x:c>
      <x:c r="Q1049">
        <x:v>-16.153099999999998</x:v>
      </x:c>
      <x:c r="R1049">
        <x:v>7.9093</x:v>
      </x:c>
      <x:c r="S1049">
        <x:v>0</x:v>
      </x:c>
      <x:c r="T1049" t="str">
        <x:f>""</x:f>
        <x:v/>
      </x:c>
      <x:c r="U1049" t="str">
        <x:f>""</x:f>
        <x:v/>
      </x:c>
      <x:c r="V1049" t="str">
        <x:f>""</x:f>
        <x:v/>
      </x:c>
      <x:c r="W1049" t="str">
        <x:f>""</x:f>
        <x:v/>
      </x:c>
      <x:c r="X1049" t="str">
        <x:f>""</x:f>
        <x:v/>
      </x:c>
      <x:c r="Y1049" t="str">
        <x:f>""</x:f>
        <x:v/>
      </x:c>
      <x:c r="Z1049" t="str">
        <x:f>""</x:f>
        <x:v/>
      </x:c>
      <x:c r="AA1049" t="str">
        <x:f>""</x:f>
        <x:v/>
      </x:c>
      <x:c r="AB1049" t="str">
        <x:f>""</x:f>
        <x:v/>
      </x:c>
      <x:c r="AC1049" t="str">
        <x:f>""</x:f>
        <x:v/>
      </x:c>
      <x:c r="AD1049" t="str">
        <x:f>""</x:f>
        <x:v/>
      </x:c>
      <x:c r="AE1049" t="str">
        <x:f>""</x:f>
        <x:v/>
      </x:c>
      <x:c r="AF1049" t="str">
        <x:f>""</x:f>
        <x:v/>
      </x:c>
      <x:c r="AG1049" t="str">
        <x:f>""</x:f>
        <x:v/>
      </x:c>
    </x:row>
    <x:row r="1050" spans="2:33" x14ac:dyDescent="0.25">
      <x:c r="B1050" t="str">
        <x:f>"PSCD US Equity"</x:f>
        <x:v>PSCD US Equity</x:v>
      </x:c>
      <x:c r="C1050" t="str">
        <x:f t="shared" si="44"/>
        <x:v>FD447</x:v>
      </x:c>
      <x:c r="D1050" t="str">
        <x:f t="shared" si="45"/>
        <x:v>FUND_FLOW</x:v>
      </x:c>
      <x:c r="E1050" t="str">
        <x:f t="shared" si="46"/>
        <x:v>Dynamic</x:v>
      </x:c>
      <x:c r="F1050">
        <x:f ca="1">_xll.BDH($B$1050,$C$1050,$B$1010,$B$1011,CONCATENATE("Per=",$B$1008),"Dts=H","Dir=H",CONCATENATE("Points=",$B$1009),"Sort=R","Days=A","Fill=B",CONCATENATE("FX=", $B$1007),"cols=14;rows=1")</x:f>
        <x:v>0</x:v>
      </x:c>
      <x:c r="G1050">
        <x:v>4.2478999999999996</x:v>
      </x:c>
      <x:c r="H1050">
        <x:v>0</x:v>
      </x:c>
      <x:c r="I1050">
        <x:v>-0.95530000000000004</x:v>
      </x:c>
      <x:c r="J1050">
        <x:v>0.86499999999999999</x:v>
      </x:c>
      <x:c r="K1050">
        <x:v>0</x:v>
      </x:c>
      <x:c r="L1050">
        <x:v>-2.5659999999999998</x:v>
      </x:c>
      <x:c r="M1050">
        <x:v>2.7092999999999998</x:v>
      </x:c>
      <x:c r="N1050">
        <x:v>0.95309999999999995</x:v>
      </x:c>
      <x:c r="O1050">
        <x:v>-0.87329999999999997</x:v>
      </x:c>
      <x:c r="P1050">
        <x:v>-0.77210000000000001</x:v>
      </x:c>
      <x:c r="Q1050">
        <x:v>0</x:v>
      </x:c>
      <x:c r="R1050">
        <x:v>0</x:v>
      </x:c>
      <x:c r="S1050">
        <x:v>-0.8004</x:v>
      </x:c>
      <x:c r="T1050" t="str">
        <x:f>""</x:f>
        <x:v/>
      </x:c>
      <x:c r="U1050" t="str">
        <x:f>""</x:f>
        <x:v/>
      </x:c>
      <x:c r="V1050" t="str">
        <x:f>""</x:f>
        <x:v/>
      </x:c>
      <x:c r="W1050" t="str">
        <x:f>""</x:f>
        <x:v/>
      </x:c>
      <x:c r="X1050" t="str">
        <x:f>""</x:f>
        <x:v/>
      </x:c>
      <x:c r="Y1050" t="str">
        <x:f>""</x:f>
        <x:v/>
      </x:c>
      <x:c r="Z1050" t="str">
        <x:f>""</x:f>
        <x:v/>
      </x:c>
      <x:c r="AA1050" t="str">
        <x:f>""</x:f>
        <x:v/>
      </x:c>
      <x:c r="AB1050" t="str">
        <x:f>""</x:f>
        <x:v/>
      </x:c>
      <x:c r="AC1050" t="str">
        <x:f>""</x:f>
        <x:v/>
      </x:c>
      <x:c r="AD1050" t="str">
        <x:f>""</x:f>
        <x:v/>
      </x:c>
      <x:c r="AE1050" t="str">
        <x:f>""</x:f>
        <x:v/>
      </x:c>
      <x:c r="AF1050" t="str">
        <x:f>""</x:f>
        <x:v/>
      </x:c>
      <x:c r="AG1050" t="str">
        <x:f>""</x:f>
        <x:v/>
      </x:c>
    </x:row>
    <x:row r="1051" spans="2:33" x14ac:dyDescent="0.25">
      <x:c r="B1051" t="str">
        <x:f>"JHMC US Equity"</x:f>
        <x:v>JHMC US Equity</x:v>
      </x:c>
      <x:c r="C1051" t="str">
        <x:f t="shared" si="44"/>
        <x:v>FD447</x:v>
      </x:c>
      <x:c r="D1051" t="str">
        <x:f t="shared" si="45"/>
        <x:v>FUND_FLOW</x:v>
      </x:c>
      <x:c r="E1051" t="str">
        <x:f t="shared" si="46"/>
        <x:v>Dynamic</x:v>
      </x:c>
      <x:c r="F1051" t="str">
        <x:f ca="1">_xll.BDH($B$1051,$C$1051,$B$1010,$B$1011,CONCATENATE("Per=",$B$1008),"Dts=H","Dir=H",CONCATENATE("Points=",$B$1009),"Sort=R","Days=A","Fill=B",CONCATENATE("FX=", $B$1007),"cols=14;rows=1")</x:f>
        <x:v/>
      </x:c>
      <x:c r="R1051">
        <x:v>-3.0931999999999999</x:v>
      </x:c>
      <x:c r="S1051">
        <x:v>-0.40329999999999999</x:v>
      </x:c>
      <x:c r="T1051" t="str">
        <x:f>""</x:f>
        <x:v/>
      </x:c>
      <x:c r="U1051" t="str">
        <x:f>""</x:f>
        <x:v/>
      </x:c>
      <x:c r="V1051" t="str">
        <x:f>""</x:f>
        <x:v/>
      </x:c>
      <x:c r="W1051" t="str">
        <x:f>""</x:f>
        <x:v/>
      </x:c>
      <x:c r="X1051" t="str">
        <x:f>""</x:f>
        <x:v/>
      </x:c>
      <x:c r="Y1051" t="str">
        <x:f>""</x:f>
        <x:v/>
      </x:c>
      <x:c r="Z1051" t="str">
        <x:f>""</x:f>
        <x:v/>
      </x:c>
      <x:c r="AA1051" t="str">
        <x:f>""</x:f>
        <x:v/>
      </x:c>
      <x:c r="AB1051" t="str">
        <x:f>""</x:f>
        <x:v/>
      </x:c>
      <x:c r="AC1051" t="str">
        <x:f>""</x:f>
        <x:v/>
      </x:c>
      <x:c r="AD1051" t="str">
        <x:f>""</x:f>
        <x:v/>
      </x:c>
      <x:c r="AE1051" t="str">
        <x:f>""</x:f>
        <x:v/>
      </x:c>
      <x:c r="AF1051" t="str">
        <x:f>""</x:f>
        <x:v/>
      </x:c>
      <x:c r="AG1051" t="str">
        <x:f>""</x:f>
        <x:v/>
      </x:c>
    </x:row>
    <x:row r="1052" spans="2:33" x14ac:dyDescent="0.25">
      <x:c r="B1052" t="str">
        <x:f>"RETL US Equity"</x:f>
        <x:v>RETL US Equity</x:v>
      </x:c>
      <x:c r="C1052" t="str">
        <x:f t="shared" si="44"/>
        <x:v>FD447</x:v>
      </x:c>
      <x:c r="D1052" t="str">
        <x:f t="shared" si="45"/>
        <x:v>FUND_FLOW</x:v>
      </x:c>
      <x:c r="E1052" t="str">
        <x:f t="shared" si="46"/>
        <x:v>Dynamic</x:v>
      </x:c>
      <x:c r="F1052">
        <x:f ca="1">_xll.BDH($B$1052,$C$1052,$B$1010,$B$1011,CONCATENATE("Per=",$B$1008),"Dts=H","Dir=H",CONCATENATE("Points=",$B$1009),"Sort=R","Days=A","Fill=B",CONCATENATE("FX=", $B$1007),"cols=14;rows=1")</x:f>
        <x:v>1.8752</x:v>
      </x:c>
      <x:c r="G1052">
        <x:v>0.57489999999999997</x:v>
      </x:c>
      <x:c r="H1052">
        <x:v>-4.0723000000000003</x:v>
      </x:c>
      <x:c r="I1052">
        <x:v>-4.2504</x:v>
      </x:c>
      <x:c r="J1052">
        <x:v>-0.37419999999999998</x:v>
      </x:c>
      <x:c r="K1052">
        <x:v>7.7793999999999999</x:v>
      </x:c>
      <x:c r="L1052">
        <x:v>2.4319000000000002</x:v>
      </x:c>
      <x:c r="M1052">
        <x:v>5.4307999999999996</x:v>
      </x:c>
      <x:c r="N1052">
        <x:v>-1.8599999999999998E-2</x:v>
      </x:c>
      <x:c r="O1052">
        <x:v>-4.3498000000000001</x:v>
      </x:c>
      <x:c r="P1052">
        <x:v>-1.2815000000000001</x:v>
      </x:c>
      <x:c r="Q1052">
        <x:v>0.61399999999999999</x:v>
      </x:c>
      <x:c r="R1052">
        <x:v>-1.7723</x:v>
      </x:c>
      <x:c r="S1052">
        <x:v>4.4694000000000003</x:v>
      </x:c>
      <x:c r="T1052" t="str">
        <x:f>""</x:f>
        <x:v/>
      </x:c>
      <x:c r="U1052" t="str">
        <x:f>""</x:f>
        <x:v/>
      </x:c>
      <x:c r="V1052" t="str">
        <x:f>""</x:f>
        <x:v/>
      </x:c>
      <x:c r="W1052" t="str">
        <x:f>""</x:f>
        <x:v/>
      </x:c>
      <x:c r="X1052" t="str">
        <x:f>""</x:f>
        <x:v/>
      </x:c>
      <x:c r="Y1052" t="str">
        <x:f>""</x:f>
        <x:v/>
      </x:c>
      <x:c r="Z1052" t="str">
        <x:f>""</x:f>
        <x:v/>
      </x:c>
      <x:c r="AA1052" t="str">
        <x:f>""</x:f>
        <x:v/>
      </x:c>
      <x:c r="AB1052" t="str">
        <x:f>""</x:f>
        <x:v/>
      </x:c>
      <x:c r="AC1052" t="str">
        <x:f>""</x:f>
        <x:v/>
      </x:c>
      <x:c r="AD1052" t="str">
        <x:f>""</x:f>
        <x:v/>
      </x:c>
      <x:c r="AE1052" t="str">
        <x:f>""</x:f>
        <x:v/>
      </x:c>
      <x:c r="AF1052" t="str">
        <x:f>""</x:f>
        <x:v/>
      </x:c>
      <x:c r="AG1052" t="str">
        <x:f>""</x:f>
        <x:v/>
      </x:c>
    </x:row>
    <x:row r="1053" spans="2:33" x14ac:dyDescent="0.25">
      <x:c r="B1053" t="str">
        <x:f>"PEZ US Equity"</x:f>
        <x:v>PEZ US Equity</x:v>
      </x:c>
      <x:c r="C1053" t="str">
        <x:f t="shared" si="44"/>
        <x:v>FD447</x:v>
      </x:c>
      <x:c r="D1053" t="str">
        <x:f t="shared" si="45"/>
        <x:v>FUND_FLOW</x:v>
      </x:c>
      <x:c r="E1053" t="str">
        <x:f t="shared" si="46"/>
        <x:v>Dynamic</x:v>
      </x:c>
      <x:c r="F1053">
        <x:f ca="1">_xll.BDH($B$1053,$C$1053,$B$1010,$B$1011,CONCATENATE("Per=",$B$1008),"Dts=H","Dir=H",CONCATENATE("Points=",$B$1009),"Sort=R","Days=A","Fill=B",CONCATENATE("FX=", $B$1007),"cols=14;rows=1")</x:f>
        <x:v>-1.2426999999999999</x:v>
      </x:c>
      <x:c r="G1053">
        <x:v>0</x:v>
      </x:c>
      <x:c r="H1053">
        <x:v>-0.66979999999999995</x:v>
      </x:c>
      <x:c r="I1053">
        <x:v>-0.68179999999999996</x:v>
      </x:c>
      <x:c r="J1053">
        <x:v>0</x:v>
      </x:c>
      <x:c r="K1053">
        <x:v>-1.3053999999999999</x:v>
      </x:c>
      <x:c r="L1053">
        <x:v>0</x:v>
      </x:c>
      <x:c r="M1053">
        <x:v>-0.68720000000000003</x:v>
      </x:c>
      <x:c r="N1053">
        <x:v>-1.3935</x:v>
      </x:c>
      <x:c r="O1053">
        <x:v>-0.67200000000000004</x:v>
      </x:c>
      <x:c r="P1053">
        <x:v>-0.66769999999999996</x:v>
      </x:c>
      <x:c r="Q1053">
        <x:v>0</x:v>
      </x:c>
      <x:c r="R1053">
        <x:v>-1.2218</x:v>
      </x:c>
      <x:c r="S1053">
        <x:v>-1.2485999999999999</x:v>
      </x:c>
      <x:c r="T1053" t="str">
        <x:f>""</x:f>
        <x:v/>
      </x:c>
      <x:c r="U1053" t="str">
        <x:f>""</x:f>
        <x:v/>
      </x:c>
      <x:c r="V1053" t="str">
        <x:f>""</x:f>
        <x:v/>
      </x:c>
      <x:c r="W1053" t="str">
        <x:f>""</x:f>
        <x:v/>
      </x:c>
      <x:c r="X1053" t="str">
        <x:f>""</x:f>
        <x:v/>
      </x:c>
      <x:c r="Y1053" t="str">
        <x:f>""</x:f>
        <x:v/>
      </x:c>
      <x:c r="Z1053" t="str">
        <x:f>""</x:f>
        <x:v/>
      </x:c>
      <x:c r="AA1053" t="str">
        <x:f>""</x:f>
        <x:v/>
      </x:c>
      <x:c r="AB1053" t="str">
        <x:f>""</x:f>
        <x:v/>
      </x:c>
      <x:c r="AC1053" t="str">
        <x:f>""</x:f>
        <x:v/>
      </x:c>
      <x:c r="AD1053" t="str">
        <x:f>""</x:f>
        <x:v/>
      </x:c>
      <x:c r="AE1053" t="str">
        <x:f>""</x:f>
        <x:v/>
      </x:c>
      <x:c r="AF1053" t="str">
        <x:f>""</x:f>
        <x:v/>
      </x:c>
      <x:c r="AG1053" t="str">
        <x:f>""</x:f>
        <x:v/>
      </x:c>
    </x:row>
    <x:row r="1054" spans="2:33" x14ac:dyDescent="0.25">
      <x:c r="B1054" t="str">
        <x:f>"UCC US Equity"</x:f>
        <x:v>UCC US Equity</x:v>
      </x:c>
      <x:c r="C1054" t="str">
        <x:f t="shared" si="44"/>
        <x:v>FD447</x:v>
      </x:c>
      <x:c r="D1054" t="str">
        <x:f t="shared" si="45"/>
        <x:v>FUND_FLOW</x:v>
      </x:c>
      <x:c r="E1054" t="str">
        <x:f t="shared" si="46"/>
        <x:v>Dynamic</x:v>
      </x:c>
      <x:c r="F1054">
        <x:f ca="1">_xll.BDH($B$1054,$C$1054,$B$1010,$B$1011,CONCATENATE("Per=",$B$1008),"Dts=H","Dir=H",CONCATENATE("Points=",$B$1009),"Sort=R","Days=A","Fill=B",CONCATENATE("FX=", $B$1007),"cols=14;rows=1")</x:f>
        <x:v>-1.6054999999999999</x:v>
      </x:c>
      <x:c r="G1054">
        <x:v>-1.65</x:v>
      </x:c>
      <x:c r="H1054">
        <x:v>1.6165</x:v>
      </x:c>
      <x:c r="I1054">
        <x:v>0.70040000000000002</x:v>
      </x:c>
      <x:c r="J1054">
        <x:v>4.1999999999999997E-3</x:v>
      </x:c>
      <x:c r="K1054">
        <x:v>0</x:v>
      </x:c>
      <x:c r="L1054">
        <x:v>-0.2631</x:v>
      </x:c>
      <x:c r="M1054">
        <x:v>0.2485</x:v>
      </x:c>
      <x:c r="N1054">
        <x:v>1.9802</x:v>
      </x:c>
      <x:c r="O1054">
        <x:v>0</x:v>
      </x:c>
      <x:c r="P1054">
        <x:v>-0.45169999999999999</x:v>
      </x:c>
      <x:c r="Q1054">
        <x:v>0</x:v>
      </x:c>
      <x:c r="R1054">
        <x:v>0</x:v>
      </x:c>
      <x:c r="S1054">
        <x:v>0</x:v>
      </x:c>
      <x:c r="T1054" t="str">
        <x:f>""</x:f>
        <x:v/>
      </x:c>
      <x:c r="U1054" t="str">
        <x:f>""</x:f>
        <x:v/>
      </x:c>
      <x:c r="V1054" t="str">
        <x:f>""</x:f>
        <x:v/>
      </x:c>
      <x:c r="W1054" t="str">
        <x:f>""</x:f>
        <x:v/>
      </x:c>
      <x:c r="X1054" t="str">
        <x:f>""</x:f>
        <x:v/>
      </x:c>
      <x:c r="Y1054" t="str">
        <x:f>""</x:f>
        <x:v/>
      </x:c>
      <x:c r="Z1054" t="str">
        <x:f>""</x:f>
        <x:v/>
      </x:c>
      <x:c r="AA1054" t="str">
        <x:f>""</x:f>
        <x:v/>
      </x:c>
      <x:c r="AB1054" t="str">
        <x:f>""</x:f>
        <x:v/>
      </x:c>
      <x:c r="AC1054" t="str">
        <x:f>""</x:f>
        <x:v/>
      </x:c>
      <x:c r="AD1054" t="str">
        <x:f>""</x:f>
        <x:v/>
      </x:c>
      <x:c r="AE1054" t="str">
        <x:f>""</x:f>
        <x:v/>
      </x:c>
      <x:c r="AF1054" t="str">
        <x:f>""</x:f>
        <x:v/>
      </x:c>
      <x:c r="AG1054" t="str">
        <x:f>""</x:f>
        <x:v/>
      </x:c>
    </x:row>
    <x:row r="1055" spans="2:33" x14ac:dyDescent="0.25">
      <x:c r="B1055" t="str">
        <x:f>"CARZ US Equity"</x:f>
        <x:v>CARZ US Equity</x:v>
      </x:c>
      <x:c r="C1055" t="str">
        <x:f t="shared" si="44"/>
        <x:v>FD447</x:v>
      </x:c>
      <x:c r="D1055" t="str">
        <x:f t="shared" si="45"/>
        <x:v>FUND_FLOW</x:v>
      </x:c>
      <x:c r="E1055" t="str">
        <x:f t="shared" si="46"/>
        <x:v>Dynamic</x:v>
      </x:c>
      <x:c r="F1055">
        <x:f ca="1">_xll.BDH($B$1055,$C$1055,$B$1010,$B$1011,CONCATENATE("Per=",$B$1008),"Dts=H","Dir=H",CONCATENATE("Points=",$B$1009),"Sort=R","Days=A","Fill=B",CONCATENATE("FX=", $B$1007),"cols=14;rows=1")</x:f>
        <x:v>0</x:v>
      </x:c>
      <x:c r="G1055">
        <x:v>-5.4035000000000002</x:v>
      </x:c>
      <x:c r="H1055">
        <x:v>0</x:v>
      </x:c>
      <x:c r="I1055">
        <x:v>11.42</x:v>
      </x:c>
      <x:c r="J1055">
        <x:v>-5.5090000000000003</x:v>
      </x:c>
      <x:c r="K1055">
        <x:v>0</x:v>
      </x:c>
      <x:c r="L1055">
        <x:v>0</x:v>
      </x:c>
      <x:c r="M1055">
        <x:v>-7.2785000000000002</x:v>
      </x:c>
      <x:c r="N1055">
        <x:v>0</x:v>
      </x:c>
      <x:c r="O1055">
        <x:v>0</x:v>
      </x:c>
      <x:c r="P1055">
        <x:v>0</x:v>
      </x:c>
      <x:c r="Q1055">
        <x:v>-2.0672999999999999</x:v>
      </x:c>
      <x:c r="R1055">
        <x:v>0</x:v>
      </x:c>
      <x:c r="S1055">
        <x:v>-2.1795</x:v>
      </x:c>
      <x:c r="T1055" t="str">
        <x:f>""</x:f>
        <x:v/>
      </x:c>
      <x:c r="U1055" t="str">
        <x:f>""</x:f>
        <x:v/>
      </x:c>
      <x:c r="V1055" t="str">
        <x:f>""</x:f>
        <x:v/>
      </x:c>
      <x:c r="W1055" t="str">
        <x:f>""</x:f>
        <x:v/>
      </x:c>
      <x:c r="X1055" t="str">
        <x:f>""</x:f>
        <x:v/>
      </x:c>
      <x:c r="Y1055" t="str">
        <x:f>""</x:f>
        <x:v/>
      </x:c>
      <x:c r="Z1055" t="str">
        <x:f>""</x:f>
        <x:v/>
      </x:c>
      <x:c r="AA1055" t="str">
        <x:f>""</x:f>
        <x:v/>
      </x:c>
      <x:c r="AB1055" t="str">
        <x:f>""</x:f>
        <x:v/>
      </x:c>
      <x:c r="AC1055" t="str">
        <x:f>""</x:f>
        <x:v/>
      </x:c>
      <x:c r="AD1055" t="str">
        <x:f>""</x:f>
        <x:v/>
      </x:c>
      <x:c r="AE1055" t="str">
        <x:f>""</x:f>
        <x:v/>
      </x:c>
      <x:c r="AF1055" t="str">
        <x:f>""</x:f>
        <x:v/>
      </x:c>
      <x:c r="AG1055" t="str">
        <x:f>""</x:f>
        <x:v/>
      </x:c>
    </x:row>
    <x:row r="1056" spans="2:33" x14ac:dyDescent="0.25">
      <x:c r="B1056" t="str">
        <x:f>"IPD US Equity"</x:f>
        <x:v>IPD US Equity</x:v>
      </x:c>
      <x:c r="C1056" t="str">
        <x:f t="shared" si="44"/>
        <x:v>FD447</x:v>
      </x:c>
      <x:c r="D1056" t="str">
        <x:f t="shared" si="45"/>
        <x:v>FUND_FLOW</x:v>
      </x:c>
      <x:c r="E1056" t="str">
        <x:f t="shared" si="46"/>
        <x:v>Dynamic</x:v>
      </x:c>
      <x:c r="F1056" t="str">
        <x:f ca="1">_xll.BDH($B$1056,$C$1056,$B$1010,$B$1011,CONCATENATE("Per=",$B$1008),"Dts=H","Dir=H",CONCATENATE("Points=",$B$1009),"Sort=R","Days=A","Fill=B",CONCATENATE("FX=", $B$1007) )</x:f>
        <x:v/>
      </x:c>
      <x:c r="T1056" t="str">
        <x:f>""</x:f>
        <x:v/>
      </x:c>
      <x:c r="U1056" t="str">
        <x:f>""</x:f>
        <x:v/>
      </x:c>
      <x:c r="V1056" t="str">
        <x:f>""</x:f>
        <x:v/>
      </x:c>
      <x:c r="W1056" t="str">
        <x:f>""</x:f>
        <x:v/>
      </x:c>
      <x:c r="X1056" t="str">
        <x:f>""</x:f>
        <x:v/>
      </x:c>
      <x:c r="Y1056" t="str">
        <x:f>""</x:f>
        <x:v/>
      </x:c>
      <x:c r="Z1056" t="str">
        <x:f>""</x:f>
        <x:v/>
      </x:c>
      <x:c r="AA1056" t="str">
        <x:f>""</x:f>
        <x:v/>
      </x:c>
      <x:c r="AB1056" t="str">
        <x:f>""</x:f>
        <x:v/>
      </x:c>
      <x:c r="AC1056" t="str">
        <x:f>""</x:f>
        <x:v/>
      </x:c>
      <x:c r="AD1056" t="str">
        <x:f>""</x:f>
        <x:v/>
      </x:c>
      <x:c r="AE1056" t="str">
        <x:f>""</x:f>
        <x:v/>
      </x:c>
      <x:c r="AF1056" t="str">
        <x:f>""</x:f>
        <x:v/>
      </x:c>
      <x:c r="AG1056" t="str">
        <x:f>""</x:f>
        <x:v/>
      </x:c>
    </x:row>
    <x:row r="1057" spans="2:33" x14ac:dyDescent="0.25">
      <x:c r="B1057" t="str">
        <x:f>"PMR US Equity"</x:f>
        <x:v>PMR US Equity</x:v>
      </x:c>
      <x:c r="C1057" t="str">
        <x:f t="shared" si="44"/>
        <x:v>FD447</x:v>
      </x:c>
      <x:c r="D1057" t="str">
        <x:f t="shared" si="45"/>
        <x:v>FUND_FLOW</x:v>
      </x:c>
      <x:c r="E1057" t="str">
        <x:f t="shared" si="46"/>
        <x:v>Dynamic</x:v>
      </x:c>
      <x:c r="F1057" t="str">
        <x:f ca="1">_xll.BDH($B$1057,$C$1057,$B$1010,$B$1011,CONCATENATE("Per=",$B$1008),"Dts=H","Dir=H",CONCATENATE("Points=",$B$1009),"Sort=R","Days=A","Fill=B",CONCATENATE("FX=", $B$1007) )</x:f>
        <x:v/>
      </x:c>
      <x:c r="T1057" t="str">
        <x:f>""</x:f>
        <x:v/>
      </x:c>
      <x:c r="U1057" t="str">
        <x:f>""</x:f>
        <x:v/>
      </x:c>
      <x:c r="V1057" t="str">
        <x:f>""</x:f>
        <x:v/>
      </x:c>
      <x:c r="W1057" t="str">
        <x:f>""</x:f>
        <x:v/>
      </x:c>
      <x:c r="X1057" t="str">
        <x:f>""</x:f>
        <x:v/>
      </x:c>
      <x:c r="Y1057" t="str">
        <x:f>""</x:f>
        <x:v/>
      </x:c>
      <x:c r="Z1057" t="str">
        <x:f>""</x:f>
        <x:v/>
      </x:c>
      <x:c r="AA1057" t="str">
        <x:f>""</x:f>
        <x:v/>
      </x:c>
      <x:c r="AB1057" t="str">
        <x:f>""</x:f>
        <x:v/>
      </x:c>
      <x:c r="AC1057" t="str">
        <x:f>""</x:f>
        <x:v/>
      </x:c>
      <x:c r="AD1057" t="str">
        <x:f>""</x:f>
        <x:v/>
      </x:c>
      <x:c r="AE1057" t="str">
        <x:f>""</x:f>
        <x:v/>
      </x:c>
      <x:c r="AF1057" t="str">
        <x:f>""</x:f>
        <x:v/>
      </x:c>
      <x:c r="AG1057" t="str">
        <x:f>""</x:f>
        <x:v/>
      </x:c>
    </x:row>
    <x:row r="1058" spans="2:33" x14ac:dyDescent="0.25">
      <x:c r="B1058" t="str">
        <x:f>"NAIL US Equity"</x:f>
        <x:v>NAIL US Equity</x:v>
      </x:c>
      <x:c r="C1058" t="str">
        <x:f t="shared" si="44"/>
        <x:v>FD447</x:v>
      </x:c>
      <x:c r="D1058" t="str">
        <x:f t="shared" si="45"/>
        <x:v>FUND_FLOW</x:v>
      </x:c>
      <x:c r="E1058" t="str">
        <x:f t="shared" si="46"/>
        <x:v>Dynamic</x:v>
      </x:c>
      <x:c r="F1058">
        <x:f ca="1">_xll.BDH($B$1058,$C$1058,$B$1010,$B$1011,CONCATENATE("Per=",$B$1008),"Dts=H","Dir=H",CONCATENATE("Points=",$B$1009),"Sort=R","Days=A","Fill=B",CONCATENATE("FX=", $B$1007),"cols=14;rows=1")</x:f>
        <x:v>4.4352</x:v>
      </x:c>
      <x:c r="G1058">
        <x:v>5.5997000000000003</x:v>
      </x:c>
      <x:c r="H1058">
        <x:v>-3.4516</x:v>
      </x:c>
      <x:c r="I1058">
        <x:v>-12.6463</x:v>
      </x:c>
      <x:c r="J1058">
        <x:v>-6.6700999999999997</x:v>
      </x:c>
      <x:c r="K1058">
        <x:v>-5.6292</x:v>
      </x:c>
      <x:c r="L1058">
        <x:v>-18.183700000000002</x:v>
      </x:c>
      <x:c r="M1058">
        <x:v>-1.7392000000000001</x:v>
      </x:c>
      <x:c r="N1058">
        <x:v>-2.2103000000000002</x:v>
      </x:c>
      <x:c r="O1058">
        <x:v>-7.4185999999999996</x:v>
      </x:c>
      <x:c r="P1058">
        <x:v>-10.9353</x:v>
      </x:c>
      <x:c r="Q1058">
        <x:v>-11.947800000000001</x:v>
      </x:c>
      <x:c r="R1058">
        <x:v>7.0744999999999996</x:v>
      </x:c>
      <x:c r="S1058">
        <x:v>8.8020999999999994</x:v>
      </x:c>
      <x:c r="T1058" t="str">
        <x:f>""</x:f>
        <x:v/>
      </x:c>
      <x:c r="U1058" t="str">
        <x:f>""</x:f>
        <x:v/>
      </x:c>
      <x:c r="V1058" t="str">
        <x:f>""</x:f>
        <x:v/>
      </x:c>
      <x:c r="W1058" t="str">
        <x:f>""</x:f>
        <x:v/>
      </x:c>
      <x:c r="X1058" t="str">
        <x:f>""</x:f>
        <x:v/>
      </x:c>
      <x:c r="Y1058" t="str">
        <x:f>""</x:f>
        <x:v/>
      </x:c>
      <x:c r="Z1058" t="str">
        <x:f>""</x:f>
        <x:v/>
      </x:c>
      <x:c r="AA1058" t="str">
        <x:f>""</x:f>
        <x:v/>
      </x:c>
      <x:c r="AB1058" t="str">
        <x:f>""</x:f>
        <x:v/>
      </x:c>
      <x:c r="AC1058" t="str">
        <x:f>""</x:f>
        <x:v/>
      </x:c>
      <x:c r="AD1058" t="str">
        <x:f>""</x:f>
        <x:v/>
      </x:c>
      <x:c r="AE1058" t="str">
        <x:f>""</x:f>
        <x:v/>
      </x:c>
      <x:c r="AF1058" t="str">
        <x:f>""</x:f>
        <x:v/>
      </x:c>
      <x:c r="AG1058" t="str">
        <x:f>""</x:f>
        <x:v/>
      </x:c>
    </x:row>
    <x:row r="1059" spans="2:33" x14ac:dyDescent="0.25">
      <x:c r="B1059" t="str">
        <x:f>"FTXG US Equity"</x:f>
        <x:v>FTXG US Equity</x:v>
      </x:c>
      <x:c r="C1059" t="str">
        <x:f t="shared" si="44"/>
        <x:v>FD447</x:v>
      </x:c>
      <x:c r="D1059" t="str">
        <x:f t="shared" si="45"/>
        <x:v>FUND_FLOW</x:v>
      </x:c>
      <x:c r="E1059" t="str">
        <x:f t="shared" si="46"/>
        <x:v>Dynamic</x:v>
      </x:c>
      <x:c r="F1059">
        <x:f ca="1">_xll.BDH($B$1059,$C$1059,$B$1010,$B$1011,CONCATENATE("Per=",$B$1008),"Dts=H","Dir=H",CONCATENATE("Points=",$B$1009),"Sort=R","Days=A","Fill=B",CONCATENATE("FX=", $B$1007),"cols=14;rows=1")</x:f>
        <x:v>-30.667200000000001</x:v>
      </x:c>
      <x:c r="G1059">
        <x:v>-860.7124</x:v>
      </x:c>
      <x:c r="H1059">
        <x:v>32.842300000000002</x:v>
      </x:c>
      <x:c r="I1059">
        <x:v>21.34</x:v>
      </x:c>
      <x:c r="J1059">
        <x:v>42.356499999999997</x:v>
      </x:c>
      <x:c r="K1059">
        <x:v>-1.2343</x:v>
      </x:c>
      <x:c r="L1059">
        <x:v>-2.07E-2</x:v>
      </x:c>
      <x:c r="M1059">
        <x:v>-67.597300000000004</x:v>
      </x:c>
      <x:c r="N1059">
        <x:v>85.964200000000005</x:v>
      </x:c>
      <x:c r="O1059">
        <x:v>14.8292</x:v>
      </x:c>
      <x:c r="P1059">
        <x:v>24.89</x:v>
      </x:c>
      <x:c r="Q1059">
        <x:v>39.2761</x:v>
      </x:c>
      <x:c r="R1059">
        <x:v>-16.5688</x:v>
      </x:c>
      <x:c r="S1059">
        <x:v>5.5885999999999996</x:v>
      </x:c>
      <x:c r="T1059" t="str">
        <x:f>""</x:f>
        <x:v/>
      </x:c>
      <x:c r="U1059" t="str">
        <x:f>""</x:f>
        <x:v/>
      </x:c>
      <x:c r="V1059" t="str">
        <x:f>""</x:f>
        <x:v/>
      </x:c>
      <x:c r="W1059" t="str">
        <x:f>""</x:f>
        <x:v/>
      </x:c>
      <x:c r="X1059" t="str">
        <x:f>""</x:f>
        <x:v/>
      </x:c>
      <x:c r="Y1059" t="str">
        <x:f>""</x:f>
        <x:v/>
      </x:c>
      <x:c r="Z1059" t="str">
        <x:f>""</x:f>
        <x:v/>
      </x:c>
      <x:c r="AA1059" t="str">
        <x:f>""</x:f>
        <x:v/>
      </x:c>
      <x:c r="AB1059" t="str">
        <x:f>""</x:f>
        <x:v/>
      </x:c>
      <x:c r="AC1059" t="str">
        <x:f>""</x:f>
        <x:v/>
      </x:c>
      <x:c r="AD1059" t="str">
        <x:f>""</x:f>
        <x:v/>
      </x:c>
      <x:c r="AE1059" t="str">
        <x:f>""</x:f>
        <x:v/>
      </x:c>
      <x:c r="AF1059" t="str">
        <x:f>""</x:f>
        <x:v/>
      </x:c>
      <x:c r="AG1059" t="str">
        <x:f>""</x:f>
        <x:v/>
      </x:c>
    </x:row>
    <x:row r="1060" spans="2:33" x14ac:dyDescent="0.25">
      <x:c r="B1060" t="str">
        <x:f>"BRAQ US Equity"</x:f>
        <x:v>BRAQ US Equity</x:v>
      </x:c>
      <x:c r="C1060" t="str">
        <x:f t="shared" si="44"/>
        <x:v>FD447</x:v>
      </x:c>
      <x:c r="D1060" t="str">
        <x:f t="shared" si="45"/>
        <x:v>FUND_FLOW</x:v>
      </x:c>
      <x:c r="E1060" t="str">
        <x:f t="shared" si="46"/>
        <x:v>Dynamic</x:v>
      </x:c>
      <x:c r="F1060" t="str">
        <x:f ca="1">_xll.BDH($B$1060,$C$1060,$B$1010,$B$1011,CONCATENATE("Per=",$B$1008),"Dts=H","Dir=H",CONCATENATE("Points=",$B$1009),"Sort=R","Days=A","Fill=B",CONCATENATE("FX=", $B$1007) )</x:f>
        <x:v/>
      </x:c>
      <x:c r="T1060" t="str">
        <x:f>""</x:f>
        <x:v/>
      </x:c>
      <x:c r="U1060" t="str">
        <x:f>""</x:f>
        <x:v/>
      </x:c>
      <x:c r="V1060" t="str">
        <x:f>""</x:f>
        <x:v/>
      </x:c>
      <x:c r="W1060" t="str">
        <x:f>""</x:f>
        <x:v/>
      </x:c>
      <x:c r="X1060" t="str">
        <x:f>""</x:f>
        <x:v/>
      </x:c>
      <x:c r="Y1060" t="str">
        <x:f>""</x:f>
        <x:v/>
      </x:c>
      <x:c r="Z1060" t="str">
        <x:f>""</x:f>
        <x:v/>
      </x:c>
      <x:c r="AA1060" t="str">
        <x:f>""</x:f>
        <x:v/>
      </x:c>
      <x:c r="AB1060" t="str">
        <x:f>""</x:f>
        <x:v/>
      </x:c>
      <x:c r="AC1060" t="str">
        <x:f>""</x:f>
        <x:v/>
      </x:c>
      <x:c r="AD1060" t="str">
        <x:f>""</x:f>
        <x:v/>
      </x:c>
      <x:c r="AE1060" t="str">
        <x:f>""</x:f>
        <x:v/>
      </x:c>
      <x:c r="AF1060" t="str">
        <x:f>""</x:f>
        <x:v/>
      </x:c>
      <x:c r="AG1060" t="str">
        <x:f>""</x:f>
        <x:v/>
      </x:c>
    </x:row>
    <x:row r="1061" spans="2:33" x14ac:dyDescent="0.25">
      <x:c r="B1061" t="str">
        <x:f>"WSKY US Equity"</x:f>
        <x:v>WSKY US Equity</x:v>
      </x:c>
      <x:c r="C1061" t="str">
        <x:f t="shared" si="44"/>
        <x:v>FD447</x:v>
      </x:c>
      <x:c r="D1061" t="str">
        <x:f t="shared" si="45"/>
        <x:v>FUND_FLOW</x:v>
      </x:c>
      <x:c r="E1061" t="str">
        <x:f t="shared" si="46"/>
        <x:v>Dynamic</x:v>
      </x:c>
      <x:c r="F1061" t="str">
        <x:f ca="1">_xll.BDH($B$1061,$C$1061,$B$1010,$B$1011,CONCATENATE("Per=",$B$1008),"Dts=H","Dir=H",CONCATENATE("Points=",$B$1009),"Sort=R","Days=A","Fill=B",CONCATENATE("FX=", $B$1007) )</x:f>
        <x:v/>
      </x:c>
      <x:c r="T1061" t="str">
        <x:f>""</x:f>
        <x:v/>
      </x:c>
      <x:c r="U1061" t="str">
        <x:f>""</x:f>
        <x:v/>
      </x:c>
      <x:c r="V1061" t="str">
        <x:f>""</x:f>
        <x:v/>
      </x:c>
      <x:c r="W1061" t="str">
        <x:f>""</x:f>
        <x:v/>
      </x:c>
      <x:c r="X1061" t="str">
        <x:f>""</x:f>
        <x:v/>
      </x:c>
      <x:c r="Y1061" t="str">
        <x:f>""</x:f>
        <x:v/>
      </x:c>
      <x:c r="Z1061" t="str">
        <x:f>""</x:f>
        <x:v/>
      </x:c>
      <x:c r="AA1061" t="str">
        <x:f>""</x:f>
        <x:v/>
      </x:c>
      <x:c r="AB1061" t="str">
        <x:f>""</x:f>
        <x:v/>
      </x:c>
      <x:c r="AC1061" t="str">
        <x:f>""</x:f>
        <x:v/>
      </x:c>
      <x:c r="AD1061" t="str">
        <x:f>""</x:f>
        <x:v/>
      </x:c>
      <x:c r="AE1061" t="str">
        <x:f>""</x:f>
        <x:v/>
      </x:c>
      <x:c r="AF1061" t="str">
        <x:f>""</x:f>
        <x:v/>
      </x:c>
      <x:c r="AG1061" t="str">
        <x:f>""</x:f>
        <x:v/>
      </x:c>
    </x:row>
    <x:row r="1062" spans="2:33" x14ac:dyDescent="0.25">
      <x:c r="B1062" t="str">
        <x:f>"CNDF US Equity"</x:f>
        <x:v>CNDF US Equity</x:v>
      </x:c>
      <x:c r="C1062" t="str">
        <x:f t="shared" si="44"/>
        <x:v>FD447</x:v>
      </x:c>
      <x:c r="D1062" t="str">
        <x:f t="shared" si="45"/>
        <x:v>FUND_FLOW</x:v>
      </x:c>
      <x:c r="E1062" t="str">
        <x:f t="shared" si="46"/>
        <x:v>Dynamic</x:v>
      </x:c>
      <x:c r="F1062" t="str">
        <x:f ca="1">_xll.BDH($B$1062,$C$1062,$B$1010,$B$1011,CONCATENATE("Per=",$B$1008),"Dts=H","Dir=H",CONCATENATE("Points=",$B$1009),"Sort=R","Days=A","Fill=B",CONCATENATE("FX=", $B$1007) )</x:f>
        <x:v/>
      </x:c>
      <x:c r="T1062" t="str">
        <x:f>""</x:f>
        <x:v/>
      </x:c>
      <x:c r="U1062" t="str">
        <x:f>""</x:f>
        <x:v/>
      </x:c>
      <x:c r="V1062" t="str">
        <x:f>""</x:f>
        <x:v/>
      </x:c>
      <x:c r="W1062" t="str">
        <x:f>""</x:f>
        <x:v/>
      </x:c>
      <x:c r="X1062" t="str">
        <x:f>""</x:f>
        <x:v/>
      </x:c>
      <x:c r="Y1062" t="str">
        <x:f>""</x:f>
        <x:v/>
      </x:c>
      <x:c r="Z1062" t="str">
        <x:f>""</x:f>
        <x:v/>
      </x:c>
      <x:c r="AA1062" t="str">
        <x:f>""</x:f>
        <x:v/>
      </x:c>
      <x:c r="AB1062" t="str">
        <x:f>""</x:f>
        <x:v/>
      </x:c>
      <x:c r="AC1062" t="str">
        <x:f>""</x:f>
        <x:v/>
      </x:c>
      <x:c r="AD1062" t="str">
        <x:f>""</x:f>
        <x:v/>
      </x:c>
      <x:c r="AE1062" t="str">
        <x:f>""</x:f>
        <x:v/>
      </x:c>
      <x:c r="AF1062" t="str">
        <x:f>""</x:f>
        <x:v/>
      </x:c>
      <x:c r="AG1062" t="str">
        <x:f>""</x:f>
        <x:v/>
      </x:c>
    </x:row>
    <x:row r="1063" spans="2:33" x14ac:dyDescent="0.25">
      <x:c r="B1063" t="str">
        <x:f>"CLAW US Equity"</x:f>
        <x:v>CLAW US Equity</x:v>
      </x:c>
      <x:c r="C1063" t="str">
        <x:f t="shared" si="44"/>
        <x:v>FD447</x:v>
      </x:c>
      <x:c r="D1063" t="str">
        <x:f t="shared" si="45"/>
        <x:v>FUND_FLOW</x:v>
      </x:c>
      <x:c r="E1063" t="str">
        <x:f t="shared" si="46"/>
        <x:v>Dynamic</x:v>
      </x:c>
      <x:c r="F1063" t="str">
        <x:f ca="1">_xll.BDH($B$1063,$C$1063,$B$1010,$B$1011,CONCATENATE("Per=",$B$1008),"Dts=H","Dir=H",CONCATENATE("Points=",$B$1009),"Sort=R","Days=A","Fill=B",CONCATENATE("FX=", $B$1007) )</x:f>
        <x:v/>
      </x:c>
      <x:c r="T1063" t="str">
        <x:f>""</x:f>
        <x:v/>
      </x:c>
      <x:c r="U1063" t="str">
        <x:f>""</x:f>
        <x:v/>
      </x:c>
      <x:c r="V1063" t="str">
        <x:f>""</x:f>
        <x:v/>
      </x:c>
      <x:c r="W1063" t="str">
        <x:f>""</x:f>
        <x:v/>
      </x:c>
      <x:c r="X1063" t="str">
        <x:f>""</x:f>
        <x:v/>
      </x:c>
      <x:c r="Y1063" t="str">
        <x:f>""</x:f>
        <x:v/>
      </x:c>
      <x:c r="Z1063" t="str">
        <x:f>""</x:f>
        <x:v/>
      </x:c>
      <x:c r="AA1063" t="str">
        <x:f>""</x:f>
        <x:v/>
      </x:c>
      <x:c r="AB1063" t="str">
        <x:f>""</x:f>
        <x:v/>
      </x:c>
      <x:c r="AC1063" t="str">
        <x:f>""</x:f>
        <x:v/>
      </x:c>
      <x:c r="AD1063" t="str">
        <x:f>""</x:f>
        <x:v/>
      </x:c>
      <x:c r="AE1063" t="str">
        <x:f>""</x:f>
        <x:v/>
      </x:c>
      <x:c r="AF1063" t="str">
        <x:f>""</x:f>
        <x:v/>
      </x:c>
      <x:c r="AG1063" t="str">
        <x:f>""</x:f>
        <x:v/>
      </x:c>
    </x:row>
    <x:row r="1064" spans="2:33" x14ac:dyDescent="0.25">
      <x:c r="B1064" t="str">
        <x:f>"FTXD US Equity"</x:f>
        <x:v>FTXD US Equity</x:v>
      </x:c>
      <x:c r="C1064" t="str">
        <x:f t="shared" si="44"/>
        <x:v>FD447</x:v>
      </x:c>
      <x:c r="D1064" t="str">
        <x:f t="shared" si="45"/>
        <x:v>FUND_FLOW</x:v>
      </x:c>
      <x:c r="E1064" t="str">
        <x:f t="shared" si="46"/>
        <x:v>Dynamic</x:v>
      </x:c>
      <x:c r="F1064">
        <x:f ca="1">_xll.BDH($B$1064,$C$1064,$B$1010,$B$1011,CONCATENATE("Per=",$B$1008),"Dts=H","Dir=H",CONCATENATE("Points=",$B$1009),"Sort=R","Days=A","Fill=B",CONCATENATE("FX=", $B$1007),"cols=14;rows=1")</x:f>
        <x:v>0</x:v>
      </x:c>
      <x:c r="G1064">
        <x:v>0</x:v>
      </x:c>
      <x:c r="H1064">
        <x:v>0</x:v>
      </x:c>
      <x:c r="I1064">
        <x:v>0</x:v>
      </x:c>
      <x:c r="J1064">
        <x:v>0</x:v>
      </x:c>
      <x:c r="K1064">
        <x:v>0</x:v>
      </x:c>
      <x:c r="L1064">
        <x:v>0</x:v>
      </x:c>
      <x:c r="M1064">
        <x:v>0</x:v>
      </x:c>
      <x:c r="N1064">
        <x:v>0</x:v>
      </x:c>
      <x:c r="O1064">
        <x:v>0</x:v>
      </x:c>
      <x:c r="P1064">
        <x:v>0</x:v>
      </x:c>
      <x:c r="Q1064">
        <x:v>0</x:v>
      </x:c>
      <x:c r="R1064">
        <x:v>0</x:v>
      </x:c>
      <x:c r="S1064">
        <x:v>0</x:v>
      </x:c>
      <x:c r="T1064" t="str">
        <x:f>""</x:f>
        <x:v/>
      </x:c>
      <x:c r="U1064" t="str">
        <x:f>""</x:f>
        <x:v/>
      </x:c>
      <x:c r="V1064" t="str">
        <x:f>""</x:f>
        <x:v/>
      </x:c>
      <x:c r="W1064" t="str">
        <x:f>""</x:f>
        <x:v/>
      </x:c>
      <x:c r="X1064" t="str">
        <x:f>""</x:f>
        <x:v/>
      </x:c>
      <x:c r="Y1064" t="str">
        <x:f>""</x:f>
        <x:v/>
      </x:c>
      <x:c r="Z1064" t="str">
        <x:f>""</x:f>
        <x:v/>
      </x:c>
      <x:c r="AA1064" t="str">
        <x:f>""</x:f>
        <x:v/>
      </x:c>
      <x:c r="AB1064" t="str">
        <x:f>""</x:f>
        <x:v/>
      </x:c>
      <x:c r="AC1064" t="str">
        <x:f>""</x:f>
        <x:v/>
      </x:c>
      <x:c r="AD1064" t="str">
        <x:f>""</x:f>
        <x:v/>
      </x:c>
      <x:c r="AE1064" t="str">
        <x:f>""</x:f>
        <x:v/>
      </x:c>
      <x:c r="AF1064" t="str">
        <x:f>""</x:f>
        <x:v/>
      </x:c>
      <x:c r="AG1064" t="str">
        <x:f>""</x:f>
        <x:v/>
      </x:c>
    </x:row>
    <x:row r="1065" spans="2:33" x14ac:dyDescent="0.25">
      <x:c r="B1065" t="str">
        <x:f>"SCC US Equity"</x:f>
        <x:v>SCC US Equity</x:v>
      </x:c>
      <x:c r="C1065" t="str">
        <x:f t="shared" si="44"/>
        <x:v>FD447</x:v>
      </x:c>
      <x:c r="D1065" t="str">
        <x:f t="shared" si="45"/>
        <x:v>FUND_FLOW</x:v>
      </x:c>
      <x:c r="E1065" t="str">
        <x:f t="shared" si="46"/>
        <x:v>Dynamic</x:v>
      </x:c>
      <x:c r="F1065">
        <x:f ca="1">_xll.BDH($B$1065,$C$1065,$B$1010,$B$1011,CONCATENATE("Per=",$B$1008),"Dts=H","Dir=H",CONCATENATE("Points=",$B$1009),"Sort=R","Days=A","Fill=B",CONCATENATE("FX=", $B$1007),"cols=14;rows=1")</x:f>
        <x:v>0.83289999999999997</x:v>
      </x:c>
      <x:c r="G1065">
        <x:v>-0.16500000000000001</x:v>
      </x:c>
      <x:c r="H1065">
        <x:v>0</x:v>
      </x:c>
      <x:c r="I1065">
        <x:v>0.15459999999999999</x:v>
      </x:c>
      <x:c r="J1065">
        <x:v>-0.68879999999999997</x:v>
      </x:c>
      <x:c r="K1065">
        <x:v>0.57840000000000003</x:v>
      </x:c>
      <x:c r="L1065">
        <x:v>0</x:v>
      </x:c>
      <x:c r="M1065">
        <x:v>-0.6089</x:v>
      </x:c>
      <x:c r="N1065">
        <x:v>-0.51880000000000004</x:v>
      </x:c>
      <x:c r="O1065">
        <x:v>-0.59370000000000001</x:v>
      </x:c>
      <x:c r="P1065">
        <x:v>0</x:v>
      </x:c>
      <x:c r="Q1065">
        <x:v>-1.2561</x:v>
      </x:c>
      <x:c r="R1065">
        <x:v>-4.1578999999999997</x:v>
      </x:c>
      <x:c r="S1065">
        <x:v>1.2886</x:v>
      </x:c>
      <x:c r="T1065" t="str">
        <x:f>""</x:f>
        <x:v/>
      </x:c>
      <x:c r="U1065" t="str">
        <x:f>""</x:f>
        <x:v/>
      </x:c>
      <x:c r="V1065" t="str">
        <x:f>""</x:f>
        <x:v/>
      </x:c>
      <x:c r="W1065" t="str">
        <x:f>""</x:f>
        <x:v/>
      </x:c>
      <x:c r="X1065" t="str">
        <x:f>""</x:f>
        <x:v/>
      </x:c>
      <x:c r="Y1065" t="str">
        <x:f>""</x:f>
        <x:v/>
      </x:c>
      <x:c r="Z1065" t="str">
        <x:f>""</x:f>
        <x:v/>
      </x:c>
      <x:c r="AA1065" t="str">
        <x:f>""</x:f>
        <x:v/>
      </x:c>
      <x:c r="AB1065" t="str">
        <x:f>""</x:f>
        <x:v/>
      </x:c>
      <x:c r="AC1065" t="str">
        <x:f>""</x:f>
        <x:v/>
      </x:c>
      <x:c r="AD1065" t="str">
        <x:f>""</x:f>
        <x:v/>
      </x:c>
      <x:c r="AE1065" t="str">
        <x:f>""</x:f>
        <x:v/>
      </x:c>
      <x:c r="AF1065" t="str">
        <x:f>""</x:f>
        <x:v/>
      </x:c>
      <x:c r="AG1065" t="str">
        <x:f>""</x:f>
        <x:v/>
      </x:c>
    </x:row>
    <x:row r="1066" spans="2:33" x14ac:dyDescent="0.25">
      <x:c r="B1066" t="str">
        <x:f>"MENU US Equity"</x:f>
        <x:v>MENU US Equity</x:v>
      </x:c>
      <x:c r="C1066" t="str">
        <x:f t="shared" si="44"/>
        <x:v>FD447</x:v>
      </x:c>
      <x:c r="D1066" t="str">
        <x:f t="shared" si="45"/>
        <x:v>FUND_FLOW</x:v>
      </x:c>
      <x:c r="E1066" t="str">
        <x:f t="shared" si="46"/>
        <x:v>Dynamic</x:v>
      </x:c>
      <x:c r="F1066" t="str">
        <x:f ca="1">_xll.BDH($B$1066,$C$1066,$B$1010,$B$1011,CONCATENATE("Per=",$B$1008),"Dts=H","Dir=H",CONCATENATE("Points=",$B$1009),"Sort=R","Days=A","Fill=B",CONCATENATE("FX=", $B$1007) )</x:f>
        <x:v/>
      </x:c>
      <x:c r="T1066" t="str">
        <x:f>""</x:f>
        <x:v/>
      </x:c>
      <x:c r="U1066" t="str">
        <x:f>""</x:f>
        <x:v/>
      </x:c>
      <x:c r="V1066" t="str">
        <x:f>""</x:f>
        <x:v/>
      </x:c>
      <x:c r="W1066" t="str">
        <x:f>""</x:f>
        <x:v/>
      </x:c>
      <x:c r="X1066" t="str">
        <x:f>""</x:f>
        <x:v/>
      </x:c>
      <x:c r="Y1066" t="str">
        <x:f>""</x:f>
        <x:v/>
      </x:c>
      <x:c r="Z1066" t="str">
        <x:f>""</x:f>
        <x:v/>
      </x:c>
      <x:c r="AA1066" t="str">
        <x:f>""</x:f>
        <x:v/>
      </x:c>
      <x:c r="AB1066" t="str">
        <x:f>""</x:f>
        <x:v/>
      </x:c>
      <x:c r="AC1066" t="str">
        <x:f>""</x:f>
        <x:v/>
      </x:c>
      <x:c r="AD1066" t="str">
        <x:f>""</x:f>
        <x:v/>
      </x:c>
      <x:c r="AE1066" t="str">
        <x:f>""</x:f>
        <x:v/>
      </x:c>
      <x:c r="AF1066" t="str">
        <x:f>""</x:f>
        <x:v/>
      </x:c>
      <x:c r="AG1066" t="str">
        <x:f>""</x:f>
        <x:v/>
      </x:c>
    </x:row>
    <x:row r="1067" spans="2:33" x14ac:dyDescent="0.25">
      <x:c r="B1067" t="str">
        <x:f>"XD US Equity"</x:f>
        <x:v>XD US Equity</x:v>
      </x:c>
      <x:c r="C1067" t="str">
        <x:f t="shared" si="44"/>
        <x:v>FD447</x:v>
      </x:c>
      <x:c r="D1067" t="str">
        <x:f t="shared" si="45"/>
        <x:v>FUND_FLOW</x:v>
      </x:c>
      <x:c r="E1067" t="str">
        <x:f t="shared" si="46"/>
        <x:v>Dynamic</x:v>
      </x:c>
      <x:c r="F1067" t="str">
        <x:f ca="1">_xll.BDH($B$1067,$C$1067,$B$1010,$B$1011,CONCATENATE("Per=",$B$1008),"Dts=H","Dir=H",CONCATENATE("Points=",$B$1009),"Sort=R","Days=A","Fill=B",CONCATENATE("FX=", $B$1007) )</x:f>
        <x:v/>
      </x:c>
      <x:c r="T1067" t="str">
        <x:f>""</x:f>
        <x:v/>
      </x:c>
      <x:c r="U1067" t="str">
        <x:f>""</x:f>
        <x:v/>
      </x:c>
      <x:c r="V1067" t="str">
        <x:f>""</x:f>
        <x:v/>
      </x:c>
      <x:c r="W1067" t="str">
        <x:f>""</x:f>
        <x:v/>
      </x:c>
      <x:c r="X1067" t="str">
        <x:f>""</x:f>
        <x:v/>
      </x:c>
      <x:c r="Y1067" t="str">
        <x:f>""</x:f>
        <x:v/>
      </x:c>
      <x:c r="Z1067" t="str">
        <x:f>""</x:f>
        <x:v/>
      </x:c>
      <x:c r="AA1067" t="str">
        <x:f>""</x:f>
        <x:v/>
      </x:c>
      <x:c r="AB1067" t="str">
        <x:f>""</x:f>
        <x:v/>
      </x:c>
      <x:c r="AC1067" t="str">
        <x:f>""</x:f>
        <x:v/>
      </x:c>
      <x:c r="AD1067" t="str">
        <x:f>""</x:f>
        <x:v/>
      </x:c>
      <x:c r="AE1067" t="str">
        <x:f>""</x:f>
        <x:v/>
      </x:c>
      <x:c r="AF1067" t="str">
        <x:f>""</x:f>
        <x:v/>
      </x:c>
      <x:c r="AG1067" t="str">
        <x:f>""</x:f>
        <x:v/>
      </x:c>
    </x:row>
    <x:row r="1068" spans="2:33" x14ac:dyDescent="0.25">
      <x:c r="B1068" t="str">
        <x:f>"IEDI US Equity"</x:f>
        <x:v>IEDI US Equity</x:v>
      </x:c>
      <x:c r="C1068" t="str">
        <x:f t="shared" si="44"/>
        <x:v>FD447</x:v>
      </x:c>
      <x:c r="D1068" t="str">
        <x:f t="shared" si="45"/>
        <x:v>FUND_FLOW</x:v>
      </x:c>
      <x:c r="E1068" t="str">
        <x:f t="shared" si="46"/>
        <x:v>Dynamic</x:v>
      </x:c>
      <x:c r="F1068">
        <x:f ca="1">_xll.BDH($B$1068,$C$1068,$B$1010,$B$1011,CONCATENATE("Per=",$B$1008),"Dts=H","Dir=H",CONCATENATE("Points=",$B$1009),"Sort=R","Days=A","Fill=B",CONCATENATE("FX=", $B$1007),"cols=14;rows=1")</x:f>
        <x:v>0</x:v>
      </x:c>
      <x:c r="G1068">
        <x:v>0</x:v>
      </x:c>
      <x:c r="H1068">
        <x:v>0</x:v>
      </x:c>
      <x:c r="I1068">
        <x:v>0</x:v>
      </x:c>
      <x:c r="J1068">
        <x:v>0</x:v>
      </x:c>
      <x:c r="K1068">
        <x:v>0</x:v>
      </x:c>
      <x:c r="L1068">
        <x:v>0</x:v>
      </x:c>
      <x:c r="M1068">
        <x:v>0</x:v>
      </x:c>
      <x:c r="N1068">
        <x:v>0</x:v>
      </x:c>
      <x:c r="O1068">
        <x:v>0</x:v>
      </x:c>
      <x:c r="P1068">
        <x:v>-1.968</x:v>
      </x:c>
      <x:c r="Q1068">
        <x:v>1.9322999999999999</x:v>
      </x:c>
      <x:c r="R1068">
        <x:v>-3.6387999999999998</x:v>
      </x:c>
      <x:c r="S1068">
        <x:v>1.7818000000000001</x:v>
      </x:c>
      <x:c r="T1068" t="str">
        <x:f>""</x:f>
        <x:v/>
      </x:c>
      <x:c r="U1068" t="str">
        <x:f>""</x:f>
        <x:v/>
      </x:c>
      <x:c r="V1068" t="str">
        <x:f>""</x:f>
        <x:v/>
      </x:c>
      <x:c r="W1068" t="str">
        <x:f>""</x:f>
        <x:v/>
      </x:c>
      <x:c r="X1068" t="str">
        <x:f>""</x:f>
        <x:v/>
      </x:c>
      <x:c r="Y1068" t="str">
        <x:f>""</x:f>
        <x:v/>
      </x:c>
      <x:c r="Z1068" t="str">
        <x:f>""</x:f>
        <x:v/>
      </x:c>
      <x:c r="AA1068" t="str">
        <x:f>""</x:f>
        <x:v/>
      </x:c>
      <x:c r="AB1068" t="str">
        <x:f>""</x:f>
        <x:v/>
      </x:c>
      <x:c r="AC1068" t="str">
        <x:f>""</x:f>
        <x:v/>
      </x:c>
      <x:c r="AD1068" t="str">
        <x:f>""</x:f>
        <x:v/>
      </x:c>
      <x:c r="AE1068" t="str">
        <x:f>""</x:f>
        <x:v/>
      </x:c>
      <x:c r="AF1068" t="str">
        <x:f>""</x:f>
        <x:v/>
      </x:c>
      <x:c r="AG1068" t="str">
        <x:f>""</x:f>
        <x:v/>
      </x:c>
    </x:row>
    <x:row r="1069" spans="2:33" x14ac:dyDescent="0.25">
      <x:c r="B1069" t="str">
        <x:f>"EMTY US Equity"</x:f>
        <x:v>EMTY US Equity</x:v>
      </x:c>
      <x:c r="C1069" t="str">
        <x:f t="shared" si="44"/>
        <x:v>FD447</x:v>
      </x:c>
      <x:c r="D1069" t="str">
        <x:f t="shared" si="45"/>
        <x:v>FUND_FLOW</x:v>
      </x:c>
      <x:c r="E1069" t="str">
        <x:f t="shared" si="46"/>
        <x:v>Dynamic</x:v>
      </x:c>
      <x:c r="F1069">
        <x:f ca="1">_xll.BDH($B$1069,$C$1069,$B$1010,$B$1011,CONCATENATE("Per=",$B$1008),"Dts=H","Dir=H",CONCATENATE("Points=",$B$1009),"Sort=R","Days=A","Fill=B",CONCATENATE("FX=", $B$1007),"cols=14;rows=1")</x:f>
        <x:v>-0.34849999999999998</x:v>
      </x:c>
      <x:c r="G1069">
        <x:v>0</x:v>
      </x:c>
      <x:c r="H1069">
        <x:v>0.17599999999999999</x:v>
      </x:c>
      <x:c r="I1069">
        <x:v>-1.1906000000000001</x:v>
      </x:c>
      <x:c r="J1069">
        <x:v>0</x:v>
      </x:c>
      <x:c r="K1069">
        <x:v>-1.0837000000000001</x:v>
      </x:c>
      <x:c r="L1069">
        <x:v>-0.7167</x:v>
      </x:c>
      <x:c r="M1069">
        <x:v>-0.37280000000000002</x:v>
      </x:c>
      <x:c r="N1069">
        <x:v>-2.7541000000000002</x:v>
      </x:c>
      <x:c r="O1069">
        <x:v>-0.7228</x:v>
      </x:c>
      <x:c r="P1069">
        <x:v>-0.74070000000000003</x:v>
      </x:c>
      <x:c r="Q1069">
        <x:v>-3.8489</x:v>
      </x:c>
      <x:c r="R1069">
        <x:v>-4.7850000000000001</x:v>
      </x:c>
      <x:c r="S1069">
        <x:v>6.5292000000000003</x:v>
      </x:c>
      <x:c r="T1069" t="str">
        <x:f>""</x:f>
        <x:v/>
      </x:c>
      <x:c r="U1069" t="str">
        <x:f>""</x:f>
        <x:v/>
      </x:c>
      <x:c r="V1069" t="str">
        <x:f>""</x:f>
        <x:v/>
      </x:c>
      <x:c r="W1069" t="str">
        <x:f>""</x:f>
        <x:v/>
      </x:c>
      <x:c r="X1069" t="str">
        <x:f>""</x:f>
        <x:v/>
      </x:c>
      <x:c r="Y1069" t="str">
        <x:f>""</x:f>
        <x:v/>
      </x:c>
      <x:c r="Z1069" t="str">
        <x:f>""</x:f>
        <x:v/>
      </x:c>
      <x:c r="AA1069" t="str">
        <x:f>""</x:f>
        <x:v/>
      </x:c>
      <x:c r="AB1069" t="str">
        <x:f>""</x:f>
        <x:v/>
      </x:c>
      <x:c r="AC1069" t="str">
        <x:f>""</x:f>
        <x:v/>
      </x:c>
      <x:c r="AD1069" t="str">
        <x:f>""</x:f>
        <x:v/>
      </x:c>
      <x:c r="AE1069" t="str">
        <x:f>""</x:f>
        <x:v/>
      </x:c>
      <x:c r="AF1069" t="str">
        <x:f>""</x:f>
        <x:v/>
      </x:c>
      <x:c r="AG1069" t="str">
        <x:f>""</x:f>
        <x:v/>
      </x:c>
    </x:row>
    <x:row r="1070" spans="2:33" x14ac:dyDescent="0.25">
      <x:c r="B1070" t="str">
        <x:f>"EBIZ US Equity"</x:f>
        <x:v>EBIZ US Equity</x:v>
      </x:c>
      <x:c r="C1070" t="str">
        <x:f t="shared" si="44"/>
        <x:v>FD447</x:v>
      </x:c>
      <x:c r="D1070" t="str">
        <x:f t="shared" si="45"/>
        <x:v>FUND_FLOW</x:v>
      </x:c>
      <x:c r="E1070" t="str">
        <x:f t="shared" si="46"/>
        <x:v>Dynamic</x:v>
      </x:c>
      <x:c r="F1070">
        <x:f ca="1">_xll.BDH($B$1070,$C$1070,$B$1010,$B$1011,CONCATENATE("Per=",$B$1008),"Dts=H","Dir=H",CONCATENATE("Points=",$B$1009),"Sort=R","Days=A","Fill=B",CONCATENATE("FX=", $B$1007),"cols=14;rows=1")</x:f>
        <x:v>5.2009999999999996</x:v>
      </x:c>
      <x:c r="G1070">
        <x:v>2.7254999999999998</x:v>
      </x:c>
      <x:c r="H1070">
        <x:v>6.7563000000000004</x:v>
      </x:c>
      <x:c r="I1070">
        <x:v>11.037000000000001</x:v>
      </x:c>
      <x:c r="J1070">
        <x:v>-2.3544</x:v>
      </x:c>
      <x:c r="K1070">
        <x:v>-2.4914999999999998</x:v>
      </x:c>
      <x:c r="L1070">
        <x:v>-2.5259999999999998</x:v>
      </x:c>
      <x:c r="M1070">
        <x:v>-1.575</x:v>
      </x:c>
      <x:c r="N1070">
        <x:v>3.548</x:v>
      </x:c>
      <x:c r="O1070">
        <x:v>-2.9205000000000001</x:v>
      </x:c>
      <x:c r="P1070">
        <x:v>0</x:v>
      </x:c>
      <x:c r="Q1070">
        <x:v>-0.63880000000000003</x:v>
      </x:c>
      <x:c r="R1070">
        <x:v>-1.3792</x:v>
      </x:c>
      <x:c r="S1070">
        <x:v>-2.8780999999999999</x:v>
      </x:c>
      <x:c r="T1070" t="str">
        <x:f>""</x:f>
        <x:v/>
      </x:c>
      <x:c r="U1070" t="str">
        <x:f>""</x:f>
        <x:v/>
      </x:c>
      <x:c r="V1070" t="str">
        <x:f>""</x:f>
        <x:v/>
      </x:c>
      <x:c r="W1070" t="str">
        <x:f>""</x:f>
        <x:v/>
      </x:c>
      <x:c r="X1070" t="str">
        <x:f>""</x:f>
        <x:v/>
      </x:c>
      <x:c r="Y1070" t="str">
        <x:f>""</x:f>
        <x:v/>
      </x:c>
      <x:c r="Z1070" t="str">
        <x:f>""</x:f>
        <x:v/>
      </x:c>
      <x:c r="AA1070" t="str">
        <x:f>""</x:f>
        <x:v/>
      </x:c>
      <x:c r="AB1070" t="str">
        <x:f>""</x:f>
        <x:v/>
      </x:c>
      <x:c r="AC1070" t="str">
        <x:f>""</x:f>
        <x:v/>
      </x:c>
      <x:c r="AD1070" t="str">
        <x:f>""</x:f>
        <x:v/>
      </x:c>
      <x:c r="AE1070" t="str">
        <x:f>""</x:f>
        <x:v/>
      </x:c>
      <x:c r="AF1070" t="str">
        <x:f>""</x:f>
        <x:v/>
      </x:c>
      <x:c r="AG1070" t="str">
        <x:f>""</x:f>
        <x:v/>
      </x:c>
    </x:row>
    <x:row r="1071" spans="2:33" x14ac:dyDescent="0.25">
      <x:c r="B1071" t="str">
        <x:f>"PASS US Equity"</x:f>
        <x:v>PASS US Equity</x:v>
      </x:c>
      <x:c r="C1071" t="str">
        <x:f t="shared" si="44"/>
        <x:v>FD447</x:v>
      </x:c>
      <x:c r="D1071" t="str">
        <x:f t="shared" si="45"/>
        <x:v>FUND_FLOW</x:v>
      </x:c>
      <x:c r="E1071" t="str">
        <x:f t="shared" si="46"/>
        <x:v>Dynamic</x:v>
      </x:c>
      <x:c r="F1071" t="str">
        <x:f ca="1">_xll.BDH($B$1071,$C$1071,$B$1010,$B$1011,CONCATENATE("Per=",$B$1008),"Dts=H","Dir=H",CONCATENATE("Points=",$B$1009),"Sort=R","Days=A","Fill=B",CONCATENATE("FX=", $B$1007) )</x:f>
        <x:v/>
      </x:c>
      <x:c r="T1071" t="str">
        <x:f>""</x:f>
        <x:v/>
      </x:c>
      <x:c r="U1071" t="str">
        <x:f>""</x:f>
        <x:v/>
      </x:c>
      <x:c r="V1071" t="str">
        <x:f>""</x:f>
        <x:v/>
      </x:c>
      <x:c r="W1071" t="str">
        <x:f>""</x:f>
        <x:v/>
      </x:c>
      <x:c r="X1071" t="str">
        <x:f>""</x:f>
        <x:v/>
      </x:c>
      <x:c r="Y1071" t="str">
        <x:f>""</x:f>
        <x:v/>
      </x:c>
      <x:c r="Z1071" t="str">
        <x:f>""</x:f>
        <x:v/>
      </x:c>
      <x:c r="AA1071" t="str">
        <x:f>""</x:f>
        <x:v/>
      </x:c>
      <x:c r="AB1071" t="str">
        <x:f>""</x:f>
        <x:v/>
      </x:c>
      <x:c r="AC1071" t="str">
        <x:f>""</x:f>
        <x:v/>
      </x:c>
      <x:c r="AD1071" t="str">
        <x:f>""</x:f>
        <x:v/>
      </x:c>
      <x:c r="AE1071" t="str">
        <x:f>""</x:f>
        <x:v/>
      </x:c>
      <x:c r="AF1071" t="str">
        <x:f>""</x:f>
        <x:v/>
      </x:c>
      <x:c r="AG1071" t="str">
        <x:f>""</x:f>
        <x:v/>
      </x:c>
    </x:row>
    <x:row r="1072" spans="2:33" x14ac:dyDescent="0.25">
      <x:c r="B1072" t="str">
        <x:f>"WANT US Equity"</x:f>
        <x:v>WANT US Equity</x:v>
      </x:c>
      <x:c r="C1072" t="str">
        <x:f t="shared" si="44"/>
        <x:v>FD447</x:v>
      </x:c>
      <x:c r="D1072" t="str">
        <x:f t="shared" si="45"/>
        <x:v>FUND_FLOW</x:v>
      </x:c>
      <x:c r="E1072" t="str">
        <x:f t="shared" si="46"/>
        <x:v>Dynamic</x:v>
      </x:c>
      <x:c r="F1072">
        <x:f ca="1">_xll.BDH($B$1072,$C$1072,$B$1010,$B$1011,CONCATENATE("Per=",$B$1008),"Dts=H","Dir=H",CONCATENATE("Points=",$B$1009),"Sort=R","Days=A","Fill=B",CONCATENATE("FX=", $B$1007),"cols=14;rows=1")</x:f>
        <x:v>1.0507</x:v>
      </x:c>
      <x:c r="G1072">
        <x:v>-1.6962999999999999</x:v>
      </x:c>
      <x:c r="H1072">
        <x:v>-3.0554999999999999</x:v>
      </x:c>
      <x:c r="I1072">
        <x:v>-1.7577</x:v>
      </x:c>
      <x:c r="J1072">
        <x:v>4.1562000000000001</x:v>
      </x:c>
      <x:c r="K1072">
        <x:v>-1.1225000000000001</x:v>
      </x:c>
      <x:c r="L1072">
        <x:v>0</x:v>
      </x:c>
      <x:c r="M1072">
        <x:v>-7.1000000000000004E-3</x:v>
      </x:c>
      <x:c r="N1072">
        <x:v>0</x:v>
      </x:c>
      <x:c r="O1072">
        <x:v>-0.24429999999999999</x:v>
      </x:c>
      <x:c r="P1072">
        <x:v>0.77359999999999995</x:v>
      </x:c>
      <x:c r="Q1072">
        <x:v>2.1808999999999998</x:v>
      </x:c>
      <x:c r="R1072">
        <x:v>1.2095</x:v>
      </x:c>
      <x:c r="S1072">
        <x:v>-1.7490000000000001</x:v>
      </x:c>
      <x:c r="T1072" t="str">
        <x:f>""</x:f>
        <x:v/>
      </x:c>
      <x:c r="U1072" t="str">
        <x:f>""</x:f>
        <x:v/>
      </x:c>
      <x:c r="V1072" t="str">
        <x:f>""</x:f>
        <x:v/>
      </x:c>
      <x:c r="W1072" t="str">
        <x:f>""</x:f>
        <x:v/>
      </x:c>
      <x:c r="X1072" t="str">
        <x:f>""</x:f>
        <x:v/>
      </x:c>
      <x:c r="Y1072" t="str">
        <x:f>""</x:f>
        <x:v/>
      </x:c>
      <x:c r="Z1072" t="str">
        <x:f>""</x:f>
        <x:v/>
      </x:c>
      <x:c r="AA1072" t="str">
        <x:f>""</x:f>
        <x:v/>
      </x:c>
      <x:c r="AB1072" t="str">
        <x:f>""</x:f>
        <x:v/>
      </x:c>
      <x:c r="AC1072" t="str">
        <x:f>""</x:f>
        <x:v/>
      </x:c>
      <x:c r="AD1072" t="str">
        <x:f>""</x:f>
        <x:v/>
      </x:c>
      <x:c r="AE1072" t="str">
        <x:f>""</x:f>
        <x:v/>
      </x:c>
      <x:c r="AF1072" t="str">
        <x:f>""</x:f>
        <x:v/>
      </x:c>
      <x:c r="AG1072" t="str">
        <x:f>""</x:f>
        <x:v/>
      </x:c>
    </x:row>
    <x:row r="1073" spans="2:33" x14ac:dyDescent="0.25">
      <x:c r="B1073" t="str">
        <x:f>"JOYY US Equity"</x:f>
        <x:v>JOYY US Equity</x:v>
      </x:c>
      <x:c r="C1073" t="str">
        <x:f t="shared" si="44"/>
        <x:v>FD447</x:v>
      </x:c>
      <x:c r="D1073" t="str">
        <x:f t="shared" si="45"/>
        <x:v>FUND_FLOW</x:v>
      </x:c>
      <x:c r="E1073" t="str">
        <x:f t="shared" si="46"/>
        <x:v>Dynamic</x:v>
      </x:c>
      <x:c r="F1073" t="str">
        <x:f ca="1">_xll.BDH($B$1073,$C$1073,$B$1010,$B$1011,CONCATENATE("Per=",$B$1008),"Dts=H","Dir=H",CONCATENATE("Points=",$B$1009),"Sort=R","Days=A","Fill=B",CONCATENATE("FX=", $B$1007) )</x:f>
        <x:v/>
      </x:c>
      <x:c r="T1073" t="str">
        <x:f>""</x:f>
        <x:v/>
      </x:c>
      <x:c r="U1073" t="str">
        <x:f>""</x:f>
        <x:v/>
      </x:c>
      <x:c r="V1073" t="str">
        <x:f>""</x:f>
        <x:v/>
      </x:c>
      <x:c r="W1073" t="str">
        <x:f>""</x:f>
        <x:v/>
      </x:c>
      <x:c r="X1073" t="str">
        <x:f>""</x:f>
        <x:v/>
      </x:c>
      <x:c r="Y1073" t="str">
        <x:f>""</x:f>
        <x:v/>
      </x:c>
      <x:c r="Z1073" t="str">
        <x:f>""</x:f>
        <x:v/>
      </x:c>
      <x:c r="AA1073" t="str">
        <x:f>""</x:f>
        <x:v/>
      </x:c>
      <x:c r="AB1073" t="str">
        <x:f>""</x:f>
        <x:v/>
      </x:c>
      <x:c r="AC1073" t="str">
        <x:f>""</x:f>
        <x:v/>
      </x:c>
      <x:c r="AD1073" t="str">
        <x:f>""</x:f>
        <x:v/>
      </x:c>
      <x:c r="AE1073" t="str">
        <x:f>""</x:f>
        <x:v/>
      </x:c>
      <x:c r="AF1073" t="str">
        <x:f>""</x:f>
        <x:v/>
      </x:c>
      <x:c r="AG1073" t="str">
        <x:f>""</x:f>
        <x:v/>
      </x:c>
    </x:row>
    <x:row r="1074" spans="2:33" x14ac:dyDescent="0.25">
      <x:c r="B1074" t="str">
        <x:f>"KBUY US Equity"</x:f>
        <x:v>KBUY US Equity</x:v>
      </x:c>
      <x:c r="C1074" t="str">
        <x:f t="shared" si="44"/>
        <x:v>FD447</x:v>
      </x:c>
      <x:c r="D1074" t="str">
        <x:f t="shared" si="45"/>
        <x:v>FUND_FLOW</x:v>
      </x:c>
      <x:c r="E1074" t="str">
        <x:f t="shared" si="46"/>
        <x:v>Dynamic</x:v>
      </x:c>
      <x:c r="F1074">
        <x:f ca="1">_xll.BDH($B$1074,$C$1074,$B$1010,$B$1011,CONCATENATE("Per=",$B$1008),"Dts=H","Dir=H",CONCATENATE("Points=",$B$1009),"Sort=R","Days=A","Fill=B",CONCATENATE("FX=", $B$1007),"cols=14;rows=1")</x:f>
        <x:v>0</x:v>
      </x:c>
      <x:c r="G1074">
        <x:v>0</x:v>
      </x:c>
      <x:c r="H1074">
        <x:v>0</x:v>
      </x:c>
      <x:c r="I1074">
        <x:v>0</x:v>
      </x:c>
      <x:c r="J1074">
        <x:v>0</x:v>
      </x:c>
      <x:c r="K1074">
        <x:v>0</x:v>
      </x:c>
      <x:c r="L1074">
        <x:v>0</x:v>
      </x:c>
      <x:c r="M1074">
        <x:v>0</x:v>
      </x:c>
      <x:c r="N1074">
        <x:v>0</x:v>
      </x:c>
      <x:c r="O1074">
        <x:v>0</x:v>
      </x:c>
      <x:c r="P1074">
        <x:v>0</x:v>
      </x:c>
      <x:c r="Q1074">
        <x:v>-0.83599999999999997</x:v>
      </x:c>
      <x:c r="R1074">
        <x:v>0</x:v>
      </x:c>
      <x:c r="S1074">
        <x:v>0</x:v>
      </x:c>
      <x:c r="T1074" t="str">
        <x:f>""</x:f>
        <x:v/>
      </x:c>
      <x:c r="U1074" t="str">
        <x:f>""</x:f>
        <x:v/>
      </x:c>
      <x:c r="V1074" t="str">
        <x:f>""</x:f>
        <x:v/>
      </x:c>
      <x:c r="W1074" t="str">
        <x:f>""</x:f>
        <x:v/>
      </x:c>
      <x:c r="X1074" t="str">
        <x:f>""</x:f>
        <x:v/>
      </x:c>
      <x:c r="Y1074" t="str">
        <x:f>""</x:f>
        <x:v/>
      </x:c>
      <x:c r="Z1074" t="str">
        <x:f>""</x:f>
        <x:v/>
      </x:c>
      <x:c r="AA1074" t="str">
        <x:f>""</x:f>
        <x:v/>
      </x:c>
      <x:c r="AB1074" t="str">
        <x:f>""</x:f>
        <x:v/>
      </x:c>
      <x:c r="AC1074" t="str">
        <x:f>""</x:f>
        <x:v/>
      </x:c>
      <x:c r="AD1074" t="str">
        <x:f>""</x:f>
        <x:v/>
      </x:c>
      <x:c r="AE1074" t="str">
        <x:f>""</x:f>
        <x:v/>
      </x:c>
      <x:c r="AF1074" t="str">
        <x:f>""</x:f>
        <x:v/>
      </x:c>
      <x:c r="AG1074" t="str">
        <x:f>""</x:f>
        <x:v/>
      </x:c>
    </x:row>
    <x:row r="1075" spans="2:33" x14ac:dyDescent="0.25">
      <x:c r="B1075" t="str">
        <x:f>"NKEL US Equity"</x:f>
        <x:v>NKEL US Equity</x:v>
      </x:c>
      <x:c r="C1075" t="str">
        <x:f t="shared" si="44"/>
        <x:v>FD447</x:v>
      </x:c>
      <x:c r="D1075" t="str">
        <x:f t="shared" si="45"/>
        <x:v>FUND_FLOW</x:v>
      </x:c>
      <x:c r="E1075" t="str">
        <x:f t="shared" si="46"/>
        <x:v>Dynamic</x:v>
      </x:c>
      <x:c r="F1075" t="str">
        <x:f ca="1">_xll.BDH($B$1075,$C$1075,$B$1010,$B$1011,CONCATENATE("Per=",$B$1008),"Dts=H","Dir=H",CONCATENATE("Points=",$B$1009),"Sort=R","Days=A","Fill=B",CONCATENATE("FX=", $B$1007),"cols=14;rows=1")</x:f>
        <x:v/>
      </x:c>
      <x:c r="J1075">
        <x:v>0.58409999999999995</x:v>
      </x:c>
      <x:c r="K1075">
        <x:v>-0.1158</x:v>
      </x:c>
      <x:c r="L1075">
        <x:v>0</x:v>
      </x:c>
      <x:c r="M1075">
        <x:v>1.1000000000000001E-3</x:v>
      </x:c>
      <x:c r="N1075">
        <x:v>0</x:v>
      </x:c>
      <x:c r="O1075">
        <x:v>-0.37190000000000001</x:v>
      </x:c>
      <x:c r="P1075">
        <x:v>0</x:v>
      </x:c>
      <x:c r="Q1075">
        <x:v>0.28520000000000001</x:v>
      </x:c>
      <x:c r="R1075">
        <x:v>0</x:v>
      </x:c>
      <x:c r="S1075">
        <x:v>0</x:v>
      </x:c>
      <x:c r="T1075" t="str">
        <x:f>""</x:f>
        <x:v/>
      </x:c>
      <x:c r="U1075" t="str">
        <x:f>""</x:f>
        <x:v/>
      </x:c>
      <x:c r="V1075" t="str">
        <x:f>""</x:f>
        <x:v/>
      </x:c>
      <x:c r="W1075" t="str">
        <x:f>""</x:f>
        <x:v/>
      </x:c>
      <x:c r="X1075" t="str">
        <x:f>""</x:f>
        <x:v/>
      </x:c>
      <x:c r="Y1075" t="str">
        <x:f>""</x:f>
        <x:v/>
      </x:c>
      <x:c r="Z1075" t="str">
        <x:f>""</x:f>
        <x:v/>
      </x:c>
      <x:c r="AA1075" t="str">
        <x:f>""</x:f>
        <x:v/>
      </x:c>
      <x:c r="AB1075" t="str">
        <x:f>""</x:f>
        <x:v/>
      </x:c>
      <x:c r="AC1075" t="str">
        <x:f>""</x:f>
        <x:v/>
      </x:c>
      <x:c r="AD1075" t="str">
        <x:f>""</x:f>
        <x:v/>
      </x:c>
      <x:c r="AE1075" t="str">
        <x:f>""</x:f>
        <x:v/>
      </x:c>
      <x:c r="AF1075" t="str">
        <x:f>""</x:f>
        <x:v/>
      </x:c>
      <x:c r="AG1075" t="str">
        <x:f>""</x:f>
        <x:v/>
      </x:c>
    </x:row>
    <x:row r="1076" spans="2:33" x14ac:dyDescent="0.25">
      <x:c r="B1076" t="str">
        <x:f>"NKEQ US Equity"</x:f>
        <x:v>NKEQ US Equity</x:v>
      </x:c>
      <x:c r="C1076" t="str">
        <x:f t="shared" si="44"/>
        <x:v>FD447</x:v>
      </x:c>
      <x:c r="D1076" t="str">
        <x:f t="shared" si="45"/>
        <x:v>FUND_FLOW</x:v>
      </x:c>
      <x:c r="E1076" t="str">
        <x:f t="shared" si="46"/>
        <x:v>Dynamic</x:v>
      </x:c>
      <x:c r="F1076" t="str">
        <x:f ca="1">_xll.BDH($B$1076,$C$1076,$B$1010,$B$1011,CONCATENATE("Per=",$B$1008),"Dts=H","Dir=H",CONCATENATE("Points=",$B$1009),"Sort=R","Days=A","Fill=B",CONCATENATE("FX=", $B$1007),"cols=14;rows=1")</x:f>
        <x:v/>
      </x:c>
      <x:c r="J1076">
        <x:v>-0.33800000000000002</x:v>
      </x:c>
      <x:c r="K1076">
        <x:v>-0.51870000000000005</x:v>
      </x:c>
      <x:c r="L1076">
        <x:v>0</x:v>
      </x:c>
      <x:c r="M1076">
        <x:v>-0.13420000000000001</x:v>
      </x:c>
      <x:c r="N1076">
        <x:v>0</x:v>
      </x:c>
      <x:c r="O1076">
        <x:v>0.28739999999999999</x:v>
      </x:c>
      <x:c r="P1076">
        <x:v>0</x:v>
      </x:c>
      <x:c r="Q1076">
        <x:v>0.38100000000000001</x:v>
      </x:c>
      <x:c r="R1076">
        <x:v>0</x:v>
      </x:c>
      <x:c r="S1076">
        <x:v>0</x:v>
      </x:c>
      <x:c r="T1076" t="str">
        <x:f>""</x:f>
        <x:v/>
      </x:c>
      <x:c r="U1076" t="str">
        <x:f>""</x:f>
        <x:v/>
      </x:c>
      <x:c r="V1076" t="str">
        <x:f>""</x:f>
        <x:v/>
      </x:c>
      <x:c r="W1076" t="str">
        <x:f>""</x:f>
        <x:v/>
      </x:c>
      <x:c r="X1076" t="str">
        <x:f>""</x:f>
        <x:v/>
      </x:c>
      <x:c r="Y1076" t="str">
        <x:f>""</x:f>
        <x:v/>
      </x:c>
      <x:c r="Z1076" t="str">
        <x:f>""</x:f>
        <x:v/>
      </x:c>
      <x:c r="AA1076" t="str">
        <x:f>""</x:f>
        <x:v/>
      </x:c>
      <x:c r="AB1076" t="str">
        <x:f>""</x:f>
        <x:v/>
      </x:c>
      <x:c r="AC1076" t="str">
        <x:f>""</x:f>
        <x:v/>
      </x:c>
      <x:c r="AD1076" t="str">
        <x:f>""</x:f>
        <x:v/>
      </x:c>
      <x:c r="AE1076" t="str">
        <x:f>""</x:f>
        <x:v/>
      </x:c>
      <x:c r="AF1076" t="str">
        <x:f>""</x:f>
        <x:v/>
      </x:c>
      <x:c r="AG1076" t="str">
        <x:f>""</x:f>
        <x:v/>
      </x:c>
    </x:row>
    <x:row r="1077" spans="2:33" x14ac:dyDescent="0.25">
      <x:c r="B1077" t="str">
        <x:f>"TSLI US Equity"</x:f>
        <x:v>TSLI US Equity</x:v>
      </x:c>
      <x:c r="C1077" t="str">
        <x:f t="shared" si="44"/>
        <x:v>FD447</x:v>
      </x:c>
      <x:c r="D1077" t="str">
        <x:f t="shared" si="45"/>
        <x:v>FUND_FLOW</x:v>
      </x:c>
      <x:c r="E1077" t="str">
        <x:f t="shared" si="46"/>
        <x:v>Dynamic</x:v>
      </x:c>
      <x:c r="F1077" t="str">
        <x:f ca="1">_xll.BDH($B$1077,$C$1077,$B$1010,$B$1011,CONCATENATE("Per=",$B$1008),"Dts=H","Dir=H",CONCATENATE("Points=",$B$1009),"Sort=R","Days=A","Fill=B",CONCATENATE("FX=", $B$1007),"cols=14;rows=1")</x:f>
        <x:v/>
      </x:c>
      <x:c r="J1077">
        <x:v>0</x:v>
      </x:c>
      <x:c r="K1077">
        <x:v>1.2447999999999999</x:v>
      </x:c>
      <x:c r="L1077">
        <x:v>-1.3978999999999999</x:v>
      </x:c>
      <x:c r="M1077">
        <x:v>0.82750000000000001</x:v>
      </x:c>
      <x:c r="N1077">
        <x:v>0.52529999999999999</x:v>
      </x:c>
      <x:c r="O1077">
        <x:v>-1.9204000000000001</x:v>
      </x:c>
      <x:c r="P1077">
        <x:v>2.8784000000000001</x:v>
      </x:c>
      <x:c r="Q1077">
        <x:v>-0.4128</x:v>
      </x:c>
      <x:c r="R1077">
        <x:v>0.3216</x:v>
      </x:c>
      <x:c r="S1077">
        <x:v>0</x:v>
      </x:c>
      <x:c r="T1077" t="str">
        <x:f>""</x:f>
        <x:v/>
      </x:c>
      <x:c r="U1077" t="str">
        <x:f>""</x:f>
        <x:v/>
      </x:c>
      <x:c r="V1077" t="str">
        <x:f>""</x:f>
        <x:v/>
      </x:c>
      <x:c r="W1077" t="str">
        <x:f>""</x:f>
        <x:v/>
      </x:c>
      <x:c r="X1077" t="str">
        <x:f>""</x:f>
        <x:v/>
      </x:c>
      <x:c r="Y1077" t="str">
        <x:f>""</x:f>
        <x:v/>
      </x:c>
      <x:c r="Z1077" t="str">
        <x:f>""</x:f>
        <x:v/>
      </x:c>
      <x:c r="AA1077" t="str">
        <x:f>""</x:f>
        <x:v/>
      </x:c>
      <x:c r="AB1077" t="str">
        <x:f>""</x:f>
        <x:v/>
      </x:c>
      <x:c r="AC1077" t="str">
        <x:f>""</x:f>
        <x:v/>
      </x:c>
      <x:c r="AD1077" t="str">
        <x:f>""</x:f>
        <x:v/>
      </x:c>
      <x:c r="AE1077" t="str">
        <x:f>""</x:f>
        <x:v/>
      </x:c>
      <x:c r="AF1077" t="str">
        <x:f>""</x:f>
        <x:v/>
      </x:c>
      <x:c r="AG1077" t="str">
        <x:f>""</x:f>
        <x:v/>
      </x:c>
    </x:row>
    <x:row r="1078" spans="2:33" x14ac:dyDescent="0.25">
      <x:c r="B1078" t="str">
        <x:f>"TSLL US Equity"</x:f>
        <x:v>TSLL US Equity</x:v>
      </x:c>
      <x:c r="C1078" t="str">
        <x:f t="shared" ref="C1078:C1141" si="47">"FD447"</x:f>
        <x:v>FD447</x:v>
      </x:c>
      <x:c r="D1078" t="str">
        <x:f t="shared" ref="D1078:D1141" si="48">"FUND_FLOW"</x:f>
        <x:v>FUND_FLOW</x:v>
      </x:c>
      <x:c r="E1078" t="str">
        <x:f t="shared" ref="E1078:E1141" si="49">"Dynamic"</x:f>
        <x:v>Dynamic</x:v>
      </x:c>
      <x:c r="F1078">
        <x:f ca="1">_xll.BDH($B$1078,$C$1078,$B$1010,$B$1011,CONCATENATE("Per=",$B$1008),"Dts=H","Dir=H",CONCATENATE("Points=",$B$1009),"Sort=R","Days=A","Fill=B",CONCATENATE("FX=", $B$1007),"cols=14;rows=1")</x:f>
        <x:v>46.767499999999998</x:v>
      </x:c>
      <x:c r="G1078">
        <x:v>26.5581</x:v>
      </x:c>
      <x:c r="H1078">
        <x:v>34.4818</x:v>
      </x:c>
      <x:c r="I1078">
        <x:v>246.958</x:v>
      </x:c>
      <x:c r="J1078">
        <x:v>9.1898999999999997</x:v>
      </x:c>
      <x:c r="K1078">
        <x:v>-20.869399999999999</x:v>
      </x:c>
      <x:c r="L1078">
        <x:v>78.535700000000006</x:v>
      </x:c>
      <x:c r="M1078">
        <x:v>44.149799999999999</x:v>
      </x:c>
      <x:c r="N1078">
        <x:v>86.135499999999993</x:v>
      </x:c>
      <x:c r="O1078">
        <x:v>4.2911000000000001</x:v>
      </x:c>
      <x:c r="P1078">
        <x:v>117.20740000000001</x:v>
      </x:c>
      <x:c r="Q1078">
        <x:v>53.1965</x:v>
      </x:c>
      <x:c r="R1078">
        <x:v>55.343699999999998</x:v>
      </x:c>
      <x:c r="S1078">
        <x:v>23.274899999999999</x:v>
      </x:c>
      <x:c r="T1078" t="str">
        <x:f>""</x:f>
        <x:v/>
      </x:c>
      <x:c r="U1078" t="str">
        <x:f>""</x:f>
        <x:v/>
      </x:c>
      <x:c r="V1078" t="str">
        <x:f>""</x:f>
        <x:v/>
      </x:c>
      <x:c r="W1078" t="str">
        <x:f>""</x:f>
        <x:v/>
      </x:c>
      <x:c r="X1078" t="str">
        <x:f>""</x:f>
        <x:v/>
      </x:c>
      <x:c r="Y1078" t="str">
        <x:f>""</x:f>
        <x:v/>
      </x:c>
      <x:c r="Z1078" t="str">
        <x:f>""</x:f>
        <x:v/>
      </x:c>
      <x:c r="AA1078" t="str">
        <x:f>""</x:f>
        <x:v/>
      </x:c>
      <x:c r="AB1078" t="str">
        <x:f>""</x:f>
        <x:v/>
      </x:c>
      <x:c r="AC1078" t="str">
        <x:f>""</x:f>
        <x:v/>
      </x:c>
      <x:c r="AD1078" t="str">
        <x:f>""</x:f>
        <x:v/>
      </x:c>
      <x:c r="AE1078" t="str">
        <x:f>""</x:f>
        <x:v/>
      </x:c>
      <x:c r="AF1078" t="str">
        <x:f>""</x:f>
        <x:v/>
      </x:c>
      <x:c r="AG1078" t="str">
        <x:f>""</x:f>
        <x:v/>
      </x:c>
    </x:row>
    <x:row r="1079" spans="2:33" x14ac:dyDescent="0.25">
      <x:c r="B1079" t="str">
        <x:f>"TSLS US Equity"</x:f>
        <x:v>TSLS US Equity</x:v>
      </x:c>
      <x:c r="C1079" t="str">
        <x:f t="shared" si="47"/>
        <x:v>FD447</x:v>
      </x:c>
      <x:c r="D1079" t="str">
        <x:f t="shared" si="48"/>
        <x:v>FUND_FLOW</x:v>
      </x:c>
      <x:c r="E1079" t="str">
        <x:f t="shared" si="49"/>
        <x:v>Dynamic</x:v>
      </x:c>
      <x:c r="F1079">
        <x:f ca="1">_xll.BDH($B$1079,$C$1079,$B$1010,$B$1011,CONCATENATE("Per=",$B$1008),"Dts=H","Dir=H",CONCATENATE("Points=",$B$1009),"Sort=R","Days=A","Fill=B",CONCATENATE("FX=", $B$1007),"cols=14;rows=1")</x:f>
        <x:v>-13.1065</x:v>
      </x:c>
      <x:c r="G1079">
        <x:v>7.5328999999999997</x:v>
      </x:c>
      <x:c r="H1079">
        <x:v>-1.6379999999999999</x:v>
      </x:c>
      <x:c r="I1079">
        <x:v>-2.1152000000000002</x:v>
      </x:c>
      <x:c r="J1079">
        <x:v>23.505400000000002</x:v>
      </x:c>
      <x:c r="K1079">
        <x:v>-2.8281999999999998</x:v>
      </x:c>
      <x:c r="L1079">
        <x:v>-5.0392000000000001</x:v>
      </x:c>
      <x:c r="M1079">
        <x:v>-24.0518</x:v>
      </x:c>
      <x:c r="N1079">
        <x:v>4.5913000000000004</x:v>
      </x:c>
      <x:c r="O1079">
        <x:v>50.3752</x:v>
      </x:c>
      <x:c r="P1079">
        <x:v>8.6123999999999992</x:v>
      </x:c>
      <x:c r="Q1079">
        <x:v>6.6638999999999999</x:v>
      </x:c>
      <x:c r="R1079">
        <x:v>2.0211000000000001</x:v>
      </x:c>
      <x:c r="S1079">
        <x:v>2.8279000000000001</x:v>
      </x:c>
      <x:c r="T1079" t="str">
        <x:f>""</x:f>
        <x:v/>
      </x:c>
      <x:c r="U1079" t="str">
        <x:f>""</x:f>
        <x:v/>
      </x:c>
      <x:c r="V1079" t="str">
        <x:f>""</x:f>
        <x:v/>
      </x:c>
      <x:c r="W1079" t="str">
        <x:f>""</x:f>
        <x:v/>
      </x:c>
      <x:c r="X1079" t="str">
        <x:f>""</x:f>
        <x:v/>
      </x:c>
      <x:c r="Y1079" t="str">
        <x:f>""</x:f>
        <x:v/>
      </x:c>
      <x:c r="Z1079" t="str">
        <x:f>""</x:f>
        <x:v/>
      </x:c>
      <x:c r="AA1079" t="str">
        <x:f>""</x:f>
        <x:v/>
      </x:c>
      <x:c r="AB1079" t="str">
        <x:f>""</x:f>
        <x:v/>
      </x:c>
      <x:c r="AC1079" t="str">
        <x:f>""</x:f>
        <x:v/>
      </x:c>
      <x:c r="AD1079" t="str">
        <x:f>""</x:f>
        <x:v/>
      </x:c>
      <x:c r="AE1079" t="str">
        <x:f>""</x:f>
        <x:v/>
      </x:c>
      <x:c r="AF1079" t="str">
        <x:f>""</x:f>
        <x:v/>
      </x:c>
      <x:c r="AG1079" t="str">
        <x:f>""</x:f>
        <x:v/>
      </x:c>
    </x:row>
    <x:row r="1080" spans="2:33" x14ac:dyDescent="0.25">
      <x:c r="B1080" t="str">
        <x:f>"TSLY US Equity"</x:f>
        <x:v>TSLY US Equity</x:v>
      </x:c>
      <x:c r="C1080" t="str">
        <x:f t="shared" si="47"/>
        <x:v>FD447</x:v>
      </x:c>
      <x:c r="D1080" t="str">
        <x:f t="shared" si="48"/>
        <x:v>FUND_FLOW</x:v>
      </x:c>
      <x:c r="E1080" t="str">
        <x:f t="shared" si="49"/>
        <x:v>Dynamic</x:v>
      </x:c>
      <x:c r="F1080">
        <x:f ca="1">_xll.BDH($B$1080,$C$1080,$B$1010,$B$1011,CONCATENATE("Per=",$B$1008),"Dts=H","Dir=H",CONCATENATE("Points=",$B$1009),"Sort=R","Days=A","Fill=B",CONCATENATE("FX=", $B$1007),"cols=14;rows=1")</x:f>
        <x:v>116.47969999999999</x:v>
      </x:c>
      <x:c r="G1080">
        <x:v>162.71019999999999</x:v>
      </x:c>
      <x:c r="H1080">
        <x:v>297.82190000000003</x:v>
      </x:c>
      <x:c r="I1080">
        <x:v>187.19550000000001</x:v>
      </x:c>
      <x:c r="J1080">
        <x:v>70.722800000000007</x:v>
      </x:c>
      <x:c r="K1080">
        <x:v>17.785499999999999</x:v>
      </x:c>
      <x:c r="L1080">
        <x:v>38.626600000000003</x:v>
      </x:c>
      <x:c r="M1080">
        <x:v>16.399100000000001</x:v>
      </x:c>
      <x:c r="N1080">
        <x:v>3.3652000000000002</x:v>
      </x:c>
      <x:c r="O1080">
        <x:v>0</x:v>
      </x:c>
      <x:c r="P1080">
        <x:v>0</x:v>
      </x:c>
      <x:c r="Q1080">
        <x:v>0</x:v>
      </x:c>
      <x:c r="T1080" t="str">
        <x:f>""</x:f>
        <x:v/>
      </x:c>
      <x:c r="U1080" t="str">
        <x:f>""</x:f>
        <x:v/>
      </x:c>
      <x:c r="V1080" t="str">
        <x:f>""</x:f>
        <x:v/>
      </x:c>
      <x:c r="W1080" t="str">
        <x:f>""</x:f>
        <x:v/>
      </x:c>
      <x:c r="X1080" t="str">
        <x:f>""</x:f>
        <x:v/>
      </x:c>
      <x:c r="Y1080" t="str">
        <x:f>""</x:f>
        <x:v/>
      </x:c>
      <x:c r="Z1080" t="str">
        <x:f>""</x:f>
        <x:v/>
      </x:c>
      <x:c r="AA1080" t="str">
        <x:f>""</x:f>
        <x:v/>
      </x:c>
      <x:c r="AB1080" t="str">
        <x:f>""</x:f>
        <x:v/>
      </x:c>
      <x:c r="AC1080" t="str">
        <x:f>""</x:f>
        <x:v/>
      </x:c>
      <x:c r="AD1080" t="str">
        <x:f>""</x:f>
        <x:v/>
      </x:c>
      <x:c r="AE1080" t="str">
        <x:f>""</x:f>
        <x:v/>
      </x:c>
      <x:c r="AF1080" t="str">
        <x:f>""</x:f>
        <x:v/>
      </x:c>
      <x:c r="AG1080" t="str">
        <x:f>""</x:f>
        <x:v/>
      </x:c>
    </x:row>
    <x:row r="1081" spans="2:33" x14ac:dyDescent="0.25">
      <x:c r="B1081" t="str">
        <x:f>"XLP US Equity"</x:f>
        <x:v>XLP US Equity</x:v>
      </x:c>
      <x:c r="C1081" t="str">
        <x:f t="shared" si="47"/>
        <x:v>FD447</x:v>
      </x:c>
      <x:c r="D1081" t="str">
        <x:f t="shared" si="48"/>
        <x:v>FUND_FLOW</x:v>
      </x:c>
      <x:c r="E1081" t="str">
        <x:f t="shared" si="49"/>
        <x:v>Dynamic</x:v>
      </x:c>
      <x:c r="F1081">
        <x:f ca="1">_xll.BDH($B$1081,$C$1081,$B$1010,$B$1011,CONCATENATE("Per=",$B$1008),"Dts=H","Dir=H",CONCATENATE("Points=",$B$1009),"Sort=R","Days=A","Fill=B",CONCATENATE("FX=", $B$1007),"cols=14;rows=1")</x:f>
        <x:v>-161.0855</x:v>
      </x:c>
      <x:c r="G1081">
        <x:v>187.87729999999999</x:v>
      </x:c>
      <x:c r="H1081">
        <x:v>-569.27480000000003</x:v>
      </x:c>
      <x:c r="I1081">
        <x:v>491.38150000000002</x:v>
      </x:c>
      <x:c r="J1081">
        <x:v>-326.24939999999998</x:v>
      </x:c>
      <x:c r="K1081">
        <x:v>-221.51900000000001</x:v>
      </x:c>
      <x:c r="L1081">
        <x:v>1102.1828</x:v>
      </x:c>
      <x:c r="M1081">
        <x:v>25.611999999999998</x:v>
      </x:c>
      <x:c r="N1081">
        <x:v>-277.41649999999998</x:v>
      </x:c>
      <x:c r="O1081">
        <x:v>-102.95359999999999</x:v>
      </x:c>
      <x:c r="P1081">
        <x:v>154.7912</x:v>
      </x:c>
      <x:c r="Q1081">
        <x:v>781.01430000000005</x:v>
      </x:c>
      <x:c r="R1081">
        <x:v>221.0866</x:v>
      </x:c>
      <x:c r="S1081">
        <x:v>280.5926</x:v>
      </x:c>
      <x:c r="T1081" t="str">
        <x:f>""</x:f>
        <x:v/>
      </x:c>
      <x:c r="U1081" t="str">
        <x:f>""</x:f>
        <x:v/>
      </x:c>
      <x:c r="V1081" t="str">
        <x:f>""</x:f>
        <x:v/>
      </x:c>
      <x:c r="W1081" t="str">
        <x:f>""</x:f>
        <x:v/>
      </x:c>
      <x:c r="X1081" t="str">
        <x:f>""</x:f>
        <x:v/>
      </x:c>
      <x:c r="Y1081" t="str">
        <x:f>""</x:f>
        <x:v/>
      </x:c>
      <x:c r="Z1081" t="str">
        <x:f>""</x:f>
        <x:v/>
      </x:c>
      <x:c r="AA1081" t="str">
        <x:f>""</x:f>
        <x:v/>
      </x:c>
      <x:c r="AB1081" t="str">
        <x:f>""</x:f>
        <x:v/>
      </x:c>
      <x:c r="AC1081" t="str">
        <x:f>""</x:f>
        <x:v/>
      </x:c>
      <x:c r="AD1081" t="str">
        <x:f>""</x:f>
        <x:v/>
      </x:c>
      <x:c r="AE1081" t="str">
        <x:f>""</x:f>
        <x:v/>
      </x:c>
      <x:c r="AF1081" t="str">
        <x:f>""</x:f>
        <x:v/>
      </x:c>
      <x:c r="AG1081" t="str">
        <x:f>""</x:f>
        <x:v/>
      </x:c>
    </x:row>
    <x:row r="1082" spans="2:33" x14ac:dyDescent="0.25">
      <x:c r="B1082" t="str">
        <x:f>"VDC US Equity"</x:f>
        <x:v>VDC US Equity</x:v>
      </x:c>
      <x:c r="C1082" t="str">
        <x:f t="shared" si="47"/>
        <x:v>FD447</x:v>
      </x:c>
      <x:c r="D1082" t="str">
        <x:f t="shared" si="48"/>
        <x:v>FUND_FLOW</x:v>
      </x:c>
      <x:c r="E1082" t="str">
        <x:f t="shared" si="49"/>
        <x:v>Dynamic</x:v>
      </x:c>
      <x:c r="F1082">
        <x:f ca="1">_xll.BDH($B$1082,$C$1082,$B$1010,$B$1011,CONCATENATE("Per=",$B$1008),"Dts=H","Dir=H",CONCATENATE("Points=",$B$1009),"Sort=R","Days=A","Fill=B",CONCATENATE("FX=", $B$1007),"cols=14;rows=1")</x:f>
        <x:v>-321.36700000000002</x:v>
      </x:c>
      <x:c r="G1082">
        <x:v>-4.9269999999999996</x:v>
      </x:c>
      <x:c r="H1082">
        <x:v>-111.9546</x:v>
      </x:c>
      <x:c r="I1082">
        <x:v>233.6874</x:v>
      </x:c>
      <x:c r="J1082">
        <x:v>-35.562399999999997</x:v>
      </x:c>
      <x:c r="K1082">
        <x:v>88.630899999999997</x:v>
      </x:c>
      <x:c r="L1082">
        <x:v>19.3142</x:v>
      </x:c>
      <x:c r="M1082">
        <x:v>-23.092700000000001</x:v>
      </x:c>
      <x:c r="N1082">
        <x:v>-9.0540000000000003</x:v>
      </x:c>
      <x:c r="O1082">
        <x:v>8.3177000000000003</x:v>
      </x:c>
      <x:c r="P1082">
        <x:v>34.999200000000002</x:v>
      </x:c>
      <x:c r="Q1082">
        <x:v>87.581199999999995</x:v>
      </x:c>
      <x:c r="R1082">
        <x:v>-60.262900000000002</x:v>
      </x:c>
      <x:c r="S1082">
        <x:v>-178.8536</x:v>
      </x:c>
      <x:c r="T1082" t="str">
        <x:f>""</x:f>
        <x:v/>
      </x:c>
      <x:c r="U1082" t="str">
        <x:f>""</x:f>
        <x:v/>
      </x:c>
      <x:c r="V1082" t="str">
        <x:f>""</x:f>
        <x:v/>
      </x:c>
      <x:c r="W1082" t="str">
        <x:f>""</x:f>
        <x:v/>
      </x:c>
      <x:c r="X1082" t="str">
        <x:f>""</x:f>
        <x:v/>
      </x:c>
      <x:c r="Y1082" t="str">
        <x:f>""</x:f>
        <x:v/>
      </x:c>
      <x:c r="Z1082" t="str">
        <x:f>""</x:f>
        <x:v/>
      </x:c>
      <x:c r="AA1082" t="str">
        <x:f>""</x:f>
        <x:v/>
      </x:c>
      <x:c r="AB1082" t="str">
        <x:f>""</x:f>
        <x:v/>
      </x:c>
      <x:c r="AC1082" t="str">
        <x:f>""</x:f>
        <x:v/>
      </x:c>
      <x:c r="AD1082" t="str">
        <x:f>""</x:f>
        <x:v/>
      </x:c>
      <x:c r="AE1082" t="str">
        <x:f>""</x:f>
        <x:v/>
      </x:c>
      <x:c r="AF1082" t="str">
        <x:f>""</x:f>
        <x:v/>
      </x:c>
      <x:c r="AG1082" t="str">
        <x:f>""</x:f>
        <x:v/>
      </x:c>
    </x:row>
    <x:row r="1083" spans="2:33" x14ac:dyDescent="0.25">
      <x:c r="B1083" t="str">
        <x:f>"KXI US Equity"</x:f>
        <x:v>KXI US Equity</x:v>
      </x:c>
      <x:c r="C1083" t="str">
        <x:f t="shared" si="47"/>
        <x:v>FD447</x:v>
      </x:c>
      <x:c r="D1083" t="str">
        <x:f t="shared" si="48"/>
        <x:v>FUND_FLOW</x:v>
      </x:c>
      <x:c r="E1083" t="str">
        <x:f t="shared" si="49"/>
        <x:v>Dynamic</x:v>
      </x:c>
      <x:c r="F1083">
        <x:f ca="1">_xll.BDH($B$1083,$C$1083,$B$1010,$B$1011,CONCATENATE("Per=",$B$1008),"Dts=H","Dir=H",CONCATENATE("Points=",$B$1009),"Sort=R","Days=A","Fill=B",CONCATENATE("FX=", $B$1007),"cols=14;rows=1")</x:f>
        <x:v>-8.4337999999999997</x:v>
      </x:c>
      <x:c r="G1083">
        <x:v>-486.38029999999998</x:v>
      </x:c>
      <x:c r="H1083">
        <x:v>-21.374600000000001</x:v>
      </x:c>
      <x:c r="I1083">
        <x:v>-67.807500000000005</x:v>
      </x:c>
      <x:c r="J1083">
        <x:v>-3.1126</x:v>
      </x:c>
      <x:c r="K1083">
        <x:v>50.3643</x:v>
      </x:c>
      <x:c r="L1083">
        <x:v>9.4482999999999997</x:v>
      </x:c>
      <x:c r="M1083">
        <x:v>21.312100000000001</x:v>
      </x:c>
      <x:c r="N1083">
        <x:v>-38.841700000000003</x:v>
      </x:c>
      <x:c r="O1083">
        <x:v>-18.080300000000001</x:v>
      </x:c>
      <x:c r="P1083">
        <x:v>51.986600000000003</x:v>
      </x:c>
      <x:c r="Q1083">
        <x:v>196.91040000000001</x:v>
      </x:c>
      <x:c r="R1083">
        <x:v>-8.5655000000000001</x:v>
      </x:c>
      <x:c r="S1083">
        <x:v>11.837899999999999</x:v>
      </x:c>
      <x:c r="T1083" t="str">
        <x:f>""</x:f>
        <x:v/>
      </x:c>
      <x:c r="U1083" t="str">
        <x:f>""</x:f>
        <x:v/>
      </x:c>
      <x:c r="V1083" t="str">
        <x:f>""</x:f>
        <x:v/>
      </x:c>
      <x:c r="W1083" t="str">
        <x:f>""</x:f>
        <x:v/>
      </x:c>
      <x:c r="X1083" t="str">
        <x:f>""</x:f>
        <x:v/>
      </x:c>
      <x:c r="Y1083" t="str">
        <x:f>""</x:f>
        <x:v/>
      </x:c>
      <x:c r="Z1083" t="str">
        <x:f>""</x:f>
        <x:v/>
      </x:c>
      <x:c r="AA1083" t="str">
        <x:f>""</x:f>
        <x:v/>
      </x:c>
      <x:c r="AB1083" t="str">
        <x:f>""</x:f>
        <x:v/>
      </x:c>
      <x:c r="AC1083" t="str">
        <x:f>""</x:f>
        <x:v/>
      </x:c>
      <x:c r="AD1083" t="str">
        <x:f>""</x:f>
        <x:v/>
      </x:c>
      <x:c r="AE1083" t="str">
        <x:f>""</x:f>
        <x:v/>
      </x:c>
      <x:c r="AF1083" t="str">
        <x:f>""</x:f>
        <x:v/>
      </x:c>
      <x:c r="AG1083" t="str">
        <x:f>""</x:f>
        <x:v/>
      </x:c>
    </x:row>
    <x:row r="1084" spans="2:33" x14ac:dyDescent="0.25">
      <x:c r="B1084" t="str">
        <x:f>"IYK US Equity"</x:f>
        <x:v>IYK US Equity</x:v>
      </x:c>
      <x:c r="C1084" t="str">
        <x:f t="shared" si="47"/>
        <x:v>FD447</x:v>
      </x:c>
      <x:c r="D1084" t="str">
        <x:f t="shared" si="48"/>
        <x:v>FUND_FLOW</x:v>
      </x:c>
      <x:c r="E1084" t="str">
        <x:f t="shared" si="49"/>
        <x:v>Dynamic</x:v>
      </x:c>
      <x:c r="F1084">
        <x:f ca="1">_xll.BDH($B$1084,$C$1084,$B$1010,$B$1011,CONCATENATE("Per=",$B$1008),"Dts=H","Dir=H",CONCATENATE("Points=",$B$1009),"Sort=R","Days=A","Fill=B",CONCATENATE("FX=", $B$1007),"cols=14;rows=1")</x:f>
        <x:v>-18.069900000000001</x:v>
      </x:c>
      <x:c r="G1084">
        <x:v>-174.37090000000001</x:v>
      </x:c>
      <x:c r="H1084">
        <x:v>-50.044800000000002</x:v>
      </x:c>
      <x:c r="I1084">
        <x:v>40.350999999999999</x:v>
      </x:c>
      <x:c r="J1084">
        <x:v>-79.629400000000004</x:v>
      </x:c>
      <x:c r="K1084">
        <x:v>31.007400000000001</x:v>
      </x:c>
      <x:c r="L1084">
        <x:v>0</x:v>
      </x:c>
      <x:c r="M1084">
        <x:v>-19.284400000000002</x:v>
      </x:c>
      <x:c r="N1084">
        <x:v>-78.892399999999995</x:v>
      </x:c>
      <x:c r="O1084">
        <x:v>31.6723</x:v>
      </x:c>
      <x:c r="P1084">
        <x:v>80.832899999999995</x:v>
      </x:c>
      <x:c r="Q1084">
        <x:v>20.5078</x:v>
      </x:c>
      <x:c r="R1084">
        <x:v>129.5027</x:v>
      </x:c>
      <x:c r="S1084">
        <x:v>0.92030000000000001</x:v>
      </x:c>
      <x:c r="T1084" t="str">
        <x:f>""</x:f>
        <x:v/>
      </x:c>
      <x:c r="U1084" t="str">
        <x:f>""</x:f>
        <x:v/>
      </x:c>
      <x:c r="V1084" t="str">
        <x:f>""</x:f>
        <x:v/>
      </x:c>
      <x:c r="W1084" t="str">
        <x:f>""</x:f>
        <x:v/>
      </x:c>
      <x:c r="X1084" t="str">
        <x:f>""</x:f>
        <x:v/>
      </x:c>
      <x:c r="Y1084" t="str">
        <x:f>""</x:f>
        <x:v/>
      </x:c>
      <x:c r="Z1084" t="str">
        <x:f>""</x:f>
        <x:v/>
      </x:c>
      <x:c r="AA1084" t="str">
        <x:f>""</x:f>
        <x:v/>
      </x:c>
      <x:c r="AB1084" t="str">
        <x:f>""</x:f>
        <x:v/>
      </x:c>
      <x:c r="AC1084" t="str">
        <x:f>""</x:f>
        <x:v/>
      </x:c>
      <x:c r="AD1084" t="str">
        <x:f>""</x:f>
        <x:v/>
      </x:c>
      <x:c r="AE1084" t="str">
        <x:f>""</x:f>
        <x:v/>
      </x:c>
      <x:c r="AF1084" t="str">
        <x:f>""</x:f>
        <x:v/>
      </x:c>
      <x:c r="AG1084" t="str">
        <x:f>""</x:f>
        <x:v/>
      </x:c>
    </x:row>
    <x:row r="1085" spans="2:33" x14ac:dyDescent="0.25">
      <x:c r="B1085" t="str">
        <x:f>"FXG US Equity"</x:f>
        <x:v>FXG US Equity</x:v>
      </x:c>
      <x:c r="C1085" t="str">
        <x:f t="shared" si="47"/>
        <x:v>FD447</x:v>
      </x:c>
      <x:c r="D1085" t="str">
        <x:f t="shared" si="48"/>
        <x:v>FUND_FLOW</x:v>
      </x:c>
      <x:c r="E1085" t="str">
        <x:f t="shared" si="49"/>
        <x:v>Dynamic</x:v>
      </x:c>
      <x:c r="F1085">
        <x:f ca="1">_xll.BDH($B$1085,$C$1085,$B$1010,$B$1011,CONCATENATE("Per=",$B$1008),"Dts=H","Dir=H",CONCATENATE("Points=",$B$1009),"Sort=R","Days=A","Fill=B",CONCATENATE("FX=", $B$1007),"cols=14;rows=1")</x:f>
        <x:v>-70.158199999999994</x:v>
      </x:c>
      <x:c r="G1085">
        <x:v>-67.376400000000004</x:v>
      </x:c>
      <x:c r="H1085">
        <x:v>50.695399999999999</x:v>
      </x:c>
      <x:c r="I1085">
        <x:v>-31.847999999999999</x:v>
      </x:c>
      <x:c r="J1085">
        <x:v>-24.763999999999999</x:v>
      </x:c>
      <x:c r="K1085">
        <x:v>12.741</x:v>
      </x:c>
      <x:c r="L1085">
        <x:v>-3.153</x:v>
      </x:c>
      <x:c r="M1085">
        <x:v>-21.115500000000001</x:v>
      </x:c>
      <x:c r="N1085">
        <x:v>-37.713999999999999</x:v>
      </x:c>
      <x:c r="O1085">
        <x:v>28.059000000000001</x:v>
      </x:c>
      <x:c r="P1085">
        <x:v>47.605800000000002</x:v>
      </x:c>
      <x:c r="Q1085">
        <x:v>35.138399999999997</x:v>
      </x:c>
      <x:c r="R1085">
        <x:v>-2.9114</x:v>
      </x:c>
      <x:c r="S1085">
        <x:v>-20.467300000000002</x:v>
      </x:c>
      <x:c r="T1085" t="str">
        <x:f>""</x:f>
        <x:v/>
      </x:c>
      <x:c r="U1085" t="str">
        <x:f>""</x:f>
        <x:v/>
      </x:c>
      <x:c r="V1085" t="str">
        <x:f>""</x:f>
        <x:v/>
      </x:c>
      <x:c r="W1085" t="str">
        <x:f>""</x:f>
        <x:v/>
      </x:c>
      <x:c r="X1085" t="str">
        <x:f>""</x:f>
        <x:v/>
      </x:c>
      <x:c r="Y1085" t="str">
        <x:f>""</x:f>
        <x:v/>
      </x:c>
      <x:c r="Z1085" t="str">
        <x:f>""</x:f>
        <x:v/>
      </x:c>
      <x:c r="AA1085" t="str">
        <x:f>""</x:f>
        <x:v/>
      </x:c>
      <x:c r="AB1085" t="str">
        <x:f>""</x:f>
        <x:v/>
      </x:c>
      <x:c r="AC1085" t="str">
        <x:f>""</x:f>
        <x:v/>
      </x:c>
      <x:c r="AD1085" t="str">
        <x:f>""</x:f>
        <x:v/>
      </x:c>
      <x:c r="AE1085" t="str">
        <x:f>""</x:f>
        <x:v/>
      </x:c>
      <x:c r="AF1085" t="str">
        <x:f>""</x:f>
        <x:v/>
      </x:c>
      <x:c r="AG1085" t="str">
        <x:f>""</x:f>
        <x:v/>
      </x:c>
    </x:row>
    <x:row r="1086" spans="2:33" x14ac:dyDescent="0.25">
      <x:c r="B1086" t="str">
        <x:f>"RHS US Equity"</x:f>
        <x:v>RHS US Equity</x:v>
      </x:c>
      <x:c r="C1086" t="str">
        <x:f t="shared" si="47"/>
        <x:v>FD447</x:v>
      </x:c>
      <x:c r="D1086" t="str">
        <x:f t="shared" si="48"/>
        <x:v>FUND_FLOW</x:v>
      </x:c>
      <x:c r="E1086" t="str">
        <x:f t="shared" si="49"/>
        <x:v>Dynamic</x:v>
      </x:c>
      <x:c r="F1086">
        <x:f ca="1">_xll.BDH($B$1086,$C$1086,$B$1010,$B$1011,CONCATENATE("Per=",$B$1008),"Dts=H","Dir=H",CONCATENATE("Points=",$B$1009),"Sort=R","Days=A","Fill=B",CONCATENATE("FX=", $B$1007),"cols=14;rows=1")</x:f>
        <x:v>-18.4377</x:v>
      </x:c>
      <x:c r="G1086">
        <x:v>-15.077</x:v>
      </x:c>
      <x:c r="H1086">
        <x:v>-68.310400000000001</x:v>
      </x:c>
      <x:c r="I1086">
        <x:v>-20.593</x:v>
      </x:c>
      <x:c r="J1086">
        <x:v>-282.01569999999998</x:v>
      </x:c>
      <x:c r="K1086">
        <x:v>-16.785900000000002</x:v>
      </x:c>
      <x:c r="L1086">
        <x:v>236.37219999999999</x:v>
      </x:c>
      <x:c r="M1086">
        <x:v>93.953500000000005</x:v>
      </x:c>
      <x:c r="N1086">
        <x:v>-11.7918</x:v>
      </x:c>
      <x:c r="O1086">
        <x:v>52.702199999999998</x:v>
      </x:c>
      <x:c r="P1086">
        <x:v>1.6839</x:v>
      </x:c>
      <x:c r="Q1086">
        <x:v>23.696300000000001</x:v>
      </x:c>
      <x:c r="R1086">
        <x:v>14.949299999999999</x:v>
      </x:c>
      <x:c r="S1086">
        <x:v>-19.766300000000001</x:v>
      </x:c>
      <x:c r="T1086" t="str">
        <x:f>""</x:f>
        <x:v/>
      </x:c>
      <x:c r="U1086" t="str">
        <x:f>""</x:f>
        <x:v/>
      </x:c>
      <x:c r="V1086" t="str">
        <x:f>""</x:f>
        <x:v/>
      </x:c>
      <x:c r="W1086" t="str">
        <x:f>""</x:f>
        <x:v/>
      </x:c>
      <x:c r="X1086" t="str">
        <x:f>""</x:f>
        <x:v/>
      </x:c>
      <x:c r="Y1086" t="str">
        <x:f>""</x:f>
        <x:v/>
      </x:c>
      <x:c r="Z1086" t="str">
        <x:f>""</x:f>
        <x:v/>
      </x:c>
      <x:c r="AA1086" t="str">
        <x:f>""</x:f>
        <x:v/>
      </x:c>
      <x:c r="AB1086" t="str">
        <x:f>""</x:f>
        <x:v/>
      </x:c>
      <x:c r="AC1086" t="str">
        <x:f>""</x:f>
        <x:v/>
      </x:c>
      <x:c r="AD1086" t="str">
        <x:f>""</x:f>
        <x:v/>
      </x:c>
      <x:c r="AE1086" t="str">
        <x:f>""</x:f>
        <x:v/>
      </x:c>
      <x:c r="AF1086" t="str">
        <x:f>""</x:f>
        <x:v/>
      </x:c>
      <x:c r="AG1086" t="str">
        <x:f>""</x:f>
        <x:v/>
      </x:c>
    </x:row>
    <x:row r="1087" spans="2:33" x14ac:dyDescent="0.25">
      <x:c r="B1087" t="str">
        <x:f>"FSTA US Equity"</x:f>
        <x:v>FSTA US Equity</x:v>
      </x:c>
      <x:c r="C1087" t="str">
        <x:f t="shared" si="47"/>
        <x:v>FD447</x:v>
      </x:c>
      <x:c r="D1087" t="str">
        <x:f t="shared" si="48"/>
        <x:v>FUND_FLOW</x:v>
      </x:c>
      <x:c r="E1087" t="str">
        <x:f t="shared" si="49"/>
        <x:v>Dynamic</x:v>
      </x:c>
      <x:c r="F1087">
        <x:f ca="1">_xll.BDH($B$1087,$C$1087,$B$1010,$B$1011,CONCATENATE("Per=",$B$1008),"Dts=H","Dir=H",CONCATENATE("Points=",$B$1009),"Sort=R","Days=A","Fill=B",CONCATENATE("FX=", $B$1007),"cols=14;rows=1")</x:f>
        <x:v>-14.486000000000001</x:v>
      </x:c>
      <x:c r="G1087">
        <x:v>-19.707799999999999</x:v>
      </x:c>
      <x:c r="H1087">
        <x:v>-50.144300000000001</x:v>
      </x:c>
      <x:c r="I1087">
        <x:v>-29.713699999999999</x:v>
      </x:c>
      <x:c r="J1087">
        <x:v>51.701000000000001</x:v>
      </x:c>
      <x:c r="K1087">
        <x:v>25.022099999999998</x:v>
      </x:c>
      <x:c r="L1087">
        <x:v>-13.704000000000001</x:v>
      </x:c>
      <x:c r="M1087">
        <x:v>34.985700000000001</x:v>
      </x:c>
      <x:c r="N1087">
        <x:v>4.4169</x:v>
      </x:c>
      <x:c r="O1087">
        <x:v>9.0403000000000002</x:v>
      </x:c>
      <x:c r="P1087">
        <x:v>11.44</x:v>
      </x:c>
      <x:c r="Q1087">
        <x:v>11.018599999999999</x:v>
      </x:c>
      <x:c r="R1087">
        <x:v>8.0963999999999992</x:v>
      </x:c>
      <x:c r="S1087">
        <x:v>0.16739999999999999</x:v>
      </x:c>
      <x:c r="T1087" t="str">
        <x:f>""</x:f>
        <x:v/>
      </x:c>
      <x:c r="U1087" t="str">
        <x:f>""</x:f>
        <x:v/>
      </x:c>
      <x:c r="V1087" t="str">
        <x:f>""</x:f>
        <x:v/>
      </x:c>
      <x:c r="W1087" t="str">
        <x:f>""</x:f>
        <x:v/>
      </x:c>
      <x:c r="X1087" t="str">
        <x:f>""</x:f>
        <x:v/>
      </x:c>
      <x:c r="Y1087" t="str">
        <x:f>""</x:f>
        <x:v/>
      </x:c>
      <x:c r="Z1087" t="str">
        <x:f>""</x:f>
        <x:v/>
      </x:c>
      <x:c r="AA1087" t="str">
        <x:f>""</x:f>
        <x:v/>
      </x:c>
      <x:c r="AB1087" t="str">
        <x:f>""</x:f>
        <x:v/>
      </x:c>
      <x:c r="AC1087" t="str">
        <x:f>""</x:f>
        <x:v/>
      </x:c>
      <x:c r="AD1087" t="str">
        <x:f>""</x:f>
        <x:v/>
      </x:c>
      <x:c r="AE1087" t="str">
        <x:f>""</x:f>
        <x:v/>
      </x:c>
      <x:c r="AF1087" t="str">
        <x:f>""</x:f>
        <x:v/>
      </x:c>
      <x:c r="AG1087" t="str">
        <x:f>""</x:f>
        <x:v/>
      </x:c>
    </x:row>
    <x:row r="1088" spans="2:33" x14ac:dyDescent="0.25">
      <x:c r="B1088" t="str">
        <x:f>"PBJ US Equity"</x:f>
        <x:v>PBJ US Equity</x:v>
      </x:c>
      <x:c r="C1088" t="str">
        <x:f t="shared" si="47"/>
        <x:v>FD447</x:v>
      </x:c>
      <x:c r="D1088" t="str">
        <x:f t="shared" si="48"/>
        <x:v>FUND_FLOW</x:v>
      </x:c>
      <x:c r="E1088" t="str">
        <x:f t="shared" si="49"/>
        <x:v>Dynamic</x:v>
      </x:c>
      <x:c r="F1088">
        <x:f ca="1">_xll.BDH($B$1088,$C$1088,$B$1010,$B$1011,CONCATENATE("Per=",$B$1008),"Dts=H","Dir=H",CONCATENATE("Points=",$B$1009),"Sort=R","Days=A","Fill=B",CONCATENATE("FX=", $B$1007),"cols=14;rows=1")</x:f>
        <x:v>-19.676300000000001</x:v>
      </x:c>
      <x:c r="G1088">
        <x:v>-21.803999999999998</x:v>
      </x:c>
      <x:c r="H1088">
        <x:v>-22.813600000000001</x:v>
      </x:c>
      <x:c r="I1088">
        <x:v>-24.984300000000001</x:v>
      </x:c>
      <x:c r="J1088">
        <x:v>-13.237299999999999</x:v>
      </x:c>
      <x:c r="K1088">
        <x:v>-14.798999999999999</x:v>
      </x:c>
      <x:c r="L1088">
        <x:v>3.7259000000000002</x:v>
      </x:c>
      <x:c r="M1088">
        <x:v>-6.3019999999999996</x:v>
      </x:c>
      <x:c r="N1088">
        <x:v>-21.073599999999999</x:v>
      </x:c>
      <x:c r="O1088">
        <x:v>-19.582599999999999</x:v>
      </x:c>
      <x:c r="P1088">
        <x:v>21.0016</x:v>
      </x:c>
      <x:c r="Q1088">
        <x:v>19.605599999999999</x:v>
      </x:c>
      <x:c r="R1088">
        <x:v>0.67069999999999996</x:v>
      </x:c>
      <x:c r="S1088">
        <x:v>11.4344</x:v>
      </x:c>
      <x:c r="T1088" t="str">
        <x:f>""</x:f>
        <x:v/>
      </x:c>
      <x:c r="U1088" t="str">
        <x:f>""</x:f>
        <x:v/>
      </x:c>
      <x:c r="V1088" t="str">
        <x:f>""</x:f>
        <x:v/>
      </x:c>
      <x:c r="W1088" t="str">
        <x:f>""</x:f>
        <x:v/>
      </x:c>
      <x:c r="X1088" t="str">
        <x:f>""</x:f>
        <x:v/>
      </x:c>
      <x:c r="Y1088" t="str">
        <x:f>""</x:f>
        <x:v/>
      </x:c>
      <x:c r="Z1088" t="str">
        <x:f>""</x:f>
        <x:v/>
      </x:c>
      <x:c r="AA1088" t="str">
        <x:f>""</x:f>
        <x:v/>
      </x:c>
      <x:c r="AB1088" t="str">
        <x:f>""</x:f>
        <x:v/>
      </x:c>
      <x:c r="AC1088" t="str">
        <x:f>""</x:f>
        <x:v/>
      </x:c>
      <x:c r="AD1088" t="str">
        <x:f>""</x:f>
        <x:v/>
      </x:c>
      <x:c r="AE1088" t="str">
        <x:f>""</x:f>
        <x:v/>
      </x:c>
      <x:c r="AF1088" t="str">
        <x:f>""</x:f>
        <x:v/>
      </x:c>
      <x:c r="AG1088" t="str">
        <x:f>""</x:f>
        <x:v/>
      </x:c>
    </x:row>
    <x:row r="1089" spans="2:33" x14ac:dyDescent="0.25">
      <x:c r="B1089" t="str">
        <x:f>"PSL US Equity"</x:f>
        <x:v>PSL US Equity</x:v>
      </x:c>
      <x:c r="C1089" t="str">
        <x:f t="shared" si="47"/>
        <x:v>FD447</x:v>
      </x:c>
      <x:c r="D1089" t="str">
        <x:f t="shared" si="48"/>
        <x:v>FUND_FLOW</x:v>
      </x:c>
      <x:c r="E1089" t="str">
        <x:f t="shared" si="49"/>
        <x:v>Dynamic</x:v>
      </x:c>
      <x:c r="F1089">
        <x:f ca="1">_xll.BDH($B$1089,$C$1089,$B$1010,$B$1011,CONCATENATE("Per=",$B$1008),"Dts=H","Dir=H",CONCATENATE("Points=",$B$1009),"Sort=R","Days=A","Fill=B",CONCATENATE("FX=", $B$1007),"cols=14;rows=1")</x:f>
        <x:v>-4.8635000000000002</x:v>
      </x:c>
      <x:c r="G1089">
        <x:v>-27.559100000000001</x:v>
      </x:c>
      <x:c r="H1089">
        <x:v>0</x:v>
      </x:c>
      <x:c r="I1089">
        <x:v>-0.87229999999999996</x:v>
      </x:c>
      <x:c r="J1089">
        <x:v>0.85540000000000005</x:v>
      </x:c>
      <x:c r="K1089">
        <x:v>-3.4992000000000001</x:v>
      </x:c>
      <x:c r="L1089">
        <x:v>-2.5891000000000002</x:v>
      </x:c>
      <x:c r="M1089">
        <x:v>-2.9681000000000002</x:v>
      </x:c>
      <x:c r="N1089">
        <x:v>-0.84099999999999997</x:v>
      </x:c>
      <x:c r="O1089">
        <x:v>-1.7363</x:v>
      </x:c>
      <x:c r="P1089">
        <x:v>1.7684</x:v>
      </x:c>
      <x:c r="Q1089">
        <x:v>-1.6469</x:v>
      </x:c>
      <x:c r="R1089">
        <x:v>-0.77059999999999995</x:v>
      </x:c>
      <x:c r="S1089">
        <x:v>0</x:v>
      </x:c>
      <x:c r="T1089" t="str">
        <x:f>""</x:f>
        <x:v/>
      </x:c>
      <x:c r="U1089" t="str">
        <x:f>""</x:f>
        <x:v/>
      </x:c>
      <x:c r="V1089" t="str">
        <x:f>""</x:f>
        <x:v/>
      </x:c>
      <x:c r="W1089" t="str">
        <x:f>""</x:f>
        <x:v/>
      </x:c>
      <x:c r="X1089" t="str">
        <x:f>""</x:f>
        <x:v/>
      </x:c>
      <x:c r="Y1089" t="str">
        <x:f>""</x:f>
        <x:v/>
      </x:c>
      <x:c r="Z1089" t="str">
        <x:f>""</x:f>
        <x:v/>
      </x:c>
      <x:c r="AA1089" t="str">
        <x:f>""</x:f>
        <x:v/>
      </x:c>
      <x:c r="AB1089" t="str">
        <x:f>""</x:f>
        <x:v/>
      </x:c>
      <x:c r="AC1089" t="str">
        <x:f>""</x:f>
        <x:v/>
      </x:c>
      <x:c r="AD1089" t="str">
        <x:f>""</x:f>
        <x:v/>
      </x:c>
      <x:c r="AE1089" t="str">
        <x:f>""</x:f>
        <x:v/>
      </x:c>
      <x:c r="AF1089" t="str">
        <x:f>""</x:f>
        <x:v/>
      </x:c>
      <x:c r="AG1089" t="str">
        <x:f>""</x:f>
        <x:v/>
      </x:c>
    </x:row>
    <x:row r="1090" spans="2:33" x14ac:dyDescent="0.25">
      <x:c r="B1090" t="str">
        <x:f>"PSCC US Equity"</x:f>
        <x:v>PSCC US Equity</x:v>
      </x:c>
      <x:c r="C1090" t="str">
        <x:f t="shared" si="47"/>
        <x:v>FD447</x:v>
      </x:c>
      <x:c r="D1090" t="str">
        <x:f t="shared" si="48"/>
        <x:v>FUND_FLOW</x:v>
      </x:c>
      <x:c r="E1090" t="str">
        <x:f t="shared" si="49"/>
        <x:v>Dynamic</x:v>
      </x:c>
      <x:c r="F1090">
        <x:f ca="1">_xll.BDH($B$1090,$C$1090,$B$1010,$B$1011,CONCATENATE("Per=",$B$1008),"Dts=H","Dir=H",CONCATENATE("Points=",$B$1009),"Sort=R","Days=A","Fill=B",CONCATENATE("FX=", $B$1007),"cols=14;rows=1")</x:f>
        <x:v>-1.9965999999999999</x:v>
      </x:c>
      <x:c r="G1090">
        <x:v>0</x:v>
      </x:c>
      <x:c r="H1090">
        <x:v>-0.67710000000000004</x:v>
      </x:c>
      <x:c r="I1090">
        <x:v>5.4676</x:v>
      </x:c>
      <x:c r="J1090">
        <x:v>1.0951</x:v>
      </x:c>
      <x:c r="K1090">
        <x:v>10.852399999999999</x:v>
      </x:c>
      <x:c r="L1090">
        <x:v>5.5244</x:v>
      </x:c>
      <x:c r="M1090">
        <x:v>9.4118999999999993</x:v>
      </x:c>
      <x:c r="N1090">
        <x:v>-6.5978000000000003</x:v>
      </x:c>
      <x:c r="O1090">
        <x:v>-3.0855999999999999</x:v>
      </x:c>
      <x:c r="P1090">
        <x:v>4.3460000000000001</x:v>
      </x:c>
      <x:c r="Q1090">
        <x:v>-2.1509</x:v>
      </x:c>
      <x:c r="R1090">
        <x:v>-1.9276</x:v>
      </x:c>
      <x:c r="S1090">
        <x:v>-0.95979999999999999</x:v>
      </x:c>
      <x:c r="T1090" t="str">
        <x:f>""</x:f>
        <x:v/>
      </x:c>
      <x:c r="U1090" t="str">
        <x:f>""</x:f>
        <x:v/>
      </x:c>
      <x:c r="V1090" t="str">
        <x:f>""</x:f>
        <x:v/>
      </x:c>
      <x:c r="W1090" t="str">
        <x:f>""</x:f>
        <x:v/>
      </x:c>
      <x:c r="X1090" t="str">
        <x:f>""</x:f>
        <x:v/>
      </x:c>
      <x:c r="Y1090" t="str">
        <x:f>""</x:f>
        <x:v/>
      </x:c>
      <x:c r="Z1090" t="str">
        <x:f>""</x:f>
        <x:v/>
      </x:c>
      <x:c r="AA1090" t="str">
        <x:f>""</x:f>
        <x:v/>
      </x:c>
      <x:c r="AB1090" t="str">
        <x:f>""</x:f>
        <x:v/>
      </x:c>
      <x:c r="AC1090" t="str">
        <x:f>""</x:f>
        <x:v/>
      </x:c>
      <x:c r="AD1090" t="str">
        <x:f>""</x:f>
        <x:v/>
      </x:c>
      <x:c r="AE1090" t="str">
        <x:f>""</x:f>
        <x:v/>
      </x:c>
      <x:c r="AF1090" t="str">
        <x:f>""</x:f>
        <x:v/>
      </x:c>
      <x:c r="AG1090" t="str">
        <x:f>""</x:f>
        <x:v/>
      </x:c>
    </x:row>
    <x:row r="1091" spans="2:33" x14ac:dyDescent="0.25">
      <x:c r="B1091" t="str">
        <x:f>"IPS US Equity"</x:f>
        <x:v>IPS US Equity</x:v>
      </x:c>
      <x:c r="C1091" t="str">
        <x:f t="shared" si="47"/>
        <x:v>FD447</x:v>
      </x:c>
      <x:c r="D1091" t="str">
        <x:f t="shared" si="48"/>
        <x:v>FUND_FLOW</x:v>
      </x:c>
      <x:c r="E1091" t="str">
        <x:f t="shared" si="49"/>
        <x:v>Dynamic</x:v>
      </x:c>
      <x:c r="F1091" t="str">
        <x:f ca="1">_xll.BDH($B$1091,$C$1091,$B$1010,$B$1011,CONCATENATE("Per=",$B$1008),"Dts=H","Dir=H",CONCATENATE("Points=",$B$1009),"Sort=R","Days=A","Fill=B",CONCATENATE("FX=", $B$1007) )</x:f>
        <x:v/>
      </x:c>
      <x:c r="T1091" t="str">
        <x:f>""</x:f>
        <x:v/>
      </x:c>
      <x:c r="U1091" t="str">
        <x:f>""</x:f>
        <x:v/>
      </x:c>
      <x:c r="V1091" t="str">
        <x:f>""</x:f>
        <x:v/>
      </x:c>
      <x:c r="W1091" t="str">
        <x:f>""</x:f>
        <x:v/>
      </x:c>
      <x:c r="X1091" t="str">
        <x:f>""</x:f>
        <x:v/>
      </x:c>
      <x:c r="Y1091" t="str">
        <x:f>""</x:f>
        <x:v/>
      </x:c>
      <x:c r="Z1091" t="str">
        <x:f>""</x:f>
        <x:v/>
      </x:c>
      <x:c r="AA1091" t="str">
        <x:f>""</x:f>
        <x:v/>
      </x:c>
      <x:c r="AB1091" t="str">
        <x:f>""</x:f>
        <x:v/>
      </x:c>
      <x:c r="AC1091" t="str">
        <x:f>""</x:f>
        <x:v/>
      </x:c>
      <x:c r="AD1091" t="str">
        <x:f>""</x:f>
        <x:v/>
      </x:c>
      <x:c r="AE1091" t="str">
        <x:f>""</x:f>
        <x:v/>
      </x:c>
      <x:c r="AF1091" t="str">
        <x:f>""</x:f>
        <x:v/>
      </x:c>
      <x:c r="AG1091" t="str">
        <x:f>""</x:f>
        <x:v/>
      </x:c>
    </x:row>
    <x:row r="1092" spans="2:33" x14ac:dyDescent="0.25">
      <x:c r="B1092" t="str">
        <x:f>"JHMS US Equity"</x:f>
        <x:v>JHMS US Equity</x:v>
      </x:c>
      <x:c r="C1092" t="str">
        <x:f t="shared" si="47"/>
        <x:v>FD447</x:v>
      </x:c>
      <x:c r="D1092" t="str">
        <x:f t="shared" si="48"/>
        <x:v>FUND_FLOW</x:v>
      </x:c>
      <x:c r="E1092" t="str">
        <x:f t="shared" si="49"/>
        <x:v>Dynamic</x:v>
      </x:c>
      <x:c r="F1092" t="str">
        <x:f ca="1">_xll.BDH($B$1092,$C$1092,$B$1010,$B$1011,CONCATENATE("Per=",$B$1008),"Dts=H","Dir=H",CONCATENATE("Points=",$B$1009),"Sort=R","Days=A","Fill=B",CONCATENATE("FX=", $B$1007),"cols=14;rows=1")</x:f>
        <x:v/>
      </x:c>
      <x:c r="R1092">
        <x:v>-10.748900000000001</x:v>
      </x:c>
      <x:c r="S1092">
        <x:v>4.3834</x:v>
      </x:c>
      <x:c r="T1092" t="str">
        <x:f>""</x:f>
        <x:v/>
      </x:c>
      <x:c r="U1092" t="str">
        <x:f>""</x:f>
        <x:v/>
      </x:c>
      <x:c r="V1092" t="str">
        <x:f>""</x:f>
        <x:v/>
      </x:c>
      <x:c r="W1092" t="str">
        <x:f>""</x:f>
        <x:v/>
      </x:c>
      <x:c r="X1092" t="str">
        <x:f>""</x:f>
        <x:v/>
      </x:c>
      <x:c r="Y1092" t="str">
        <x:f>""</x:f>
        <x:v/>
      </x:c>
      <x:c r="Z1092" t="str">
        <x:f>""</x:f>
        <x:v/>
      </x:c>
      <x:c r="AA1092" t="str">
        <x:f>""</x:f>
        <x:v/>
      </x:c>
      <x:c r="AB1092" t="str">
        <x:f>""</x:f>
        <x:v/>
      </x:c>
      <x:c r="AC1092" t="str">
        <x:f>""</x:f>
        <x:v/>
      </x:c>
      <x:c r="AD1092" t="str">
        <x:f>""</x:f>
        <x:v/>
      </x:c>
      <x:c r="AE1092" t="str">
        <x:f>""</x:f>
        <x:v/>
      </x:c>
      <x:c r="AF1092" t="str">
        <x:f>""</x:f>
        <x:v/>
      </x:c>
      <x:c r="AG1092" t="str">
        <x:f>""</x:f>
        <x:v/>
      </x:c>
    </x:row>
    <x:row r="1093" spans="2:33" x14ac:dyDescent="0.25">
      <x:c r="B1093" t="str">
        <x:f>"UGE US Equity"</x:f>
        <x:v>UGE US Equity</x:v>
      </x:c>
      <x:c r="C1093" t="str">
        <x:f t="shared" si="47"/>
        <x:v>FD447</x:v>
      </x:c>
      <x:c r="D1093" t="str">
        <x:f t="shared" si="48"/>
        <x:v>FUND_FLOW</x:v>
      </x:c>
      <x:c r="E1093" t="str">
        <x:f t="shared" si="49"/>
        <x:v>Dynamic</x:v>
      </x:c>
      <x:c r="F1093">
        <x:f ca="1">_xll.BDH($B$1093,$C$1093,$B$1010,$B$1011,CONCATENATE("Per=",$B$1008),"Dts=H","Dir=H",CONCATENATE("Points=",$B$1009),"Sort=R","Days=A","Fill=B",CONCATENATE("FX=", $B$1007),"cols=14;rows=1")</x:f>
        <x:v>-1.5195000000000001</x:v>
      </x:c>
      <x:c r="G1093">
        <x:v>-0.31469999999999998</x:v>
      </x:c>
      <x:c r="H1093">
        <x:v>0</x:v>
      </x:c>
      <x:c r="I1093">
        <x:v>-0.1696</x:v>
      </x:c>
      <x:c r="J1093">
        <x:v>-0.16769999999999999</x:v>
      </x:c>
      <x:c r="K1093">
        <x:v>0.40579999999999999</x:v>
      </x:c>
      <x:c r="L1093">
        <x:v>2.6682000000000001</x:v>
      </x:c>
      <x:c r="M1093">
        <x:v>-3.3532999999999999</x:v>
      </x:c>
      <x:c r="N1093">
        <x:v>0.89229999999999998</x:v>
      </x:c>
      <x:c r="O1093">
        <x:v>-0.39610000000000001</x:v>
      </x:c>
      <x:c r="P1093">
        <x:v>1.3032999999999999</x:v>
      </x:c>
      <x:c r="Q1093">
        <x:v>1.8381000000000001</x:v>
      </x:c>
      <x:c r="R1093">
        <x:v>-0.44040000000000001</x:v>
      </x:c>
      <x:c r="S1093">
        <x:v>-0.48749999999999999</x:v>
      </x:c>
      <x:c r="T1093" t="str">
        <x:f>""</x:f>
        <x:v/>
      </x:c>
      <x:c r="U1093" t="str">
        <x:f>""</x:f>
        <x:v/>
      </x:c>
      <x:c r="V1093" t="str">
        <x:f>""</x:f>
        <x:v/>
      </x:c>
      <x:c r="W1093" t="str">
        <x:f>""</x:f>
        <x:v/>
      </x:c>
      <x:c r="X1093" t="str">
        <x:f>""</x:f>
        <x:v/>
      </x:c>
      <x:c r="Y1093" t="str">
        <x:f>""</x:f>
        <x:v/>
      </x:c>
      <x:c r="Z1093" t="str">
        <x:f>""</x:f>
        <x:v/>
      </x:c>
      <x:c r="AA1093" t="str">
        <x:f>""</x:f>
        <x:v/>
      </x:c>
      <x:c r="AB1093" t="str">
        <x:f>""</x:f>
        <x:v/>
      </x:c>
      <x:c r="AC1093" t="str">
        <x:f>""</x:f>
        <x:v/>
      </x:c>
      <x:c r="AD1093" t="str">
        <x:f>""</x:f>
        <x:v/>
      </x:c>
      <x:c r="AE1093" t="str">
        <x:f>""</x:f>
        <x:v/>
      </x:c>
      <x:c r="AF1093" t="str">
        <x:f>""</x:f>
        <x:v/>
      </x:c>
      <x:c r="AG1093" t="str">
        <x:f>""</x:f>
        <x:v/>
      </x:c>
    </x:row>
    <x:row r="1094" spans="2:33" x14ac:dyDescent="0.25">
      <x:c r="B1094" t="str">
        <x:f>"CNSF US Equity"</x:f>
        <x:v>CNSF US Equity</x:v>
      </x:c>
      <x:c r="C1094" t="str">
        <x:f t="shared" si="47"/>
        <x:v>FD447</x:v>
      </x:c>
      <x:c r="D1094" t="str">
        <x:f t="shared" si="48"/>
        <x:v>FUND_FLOW</x:v>
      </x:c>
      <x:c r="E1094" t="str">
        <x:f t="shared" si="49"/>
        <x:v>Dynamic</x:v>
      </x:c>
      <x:c r="F1094" t="str">
        <x:f ca="1">_xll.BDH($B$1094,$C$1094,$B$1010,$B$1011,CONCATENATE("Per=",$B$1008),"Dts=H","Dir=H",CONCATENATE("Points=",$B$1009),"Sort=R","Days=A","Fill=B",CONCATENATE("FX=", $B$1007) )</x:f>
        <x:v/>
      </x:c>
      <x:c r="T1094" t="str">
        <x:f>""</x:f>
        <x:v/>
      </x:c>
      <x:c r="U1094" t="str">
        <x:f>""</x:f>
        <x:v/>
      </x:c>
      <x:c r="V1094" t="str">
        <x:f>""</x:f>
        <x:v/>
      </x:c>
      <x:c r="W1094" t="str">
        <x:f>""</x:f>
        <x:v/>
      </x:c>
      <x:c r="X1094" t="str">
        <x:f>""</x:f>
        <x:v/>
      </x:c>
      <x:c r="Y1094" t="str">
        <x:f>""</x:f>
        <x:v/>
      </x:c>
      <x:c r="Z1094" t="str">
        <x:f>""</x:f>
        <x:v/>
      </x:c>
      <x:c r="AA1094" t="str">
        <x:f>""</x:f>
        <x:v/>
      </x:c>
      <x:c r="AB1094" t="str">
        <x:f>""</x:f>
        <x:v/>
      </x:c>
      <x:c r="AC1094" t="str">
        <x:f>""</x:f>
        <x:v/>
      </x:c>
      <x:c r="AD1094" t="str">
        <x:f>""</x:f>
        <x:v/>
      </x:c>
      <x:c r="AE1094" t="str">
        <x:f>""</x:f>
        <x:v/>
      </x:c>
      <x:c r="AF1094" t="str">
        <x:f>""</x:f>
        <x:v/>
      </x:c>
      <x:c r="AG1094" t="str">
        <x:f>""</x:f>
        <x:v/>
      </x:c>
    </x:row>
    <x:row r="1095" spans="2:33" x14ac:dyDescent="0.25">
      <x:c r="B1095" t="str">
        <x:f>"SPLZ US Equity"</x:f>
        <x:v>SPLZ US Equity</x:v>
      </x:c>
      <x:c r="C1095" t="str">
        <x:f t="shared" si="47"/>
        <x:v>FD447</x:v>
      </x:c>
      <x:c r="D1095" t="str">
        <x:f t="shared" si="48"/>
        <x:v>FUND_FLOW</x:v>
      </x:c>
      <x:c r="E1095" t="str">
        <x:f t="shared" si="49"/>
        <x:v>Dynamic</x:v>
      </x:c>
      <x:c r="F1095" t="str">
        <x:f ca="1">_xll.BDH($B$1095,$C$1095,$B$1010,$B$1011,CONCATENATE("Per=",$B$1008),"Dts=H","Dir=H",CONCATENATE("Points=",$B$1009),"Sort=R","Days=A","Fill=B",CONCATENATE("FX=", $B$1007) )</x:f>
        <x:v/>
      </x:c>
      <x:c r="T1095" t="str">
        <x:f>""</x:f>
        <x:v/>
      </x:c>
      <x:c r="U1095" t="str">
        <x:f>""</x:f>
        <x:v/>
      </x:c>
      <x:c r="V1095" t="str">
        <x:f>""</x:f>
        <x:v/>
      </x:c>
      <x:c r="W1095" t="str">
        <x:f>""</x:f>
        <x:v/>
      </x:c>
      <x:c r="X1095" t="str">
        <x:f>""</x:f>
        <x:v/>
      </x:c>
      <x:c r="Y1095" t="str">
        <x:f>""</x:f>
        <x:v/>
      </x:c>
      <x:c r="Z1095" t="str">
        <x:f>""</x:f>
        <x:v/>
      </x:c>
      <x:c r="AA1095" t="str">
        <x:f>""</x:f>
        <x:v/>
      </x:c>
      <x:c r="AB1095" t="str">
        <x:f>""</x:f>
        <x:v/>
      </x:c>
      <x:c r="AC1095" t="str">
        <x:f>""</x:f>
        <x:v/>
      </x:c>
      <x:c r="AD1095" t="str">
        <x:f>""</x:f>
        <x:v/>
      </x:c>
      <x:c r="AE1095" t="str">
        <x:f>""</x:f>
        <x:v/>
      </x:c>
      <x:c r="AF1095" t="str">
        <x:f>""</x:f>
        <x:v/>
      </x:c>
      <x:c r="AG1095" t="str">
        <x:f>""</x:f>
        <x:v/>
      </x:c>
    </x:row>
    <x:row r="1096" spans="2:33" x14ac:dyDescent="0.25">
      <x:c r="B1096" t="str">
        <x:f>"SZK US Equity"</x:f>
        <x:v>SZK US Equity</x:v>
      </x:c>
      <x:c r="C1096" t="str">
        <x:f t="shared" si="47"/>
        <x:v>FD447</x:v>
      </x:c>
      <x:c r="D1096" t="str">
        <x:f t="shared" si="48"/>
        <x:v>FUND_FLOW</x:v>
      </x:c>
      <x:c r="E1096" t="str">
        <x:f t="shared" si="49"/>
        <x:v>Dynamic</x:v>
      </x:c>
      <x:c r="F1096">
        <x:f ca="1">_xll.BDH($B$1096,$C$1096,$B$1010,$B$1011,CONCATENATE("Per=",$B$1008),"Dts=H","Dir=H",CONCATENATE("Points=",$B$1009),"Sort=R","Days=A","Fill=B",CONCATENATE("FX=", $B$1007),"cols=14;rows=1")</x:f>
        <x:v>1.0682</x:v>
      </x:c>
      <x:c r="G1096">
        <x:v>-0.15670000000000001</x:v>
      </x:c>
      <x:c r="H1096">
        <x:v>0</x:v>
      </x:c>
      <x:c r="I1096">
        <x:v>-0.13830000000000001</x:v>
      </x:c>
      <x:c r="J1096">
        <x:v>-0.53129999999999999</x:v>
      </x:c>
      <x:c r="K1096">
        <x:v>-0.3392</x:v>
      </x:c>
      <x:c r="L1096">
        <x:v>-0.71030000000000004</x:v>
      </x:c>
      <x:c r="M1096">
        <x:v>1.1439999999999999</x:v>
      </x:c>
      <x:c r="N1096">
        <x:v>0.35270000000000001</x:v>
      </x:c>
      <x:c r="O1096">
        <x:v>0</x:v>
      </x:c>
      <x:c r="P1096">
        <x:v>-1.2281</x:v>
      </x:c>
      <x:c r="Q1096">
        <x:v>0</x:v>
      </x:c>
      <x:c r="R1096">
        <x:v>-0.86329999999999996</x:v>
      </x:c>
      <x:c r="S1096">
        <x:v>-0.64590000000000003</x:v>
      </x:c>
      <x:c r="T1096" t="str">
        <x:f>""</x:f>
        <x:v/>
      </x:c>
      <x:c r="U1096" t="str">
        <x:f>""</x:f>
        <x:v/>
      </x:c>
      <x:c r="V1096" t="str">
        <x:f>""</x:f>
        <x:v/>
      </x:c>
      <x:c r="W1096" t="str">
        <x:f>""</x:f>
        <x:v/>
      </x:c>
      <x:c r="X1096" t="str">
        <x:f>""</x:f>
        <x:v/>
      </x:c>
      <x:c r="Y1096" t="str">
        <x:f>""</x:f>
        <x:v/>
      </x:c>
      <x:c r="Z1096" t="str">
        <x:f>""</x:f>
        <x:v/>
      </x:c>
      <x:c r="AA1096" t="str">
        <x:f>""</x:f>
        <x:v/>
      </x:c>
      <x:c r="AB1096" t="str">
        <x:f>""</x:f>
        <x:v/>
      </x:c>
      <x:c r="AC1096" t="str">
        <x:f>""</x:f>
        <x:v/>
      </x:c>
      <x:c r="AD1096" t="str">
        <x:f>""</x:f>
        <x:v/>
      </x:c>
      <x:c r="AE1096" t="str">
        <x:f>""</x:f>
        <x:v/>
      </x:c>
      <x:c r="AF1096" t="str">
        <x:f>""</x:f>
        <x:v/>
      </x:c>
      <x:c r="AG1096" t="str">
        <x:f>""</x:f>
        <x:v/>
      </x:c>
    </x:row>
    <x:row r="1097" spans="2:33" x14ac:dyDescent="0.25">
      <x:c r="B1097" t="str">
        <x:f>"XS US Equity"</x:f>
        <x:v>XS US Equity</x:v>
      </x:c>
      <x:c r="C1097" t="str">
        <x:f t="shared" si="47"/>
        <x:v>FD447</x:v>
      </x:c>
      <x:c r="D1097" t="str">
        <x:f t="shared" si="48"/>
        <x:v>FUND_FLOW</x:v>
      </x:c>
      <x:c r="E1097" t="str">
        <x:f t="shared" si="49"/>
        <x:v>Dynamic</x:v>
      </x:c>
      <x:c r="F1097" t="str">
        <x:f ca="1">_xll.BDH($B$1097,$C$1097,$B$1010,$B$1011,CONCATENATE("Per=",$B$1008),"Dts=H","Dir=H",CONCATENATE("Points=",$B$1009),"Sort=R","Days=A","Fill=B",CONCATENATE("FX=", $B$1007) )</x:f>
        <x:v/>
      </x:c>
      <x:c r="T1097" t="str">
        <x:f>""</x:f>
        <x:v/>
      </x:c>
      <x:c r="U1097" t="str">
        <x:f>""</x:f>
        <x:v/>
      </x:c>
      <x:c r="V1097" t="str">
        <x:f>""</x:f>
        <x:v/>
      </x:c>
      <x:c r="W1097" t="str">
        <x:f>""</x:f>
        <x:v/>
      </x:c>
      <x:c r="X1097" t="str">
        <x:f>""</x:f>
        <x:v/>
      </x:c>
      <x:c r="Y1097" t="str">
        <x:f>""</x:f>
        <x:v/>
      </x:c>
      <x:c r="Z1097" t="str">
        <x:f>""</x:f>
        <x:v/>
      </x:c>
      <x:c r="AA1097" t="str">
        <x:f>""</x:f>
        <x:v/>
      </x:c>
      <x:c r="AB1097" t="str">
        <x:f>""</x:f>
        <x:v/>
      </x:c>
      <x:c r="AC1097" t="str">
        <x:f>""</x:f>
        <x:v/>
      </x:c>
      <x:c r="AD1097" t="str">
        <x:f>""</x:f>
        <x:v/>
      </x:c>
      <x:c r="AE1097" t="str">
        <x:f>""</x:f>
        <x:v/>
      </x:c>
      <x:c r="AF1097" t="str">
        <x:f>""</x:f>
        <x:v/>
      </x:c>
      <x:c r="AG1097" t="str">
        <x:f>""</x:f>
        <x:v/>
      </x:c>
    </x:row>
    <x:row r="1098" spans="2:33" x14ac:dyDescent="0.25">
      <x:c r="B1098" t="str">
        <x:f>"IECS US Equity"</x:f>
        <x:v>IECS US Equity</x:v>
      </x:c>
      <x:c r="C1098" t="str">
        <x:f t="shared" si="47"/>
        <x:v>FD447</x:v>
      </x:c>
      <x:c r="D1098" t="str">
        <x:f t="shared" si="48"/>
        <x:v>FUND_FLOW</x:v>
      </x:c>
      <x:c r="E1098" t="str">
        <x:f t="shared" si="49"/>
        <x:v>Dynamic</x:v>
      </x:c>
      <x:c r="F1098" t="str">
        <x:f ca="1">_xll.BDH($B$1098,$C$1098,$B$1010,$B$1011,CONCATENATE("Per=",$B$1008),"Dts=H","Dir=H",CONCATENATE("Points=",$B$1009),"Sort=R","Days=A","Fill=B",CONCATENATE("FX=", $B$1007),"cols=14;rows=1")</x:f>
        <x:v/>
      </x:c>
      <x:c r="T1098" t="str">
        <x:f>""</x:f>
        <x:v/>
      </x:c>
      <x:c r="U1098" t="str">
        <x:f>""</x:f>
        <x:v/>
      </x:c>
      <x:c r="V1098" t="str">
        <x:f>""</x:f>
        <x:v/>
      </x:c>
      <x:c r="W1098" t="str">
        <x:f>""</x:f>
        <x:v/>
      </x:c>
      <x:c r="X1098" t="str">
        <x:f>""</x:f>
        <x:v/>
      </x:c>
      <x:c r="Y1098" t="str">
        <x:f>""</x:f>
        <x:v/>
      </x:c>
      <x:c r="Z1098" t="str">
        <x:f>""</x:f>
        <x:v/>
      </x:c>
      <x:c r="AA1098" t="str">
        <x:f>""</x:f>
        <x:v/>
      </x:c>
      <x:c r="AB1098" t="str">
        <x:f>""</x:f>
        <x:v/>
      </x:c>
      <x:c r="AC1098" t="str">
        <x:f>""</x:f>
        <x:v/>
      </x:c>
      <x:c r="AD1098" t="str">
        <x:f>""</x:f>
        <x:v/>
      </x:c>
      <x:c r="AE1098" t="str">
        <x:f>""</x:f>
        <x:v/>
      </x:c>
      <x:c r="AF1098" t="str">
        <x:f>""</x:f>
        <x:v/>
      </x:c>
      <x:c r="AG1098" t="str">
        <x:f>""</x:f>
        <x:v/>
      </x:c>
    </x:row>
    <x:row r="1099" spans="2:33" x14ac:dyDescent="0.25">
      <x:c r="B1099" t="str">
        <x:f>"CHIS US Equity"</x:f>
        <x:v>CHIS US Equity</x:v>
      </x:c>
      <x:c r="C1099" t="str">
        <x:f t="shared" si="47"/>
        <x:v>FD447</x:v>
      </x:c>
      <x:c r="D1099" t="str">
        <x:f t="shared" si="48"/>
        <x:v>FUND_FLOW</x:v>
      </x:c>
      <x:c r="E1099" t="str">
        <x:f t="shared" si="49"/>
        <x:v>Dynamic</x:v>
      </x:c>
      <x:c r="F1099">
        <x:f ca="1">_xll.BDH($B$1099,$C$1099,$B$1010,$B$1011,CONCATENATE("Per=",$B$1008),"Dts=H","Dir=H",CONCATENATE("Points=",$B$1009),"Sort=R","Days=A","Fill=B",CONCATENATE("FX=", $B$1007),"cols=14;rows=1")</x:f>
        <x:v>0</x:v>
      </x:c>
      <x:c r="G1099">
        <x:v>-3.8340000000000001</x:v>
      </x:c>
      <x:c r="H1099">
        <x:v>-19.375299999999999</x:v>
      </x:c>
      <x:c r="I1099">
        <x:v>0</x:v>
      </x:c>
      <x:c r="J1099">
        <x:v>0</x:v>
      </x:c>
      <x:c r="K1099">
        <x:v>-0.20599999999999999</x:v>
      </x:c>
      <x:c r="L1099">
        <x:v>0.44140000000000001</x:v>
      </x:c>
      <x:c r="M1099">
        <x:v>0</x:v>
      </x:c>
      <x:c r="N1099">
        <x:v>0</x:v>
      </x:c>
      <x:c r="O1099">
        <x:v>0</x:v>
      </x:c>
      <x:c r="P1099">
        <x:v>17.486699999999999</x:v>
      </x:c>
      <x:c r="Q1099">
        <x:v>9.6951999999999998</x:v>
      </x:c>
      <x:c r="R1099">
        <x:v>-3.2696000000000001</x:v>
      </x:c>
      <x:c r="S1099">
        <x:v>0</x:v>
      </x:c>
      <x:c r="T1099" t="str">
        <x:f>""</x:f>
        <x:v/>
      </x:c>
      <x:c r="U1099" t="str">
        <x:f>""</x:f>
        <x:v/>
      </x:c>
      <x:c r="V1099" t="str">
        <x:f>""</x:f>
        <x:v/>
      </x:c>
      <x:c r="W1099" t="str">
        <x:f>""</x:f>
        <x:v/>
      </x:c>
      <x:c r="X1099" t="str">
        <x:f>""</x:f>
        <x:v/>
      </x:c>
      <x:c r="Y1099" t="str">
        <x:f>""</x:f>
        <x:v/>
      </x:c>
      <x:c r="Z1099" t="str">
        <x:f>""</x:f>
        <x:v/>
      </x:c>
      <x:c r="AA1099" t="str">
        <x:f>""</x:f>
        <x:v/>
      </x:c>
      <x:c r="AB1099" t="str">
        <x:f>""</x:f>
        <x:v/>
      </x:c>
      <x:c r="AC1099" t="str">
        <x:f>""</x:f>
        <x:v/>
      </x:c>
      <x:c r="AD1099" t="str">
        <x:f>""</x:f>
        <x:v/>
      </x:c>
      <x:c r="AE1099" t="str">
        <x:f>""</x:f>
        <x:v/>
      </x:c>
      <x:c r="AF1099" t="str">
        <x:f>""</x:f>
        <x:v/>
      </x:c>
      <x:c r="AG1099" t="str">
        <x:f>""</x:f>
        <x:v/>
      </x:c>
    </x:row>
    <x:row r="1100" spans="2:33" x14ac:dyDescent="0.25">
      <x:c r="B1100" t="str">
        <x:f>"LACK US Equity"</x:f>
        <x:v>LACK US Equity</x:v>
      </x:c>
      <x:c r="C1100" t="str">
        <x:f t="shared" si="47"/>
        <x:v>FD447</x:v>
      </x:c>
      <x:c r="D1100" t="str">
        <x:f t="shared" si="48"/>
        <x:v>FUND_FLOW</x:v>
      </x:c>
      <x:c r="E1100" t="str">
        <x:f t="shared" si="49"/>
        <x:v>Dynamic</x:v>
      </x:c>
      <x:c r="F1100" t="str">
        <x:f ca="1">_xll.BDH($B$1100,$C$1100,$B$1010,$B$1011,CONCATENATE("Per=",$B$1008),"Dts=H","Dir=H",CONCATENATE("Points=",$B$1009),"Sort=R","Days=A","Fill=B",CONCATENATE("FX=", $B$1007) )</x:f>
        <x:v/>
      </x:c>
      <x:c r="T1100" t="str">
        <x:f>""</x:f>
        <x:v/>
      </x:c>
      <x:c r="U1100" t="str">
        <x:f>""</x:f>
        <x:v/>
      </x:c>
      <x:c r="V1100" t="str">
        <x:f>""</x:f>
        <x:v/>
      </x:c>
      <x:c r="W1100" t="str">
        <x:f>""</x:f>
        <x:v/>
      </x:c>
      <x:c r="X1100" t="str">
        <x:f>""</x:f>
        <x:v/>
      </x:c>
      <x:c r="Y1100" t="str">
        <x:f>""</x:f>
        <x:v/>
      </x:c>
      <x:c r="Z1100" t="str">
        <x:f>""</x:f>
        <x:v/>
      </x:c>
      <x:c r="AA1100" t="str">
        <x:f>""</x:f>
        <x:v/>
      </x:c>
      <x:c r="AB1100" t="str">
        <x:f>""</x:f>
        <x:v/>
      </x:c>
      <x:c r="AC1100" t="str">
        <x:f>""</x:f>
        <x:v/>
      </x:c>
      <x:c r="AD1100" t="str">
        <x:f>""</x:f>
        <x:v/>
      </x:c>
      <x:c r="AE1100" t="str">
        <x:f>""</x:f>
        <x:v/>
      </x:c>
      <x:c r="AF1100" t="str">
        <x:f>""</x:f>
        <x:v/>
      </x:c>
      <x:c r="AG1100" t="str">
        <x:f>""</x:f>
        <x:v/>
      </x:c>
    </x:row>
    <x:row r="1101" spans="2:33" x14ac:dyDescent="0.25">
      <x:c r="B1101" t="str">
        <x:f>"NEED US Equity"</x:f>
        <x:v>NEED US Equity</x:v>
      </x:c>
      <x:c r="C1101" t="str">
        <x:f t="shared" si="47"/>
        <x:v>FD447</x:v>
      </x:c>
      <x:c r="D1101" t="str">
        <x:f t="shared" si="48"/>
        <x:v>FUND_FLOW</x:v>
      </x:c>
      <x:c r="E1101" t="str">
        <x:f t="shared" si="49"/>
        <x:v>Dynamic</x:v>
      </x:c>
      <x:c r="F1101" t="str">
        <x:f ca="1">_xll.BDH($B$1101,$C$1101,$B$1010,$B$1011,CONCATENATE("Per=",$B$1008),"Dts=H","Dir=H",CONCATENATE("Points=",$B$1009),"Sort=R","Days=A","Fill=B",CONCATENATE("FX=", $B$1007) )</x:f>
        <x:v/>
      </x:c>
      <x:c r="T1101" t="str">
        <x:f>""</x:f>
        <x:v/>
      </x:c>
      <x:c r="U1101" t="str">
        <x:f>""</x:f>
        <x:v/>
      </x:c>
      <x:c r="V1101" t="str">
        <x:f>""</x:f>
        <x:v/>
      </x:c>
      <x:c r="W1101" t="str">
        <x:f>""</x:f>
        <x:v/>
      </x:c>
      <x:c r="X1101" t="str">
        <x:f>""</x:f>
        <x:v/>
      </x:c>
      <x:c r="Y1101" t="str">
        <x:f>""</x:f>
        <x:v/>
      </x:c>
      <x:c r="Z1101" t="str">
        <x:f>""</x:f>
        <x:v/>
      </x:c>
      <x:c r="AA1101" t="str">
        <x:f>""</x:f>
        <x:v/>
      </x:c>
      <x:c r="AB1101" t="str">
        <x:f>""</x:f>
        <x:v/>
      </x:c>
      <x:c r="AC1101" t="str">
        <x:f>""</x:f>
        <x:v/>
      </x:c>
      <x:c r="AD1101" t="str">
        <x:f>""</x:f>
        <x:v/>
      </x:c>
      <x:c r="AE1101" t="str">
        <x:f>""</x:f>
        <x:v/>
      </x:c>
      <x:c r="AF1101" t="str">
        <x:f>""</x:f>
        <x:v/>
      </x:c>
      <x:c r="AG1101" t="str">
        <x:f>""</x:f>
        <x:v/>
      </x:c>
    </x:row>
    <x:row r="1102" spans="2:33" x14ac:dyDescent="0.25">
      <x:c r="B1102" t="str">
        <x:f>"KCAL US Equity"</x:f>
        <x:v>KCAL US Equity</x:v>
      </x:c>
      <x:c r="C1102" t="str">
        <x:f t="shared" si="47"/>
        <x:v>FD447</x:v>
      </x:c>
      <x:c r="D1102" t="str">
        <x:f t="shared" si="48"/>
        <x:v>FUND_FLOW</x:v>
      </x:c>
      <x:c r="E1102" t="str">
        <x:f t="shared" si="49"/>
        <x:v>Dynamic</x:v>
      </x:c>
      <x:c r="F1102">
        <x:f ca="1">_xll.BDH($B$1102,$C$1102,$B$1010,$B$1011,CONCATENATE("Per=",$B$1008),"Dts=H","Dir=H",CONCATENATE("Points=",$B$1009),"Sort=R","Days=A","Fill=B",CONCATENATE("FX=", $B$1007),"cols=14;rows=1")</x:f>
        <x:v>0</x:v>
      </x:c>
      <x:c r="G1102">
        <x:v>0</x:v>
      </x:c>
      <x:c r="H1102">
        <x:v>0</x:v>
      </x:c>
      <x:c r="I1102">
        <x:v>0</x:v>
      </x:c>
      <x:c r="J1102">
        <x:v>0</x:v>
      </x:c>
      <x:c r="K1102">
        <x:v>0</x:v>
      </x:c>
      <x:c r="L1102">
        <x:v>0</x:v>
      </x:c>
      <x:c r="M1102">
        <x:v>0</x:v>
      </x:c>
      <x:c r="N1102">
        <x:v>0</x:v>
      </x:c>
      <x:c r="O1102">
        <x:v>0</x:v>
      </x:c>
      <x:c r="P1102">
        <x:v>0.61639999999999995</x:v>
      </x:c>
      <x:c r="T1102" t="str">
        <x:f>""</x:f>
        <x:v/>
      </x:c>
      <x:c r="U1102" t="str">
        <x:f>""</x:f>
        <x:v/>
      </x:c>
      <x:c r="V1102" t="str">
        <x:f>""</x:f>
        <x:v/>
      </x:c>
      <x:c r="W1102" t="str">
        <x:f>""</x:f>
        <x:v/>
      </x:c>
      <x:c r="X1102" t="str">
        <x:f>""</x:f>
        <x:v/>
      </x:c>
      <x:c r="Y1102" t="str">
        <x:f>""</x:f>
        <x:v/>
      </x:c>
      <x:c r="Z1102" t="str">
        <x:f>""</x:f>
        <x:v/>
      </x:c>
      <x:c r="AA1102" t="str">
        <x:f>""</x:f>
        <x:v/>
      </x:c>
      <x:c r="AB1102" t="str">
        <x:f>""</x:f>
        <x:v/>
      </x:c>
      <x:c r="AC1102" t="str">
        <x:f>""</x:f>
        <x:v/>
      </x:c>
      <x:c r="AD1102" t="str">
        <x:f>""</x:f>
        <x:v/>
      </x:c>
      <x:c r="AE1102" t="str">
        <x:f>""</x:f>
        <x:v/>
      </x:c>
      <x:c r="AF1102" t="str">
        <x:f>""</x:f>
        <x:v/>
      </x:c>
      <x:c r="AG1102" t="str">
        <x:f>""</x:f>
        <x:v/>
      </x:c>
    </x:row>
    <x:row r="1103" spans="2:33" x14ac:dyDescent="0.25">
      <x:c r="B1103" t="str">
        <x:f>"XLE US Equity"</x:f>
        <x:v>XLE US Equity</x:v>
      </x:c>
      <x:c r="C1103" t="str">
        <x:f t="shared" si="47"/>
        <x:v>FD447</x:v>
      </x:c>
      <x:c r="D1103" t="str">
        <x:f t="shared" si="48"/>
        <x:v>FUND_FLOW</x:v>
      </x:c>
      <x:c r="E1103" t="str">
        <x:f t="shared" si="49"/>
        <x:v>Dynamic</x:v>
      </x:c>
      <x:c r="F1103">
        <x:f ca="1">_xll.BDH($B$1103,$C$1103,$B$1010,$B$1011,CONCATENATE("Per=",$B$1008),"Dts=H","Dir=H",CONCATENATE("Points=",$B$1009),"Sort=R","Days=A","Fill=B",CONCATENATE("FX=", $B$1007),"cols=14;rows=1")</x:f>
        <x:v>1373.1304</x:v>
      </x:c>
      <x:c r="G1103">
        <x:v>529.45489999999995</x:v>
      </x:c>
      <x:c r="H1103">
        <x:v>67.0685</x:v>
      </x:c>
      <x:c r="I1103">
        <x:v>1111.309</x:v>
      </x:c>
      <x:c r="J1103">
        <x:v>-1517.6647</x:v>
      </x:c>
      <x:c r="K1103">
        <x:v>-1597.5063</x:v>
      </x:c>
      <x:c r="L1103">
        <x:v>-653.37009999999998</x:v>
      </x:c>
      <x:c r="M1103">
        <x:v>-734.50199999999995</x:v>
      </x:c>
      <x:c r="N1103">
        <x:v>-109.60209999999999</x:v>
      </x:c>
      <x:c r="O1103">
        <x:v>321.92630000000003</x:v>
      </x:c>
      <x:c r="P1103">
        <x:v>-240.78980000000001</x:v>
      </x:c>
      <x:c r="Q1103">
        <x:v>-443.34210000000002</x:v>
      </x:c>
      <x:c r="R1103">
        <x:v>811.67460000000005</x:v>
      </x:c>
      <x:c r="S1103">
        <x:v>107.8351</x:v>
      </x:c>
      <x:c r="T1103" t="str">
        <x:f>""</x:f>
        <x:v/>
      </x:c>
      <x:c r="U1103" t="str">
        <x:f>""</x:f>
        <x:v/>
      </x:c>
      <x:c r="V1103" t="str">
        <x:f>""</x:f>
        <x:v/>
      </x:c>
      <x:c r="W1103" t="str">
        <x:f>""</x:f>
        <x:v/>
      </x:c>
      <x:c r="X1103" t="str">
        <x:f>""</x:f>
        <x:v/>
      </x:c>
      <x:c r="Y1103" t="str">
        <x:f>""</x:f>
        <x:v/>
      </x:c>
      <x:c r="Z1103" t="str">
        <x:f>""</x:f>
        <x:v/>
      </x:c>
      <x:c r="AA1103" t="str">
        <x:f>""</x:f>
        <x:v/>
      </x:c>
      <x:c r="AB1103" t="str">
        <x:f>""</x:f>
        <x:v/>
      </x:c>
      <x:c r="AC1103" t="str">
        <x:f>""</x:f>
        <x:v/>
      </x:c>
      <x:c r="AD1103" t="str">
        <x:f>""</x:f>
        <x:v/>
      </x:c>
      <x:c r="AE1103" t="str">
        <x:f>""</x:f>
        <x:v/>
      </x:c>
      <x:c r="AF1103" t="str">
        <x:f>""</x:f>
        <x:v/>
      </x:c>
      <x:c r="AG1103" t="str">
        <x:f>""</x:f>
        <x:v/>
      </x:c>
    </x:row>
    <x:row r="1104" spans="2:33" x14ac:dyDescent="0.25">
      <x:c r="B1104" t="str">
        <x:f>"AMLP US Equity"</x:f>
        <x:v>AMLP US Equity</x:v>
      </x:c>
      <x:c r="C1104" t="str">
        <x:f t="shared" si="47"/>
        <x:v>FD447</x:v>
      </x:c>
      <x:c r="D1104" t="str">
        <x:f t="shared" si="48"/>
        <x:v>FUND_FLOW</x:v>
      </x:c>
      <x:c r="E1104" t="str">
        <x:f t="shared" si="49"/>
        <x:v>Dynamic</x:v>
      </x:c>
      <x:c r="F1104">
        <x:f ca="1">_xll.BDH($B$1104,$C$1104,$B$1010,$B$1011,CONCATENATE("Per=",$B$1008),"Dts=H","Dir=H",CONCATENATE("Points=",$B$1009),"Sort=R","Days=A","Fill=B",CONCATENATE("FX=", $B$1007),"cols=14;rows=1")</x:f>
        <x:v>68.050200000000004</x:v>
      </x:c>
      <x:c r="G1104">
        <x:v>70.991699999999994</x:v>
      </x:c>
      <x:c r="H1104">
        <x:v>92.550299999999993</x:v>
      </x:c>
      <x:c r="I1104">
        <x:v>25.263200000000001</x:v>
      </x:c>
      <x:c r="J1104">
        <x:v>-51.117600000000003</x:v>
      </x:c>
      <x:c r="K1104">
        <x:v>-109.35339999999999</x:v>
      </x:c>
      <x:c r="L1104">
        <x:v>10.9536</x:v>
      </x:c>
      <x:c r="M1104">
        <x:v>34.753100000000003</x:v>
      </x:c>
      <x:c r="N1104">
        <x:v>-30.506799999999998</x:v>
      </x:c>
      <x:c r="O1104">
        <x:v>34.451000000000001</x:v>
      </x:c>
      <x:c r="P1104">
        <x:v>-31.4664</x:v>
      </x:c>
      <x:c r="Q1104">
        <x:v>20.0669</x:v>
      </x:c>
      <x:c r="R1104">
        <x:v>26.8752</x:v>
      </x:c>
      <x:c r="S1104">
        <x:v>-44.909199999999998</x:v>
      </x:c>
      <x:c r="T1104" t="str">
        <x:f>""</x:f>
        <x:v/>
      </x:c>
      <x:c r="U1104" t="str">
        <x:f>""</x:f>
        <x:v/>
      </x:c>
      <x:c r="V1104" t="str">
        <x:f>""</x:f>
        <x:v/>
      </x:c>
      <x:c r="W1104" t="str">
        <x:f>""</x:f>
        <x:v/>
      </x:c>
      <x:c r="X1104" t="str">
        <x:f>""</x:f>
        <x:v/>
      </x:c>
      <x:c r="Y1104" t="str">
        <x:f>""</x:f>
        <x:v/>
      </x:c>
      <x:c r="Z1104" t="str">
        <x:f>""</x:f>
        <x:v/>
      </x:c>
      <x:c r="AA1104" t="str">
        <x:f>""</x:f>
        <x:v/>
      </x:c>
      <x:c r="AB1104" t="str">
        <x:f>""</x:f>
        <x:v/>
      </x:c>
      <x:c r="AC1104" t="str">
        <x:f>""</x:f>
        <x:v/>
      </x:c>
      <x:c r="AD1104" t="str">
        <x:f>""</x:f>
        <x:v/>
      </x:c>
      <x:c r="AE1104" t="str">
        <x:f>""</x:f>
        <x:v/>
      </x:c>
      <x:c r="AF1104" t="str">
        <x:f>""</x:f>
        <x:v/>
      </x:c>
      <x:c r="AG1104" t="str">
        <x:f>""</x:f>
        <x:v/>
      </x:c>
    </x:row>
    <x:row r="1105" spans="2:33" x14ac:dyDescent="0.25">
      <x:c r="B1105" t="str">
        <x:f>"VDE US Equity"</x:f>
        <x:v>VDE US Equity</x:v>
      </x:c>
      <x:c r="C1105" t="str">
        <x:f t="shared" si="47"/>
        <x:v>FD447</x:v>
      </x:c>
      <x:c r="D1105" t="str">
        <x:f t="shared" si="48"/>
        <x:v>FUND_FLOW</x:v>
      </x:c>
      <x:c r="E1105" t="str">
        <x:f t="shared" si="49"/>
        <x:v>Dynamic</x:v>
      </x:c>
      <x:c r="F1105">
        <x:f ca="1">_xll.BDH($B$1105,$C$1105,$B$1010,$B$1011,CONCATENATE("Per=",$B$1008),"Dts=H","Dir=H",CONCATENATE("Points=",$B$1009),"Sort=R","Days=A","Fill=B",CONCATENATE("FX=", $B$1007),"cols=14;rows=1")</x:f>
        <x:v>-140.65430000000001</x:v>
      </x:c>
      <x:c r="G1105">
        <x:v>-77.459500000000006</x:v>
      </x:c>
      <x:c r="H1105">
        <x:v>143.0497</x:v>
      </x:c>
      <x:c r="I1105">
        <x:v>323.75900000000001</x:v>
      </x:c>
      <x:c r="J1105">
        <x:v>-85.927700000000002</x:v>
      </x:c>
      <x:c r="K1105">
        <x:v>-161.82749999999999</x:v>
      </x:c>
      <x:c r="L1105">
        <x:v>24.642199999999999</x:v>
      </x:c>
      <x:c r="M1105">
        <x:v>-313.55869999999999</x:v>
      </x:c>
      <x:c r="N1105">
        <x:v>77.540800000000004</x:v>
      </x:c>
      <x:c r="O1105">
        <x:v>10.1289</x:v>
      </x:c>
      <x:c r="P1105">
        <x:v>-274.89710000000002</x:v>
      </x:c>
      <x:c r="Q1105">
        <x:v>191.91300000000001</x:v>
      </x:c>
      <x:c r="R1105">
        <x:v>66.927599999999998</x:v>
      </x:c>
      <x:c r="S1105">
        <x:v>-78.101399999999998</x:v>
      </x:c>
      <x:c r="T1105" t="str">
        <x:f>""</x:f>
        <x:v/>
      </x:c>
      <x:c r="U1105" t="str">
        <x:f>""</x:f>
        <x:v/>
      </x:c>
      <x:c r="V1105" t="str">
        <x:f>""</x:f>
        <x:v/>
      </x:c>
      <x:c r="W1105" t="str">
        <x:f>""</x:f>
        <x:v/>
      </x:c>
      <x:c r="X1105" t="str">
        <x:f>""</x:f>
        <x:v/>
      </x:c>
      <x:c r="Y1105" t="str">
        <x:f>""</x:f>
        <x:v/>
      </x:c>
      <x:c r="Z1105" t="str">
        <x:f>""</x:f>
        <x:v/>
      </x:c>
      <x:c r="AA1105" t="str">
        <x:f>""</x:f>
        <x:v/>
      </x:c>
      <x:c r="AB1105" t="str">
        <x:f>""</x:f>
        <x:v/>
      </x:c>
      <x:c r="AC1105" t="str">
        <x:f>""</x:f>
        <x:v/>
      </x:c>
      <x:c r="AD1105" t="str">
        <x:f>""</x:f>
        <x:v/>
      </x:c>
      <x:c r="AE1105" t="str">
        <x:f>""</x:f>
        <x:v/>
      </x:c>
      <x:c r="AF1105" t="str">
        <x:f>""</x:f>
        <x:v/>
      </x:c>
      <x:c r="AG1105" t="str">
        <x:f>""</x:f>
        <x:v/>
      </x:c>
    </x:row>
    <x:row r="1106" spans="2:33" x14ac:dyDescent="0.25">
      <x:c r="B1106" t="str">
        <x:f>"AMJ US Equity"</x:f>
        <x:v>AMJ US Equity</x:v>
      </x:c>
      <x:c r="C1106" t="str">
        <x:f t="shared" si="47"/>
        <x:v>FD447</x:v>
      </x:c>
      <x:c r="D1106" t="str">
        <x:f t="shared" si="48"/>
        <x:v>FUND_FLOW</x:v>
      </x:c>
      <x:c r="E1106" t="str">
        <x:f t="shared" si="49"/>
        <x:v>Dynamic</x:v>
      </x:c>
      <x:c r="F1106">
        <x:f ca="1">_xll.BDH($B$1106,$C$1106,$B$1010,$B$1011,CONCATENATE("Per=",$B$1008),"Dts=H","Dir=H",CONCATENATE("Points=",$B$1009),"Sort=R","Days=A","Fill=B",CONCATENATE("FX=", $B$1007),"cols=14;rows=1")</x:f>
        <x:v>0</x:v>
      </x:c>
      <x:c r="G1106">
        <x:v>0</x:v>
      </x:c>
      <x:c r="H1106">
        <x:v>0</x:v>
      </x:c>
      <x:c r="I1106">
        <x:v>0</x:v>
      </x:c>
      <x:c r="J1106">
        <x:v>0</x:v>
      </x:c>
      <x:c r="K1106">
        <x:v>0</x:v>
      </x:c>
      <x:c r="L1106">
        <x:v>0</x:v>
      </x:c>
      <x:c r="M1106">
        <x:v>0</x:v>
      </x:c>
      <x:c r="N1106">
        <x:v>0</x:v>
      </x:c>
      <x:c r="O1106">
        <x:v>0</x:v>
      </x:c>
      <x:c r="P1106">
        <x:v>0</x:v>
      </x:c>
      <x:c r="Q1106">
        <x:v>0</x:v>
      </x:c>
      <x:c r="R1106">
        <x:v>0</x:v>
      </x:c>
      <x:c r="S1106">
        <x:v>0</x:v>
      </x:c>
      <x:c r="T1106" t="str">
        <x:f>""</x:f>
        <x:v/>
      </x:c>
      <x:c r="U1106" t="str">
        <x:f>""</x:f>
        <x:v/>
      </x:c>
      <x:c r="V1106" t="str">
        <x:f>""</x:f>
        <x:v/>
      </x:c>
      <x:c r="W1106" t="str">
        <x:f>""</x:f>
        <x:v/>
      </x:c>
      <x:c r="X1106" t="str">
        <x:f>""</x:f>
        <x:v/>
      </x:c>
      <x:c r="Y1106" t="str">
        <x:f>""</x:f>
        <x:v/>
      </x:c>
      <x:c r="Z1106" t="str">
        <x:f>""</x:f>
        <x:v/>
      </x:c>
      <x:c r="AA1106" t="str">
        <x:f>""</x:f>
        <x:v/>
      </x:c>
      <x:c r="AB1106" t="str">
        <x:f>""</x:f>
        <x:v/>
      </x:c>
      <x:c r="AC1106" t="str">
        <x:f>""</x:f>
        <x:v/>
      </x:c>
      <x:c r="AD1106" t="str">
        <x:f>""</x:f>
        <x:v/>
      </x:c>
      <x:c r="AE1106" t="str">
        <x:f>""</x:f>
        <x:v/>
      </x:c>
      <x:c r="AF1106" t="str">
        <x:f>""</x:f>
        <x:v/>
      </x:c>
      <x:c r="AG1106" t="str">
        <x:f>""</x:f>
        <x:v/>
      </x:c>
    </x:row>
    <x:row r="1107" spans="2:33" x14ac:dyDescent="0.25">
      <x:c r="B1107" t="str">
        <x:f>"MLPI US Equity"</x:f>
        <x:v>MLPI US Equity</x:v>
      </x:c>
      <x:c r="C1107" t="str">
        <x:f t="shared" si="47"/>
        <x:v>FD447</x:v>
      </x:c>
      <x:c r="D1107" t="str">
        <x:f t="shared" si="48"/>
        <x:v>FUND_FLOW</x:v>
      </x:c>
      <x:c r="E1107" t="str">
        <x:f t="shared" si="49"/>
        <x:v>Dynamic</x:v>
      </x:c>
      <x:c r="F1107" t="str">
        <x:f ca="1">_xll.BDH($B$1107,$C$1107,$B$1010,$B$1011,CONCATENATE("Per=",$B$1008),"Dts=H","Dir=H",CONCATENATE("Points=",$B$1009),"Sort=R","Days=A","Fill=B",CONCATENATE("FX=", $B$1007) )</x:f>
        <x:v/>
      </x:c>
      <x:c r="T1107" t="str">
        <x:f>""</x:f>
        <x:v/>
      </x:c>
      <x:c r="U1107" t="str">
        <x:f>""</x:f>
        <x:v/>
      </x:c>
      <x:c r="V1107" t="str">
        <x:f>""</x:f>
        <x:v/>
      </x:c>
      <x:c r="W1107" t="str">
        <x:f>""</x:f>
        <x:v/>
      </x:c>
      <x:c r="X1107" t="str">
        <x:f>""</x:f>
        <x:v/>
      </x:c>
      <x:c r="Y1107" t="str">
        <x:f>""</x:f>
        <x:v/>
      </x:c>
      <x:c r="Z1107" t="str">
        <x:f>""</x:f>
        <x:v/>
      </x:c>
      <x:c r="AA1107" t="str">
        <x:f>""</x:f>
        <x:v/>
      </x:c>
      <x:c r="AB1107" t="str">
        <x:f>""</x:f>
        <x:v/>
      </x:c>
      <x:c r="AC1107" t="str">
        <x:f>""</x:f>
        <x:v/>
      </x:c>
      <x:c r="AD1107" t="str">
        <x:f>""</x:f>
        <x:v/>
      </x:c>
      <x:c r="AE1107" t="str">
        <x:f>""</x:f>
        <x:v/>
      </x:c>
      <x:c r="AF1107" t="str">
        <x:f>""</x:f>
        <x:v/>
      </x:c>
      <x:c r="AG1107" t="str">
        <x:f>""</x:f>
        <x:v/>
      </x:c>
    </x:row>
    <x:row r="1108" spans="2:33" x14ac:dyDescent="0.25">
      <x:c r="B1108" t="str">
        <x:f>"XOP US Equity"</x:f>
        <x:v>XOP US Equity</x:v>
      </x:c>
      <x:c r="C1108" t="str">
        <x:f t="shared" si="47"/>
        <x:v>FD447</x:v>
      </x:c>
      <x:c r="D1108" t="str">
        <x:f t="shared" si="48"/>
        <x:v>FUND_FLOW</x:v>
      </x:c>
      <x:c r="E1108" t="str">
        <x:f t="shared" si="49"/>
        <x:v>Dynamic</x:v>
      </x:c>
      <x:c r="F1108">
        <x:f ca="1">_xll.BDH($B$1108,$C$1108,$B$1010,$B$1011,CONCATENATE("Per=",$B$1008),"Dts=H","Dir=H",CONCATENATE("Points=",$B$1009),"Sort=R","Days=A","Fill=B",CONCATENATE("FX=", $B$1007),"cols=14;rows=1")</x:f>
        <x:v>-24.4239</x:v>
      </x:c>
      <x:c r="G1108">
        <x:v>-225.08170000000001</x:v>
      </x:c>
      <x:c r="H1108">
        <x:v>-11.3531</x:v>
      </x:c>
      <x:c r="I1108">
        <x:v>216.96260000000001</x:v>
      </x:c>
      <x:c r="J1108">
        <x:v>-136.3554</x:v>
      </x:c>
      <x:c r="K1108">
        <x:v>-100.0515</x:v>
      </x:c>
      <x:c r="L1108">
        <x:v>-38.247399999999999</x:v>
      </x:c>
      <x:c r="M1108">
        <x:v>27.1998</x:v>
      </x:c>
      <x:c r="N1108">
        <x:v>-284.93079999999998</x:v>
      </x:c>
      <x:c r="O1108">
        <x:v>-703.28279999999995</x:v>
      </x:c>
      <x:c r="P1108">
        <x:v>298.15390000000002</x:v>
      </x:c>
      <x:c r="Q1108">
        <x:v>-246.77500000000001</x:v>
      </x:c>
      <x:c r="R1108">
        <x:v>527.61009999999999</x:v>
      </x:c>
      <x:c r="S1108">
        <x:v>-377.63869999999997</x:v>
      </x:c>
      <x:c r="T1108" t="str">
        <x:f>""</x:f>
        <x:v/>
      </x:c>
      <x:c r="U1108" t="str">
        <x:f>""</x:f>
        <x:v/>
      </x:c>
      <x:c r="V1108" t="str">
        <x:f>""</x:f>
        <x:v/>
      </x:c>
      <x:c r="W1108" t="str">
        <x:f>""</x:f>
        <x:v/>
      </x:c>
      <x:c r="X1108" t="str">
        <x:f>""</x:f>
        <x:v/>
      </x:c>
      <x:c r="Y1108" t="str">
        <x:f>""</x:f>
        <x:v/>
      </x:c>
      <x:c r="Z1108" t="str">
        <x:f>""</x:f>
        <x:v/>
      </x:c>
      <x:c r="AA1108" t="str">
        <x:f>""</x:f>
        <x:v/>
      </x:c>
      <x:c r="AB1108" t="str">
        <x:f>""</x:f>
        <x:v/>
      </x:c>
      <x:c r="AC1108" t="str">
        <x:f>""</x:f>
        <x:v/>
      </x:c>
      <x:c r="AD1108" t="str">
        <x:f>""</x:f>
        <x:v/>
      </x:c>
      <x:c r="AE1108" t="str">
        <x:f>""</x:f>
        <x:v/>
      </x:c>
      <x:c r="AF1108" t="str">
        <x:f>""</x:f>
        <x:v/>
      </x:c>
      <x:c r="AG1108" t="str">
        <x:f>""</x:f>
        <x:v/>
      </x:c>
    </x:row>
    <x:row r="1109" spans="2:33" x14ac:dyDescent="0.25">
      <x:c r="B1109" t="str">
        <x:f>"OIH US Equity"</x:f>
        <x:v>OIH US Equity</x:v>
      </x:c>
      <x:c r="C1109" t="str">
        <x:f t="shared" si="47"/>
        <x:v>FD447</x:v>
      </x:c>
      <x:c r="D1109" t="str">
        <x:f t="shared" si="48"/>
        <x:v>FUND_FLOW</x:v>
      </x:c>
      <x:c r="E1109" t="str">
        <x:f t="shared" si="49"/>
        <x:v>Dynamic</x:v>
      </x:c>
      <x:c r="F1109">
        <x:f ca="1">_xll.BDH($B$1109,$C$1109,$B$1010,$B$1011,CONCATENATE("Per=",$B$1008),"Dts=H","Dir=H",CONCATENATE("Points=",$B$1009),"Sort=R","Days=A","Fill=B",CONCATENATE("FX=", $B$1007),"cols=14;rows=1")</x:f>
        <x:v>71.3185</x:v>
      </x:c>
      <x:c r="G1109">
        <x:v>-0.96230000000000004</x:v>
      </x:c>
      <x:c r="H1109">
        <x:v>-68.276499999999999</x:v>
      </x:c>
      <x:c r="I1109">
        <x:v>15.925800000000001</x:v>
      </x:c>
      <x:c r="J1109">
        <x:v>-136.2088</x:v>
      </x:c>
      <x:c r="K1109">
        <x:v>2.286</x:v>
      </x:c>
      <x:c r="L1109">
        <x:v>-130.59100000000001</x:v>
      </x:c>
      <x:c r="M1109">
        <x:v>190.5625</x:v>
      </x:c>
      <x:c r="N1109">
        <x:v>-249.89420000000001</x:v>
      </x:c>
      <x:c r="O1109">
        <x:v>67.453800000000001</x:v>
      </x:c>
      <x:c r="P1109">
        <x:v>-105.6568</x:v>
      </x:c>
      <x:c r="Q1109">
        <x:v>-91.112099999999998</x:v>
      </x:c>
      <x:c r="R1109">
        <x:v>3.5712000000000002</x:v>
      </x:c>
      <x:c r="S1109">
        <x:v>-147.47550000000001</x:v>
      </x:c>
      <x:c r="T1109" t="str">
        <x:f>""</x:f>
        <x:v/>
      </x:c>
      <x:c r="U1109" t="str">
        <x:f>""</x:f>
        <x:v/>
      </x:c>
      <x:c r="V1109" t="str">
        <x:f>""</x:f>
        <x:v/>
      </x:c>
      <x:c r="W1109" t="str">
        <x:f>""</x:f>
        <x:v/>
      </x:c>
      <x:c r="X1109" t="str">
        <x:f>""</x:f>
        <x:v/>
      </x:c>
      <x:c r="Y1109" t="str">
        <x:f>""</x:f>
        <x:v/>
      </x:c>
      <x:c r="Z1109" t="str">
        <x:f>""</x:f>
        <x:v/>
      </x:c>
      <x:c r="AA1109" t="str">
        <x:f>""</x:f>
        <x:v/>
      </x:c>
      <x:c r="AB1109" t="str">
        <x:f>""</x:f>
        <x:v/>
      </x:c>
      <x:c r="AC1109" t="str">
        <x:f>""</x:f>
        <x:v/>
      </x:c>
      <x:c r="AD1109" t="str">
        <x:f>""</x:f>
        <x:v/>
      </x:c>
      <x:c r="AE1109" t="str">
        <x:f>""</x:f>
        <x:v/>
      </x:c>
      <x:c r="AF1109" t="str">
        <x:f>""</x:f>
        <x:v/>
      </x:c>
      <x:c r="AG1109" t="str">
        <x:f>""</x:f>
        <x:v/>
      </x:c>
    </x:row>
    <x:row r="1110" spans="2:33" x14ac:dyDescent="0.25">
      <x:c r="B1110" t="str">
        <x:f>"IYE US Equity"</x:f>
        <x:v>IYE US Equity</x:v>
      </x:c>
      <x:c r="C1110" t="str">
        <x:f t="shared" si="47"/>
        <x:v>FD447</x:v>
      </x:c>
      <x:c r="D1110" t="str">
        <x:f t="shared" si="48"/>
        <x:v>FUND_FLOW</x:v>
      </x:c>
      <x:c r="E1110" t="str">
        <x:f t="shared" si="49"/>
        <x:v>Dynamic</x:v>
      </x:c>
      <x:c r="F1110">
        <x:f ca="1">_xll.BDH($B$1110,$C$1110,$B$1010,$B$1011,CONCATENATE("Per=",$B$1008),"Dts=H","Dir=H",CONCATENATE("Points=",$B$1009),"Sort=R","Days=A","Fill=B",CONCATENATE("FX=", $B$1007),"cols=14;rows=1")</x:f>
        <x:v>23.447500000000002</x:v>
      </x:c>
      <x:c r="G1110">
        <x:v>-12.0016</x:v>
      </x:c>
      <x:c r="H1110">
        <x:v>-23.409700000000001</x:v>
      </x:c>
      <x:c r="I1110">
        <x:v>-41.326000000000001</x:v>
      </x:c>
      <x:c r="J1110">
        <x:v>-124.6463</x:v>
      </x:c>
      <x:c r="K1110">
        <x:v>-68.034999999999997</x:v>
      </x:c>
      <x:c r="L1110">
        <x:v>-51.695399999999999</x:v>
      </x:c>
      <x:c r="M1110">
        <x:v>-127.2163</x:v>
      </x:c>
      <x:c r="N1110">
        <x:v>-76.245400000000004</x:v>
      </x:c>
      <x:c r="O1110">
        <x:v>-364.74329999999998</x:v>
      </x:c>
      <x:c r="P1110">
        <x:v>-15.972899999999999</x:v>
      </x:c>
      <x:c r="Q1110">
        <x:v>2.4049</x:v>
      </x:c>
      <x:c r="R1110">
        <x:v>-14.549300000000001</x:v>
      </x:c>
      <x:c r="S1110">
        <x:v>-3.2002999999999999</x:v>
      </x:c>
      <x:c r="T1110" t="str">
        <x:f>""</x:f>
        <x:v/>
      </x:c>
      <x:c r="U1110" t="str">
        <x:f>""</x:f>
        <x:v/>
      </x:c>
      <x:c r="V1110" t="str">
        <x:f>""</x:f>
        <x:v/>
      </x:c>
      <x:c r="W1110" t="str">
        <x:f>""</x:f>
        <x:v/>
      </x:c>
      <x:c r="X1110" t="str">
        <x:f>""</x:f>
        <x:v/>
      </x:c>
      <x:c r="Y1110" t="str">
        <x:f>""</x:f>
        <x:v/>
      </x:c>
      <x:c r="Z1110" t="str">
        <x:f>""</x:f>
        <x:v/>
      </x:c>
      <x:c r="AA1110" t="str">
        <x:f>""</x:f>
        <x:v/>
      </x:c>
      <x:c r="AB1110" t="str">
        <x:f>""</x:f>
        <x:v/>
      </x:c>
      <x:c r="AC1110" t="str">
        <x:f>""</x:f>
        <x:v/>
      </x:c>
      <x:c r="AD1110" t="str">
        <x:f>""</x:f>
        <x:v/>
      </x:c>
      <x:c r="AE1110" t="str">
        <x:f>""</x:f>
        <x:v/>
      </x:c>
      <x:c r="AF1110" t="str">
        <x:f>""</x:f>
        <x:v/>
      </x:c>
      <x:c r="AG1110" t="str">
        <x:f>""</x:f>
        <x:v/>
      </x:c>
    </x:row>
    <x:row r="1111" spans="2:33" x14ac:dyDescent="0.25">
      <x:c r="B1111" t="str">
        <x:f>"NANR US Equity"</x:f>
        <x:v>NANR US Equity</x:v>
      </x:c>
      <x:c r="C1111" t="str">
        <x:f t="shared" si="47"/>
        <x:v>FD447</x:v>
      </x:c>
      <x:c r="D1111" t="str">
        <x:f t="shared" si="48"/>
        <x:v>FUND_FLOW</x:v>
      </x:c>
      <x:c r="E1111" t="str">
        <x:f t="shared" si="49"/>
        <x:v>Dynamic</x:v>
      </x:c>
      <x:c r="F1111">
        <x:f ca="1">_xll.BDH($B$1111,$C$1111,$B$1010,$B$1011,CONCATENATE("Per=",$B$1008),"Dts=H","Dir=H",CONCATENATE("Points=",$B$1009),"Sort=R","Days=A","Fill=B",CONCATENATE("FX=", $B$1007),"cols=14;rows=1")</x:f>
        <x:v>-1.3078000000000001</x:v>
      </x:c>
      <x:c r="G1111">
        <x:v>-4.0701000000000001</x:v>
      </x:c>
      <x:c r="H1111">
        <x:v>0</x:v>
      </x:c>
      <x:c r="I1111">
        <x:v>-2.7703000000000002</x:v>
      </x:c>
      <x:c r="J1111">
        <x:v>-5.2735000000000003</x:v>
      </x:c>
      <x:c r="K1111">
        <x:v>7.5696000000000003</x:v>
      </x:c>
      <x:c r="L1111">
        <x:v>-8.1568000000000005</x:v>
      </x:c>
      <x:c r="M1111">
        <x:v>-189.52459999999999</x:v>
      </x:c>
      <x:c r="N1111">
        <x:v>9.7666000000000004</x:v>
      </x:c>
      <x:c r="O1111">
        <x:v>89.262799999999999</x:v>
      </x:c>
      <x:c r="P1111">
        <x:v>129.4419</x:v>
      </x:c>
      <x:c r="Q1111">
        <x:v>-25.4162</x:v>
      </x:c>
      <x:c r="R1111">
        <x:v>-0.83560000000000001</x:v>
      </x:c>
      <x:c r="S1111">
        <x:v>-1.87</x:v>
      </x:c>
      <x:c r="T1111" t="str">
        <x:f>""</x:f>
        <x:v/>
      </x:c>
      <x:c r="U1111" t="str">
        <x:f>""</x:f>
        <x:v/>
      </x:c>
      <x:c r="V1111" t="str">
        <x:f>""</x:f>
        <x:v/>
      </x:c>
      <x:c r="W1111" t="str">
        <x:f>""</x:f>
        <x:v/>
      </x:c>
      <x:c r="X1111" t="str">
        <x:f>""</x:f>
        <x:v/>
      </x:c>
      <x:c r="Y1111" t="str">
        <x:f>""</x:f>
        <x:v/>
      </x:c>
      <x:c r="Z1111" t="str">
        <x:f>""</x:f>
        <x:v/>
      </x:c>
      <x:c r="AA1111" t="str">
        <x:f>""</x:f>
        <x:v/>
      </x:c>
      <x:c r="AB1111" t="str">
        <x:f>""</x:f>
        <x:v/>
      </x:c>
      <x:c r="AC1111" t="str">
        <x:f>""</x:f>
        <x:v/>
      </x:c>
      <x:c r="AD1111" t="str">
        <x:f>""</x:f>
        <x:v/>
      </x:c>
      <x:c r="AE1111" t="str">
        <x:f>""</x:f>
        <x:v/>
      </x:c>
      <x:c r="AF1111" t="str">
        <x:f>""</x:f>
        <x:v/>
      </x:c>
      <x:c r="AG1111" t="str">
        <x:f>""</x:f>
        <x:v/>
      </x:c>
    </x:row>
    <x:row r="1112" spans="2:33" x14ac:dyDescent="0.25">
      <x:c r="B1112" t="str">
        <x:f>"IXC US Equity"</x:f>
        <x:v>IXC US Equity</x:v>
      </x:c>
      <x:c r="C1112" t="str">
        <x:f t="shared" si="47"/>
        <x:v>FD447</x:v>
      </x:c>
      <x:c r="D1112" t="str">
        <x:f t="shared" si="48"/>
        <x:v>FUND_FLOW</x:v>
      </x:c>
      <x:c r="E1112" t="str">
        <x:f t="shared" si="49"/>
        <x:v>Dynamic</x:v>
      </x:c>
      <x:c r="F1112">
        <x:f ca="1">_xll.BDH($B$1112,$C$1112,$B$1010,$B$1011,CONCATENATE("Per=",$B$1008),"Dts=H","Dir=H",CONCATENATE("Points=",$B$1009),"Sort=R","Days=A","Fill=B",CONCATENATE("FX=", $B$1007),"cols=14;rows=1")</x:f>
        <x:v>1073.0078000000001</x:v>
      </x:c>
      <x:c r="G1112">
        <x:v>36.979900000000001</x:v>
      </x:c>
      <x:c r="H1112">
        <x:v>17.9559</x:v>
      </x:c>
      <x:c r="I1112">
        <x:v>-61.447200000000002</x:v>
      </x:c>
      <x:c r="J1112">
        <x:v>-5.4958999999999998</x:v>
      </x:c>
      <x:c r="K1112">
        <x:v>0</x:v>
      </x:c>
      <x:c r="L1112">
        <x:v>5.8452999999999999</x:v>
      </x:c>
      <x:c r="M1112">
        <x:v>-143.0514</x:v>
      </x:c>
      <x:c r="N1112">
        <x:v>-41.071899999999999</x:v>
      </x:c>
      <x:c r="O1112">
        <x:v>-41.762</x:v>
      </x:c>
      <x:c r="P1112">
        <x:v>-22.7133</x:v>
      </x:c>
      <x:c r="Q1112">
        <x:v>-36.442399999999999</x:v>
      </x:c>
      <x:c r="R1112">
        <x:v>-37.190899999999999</x:v>
      </x:c>
      <x:c r="S1112">
        <x:v>16.183199999999999</x:v>
      </x:c>
      <x:c r="T1112" t="str">
        <x:f>""</x:f>
        <x:v/>
      </x:c>
      <x:c r="U1112" t="str">
        <x:f>""</x:f>
        <x:v/>
      </x:c>
      <x:c r="V1112" t="str">
        <x:f>""</x:f>
        <x:v/>
      </x:c>
      <x:c r="W1112" t="str">
        <x:f>""</x:f>
        <x:v/>
      </x:c>
      <x:c r="X1112" t="str">
        <x:f>""</x:f>
        <x:v/>
      </x:c>
      <x:c r="Y1112" t="str">
        <x:f>""</x:f>
        <x:v/>
      </x:c>
      <x:c r="Z1112" t="str">
        <x:f>""</x:f>
        <x:v/>
      </x:c>
      <x:c r="AA1112" t="str">
        <x:f>""</x:f>
        <x:v/>
      </x:c>
      <x:c r="AB1112" t="str">
        <x:f>""</x:f>
        <x:v/>
      </x:c>
      <x:c r="AC1112" t="str">
        <x:f>""</x:f>
        <x:v/>
      </x:c>
      <x:c r="AD1112" t="str">
        <x:f>""</x:f>
        <x:v/>
      </x:c>
      <x:c r="AE1112" t="str">
        <x:f>""</x:f>
        <x:v/>
      </x:c>
      <x:c r="AF1112" t="str">
        <x:f>""</x:f>
        <x:v/>
      </x:c>
      <x:c r="AG1112" t="str">
        <x:f>""</x:f>
        <x:v/>
      </x:c>
    </x:row>
    <x:row r="1113" spans="2:33" x14ac:dyDescent="0.25">
      <x:c r="B1113" t="str">
        <x:f>"MLPA US Equity"</x:f>
        <x:v>MLPA US Equity</x:v>
      </x:c>
      <x:c r="C1113" t="str">
        <x:f t="shared" si="47"/>
        <x:v>FD447</x:v>
      </x:c>
      <x:c r="D1113" t="str">
        <x:f t="shared" si="48"/>
        <x:v>FUND_FLOW</x:v>
      </x:c>
      <x:c r="E1113" t="str">
        <x:f t="shared" si="49"/>
        <x:v>Dynamic</x:v>
      </x:c>
      <x:c r="F1113">
        <x:f ca="1">_xll.BDH($B$1113,$C$1113,$B$1010,$B$1011,CONCATENATE("Per=",$B$1008),"Dts=H","Dir=H",CONCATENATE("Points=",$B$1009),"Sort=R","Days=A","Fill=B",CONCATENATE("FX=", $B$1007),"cols=14;rows=1")</x:f>
        <x:v>14.545</x:v>
      </x:c>
      <x:c r="G1113">
        <x:v>-0.92030000000000001</x:v>
      </x:c>
      <x:c r="H1113">
        <x:v>-3.4950000000000001</x:v>
      </x:c>
      <x:c r="I1113">
        <x:v>-7.2394999999999996</x:v>
      </x:c>
      <x:c r="J1113">
        <x:v>-29.337700000000002</x:v>
      </x:c>
      <x:c r="K1113">
        <x:v>-10.4308</x:v>
      </x:c>
      <x:c r="L1113">
        <x:v>-9.6649999999999991</x:v>
      </x:c>
      <x:c r="M1113">
        <x:v>24.401</x:v>
      </x:c>
      <x:c r="N1113">
        <x:v>11.1281</x:v>
      </x:c>
      <x:c r="O1113">
        <x:v>1.3527</x:v>
      </x:c>
      <x:c r="P1113">
        <x:v>-4.0475000000000003</x:v>
      </x:c>
      <x:c r="Q1113">
        <x:v>18.683499999999999</x:v>
      </x:c>
      <x:c r="R1113">
        <x:v>52.366</x:v>
      </x:c>
      <x:c r="S1113">
        <x:v>-8.3635999999999999</x:v>
      </x:c>
      <x:c r="T1113" t="str">
        <x:f>""</x:f>
        <x:v/>
      </x:c>
      <x:c r="U1113" t="str">
        <x:f>""</x:f>
        <x:v/>
      </x:c>
      <x:c r="V1113" t="str">
        <x:f>""</x:f>
        <x:v/>
      </x:c>
      <x:c r="W1113" t="str">
        <x:f>""</x:f>
        <x:v/>
      </x:c>
      <x:c r="X1113" t="str">
        <x:f>""</x:f>
        <x:v/>
      </x:c>
      <x:c r="Y1113" t="str">
        <x:f>""</x:f>
        <x:v/>
      </x:c>
      <x:c r="Z1113" t="str">
        <x:f>""</x:f>
        <x:v/>
      </x:c>
      <x:c r="AA1113" t="str">
        <x:f>""</x:f>
        <x:v/>
      </x:c>
      <x:c r="AB1113" t="str">
        <x:f>""</x:f>
        <x:v/>
      </x:c>
      <x:c r="AC1113" t="str">
        <x:f>""</x:f>
        <x:v/>
      </x:c>
      <x:c r="AD1113" t="str">
        <x:f>""</x:f>
        <x:v/>
      </x:c>
      <x:c r="AE1113" t="str">
        <x:f>""</x:f>
        <x:v/>
      </x:c>
      <x:c r="AF1113" t="str">
        <x:f>""</x:f>
        <x:v/>
      </x:c>
      <x:c r="AG1113" t="str">
        <x:f>""</x:f>
        <x:v/>
      </x:c>
    </x:row>
    <x:row r="1114" spans="2:33" x14ac:dyDescent="0.25">
      <x:c r="B1114" t="str">
        <x:f>"ERX US Equity"</x:f>
        <x:v>ERX US Equity</x:v>
      </x:c>
      <x:c r="C1114" t="str">
        <x:f t="shared" si="47"/>
        <x:v>FD447</x:v>
      </x:c>
      <x:c r="D1114" t="str">
        <x:f t="shared" si="48"/>
        <x:v>FUND_FLOW</x:v>
      </x:c>
      <x:c r="E1114" t="str">
        <x:f t="shared" si="49"/>
        <x:v>Dynamic</x:v>
      </x:c>
      <x:c r="F1114">
        <x:f ca="1">_xll.BDH($B$1114,$C$1114,$B$1010,$B$1011,CONCATENATE("Per=",$B$1008),"Dts=H","Dir=H",CONCATENATE("Points=",$B$1009),"Sort=R","Days=A","Fill=B",CONCATENATE("FX=", $B$1007),"cols=14;rows=1")</x:f>
        <x:v>6.0948000000000002</x:v>
      </x:c>
      <x:c r="G1114">
        <x:v>-16.750699999999998</x:v>
      </x:c>
      <x:c r="H1114">
        <x:v>-22.0791</x:v>
      </x:c>
      <x:c r="I1114">
        <x:v>-22.198799999999999</x:v>
      </x:c>
      <x:c r="J1114">
        <x:v>-2.6471</x:v>
      </x:c>
      <x:c r="K1114">
        <x:v>18.031300000000002</x:v>
      </x:c>
      <x:c r="L1114">
        <x:v>-24.898499999999999</x:v>
      </x:c>
      <x:c r="M1114">
        <x:v>13.2925</x:v>
      </x:c>
      <x:c r="N1114">
        <x:v>3.2145999999999999</x:v>
      </x:c>
      <x:c r="O1114">
        <x:v>-34.905000000000001</x:v>
      </x:c>
      <x:c r="P1114">
        <x:v>-22.285</x:v>
      </x:c>
      <x:c r="Q1114">
        <x:v>-6.9550000000000001</x:v>
      </x:c>
      <x:c r="R1114">
        <x:v>-54.906599999999997</x:v>
      </x:c>
      <x:c r="S1114">
        <x:v>11.416499999999999</x:v>
      </x:c>
      <x:c r="T1114" t="str">
        <x:f>""</x:f>
        <x:v/>
      </x:c>
      <x:c r="U1114" t="str">
        <x:f>""</x:f>
        <x:v/>
      </x:c>
      <x:c r="V1114" t="str">
        <x:f>""</x:f>
        <x:v/>
      </x:c>
      <x:c r="W1114" t="str">
        <x:f>""</x:f>
        <x:v/>
      </x:c>
      <x:c r="X1114" t="str">
        <x:f>""</x:f>
        <x:v/>
      </x:c>
      <x:c r="Y1114" t="str">
        <x:f>""</x:f>
        <x:v/>
      </x:c>
      <x:c r="Z1114" t="str">
        <x:f>""</x:f>
        <x:v/>
      </x:c>
      <x:c r="AA1114" t="str">
        <x:f>""</x:f>
        <x:v/>
      </x:c>
      <x:c r="AB1114" t="str">
        <x:f>""</x:f>
        <x:v/>
      </x:c>
      <x:c r="AC1114" t="str">
        <x:f>""</x:f>
        <x:v/>
      </x:c>
      <x:c r="AD1114" t="str">
        <x:f>""</x:f>
        <x:v/>
      </x:c>
      <x:c r="AE1114" t="str">
        <x:f>""</x:f>
        <x:v/>
      </x:c>
      <x:c r="AF1114" t="str">
        <x:f>""</x:f>
        <x:v/>
      </x:c>
      <x:c r="AG1114" t="str">
        <x:f>""</x:f>
        <x:v/>
      </x:c>
    </x:row>
    <x:row r="1115" spans="2:33" x14ac:dyDescent="0.25">
      <x:c r="B1115" t="str">
        <x:f>"ATMP US Equity"</x:f>
        <x:v>ATMP US Equity</x:v>
      </x:c>
      <x:c r="C1115" t="str">
        <x:f t="shared" si="47"/>
        <x:v>FD447</x:v>
      </x:c>
      <x:c r="D1115" t="str">
        <x:f t="shared" si="48"/>
        <x:v>FUND_FLOW</x:v>
      </x:c>
      <x:c r="E1115" t="str">
        <x:f t="shared" si="49"/>
        <x:v>Dynamic</x:v>
      </x:c>
      <x:c r="F1115">
        <x:f ca="1">_xll.BDH($B$1115,$C$1115,$B$1010,$B$1011,CONCATENATE("Per=",$B$1008),"Dts=H","Dir=H",CONCATENATE("Points=",$B$1009),"Sort=R","Days=A","Fill=B",CONCATENATE("FX=", $B$1007),"cols=14;rows=1")</x:f>
        <x:v>2.0941999999999998</x:v>
      </x:c>
      <x:c r="G1115">
        <x:v>-6.7400000000000002E-2</x:v>
      </x:c>
      <x:c r="H1115">
        <x:v>2.1472000000000002</x:v>
      </x:c>
      <x:c r="I1115">
        <x:v>0</x:v>
      </x:c>
      <x:c r="J1115">
        <x:v>0</x:v>
      </x:c>
      <x:c r="K1115">
        <x:v>-2.8742000000000001</x:v>
      </x:c>
      <x:c r="L1115">
        <x:v>1.4873000000000001</x:v>
      </x:c>
      <x:c r="M1115">
        <x:v>2.6339999999999999</x:v>
      </x:c>
      <x:c r="N1115">
        <x:v>5.2910000000000004</x:v>
      </x:c>
      <x:c r="O1115">
        <x:v>1.2515000000000001</x:v>
      </x:c>
      <x:c r="P1115">
        <x:v>4.1748000000000003</x:v>
      </x:c>
      <x:c r="Q1115">
        <x:v>9.1389999999999993</x:v>
      </x:c>
      <x:c r="R1115">
        <x:v>4.2176999999999998</x:v>
      </x:c>
      <x:c r="S1115">
        <x:v>10.089399999999999</x:v>
      </x:c>
      <x:c r="T1115" t="str">
        <x:f>""</x:f>
        <x:v/>
      </x:c>
      <x:c r="U1115" t="str">
        <x:f>""</x:f>
        <x:v/>
      </x:c>
      <x:c r="V1115" t="str">
        <x:f>""</x:f>
        <x:v/>
      </x:c>
      <x:c r="W1115" t="str">
        <x:f>""</x:f>
        <x:v/>
      </x:c>
      <x:c r="X1115" t="str">
        <x:f>""</x:f>
        <x:v/>
      </x:c>
      <x:c r="Y1115" t="str">
        <x:f>""</x:f>
        <x:v/>
      </x:c>
      <x:c r="Z1115" t="str">
        <x:f>""</x:f>
        <x:v/>
      </x:c>
      <x:c r="AA1115" t="str">
        <x:f>""</x:f>
        <x:v/>
      </x:c>
      <x:c r="AB1115" t="str">
        <x:f>""</x:f>
        <x:v/>
      </x:c>
      <x:c r="AC1115" t="str">
        <x:f>""</x:f>
        <x:v/>
      </x:c>
      <x:c r="AD1115" t="str">
        <x:f>""</x:f>
        <x:v/>
      </x:c>
      <x:c r="AE1115" t="str">
        <x:f>""</x:f>
        <x:v/>
      </x:c>
      <x:c r="AF1115" t="str">
        <x:f>""</x:f>
        <x:v/>
      </x:c>
      <x:c r="AG1115" t="str">
        <x:f>""</x:f>
        <x:v/>
      </x:c>
    </x:row>
    <x:row r="1116" spans="2:33" x14ac:dyDescent="0.25">
      <x:c r="B1116" t="str">
        <x:f>"AMU US Equity"</x:f>
        <x:v>AMU US Equity</x:v>
      </x:c>
      <x:c r="C1116" t="str">
        <x:f t="shared" si="47"/>
        <x:v>FD447</x:v>
      </x:c>
      <x:c r="D1116" t="str">
        <x:f t="shared" si="48"/>
        <x:v>FUND_FLOW</x:v>
      </x:c>
      <x:c r="E1116" t="str">
        <x:f t="shared" si="49"/>
        <x:v>Dynamic</x:v>
      </x:c>
      <x:c r="F1116" t="str">
        <x:f ca="1">_xll.BDH($B$1116,$C$1116,$B$1010,$B$1011,CONCATENATE("Per=",$B$1008),"Dts=H","Dir=H",CONCATENATE("Points=",$B$1009),"Sort=R","Days=A","Fill=B",CONCATENATE("FX=", $B$1007) )</x:f>
        <x:v/>
      </x:c>
      <x:c r="T1116" t="str">
        <x:f>""</x:f>
        <x:v/>
      </x:c>
      <x:c r="U1116" t="str">
        <x:f>""</x:f>
        <x:v/>
      </x:c>
      <x:c r="V1116" t="str">
        <x:f>""</x:f>
        <x:v/>
      </x:c>
      <x:c r="W1116" t="str">
        <x:f>""</x:f>
        <x:v/>
      </x:c>
      <x:c r="X1116" t="str">
        <x:f>""</x:f>
        <x:v/>
      </x:c>
      <x:c r="Y1116" t="str">
        <x:f>""</x:f>
        <x:v/>
      </x:c>
      <x:c r="Z1116" t="str">
        <x:f>""</x:f>
        <x:v/>
      </x:c>
      <x:c r="AA1116" t="str">
        <x:f>""</x:f>
        <x:v/>
      </x:c>
      <x:c r="AB1116" t="str">
        <x:f>""</x:f>
        <x:v/>
      </x:c>
      <x:c r="AC1116" t="str">
        <x:f>""</x:f>
        <x:v/>
      </x:c>
      <x:c r="AD1116" t="str">
        <x:f>""</x:f>
        <x:v/>
      </x:c>
      <x:c r="AE1116" t="str">
        <x:f>""</x:f>
        <x:v/>
      </x:c>
      <x:c r="AF1116" t="str">
        <x:f>""</x:f>
        <x:v/>
      </x:c>
      <x:c r="AG1116" t="str">
        <x:f>""</x:f>
        <x:v/>
      </x:c>
    </x:row>
    <x:row r="1117" spans="2:33" x14ac:dyDescent="0.25">
      <x:c r="B1117" t="str">
        <x:f>"FENY US Equity"</x:f>
        <x:v>FENY US Equity</x:v>
      </x:c>
      <x:c r="C1117" t="str">
        <x:f t="shared" si="47"/>
        <x:v>FD447</x:v>
      </x:c>
      <x:c r="D1117" t="str">
        <x:f t="shared" si="48"/>
        <x:v>FUND_FLOW</x:v>
      </x:c>
      <x:c r="E1117" t="str">
        <x:f t="shared" si="49"/>
        <x:v>Dynamic</x:v>
      </x:c>
      <x:c r="F1117">
        <x:f ca="1">_xll.BDH($B$1117,$C$1117,$B$1010,$B$1011,CONCATENATE("Per=",$B$1008),"Dts=H","Dir=H",CONCATENATE("Points=",$B$1009),"Sort=R","Days=A","Fill=B",CONCATENATE("FX=", $B$1007),"cols=14;rows=1")</x:f>
        <x:v>10.953200000000001</x:v>
      </x:c>
      <x:c r="G1117">
        <x:v>32.588200000000001</x:v>
      </x:c>
      <x:c r="H1117">
        <x:v>-14.3856</x:v>
      </x:c>
      <x:c r="I1117">
        <x:v>-3.2372999999999998</x:v>
      </x:c>
      <x:c r="J1117">
        <x:v>48.189700000000002</x:v>
      </x:c>
      <x:c r="K1117">
        <x:v>-41.762999999999998</x:v>
      </x:c>
      <x:c r="L1117">
        <x:v>-14.821999999999999</x:v>
      </x:c>
      <x:c r="M1117">
        <x:v>-45.090200000000003</x:v>
      </x:c>
      <x:c r="N1117">
        <x:v>7.4943</x:v>
      </x:c>
      <x:c r="O1117">
        <x:v>14.808400000000001</x:v>
      </x:c>
      <x:c r="P1117">
        <x:v>-10.566000000000001</x:v>
      </x:c>
      <x:c r="Q1117">
        <x:v>23.826000000000001</x:v>
      </x:c>
      <x:c r="R1117">
        <x:v>11.4658</x:v>
      </x:c>
      <x:c r="S1117">
        <x:v>-17.709</x:v>
      </x:c>
      <x:c r="T1117" t="str">
        <x:f>""</x:f>
        <x:v/>
      </x:c>
      <x:c r="U1117" t="str">
        <x:f>""</x:f>
        <x:v/>
      </x:c>
      <x:c r="V1117" t="str">
        <x:f>""</x:f>
        <x:v/>
      </x:c>
      <x:c r="W1117" t="str">
        <x:f>""</x:f>
        <x:v/>
      </x:c>
      <x:c r="X1117" t="str">
        <x:f>""</x:f>
        <x:v/>
      </x:c>
      <x:c r="Y1117" t="str">
        <x:f>""</x:f>
        <x:v/>
      </x:c>
      <x:c r="Z1117" t="str">
        <x:f>""</x:f>
        <x:v/>
      </x:c>
      <x:c r="AA1117" t="str">
        <x:f>""</x:f>
        <x:v/>
      </x:c>
      <x:c r="AB1117" t="str">
        <x:f>""</x:f>
        <x:v/>
      </x:c>
      <x:c r="AC1117" t="str">
        <x:f>""</x:f>
        <x:v/>
      </x:c>
      <x:c r="AD1117" t="str">
        <x:f>""</x:f>
        <x:v/>
      </x:c>
      <x:c r="AE1117" t="str">
        <x:f>""</x:f>
        <x:v/>
      </x:c>
      <x:c r="AF1117" t="str">
        <x:f>""</x:f>
        <x:v/>
      </x:c>
      <x:c r="AG1117" t="str">
        <x:f>""</x:f>
        <x:v/>
      </x:c>
    </x:row>
    <x:row r="1118" spans="2:33" x14ac:dyDescent="0.25">
      <x:c r="B1118" t="str">
        <x:f>"AMZA US Equity"</x:f>
        <x:v>AMZA US Equity</x:v>
      </x:c>
      <x:c r="C1118" t="str">
        <x:f t="shared" si="47"/>
        <x:v>FD447</x:v>
      </x:c>
      <x:c r="D1118" t="str">
        <x:f t="shared" si="48"/>
        <x:v>FUND_FLOW</x:v>
      </x:c>
      <x:c r="E1118" t="str">
        <x:f t="shared" si="49"/>
        <x:v>Dynamic</x:v>
      </x:c>
      <x:c r="F1118">
        <x:f ca="1">_xll.BDH($B$1118,$C$1118,$B$1010,$B$1011,CONCATENATE("Per=",$B$1008),"Dts=H","Dir=H",CONCATENATE("Points=",$B$1009),"Sort=R","Days=A","Fill=B",CONCATENATE("FX=", $B$1007),"cols=14;rows=1")</x:f>
        <x:v>3.3268</x:v>
      </x:c>
      <x:c r="G1118">
        <x:v>1.722</x:v>
      </x:c>
      <x:c r="H1118">
        <x:v>3.3650000000000002</x:v>
      </x:c>
      <x:c r="I1118">
        <x:v>-8.5065000000000008</x:v>
      </x:c>
      <x:c r="J1118">
        <x:v>0</x:v>
      </x:c>
      <x:c r="K1118">
        <x:v>-2.1100000000000001E-2</x:v>
      </x:c>
      <x:c r="L1118">
        <x:v>-1.11E-2</x:v>
      </x:c>
      <x:c r="M1118">
        <x:v>0</x:v>
      </x:c>
      <x:c r="N1118">
        <x:v>8.3238000000000003</x:v>
      </x:c>
      <x:c r="O1118">
        <x:v>-8.2461000000000002</x:v>
      </x:c>
      <x:c r="P1118">
        <x:v>-17.3416</x:v>
      </x:c>
      <x:c r="Q1118">
        <x:v>-3.9300000000000002E-2</x:v>
      </x:c>
      <x:c r="R1118">
        <x:v>-4.3715999999999999</x:v>
      </x:c>
      <x:c r="S1118">
        <x:v>-9.3405000000000005</x:v>
      </x:c>
      <x:c r="T1118" t="str">
        <x:f>""</x:f>
        <x:v/>
      </x:c>
      <x:c r="U1118" t="str">
        <x:f>""</x:f>
        <x:v/>
      </x:c>
      <x:c r="V1118" t="str">
        <x:f>""</x:f>
        <x:v/>
      </x:c>
      <x:c r="W1118" t="str">
        <x:f>""</x:f>
        <x:v/>
      </x:c>
      <x:c r="X1118" t="str">
        <x:f>""</x:f>
        <x:v/>
      </x:c>
      <x:c r="Y1118" t="str">
        <x:f>""</x:f>
        <x:v/>
      </x:c>
      <x:c r="Z1118" t="str">
        <x:f>""</x:f>
        <x:v/>
      </x:c>
      <x:c r="AA1118" t="str">
        <x:f>""</x:f>
        <x:v/>
      </x:c>
      <x:c r="AB1118" t="str">
        <x:f>""</x:f>
        <x:v/>
      </x:c>
      <x:c r="AC1118" t="str">
        <x:f>""</x:f>
        <x:v/>
      </x:c>
      <x:c r="AD1118" t="str">
        <x:f>""</x:f>
        <x:v/>
      </x:c>
      <x:c r="AE1118" t="str">
        <x:f>""</x:f>
        <x:v/>
      </x:c>
      <x:c r="AF1118" t="str">
        <x:f>""</x:f>
        <x:v/>
      </x:c>
      <x:c r="AG1118" t="str">
        <x:f>""</x:f>
        <x:v/>
      </x:c>
    </x:row>
    <x:row r="1119" spans="2:33" x14ac:dyDescent="0.25">
      <x:c r="B1119" t="str">
        <x:f>"IEO US Equity"</x:f>
        <x:v>IEO US Equity</x:v>
      </x:c>
      <x:c r="C1119" t="str">
        <x:f t="shared" si="47"/>
        <x:v>FD447</x:v>
      </x:c>
      <x:c r="D1119" t="str">
        <x:f t="shared" si="48"/>
        <x:v>FUND_FLOW</x:v>
      </x:c>
      <x:c r="E1119" t="str">
        <x:f t="shared" si="49"/>
        <x:v>Dynamic</x:v>
      </x:c>
      <x:c r="F1119">
        <x:f ca="1">_xll.BDH($B$1119,$C$1119,$B$1010,$B$1011,CONCATENATE("Per=",$B$1008),"Dts=H","Dir=H",CONCATENATE("Points=",$B$1009),"Sort=R","Days=A","Fill=B",CONCATENATE("FX=", $B$1007),"cols=14;rows=1")</x:f>
        <x:v>22.508500000000002</x:v>
      </x:c>
      <x:c r="G1119">
        <x:v>190.6249</x:v>
      </x:c>
      <x:c r="H1119">
        <x:v>14.583399999999999</x:v>
      </x:c>
      <x:c r="I1119">
        <x:v>-9.2886000000000006</x:v>
      </x:c>
      <x:c r="J1119">
        <x:v>-28.9223</x:v>
      </x:c>
      <x:c r="K1119">
        <x:v>-36.452800000000003</x:v>
      </x:c>
      <x:c r="L1119">
        <x:v>-34.778599999999997</x:v>
      </x:c>
      <x:c r="M1119">
        <x:v>-171.94239999999999</x:v>
      </x:c>
      <x:c r="N1119">
        <x:v>-44.716799999999999</x:v>
      </x:c>
      <x:c r="O1119">
        <x:v>-37.594299999999997</x:v>
      </x:c>
      <x:c r="P1119">
        <x:v>-46.121499999999997</x:v>
      </x:c>
      <x:c r="Q1119">
        <x:v>41.390099999999997</x:v>
      </x:c>
      <x:c r="R1119">
        <x:v>106.8272</x:v>
      </x:c>
      <x:c r="S1119">
        <x:v>-21.540800000000001</x:v>
      </x:c>
      <x:c r="T1119" t="str">
        <x:f>""</x:f>
        <x:v/>
      </x:c>
      <x:c r="U1119" t="str">
        <x:f>""</x:f>
        <x:v/>
      </x:c>
      <x:c r="V1119" t="str">
        <x:f>""</x:f>
        <x:v/>
      </x:c>
      <x:c r="W1119" t="str">
        <x:f>""</x:f>
        <x:v/>
      </x:c>
      <x:c r="X1119" t="str">
        <x:f>""</x:f>
        <x:v/>
      </x:c>
      <x:c r="Y1119" t="str">
        <x:f>""</x:f>
        <x:v/>
      </x:c>
      <x:c r="Z1119" t="str">
        <x:f>""</x:f>
        <x:v/>
      </x:c>
      <x:c r="AA1119" t="str">
        <x:f>""</x:f>
        <x:v/>
      </x:c>
      <x:c r="AB1119" t="str">
        <x:f>""</x:f>
        <x:v/>
      </x:c>
      <x:c r="AC1119" t="str">
        <x:f>""</x:f>
        <x:v/>
      </x:c>
      <x:c r="AD1119" t="str">
        <x:f>""</x:f>
        <x:v/>
      </x:c>
      <x:c r="AE1119" t="str">
        <x:f>""</x:f>
        <x:v/>
      </x:c>
      <x:c r="AF1119" t="str">
        <x:f>""</x:f>
        <x:v/>
      </x:c>
      <x:c r="AG1119" t="str">
        <x:f>""</x:f>
        <x:v/>
      </x:c>
    </x:row>
    <x:row r="1120" spans="2:33" x14ac:dyDescent="0.25">
      <x:c r="B1120" t="str">
        <x:f>"FXN US Equity"</x:f>
        <x:v>FXN US Equity</x:v>
      </x:c>
      <x:c r="C1120" t="str">
        <x:f t="shared" si="47"/>
        <x:v>FD447</x:v>
      </x:c>
      <x:c r="D1120" t="str">
        <x:f t="shared" si="48"/>
        <x:v>FUND_FLOW</x:v>
      </x:c>
      <x:c r="E1120" t="str">
        <x:f t="shared" si="49"/>
        <x:v>Dynamic</x:v>
      </x:c>
      <x:c r="F1120">
        <x:f ca="1">_xll.BDH($B$1120,$C$1120,$B$1010,$B$1011,CONCATENATE("Per=",$B$1008),"Dts=H","Dir=H",CONCATENATE("Points=",$B$1009),"Sort=R","Days=A","Fill=B",CONCATENATE("FX=", $B$1007),"cols=14;rows=1")</x:f>
        <x:v>26.363600000000002</x:v>
      </x:c>
      <x:c r="G1120">
        <x:v>40.051600000000001</x:v>
      </x:c>
      <x:c r="H1120">
        <x:v>31.346699999999998</x:v>
      </x:c>
      <x:c r="I1120">
        <x:v>-26.852499999999999</x:v>
      </x:c>
      <x:c r="J1120">
        <x:v>-38.448500000000003</x:v>
      </x:c>
      <x:c r="K1120">
        <x:v>-85.95</x:v>
      </x:c>
      <x:c r="L1120">
        <x:v>-59.838500000000003</x:v>
      </x:c>
      <x:c r="M1120">
        <x:v>-100.85899999999999</x:v>
      </x:c>
      <x:c r="N1120">
        <x:v>-1044.1199999999999</x:v>
      </x:c>
      <x:c r="O1120">
        <x:v>7.1341000000000001</x:v>
      </x:c>
      <x:c r="P1120">
        <x:v>52.15</x:v>
      </x:c>
      <x:c r="Q1120">
        <x:v>105.2938</x:v>
      </x:c>
      <x:c r="R1120">
        <x:v>23.427399999999999</x:v>
      </x:c>
      <x:c r="S1120">
        <x:v>-4.0061999999999998</x:v>
      </x:c>
      <x:c r="T1120" t="str">
        <x:f>""</x:f>
        <x:v/>
      </x:c>
      <x:c r="U1120" t="str">
        <x:f>""</x:f>
        <x:v/>
      </x:c>
      <x:c r="V1120" t="str">
        <x:f>""</x:f>
        <x:v/>
      </x:c>
      <x:c r="W1120" t="str">
        <x:f>""</x:f>
        <x:v/>
      </x:c>
      <x:c r="X1120" t="str">
        <x:f>""</x:f>
        <x:v/>
      </x:c>
      <x:c r="Y1120" t="str">
        <x:f>""</x:f>
        <x:v/>
      </x:c>
      <x:c r="Z1120" t="str">
        <x:f>""</x:f>
        <x:v/>
      </x:c>
      <x:c r="AA1120" t="str">
        <x:f>""</x:f>
        <x:v/>
      </x:c>
      <x:c r="AB1120" t="str">
        <x:f>""</x:f>
        <x:v/>
      </x:c>
      <x:c r="AC1120" t="str">
        <x:f>""</x:f>
        <x:v/>
      </x:c>
      <x:c r="AD1120" t="str">
        <x:f>""</x:f>
        <x:v/>
      </x:c>
      <x:c r="AE1120" t="str">
        <x:f>""</x:f>
        <x:v/>
      </x:c>
      <x:c r="AF1120" t="str">
        <x:f>""</x:f>
        <x:v/>
      </x:c>
      <x:c r="AG1120" t="str">
        <x:f>""</x:f>
        <x:v/>
      </x:c>
    </x:row>
    <x:row r="1121" spans="2:33" x14ac:dyDescent="0.25">
      <x:c r="B1121" t="str">
        <x:f>"XES US Equity"</x:f>
        <x:v>XES US Equity</x:v>
      </x:c>
      <x:c r="C1121" t="str">
        <x:f t="shared" si="47"/>
        <x:v>FD447</x:v>
      </x:c>
      <x:c r="D1121" t="str">
        <x:f t="shared" si="48"/>
        <x:v>FUND_FLOW</x:v>
      </x:c>
      <x:c r="E1121" t="str">
        <x:f t="shared" si="49"/>
        <x:v>Dynamic</x:v>
      </x:c>
      <x:c r="F1121">
        <x:f ca="1">_xll.BDH($B$1121,$C$1121,$B$1010,$B$1011,CONCATENATE("Per=",$B$1008),"Dts=H","Dir=H",CONCATENATE("Points=",$B$1009),"Sort=R","Days=A","Fill=B",CONCATENATE("FX=", $B$1007),"cols=14;rows=1")</x:f>
        <x:v>27.514700000000001</x:v>
      </x:c>
      <x:c r="G1121">
        <x:v>63.577599999999997</x:v>
      </x:c>
      <x:c r="H1121">
        <x:v>23.4025</x:v>
      </x:c>
      <x:c r="I1121">
        <x:v>13.845700000000001</x:v>
      </x:c>
      <x:c r="J1121">
        <x:v>-26.006900000000002</x:v>
      </x:c>
      <x:c r="K1121">
        <x:v>-34.549599999999998</x:v>
      </x:c>
      <x:c r="L1121">
        <x:v>-112.54219999999999</x:v>
      </x:c>
      <x:c r="M1121">
        <x:v>-26.3766</x:v>
      </x:c>
      <x:c r="N1121">
        <x:v>177.03550000000001</x:v>
      </x:c>
      <x:c r="O1121">
        <x:v>25.272600000000001</x:v>
      </x:c>
      <x:c r="P1121">
        <x:v>-7.7366000000000001</x:v>
      </x:c>
      <x:c r="Q1121">
        <x:v>-47.4953</x:v>
      </x:c>
      <x:c r="R1121">
        <x:v>69.680300000000003</x:v>
      </x:c>
      <x:c r="S1121">
        <x:v>-26.571100000000001</x:v>
      </x:c>
      <x:c r="T1121" t="str">
        <x:f>""</x:f>
        <x:v/>
      </x:c>
      <x:c r="U1121" t="str">
        <x:f>""</x:f>
        <x:v/>
      </x:c>
      <x:c r="V1121" t="str">
        <x:f>""</x:f>
        <x:v/>
      </x:c>
      <x:c r="W1121" t="str">
        <x:f>""</x:f>
        <x:v/>
      </x:c>
      <x:c r="X1121" t="str">
        <x:f>""</x:f>
        <x:v/>
      </x:c>
      <x:c r="Y1121" t="str">
        <x:f>""</x:f>
        <x:v/>
      </x:c>
      <x:c r="Z1121" t="str">
        <x:f>""</x:f>
        <x:v/>
      </x:c>
      <x:c r="AA1121" t="str">
        <x:f>""</x:f>
        <x:v/>
      </x:c>
      <x:c r="AB1121" t="str">
        <x:f>""</x:f>
        <x:v/>
      </x:c>
      <x:c r="AC1121" t="str">
        <x:f>""</x:f>
        <x:v/>
      </x:c>
      <x:c r="AD1121" t="str">
        <x:f>""</x:f>
        <x:v/>
      </x:c>
      <x:c r="AE1121" t="str">
        <x:f>""</x:f>
        <x:v/>
      </x:c>
      <x:c r="AF1121" t="str">
        <x:f>""</x:f>
        <x:v/>
      </x:c>
      <x:c r="AG1121" t="str">
        <x:f>""</x:f>
        <x:v/>
      </x:c>
    </x:row>
    <x:row r="1122" spans="2:33" x14ac:dyDescent="0.25">
      <x:c r="B1122" t="str">
        <x:f>"MLPX US Equity"</x:f>
        <x:v>MLPX US Equity</x:v>
      </x:c>
      <x:c r="C1122" t="str">
        <x:f t="shared" si="47"/>
        <x:v>FD447</x:v>
      </x:c>
      <x:c r="D1122" t="str">
        <x:f t="shared" si="48"/>
        <x:v>FUND_FLOW</x:v>
      </x:c>
      <x:c r="E1122" t="str">
        <x:f t="shared" si="49"/>
        <x:v>Dynamic</x:v>
      </x:c>
      <x:c r="F1122">
        <x:f ca="1">_xll.BDH($B$1122,$C$1122,$B$1010,$B$1011,CONCATENATE("Per=",$B$1008),"Dts=H","Dir=H",CONCATENATE("Points=",$B$1009),"Sort=R","Days=A","Fill=B",CONCATENATE("FX=", $B$1007),"cols=14;rows=1")</x:f>
        <x:v>-2.0207000000000002</x:v>
      </x:c>
      <x:c r="G1122">
        <x:v>-5.5590999999999999</x:v>
      </x:c>
      <x:c r="H1122">
        <x:v>-5.5423999999999998</x:v>
      </x:c>
      <x:c r="I1122">
        <x:v>-12.2119</x:v>
      </x:c>
      <x:c r="J1122">
        <x:v>-13.355399999999999</x:v>
      </x:c>
      <x:c r="K1122">
        <x:v>-14.151</x:v>
      </x:c>
      <x:c r="L1122">
        <x:v>3.6951999999999998</x:v>
      </x:c>
      <x:c r="M1122">
        <x:v>-40.778100000000002</x:v>
      </x:c>
      <x:c r="N1122">
        <x:v>-56.010599999999997</x:v>
      </x:c>
      <x:c r="O1122">
        <x:v>-7.0429000000000004</x:v>
      </x:c>
      <x:c r="P1122">
        <x:v>37.726199999999999</x:v>
      </x:c>
      <x:c r="Q1122">
        <x:v>9.8768999999999991</x:v>
      </x:c>
      <x:c r="R1122">
        <x:v>26.324000000000002</x:v>
      </x:c>
      <x:c r="S1122">
        <x:v>15.212899999999999</x:v>
      </x:c>
      <x:c r="T1122" t="str">
        <x:f>""</x:f>
        <x:v/>
      </x:c>
      <x:c r="U1122" t="str">
        <x:f>""</x:f>
        <x:v/>
      </x:c>
      <x:c r="V1122" t="str">
        <x:f>""</x:f>
        <x:v/>
      </x:c>
      <x:c r="W1122" t="str">
        <x:f>""</x:f>
        <x:v/>
      </x:c>
      <x:c r="X1122" t="str">
        <x:f>""</x:f>
        <x:v/>
      </x:c>
      <x:c r="Y1122" t="str">
        <x:f>""</x:f>
        <x:v/>
      </x:c>
      <x:c r="Z1122" t="str">
        <x:f>""</x:f>
        <x:v/>
      </x:c>
      <x:c r="AA1122" t="str">
        <x:f>""</x:f>
        <x:v/>
      </x:c>
      <x:c r="AB1122" t="str">
        <x:f>""</x:f>
        <x:v/>
      </x:c>
      <x:c r="AC1122" t="str">
        <x:f>""</x:f>
        <x:v/>
      </x:c>
      <x:c r="AD1122" t="str">
        <x:f>""</x:f>
        <x:v/>
      </x:c>
      <x:c r="AE1122" t="str">
        <x:f>""</x:f>
        <x:v/>
      </x:c>
      <x:c r="AF1122" t="str">
        <x:f>""</x:f>
        <x:v/>
      </x:c>
      <x:c r="AG1122" t="str">
        <x:f>""</x:f>
        <x:v/>
      </x:c>
    </x:row>
    <x:row r="1123" spans="2:33" x14ac:dyDescent="0.25">
      <x:c r="B1123" t="str">
        <x:f>"IEZ US Equity"</x:f>
        <x:v>IEZ US Equity</x:v>
      </x:c>
      <x:c r="C1123" t="str">
        <x:f t="shared" si="47"/>
        <x:v>FD447</x:v>
      </x:c>
      <x:c r="D1123" t="str">
        <x:f t="shared" si="48"/>
        <x:v>FUND_FLOW</x:v>
      </x:c>
      <x:c r="E1123" t="str">
        <x:f t="shared" si="49"/>
        <x:v>Dynamic</x:v>
      </x:c>
      <x:c r="F1123">
        <x:f ca="1">_xll.BDH($B$1123,$C$1123,$B$1010,$B$1011,CONCATENATE("Per=",$B$1008),"Dts=H","Dir=H",CONCATENATE("Points=",$B$1009),"Sort=R","Days=A","Fill=B",CONCATENATE("FX=", $B$1007),"cols=14;rows=1")</x:f>
        <x:v>8.3841999999999999</x:v>
      </x:c>
      <x:c r="G1123">
        <x:v>141.32220000000001</x:v>
      </x:c>
      <x:c r="H1123">
        <x:v>-1.2862</x:v>
      </x:c>
      <x:c r="I1123">
        <x:v>-6.6162000000000001</x:v>
      </x:c>
      <x:c r="J1123">
        <x:v>-15.1043</x:v>
      </x:c>
      <x:c r="K1123">
        <x:v>-2.6716000000000002</x:v>
      </x:c>
      <x:c r="L1123">
        <x:v>-30.561199999999999</x:v>
      </x:c>
      <x:c r="M1123">
        <x:v>-143.0607</x:v>
      </x:c>
      <x:c r="N1123">
        <x:v>17.996099999999998</x:v>
      </x:c>
      <x:c r="O1123">
        <x:v>40.759799999999998</x:v>
      </x:c>
      <x:c r="P1123">
        <x:v>20.387599999999999</x:v>
      </x:c>
      <x:c r="Q1123">
        <x:v>91.89</x:v>
      </x:c>
      <x:c r="R1123">
        <x:v>39.861400000000003</x:v>
      </x:c>
      <x:c r="S1123">
        <x:v>-20.7165</x:v>
      </x:c>
      <x:c r="T1123" t="str">
        <x:f>""</x:f>
        <x:v/>
      </x:c>
      <x:c r="U1123" t="str">
        <x:f>""</x:f>
        <x:v/>
      </x:c>
      <x:c r="V1123" t="str">
        <x:f>""</x:f>
        <x:v/>
      </x:c>
      <x:c r="W1123" t="str">
        <x:f>""</x:f>
        <x:v/>
      </x:c>
      <x:c r="X1123" t="str">
        <x:f>""</x:f>
        <x:v/>
      </x:c>
      <x:c r="Y1123" t="str">
        <x:f>""</x:f>
        <x:v/>
      </x:c>
      <x:c r="Z1123" t="str">
        <x:f>""</x:f>
        <x:v/>
      </x:c>
      <x:c r="AA1123" t="str">
        <x:f>""</x:f>
        <x:v/>
      </x:c>
      <x:c r="AB1123" t="str">
        <x:f>""</x:f>
        <x:v/>
      </x:c>
      <x:c r="AC1123" t="str">
        <x:f>""</x:f>
        <x:v/>
      </x:c>
      <x:c r="AD1123" t="str">
        <x:f>""</x:f>
        <x:v/>
      </x:c>
      <x:c r="AE1123" t="str">
        <x:f>""</x:f>
        <x:v/>
      </x:c>
      <x:c r="AF1123" t="str">
        <x:f>""</x:f>
        <x:v/>
      </x:c>
      <x:c r="AG1123" t="str">
        <x:f>""</x:f>
        <x:v/>
      </x:c>
    </x:row>
    <x:row r="1124" spans="2:33" x14ac:dyDescent="0.25">
      <x:c r="B1124" t="str">
        <x:f>"TAN US Equity"</x:f>
        <x:v>TAN US Equity</x:v>
      </x:c>
      <x:c r="C1124" t="str">
        <x:f t="shared" si="47"/>
        <x:v>FD447</x:v>
      </x:c>
      <x:c r="D1124" t="str">
        <x:f t="shared" si="48"/>
        <x:v>FUND_FLOW</x:v>
      </x:c>
      <x:c r="E1124" t="str">
        <x:f t="shared" si="49"/>
        <x:v>Dynamic</x:v>
      </x:c>
      <x:c r="F1124">
        <x:f ca="1">_xll.BDH($B$1124,$C$1124,$B$1010,$B$1011,CONCATENATE("Per=",$B$1008),"Dts=H","Dir=H",CONCATENATE("Points=",$B$1009),"Sort=R","Days=A","Fill=B",CONCATENATE("FX=", $B$1007),"cols=14;rows=1")</x:f>
        <x:v>4.0705999999999998</x:v>
      </x:c>
      <x:c r="G1124">
        <x:v>13.2165</x:v>
      </x:c>
      <x:c r="H1124">
        <x:v>-60.217500000000001</x:v>
      </x:c>
      <x:c r="I1124">
        <x:v>-16.232800000000001</x:v>
      </x:c>
      <x:c r="J1124">
        <x:v>17.295100000000001</x:v>
      </x:c>
      <x:c r="K1124">
        <x:v>-73.4465</x:v>
      </x:c>
      <x:c r="L1124">
        <x:v>-65.424999999999997</x:v>
      </x:c>
      <x:c r="M1124">
        <x:v>-23.446300000000001</x:v>
      </x:c>
      <x:c r="N1124">
        <x:v>-68.449399999999997</x:v>
      </x:c>
      <x:c r="O1124">
        <x:v>-36.0989</x:v>
      </x:c>
      <x:c r="P1124">
        <x:v>-121.9452</x:v>
      </x:c>
      <x:c r="Q1124">
        <x:v>213.5376</x:v>
      </x:c>
      <x:c r="R1124">
        <x:v>-211.02170000000001</x:v>
      </x:c>
      <x:c r="S1124">
        <x:v>-35.146500000000003</x:v>
      </x:c>
      <x:c r="T1124" t="str">
        <x:f>""</x:f>
        <x:v/>
      </x:c>
      <x:c r="U1124" t="str">
        <x:f>""</x:f>
        <x:v/>
      </x:c>
      <x:c r="V1124" t="str">
        <x:f>""</x:f>
        <x:v/>
      </x:c>
      <x:c r="W1124" t="str">
        <x:f>""</x:f>
        <x:v/>
      </x:c>
      <x:c r="X1124" t="str">
        <x:f>""</x:f>
        <x:v/>
      </x:c>
      <x:c r="Y1124" t="str">
        <x:f>""</x:f>
        <x:v/>
      </x:c>
      <x:c r="Z1124" t="str">
        <x:f>""</x:f>
        <x:v/>
      </x:c>
      <x:c r="AA1124" t="str">
        <x:f>""</x:f>
        <x:v/>
      </x:c>
      <x:c r="AB1124" t="str">
        <x:f>""</x:f>
        <x:v/>
      </x:c>
      <x:c r="AC1124" t="str">
        <x:f>""</x:f>
        <x:v/>
      </x:c>
      <x:c r="AD1124" t="str">
        <x:f>""</x:f>
        <x:v/>
      </x:c>
      <x:c r="AE1124" t="str">
        <x:f>""</x:f>
        <x:v/>
      </x:c>
      <x:c r="AF1124" t="str">
        <x:f>""</x:f>
        <x:v/>
      </x:c>
      <x:c r="AG1124" t="str">
        <x:f>""</x:f>
        <x:v/>
      </x:c>
    </x:row>
    <x:row r="1125" spans="2:33" x14ac:dyDescent="0.25">
      <x:c r="B1125" t="str">
        <x:f>"RYE US Equity"</x:f>
        <x:v>RYE US Equity</x:v>
      </x:c>
      <x:c r="C1125" t="str">
        <x:f t="shared" si="47"/>
        <x:v>FD447</x:v>
      </x:c>
      <x:c r="D1125" t="str">
        <x:f t="shared" si="48"/>
        <x:v>FUND_FLOW</x:v>
      </x:c>
      <x:c r="E1125" t="str">
        <x:f t="shared" si="49"/>
        <x:v>Dynamic</x:v>
      </x:c>
      <x:c r="F1125">
        <x:f ca="1">_xll.BDH($B$1125,$C$1125,$B$1010,$B$1011,CONCATENATE("Per=",$B$1008),"Dts=H","Dir=H",CONCATENATE("Points=",$B$1009),"Sort=R","Days=A","Fill=B",CONCATENATE("FX=", $B$1007),"cols=14;rows=1")</x:f>
        <x:v>33.387500000000003</x:v>
      </x:c>
      <x:c r="G1125">
        <x:v>41.753500000000003</x:v>
      </x:c>
      <x:c r="H1125">
        <x:v>0.44579999999999997</x:v>
      </x:c>
      <x:c r="I1125">
        <x:v>9.3382000000000005</x:v>
      </x:c>
      <x:c r="J1125">
        <x:v>-17.5611</x:v>
      </x:c>
      <x:c r="T1125" t="str">
        <x:f>""</x:f>
        <x:v/>
      </x:c>
      <x:c r="U1125" t="str">
        <x:f>""</x:f>
        <x:v/>
      </x:c>
      <x:c r="V1125" t="str">
        <x:f>""</x:f>
        <x:v/>
      </x:c>
      <x:c r="W1125" t="str">
        <x:f>""</x:f>
        <x:v/>
      </x:c>
      <x:c r="X1125" t="str">
        <x:f>""</x:f>
        <x:v/>
      </x:c>
      <x:c r="Y1125" t="str">
        <x:f>""</x:f>
        <x:v/>
      </x:c>
      <x:c r="Z1125" t="str">
        <x:f>""</x:f>
        <x:v/>
      </x:c>
      <x:c r="AA1125" t="str">
        <x:f>""</x:f>
        <x:v/>
      </x:c>
      <x:c r="AB1125" t="str">
        <x:f>""</x:f>
        <x:v/>
      </x:c>
      <x:c r="AC1125" t="str">
        <x:f>""</x:f>
        <x:v/>
      </x:c>
      <x:c r="AD1125" t="str">
        <x:f>""</x:f>
        <x:v/>
      </x:c>
      <x:c r="AE1125" t="str">
        <x:f>""</x:f>
        <x:v/>
      </x:c>
      <x:c r="AF1125" t="str">
        <x:f>""</x:f>
        <x:v/>
      </x:c>
      <x:c r="AG1125" t="str">
        <x:f>""</x:f>
        <x:v/>
      </x:c>
    </x:row>
    <x:row r="1126" spans="2:33" x14ac:dyDescent="0.25">
      <x:c r="B1126" t="str">
        <x:f>"FCG US Equity"</x:f>
        <x:v>FCG US Equity</x:v>
      </x:c>
      <x:c r="C1126" t="str">
        <x:f t="shared" si="47"/>
        <x:v>FD447</x:v>
      </x:c>
      <x:c r="D1126" t="str">
        <x:f t="shared" si="48"/>
        <x:v>FUND_FLOW</x:v>
      </x:c>
      <x:c r="E1126" t="str">
        <x:f t="shared" si="49"/>
        <x:v>Dynamic</x:v>
      </x:c>
      <x:c r="F1126">
        <x:f ca="1">_xll.BDH($B$1126,$C$1126,$B$1010,$B$1011,CONCATENATE("Per=",$B$1008),"Dts=H","Dir=H",CONCATENATE("Points=",$B$1009),"Sort=R","Days=A","Fill=B",CONCATENATE("FX=", $B$1007),"cols=14;rows=1")</x:f>
        <x:v>8.1277000000000008</x:v>
      </x:c>
      <x:c r="G1126">
        <x:v>-19.113700000000001</x:v>
      </x:c>
      <x:c r="H1126">
        <x:v>-4.0525000000000002</x:v>
      </x:c>
      <x:c r="I1126">
        <x:v>-4.7065000000000001</x:v>
      </x:c>
      <x:c r="J1126">
        <x:v>-19.425999999999998</x:v>
      </x:c>
      <x:c r="K1126">
        <x:v>-25.295999999999999</x:v>
      </x:c>
      <x:c r="L1126">
        <x:v>-12.814</x:v>
      </x:c>
      <x:c r="M1126">
        <x:v>-60.902999999999999</x:v>
      </x:c>
      <x:c r="N1126">
        <x:v>-144.04650000000001</x:v>
      </x:c>
      <x:c r="O1126">
        <x:v>-75.0809</x:v>
      </x:c>
      <x:c r="P1126">
        <x:v>-36.5015</x:v>
      </x:c>
      <x:c r="Q1126">
        <x:v>4.0887000000000002</x:v>
      </x:c>
      <x:c r="R1126">
        <x:v>58.117699999999999</x:v>
      </x:c>
      <x:c r="S1126">
        <x:v>-12.779400000000001</x:v>
      </x:c>
      <x:c r="T1126" t="str">
        <x:f>""</x:f>
        <x:v/>
      </x:c>
      <x:c r="U1126" t="str">
        <x:f>""</x:f>
        <x:v/>
      </x:c>
      <x:c r="V1126" t="str">
        <x:f>""</x:f>
        <x:v/>
      </x:c>
      <x:c r="W1126" t="str">
        <x:f>""</x:f>
        <x:v/>
      </x:c>
      <x:c r="X1126" t="str">
        <x:f>""</x:f>
        <x:v/>
      </x:c>
      <x:c r="Y1126" t="str">
        <x:f>""</x:f>
        <x:v/>
      </x:c>
      <x:c r="Z1126" t="str">
        <x:f>""</x:f>
        <x:v/>
      </x:c>
      <x:c r="AA1126" t="str">
        <x:f>""</x:f>
        <x:v/>
      </x:c>
      <x:c r="AB1126" t="str">
        <x:f>""</x:f>
        <x:v/>
      </x:c>
      <x:c r="AC1126" t="str">
        <x:f>""</x:f>
        <x:v/>
      </x:c>
      <x:c r="AD1126" t="str">
        <x:f>""</x:f>
        <x:v/>
      </x:c>
      <x:c r="AE1126" t="str">
        <x:f>""</x:f>
        <x:v/>
      </x:c>
      <x:c r="AF1126" t="str">
        <x:f>""</x:f>
        <x:v/>
      </x:c>
      <x:c r="AG1126" t="str">
        <x:f>""</x:f>
        <x:v/>
      </x:c>
    </x:row>
    <x:row r="1127" spans="2:33" x14ac:dyDescent="0.25">
      <x:c r="B1127" t="str">
        <x:f>"GUSH US Equity"</x:f>
        <x:v>GUSH US Equity</x:v>
      </x:c>
      <x:c r="C1127" t="str">
        <x:f t="shared" si="47"/>
        <x:v>FD447</x:v>
      </x:c>
      <x:c r="D1127" t="str">
        <x:f t="shared" si="48"/>
        <x:v>FUND_FLOW</x:v>
      </x:c>
      <x:c r="E1127" t="str">
        <x:f t="shared" si="49"/>
        <x:v>Dynamic</x:v>
      </x:c>
      <x:c r="F1127">
        <x:f ca="1">_xll.BDH($B$1127,$C$1127,$B$1010,$B$1011,CONCATENATE("Per=",$B$1008),"Dts=H","Dir=H",CONCATENATE("Points=",$B$1009),"Sort=R","Days=A","Fill=B",CONCATENATE("FX=", $B$1007),"cols=14;rows=1")</x:f>
        <x:v>-22.364799999999999</x:v>
      </x:c>
      <x:c r="G1127">
        <x:v>-38.110300000000002</x:v>
      </x:c>
      <x:c r="H1127">
        <x:v>-62.512900000000002</x:v>
      </x:c>
      <x:c r="I1127">
        <x:v>-35.309800000000003</x:v>
      </x:c>
      <x:c r="J1127">
        <x:v>-71.911799999999999</x:v>
      </x:c>
      <x:c r="K1127">
        <x:v>34.695999999999998</x:v>
      </x:c>
      <x:c r="L1127">
        <x:v>-34.9529</x:v>
      </x:c>
      <x:c r="M1127">
        <x:v>49.112000000000002</x:v>
      </x:c>
      <x:c r="N1127">
        <x:v>51.822800000000001</x:v>
      </x:c>
      <x:c r="O1127">
        <x:v>-34.956899999999997</x:v>
      </x:c>
      <x:c r="P1127">
        <x:v>50.566299999999998</x:v>
      </x:c>
      <x:c r="Q1127">
        <x:v>-14.6395</x:v>
      </x:c>
      <x:c r="R1127">
        <x:v>-95.164000000000001</x:v>
      </x:c>
      <x:c r="S1127">
        <x:v>34.4895</x:v>
      </x:c>
      <x:c r="T1127" t="str">
        <x:f>""</x:f>
        <x:v/>
      </x:c>
      <x:c r="U1127" t="str">
        <x:f>""</x:f>
        <x:v/>
      </x:c>
      <x:c r="V1127" t="str">
        <x:f>""</x:f>
        <x:v/>
      </x:c>
      <x:c r="W1127" t="str">
        <x:f>""</x:f>
        <x:v/>
      </x:c>
      <x:c r="X1127" t="str">
        <x:f>""</x:f>
        <x:v/>
      </x:c>
      <x:c r="Y1127" t="str">
        <x:f>""</x:f>
        <x:v/>
      </x:c>
      <x:c r="Z1127" t="str">
        <x:f>""</x:f>
        <x:v/>
      </x:c>
      <x:c r="AA1127" t="str">
        <x:f>""</x:f>
        <x:v/>
      </x:c>
      <x:c r="AB1127" t="str">
        <x:f>""</x:f>
        <x:v/>
      </x:c>
      <x:c r="AC1127" t="str">
        <x:f>""</x:f>
        <x:v/>
      </x:c>
      <x:c r="AD1127" t="str">
        <x:f>""</x:f>
        <x:v/>
      </x:c>
      <x:c r="AE1127" t="str">
        <x:f>""</x:f>
        <x:v/>
      </x:c>
      <x:c r="AF1127" t="str">
        <x:f>""</x:f>
        <x:v/>
      </x:c>
      <x:c r="AG1127" t="str">
        <x:f>""</x:f>
        <x:v/>
      </x:c>
    </x:row>
    <x:row r="1128" spans="2:33" x14ac:dyDescent="0.25">
      <x:c r="B1128" t="str">
        <x:f>"DIG US Equity"</x:f>
        <x:v>DIG US Equity</x:v>
      </x:c>
      <x:c r="C1128" t="str">
        <x:f t="shared" si="47"/>
        <x:v>FD447</x:v>
      </x:c>
      <x:c r="D1128" t="str">
        <x:f t="shared" si="48"/>
        <x:v>FUND_FLOW</x:v>
      </x:c>
      <x:c r="E1128" t="str">
        <x:f t="shared" si="49"/>
        <x:v>Dynamic</x:v>
      </x:c>
      <x:c r="F1128">
        <x:f ca="1">_xll.BDH($B$1128,$C$1128,$B$1010,$B$1011,CONCATENATE("Per=",$B$1008),"Dts=H","Dir=H",CONCATENATE("Points=",$B$1009),"Sort=R","Days=A","Fill=B",CONCATENATE("FX=", $B$1007),"cols=14;rows=1")</x:f>
        <x:v>0</x:v>
      </x:c>
      <x:c r="G1128">
        <x:v>-4.6077000000000004</x:v>
      </x:c>
      <x:c r="H1128">
        <x:v>-2.0503</x:v>
      </x:c>
      <x:c r="I1128">
        <x:v>-1.8547</x:v>
      </x:c>
      <x:c r="J1128">
        <x:v>-7.1932999999999998</x:v>
      </x:c>
      <x:c r="K1128">
        <x:v>3.0891999999999999</x:v>
      </x:c>
      <x:c r="L1128">
        <x:v>-5.9987000000000004</x:v>
      </x:c>
      <x:c r="M1128">
        <x:v>1.0414000000000001</x:v>
      </x:c>
      <x:c r="N1128">
        <x:v>-8.2622</x:v>
      </x:c>
      <x:c r="O1128">
        <x:v>5.8494000000000002</x:v>
      </x:c>
      <x:c r="P1128">
        <x:v>-8.1074000000000002</x:v>
      </x:c>
      <x:c r="Q1128">
        <x:v>-6.8762999999999996</x:v>
      </x:c>
      <x:c r="R1128">
        <x:v>-9.9417000000000009</x:v>
      </x:c>
      <x:c r="S1128">
        <x:v>-2.1152000000000002</x:v>
      </x:c>
      <x:c r="T1128" t="str">
        <x:f>""</x:f>
        <x:v/>
      </x:c>
      <x:c r="U1128" t="str">
        <x:f>""</x:f>
        <x:v/>
      </x:c>
      <x:c r="V1128" t="str">
        <x:f>""</x:f>
        <x:v/>
      </x:c>
      <x:c r="W1128" t="str">
        <x:f>""</x:f>
        <x:v/>
      </x:c>
      <x:c r="X1128" t="str">
        <x:f>""</x:f>
        <x:v/>
      </x:c>
      <x:c r="Y1128" t="str">
        <x:f>""</x:f>
        <x:v/>
      </x:c>
      <x:c r="Z1128" t="str">
        <x:f>""</x:f>
        <x:v/>
      </x:c>
      <x:c r="AA1128" t="str">
        <x:f>""</x:f>
        <x:v/>
      </x:c>
      <x:c r="AB1128" t="str">
        <x:f>""</x:f>
        <x:v/>
      </x:c>
      <x:c r="AC1128" t="str">
        <x:f>""</x:f>
        <x:v/>
      </x:c>
      <x:c r="AD1128" t="str">
        <x:f>""</x:f>
        <x:v/>
      </x:c>
      <x:c r="AE1128" t="str">
        <x:f>""</x:f>
        <x:v/>
      </x:c>
      <x:c r="AF1128" t="str">
        <x:f>""</x:f>
        <x:v/>
      </x:c>
      <x:c r="AG1128" t="str">
        <x:f>""</x:f>
        <x:v/>
      </x:c>
    </x:row>
    <x:row r="1129" spans="2:33" x14ac:dyDescent="0.25">
      <x:c r="B1129" t="str">
        <x:f>"MLPC US Equity"</x:f>
        <x:v>MLPC US Equity</x:v>
      </x:c>
      <x:c r="C1129" t="str">
        <x:f t="shared" si="47"/>
        <x:v>FD447</x:v>
      </x:c>
      <x:c r="D1129" t="str">
        <x:f t="shared" si="48"/>
        <x:v>FUND_FLOW</x:v>
      </x:c>
      <x:c r="E1129" t="str">
        <x:f t="shared" si="49"/>
        <x:v>Dynamic</x:v>
      </x:c>
      <x:c r="F1129" t="str">
        <x:f ca="1">_xll.BDH($B$1129,$C$1129,$B$1010,$B$1011,CONCATENATE("Per=",$B$1008),"Dts=H","Dir=H",CONCATENATE("Points=",$B$1009),"Sort=R","Days=A","Fill=B",CONCATENATE("FX=", $B$1007) )</x:f>
        <x:v/>
      </x:c>
      <x:c r="T1129" t="str">
        <x:f>""</x:f>
        <x:v/>
      </x:c>
      <x:c r="U1129" t="str">
        <x:f>""</x:f>
        <x:v/>
      </x:c>
      <x:c r="V1129" t="str">
        <x:f>""</x:f>
        <x:v/>
      </x:c>
      <x:c r="W1129" t="str">
        <x:f>""</x:f>
        <x:v/>
      </x:c>
      <x:c r="X1129" t="str">
        <x:f>""</x:f>
        <x:v/>
      </x:c>
      <x:c r="Y1129" t="str">
        <x:f>""</x:f>
        <x:v/>
      </x:c>
      <x:c r="Z1129" t="str">
        <x:f>""</x:f>
        <x:v/>
      </x:c>
      <x:c r="AA1129" t="str">
        <x:f>""</x:f>
        <x:v/>
      </x:c>
      <x:c r="AB1129" t="str">
        <x:f>""</x:f>
        <x:v/>
      </x:c>
      <x:c r="AC1129" t="str">
        <x:f>""</x:f>
        <x:v/>
      </x:c>
      <x:c r="AD1129" t="str">
        <x:f>""</x:f>
        <x:v/>
      </x:c>
      <x:c r="AE1129" t="str">
        <x:f>""</x:f>
        <x:v/>
      </x:c>
      <x:c r="AF1129" t="str">
        <x:f>""</x:f>
        <x:v/>
      </x:c>
      <x:c r="AG1129" t="str">
        <x:f>""</x:f>
        <x:v/>
      </x:c>
    </x:row>
    <x:row r="1130" spans="2:33" x14ac:dyDescent="0.25">
      <x:c r="B1130" t="str">
        <x:f>"PXI US Equity"</x:f>
        <x:v>PXI US Equity</x:v>
      </x:c>
      <x:c r="C1130" t="str">
        <x:f t="shared" si="47"/>
        <x:v>FD447</x:v>
      </x:c>
      <x:c r="D1130" t="str">
        <x:f t="shared" si="48"/>
        <x:v>FUND_FLOW</x:v>
      </x:c>
      <x:c r="E1130" t="str">
        <x:f t="shared" si="49"/>
        <x:v>Dynamic</x:v>
      </x:c>
      <x:c r="F1130">
        <x:f ca="1">_xll.BDH($B$1130,$C$1130,$B$1010,$B$1011,CONCATENATE("Per=",$B$1008),"Dts=H","Dir=H",CONCATENATE("Points=",$B$1009),"Sort=R","Days=A","Fill=B",CONCATENATE("FX=", $B$1007),"cols=14;rows=1")</x:f>
        <x:v>-3.4201999999999999</x:v>
      </x:c>
      <x:c r="G1130">
        <x:v>32.933799999999998</x:v>
      </x:c>
      <x:c r="H1130">
        <x:v>-1.3107</x:v>
      </x:c>
      <x:c r="I1130">
        <x:v>4.6033999999999997</x:v>
      </x:c>
      <x:c r="J1130">
        <x:v>-6.5884999999999998</x:v>
      </x:c>
      <x:c r="K1130">
        <x:v>-13.4788</x:v>
      </x:c>
      <x:c r="L1130">
        <x:v>-34.814799999999998</x:v>
      </x:c>
      <x:c r="M1130">
        <x:v>-5.1722000000000001</x:v>
      </x:c>
      <x:c r="N1130">
        <x:v>-60.326000000000001</x:v>
      </x:c>
      <x:c r="O1130">
        <x:v>-5.6657000000000002</x:v>
      </x:c>
      <x:c r="P1130">
        <x:v>-3.9167999999999998</x:v>
      </x:c>
      <x:c r="Q1130">
        <x:v>4.2954999999999997</x:v>
      </x:c>
      <x:c r="R1130">
        <x:v>6.6391999999999998</x:v>
      </x:c>
      <x:c r="S1130">
        <x:v>-4.0026999999999999</x:v>
      </x:c>
      <x:c r="T1130" t="str">
        <x:f>""</x:f>
        <x:v/>
      </x:c>
      <x:c r="U1130" t="str">
        <x:f>""</x:f>
        <x:v/>
      </x:c>
      <x:c r="V1130" t="str">
        <x:f>""</x:f>
        <x:v/>
      </x:c>
      <x:c r="W1130" t="str">
        <x:f>""</x:f>
        <x:v/>
      </x:c>
      <x:c r="X1130" t="str">
        <x:f>""</x:f>
        <x:v/>
      </x:c>
      <x:c r="Y1130" t="str">
        <x:f>""</x:f>
        <x:v/>
      </x:c>
      <x:c r="Z1130" t="str">
        <x:f>""</x:f>
        <x:v/>
      </x:c>
      <x:c r="AA1130" t="str">
        <x:f>""</x:f>
        <x:v/>
      </x:c>
      <x:c r="AB1130" t="str">
        <x:f>""</x:f>
        <x:v/>
      </x:c>
      <x:c r="AC1130" t="str">
        <x:f>""</x:f>
        <x:v/>
      </x:c>
      <x:c r="AD1130" t="str">
        <x:f>""</x:f>
        <x:v/>
      </x:c>
      <x:c r="AE1130" t="str">
        <x:f>""</x:f>
        <x:v/>
      </x:c>
      <x:c r="AF1130" t="str">
        <x:f>""</x:f>
        <x:v/>
      </x:c>
      <x:c r="AG1130" t="str">
        <x:f>""</x:f>
        <x:v/>
      </x:c>
    </x:row>
    <x:row r="1131" spans="2:33" x14ac:dyDescent="0.25">
      <x:c r="B1131" t="str">
        <x:f>"KOL US Equity"</x:f>
        <x:v>KOL US Equity</x:v>
      </x:c>
      <x:c r="C1131" t="str">
        <x:f t="shared" si="47"/>
        <x:v>FD447</x:v>
      </x:c>
      <x:c r="D1131" t="str">
        <x:f t="shared" si="48"/>
        <x:v>FUND_FLOW</x:v>
      </x:c>
      <x:c r="E1131" t="str">
        <x:f t="shared" si="49"/>
        <x:v>Dynamic</x:v>
      </x:c>
      <x:c r="F1131" t="str">
        <x:f ca="1">_xll.BDH($B$1131,$C$1131,$B$1010,$B$1011,CONCATENATE("Per=",$B$1008),"Dts=H","Dir=H",CONCATENATE("Points=",$B$1009),"Sort=R","Days=A","Fill=B",CONCATENATE("FX=", $B$1007) )</x:f>
        <x:v/>
      </x:c>
      <x:c r="T1131" t="str">
        <x:f>""</x:f>
        <x:v/>
      </x:c>
      <x:c r="U1131" t="str">
        <x:f>""</x:f>
        <x:v/>
      </x:c>
      <x:c r="V1131" t="str">
        <x:f>""</x:f>
        <x:v/>
      </x:c>
      <x:c r="W1131" t="str">
        <x:f>""</x:f>
        <x:v/>
      </x:c>
      <x:c r="X1131" t="str">
        <x:f>""</x:f>
        <x:v/>
      </x:c>
      <x:c r="Y1131" t="str">
        <x:f>""</x:f>
        <x:v/>
      </x:c>
      <x:c r="Z1131" t="str">
        <x:f>""</x:f>
        <x:v/>
      </x:c>
      <x:c r="AA1131" t="str">
        <x:f>""</x:f>
        <x:v/>
      </x:c>
      <x:c r="AB1131" t="str">
        <x:f>""</x:f>
        <x:v/>
      </x:c>
      <x:c r="AC1131" t="str">
        <x:f>""</x:f>
        <x:v/>
      </x:c>
      <x:c r="AD1131" t="str">
        <x:f>""</x:f>
        <x:v/>
      </x:c>
      <x:c r="AE1131" t="str">
        <x:f>""</x:f>
        <x:v/>
      </x:c>
      <x:c r="AF1131" t="str">
        <x:f>""</x:f>
        <x:v/>
      </x:c>
      <x:c r="AG1131" t="str">
        <x:f>""</x:f>
        <x:v/>
      </x:c>
    </x:row>
    <x:row r="1132" spans="2:33" x14ac:dyDescent="0.25">
      <x:c r="B1132" t="str">
        <x:f>"MLPO US Equity"</x:f>
        <x:v>MLPO US Equity</x:v>
      </x:c>
      <x:c r="C1132" t="str">
        <x:f t="shared" si="47"/>
        <x:v>FD447</x:v>
      </x:c>
      <x:c r="D1132" t="str">
        <x:f t="shared" si="48"/>
        <x:v>FUND_FLOW</x:v>
      </x:c>
      <x:c r="E1132" t="str">
        <x:f t="shared" si="49"/>
        <x:v>Dynamic</x:v>
      </x:c>
      <x:c r="F1132">
        <x:f ca="1">_xll.BDH($B$1132,$C$1132,$B$1010,$B$1011,CONCATENATE("Per=",$B$1008),"Dts=H","Dir=H",CONCATENATE("Points=",$B$1009),"Sort=R","Days=A","Fill=B",CONCATENATE("FX=", $B$1007),"cols=14;rows=1")</x:f>
        <x:v>0</x:v>
      </x:c>
      <x:c r="G1132">
        <x:v>0</x:v>
      </x:c>
      <x:c r="H1132">
        <x:v>0</x:v>
      </x:c>
      <x:c r="I1132">
        <x:v>0</x:v>
      </x:c>
      <x:c r="J1132">
        <x:v>-0.13819999999999999</x:v>
      </x:c>
      <x:c r="K1132">
        <x:v>0</x:v>
      </x:c>
      <x:c r="L1132">
        <x:v>0</x:v>
      </x:c>
      <x:c r="M1132">
        <x:v>0</x:v>
      </x:c>
      <x:c r="N1132">
        <x:v>0</x:v>
      </x:c>
      <x:c r="O1132">
        <x:v>0</x:v>
      </x:c>
      <x:c r="P1132">
        <x:v>0</x:v>
      </x:c>
      <x:c r="Q1132">
        <x:v>0</x:v>
      </x:c>
      <x:c r="R1132">
        <x:v>0</x:v>
      </x:c>
      <x:c r="S1132">
        <x:v>0</x:v>
      </x:c>
      <x:c r="T1132" t="str">
        <x:f>""</x:f>
        <x:v/>
      </x:c>
      <x:c r="U1132" t="str">
        <x:f>""</x:f>
        <x:v/>
      </x:c>
      <x:c r="V1132" t="str">
        <x:f>""</x:f>
        <x:v/>
      </x:c>
      <x:c r="W1132" t="str">
        <x:f>""</x:f>
        <x:v/>
      </x:c>
      <x:c r="X1132" t="str">
        <x:f>""</x:f>
        <x:v/>
      </x:c>
      <x:c r="Y1132" t="str">
        <x:f>""</x:f>
        <x:v/>
      </x:c>
      <x:c r="Z1132" t="str">
        <x:f>""</x:f>
        <x:v/>
      </x:c>
      <x:c r="AA1132" t="str">
        <x:f>""</x:f>
        <x:v/>
      </x:c>
      <x:c r="AB1132" t="str">
        <x:f>""</x:f>
        <x:v/>
      </x:c>
      <x:c r="AC1132" t="str">
        <x:f>""</x:f>
        <x:v/>
      </x:c>
      <x:c r="AD1132" t="str">
        <x:f>""</x:f>
        <x:v/>
      </x:c>
      <x:c r="AE1132" t="str">
        <x:f>""</x:f>
        <x:v/>
      </x:c>
      <x:c r="AF1132" t="str">
        <x:f>""</x:f>
        <x:v/>
      </x:c>
      <x:c r="AG1132" t="str">
        <x:f>""</x:f>
        <x:v/>
      </x:c>
    </x:row>
    <x:row r="1133" spans="2:33" x14ac:dyDescent="0.25">
      <x:c r="B1133" t="str">
        <x:f>"ZMLP US Equity"</x:f>
        <x:v>ZMLP US Equity</x:v>
      </x:c>
      <x:c r="C1133" t="str">
        <x:f t="shared" si="47"/>
        <x:v>FD447</x:v>
      </x:c>
      <x:c r="D1133" t="str">
        <x:f t="shared" si="48"/>
        <x:v>FUND_FLOW</x:v>
      </x:c>
      <x:c r="E1133" t="str">
        <x:f t="shared" si="49"/>
        <x:v>Dynamic</x:v>
      </x:c>
      <x:c r="F1133" t="str">
        <x:f ca="1">_xll.BDH($B$1133,$C$1133,$B$1010,$B$1011,CONCATENATE("Per=",$B$1008),"Dts=H","Dir=H",CONCATENATE("Points=",$B$1009),"Sort=R","Days=A","Fill=B",CONCATENATE("FX=", $B$1007) )</x:f>
        <x:v/>
      </x:c>
      <x:c r="T1133" t="str">
        <x:f>""</x:f>
        <x:v/>
      </x:c>
      <x:c r="U1133" t="str">
        <x:f>""</x:f>
        <x:v/>
      </x:c>
      <x:c r="V1133" t="str">
        <x:f>""</x:f>
        <x:v/>
      </x:c>
      <x:c r="W1133" t="str">
        <x:f>""</x:f>
        <x:v/>
      </x:c>
      <x:c r="X1133" t="str">
        <x:f>""</x:f>
        <x:v/>
      </x:c>
      <x:c r="Y1133" t="str">
        <x:f>""</x:f>
        <x:v/>
      </x:c>
      <x:c r="Z1133" t="str">
        <x:f>""</x:f>
        <x:v/>
      </x:c>
      <x:c r="AA1133" t="str">
        <x:f>""</x:f>
        <x:v/>
      </x:c>
      <x:c r="AB1133" t="str">
        <x:f>""</x:f>
        <x:v/>
      </x:c>
      <x:c r="AC1133" t="str">
        <x:f>""</x:f>
        <x:v/>
      </x:c>
      <x:c r="AD1133" t="str">
        <x:f>""</x:f>
        <x:v/>
      </x:c>
      <x:c r="AE1133" t="str">
        <x:f>""</x:f>
        <x:v/>
      </x:c>
      <x:c r="AF1133" t="str">
        <x:f>""</x:f>
        <x:v/>
      </x:c>
      <x:c r="AG1133" t="str">
        <x:f>""</x:f>
        <x:v/>
      </x:c>
    </x:row>
    <x:row r="1134" spans="2:33" x14ac:dyDescent="0.25">
      <x:c r="B1134" t="str">
        <x:f>"EINC US Equity"</x:f>
        <x:v>EINC US Equity</x:v>
      </x:c>
      <x:c r="C1134" t="str">
        <x:f t="shared" si="47"/>
        <x:v>FD447</x:v>
      </x:c>
      <x:c r="D1134" t="str">
        <x:f t="shared" si="48"/>
        <x:v>FUND_FLOW</x:v>
      </x:c>
      <x:c r="E1134" t="str">
        <x:f t="shared" si="49"/>
        <x:v>Dynamic</x:v>
      </x:c>
      <x:c r="F1134">
        <x:f ca="1">_xll.BDH($B$1134,$C$1134,$B$1010,$B$1011,CONCATENATE("Per=",$B$1008),"Dts=H","Dir=H",CONCATENATE("Points=",$B$1009),"Sort=R","Days=A","Fill=B",CONCATENATE("FX=", $B$1007),"cols=14;rows=1")</x:f>
        <x:v>1.5837000000000001</x:v>
      </x:c>
      <x:c r="G1134">
        <x:v>0</x:v>
      </x:c>
      <x:c r="H1134">
        <x:v>1.6424000000000001</x:v>
      </x:c>
      <x:c r="I1134">
        <x:v>0</x:v>
      </x:c>
      <x:c r="J1134">
        <x:v>6.3019999999999996</x:v>
      </x:c>
      <x:c r="K1134">
        <x:v>-1.5278</x:v>
      </x:c>
      <x:c r="L1134">
        <x:v>0</x:v>
      </x:c>
      <x:c r="M1134">
        <x:v>0</x:v>
      </x:c>
      <x:c r="N1134">
        <x:v>0</x:v>
      </x:c>
      <x:c r="O1134">
        <x:v>-1.6125</x:v>
      </x:c>
      <x:c r="P1134">
        <x:v>-1.5794999999999999</x:v>
      </x:c>
      <x:c r="Q1134">
        <x:v>0</x:v>
      </x:c>
      <x:c r="R1134">
        <x:v>-1.5118</x:v>
      </x:c>
      <x:c r="S1134">
        <x:v>1.5219</x:v>
      </x:c>
      <x:c r="T1134" t="str">
        <x:f>""</x:f>
        <x:v/>
      </x:c>
      <x:c r="U1134" t="str">
        <x:f>""</x:f>
        <x:v/>
      </x:c>
      <x:c r="V1134" t="str">
        <x:f>""</x:f>
        <x:v/>
      </x:c>
      <x:c r="W1134" t="str">
        <x:f>""</x:f>
        <x:v/>
      </x:c>
      <x:c r="X1134" t="str">
        <x:f>""</x:f>
        <x:v/>
      </x:c>
      <x:c r="Y1134" t="str">
        <x:f>""</x:f>
        <x:v/>
      </x:c>
      <x:c r="Z1134" t="str">
        <x:f>""</x:f>
        <x:v/>
      </x:c>
      <x:c r="AA1134" t="str">
        <x:f>""</x:f>
        <x:v/>
      </x:c>
      <x:c r="AB1134" t="str">
        <x:f>""</x:f>
        <x:v/>
      </x:c>
      <x:c r="AC1134" t="str">
        <x:f>""</x:f>
        <x:v/>
      </x:c>
      <x:c r="AD1134" t="str">
        <x:f>""</x:f>
        <x:v/>
      </x:c>
      <x:c r="AE1134" t="str">
        <x:f>""</x:f>
        <x:v/>
      </x:c>
      <x:c r="AF1134" t="str">
        <x:f>""</x:f>
        <x:v/>
      </x:c>
      <x:c r="AG1134" t="str">
        <x:f>""</x:f>
        <x:v/>
      </x:c>
    </x:row>
    <x:row r="1135" spans="2:33" x14ac:dyDescent="0.25">
      <x:c r="B1135" t="str">
        <x:f>"TPYP US Equity"</x:f>
        <x:v>TPYP US Equity</x:v>
      </x:c>
      <x:c r="C1135" t="str">
        <x:f t="shared" si="47"/>
        <x:v>FD447</x:v>
      </x:c>
      <x:c r="D1135" t="str">
        <x:f t="shared" si="48"/>
        <x:v>FUND_FLOW</x:v>
      </x:c>
      <x:c r="E1135" t="str">
        <x:f t="shared" si="49"/>
        <x:v>Dynamic</x:v>
      </x:c>
      <x:c r="F1135">
        <x:f ca="1">_xll.BDH($B$1135,$C$1135,$B$1010,$B$1011,CONCATENATE("Per=",$B$1008),"Dts=H","Dir=H",CONCATENATE("Points=",$B$1009),"Sort=R","Days=A","Fill=B",CONCATENATE("FX=", $B$1007),"cols=14;rows=1")</x:f>
        <x:v>-13.342599999999999</x:v>
      </x:c>
      <x:c r="G1135">
        <x:v>-3.7018</x:v>
      </x:c>
      <x:c r="H1135">
        <x:v>2.5186000000000002</x:v>
      </x:c>
      <x:c r="I1135">
        <x:v>-1.2466999999999999</x:v>
      </x:c>
      <x:c r="J1135">
        <x:v>-8.5940999999999992</x:v>
      </x:c>
      <x:c r="K1135">
        <x:v>-32.677599999999998</x:v>
      </x:c>
      <x:c r="L1135">
        <x:v>0</x:v>
      </x:c>
      <x:c r="M1135">
        <x:v>-9.2399999999999996E-2</x:v>
      </x:c>
      <x:c r="N1135">
        <x:v>-2.5503999999999998</x:v>
      </x:c>
      <x:c r="O1135">
        <x:v>-45.591900000000003</x:v>
      </x:c>
      <x:c r="P1135">
        <x:v>53.656199999999998</x:v>
      </x:c>
      <x:c r="Q1135">
        <x:v>0</x:v>
      </x:c>
      <x:c r="R1135">
        <x:v>-20.196899999999999</x:v>
      </x:c>
      <x:c r="S1135">
        <x:v>3.4731999999999998</x:v>
      </x:c>
      <x:c r="T1135" t="str">
        <x:f>""</x:f>
        <x:v/>
      </x:c>
      <x:c r="U1135" t="str">
        <x:f>""</x:f>
        <x:v/>
      </x:c>
      <x:c r="V1135" t="str">
        <x:f>""</x:f>
        <x:v/>
      </x:c>
      <x:c r="W1135" t="str">
        <x:f>""</x:f>
        <x:v/>
      </x:c>
      <x:c r="X1135" t="str">
        <x:f>""</x:f>
        <x:v/>
      </x:c>
      <x:c r="Y1135" t="str">
        <x:f>""</x:f>
        <x:v/>
      </x:c>
      <x:c r="Z1135" t="str">
        <x:f>""</x:f>
        <x:v/>
      </x:c>
      <x:c r="AA1135" t="str">
        <x:f>""</x:f>
        <x:v/>
      </x:c>
      <x:c r="AB1135" t="str">
        <x:f>""</x:f>
        <x:v/>
      </x:c>
      <x:c r="AC1135" t="str">
        <x:f>""</x:f>
        <x:v/>
      </x:c>
      <x:c r="AD1135" t="str">
        <x:f>""</x:f>
        <x:v/>
      </x:c>
      <x:c r="AE1135" t="str">
        <x:f>""</x:f>
        <x:v/>
      </x:c>
      <x:c r="AF1135" t="str">
        <x:f>""</x:f>
        <x:v/>
      </x:c>
      <x:c r="AG1135" t="str">
        <x:f>""</x:f>
        <x:v/>
      </x:c>
    </x:row>
    <x:row r="1136" spans="2:33" x14ac:dyDescent="0.25">
      <x:c r="B1136" t="str">
        <x:f>"MLPY US Equity"</x:f>
        <x:v>MLPY US Equity</x:v>
      </x:c>
      <x:c r="C1136" t="str">
        <x:f t="shared" si="47"/>
        <x:v>FD447</x:v>
      </x:c>
      <x:c r="D1136" t="str">
        <x:f t="shared" si="48"/>
        <x:v>FUND_FLOW</x:v>
      </x:c>
      <x:c r="E1136" t="str">
        <x:f t="shared" si="49"/>
        <x:v>Dynamic</x:v>
      </x:c>
      <x:c r="F1136" t="str">
        <x:f ca="1">_xll.BDH($B$1136,$C$1136,$B$1010,$B$1011,CONCATENATE("Per=",$B$1008),"Dts=H","Dir=H",CONCATENATE("Points=",$B$1009),"Sort=R","Days=A","Fill=B",CONCATENATE("FX=", $B$1007) )</x:f>
        <x:v/>
      </x:c>
      <x:c r="T1136" t="str">
        <x:f>""</x:f>
        <x:v/>
      </x:c>
      <x:c r="U1136" t="str">
        <x:f>""</x:f>
        <x:v/>
      </x:c>
      <x:c r="V1136" t="str">
        <x:f>""</x:f>
        <x:v/>
      </x:c>
      <x:c r="W1136" t="str">
        <x:f>""</x:f>
        <x:v/>
      </x:c>
      <x:c r="X1136" t="str">
        <x:f>""</x:f>
        <x:v/>
      </x:c>
      <x:c r="Y1136" t="str">
        <x:f>""</x:f>
        <x:v/>
      </x:c>
      <x:c r="Z1136" t="str">
        <x:f>""</x:f>
        <x:v/>
      </x:c>
      <x:c r="AA1136" t="str">
        <x:f>""</x:f>
        <x:v/>
      </x:c>
      <x:c r="AB1136" t="str">
        <x:f>""</x:f>
        <x:v/>
      </x:c>
      <x:c r="AC1136" t="str">
        <x:f>""</x:f>
        <x:v/>
      </x:c>
      <x:c r="AD1136" t="str">
        <x:f>""</x:f>
        <x:v/>
      </x:c>
      <x:c r="AE1136" t="str">
        <x:f>""</x:f>
        <x:v/>
      </x:c>
      <x:c r="AF1136" t="str">
        <x:f>""</x:f>
        <x:v/>
      </x:c>
      <x:c r="AG1136" t="str">
        <x:f>""</x:f>
        <x:v/>
      </x:c>
    </x:row>
    <x:row r="1137" spans="2:33" x14ac:dyDescent="0.25">
      <x:c r="B1137" t="str">
        <x:f>"PXE US Equity"</x:f>
        <x:v>PXE US Equity</x:v>
      </x:c>
      <x:c r="C1137" t="str">
        <x:f t="shared" si="47"/>
        <x:v>FD447</x:v>
      </x:c>
      <x:c r="D1137" t="str">
        <x:f t="shared" si="48"/>
        <x:v>FUND_FLOW</x:v>
      </x:c>
      <x:c r="E1137" t="str">
        <x:f t="shared" si="49"/>
        <x:v>Dynamic</x:v>
      </x:c>
      <x:c r="F1137">
        <x:f ca="1">_xll.BDH($B$1137,$C$1137,$B$1010,$B$1011,CONCATENATE("Per=",$B$1008),"Dts=H","Dir=H",CONCATENATE("Points=",$B$1009),"Sort=R","Days=A","Fill=B",CONCATENATE("FX=", $B$1007),"cols=14;rows=1")</x:f>
        <x:v>-6.8597999999999999</x:v>
      </x:c>
      <x:c r="G1137">
        <x:v>10.0398</x:v>
      </x:c>
      <x:c r="H1137">
        <x:v>-0.3543</x:v>
      </x:c>
      <x:c r="I1137">
        <x:v>-4.8258000000000001</x:v>
      </x:c>
      <x:c r="J1137">
        <x:v>-9.1715999999999998</x:v>
      </x:c>
      <x:c r="K1137">
        <x:v>-11.0311</x:v>
      </x:c>
      <x:c r="L1137">
        <x:v>-3.1284999999999998</x:v>
      </x:c>
      <x:c r="M1137">
        <x:v>-27.874400000000001</x:v>
      </x:c>
      <x:c r="N1137">
        <x:v>-81.5488</x:v>
      </x:c>
      <x:c r="O1137">
        <x:v>-10.145899999999999</x:v>
      </x:c>
      <x:c r="P1137">
        <x:v>-2.6141000000000001</x:v>
      </x:c>
      <x:c r="Q1137">
        <x:v>19.453299999999999</x:v>
      </x:c>
      <x:c r="R1137">
        <x:v>27.474</x:v>
      </x:c>
      <x:c r="S1137">
        <x:v>-9.8977000000000004</x:v>
      </x:c>
      <x:c r="T1137" t="str">
        <x:f>""</x:f>
        <x:v/>
      </x:c>
      <x:c r="U1137" t="str">
        <x:f>""</x:f>
        <x:v/>
      </x:c>
      <x:c r="V1137" t="str">
        <x:f>""</x:f>
        <x:v/>
      </x:c>
      <x:c r="W1137" t="str">
        <x:f>""</x:f>
        <x:v/>
      </x:c>
      <x:c r="X1137" t="str">
        <x:f>""</x:f>
        <x:v/>
      </x:c>
      <x:c r="Y1137" t="str">
        <x:f>""</x:f>
        <x:v/>
      </x:c>
      <x:c r="Z1137" t="str">
        <x:f>""</x:f>
        <x:v/>
      </x:c>
      <x:c r="AA1137" t="str">
        <x:f>""</x:f>
        <x:v/>
      </x:c>
      <x:c r="AB1137" t="str">
        <x:f>""</x:f>
        <x:v/>
      </x:c>
      <x:c r="AC1137" t="str">
        <x:f>""</x:f>
        <x:v/>
      </x:c>
      <x:c r="AD1137" t="str">
        <x:f>""</x:f>
        <x:v/>
      </x:c>
      <x:c r="AE1137" t="str">
        <x:f>""</x:f>
        <x:v/>
      </x:c>
      <x:c r="AF1137" t="str">
        <x:f>""</x:f>
        <x:v/>
      </x:c>
      <x:c r="AG1137" t="str">
        <x:f>""</x:f>
        <x:v/>
      </x:c>
    </x:row>
    <x:row r="1138" spans="2:33" x14ac:dyDescent="0.25">
      <x:c r="B1138" t="str">
        <x:f>"MLPZ US Equity"</x:f>
        <x:v>MLPZ US Equity</x:v>
      </x:c>
      <x:c r="C1138" t="str">
        <x:f t="shared" si="47"/>
        <x:v>FD447</x:v>
      </x:c>
      <x:c r="D1138" t="str">
        <x:f t="shared" si="48"/>
        <x:v>FUND_FLOW</x:v>
      </x:c>
      <x:c r="E1138" t="str">
        <x:f t="shared" si="49"/>
        <x:v>Dynamic</x:v>
      </x:c>
      <x:c r="F1138" t="str">
        <x:f ca="1">_xll.BDH($B$1138,$C$1138,$B$1010,$B$1011,CONCATENATE("Per=",$B$1008),"Dts=H","Dir=H",CONCATENATE("Points=",$B$1009),"Sort=R","Days=A","Fill=B",CONCATENATE("FX=", $B$1007) )</x:f>
        <x:v/>
      </x:c>
      <x:c r="T1138" t="str">
        <x:f>""</x:f>
        <x:v/>
      </x:c>
      <x:c r="U1138" t="str">
        <x:f>""</x:f>
        <x:v/>
      </x:c>
      <x:c r="V1138" t="str">
        <x:f>""</x:f>
        <x:v/>
      </x:c>
      <x:c r="W1138" t="str">
        <x:f>""</x:f>
        <x:v/>
      </x:c>
      <x:c r="X1138" t="str">
        <x:f>""</x:f>
        <x:v/>
      </x:c>
      <x:c r="Y1138" t="str">
        <x:f>""</x:f>
        <x:v/>
      </x:c>
      <x:c r="Z1138" t="str">
        <x:f>""</x:f>
        <x:v/>
      </x:c>
      <x:c r="AA1138" t="str">
        <x:f>""</x:f>
        <x:v/>
      </x:c>
      <x:c r="AB1138" t="str">
        <x:f>""</x:f>
        <x:v/>
      </x:c>
      <x:c r="AC1138" t="str">
        <x:f>""</x:f>
        <x:v/>
      </x:c>
      <x:c r="AD1138" t="str">
        <x:f>""</x:f>
        <x:v/>
      </x:c>
      <x:c r="AE1138" t="str">
        <x:f>""</x:f>
        <x:v/>
      </x:c>
      <x:c r="AF1138" t="str">
        <x:f>""</x:f>
        <x:v/>
      </x:c>
      <x:c r="AG1138" t="str">
        <x:f>""</x:f>
        <x:v/>
      </x:c>
    </x:row>
    <x:row r="1139" spans="2:33" x14ac:dyDescent="0.25">
      <x:c r="B1139" t="str">
        <x:f>"OIL US Equity"</x:f>
        <x:v>OIL US Equity</x:v>
      </x:c>
      <x:c r="C1139" t="str">
        <x:f t="shared" si="47"/>
        <x:v>FD447</x:v>
      </x:c>
      <x:c r="D1139" t="str">
        <x:f t="shared" si="48"/>
        <x:v>FUND_FLOW</x:v>
      </x:c>
      <x:c r="E1139" t="str">
        <x:f t="shared" si="49"/>
        <x:v>Dynamic</x:v>
      </x:c>
      <x:c r="F1139" t="str">
        <x:f ca="1">_xll.BDH($B$1139,$C$1139,$B$1010,$B$1011,CONCATENATE("Per=",$B$1008),"Dts=H","Dir=H",CONCATENATE("Points=",$B$1009),"Sort=R","Days=A","Fill=B",CONCATENATE("FX=", $B$1007),"cols=14;rows=1")</x:f>
        <x:v/>
      </x:c>
      <x:c r="J1139">
        <x:v>-55.8474</x:v>
      </x:c>
      <x:c r="K1139">
        <x:v>3.2416999999999998</x:v>
      </x:c>
      <x:c r="L1139">
        <x:v>-6.0231000000000003</x:v>
      </x:c>
      <x:c r="M1139">
        <x:v>5.8494000000000002</x:v>
      </x:c>
      <x:c r="N1139">
        <x:v>-2.8096999999999999</x:v>
      </x:c>
      <x:c r="O1139">
        <x:v>-3.2324000000000002</x:v>
      </x:c>
      <x:c r="P1139">
        <x:v>-0.2394</x:v>
      </x:c>
      <x:c r="Q1139">
        <x:v>-3.9112</x:v>
      </x:c>
      <x:c r="R1139">
        <x:v>-16.6294</x:v>
      </x:c>
      <x:c r="S1139">
        <x:v>-18.4436</x:v>
      </x:c>
      <x:c r="T1139" t="str">
        <x:f>""</x:f>
        <x:v/>
      </x:c>
      <x:c r="U1139" t="str">
        <x:f>""</x:f>
        <x:v/>
      </x:c>
      <x:c r="V1139" t="str">
        <x:f>""</x:f>
        <x:v/>
      </x:c>
      <x:c r="W1139" t="str">
        <x:f>""</x:f>
        <x:v/>
      </x:c>
      <x:c r="X1139" t="str">
        <x:f>""</x:f>
        <x:v/>
      </x:c>
      <x:c r="Y1139" t="str">
        <x:f>""</x:f>
        <x:v/>
      </x:c>
      <x:c r="Z1139" t="str">
        <x:f>""</x:f>
        <x:v/>
      </x:c>
      <x:c r="AA1139" t="str">
        <x:f>""</x:f>
        <x:v/>
      </x:c>
      <x:c r="AB1139" t="str">
        <x:f>""</x:f>
        <x:v/>
      </x:c>
      <x:c r="AC1139" t="str">
        <x:f>""</x:f>
        <x:v/>
      </x:c>
      <x:c r="AD1139" t="str">
        <x:f>""</x:f>
        <x:v/>
      </x:c>
      <x:c r="AE1139" t="str">
        <x:f>""</x:f>
        <x:v/>
      </x:c>
      <x:c r="AF1139" t="str">
        <x:f>""</x:f>
        <x:v/>
      </x:c>
      <x:c r="AG1139" t="str">
        <x:f>""</x:f>
        <x:v/>
      </x:c>
    </x:row>
    <x:row r="1140" spans="2:33" x14ac:dyDescent="0.25">
      <x:c r="B1140" t="str">
        <x:f>"MLPQ US Equity"</x:f>
        <x:v>MLPQ US Equity</x:v>
      </x:c>
      <x:c r="C1140" t="str">
        <x:f t="shared" si="47"/>
        <x:v>FD447</x:v>
      </x:c>
      <x:c r="D1140" t="str">
        <x:f t="shared" si="48"/>
        <x:v>FUND_FLOW</x:v>
      </x:c>
      <x:c r="E1140" t="str">
        <x:f t="shared" si="49"/>
        <x:v>Dynamic</x:v>
      </x:c>
      <x:c r="F1140" t="str">
        <x:f ca="1">_xll.BDH($B$1140,$C$1140,$B$1010,$B$1011,CONCATENATE("Per=",$B$1008),"Dts=H","Dir=H",CONCATENATE("Points=",$B$1009),"Sort=R","Days=A","Fill=B",CONCATENATE("FX=", $B$1007) )</x:f>
        <x:v/>
      </x:c>
      <x:c r="T1140" t="str">
        <x:f>""</x:f>
        <x:v/>
      </x:c>
      <x:c r="U1140" t="str">
        <x:f>""</x:f>
        <x:v/>
      </x:c>
      <x:c r="V1140" t="str">
        <x:f>""</x:f>
        <x:v/>
      </x:c>
      <x:c r="W1140" t="str">
        <x:f>""</x:f>
        <x:v/>
      </x:c>
      <x:c r="X1140" t="str">
        <x:f>""</x:f>
        <x:v/>
      </x:c>
      <x:c r="Y1140" t="str">
        <x:f>""</x:f>
        <x:v/>
      </x:c>
      <x:c r="Z1140" t="str">
        <x:f>""</x:f>
        <x:v/>
      </x:c>
      <x:c r="AA1140" t="str">
        <x:f>""</x:f>
        <x:v/>
      </x:c>
      <x:c r="AB1140" t="str">
        <x:f>""</x:f>
        <x:v/>
      </x:c>
      <x:c r="AC1140" t="str">
        <x:f>""</x:f>
        <x:v/>
      </x:c>
      <x:c r="AD1140" t="str">
        <x:f>""</x:f>
        <x:v/>
      </x:c>
      <x:c r="AE1140" t="str">
        <x:f>""</x:f>
        <x:v/>
      </x:c>
      <x:c r="AF1140" t="str">
        <x:f>""</x:f>
        <x:v/>
      </x:c>
      <x:c r="AG1140" t="str">
        <x:f>""</x:f>
        <x:v/>
      </x:c>
    </x:row>
    <x:row r="1141" spans="2:33" x14ac:dyDescent="0.25">
      <x:c r="B1141" t="str">
        <x:f>"BMLP US Equity"</x:f>
        <x:v>BMLP US Equity</x:v>
      </x:c>
      <x:c r="C1141" t="str">
        <x:f t="shared" si="47"/>
        <x:v>FD447</x:v>
      </x:c>
      <x:c r="D1141" t="str">
        <x:f t="shared" si="48"/>
        <x:v>FUND_FLOW</x:v>
      </x:c>
      <x:c r="E1141" t="str">
        <x:f t="shared" si="49"/>
        <x:v>Dynamic</x:v>
      </x:c>
      <x:c r="F1141" t="str">
        <x:f ca="1">_xll.BDH($B$1141,$C$1141,$B$1010,$B$1011,CONCATENATE("Per=",$B$1008),"Dts=H","Dir=H",CONCATENATE("Points=",$B$1009),"Sort=R","Days=A","Fill=B",CONCATENATE("FX=", $B$1007) )</x:f>
        <x:v/>
      </x:c>
      <x:c r="T1141" t="str">
        <x:f>""</x:f>
        <x:v/>
      </x:c>
      <x:c r="U1141" t="str">
        <x:f>""</x:f>
        <x:v/>
      </x:c>
      <x:c r="V1141" t="str">
        <x:f>""</x:f>
        <x:v/>
      </x:c>
      <x:c r="W1141" t="str">
        <x:f>""</x:f>
        <x:v/>
      </x:c>
      <x:c r="X1141" t="str">
        <x:f>""</x:f>
        <x:v/>
      </x:c>
      <x:c r="Y1141" t="str">
        <x:f>""</x:f>
        <x:v/>
      </x:c>
      <x:c r="Z1141" t="str">
        <x:f>""</x:f>
        <x:v/>
      </x:c>
      <x:c r="AA1141" t="str">
        <x:f>""</x:f>
        <x:v/>
      </x:c>
      <x:c r="AB1141" t="str">
        <x:f>""</x:f>
        <x:v/>
      </x:c>
      <x:c r="AC1141" t="str">
        <x:f>""</x:f>
        <x:v/>
      </x:c>
      <x:c r="AD1141" t="str">
        <x:f>""</x:f>
        <x:v/>
      </x:c>
      <x:c r="AE1141" t="str">
        <x:f>""</x:f>
        <x:v/>
      </x:c>
      <x:c r="AF1141" t="str">
        <x:f>""</x:f>
        <x:v/>
      </x:c>
      <x:c r="AG1141" t="str">
        <x:f>""</x:f>
        <x:v/>
      </x:c>
    </x:row>
    <x:row r="1142" spans="2:33" x14ac:dyDescent="0.25">
      <x:c r="B1142" t="str">
        <x:f>"1863801D US Equity"</x:f>
        <x:v>1863801D US Equity</x:v>
      </x:c>
      <x:c r="C1142" t="str">
        <x:f t="shared" ref="C1142:C1205" si="50">"FD447"</x:f>
        <x:v>FD447</x:v>
      </x:c>
      <x:c r="D1142" t="str">
        <x:f t="shared" ref="D1142:D1205" si="51">"FUND_FLOW"</x:f>
        <x:v>FUND_FLOW</x:v>
      </x:c>
      <x:c r="E1142" t="str">
        <x:f t="shared" ref="E1142:E1205" si="52">"Dynamic"</x:f>
        <x:v>Dynamic</x:v>
      </x:c>
      <x:c r="F1142" t="str">
        <x:f ca="1">_xll.BDH($B$1142,$C$1142,$B$1010,$B$1011,CONCATENATE("Per=",$B$1008),"Dts=H","Dir=H",CONCATENATE("Points=",$B$1009),"Sort=R","Days=A","Fill=B",CONCATENATE("FX=", $B$1007) )</x:f>
        <x:v/>
      </x:c>
      <x:c r="T1142" t="str">
        <x:f>""</x:f>
        <x:v/>
      </x:c>
      <x:c r="U1142" t="str">
        <x:f>""</x:f>
        <x:v/>
      </x:c>
      <x:c r="V1142" t="str">
        <x:f>""</x:f>
        <x:v/>
      </x:c>
      <x:c r="W1142" t="str">
        <x:f>""</x:f>
        <x:v/>
      </x:c>
      <x:c r="X1142" t="str">
        <x:f>""</x:f>
        <x:v/>
      </x:c>
      <x:c r="Y1142" t="str">
        <x:f>""</x:f>
        <x:v/>
      </x:c>
      <x:c r="Z1142" t="str">
        <x:f>""</x:f>
        <x:v/>
      </x:c>
      <x:c r="AA1142" t="str">
        <x:f>""</x:f>
        <x:v/>
      </x:c>
      <x:c r="AB1142" t="str">
        <x:f>""</x:f>
        <x:v/>
      </x:c>
      <x:c r="AC1142" t="str">
        <x:f>""</x:f>
        <x:v/>
      </x:c>
      <x:c r="AD1142" t="str">
        <x:f>""</x:f>
        <x:v/>
      </x:c>
      <x:c r="AE1142" t="str">
        <x:f>""</x:f>
        <x:v/>
      </x:c>
      <x:c r="AF1142" t="str">
        <x:f>""</x:f>
        <x:v/>
      </x:c>
      <x:c r="AG1142" t="str">
        <x:f>""</x:f>
        <x:v/>
      </x:c>
    </x:row>
    <x:row r="1143" spans="2:33" x14ac:dyDescent="0.25">
      <x:c r="B1143" t="str">
        <x:f>"FRAK US Equity"</x:f>
        <x:v>FRAK US Equity</x:v>
      </x:c>
      <x:c r="C1143" t="str">
        <x:f t="shared" si="50"/>
        <x:v>FD447</x:v>
      </x:c>
      <x:c r="D1143" t="str">
        <x:f t="shared" si="51"/>
        <x:v>FUND_FLOW</x:v>
      </x:c>
      <x:c r="E1143" t="str">
        <x:f t="shared" si="52"/>
        <x:v>Dynamic</x:v>
      </x:c>
      <x:c r="F1143" t="str">
        <x:f ca="1">_xll.BDH($B$1143,$C$1143,$B$1010,$B$1011,CONCATENATE("Per=",$B$1008),"Dts=H","Dir=H",CONCATENATE("Points=",$B$1009),"Sort=R","Days=A","Fill=B",CONCATENATE("FX=", $B$1007) )</x:f>
        <x:v/>
      </x:c>
      <x:c r="T1143" t="str">
        <x:f>""</x:f>
        <x:v/>
      </x:c>
      <x:c r="U1143" t="str">
        <x:f>""</x:f>
        <x:v/>
      </x:c>
      <x:c r="V1143" t="str">
        <x:f>""</x:f>
        <x:v/>
      </x:c>
      <x:c r="W1143" t="str">
        <x:f>""</x:f>
        <x:v/>
      </x:c>
      <x:c r="X1143" t="str">
        <x:f>""</x:f>
        <x:v/>
      </x:c>
      <x:c r="Y1143" t="str">
        <x:f>""</x:f>
        <x:v/>
      </x:c>
      <x:c r="Z1143" t="str">
        <x:f>""</x:f>
        <x:v/>
      </x:c>
      <x:c r="AA1143" t="str">
        <x:f>""</x:f>
        <x:v/>
      </x:c>
      <x:c r="AB1143" t="str">
        <x:f>""</x:f>
        <x:v/>
      </x:c>
      <x:c r="AC1143" t="str">
        <x:f>""</x:f>
        <x:v/>
      </x:c>
      <x:c r="AD1143" t="str">
        <x:f>""</x:f>
        <x:v/>
      </x:c>
      <x:c r="AE1143" t="str">
        <x:f>""</x:f>
        <x:v/>
      </x:c>
      <x:c r="AF1143" t="str">
        <x:f>""</x:f>
        <x:v/>
      </x:c>
      <x:c r="AG1143" t="str">
        <x:f>""</x:f>
        <x:v/>
      </x:c>
    </x:row>
    <x:row r="1144" spans="2:33" x14ac:dyDescent="0.25">
      <x:c r="B1144" t="str">
        <x:f>"GASL US Equity"</x:f>
        <x:v>GASL US Equity</x:v>
      </x:c>
      <x:c r="C1144" t="str">
        <x:f t="shared" si="50"/>
        <x:v>FD447</x:v>
      </x:c>
      <x:c r="D1144" t="str">
        <x:f t="shared" si="51"/>
        <x:v>FUND_FLOW</x:v>
      </x:c>
      <x:c r="E1144" t="str">
        <x:f t="shared" si="52"/>
        <x:v>Dynamic</x:v>
      </x:c>
      <x:c r="F1144" t="str">
        <x:f ca="1">_xll.BDH($B$1144,$C$1144,$B$1010,$B$1011,CONCATENATE("Per=",$B$1008),"Dts=H","Dir=H",CONCATENATE("Points=",$B$1009),"Sort=R","Days=A","Fill=B",CONCATENATE("FX=", $B$1007) )</x:f>
        <x:v/>
      </x:c>
      <x:c r="T1144" t="str">
        <x:f>""</x:f>
        <x:v/>
      </x:c>
      <x:c r="U1144" t="str">
        <x:f>""</x:f>
        <x:v/>
      </x:c>
      <x:c r="V1144" t="str">
        <x:f>""</x:f>
        <x:v/>
      </x:c>
      <x:c r="W1144" t="str">
        <x:f>""</x:f>
        <x:v/>
      </x:c>
      <x:c r="X1144" t="str">
        <x:f>""</x:f>
        <x:v/>
      </x:c>
      <x:c r="Y1144" t="str">
        <x:f>""</x:f>
        <x:v/>
      </x:c>
      <x:c r="Z1144" t="str">
        <x:f>""</x:f>
        <x:v/>
      </x:c>
      <x:c r="AA1144" t="str">
        <x:f>""</x:f>
        <x:v/>
      </x:c>
      <x:c r="AB1144" t="str">
        <x:f>""</x:f>
        <x:v/>
      </x:c>
      <x:c r="AC1144" t="str">
        <x:f>""</x:f>
        <x:v/>
      </x:c>
      <x:c r="AD1144" t="str">
        <x:f>""</x:f>
        <x:v/>
      </x:c>
      <x:c r="AE1144" t="str">
        <x:f>""</x:f>
        <x:v/>
      </x:c>
      <x:c r="AF1144" t="str">
        <x:f>""</x:f>
        <x:v/>
      </x:c>
      <x:c r="AG1144" t="str">
        <x:f>""</x:f>
        <x:v/>
      </x:c>
    </x:row>
    <x:row r="1145" spans="2:33" x14ac:dyDescent="0.25">
      <x:c r="B1145" t="str">
        <x:f>"PSCE US Equity"</x:f>
        <x:v>PSCE US Equity</x:v>
      </x:c>
      <x:c r="C1145" t="str">
        <x:f t="shared" si="50"/>
        <x:v>FD447</x:v>
      </x:c>
      <x:c r="D1145" t="str">
        <x:f t="shared" si="51"/>
        <x:v>FUND_FLOW</x:v>
      </x:c>
      <x:c r="E1145" t="str">
        <x:f t="shared" si="52"/>
        <x:v>Dynamic</x:v>
      </x:c>
      <x:c r="F1145">
        <x:f ca="1">_xll.BDH($B$1145,$C$1145,$B$1010,$B$1011,CONCATENATE("Per=",$B$1008),"Dts=H","Dir=H",CONCATENATE("Points=",$B$1009),"Sort=R","Days=A","Fill=B",CONCATENATE("FX=", $B$1007),"cols=14;rows=1")</x:f>
        <x:v>9.3226999999999993</x:v>
      </x:c>
      <x:c r="G1145">
        <x:v>6.391</x:v>
      </x:c>
      <x:c r="H1145">
        <x:v>7.2656000000000001</x:v>
      </x:c>
      <x:c r="I1145">
        <x:v>4.5888999999999998</x:v>
      </x:c>
      <x:c r="J1145">
        <x:v>-4.3794000000000004</x:v>
      </x:c>
      <x:c r="K1145">
        <x:v>13.319599999999999</x:v>
      </x:c>
      <x:c r="L1145">
        <x:v>74.058599999999998</x:v>
      </x:c>
      <x:c r="M1145">
        <x:v>-6.1036999999999999</x:v>
      </x:c>
      <x:c r="N1145">
        <x:v>-4.4103000000000003</x:v>
      </x:c>
      <x:c r="O1145">
        <x:v>5.2454000000000001</x:v>
      </x:c>
      <x:c r="P1145">
        <x:v>-11.943300000000001</x:v>
      </x:c>
      <x:c r="Q1145">
        <x:v>4.2605000000000004</x:v>
      </x:c>
      <x:c r="R1145">
        <x:v>4.7694999999999999</x:v>
      </x:c>
      <x:c r="S1145">
        <x:v>-7.1317000000000004</x:v>
      </x:c>
      <x:c r="T1145" t="str">
        <x:f>""</x:f>
        <x:v/>
      </x:c>
      <x:c r="U1145" t="str">
        <x:f>""</x:f>
        <x:v/>
      </x:c>
      <x:c r="V1145" t="str">
        <x:f>""</x:f>
        <x:v/>
      </x:c>
      <x:c r="W1145" t="str">
        <x:f>""</x:f>
        <x:v/>
      </x:c>
      <x:c r="X1145" t="str">
        <x:f>""</x:f>
        <x:v/>
      </x:c>
      <x:c r="Y1145" t="str">
        <x:f>""</x:f>
        <x:v/>
      </x:c>
      <x:c r="Z1145" t="str">
        <x:f>""</x:f>
        <x:v/>
      </x:c>
      <x:c r="AA1145" t="str">
        <x:f>""</x:f>
        <x:v/>
      </x:c>
      <x:c r="AB1145" t="str">
        <x:f>""</x:f>
        <x:v/>
      </x:c>
      <x:c r="AC1145" t="str">
        <x:f>""</x:f>
        <x:v/>
      </x:c>
      <x:c r="AD1145" t="str">
        <x:f>""</x:f>
        <x:v/>
      </x:c>
      <x:c r="AE1145" t="str">
        <x:f>""</x:f>
        <x:v/>
      </x:c>
      <x:c r="AF1145" t="str">
        <x:f>""</x:f>
        <x:v/>
      </x:c>
      <x:c r="AG1145" t="str">
        <x:f>""</x:f>
        <x:v/>
      </x:c>
    </x:row>
    <x:row r="1146" spans="2:33" x14ac:dyDescent="0.25">
      <x:c r="B1146" t="str">
        <x:f>"MLPB US Equity"</x:f>
        <x:v>MLPB US Equity</x:v>
      </x:c>
      <x:c r="C1146" t="str">
        <x:f t="shared" si="50"/>
        <x:v>FD447</x:v>
      </x:c>
      <x:c r="D1146" t="str">
        <x:f t="shared" si="51"/>
        <x:v>FUND_FLOW</x:v>
      </x:c>
      <x:c r="E1146" t="str">
        <x:f t="shared" si="52"/>
        <x:v>Dynamic</x:v>
      </x:c>
      <x:c r="F1146">
        <x:f ca="1">_xll.BDH($B$1146,$C$1146,$B$1010,$B$1011,CONCATENATE("Per=",$B$1008),"Dts=H","Dir=H",CONCATENATE("Points=",$B$1009),"Sort=R","Days=A","Fill=B",CONCATENATE("FX=", $B$1007),"cols=14;rows=1")</x:f>
        <x:v>0</x:v>
      </x:c>
      <x:c r="G1146">
        <x:v>0</x:v>
      </x:c>
      <x:c r="H1146">
        <x:v>0</x:v>
      </x:c>
      <x:c r="I1146">
        <x:v>0</x:v>
      </x:c>
      <x:c r="J1146">
        <x:v>-15.631399999999999</x:v>
      </x:c>
      <x:c r="K1146">
        <x:v>-16.7607</x:v>
      </x:c>
      <x:c r="L1146">
        <x:v>-9.3912999999999993</x:v>
      </x:c>
      <x:c r="M1146">
        <x:v>0</x:v>
      </x:c>
      <x:c r="N1146">
        <x:v>0</x:v>
      </x:c>
      <x:c r="O1146">
        <x:v>0</x:v>
      </x:c>
      <x:c r="P1146">
        <x:v>0</x:v>
      </x:c>
      <x:c r="Q1146">
        <x:v>0</x:v>
      </x:c>
      <x:c r="R1146">
        <x:v>0</x:v>
      </x:c>
      <x:c r="S1146">
        <x:v>0</x:v>
      </x:c>
      <x:c r="T1146" t="str">
        <x:f>""</x:f>
        <x:v/>
      </x:c>
      <x:c r="U1146" t="str">
        <x:f>""</x:f>
        <x:v/>
      </x:c>
      <x:c r="V1146" t="str">
        <x:f>""</x:f>
        <x:v/>
      </x:c>
      <x:c r="W1146" t="str">
        <x:f>""</x:f>
        <x:v/>
      </x:c>
      <x:c r="X1146" t="str">
        <x:f>""</x:f>
        <x:v/>
      </x:c>
      <x:c r="Y1146" t="str">
        <x:f>""</x:f>
        <x:v/>
      </x:c>
      <x:c r="Z1146" t="str">
        <x:f>""</x:f>
        <x:v/>
      </x:c>
      <x:c r="AA1146" t="str">
        <x:f>""</x:f>
        <x:v/>
      </x:c>
      <x:c r="AB1146" t="str">
        <x:f>""</x:f>
        <x:v/>
      </x:c>
      <x:c r="AC1146" t="str">
        <x:f>""</x:f>
        <x:v/>
      </x:c>
      <x:c r="AD1146" t="str">
        <x:f>""</x:f>
        <x:v/>
      </x:c>
      <x:c r="AE1146" t="str">
        <x:f>""</x:f>
        <x:v/>
      </x:c>
      <x:c r="AF1146" t="str">
        <x:f>""</x:f>
        <x:v/>
      </x:c>
      <x:c r="AG1146" t="str">
        <x:f>""</x:f>
        <x:v/>
      </x:c>
    </x:row>
    <x:row r="1147" spans="2:33" x14ac:dyDescent="0.25">
      <x:c r="B1147" t="str">
        <x:f>"ERY US Equity"</x:f>
        <x:v>ERY US Equity</x:v>
      </x:c>
      <x:c r="C1147" t="str">
        <x:f t="shared" si="50"/>
        <x:v>FD447</x:v>
      </x:c>
      <x:c r="D1147" t="str">
        <x:f t="shared" si="51"/>
        <x:v>FUND_FLOW</x:v>
      </x:c>
      <x:c r="E1147" t="str">
        <x:f t="shared" si="52"/>
        <x:v>Dynamic</x:v>
      </x:c>
      <x:c r="F1147">
        <x:f ca="1">_xll.BDH($B$1147,$C$1147,$B$1010,$B$1011,CONCATENATE("Per=",$B$1008),"Dts=H","Dir=H",CONCATENATE("Points=",$B$1009),"Sort=R","Days=A","Fill=B",CONCATENATE("FX=", $B$1007),"cols=14;rows=1")</x:f>
        <x:v>-7.6144999999999996</x:v>
      </x:c>
      <x:c r="G1147">
        <x:v>4.9812000000000003</x:v>
      </x:c>
      <x:c r="H1147">
        <x:v>5.7497999999999996</x:v>
      </x:c>
      <x:c r="I1147">
        <x:v>-0.20230000000000001</x:v>
      </x:c>
      <x:c r="J1147">
        <x:v>0.1071</x:v>
      </x:c>
      <x:c r="K1147">
        <x:v>-8.1553000000000004</x:v>
      </x:c>
      <x:c r="L1147">
        <x:v>1.53</x:v>
      </x:c>
      <x:c r="M1147">
        <x:v>-4.4503000000000004</x:v>
      </x:c>
      <x:c r="N1147">
        <x:v>-4.3863000000000003</x:v>
      </x:c>
      <x:c r="O1147">
        <x:v>-2.98E-2</x:v>
      </x:c>
      <x:c r="P1147">
        <x:v>-16.934699999999999</x:v>
      </x:c>
      <x:c r="Q1147">
        <x:v>15.9581</x:v>
      </x:c>
      <x:c r="R1147">
        <x:v>6.5967000000000002</x:v>
      </x:c>
      <x:c r="S1147">
        <x:v>-5.0475000000000003</x:v>
      </x:c>
      <x:c r="T1147" t="str">
        <x:f>""</x:f>
        <x:v/>
      </x:c>
      <x:c r="U1147" t="str">
        <x:f>""</x:f>
        <x:v/>
      </x:c>
      <x:c r="V1147" t="str">
        <x:f>""</x:f>
        <x:v/>
      </x:c>
      <x:c r="W1147" t="str">
        <x:f>""</x:f>
        <x:v/>
      </x:c>
      <x:c r="X1147" t="str">
        <x:f>""</x:f>
        <x:v/>
      </x:c>
      <x:c r="Y1147" t="str">
        <x:f>""</x:f>
        <x:v/>
      </x:c>
      <x:c r="Z1147" t="str">
        <x:f>""</x:f>
        <x:v/>
      </x:c>
      <x:c r="AA1147" t="str">
        <x:f>""</x:f>
        <x:v/>
      </x:c>
      <x:c r="AB1147" t="str">
        <x:f>""</x:f>
        <x:v/>
      </x:c>
      <x:c r="AC1147" t="str">
        <x:f>""</x:f>
        <x:v/>
      </x:c>
      <x:c r="AD1147" t="str">
        <x:f>""</x:f>
        <x:v/>
      </x:c>
      <x:c r="AE1147" t="str">
        <x:f>""</x:f>
        <x:v/>
      </x:c>
      <x:c r="AF1147" t="str">
        <x:f>""</x:f>
        <x:v/>
      </x:c>
      <x:c r="AG1147" t="str">
        <x:f>""</x:f>
        <x:v/>
      </x:c>
    </x:row>
    <x:row r="1148" spans="2:33" x14ac:dyDescent="0.25">
      <x:c r="B1148" t="str">
        <x:f>"YMLI US Equity"</x:f>
        <x:v>YMLI US Equity</x:v>
      </x:c>
      <x:c r="C1148" t="str">
        <x:f t="shared" si="50"/>
        <x:v>FD447</x:v>
      </x:c>
      <x:c r="D1148" t="str">
        <x:f t="shared" si="51"/>
        <x:v>FUND_FLOW</x:v>
      </x:c>
      <x:c r="E1148" t="str">
        <x:f t="shared" si="52"/>
        <x:v>Dynamic</x:v>
      </x:c>
      <x:c r="F1148" t="str">
        <x:f ca="1">_xll.BDH($B$1148,$C$1148,$B$1010,$B$1011,CONCATENATE("Per=",$B$1008),"Dts=H","Dir=H",CONCATENATE("Points=",$B$1009),"Sort=R","Days=A","Fill=B",CONCATENATE("FX=", $B$1007) )</x:f>
        <x:v/>
      </x:c>
      <x:c r="T1148" t="str">
        <x:f>""</x:f>
        <x:v/>
      </x:c>
      <x:c r="U1148" t="str">
        <x:f>""</x:f>
        <x:v/>
      </x:c>
      <x:c r="V1148" t="str">
        <x:f>""</x:f>
        <x:v/>
      </x:c>
      <x:c r="W1148" t="str">
        <x:f>""</x:f>
        <x:v/>
      </x:c>
      <x:c r="X1148" t="str">
        <x:f>""</x:f>
        <x:v/>
      </x:c>
      <x:c r="Y1148" t="str">
        <x:f>""</x:f>
        <x:v/>
      </x:c>
      <x:c r="Z1148" t="str">
        <x:f>""</x:f>
        <x:v/>
      </x:c>
      <x:c r="AA1148" t="str">
        <x:f>""</x:f>
        <x:v/>
      </x:c>
      <x:c r="AB1148" t="str">
        <x:f>""</x:f>
        <x:v/>
      </x:c>
      <x:c r="AC1148" t="str">
        <x:f>""</x:f>
        <x:v/>
      </x:c>
      <x:c r="AD1148" t="str">
        <x:f>""</x:f>
        <x:v/>
      </x:c>
      <x:c r="AE1148" t="str">
        <x:f>""</x:f>
        <x:v/>
      </x:c>
      <x:c r="AF1148" t="str">
        <x:f>""</x:f>
        <x:v/>
      </x:c>
      <x:c r="AG1148" t="str">
        <x:f>""</x:f>
        <x:v/>
      </x:c>
    </x:row>
    <x:row r="1149" spans="2:33" x14ac:dyDescent="0.25">
      <x:c r="B1149" t="str">
        <x:f>"FILL US Equity"</x:f>
        <x:v>FILL US Equity</x:v>
      </x:c>
      <x:c r="C1149" t="str">
        <x:f t="shared" si="50"/>
        <x:v>FD447</x:v>
      </x:c>
      <x:c r="D1149" t="str">
        <x:f t="shared" si="51"/>
        <x:v>FUND_FLOW</x:v>
      </x:c>
      <x:c r="E1149" t="str">
        <x:f t="shared" si="52"/>
        <x:v>Dynamic</x:v>
      </x:c>
      <x:c r="F1149">
        <x:f ca="1">_xll.BDH($B$1149,$C$1149,$B$1010,$B$1011,CONCATENATE("Per=",$B$1008),"Dts=H","Dir=H",CONCATENATE("Points=",$B$1009),"Sort=R","Days=A","Fill=B",CONCATENATE("FX=", $B$1007),"cols=14;rows=1")</x:f>
        <x:v>0</x:v>
      </x:c>
      <x:c r="G1149">
        <x:v>0</x:v>
      </x:c>
      <x:c r="H1149">
        <x:v>0</x:v>
      </x:c>
      <x:c r="I1149">
        <x:v>0</x:v>
      </x:c>
      <x:c r="J1149">
        <x:v>0</x:v>
      </x:c>
      <x:c r="K1149">
        <x:v>-4.5946999999999996</x:v>
      </x:c>
      <x:c r="L1149">
        <x:v>0</x:v>
      </x:c>
      <x:c r="M1149">
        <x:v>0</x:v>
      </x:c>
      <x:c r="N1149">
        <x:v>-7.2301000000000002</x:v>
      </x:c>
      <x:c r="O1149">
        <x:v>0</x:v>
      </x:c>
      <x:c r="P1149">
        <x:v>0</x:v>
      </x:c>
      <x:c r="Q1149">
        <x:v>0</x:v>
      </x:c>
      <x:c r="R1149">
        <x:v>0</x:v>
      </x:c>
      <x:c r="S1149">
        <x:v>0</x:v>
      </x:c>
      <x:c r="T1149" t="str">
        <x:f>""</x:f>
        <x:v/>
      </x:c>
      <x:c r="U1149" t="str">
        <x:f>""</x:f>
        <x:v/>
      </x:c>
      <x:c r="V1149" t="str">
        <x:f>""</x:f>
        <x:v/>
      </x:c>
      <x:c r="W1149" t="str">
        <x:f>""</x:f>
        <x:v/>
      </x:c>
      <x:c r="X1149" t="str">
        <x:f>""</x:f>
        <x:v/>
      </x:c>
      <x:c r="Y1149" t="str">
        <x:f>""</x:f>
        <x:v/>
      </x:c>
      <x:c r="Z1149" t="str">
        <x:f>""</x:f>
        <x:v/>
      </x:c>
      <x:c r="AA1149" t="str">
        <x:f>""</x:f>
        <x:v/>
      </x:c>
      <x:c r="AB1149" t="str">
        <x:f>""</x:f>
        <x:v/>
      </x:c>
      <x:c r="AC1149" t="str">
        <x:f>""</x:f>
        <x:v/>
      </x:c>
      <x:c r="AD1149" t="str">
        <x:f>""</x:f>
        <x:v/>
      </x:c>
      <x:c r="AE1149" t="str">
        <x:f>""</x:f>
        <x:v/>
      </x:c>
      <x:c r="AF1149" t="str">
        <x:f>""</x:f>
        <x:v/>
      </x:c>
      <x:c r="AG1149" t="str">
        <x:f>""</x:f>
        <x:v/>
      </x:c>
    </x:row>
    <x:row r="1150" spans="2:33" x14ac:dyDescent="0.25">
      <x:c r="B1150" t="str">
        <x:f>"DUG US Equity"</x:f>
        <x:v>DUG US Equity</x:v>
      </x:c>
      <x:c r="C1150" t="str">
        <x:f t="shared" si="50"/>
        <x:v>FD447</x:v>
      </x:c>
      <x:c r="D1150" t="str">
        <x:f t="shared" si="51"/>
        <x:v>FUND_FLOW</x:v>
      </x:c>
      <x:c r="E1150" t="str">
        <x:f t="shared" si="52"/>
        <x:v>Dynamic</x:v>
      </x:c>
      <x:c r="F1150">
        <x:f ca="1">_xll.BDH($B$1150,$C$1150,$B$1010,$B$1011,CONCATENATE("Per=",$B$1008),"Dts=H","Dir=H",CONCATENATE("Points=",$B$1009),"Sort=R","Days=A","Fill=B",CONCATENATE("FX=", $B$1007),"cols=14;rows=1")</x:f>
        <x:v>-3.9051999999999998</x:v>
      </x:c>
      <x:c r="G1150">
        <x:v>0.504</x:v>
      </x:c>
      <x:c r="H1150">
        <x:v>2.2418</x:v>
      </x:c>
      <x:c r="I1150">
        <x:v>10.071899999999999</x:v>
      </x:c>
      <x:c r="J1150">
        <x:v>-4.58E-2</x:v>
      </x:c>
      <x:c r="K1150">
        <x:v>-4.9196</x:v>
      </x:c>
      <x:c r="L1150">
        <x:v>2.3887</x:v>
      </x:c>
      <x:c r="M1150">
        <x:v>-12.944599999999999</x:v>
      </x:c>
      <x:c r="N1150">
        <x:v>-10.6639</x:v>
      </x:c>
      <x:c r="O1150">
        <x:v>-0.87350000000000005</x:v>
      </x:c>
      <x:c r="P1150">
        <x:v>-14.3826</x:v>
      </x:c>
      <x:c r="Q1150">
        <x:v>21.2987</x:v>
      </x:c>
      <x:c r="R1150">
        <x:v>9.5855999999999995</x:v>
      </x:c>
      <x:c r="S1150">
        <x:v>-6.7971000000000004</x:v>
      </x:c>
      <x:c r="T1150" t="str">
        <x:f>""</x:f>
        <x:v/>
      </x:c>
      <x:c r="U1150" t="str">
        <x:f>""</x:f>
        <x:v/>
      </x:c>
      <x:c r="V1150" t="str">
        <x:f>""</x:f>
        <x:v/>
      </x:c>
      <x:c r="W1150" t="str">
        <x:f>""</x:f>
        <x:v/>
      </x:c>
      <x:c r="X1150" t="str">
        <x:f>""</x:f>
        <x:v/>
      </x:c>
      <x:c r="Y1150" t="str">
        <x:f>""</x:f>
        <x:v/>
      </x:c>
      <x:c r="Z1150" t="str">
        <x:f>""</x:f>
        <x:v/>
      </x:c>
      <x:c r="AA1150" t="str">
        <x:f>""</x:f>
        <x:v/>
      </x:c>
      <x:c r="AB1150" t="str">
        <x:f>""</x:f>
        <x:v/>
      </x:c>
      <x:c r="AC1150" t="str">
        <x:f>""</x:f>
        <x:v/>
      </x:c>
      <x:c r="AD1150" t="str">
        <x:f>""</x:f>
        <x:v/>
      </x:c>
      <x:c r="AE1150" t="str">
        <x:f>""</x:f>
        <x:v/>
      </x:c>
      <x:c r="AF1150" t="str">
        <x:f>""</x:f>
        <x:v/>
      </x:c>
      <x:c r="AG1150" t="str">
        <x:f>""</x:f>
        <x:v/>
      </x:c>
    </x:row>
    <x:row r="1151" spans="2:33" x14ac:dyDescent="0.25">
      <x:c r="B1151" t="str">
        <x:f>"OIIL US Equity"</x:f>
        <x:v>OIIL US Equity</x:v>
      </x:c>
      <x:c r="C1151" t="str">
        <x:f t="shared" si="50"/>
        <x:v>FD447</x:v>
      </x:c>
      <x:c r="D1151" t="str">
        <x:f t="shared" si="51"/>
        <x:v>FUND_FLOW</x:v>
      </x:c>
      <x:c r="E1151" t="str">
        <x:f t="shared" si="52"/>
        <x:v>Dynamic</x:v>
      </x:c>
      <x:c r="F1151" t="str">
        <x:f ca="1">_xll.BDH($B$1151,$C$1151,$B$1010,$B$1011,CONCATENATE("Per=",$B$1008),"Dts=H","Dir=H",CONCATENATE("Points=",$B$1009),"Sort=R","Days=A","Fill=B",CONCATENATE("FX=", $B$1007) )</x:f>
        <x:v/>
      </x:c>
      <x:c r="T1151" t="str">
        <x:f>""</x:f>
        <x:v/>
      </x:c>
      <x:c r="U1151" t="str">
        <x:f>""</x:f>
        <x:v/>
      </x:c>
      <x:c r="V1151" t="str">
        <x:f>""</x:f>
        <x:v/>
      </x:c>
      <x:c r="W1151" t="str">
        <x:f>""</x:f>
        <x:v/>
      </x:c>
      <x:c r="X1151" t="str">
        <x:f>""</x:f>
        <x:v/>
      </x:c>
      <x:c r="Y1151" t="str">
        <x:f>""</x:f>
        <x:v/>
      </x:c>
      <x:c r="Z1151" t="str">
        <x:f>""</x:f>
        <x:v/>
      </x:c>
      <x:c r="AA1151" t="str">
        <x:f>""</x:f>
        <x:v/>
      </x:c>
      <x:c r="AB1151" t="str">
        <x:f>""</x:f>
        <x:v/>
      </x:c>
      <x:c r="AC1151" t="str">
        <x:f>""</x:f>
        <x:v/>
      </x:c>
      <x:c r="AD1151" t="str">
        <x:f>""</x:f>
        <x:v/>
      </x:c>
      <x:c r="AE1151" t="str">
        <x:f>""</x:f>
        <x:v/>
      </x:c>
      <x:c r="AF1151" t="str">
        <x:f>""</x:f>
        <x:v/>
      </x:c>
      <x:c r="AG1151" t="str">
        <x:f>""</x:f>
        <x:v/>
      </x:c>
    </x:row>
    <x:row r="1152" spans="2:33" x14ac:dyDescent="0.25">
      <x:c r="B1152" t="str">
        <x:f>"ENFR US Equity"</x:f>
        <x:v>ENFR US Equity</x:v>
      </x:c>
      <x:c r="C1152" t="str">
        <x:f t="shared" si="50"/>
        <x:v>FD447</x:v>
      </x:c>
      <x:c r="D1152" t="str">
        <x:f t="shared" si="51"/>
        <x:v>FUND_FLOW</x:v>
      </x:c>
      <x:c r="E1152" t="str">
        <x:f t="shared" si="52"/>
        <x:v>Dynamic</x:v>
      </x:c>
      <x:c r="F1152">
        <x:f ca="1">_xll.BDH($B$1152,$C$1152,$B$1010,$B$1011,CONCATENATE("Per=",$B$1008),"Dts=H","Dir=H",CONCATENATE("Points=",$B$1009),"Sort=R","Days=A","Fill=B",CONCATENATE("FX=", $B$1007),"cols=14;rows=1")</x:f>
        <x:v>2.2738</x:v>
      </x:c>
      <x:c r="G1152">
        <x:v>0</x:v>
      </x:c>
      <x:c r="H1152">
        <x:v>0</x:v>
      </x:c>
      <x:c r="I1152">
        <x:v>-1.1207</x:v>
      </x:c>
      <x:c r="J1152">
        <x:v>-2.6747000000000001</x:v>
      </x:c>
      <x:c r="K1152">
        <x:v>-2.5567000000000002</x:v>
      </x:c>
      <x:c r="L1152">
        <x:v>-1.0723</x:v>
      </x:c>
      <x:c r="M1152">
        <x:v>-1.0009999999999999</x:v>
      </x:c>
      <x:c r="N1152">
        <x:v>-1.6606000000000001</x:v>
      </x:c>
      <x:c r="O1152">
        <x:v>-4.9843000000000002</x:v>
      </x:c>
      <x:c r="P1152">
        <x:v>-1.552</x:v>
      </x:c>
      <x:c r="Q1152">
        <x:v>8.7914999999999992</x:v>
      </x:c>
      <x:c r="R1152">
        <x:v>-4.8331999999999997</x:v>
      </x:c>
      <x:c r="S1152">
        <x:v>6.1627000000000001</x:v>
      </x:c>
      <x:c r="T1152" t="str">
        <x:f>""</x:f>
        <x:v/>
      </x:c>
      <x:c r="U1152" t="str">
        <x:f>""</x:f>
        <x:v/>
      </x:c>
      <x:c r="V1152" t="str">
        <x:f>""</x:f>
        <x:v/>
      </x:c>
      <x:c r="W1152" t="str">
        <x:f>""</x:f>
        <x:v/>
      </x:c>
      <x:c r="X1152" t="str">
        <x:f>""</x:f>
        <x:v/>
      </x:c>
      <x:c r="Y1152" t="str">
        <x:f>""</x:f>
        <x:v/>
      </x:c>
      <x:c r="Z1152" t="str">
        <x:f>""</x:f>
        <x:v/>
      </x:c>
      <x:c r="AA1152" t="str">
        <x:f>""</x:f>
        <x:v/>
      </x:c>
      <x:c r="AB1152" t="str">
        <x:f>""</x:f>
        <x:v/>
      </x:c>
      <x:c r="AC1152" t="str">
        <x:f>""</x:f>
        <x:v/>
      </x:c>
      <x:c r="AD1152" t="str">
        <x:f>""</x:f>
        <x:v/>
      </x:c>
      <x:c r="AE1152" t="str">
        <x:f>""</x:f>
        <x:v/>
      </x:c>
      <x:c r="AF1152" t="str">
        <x:f>""</x:f>
        <x:v/>
      </x:c>
      <x:c r="AG1152" t="str">
        <x:f>""</x:f>
        <x:v/>
      </x:c>
    </x:row>
    <x:row r="1153" spans="2:33" x14ac:dyDescent="0.25">
      <x:c r="B1153" t="str">
        <x:f>"PXJ US Equity"</x:f>
        <x:v>PXJ US Equity</x:v>
      </x:c>
      <x:c r="C1153" t="str">
        <x:f t="shared" si="50"/>
        <x:v>FD447</x:v>
      </x:c>
      <x:c r="D1153" t="str">
        <x:f t="shared" si="51"/>
        <x:v>FUND_FLOW</x:v>
      </x:c>
      <x:c r="E1153" t="str">
        <x:f t="shared" si="52"/>
        <x:v>Dynamic</x:v>
      </x:c>
      <x:c r="F1153">
        <x:f ca="1">_xll.BDH($B$1153,$C$1153,$B$1010,$B$1011,CONCATENATE("Per=",$B$1008),"Dts=H","Dir=H",CONCATENATE("Points=",$B$1009),"Sort=R","Days=A","Fill=B",CONCATENATE("FX=", $B$1007),"cols=14;rows=1")</x:f>
        <x:v>38.160299999999999</x:v>
      </x:c>
      <x:c r="G1153">
        <x:v>8.6585000000000001</x:v>
      </x:c>
      <x:c r="H1153">
        <x:v>-0.58120000000000005</x:v>
      </x:c>
      <x:c r="I1153">
        <x:v>-3.9390000000000001</x:v>
      </x:c>
      <x:c r="J1153">
        <x:v>-5.2835999999999999</x:v>
      </x:c>
      <x:c r="K1153">
        <x:v>-41.827599999999997</x:v>
      </x:c>
      <x:c r="L1153">
        <x:v>-6.3528000000000002</x:v>
      </x:c>
      <x:c r="M1153">
        <x:v>5.1874000000000002</x:v>
      </x:c>
      <x:c r="N1153">
        <x:v>11.195499999999999</x:v>
      </x:c>
      <x:c r="O1153">
        <x:v>9.3405000000000005</x:v>
      </x:c>
      <x:c r="P1153">
        <x:v>9.3551000000000002</x:v>
      </x:c>
      <x:c r="Q1153">
        <x:v>7.2733999999999996</x:v>
      </x:c>
      <x:c r="R1153">
        <x:v>21.515599999999999</x:v>
      </x:c>
      <x:c r="S1153">
        <x:v>-4.9968000000000004</x:v>
      </x:c>
      <x:c r="T1153" t="str">
        <x:f>""</x:f>
        <x:v/>
      </x:c>
      <x:c r="U1153" t="str">
        <x:f>""</x:f>
        <x:v/>
      </x:c>
      <x:c r="V1153" t="str">
        <x:f>""</x:f>
        <x:v/>
      </x:c>
      <x:c r="W1153" t="str">
        <x:f>""</x:f>
        <x:v/>
      </x:c>
      <x:c r="X1153" t="str">
        <x:f>""</x:f>
        <x:v/>
      </x:c>
      <x:c r="Y1153" t="str">
        <x:f>""</x:f>
        <x:v/>
      </x:c>
      <x:c r="Z1153" t="str">
        <x:f>""</x:f>
        <x:v/>
      </x:c>
      <x:c r="AA1153" t="str">
        <x:f>""</x:f>
        <x:v/>
      </x:c>
      <x:c r="AB1153" t="str">
        <x:f>""</x:f>
        <x:v/>
      </x:c>
      <x:c r="AC1153" t="str">
        <x:f>""</x:f>
        <x:v/>
      </x:c>
      <x:c r="AD1153" t="str">
        <x:f>""</x:f>
        <x:v/>
      </x:c>
      <x:c r="AE1153" t="str">
        <x:f>""</x:f>
        <x:v/>
      </x:c>
      <x:c r="AF1153" t="str">
        <x:f>""</x:f>
        <x:v/>
      </x:c>
      <x:c r="AG1153" t="str">
        <x:f>""</x:f>
        <x:v/>
      </x:c>
    </x:row>
    <x:row r="1154" spans="2:33" x14ac:dyDescent="0.25">
      <x:c r="B1154" t="str">
        <x:f>"OILX US Equity"</x:f>
        <x:v>OILX US Equity</x:v>
      </x:c>
      <x:c r="C1154" t="str">
        <x:f t="shared" si="50"/>
        <x:v>FD447</x:v>
      </x:c>
      <x:c r="D1154" t="str">
        <x:f t="shared" si="51"/>
        <x:v>FUND_FLOW</x:v>
      </x:c>
      <x:c r="E1154" t="str">
        <x:f t="shared" si="52"/>
        <x:v>Dynamic</x:v>
      </x:c>
      <x:c r="F1154" t="str">
        <x:f ca="1">_xll.BDH($B$1154,$C$1154,$B$1010,$B$1011,CONCATENATE("Per=",$B$1008),"Dts=H","Dir=H",CONCATENATE("Points=",$B$1009),"Sort=R","Days=A","Fill=B",CONCATENATE("FX=", $B$1007) )</x:f>
        <x:v/>
      </x:c>
      <x:c r="T1154" t="str">
        <x:f>""</x:f>
        <x:v/>
      </x:c>
      <x:c r="U1154" t="str">
        <x:f>""</x:f>
        <x:v/>
      </x:c>
      <x:c r="V1154" t="str">
        <x:f>""</x:f>
        <x:v/>
      </x:c>
      <x:c r="W1154" t="str">
        <x:f>""</x:f>
        <x:v/>
      </x:c>
      <x:c r="X1154" t="str">
        <x:f>""</x:f>
        <x:v/>
      </x:c>
      <x:c r="Y1154" t="str">
        <x:f>""</x:f>
        <x:v/>
      </x:c>
      <x:c r="Z1154" t="str">
        <x:f>""</x:f>
        <x:v/>
      </x:c>
      <x:c r="AA1154" t="str">
        <x:f>""</x:f>
        <x:v/>
      </x:c>
      <x:c r="AB1154" t="str">
        <x:f>""</x:f>
        <x:v/>
      </x:c>
      <x:c r="AC1154" t="str">
        <x:f>""</x:f>
        <x:v/>
      </x:c>
      <x:c r="AD1154" t="str">
        <x:f>""</x:f>
        <x:v/>
      </x:c>
      <x:c r="AE1154" t="str">
        <x:f>""</x:f>
        <x:v/>
      </x:c>
      <x:c r="AF1154" t="str">
        <x:f>""</x:f>
        <x:v/>
      </x:c>
      <x:c r="AG1154" t="str">
        <x:f>""</x:f>
        <x:v/>
      </x:c>
    </x:row>
    <x:row r="1155" spans="2:33" x14ac:dyDescent="0.25">
      <x:c r="B1155" t="str">
        <x:f>"NLR US Equity"</x:f>
        <x:v>NLR US Equity</x:v>
      </x:c>
      <x:c r="C1155" t="str">
        <x:f t="shared" si="50"/>
        <x:v>FD447</x:v>
      </x:c>
      <x:c r="D1155" t="str">
        <x:f t="shared" si="51"/>
        <x:v>FUND_FLOW</x:v>
      </x:c>
      <x:c r="E1155" t="str">
        <x:f t="shared" si="52"/>
        <x:v>Dynamic</x:v>
      </x:c>
      <x:c r="F1155">
        <x:f ca="1">_xll.BDH($B$1155,$C$1155,$B$1010,$B$1011,CONCATENATE("Per=",$B$1008),"Dts=H","Dir=H",CONCATENATE("Points=",$B$1009),"Sort=R","Days=A","Fill=B",CONCATENATE("FX=", $B$1007),"cols=14;rows=1")</x:f>
        <x:v>1.4428000000000001</x:v>
      </x:c>
      <x:c r="G1155">
        <x:v>18.6904</x:v>
      </x:c>
      <x:c r="H1155">
        <x:v>10.832700000000001</x:v>
      </x:c>
      <x:c r="I1155">
        <x:v>8.9815000000000005</x:v>
      </x:c>
      <x:c r="J1155">
        <x:v>-2.9018000000000002</x:v>
      </x:c>
      <x:c r="K1155">
        <x:v>0</x:v>
      </x:c>
      <x:c r="L1155">
        <x:v>1.3761000000000001</x:v>
      </x:c>
      <x:c r="M1155">
        <x:v>1.3172999999999999</x:v>
      </x:c>
      <x:c r="N1155">
        <x:v>1.4503999999999999</x:v>
      </x:c>
      <x:c r="O1155">
        <x:v>0</x:v>
      </x:c>
      <x:c r="P1155">
        <x:v>-2.7865000000000002</x:v>
      </x:c>
      <x:c r="Q1155">
        <x:v>1.3818999999999999</x:v>
      </x:c>
      <x:c r="R1155">
        <x:v>3.9643000000000002</x:v>
      </x:c>
      <x:c r="S1155">
        <x:v>1.3767</x:v>
      </x:c>
      <x:c r="T1155" t="str">
        <x:f>""</x:f>
        <x:v/>
      </x:c>
      <x:c r="U1155" t="str">
        <x:f>""</x:f>
        <x:v/>
      </x:c>
      <x:c r="V1155" t="str">
        <x:f>""</x:f>
        <x:v/>
      </x:c>
      <x:c r="W1155" t="str">
        <x:f>""</x:f>
        <x:v/>
      </x:c>
      <x:c r="X1155" t="str">
        <x:f>""</x:f>
        <x:v/>
      </x:c>
      <x:c r="Y1155" t="str">
        <x:f>""</x:f>
        <x:v/>
      </x:c>
      <x:c r="Z1155" t="str">
        <x:f>""</x:f>
        <x:v/>
      </x:c>
      <x:c r="AA1155" t="str">
        <x:f>""</x:f>
        <x:v/>
      </x:c>
      <x:c r="AB1155" t="str">
        <x:f>""</x:f>
        <x:v/>
      </x:c>
      <x:c r="AC1155" t="str">
        <x:f>""</x:f>
        <x:v/>
      </x:c>
      <x:c r="AD1155" t="str">
        <x:f>""</x:f>
        <x:v/>
      </x:c>
      <x:c r="AE1155" t="str">
        <x:f>""</x:f>
        <x:v/>
      </x:c>
      <x:c r="AF1155" t="str">
        <x:f>""</x:f>
        <x:v/>
      </x:c>
      <x:c r="AG1155" t="str">
        <x:f>""</x:f>
        <x:v/>
      </x:c>
    </x:row>
    <x:row r="1156" spans="2:33" x14ac:dyDescent="0.25">
      <x:c r="B1156" t="str">
        <x:f>"AMUB US Equity"</x:f>
        <x:v>AMUB US Equity</x:v>
      </x:c>
      <x:c r="C1156" t="str">
        <x:f t="shared" si="50"/>
        <x:v>FD447</x:v>
      </x:c>
      <x:c r="D1156" t="str">
        <x:f t="shared" si="51"/>
        <x:v>FUND_FLOW</x:v>
      </x:c>
      <x:c r="E1156" t="str">
        <x:f t="shared" si="52"/>
        <x:v>Dynamic</x:v>
      </x:c>
      <x:c r="F1156">
        <x:f ca="1">_xll.BDH($B$1156,$C$1156,$B$1010,$B$1011,CONCATENATE("Per=",$B$1008),"Dts=H","Dir=H",CONCATENATE("Points=",$B$1009),"Sort=R","Days=A","Fill=B",CONCATENATE("FX=", $B$1007),"cols=14;rows=1")</x:f>
        <x:v>0</x:v>
      </x:c>
      <x:c r="G1156">
        <x:v>0</x:v>
      </x:c>
      <x:c r="H1156">
        <x:v>0</x:v>
      </x:c>
      <x:c r="I1156">
        <x:v>0</x:v>
      </x:c>
      <x:c r="J1156">
        <x:v>-11.3653</x:v>
      </x:c>
      <x:c r="K1156">
        <x:v>-11.1142</x:v>
      </x:c>
      <x:c r="L1156">
        <x:v>-7.0041000000000002</x:v>
      </x:c>
      <x:c r="M1156">
        <x:v>0</x:v>
      </x:c>
      <x:c r="N1156">
        <x:v>0</x:v>
      </x:c>
      <x:c r="O1156">
        <x:v>0</x:v>
      </x:c>
      <x:c r="P1156">
        <x:v>0</x:v>
      </x:c>
      <x:c r="Q1156">
        <x:v>0</x:v>
      </x:c>
      <x:c r="R1156">
        <x:v>0</x:v>
      </x:c>
      <x:c r="S1156">
        <x:v>0</x:v>
      </x:c>
      <x:c r="T1156" t="str">
        <x:f>""</x:f>
        <x:v/>
      </x:c>
      <x:c r="U1156" t="str">
        <x:f>""</x:f>
        <x:v/>
      </x:c>
      <x:c r="V1156" t="str">
        <x:f>""</x:f>
        <x:v/>
      </x:c>
      <x:c r="W1156" t="str">
        <x:f>""</x:f>
        <x:v/>
      </x:c>
      <x:c r="X1156" t="str">
        <x:f>""</x:f>
        <x:v/>
      </x:c>
      <x:c r="Y1156" t="str">
        <x:f>""</x:f>
        <x:v/>
      </x:c>
      <x:c r="Z1156" t="str">
        <x:f>""</x:f>
        <x:v/>
      </x:c>
      <x:c r="AA1156" t="str">
        <x:f>""</x:f>
        <x:v/>
      </x:c>
      <x:c r="AB1156" t="str">
        <x:f>""</x:f>
        <x:v/>
      </x:c>
      <x:c r="AC1156" t="str">
        <x:f>""</x:f>
        <x:v/>
      </x:c>
      <x:c r="AD1156" t="str">
        <x:f>""</x:f>
        <x:v/>
      </x:c>
      <x:c r="AE1156" t="str">
        <x:f>""</x:f>
        <x:v/>
      </x:c>
      <x:c r="AF1156" t="str">
        <x:f>""</x:f>
        <x:v/>
      </x:c>
      <x:c r="AG1156" t="str">
        <x:f>""</x:f>
        <x:v/>
      </x:c>
    </x:row>
    <x:row r="1157" spans="2:33" x14ac:dyDescent="0.25">
      <x:c r="B1157" t="str">
        <x:f>"LRET US Equity"</x:f>
        <x:v>LRET US Equity</x:v>
      </x:c>
      <x:c r="C1157" t="str">
        <x:f t="shared" si="50"/>
        <x:v>FD447</x:v>
      </x:c>
      <x:c r="D1157" t="str">
        <x:f t="shared" si="51"/>
        <x:v>FUND_FLOW</x:v>
      </x:c>
      <x:c r="E1157" t="str">
        <x:f t="shared" si="52"/>
        <x:v>Dynamic</x:v>
      </x:c>
      <x:c r="F1157" t="str">
        <x:f ca="1">_xll.BDH($B$1157,$C$1157,$B$1010,$B$1011,CONCATENATE("Per=",$B$1008),"Dts=H","Dir=H",CONCATENATE("Points=",$B$1009),"Sort=R","Days=A","Fill=B",CONCATENATE("FX=", $B$1007) )</x:f>
        <x:v/>
      </x:c>
      <x:c r="T1157" t="str">
        <x:f>""</x:f>
        <x:v/>
      </x:c>
      <x:c r="U1157" t="str">
        <x:f>""</x:f>
        <x:v/>
      </x:c>
      <x:c r="V1157" t="str">
        <x:f>""</x:f>
        <x:v/>
      </x:c>
      <x:c r="W1157" t="str">
        <x:f>""</x:f>
        <x:v/>
      </x:c>
      <x:c r="X1157" t="str">
        <x:f>""</x:f>
        <x:v/>
      </x:c>
      <x:c r="Y1157" t="str">
        <x:f>""</x:f>
        <x:v/>
      </x:c>
      <x:c r="Z1157" t="str">
        <x:f>""</x:f>
        <x:v/>
      </x:c>
      <x:c r="AA1157" t="str">
        <x:f>""</x:f>
        <x:v/>
      </x:c>
      <x:c r="AB1157" t="str">
        <x:f>""</x:f>
        <x:v/>
      </x:c>
      <x:c r="AC1157" t="str">
        <x:f>""</x:f>
        <x:v/>
      </x:c>
      <x:c r="AD1157" t="str">
        <x:f>""</x:f>
        <x:v/>
      </x:c>
      <x:c r="AE1157" t="str">
        <x:f>""</x:f>
        <x:v/>
      </x:c>
      <x:c r="AF1157" t="str">
        <x:f>""</x:f>
        <x:v/>
      </x:c>
      <x:c r="AG1157" t="str">
        <x:f>""</x:f>
        <x:v/>
      </x:c>
    </x:row>
    <x:row r="1158" spans="2:33" x14ac:dyDescent="0.25">
      <x:c r="B1158" t="str">
        <x:f>"AMJL US Equity"</x:f>
        <x:v>AMJL US Equity</x:v>
      </x:c>
      <x:c r="C1158" t="str">
        <x:f t="shared" si="50"/>
        <x:v>FD447</x:v>
      </x:c>
      <x:c r="D1158" t="str">
        <x:f t="shared" si="51"/>
        <x:v>FUND_FLOW</x:v>
      </x:c>
      <x:c r="E1158" t="str">
        <x:f t="shared" si="52"/>
        <x:v>Dynamic</x:v>
      </x:c>
      <x:c r="F1158" t="str">
        <x:f ca="1">_xll.BDH($B$1158,$C$1158,$B$1010,$B$1011,CONCATENATE("Per=",$B$1008),"Dts=H","Dir=H",CONCATENATE("Points=",$B$1009),"Sort=R","Days=A","Fill=B",CONCATENATE("FX=", $B$1007) )</x:f>
        <x:v/>
      </x:c>
      <x:c r="T1158" t="str">
        <x:f>""</x:f>
        <x:v/>
      </x:c>
      <x:c r="U1158" t="str">
        <x:f>""</x:f>
        <x:v/>
      </x:c>
      <x:c r="V1158" t="str">
        <x:f>""</x:f>
        <x:v/>
      </x:c>
      <x:c r="W1158" t="str">
        <x:f>""</x:f>
        <x:v/>
      </x:c>
      <x:c r="X1158" t="str">
        <x:f>""</x:f>
        <x:v/>
      </x:c>
      <x:c r="Y1158" t="str">
        <x:f>""</x:f>
        <x:v/>
      </x:c>
      <x:c r="Z1158" t="str">
        <x:f>""</x:f>
        <x:v/>
      </x:c>
      <x:c r="AA1158" t="str">
        <x:f>""</x:f>
        <x:v/>
      </x:c>
      <x:c r="AB1158" t="str">
        <x:f>""</x:f>
        <x:v/>
      </x:c>
      <x:c r="AC1158" t="str">
        <x:f>""</x:f>
        <x:v/>
      </x:c>
      <x:c r="AD1158" t="str">
        <x:f>""</x:f>
        <x:v/>
      </x:c>
      <x:c r="AE1158" t="str">
        <x:f>""</x:f>
        <x:v/>
      </x:c>
      <x:c r="AF1158" t="str">
        <x:f>""</x:f>
        <x:v/>
      </x:c>
      <x:c r="AG1158" t="str">
        <x:f>""</x:f>
        <x:v/>
      </x:c>
    </x:row>
    <x:row r="1159" spans="2:33" x14ac:dyDescent="0.25">
      <x:c r="B1159" t="str">
        <x:f>"ENY US Equity"</x:f>
        <x:v>ENY US Equity</x:v>
      </x:c>
      <x:c r="C1159" t="str">
        <x:f t="shared" si="50"/>
        <x:v>FD447</x:v>
      </x:c>
      <x:c r="D1159" t="str">
        <x:f t="shared" si="51"/>
        <x:v>FUND_FLOW</x:v>
      </x:c>
      <x:c r="E1159" t="str">
        <x:f t="shared" si="52"/>
        <x:v>Dynamic</x:v>
      </x:c>
      <x:c r="F1159" t="str">
        <x:f ca="1">_xll.BDH($B$1159,$C$1159,$B$1010,$B$1011,CONCATENATE("Per=",$B$1008),"Dts=H","Dir=H",CONCATENATE("Points=",$B$1009),"Sort=R","Days=A","Fill=B",CONCATENATE("FX=", $B$1007) )</x:f>
        <x:v/>
      </x:c>
      <x:c r="T1159" t="str">
        <x:f>""</x:f>
        <x:v/>
      </x:c>
      <x:c r="U1159" t="str">
        <x:f>""</x:f>
        <x:v/>
      </x:c>
      <x:c r="V1159" t="str">
        <x:f>""</x:f>
        <x:v/>
      </x:c>
      <x:c r="W1159" t="str">
        <x:f>""</x:f>
        <x:v/>
      </x:c>
      <x:c r="X1159" t="str">
        <x:f>""</x:f>
        <x:v/>
      </x:c>
      <x:c r="Y1159" t="str">
        <x:f>""</x:f>
        <x:v/>
      </x:c>
      <x:c r="Z1159" t="str">
        <x:f>""</x:f>
        <x:v/>
      </x:c>
      <x:c r="AA1159" t="str">
        <x:f>""</x:f>
        <x:v/>
      </x:c>
      <x:c r="AB1159" t="str">
        <x:f>""</x:f>
        <x:v/>
      </x:c>
      <x:c r="AC1159" t="str">
        <x:f>""</x:f>
        <x:v/>
      </x:c>
      <x:c r="AD1159" t="str">
        <x:f>""</x:f>
        <x:v/>
      </x:c>
      <x:c r="AE1159" t="str">
        <x:f>""</x:f>
        <x:v/>
      </x:c>
      <x:c r="AF1159" t="str">
        <x:f>""</x:f>
        <x:v/>
      </x:c>
      <x:c r="AG1159" t="str">
        <x:f>""</x:f>
        <x:v/>
      </x:c>
    </x:row>
    <x:row r="1160" spans="2:33" x14ac:dyDescent="0.25">
      <x:c r="B1160" t="str">
        <x:f>"PUW US Equity"</x:f>
        <x:v>PUW US Equity</x:v>
      </x:c>
      <x:c r="C1160" t="str">
        <x:f t="shared" si="50"/>
        <x:v>FD447</x:v>
      </x:c>
      <x:c r="D1160" t="str">
        <x:f t="shared" si="51"/>
        <x:v>FUND_FLOW</x:v>
      </x:c>
      <x:c r="E1160" t="str">
        <x:f t="shared" si="52"/>
        <x:v>Dynamic</x:v>
      </x:c>
      <x:c r="F1160" t="str">
        <x:f ca="1">_xll.BDH($B$1160,$C$1160,$B$1010,$B$1011,CONCATENATE("Per=",$B$1008),"Dts=H","Dir=H",CONCATENATE("Points=",$B$1009),"Sort=R","Days=A","Fill=B",CONCATENATE("FX=", $B$1007) )</x:f>
        <x:v/>
      </x:c>
      <x:c r="T1160" t="str">
        <x:f>""</x:f>
        <x:v/>
      </x:c>
      <x:c r="U1160" t="str">
        <x:f>""</x:f>
        <x:v/>
      </x:c>
      <x:c r="V1160" t="str">
        <x:f>""</x:f>
        <x:v/>
      </x:c>
      <x:c r="W1160" t="str">
        <x:f>""</x:f>
        <x:v/>
      </x:c>
      <x:c r="X1160" t="str">
        <x:f>""</x:f>
        <x:v/>
      </x:c>
      <x:c r="Y1160" t="str">
        <x:f>""</x:f>
        <x:v/>
      </x:c>
      <x:c r="Z1160" t="str">
        <x:f>""</x:f>
        <x:v/>
      </x:c>
      <x:c r="AA1160" t="str">
        <x:f>""</x:f>
        <x:v/>
      </x:c>
      <x:c r="AB1160" t="str">
        <x:f>""</x:f>
        <x:v/>
      </x:c>
      <x:c r="AC1160" t="str">
        <x:f>""</x:f>
        <x:v/>
      </x:c>
      <x:c r="AD1160" t="str">
        <x:f>""</x:f>
        <x:v/>
      </x:c>
      <x:c r="AE1160" t="str">
        <x:f>""</x:f>
        <x:v/>
      </x:c>
      <x:c r="AF1160" t="str">
        <x:f>""</x:f>
        <x:v/>
      </x:c>
      <x:c r="AG1160" t="str">
        <x:f>""</x:f>
        <x:v/>
      </x:c>
    </x:row>
    <x:row r="1161" spans="2:33" x14ac:dyDescent="0.25">
      <x:c r="B1161" t="str">
        <x:f>"MLPG US Equity"</x:f>
        <x:v>MLPG US Equity</x:v>
      </x:c>
      <x:c r="C1161" t="str">
        <x:f t="shared" si="50"/>
        <x:v>FD447</x:v>
      </x:c>
      <x:c r="D1161" t="str">
        <x:f t="shared" si="51"/>
        <x:v>FUND_FLOW</x:v>
      </x:c>
      <x:c r="E1161" t="str">
        <x:f t="shared" si="52"/>
        <x:v>Dynamic</x:v>
      </x:c>
      <x:c r="F1161" t="str">
        <x:f ca="1">_xll.BDH($B$1161,$C$1161,$B$1010,$B$1011,CONCATENATE("Per=",$B$1008),"Dts=H","Dir=H",CONCATENATE("Points=",$B$1009),"Sort=R","Days=A","Fill=B",CONCATENATE("FX=", $B$1007) )</x:f>
        <x:v/>
      </x:c>
      <x:c r="T1161" t="str">
        <x:f>""</x:f>
        <x:v/>
      </x:c>
      <x:c r="U1161" t="str">
        <x:f>""</x:f>
        <x:v/>
      </x:c>
      <x:c r="V1161" t="str">
        <x:f>""</x:f>
        <x:v/>
      </x:c>
      <x:c r="W1161" t="str">
        <x:f>""</x:f>
        <x:v/>
      </x:c>
      <x:c r="X1161" t="str">
        <x:f>""</x:f>
        <x:v/>
      </x:c>
      <x:c r="Y1161" t="str">
        <x:f>""</x:f>
        <x:v/>
      </x:c>
      <x:c r="Z1161" t="str">
        <x:f>""</x:f>
        <x:v/>
      </x:c>
      <x:c r="AA1161" t="str">
        <x:f>""</x:f>
        <x:v/>
      </x:c>
      <x:c r="AB1161" t="str">
        <x:f>""</x:f>
        <x:v/>
      </x:c>
      <x:c r="AC1161" t="str">
        <x:f>""</x:f>
        <x:v/>
      </x:c>
      <x:c r="AD1161" t="str">
        <x:f>""</x:f>
        <x:v/>
      </x:c>
      <x:c r="AE1161" t="str">
        <x:f>""</x:f>
        <x:v/>
      </x:c>
      <x:c r="AF1161" t="str">
        <x:f>""</x:f>
        <x:v/>
      </x:c>
      <x:c r="AG1161" t="str">
        <x:f>""</x:f>
        <x:v/>
      </x:c>
    </x:row>
    <x:row r="1162" spans="2:33" x14ac:dyDescent="0.25">
      <x:c r="B1162" t="str">
        <x:f>"DRIP US Equity"</x:f>
        <x:v>DRIP US Equity</x:v>
      </x:c>
      <x:c r="C1162" t="str">
        <x:f t="shared" si="50"/>
        <x:v>FD447</x:v>
      </x:c>
      <x:c r="D1162" t="str">
        <x:f t="shared" si="51"/>
        <x:v>FUND_FLOW</x:v>
      </x:c>
      <x:c r="E1162" t="str">
        <x:f t="shared" si="52"/>
        <x:v>Dynamic</x:v>
      </x:c>
      <x:c r="F1162">
        <x:f ca="1">_xll.BDH($B$1162,$C$1162,$B$1010,$B$1011,CONCATENATE("Per=",$B$1008),"Dts=H","Dir=H",CONCATENATE("Points=",$B$1009),"Sort=R","Days=A","Fill=B",CONCATENATE("FX=", $B$1007),"cols=14;rows=1")</x:f>
        <x:v>-17.755500000000001</x:v>
      </x:c>
      <x:c r="G1162">
        <x:v>2.1171000000000002</x:v>
      </x:c>
      <x:c r="H1162">
        <x:v>14.258800000000001</x:v>
      </x:c>
      <x:c r="I1162">
        <x:v>29.575500000000002</x:v>
      </x:c>
      <x:c r="J1162">
        <x:v>7.6749000000000001</x:v>
      </x:c>
      <x:c r="K1162">
        <x:v>-11.8451</x:v>
      </x:c>
      <x:c r="L1162">
        <x:v>0.43059999999999998</x:v>
      </x:c>
      <x:c r="M1162">
        <x:v>-16.694299999999998</x:v>
      </x:c>
      <x:c r="N1162">
        <x:v>-21.8188</x:v>
      </x:c>
      <x:c r="O1162">
        <x:v>4.5143000000000004</x:v>
      </x:c>
      <x:c r="P1162">
        <x:v>-37.7881</x:v>
      </x:c>
      <x:c r="Q1162">
        <x:v>13.328900000000001</x:v>
      </x:c>
      <x:c r="R1162">
        <x:v>39.446199999999997</x:v>
      </x:c>
      <x:c r="S1162">
        <x:v>-39.449399999999997</x:v>
      </x:c>
      <x:c r="T1162" t="str">
        <x:f>""</x:f>
        <x:v/>
      </x:c>
      <x:c r="U1162" t="str">
        <x:f>""</x:f>
        <x:v/>
      </x:c>
      <x:c r="V1162" t="str">
        <x:f>""</x:f>
        <x:v/>
      </x:c>
      <x:c r="W1162" t="str">
        <x:f>""</x:f>
        <x:v/>
      </x:c>
      <x:c r="X1162" t="str">
        <x:f>""</x:f>
        <x:v/>
      </x:c>
      <x:c r="Y1162" t="str">
        <x:f>""</x:f>
        <x:v/>
      </x:c>
      <x:c r="Z1162" t="str">
        <x:f>""</x:f>
        <x:v/>
      </x:c>
      <x:c r="AA1162" t="str">
        <x:f>""</x:f>
        <x:v/>
      </x:c>
      <x:c r="AB1162" t="str">
        <x:f>""</x:f>
        <x:v/>
      </x:c>
      <x:c r="AC1162" t="str">
        <x:f>""</x:f>
        <x:v/>
      </x:c>
      <x:c r="AD1162" t="str">
        <x:f>""</x:f>
        <x:v/>
      </x:c>
      <x:c r="AE1162" t="str">
        <x:f>""</x:f>
        <x:v/>
      </x:c>
      <x:c r="AF1162" t="str">
        <x:f>""</x:f>
        <x:v/>
      </x:c>
      <x:c r="AG1162" t="str">
        <x:f>""</x:f>
        <x:v/>
      </x:c>
    </x:row>
    <x:row r="1163" spans="2:33" x14ac:dyDescent="0.25">
      <x:c r="B1163" t="str">
        <x:f>"JHME US Equity"</x:f>
        <x:v>JHME US Equity</x:v>
      </x:c>
      <x:c r="C1163" t="str">
        <x:f t="shared" si="50"/>
        <x:v>FD447</x:v>
      </x:c>
      <x:c r="D1163" t="str">
        <x:f t="shared" si="51"/>
        <x:v>FUND_FLOW</x:v>
      </x:c>
      <x:c r="E1163" t="str">
        <x:f t="shared" si="52"/>
        <x:v>Dynamic</x:v>
      </x:c>
      <x:c r="F1163" t="str">
        <x:f ca="1">_xll.BDH($B$1163,$C$1163,$B$1010,$B$1011,CONCATENATE("Per=",$B$1008),"Dts=H","Dir=H",CONCATENATE("Points=",$B$1009),"Sort=R","Days=A","Fill=B",CONCATENATE("FX=", $B$1007),"cols=14;rows=1")</x:f>
        <x:v/>
      </x:c>
      <x:c r="R1163">
        <x:v>-5.6261000000000001</x:v>
      </x:c>
      <x:c r="S1163">
        <x:v>0</x:v>
      </x:c>
      <x:c r="T1163" t="str">
        <x:f>""</x:f>
        <x:v/>
      </x:c>
      <x:c r="U1163" t="str">
        <x:f>""</x:f>
        <x:v/>
      </x:c>
      <x:c r="V1163" t="str">
        <x:f>""</x:f>
        <x:v/>
      </x:c>
      <x:c r="W1163" t="str">
        <x:f>""</x:f>
        <x:v/>
      </x:c>
      <x:c r="X1163" t="str">
        <x:f>""</x:f>
        <x:v/>
      </x:c>
      <x:c r="Y1163" t="str">
        <x:f>""</x:f>
        <x:v/>
      </x:c>
      <x:c r="Z1163" t="str">
        <x:f>""</x:f>
        <x:v/>
      </x:c>
      <x:c r="AA1163" t="str">
        <x:f>""</x:f>
        <x:v/>
      </x:c>
      <x:c r="AB1163" t="str">
        <x:f>""</x:f>
        <x:v/>
      </x:c>
      <x:c r="AC1163" t="str">
        <x:f>""</x:f>
        <x:v/>
      </x:c>
      <x:c r="AD1163" t="str">
        <x:f>""</x:f>
        <x:v/>
      </x:c>
      <x:c r="AE1163" t="str">
        <x:f>""</x:f>
        <x:v/>
      </x:c>
      <x:c r="AF1163" t="str">
        <x:f>""</x:f>
        <x:v/>
      </x:c>
      <x:c r="AG1163" t="str">
        <x:f>""</x:f>
        <x:v/>
      </x:c>
    </x:row>
    <x:row r="1164" spans="2:33" x14ac:dyDescent="0.25">
      <x:c r="B1164" t="str">
        <x:f>"KWT US Equity"</x:f>
        <x:v>KWT US Equity</x:v>
      </x:c>
      <x:c r="C1164" t="str">
        <x:f t="shared" si="50"/>
        <x:v>FD447</x:v>
      </x:c>
      <x:c r="D1164" t="str">
        <x:f t="shared" si="51"/>
        <x:v>FUND_FLOW</x:v>
      </x:c>
      <x:c r="E1164" t="str">
        <x:f t="shared" si="52"/>
        <x:v>Dynamic</x:v>
      </x:c>
      <x:c r="F1164">
        <x:f ca="1">_xll.BDH($B$1164,$C$1164,$B$1010,$B$1011,CONCATENATE("Per=",$B$1008),"Dts=H","Dir=H",CONCATENATE("Points=",$B$1009),"Sort=R","Days=A","Fill=B",CONCATENATE("FX=", $B$1007),"cols=14;rows=1")</x:f>
        <x:v>0</x:v>
      </x:c>
      <x:c r="G1164">
        <x:v>0</x:v>
      </x:c>
      <x:c r="H1164">
        <x:v>0</x:v>
      </x:c>
      <x:c r="I1164">
        <x:v>0</x:v>
      </x:c>
      <x:c r="J1164">
        <x:v>1.5471999999999999</x:v>
      </x:c>
      <x:c r="K1164">
        <x:v>4.7672999999999996</x:v>
      </x:c>
      <x:c r="L1164">
        <x:v>0</x:v>
      </x:c>
      <x:c r="M1164">
        <x:v>3.1778</x:v>
      </x:c>
      <x:c r="N1164">
        <x:v>21.557300000000001</x:v>
      </x:c>
      <x:c r="O1164">
        <x:v>0</x:v>
      </x:c>
      <x:c r="P1164">
        <x:v>0</x:v>
      </x:c>
      <x:c r="Q1164">
        <x:v>0</x:v>
      </x:c>
      <x:c r="R1164">
        <x:v>0</x:v>
      </x:c>
      <x:c r="S1164">
        <x:v>3.5577000000000001</x:v>
      </x:c>
      <x:c r="T1164" t="str">
        <x:f>""</x:f>
        <x:v/>
      </x:c>
      <x:c r="U1164" t="str">
        <x:f>""</x:f>
        <x:v/>
      </x:c>
      <x:c r="V1164" t="str">
        <x:f>""</x:f>
        <x:v/>
      </x:c>
      <x:c r="W1164" t="str">
        <x:f>""</x:f>
        <x:v/>
      </x:c>
      <x:c r="X1164" t="str">
        <x:f>""</x:f>
        <x:v/>
      </x:c>
      <x:c r="Y1164" t="str">
        <x:f>""</x:f>
        <x:v/>
      </x:c>
      <x:c r="Z1164" t="str">
        <x:f>""</x:f>
        <x:v/>
      </x:c>
      <x:c r="AA1164" t="str">
        <x:f>""</x:f>
        <x:v/>
      </x:c>
      <x:c r="AB1164" t="str">
        <x:f>""</x:f>
        <x:v/>
      </x:c>
      <x:c r="AC1164" t="str">
        <x:f>""</x:f>
        <x:v/>
      </x:c>
      <x:c r="AD1164" t="str">
        <x:f>""</x:f>
        <x:v/>
      </x:c>
      <x:c r="AE1164" t="str">
        <x:f>""</x:f>
        <x:v/>
      </x:c>
      <x:c r="AF1164" t="str">
        <x:f>""</x:f>
        <x:v/>
      </x:c>
      <x:c r="AG1164" t="str">
        <x:f>""</x:f>
        <x:v/>
      </x:c>
    </x:row>
    <x:row r="1165" spans="2:33" x14ac:dyDescent="0.25">
      <x:c r="B1165" t="str">
        <x:f>"DNO US Equity"</x:f>
        <x:v>DNO US Equity</x:v>
      </x:c>
      <x:c r="C1165" t="str">
        <x:f t="shared" si="50"/>
        <x:v>FD447</x:v>
      </x:c>
      <x:c r="D1165" t="str">
        <x:f t="shared" si="51"/>
        <x:v>FUND_FLOW</x:v>
      </x:c>
      <x:c r="E1165" t="str">
        <x:f t="shared" si="52"/>
        <x:v>Dynamic</x:v>
      </x:c>
      <x:c r="F1165" t="str">
        <x:f ca="1">_xll.BDH($B$1165,$C$1165,$B$1010,$B$1011,CONCATENATE("Per=",$B$1008),"Dts=H","Dir=H",CONCATENATE("Points=",$B$1009),"Sort=R","Days=A","Fill=B",CONCATENATE("FX=", $B$1007) )</x:f>
        <x:v/>
      </x:c>
      <x:c r="T1165" t="str">
        <x:f>""</x:f>
        <x:v/>
      </x:c>
      <x:c r="U1165" t="str">
        <x:f>""</x:f>
        <x:v/>
      </x:c>
      <x:c r="V1165" t="str">
        <x:f>""</x:f>
        <x:v/>
      </x:c>
      <x:c r="W1165" t="str">
        <x:f>""</x:f>
        <x:v/>
      </x:c>
      <x:c r="X1165" t="str">
        <x:f>""</x:f>
        <x:v/>
      </x:c>
      <x:c r="Y1165" t="str">
        <x:f>""</x:f>
        <x:v/>
      </x:c>
      <x:c r="Z1165" t="str">
        <x:f>""</x:f>
        <x:v/>
      </x:c>
      <x:c r="AA1165" t="str">
        <x:f>""</x:f>
        <x:v/>
      </x:c>
      <x:c r="AB1165" t="str">
        <x:f>""</x:f>
        <x:v/>
      </x:c>
      <x:c r="AC1165" t="str">
        <x:f>""</x:f>
        <x:v/>
      </x:c>
      <x:c r="AD1165" t="str">
        <x:f>""</x:f>
        <x:v/>
      </x:c>
      <x:c r="AE1165" t="str">
        <x:f>""</x:f>
        <x:v/>
      </x:c>
      <x:c r="AF1165" t="str">
        <x:f>""</x:f>
        <x:v/>
      </x:c>
      <x:c r="AG1165" t="str">
        <x:f>""</x:f>
        <x:v/>
      </x:c>
    </x:row>
    <x:row r="1166" spans="2:33" x14ac:dyDescent="0.25">
      <x:c r="B1166" t="str">
        <x:f>"MLPJ US Equity"</x:f>
        <x:v>MLPJ US Equity</x:v>
      </x:c>
      <x:c r="C1166" t="str">
        <x:f t="shared" si="50"/>
        <x:v>FD447</x:v>
      </x:c>
      <x:c r="D1166" t="str">
        <x:f t="shared" si="51"/>
        <x:v>FUND_FLOW</x:v>
      </x:c>
      <x:c r="E1166" t="str">
        <x:f t="shared" si="52"/>
        <x:v>Dynamic</x:v>
      </x:c>
      <x:c r="F1166" t="str">
        <x:f ca="1">_xll.BDH($B$1166,$C$1166,$B$1010,$B$1011,CONCATENATE("Per=",$B$1008),"Dts=H","Dir=H",CONCATENATE("Points=",$B$1009),"Sort=R","Days=A","Fill=B",CONCATENATE("FX=", $B$1007) )</x:f>
        <x:v/>
      </x:c>
      <x:c r="T1166" t="str">
        <x:f>""</x:f>
        <x:v/>
      </x:c>
      <x:c r="U1166" t="str">
        <x:f>""</x:f>
        <x:v/>
      </x:c>
      <x:c r="V1166" t="str">
        <x:f>""</x:f>
        <x:v/>
      </x:c>
      <x:c r="W1166" t="str">
        <x:f>""</x:f>
        <x:v/>
      </x:c>
      <x:c r="X1166" t="str">
        <x:f>""</x:f>
        <x:v/>
      </x:c>
      <x:c r="Y1166" t="str">
        <x:f>""</x:f>
        <x:v/>
      </x:c>
      <x:c r="Z1166" t="str">
        <x:f>""</x:f>
        <x:v/>
      </x:c>
      <x:c r="AA1166" t="str">
        <x:f>""</x:f>
        <x:v/>
      </x:c>
      <x:c r="AB1166" t="str">
        <x:f>""</x:f>
        <x:v/>
      </x:c>
      <x:c r="AC1166" t="str">
        <x:f>""</x:f>
        <x:v/>
      </x:c>
      <x:c r="AD1166" t="str">
        <x:f>""</x:f>
        <x:v/>
      </x:c>
      <x:c r="AE1166" t="str">
        <x:f>""</x:f>
        <x:v/>
      </x:c>
      <x:c r="AF1166" t="str">
        <x:f>""</x:f>
        <x:v/>
      </x:c>
      <x:c r="AG1166" t="str">
        <x:f>""</x:f>
        <x:v/>
      </x:c>
    </x:row>
    <x:row r="1167" spans="2:33" x14ac:dyDescent="0.25">
      <x:c r="B1167" t="str">
        <x:f>"MLPS US Equity"</x:f>
        <x:v>MLPS US Equity</x:v>
      </x:c>
      <x:c r="C1167" t="str">
        <x:f t="shared" si="50"/>
        <x:v>FD447</x:v>
      </x:c>
      <x:c r="D1167" t="str">
        <x:f t="shared" si="51"/>
        <x:v>FUND_FLOW</x:v>
      </x:c>
      <x:c r="E1167" t="str">
        <x:f t="shared" si="52"/>
        <x:v>Dynamic</x:v>
      </x:c>
      <x:c r="F1167" t="str">
        <x:f ca="1">_xll.BDH($B$1167,$C$1167,$B$1010,$B$1011,CONCATENATE("Per=",$B$1008),"Dts=H","Dir=H",CONCATENATE("Points=",$B$1009),"Sort=R","Days=A","Fill=B",CONCATENATE("FX=", $B$1007) )</x:f>
        <x:v/>
      </x:c>
      <x:c r="T1167" t="str">
        <x:f>""</x:f>
        <x:v/>
      </x:c>
      <x:c r="U1167" t="str">
        <x:f>""</x:f>
        <x:v/>
      </x:c>
      <x:c r="V1167" t="str">
        <x:f>""</x:f>
        <x:v/>
      </x:c>
      <x:c r="W1167" t="str">
        <x:f>""</x:f>
        <x:v/>
      </x:c>
      <x:c r="X1167" t="str">
        <x:f>""</x:f>
        <x:v/>
      </x:c>
      <x:c r="Y1167" t="str">
        <x:f>""</x:f>
        <x:v/>
      </x:c>
      <x:c r="Z1167" t="str">
        <x:f>""</x:f>
        <x:v/>
      </x:c>
      <x:c r="AA1167" t="str">
        <x:f>""</x:f>
        <x:v/>
      </x:c>
      <x:c r="AB1167" t="str">
        <x:f>""</x:f>
        <x:v/>
      </x:c>
      <x:c r="AC1167" t="str">
        <x:f>""</x:f>
        <x:v/>
      </x:c>
      <x:c r="AD1167" t="str">
        <x:f>""</x:f>
        <x:v/>
      </x:c>
      <x:c r="AE1167" t="str">
        <x:f>""</x:f>
        <x:v/>
      </x:c>
      <x:c r="AF1167" t="str">
        <x:f>""</x:f>
        <x:v/>
      </x:c>
      <x:c r="AG1167" t="str">
        <x:f>""</x:f>
        <x:v/>
      </x:c>
    </x:row>
    <x:row r="1168" spans="2:33" x14ac:dyDescent="0.25">
      <x:c r="B1168" t="str">
        <x:f>"GASX US Equity"</x:f>
        <x:v>GASX US Equity</x:v>
      </x:c>
      <x:c r="C1168" t="str">
        <x:f t="shared" si="50"/>
        <x:v>FD447</x:v>
      </x:c>
      <x:c r="D1168" t="str">
        <x:f t="shared" si="51"/>
        <x:v>FUND_FLOW</x:v>
      </x:c>
      <x:c r="E1168" t="str">
        <x:f t="shared" si="52"/>
        <x:v>Dynamic</x:v>
      </x:c>
      <x:c r="F1168" t="str">
        <x:f ca="1">_xll.BDH($B$1168,$C$1168,$B$1010,$B$1011,CONCATENATE("Per=",$B$1008),"Dts=H","Dir=H",CONCATENATE("Points=",$B$1009),"Sort=R","Days=A","Fill=B",CONCATENATE("FX=", $B$1007) )</x:f>
        <x:v/>
      </x:c>
      <x:c r="T1168" t="str">
        <x:f>""</x:f>
        <x:v/>
      </x:c>
      <x:c r="U1168" t="str">
        <x:f>""</x:f>
        <x:v/>
      </x:c>
      <x:c r="V1168" t="str">
        <x:f>""</x:f>
        <x:v/>
      </x:c>
      <x:c r="W1168" t="str">
        <x:f>""</x:f>
        <x:v/>
      </x:c>
      <x:c r="X1168" t="str">
        <x:f>""</x:f>
        <x:v/>
      </x:c>
      <x:c r="Y1168" t="str">
        <x:f>""</x:f>
        <x:v/>
      </x:c>
      <x:c r="Z1168" t="str">
        <x:f>""</x:f>
        <x:v/>
      </x:c>
      <x:c r="AA1168" t="str">
        <x:f>""</x:f>
        <x:v/>
      </x:c>
      <x:c r="AB1168" t="str">
        <x:f>""</x:f>
        <x:v/>
      </x:c>
      <x:c r="AC1168" t="str">
        <x:f>""</x:f>
        <x:v/>
      </x:c>
      <x:c r="AD1168" t="str">
        <x:f>""</x:f>
        <x:v/>
      </x:c>
      <x:c r="AE1168" t="str">
        <x:f>""</x:f>
        <x:v/>
      </x:c>
      <x:c r="AF1168" t="str">
        <x:f>""</x:f>
        <x:v/>
      </x:c>
      <x:c r="AG1168" t="str">
        <x:f>""</x:f>
        <x:v/>
      </x:c>
    </x:row>
    <x:row r="1169" spans="2:33" x14ac:dyDescent="0.25">
      <x:c r="B1169" t="str">
        <x:f>"CRAK US Equity"</x:f>
        <x:v>CRAK US Equity</x:v>
      </x:c>
      <x:c r="C1169" t="str">
        <x:f t="shared" si="50"/>
        <x:v>FD447</x:v>
      </x:c>
      <x:c r="D1169" t="str">
        <x:f t="shared" si="51"/>
        <x:v>FUND_FLOW</x:v>
      </x:c>
      <x:c r="E1169" t="str">
        <x:f t="shared" si="52"/>
        <x:v>Dynamic</x:v>
      </x:c>
      <x:c r="F1169">
        <x:f ca="1">_xll.BDH($B$1169,$C$1169,$B$1010,$B$1011,CONCATENATE("Per=",$B$1008),"Dts=H","Dir=H",CONCATENATE("Points=",$B$1009),"Sort=R","Days=A","Fill=B",CONCATENATE("FX=", $B$1007),"cols=14;rows=1")</x:f>
        <x:v>-2.6700000000000002E-2</x:v>
      </x:c>
      <x:c r="G1169">
        <x:v>0</x:v>
      </x:c>
      <x:c r="H1169">
        <x:v>0</x:v>
      </x:c>
      <x:c r="I1169">
        <x:v>-3.3292999999999999</x:v>
      </x:c>
      <x:c r="J1169">
        <x:v>-2.2627999999999999</x:v>
      </x:c>
      <x:c r="K1169">
        <x:v>-0.75419999999999998</x:v>
      </x:c>
      <x:c r="L1169">
        <x:v>-1.5487</x:v>
      </x:c>
      <x:c r="M1169">
        <x:v>0</x:v>
      </x:c>
      <x:c r="N1169">
        <x:v>0</x:v>
      </x:c>
      <x:c r="O1169">
        <x:v>-1.5494000000000001</x:v>
      </x:c>
      <x:c r="P1169">
        <x:v>0</x:v>
      </x:c>
      <x:c r="Q1169">
        <x:v>0</x:v>
      </x:c>
      <x:c r="R1169">
        <x:v>0</x:v>
      </x:c>
      <x:c r="S1169">
        <x:v>-4.1425000000000001</x:v>
      </x:c>
      <x:c r="T1169" t="str">
        <x:f>""</x:f>
        <x:v/>
      </x:c>
      <x:c r="U1169" t="str">
        <x:f>""</x:f>
        <x:v/>
      </x:c>
      <x:c r="V1169" t="str">
        <x:f>""</x:f>
        <x:v/>
      </x:c>
      <x:c r="W1169" t="str">
        <x:f>""</x:f>
        <x:v/>
      </x:c>
      <x:c r="X1169" t="str">
        <x:f>""</x:f>
        <x:v/>
      </x:c>
      <x:c r="Y1169" t="str">
        <x:f>""</x:f>
        <x:v/>
      </x:c>
      <x:c r="Z1169" t="str">
        <x:f>""</x:f>
        <x:v/>
      </x:c>
      <x:c r="AA1169" t="str">
        <x:f>""</x:f>
        <x:v/>
      </x:c>
      <x:c r="AB1169" t="str">
        <x:f>""</x:f>
        <x:v/>
      </x:c>
      <x:c r="AC1169" t="str">
        <x:f>""</x:f>
        <x:v/>
      </x:c>
      <x:c r="AD1169" t="str">
        <x:f>""</x:f>
        <x:v/>
      </x:c>
      <x:c r="AE1169" t="str">
        <x:f>""</x:f>
        <x:v/>
      </x:c>
      <x:c r="AF1169" t="str">
        <x:f>""</x:f>
        <x:v/>
      </x:c>
      <x:c r="AG1169" t="str">
        <x:f>""</x:f>
        <x:v/>
      </x:c>
    </x:row>
    <x:row r="1170" spans="2:33" x14ac:dyDescent="0.25">
      <x:c r="B1170" t="str">
        <x:f>"DDG US Equity"</x:f>
        <x:v>DDG US Equity</x:v>
      </x:c>
      <x:c r="C1170" t="str">
        <x:f t="shared" si="50"/>
        <x:v>FD447</x:v>
      </x:c>
      <x:c r="D1170" t="str">
        <x:f t="shared" si="51"/>
        <x:v>FUND_FLOW</x:v>
      </x:c>
      <x:c r="E1170" t="str">
        <x:f t="shared" si="52"/>
        <x:v>Dynamic</x:v>
      </x:c>
      <x:c r="F1170" t="str">
        <x:f ca="1">_xll.BDH($B$1170,$C$1170,$B$1010,$B$1011,CONCATENATE("Per=",$B$1008),"Dts=H","Dir=H",CONCATENATE("Points=",$B$1009),"Sort=R","Days=A","Fill=B",CONCATENATE("FX=", $B$1007) )</x:f>
        <x:v/>
      </x:c>
      <x:c r="T1170" t="str">
        <x:f>""</x:f>
        <x:v/>
      </x:c>
      <x:c r="U1170" t="str">
        <x:f>""</x:f>
        <x:v/>
      </x:c>
      <x:c r="V1170" t="str">
        <x:f>""</x:f>
        <x:v/>
      </x:c>
      <x:c r="W1170" t="str">
        <x:f>""</x:f>
        <x:v/>
      </x:c>
      <x:c r="X1170" t="str">
        <x:f>""</x:f>
        <x:v/>
      </x:c>
      <x:c r="Y1170" t="str">
        <x:f>""</x:f>
        <x:v/>
      </x:c>
      <x:c r="Z1170" t="str">
        <x:f>""</x:f>
        <x:v/>
      </x:c>
      <x:c r="AA1170" t="str">
        <x:f>""</x:f>
        <x:v/>
      </x:c>
      <x:c r="AB1170" t="str">
        <x:f>""</x:f>
        <x:v/>
      </x:c>
      <x:c r="AC1170" t="str">
        <x:f>""</x:f>
        <x:v/>
      </x:c>
      <x:c r="AD1170" t="str">
        <x:f>""</x:f>
        <x:v/>
      </x:c>
      <x:c r="AE1170" t="str">
        <x:f>""</x:f>
        <x:v/>
      </x:c>
      <x:c r="AF1170" t="str">
        <x:f>""</x:f>
        <x:v/>
      </x:c>
      <x:c r="AG1170" t="str">
        <x:f>""</x:f>
        <x:v/>
      </x:c>
    </x:row>
    <x:row r="1171" spans="2:33" x14ac:dyDescent="0.25">
      <x:c r="B1171" t="str">
        <x:f>"FTXN US Equity"</x:f>
        <x:v>FTXN US Equity</x:v>
      </x:c>
      <x:c r="C1171" t="str">
        <x:f t="shared" si="50"/>
        <x:v>FD447</x:v>
      </x:c>
      <x:c r="D1171" t="str">
        <x:f t="shared" si="51"/>
        <x:v>FUND_FLOW</x:v>
      </x:c>
      <x:c r="E1171" t="str">
        <x:f t="shared" si="52"/>
        <x:v>Dynamic</x:v>
      </x:c>
      <x:c r="F1171">
        <x:f ca="1">_xll.BDH($B$1171,$C$1171,$B$1010,$B$1011,CONCATENATE("Per=",$B$1008),"Dts=H","Dir=H",CONCATENATE("Points=",$B$1009),"Sort=R","Days=A","Fill=B",CONCATENATE("FX=", $B$1007),"cols=14;rows=1")</x:f>
        <x:v>9.0505999999999993</x:v>
      </x:c>
      <x:c r="G1171">
        <x:v>7.9398999999999997</x:v>
      </x:c>
      <x:c r="H1171">
        <x:v>3.5000000000000003E-2</x:v>
      </x:c>
      <x:c r="I1171">
        <x:v>-19.320499999999999</x:v>
      </x:c>
      <x:c r="J1171">
        <x:v>-21.130500000000001</x:v>
      </x:c>
      <x:c r="K1171">
        <x:v>-24.1233</x:v>
      </x:c>
      <x:c r="L1171">
        <x:v>-22.226199999999999</x:v>
      </x:c>
      <x:c r="M1171">
        <x:v>-853.88170000000002</x:v>
      </x:c>
      <x:c r="N1171">
        <x:v>14.4946</x:v>
      </x:c>
      <x:c r="O1171">
        <x:v>22.9071</x:v>
      </x:c>
      <x:c r="P1171">
        <x:v>7.3918999999999997</x:v>
      </x:c>
      <x:c r="Q1171">
        <x:v>50.125</x:v>
      </x:c>
      <x:c r="R1171">
        <x:v>-6.3836000000000004</x:v>
      </x:c>
      <x:c r="S1171">
        <x:v>-4.1399999999999999E-2</x:v>
      </x:c>
      <x:c r="T1171" t="str">
        <x:f>""</x:f>
        <x:v/>
      </x:c>
      <x:c r="U1171" t="str">
        <x:f>""</x:f>
        <x:v/>
      </x:c>
      <x:c r="V1171" t="str">
        <x:f>""</x:f>
        <x:v/>
      </x:c>
      <x:c r="W1171" t="str">
        <x:f>""</x:f>
        <x:v/>
      </x:c>
      <x:c r="X1171" t="str">
        <x:f>""</x:f>
        <x:v/>
      </x:c>
      <x:c r="Y1171" t="str">
        <x:f>""</x:f>
        <x:v/>
      </x:c>
      <x:c r="Z1171" t="str">
        <x:f>""</x:f>
        <x:v/>
      </x:c>
      <x:c r="AA1171" t="str">
        <x:f>""</x:f>
        <x:v/>
      </x:c>
      <x:c r="AB1171" t="str">
        <x:f>""</x:f>
        <x:v/>
      </x:c>
      <x:c r="AC1171" t="str">
        <x:f>""</x:f>
        <x:v/>
      </x:c>
      <x:c r="AD1171" t="str">
        <x:f>""</x:f>
        <x:v/>
      </x:c>
      <x:c r="AE1171" t="str">
        <x:f>""</x:f>
        <x:v/>
      </x:c>
      <x:c r="AF1171" t="str">
        <x:f>""</x:f>
        <x:v/>
      </x:c>
      <x:c r="AG1171" t="str">
        <x:f>""</x:f>
        <x:v/>
      </x:c>
    </x:row>
    <x:row r="1172" spans="2:33" x14ac:dyDescent="0.25">
      <x:c r="B1172" t="str">
        <x:f>"IOIL US Equity"</x:f>
        <x:v>IOIL US Equity</x:v>
      </x:c>
      <x:c r="C1172" t="str">
        <x:f t="shared" si="50"/>
        <x:v>FD447</x:v>
      </x:c>
      <x:c r="D1172" t="str">
        <x:f t="shared" si="51"/>
        <x:v>FUND_FLOW</x:v>
      </x:c>
      <x:c r="E1172" t="str">
        <x:f t="shared" si="52"/>
        <x:v>Dynamic</x:v>
      </x:c>
      <x:c r="F1172" t="str">
        <x:f ca="1">_xll.BDH($B$1172,$C$1172,$B$1010,$B$1011,CONCATENATE("Per=",$B$1008),"Dts=H","Dir=H",CONCATENATE("Points=",$B$1009),"Sort=R","Days=A","Fill=B",CONCATENATE("FX=", $B$1007) )</x:f>
        <x:v/>
      </x:c>
      <x:c r="T1172" t="str">
        <x:f>""</x:f>
        <x:v/>
      </x:c>
      <x:c r="U1172" t="str">
        <x:f>""</x:f>
        <x:v/>
      </x:c>
      <x:c r="V1172" t="str">
        <x:f>""</x:f>
        <x:v/>
      </x:c>
      <x:c r="W1172" t="str">
        <x:f>""</x:f>
        <x:v/>
      </x:c>
      <x:c r="X1172" t="str">
        <x:f>""</x:f>
        <x:v/>
      </x:c>
      <x:c r="Y1172" t="str">
        <x:f>""</x:f>
        <x:v/>
      </x:c>
      <x:c r="Z1172" t="str">
        <x:f>""</x:f>
        <x:v/>
      </x:c>
      <x:c r="AA1172" t="str">
        <x:f>""</x:f>
        <x:v/>
      </x:c>
      <x:c r="AB1172" t="str">
        <x:f>""</x:f>
        <x:v/>
      </x:c>
      <x:c r="AC1172" t="str">
        <x:f>""</x:f>
        <x:v/>
      </x:c>
      <x:c r="AD1172" t="str">
        <x:f>""</x:f>
        <x:v/>
      </x:c>
      <x:c r="AE1172" t="str">
        <x:f>""</x:f>
        <x:v/>
      </x:c>
      <x:c r="AF1172" t="str">
        <x:f>""</x:f>
        <x:v/>
      </x:c>
      <x:c r="AG1172" t="str">
        <x:f>""</x:f>
        <x:v/>
      </x:c>
    </x:row>
    <x:row r="1173" spans="2:33" x14ac:dyDescent="0.25">
      <x:c r="B1173" t="str">
        <x:f>"ERGF US Equity"</x:f>
        <x:v>ERGF US Equity</x:v>
      </x:c>
      <x:c r="C1173" t="str">
        <x:f t="shared" si="50"/>
        <x:v>FD447</x:v>
      </x:c>
      <x:c r="D1173" t="str">
        <x:f t="shared" si="51"/>
        <x:v>FUND_FLOW</x:v>
      </x:c>
      <x:c r="E1173" t="str">
        <x:f t="shared" si="52"/>
        <x:v>Dynamic</x:v>
      </x:c>
      <x:c r="F1173" t="str">
        <x:f ca="1">_xll.BDH($B$1173,$C$1173,$B$1010,$B$1011,CONCATENATE("Per=",$B$1008),"Dts=H","Dir=H",CONCATENATE("Points=",$B$1009),"Sort=R","Days=A","Fill=B",CONCATENATE("FX=", $B$1007) )</x:f>
        <x:v/>
      </x:c>
      <x:c r="T1173" t="str">
        <x:f>""</x:f>
        <x:v/>
      </x:c>
      <x:c r="U1173" t="str">
        <x:f>""</x:f>
        <x:v/>
      </x:c>
      <x:c r="V1173" t="str">
        <x:f>""</x:f>
        <x:v/>
      </x:c>
      <x:c r="W1173" t="str">
        <x:f>""</x:f>
        <x:v/>
      </x:c>
      <x:c r="X1173" t="str">
        <x:f>""</x:f>
        <x:v/>
      </x:c>
      <x:c r="Y1173" t="str">
        <x:f>""</x:f>
        <x:v/>
      </x:c>
      <x:c r="Z1173" t="str">
        <x:f>""</x:f>
        <x:v/>
      </x:c>
      <x:c r="AA1173" t="str">
        <x:f>""</x:f>
        <x:v/>
      </x:c>
      <x:c r="AB1173" t="str">
        <x:f>""</x:f>
        <x:v/>
      </x:c>
      <x:c r="AC1173" t="str">
        <x:f>""</x:f>
        <x:v/>
      </x:c>
      <x:c r="AD1173" t="str">
        <x:f>""</x:f>
        <x:v/>
      </x:c>
      <x:c r="AE1173" t="str">
        <x:f>""</x:f>
        <x:v/>
      </x:c>
      <x:c r="AF1173" t="str">
        <x:f>""</x:f>
        <x:v/>
      </x:c>
      <x:c r="AG1173" t="str">
        <x:f>""</x:f>
        <x:v/>
      </x:c>
    </x:row>
    <x:row r="1174" spans="2:33" x14ac:dyDescent="0.25">
      <x:c r="B1174" t="str">
        <x:f>"CHIE US Equity"</x:f>
        <x:v>CHIE US Equity</x:v>
      </x:c>
      <x:c r="C1174" t="str">
        <x:f t="shared" si="50"/>
        <x:v>FD447</x:v>
      </x:c>
      <x:c r="D1174" t="str">
        <x:f t="shared" si="51"/>
        <x:v>FUND_FLOW</x:v>
      </x:c>
      <x:c r="E1174" t="str">
        <x:f t="shared" si="52"/>
        <x:v>Dynamic</x:v>
      </x:c>
      <x:c r="F1174">
        <x:f ca="1">_xll.BDH($B$1174,$C$1174,$B$1010,$B$1011,CONCATENATE("Per=",$B$1008),"Dts=H","Dir=H",CONCATENATE("Points=",$B$1009),"Sort=R","Days=A","Fill=B",CONCATENATE("FX=", $B$1007),"cols=14;rows=1")</x:f>
        <x:v>0</x:v>
      </x:c>
      <x:c r="G1174">
        <x:v>0</x:v>
      </x:c>
      <x:c r="H1174">
        <x:v>-1.2996000000000001</x:v>
      </x:c>
      <x:c r="I1174">
        <x:v>-0.29799999999999999</x:v>
      </x:c>
      <x:c r="J1174">
        <x:v>-3.3740999999999999</x:v>
      </x:c>
      <x:c r="K1174">
        <x:v>0.48780000000000001</x:v>
      </x:c>
      <x:c r="L1174">
        <x:v>-0.76649999999999996</x:v>
      </x:c>
      <x:c r="M1174">
        <x:v>0</x:v>
      </x:c>
      <x:c r="N1174">
        <x:v>0</x:v>
      </x:c>
      <x:c r="O1174">
        <x:v>1.2512000000000001</x:v>
      </x:c>
      <x:c r="P1174">
        <x:v>0</x:v>
      </x:c>
      <x:c r="Q1174">
        <x:v>-0.74050000000000005</x:v>
      </x:c>
      <x:c r="R1174">
        <x:v>1.5629999999999999</x:v>
      </x:c>
      <x:c r="S1174">
        <x:v>0.66739999999999999</x:v>
      </x:c>
      <x:c r="T1174" t="str">
        <x:f>""</x:f>
        <x:v/>
      </x:c>
      <x:c r="U1174" t="str">
        <x:f>""</x:f>
        <x:v/>
      </x:c>
      <x:c r="V1174" t="str">
        <x:f>""</x:f>
        <x:v/>
      </x:c>
      <x:c r="W1174" t="str">
        <x:f>""</x:f>
        <x:v/>
      </x:c>
      <x:c r="X1174" t="str">
        <x:f>""</x:f>
        <x:v/>
      </x:c>
      <x:c r="Y1174" t="str">
        <x:f>""</x:f>
        <x:v/>
      </x:c>
      <x:c r="Z1174" t="str">
        <x:f>""</x:f>
        <x:v/>
      </x:c>
      <x:c r="AA1174" t="str">
        <x:f>""</x:f>
        <x:v/>
      </x:c>
      <x:c r="AB1174" t="str">
        <x:f>""</x:f>
        <x:v/>
      </x:c>
      <x:c r="AC1174" t="str">
        <x:f>""</x:f>
        <x:v/>
      </x:c>
      <x:c r="AD1174" t="str">
        <x:f>""</x:f>
        <x:v/>
      </x:c>
      <x:c r="AE1174" t="str">
        <x:f>""</x:f>
        <x:v/>
      </x:c>
      <x:c r="AF1174" t="str">
        <x:f>""</x:f>
        <x:v/>
      </x:c>
      <x:c r="AG1174" t="str">
        <x:f>""</x:f>
        <x:v/>
      </x:c>
    </x:row>
    <x:row r="1175" spans="2:33" x14ac:dyDescent="0.25">
      <x:c r="B1175" t="str">
        <x:f>"UOP US Equity"</x:f>
        <x:v>UOP US Equity</x:v>
      </x:c>
      <x:c r="C1175" t="str">
        <x:f t="shared" si="50"/>
        <x:v>FD447</x:v>
      </x:c>
      <x:c r="D1175" t="str">
        <x:f t="shared" si="51"/>
        <x:v>FUND_FLOW</x:v>
      </x:c>
      <x:c r="E1175" t="str">
        <x:f t="shared" si="52"/>
        <x:v>Dynamic</x:v>
      </x:c>
      <x:c r="F1175" t="str">
        <x:f ca="1">_xll.BDH($B$1175,$C$1175,$B$1010,$B$1011,CONCATENATE("Per=",$B$1008),"Dts=H","Dir=H",CONCATENATE("Points=",$B$1009),"Sort=R","Days=A","Fill=B",CONCATENATE("FX=", $B$1007) )</x:f>
        <x:v/>
      </x:c>
      <x:c r="T1175" t="str">
        <x:f>""</x:f>
        <x:v/>
      </x:c>
      <x:c r="U1175" t="str">
        <x:f>""</x:f>
        <x:v/>
      </x:c>
      <x:c r="V1175" t="str">
        <x:f>""</x:f>
        <x:v/>
      </x:c>
      <x:c r="W1175" t="str">
        <x:f>""</x:f>
        <x:v/>
      </x:c>
      <x:c r="X1175" t="str">
        <x:f>""</x:f>
        <x:v/>
      </x:c>
      <x:c r="Y1175" t="str">
        <x:f>""</x:f>
        <x:v/>
      </x:c>
      <x:c r="Z1175" t="str">
        <x:f>""</x:f>
        <x:v/>
      </x:c>
      <x:c r="AA1175" t="str">
        <x:f>""</x:f>
        <x:v/>
      </x:c>
      <x:c r="AB1175" t="str">
        <x:f>""</x:f>
        <x:v/>
      </x:c>
      <x:c r="AC1175" t="str">
        <x:f>""</x:f>
        <x:v/>
      </x:c>
      <x:c r="AD1175" t="str">
        <x:f>""</x:f>
        <x:v/>
      </x:c>
      <x:c r="AE1175" t="str">
        <x:f>""</x:f>
        <x:v/>
      </x:c>
      <x:c r="AF1175" t="str">
        <x:f>""</x:f>
        <x:v/>
      </x:c>
      <x:c r="AG1175" t="str">
        <x:f>""</x:f>
        <x:v/>
      </x:c>
    </x:row>
    <x:row r="1176" spans="2:33" x14ac:dyDescent="0.25">
      <x:c r="B1176" t="str">
        <x:f>"XE US Equity"</x:f>
        <x:v>XE US Equity</x:v>
      </x:c>
      <x:c r="C1176" t="str">
        <x:f t="shared" si="50"/>
        <x:v>FD447</x:v>
      </x:c>
      <x:c r="D1176" t="str">
        <x:f t="shared" si="51"/>
        <x:v>FUND_FLOW</x:v>
      </x:c>
      <x:c r="E1176" t="str">
        <x:f t="shared" si="52"/>
        <x:v>Dynamic</x:v>
      </x:c>
      <x:c r="F1176" t="str">
        <x:f ca="1">_xll.BDH($B$1176,$C$1176,$B$1010,$B$1011,CONCATENATE("Per=",$B$1008),"Dts=H","Dir=H",CONCATENATE("Points=",$B$1009),"Sort=R","Days=A","Fill=B",CONCATENATE("FX=", $B$1007) )</x:f>
        <x:v/>
      </x:c>
      <x:c r="T1176" t="str">
        <x:f>""</x:f>
        <x:v/>
      </x:c>
      <x:c r="U1176" t="str">
        <x:f>""</x:f>
        <x:v/>
      </x:c>
      <x:c r="V1176" t="str">
        <x:f>""</x:f>
        <x:v/>
      </x:c>
      <x:c r="W1176" t="str">
        <x:f>""</x:f>
        <x:v/>
      </x:c>
      <x:c r="X1176" t="str">
        <x:f>""</x:f>
        <x:v/>
      </x:c>
      <x:c r="Y1176" t="str">
        <x:f>""</x:f>
        <x:v/>
      </x:c>
      <x:c r="Z1176" t="str">
        <x:f>""</x:f>
        <x:v/>
      </x:c>
      <x:c r="AA1176" t="str">
        <x:f>""</x:f>
        <x:v/>
      </x:c>
      <x:c r="AB1176" t="str">
        <x:f>""</x:f>
        <x:v/>
      </x:c>
      <x:c r="AC1176" t="str">
        <x:f>""</x:f>
        <x:v/>
      </x:c>
      <x:c r="AD1176" t="str">
        <x:f>""</x:f>
        <x:v/>
      </x:c>
      <x:c r="AE1176" t="str">
        <x:f>""</x:f>
        <x:v/>
      </x:c>
      <x:c r="AF1176" t="str">
        <x:f>""</x:f>
        <x:v/>
      </x:c>
      <x:c r="AG1176" t="str">
        <x:f>""</x:f>
        <x:v/>
      </x:c>
    </x:row>
    <x:row r="1177" spans="2:33" x14ac:dyDescent="0.25">
      <x:c r="B1177" t="str">
        <x:f>"ERYY US Equity"</x:f>
        <x:v>ERYY US Equity</x:v>
      </x:c>
      <x:c r="C1177" t="str">
        <x:f t="shared" si="50"/>
        <x:v>FD447</x:v>
      </x:c>
      <x:c r="D1177" t="str">
        <x:f t="shared" si="51"/>
        <x:v>FUND_FLOW</x:v>
      </x:c>
      <x:c r="E1177" t="str">
        <x:f t="shared" si="52"/>
        <x:v>Dynamic</x:v>
      </x:c>
      <x:c r="F1177" t="str">
        <x:f ca="1">_xll.BDH($B$1177,$C$1177,$B$1010,$B$1011,CONCATENATE("Per=",$B$1008),"Dts=H","Dir=H",CONCATENATE("Points=",$B$1009),"Sort=R","Days=A","Fill=B",CONCATENATE("FX=", $B$1007) )</x:f>
        <x:v/>
      </x:c>
      <x:c r="T1177" t="str">
        <x:f>""</x:f>
        <x:v/>
      </x:c>
      <x:c r="U1177" t="str">
        <x:f>""</x:f>
        <x:v/>
      </x:c>
      <x:c r="V1177" t="str">
        <x:f>""</x:f>
        <x:v/>
      </x:c>
      <x:c r="W1177" t="str">
        <x:f>""</x:f>
        <x:v/>
      </x:c>
      <x:c r="X1177" t="str">
        <x:f>""</x:f>
        <x:v/>
      </x:c>
      <x:c r="Y1177" t="str">
        <x:f>""</x:f>
        <x:v/>
      </x:c>
      <x:c r="Z1177" t="str">
        <x:f>""</x:f>
        <x:v/>
      </x:c>
      <x:c r="AA1177" t="str">
        <x:f>""</x:f>
        <x:v/>
      </x:c>
      <x:c r="AB1177" t="str">
        <x:f>""</x:f>
        <x:v/>
      </x:c>
      <x:c r="AC1177" t="str">
        <x:f>""</x:f>
        <x:v/>
      </x:c>
      <x:c r="AD1177" t="str">
        <x:f>""</x:f>
        <x:v/>
      </x:c>
      <x:c r="AE1177" t="str">
        <x:f>""</x:f>
        <x:v/>
      </x:c>
      <x:c r="AF1177" t="str">
        <x:f>""</x:f>
        <x:v/>
      </x:c>
      <x:c r="AG1177" t="str">
        <x:f>""</x:f>
        <x:v/>
      </x:c>
    </x:row>
    <x:row r="1178" spans="2:33" x14ac:dyDescent="0.25">
      <x:c r="B1178" t="str">
        <x:f>"GRNTF US Equity"</x:f>
        <x:v>GRNTF US Equity</x:v>
      </x:c>
      <x:c r="C1178" t="str">
        <x:f t="shared" si="50"/>
        <x:v>FD447</x:v>
      </x:c>
      <x:c r="D1178" t="str">
        <x:f t="shared" si="51"/>
        <x:v>FUND_FLOW</x:v>
      </x:c>
      <x:c r="E1178" t="str">
        <x:f t="shared" si="52"/>
        <x:v>Dynamic</x:v>
      </x:c>
      <x:c r="F1178">
        <x:f ca="1">_xll.BDH($B$1178,$C$1178,$B$1010,$B$1011,CONCATENATE("Per=",$B$1008),"Dts=H","Dir=H",CONCATENATE("Points=",$B$1009),"Sort=R","Days=A","Fill=B",CONCATENATE("FX=", $B$1007),"cols=14;rows=1")</x:f>
        <x:v>0</x:v>
      </x:c>
      <x:c r="G1178">
        <x:v>0</x:v>
      </x:c>
      <x:c r="H1178">
        <x:v>0</x:v>
      </x:c>
      <x:c r="I1178">
        <x:v>-0.1241</x:v>
      </x:c>
      <x:c r="J1178">
        <x:v>0</x:v>
      </x:c>
      <x:c r="K1178">
        <x:v>0</x:v>
      </x:c>
      <x:c r="L1178">
        <x:v>-0.66510000000000002</x:v>
      </x:c>
      <x:c r="M1178">
        <x:v>0</x:v>
      </x:c>
      <x:c r="N1178">
        <x:v>0</x:v>
      </x:c>
      <x:c r="O1178">
        <x:v>0</x:v>
      </x:c>
      <x:c r="P1178">
        <x:v>0</x:v>
      </x:c>
      <x:c r="Q1178">
        <x:v>0</x:v>
      </x:c>
      <x:c r="R1178">
        <x:v>0</x:v>
      </x:c>
      <x:c r="S1178">
        <x:v>0</x:v>
      </x:c>
      <x:c r="T1178" t="str">
        <x:f>""</x:f>
        <x:v/>
      </x:c>
      <x:c r="U1178" t="str">
        <x:f>""</x:f>
        <x:v/>
      </x:c>
      <x:c r="V1178" t="str">
        <x:f>""</x:f>
        <x:v/>
      </x:c>
      <x:c r="W1178" t="str">
        <x:f>""</x:f>
        <x:v/>
      </x:c>
      <x:c r="X1178" t="str">
        <x:f>""</x:f>
        <x:v/>
      </x:c>
      <x:c r="Y1178" t="str">
        <x:f>""</x:f>
        <x:v/>
      </x:c>
      <x:c r="Z1178" t="str">
        <x:f>""</x:f>
        <x:v/>
      </x:c>
      <x:c r="AA1178" t="str">
        <x:f>""</x:f>
        <x:v/>
      </x:c>
      <x:c r="AB1178" t="str">
        <x:f>""</x:f>
        <x:v/>
      </x:c>
      <x:c r="AC1178" t="str">
        <x:f>""</x:f>
        <x:v/>
      </x:c>
      <x:c r="AD1178" t="str">
        <x:f>""</x:f>
        <x:v/>
      </x:c>
      <x:c r="AE1178" t="str">
        <x:f>""</x:f>
        <x:v/>
      </x:c>
      <x:c r="AF1178" t="str">
        <x:f>""</x:f>
        <x:v/>
      </x:c>
      <x:c r="AG1178" t="str">
        <x:f>""</x:f>
        <x:v/>
      </x:c>
    </x:row>
    <x:row r="1179" spans="2:33" x14ac:dyDescent="0.25">
      <x:c r="B1179" t="str">
        <x:f>"SOP US Equity"</x:f>
        <x:v>SOP US Equity</x:v>
      </x:c>
      <x:c r="C1179" t="str">
        <x:f t="shared" si="50"/>
        <x:v>FD447</x:v>
      </x:c>
      <x:c r="D1179" t="str">
        <x:f t="shared" si="51"/>
        <x:v>FUND_FLOW</x:v>
      </x:c>
      <x:c r="E1179" t="str">
        <x:f t="shared" si="52"/>
        <x:v>Dynamic</x:v>
      </x:c>
      <x:c r="F1179" t="str">
        <x:f ca="1">_xll.BDH($B$1179,$C$1179,$B$1010,$B$1011,CONCATENATE("Per=",$B$1008),"Dts=H","Dir=H",CONCATENATE("Points=",$B$1009),"Sort=R","Days=A","Fill=B",CONCATENATE("FX=", $B$1007) )</x:f>
        <x:v/>
      </x:c>
      <x:c r="T1179" t="str">
        <x:f>""</x:f>
        <x:v/>
      </x:c>
      <x:c r="U1179" t="str">
        <x:f>""</x:f>
        <x:v/>
      </x:c>
      <x:c r="V1179" t="str">
        <x:f>""</x:f>
        <x:v/>
      </x:c>
      <x:c r="W1179" t="str">
        <x:f>""</x:f>
        <x:v/>
      </x:c>
      <x:c r="X1179" t="str">
        <x:f>""</x:f>
        <x:v/>
      </x:c>
      <x:c r="Y1179" t="str">
        <x:f>""</x:f>
        <x:v/>
      </x:c>
      <x:c r="Z1179" t="str">
        <x:f>""</x:f>
        <x:v/>
      </x:c>
      <x:c r="AA1179" t="str">
        <x:f>""</x:f>
        <x:v/>
      </x:c>
      <x:c r="AB1179" t="str">
        <x:f>""</x:f>
        <x:v/>
      </x:c>
      <x:c r="AC1179" t="str">
        <x:f>""</x:f>
        <x:v/>
      </x:c>
      <x:c r="AD1179" t="str">
        <x:f>""</x:f>
        <x:v/>
      </x:c>
      <x:c r="AE1179" t="str">
        <x:f>""</x:f>
        <x:v/>
      </x:c>
      <x:c r="AF1179" t="str">
        <x:f>""</x:f>
        <x:v/>
      </x:c>
      <x:c r="AG1179" t="str">
        <x:f>""</x:f>
        <x:v/>
      </x:c>
    </x:row>
    <x:row r="1180" spans="2:33" x14ac:dyDescent="0.25">
      <x:c r="B1180" t="str">
        <x:f>"MLPE US Equity"</x:f>
        <x:v>MLPE US Equity</x:v>
      </x:c>
      <x:c r="C1180" t="str">
        <x:f t="shared" si="50"/>
        <x:v>FD447</x:v>
      </x:c>
      <x:c r="D1180" t="str">
        <x:f t="shared" si="51"/>
        <x:v>FUND_FLOW</x:v>
      </x:c>
      <x:c r="E1180" t="str">
        <x:f t="shared" si="52"/>
        <x:v>Dynamic</x:v>
      </x:c>
      <x:c r="F1180" t="str">
        <x:f ca="1">_xll.BDH($B$1180,$C$1180,$B$1010,$B$1011,CONCATENATE("Per=",$B$1008),"Dts=H","Dir=H",CONCATENATE("Points=",$B$1009),"Sort=R","Days=A","Fill=B",CONCATENATE("FX=", $B$1007) )</x:f>
        <x:v/>
      </x:c>
      <x:c r="T1180" t="str">
        <x:f>""</x:f>
        <x:v/>
      </x:c>
      <x:c r="U1180" t="str">
        <x:f>""</x:f>
        <x:v/>
      </x:c>
      <x:c r="V1180" t="str">
        <x:f>""</x:f>
        <x:v/>
      </x:c>
      <x:c r="W1180" t="str">
        <x:f>""</x:f>
        <x:v/>
      </x:c>
      <x:c r="X1180" t="str">
        <x:f>""</x:f>
        <x:v/>
      </x:c>
      <x:c r="Y1180" t="str">
        <x:f>""</x:f>
        <x:v/>
      </x:c>
      <x:c r="Z1180" t="str">
        <x:f>""</x:f>
        <x:v/>
      </x:c>
      <x:c r="AA1180" t="str">
        <x:f>""</x:f>
        <x:v/>
      </x:c>
      <x:c r="AB1180" t="str">
        <x:f>""</x:f>
        <x:v/>
      </x:c>
      <x:c r="AC1180" t="str">
        <x:f>""</x:f>
        <x:v/>
      </x:c>
      <x:c r="AD1180" t="str">
        <x:f>""</x:f>
        <x:v/>
      </x:c>
      <x:c r="AE1180" t="str">
        <x:f>""</x:f>
        <x:v/>
      </x:c>
      <x:c r="AF1180" t="str">
        <x:f>""</x:f>
        <x:v/>
      </x:c>
      <x:c r="AG1180" t="str">
        <x:f>""</x:f>
        <x:v/>
      </x:c>
    </x:row>
    <x:row r="1181" spans="2:33" x14ac:dyDescent="0.25">
      <x:c r="B1181" t="str">
        <x:f>"AMLX US Equity"</x:f>
        <x:v>AMLX US Equity</x:v>
      </x:c>
      <x:c r="C1181" t="str">
        <x:f t="shared" si="50"/>
        <x:v>FD447</x:v>
      </x:c>
      <x:c r="D1181" t="str">
        <x:f t="shared" si="51"/>
        <x:v>FUND_FLOW</x:v>
      </x:c>
      <x:c r="E1181" t="str">
        <x:f t="shared" si="52"/>
        <x:v>Dynamic</x:v>
      </x:c>
      <x:c r="F1181" t="str">
        <x:f ca="1">_xll.BDH($B$1181,$C$1181,$B$1010,$B$1011,CONCATENATE("Per=",$B$1008),"Dts=H","Dir=H",CONCATENATE("Points=",$B$1009),"Sort=R","Days=A","Fill=B",CONCATENATE("FX=", $B$1007) )</x:f>
        <x:v/>
      </x:c>
      <x:c r="T1181" t="str">
        <x:f>""</x:f>
        <x:v/>
      </x:c>
      <x:c r="U1181" t="str">
        <x:f>""</x:f>
        <x:v/>
      </x:c>
      <x:c r="V1181" t="str">
        <x:f>""</x:f>
        <x:v/>
      </x:c>
      <x:c r="W1181" t="str">
        <x:f>""</x:f>
        <x:v/>
      </x:c>
      <x:c r="X1181" t="str">
        <x:f>""</x:f>
        <x:v/>
      </x:c>
      <x:c r="Y1181" t="str">
        <x:f>""</x:f>
        <x:v/>
      </x:c>
      <x:c r="Z1181" t="str">
        <x:f>""</x:f>
        <x:v/>
      </x:c>
      <x:c r="AA1181" t="str">
        <x:f>""</x:f>
        <x:v/>
      </x:c>
      <x:c r="AB1181" t="str">
        <x:f>""</x:f>
        <x:v/>
      </x:c>
      <x:c r="AC1181" t="str">
        <x:f>""</x:f>
        <x:v/>
      </x:c>
      <x:c r="AD1181" t="str">
        <x:f>""</x:f>
        <x:v/>
      </x:c>
      <x:c r="AE1181" t="str">
        <x:f>""</x:f>
        <x:v/>
      </x:c>
      <x:c r="AF1181" t="str">
        <x:f>""</x:f>
        <x:v/>
      </x:c>
      <x:c r="AG1181" t="str">
        <x:f>""</x:f>
        <x:v/>
      </x:c>
    </x:row>
    <x:row r="1182" spans="2:33" x14ac:dyDescent="0.25">
      <x:c r="B1182" t="str">
        <x:f>"PPLN US Equity"</x:f>
        <x:v>PPLN US Equity</x:v>
      </x:c>
      <x:c r="C1182" t="str">
        <x:f t="shared" si="50"/>
        <x:v>FD447</x:v>
      </x:c>
      <x:c r="D1182" t="str">
        <x:f t="shared" si="51"/>
        <x:v>FUND_FLOW</x:v>
      </x:c>
      <x:c r="E1182" t="str">
        <x:f t="shared" si="52"/>
        <x:v>Dynamic</x:v>
      </x:c>
      <x:c r="F1182" t="str">
        <x:f ca="1">_xll.BDH($B$1182,$C$1182,$B$1010,$B$1011,CONCATENATE("Per=",$B$1008),"Dts=H","Dir=H",CONCATENATE("Points=",$B$1009),"Sort=R","Days=A","Fill=B",CONCATENATE("FX=", $B$1007) )</x:f>
        <x:v/>
      </x:c>
      <x:c r="T1182" t="str">
        <x:f>""</x:f>
        <x:v/>
      </x:c>
      <x:c r="U1182" t="str">
        <x:f>""</x:f>
        <x:v/>
      </x:c>
      <x:c r="V1182" t="str">
        <x:f>""</x:f>
        <x:v/>
      </x:c>
      <x:c r="W1182" t="str">
        <x:f>""</x:f>
        <x:v/>
      </x:c>
      <x:c r="X1182" t="str">
        <x:f>""</x:f>
        <x:v/>
      </x:c>
      <x:c r="Y1182" t="str">
        <x:f>""</x:f>
        <x:v/>
      </x:c>
      <x:c r="Z1182" t="str">
        <x:f>""</x:f>
        <x:v/>
      </x:c>
      <x:c r="AA1182" t="str">
        <x:f>""</x:f>
        <x:v/>
      </x:c>
      <x:c r="AB1182" t="str">
        <x:f>""</x:f>
        <x:v/>
      </x:c>
      <x:c r="AC1182" t="str">
        <x:f>""</x:f>
        <x:v/>
      </x:c>
      <x:c r="AD1182" t="str">
        <x:f>""</x:f>
        <x:v/>
      </x:c>
      <x:c r="AE1182" t="str">
        <x:f>""</x:f>
        <x:v/>
      </x:c>
      <x:c r="AF1182" t="str">
        <x:f>""</x:f>
        <x:v/>
      </x:c>
      <x:c r="AG1182" t="str">
        <x:f>""</x:f>
        <x:v/>
      </x:c>
    </x:row>
    <x:row r="1183" spans="2:33" x14ac:dyDescent="0.25">
      <x:c r="B1183" t="str">
        <x:f>"RENW US Equity"</x:f>
        <x:v>RENW US Equity</x:v>
      </x:c>
      <x:c r="C1183" t="str">
        <x:f t="shared" si="50"/>
        <x:v>FD447</x:v>
      </x:c>
      <x:c r="D1183" t="str">
        <x:f t="shared" si="51"/>
        <x:v>FUND_FLOW</x:v>
      </x:c>
      <x:c r="E1183" t="str">
        <x:f t="shared" si="52"/>
        <x:v>Dynamic</x:v>
      </x:c>
      <x:c r="F1183">
        <x:f ca="1">_xll.BDH($B$1183,$C$1183,$B$1010,$B$1011,CONCATENATE("Per=",$B$1008),"Dts=H","Dir=H",CONCATENATE("Points=",$B$1009),"Sort=R","Days=A","Fill=B",CONCATENATE("FX=", $B$1007),"cols=14;rows=1")</x:f>
        <x:v>0</x:v>
      </x:c>
      <x:c r="G1183">
        <x:v>0</x:v>
      </x:c>
      <x:c r="H1183">
        <x:v>0</x:v>
      </x:c>
      <x:c r="I1183">
        <x:v>0</x:v>
      </x:c>
      <x:c r="J1183">
        <x:v>0.3574</x:v>
      </x:c>
      <x:c r="K1183">
        <x:v>4.6180000000000003</x:v>
      </x:c>
      <x:c r="L1183">
        <x:v>0</x:v>
      </x:c>
      <x:c r="M1183">
        <x:v>0</x:v>
      </x:c>
      <x:c r="N1183">
        <x:v>0</x:v>
      </x:c>
      <x:c r="O1183">
        <x:v>4.1075999999999997</x:v>
      </x:c>
      <x:c r="P1183">
        <x:v>0</x:v>
      </x:c>
      <x:c r="Q1183">
        <x:v>0</x:v>
      </x:c>
      <x:c r="R1183">
        <x:v>0</x:v>
      </x:c>
      <x:c r="S1183">
        <x:v>0.50649999999999995</x:v>
      </x:c>
      <x:c r="T1183" t="str">
        <x:f>""</x:f>
        <x:v/>
      </x:c>
      <x:c r="U1183" t="str">
        <x:f>""</x:f>
        <x:v/>
      </x:c>
      <x:c r="V1183" t="str">
        <x:f>""</x:f>
        <x:v/>
      </x:c>
      <x:c r="W1183" t="str">
        <x:f>""</x:f>
        <x:v/>
      </x:c>
      <x:c r="X1183" t="str">
        <x:f>""</x:f>
        <x:v/>
      </x:c>
      <x:c r="Y1183" t="str">
        <x:f>""</x:f>
        <x:v/>
      </x:c>
      <x:c r="Z1183" t="str">
        <x:f>""</x:f>
        <x:v/>
      </x:c>
      <x:c r="AA1183" t="str">
        <x:f>""</x:f>
        <x:v/>
      </x:c>
      <x:c r="AB1183" t="str">
        <x:f>""</x:f>
        <x:v/>
      </x:c>
      <x:c r="AC1183" t="str">
        <x:f>""</x:f>
        <x:v/>
      </x:c>
      <x:c r="AD1183" t="str">
        <x:f>""</x:f>
        <x:v/>
      </x:c>
      <x:c r="AE1183" t="str">
        <x:f>""</x:f>
        <x:v/>
      </x:c>
      <x:c r="AF1183" t="str">
        <x:f>""</x:f>
        <x:v/>
      </x:c>
      <x:c r="AG1183" t="str">
        <x:f>""</x:f>
        <x:v/>
      </x:c>
    </x:row>
    <x:row r="1184" spans="2:33" x14ac:dyDescent="0.25">
      <x:c r="B1184" t="str">
        <x:f>"USAI US Equity"</x:f>
        <x:v>USAI US Equity</x:v>
      </x:c>
      <x:c r="C1184" t="str">
        <x:f t="shared" si="50"/>
        <x:v>FD447</x:v>
      </x:c>
      <x:c r="D1184" t="str">
        <x:f t="shared" si="51"/>
        <x:v>FUND_FLOW</x:v>
      </x:c>
      <x:c r="E1184" t="str">
        <x:f t="shared" si="52"/>
        <x:v>Dynamic</x:v>
      </x:c>
      <x:c r="F1184">
        <x:f ca="1">_xll.BDH($B$1184,$C$1184,$B$1010,$B$1011,CONCATENATE("Per=",$B$1008),"Dts=H","Dir=H",CONCATENATE("Points=",$B$1009),"Sort=R","Days=A","Fill=B",CONCATENATE("FX=", $B$1007),"cols=14;rows=1")</x:f>
        <x:v>0</x:v>
      </x:c>
      <x:c r="G1184">
        <x:v>0</x:v>
      </x:c>
      <x:c r="H1184">
        <x:v>-1.3957999999999999</x:v>
      </x:c>
      <x:c r="I1184">
        <x:v>-2.7334000000000001</x:v>
      </x:c>
      <x:c r="J1184">
        <x:v>0</x:v>
      </x:c>
      <x:c r="K1184">
        <x:v>-2.5768</x:v>
      </x:c>
      <x:c r="L1184">
        <x:v>0</x:v>
      </x:c>
      <x:c r="M1184">
        <x:v>0</x:v>
      </x:c>
      <x:c r="N1184">
        <x:v>2.7763</x:v>
      </x:c>
      <x:c r="O1184">
        <x:v>0</x:v>
      </x:c>
      <x:c r="P1184">
        <x:v>0</x:v>
      </x:c>
      <x:c r="Q1184">
        <x:v>1.4169</x:v>
      </x:c>
      <x:c r="R1184">
        <x:v>1.3352999999999999</x:v>
      </x:c>
      <x:c r="S1184">
        <x:v>0</x:v>
      </x:c>
      <x:c r="T1184" t="str">
        <x:f>""</x:f>
        <x:v/>
      </x:c>
      <x:c r="U1184" t="str">
        <x:f>""</x:f>
        <x:v/>
      </x:c>
      <x:c r="V1184" t="str">
        <x:f>""</x:f>
        <x:v/>
      </x:c>
      <x:c r="W1184" t="str">
        <x:f>""</x:f>
        <x:v/>
      </x:c>
      <x:c r="X1184" t="str">
        <x:f>""</x:f>
        <x:v/>
      </x:c>
      <x:c r="Y1184" t="str">
        <x:f>""</x:f>
        <x:v/>
      </x:c>
      <x:c r="Z1184" t="str">
        <x:f>""</x:f>
        <x:v/>
      </x:c>
      <x:c r="AA1184" t="str">
        <x:f>""</x:f>
        <x:v/>
      </x:c>
      <x:c r="AB1184" t="str">
        <x:f>""</x:f>
        <x:v/>
      </x:c>
      <x:c r="AC1184" t="str">
        <x:f>""</x:f>
        <x:v/>
      </x:c>
      <x:c r="AD1184" t="str">
        <x:f>""</x:f>
        <x:v/>
      </x:c>
      <x:c r="AE1184" t="str">
        <x:f>""</x:f>
        <x:v/>
      </x:c>
      <x:c r="AF1184" t="str">
        <x:f>""</x:f>
        <x:v/>
      </x:c>
      <x:c r="AG1184" t="str">
        <x:f>""</x:f>
        <x:v/>
      </x:c>
    </x:row>
    <x:row r="1185" spans="2:33" x14ac:dyDescent="0.25">
      <x:c r="B1185" t="str">
        <x:f>"PYPE US Equity"</x:f>
        <x:v>PYPE US Equity</x:v>
      </x:c>
      <x:c r="C1185" t="str">
        <x:f t="shared" si="50"/>
        <x:v>FD447</x:v>
      </x:c>
      <x:c r="D1185" t="str">
        <x:f t="shared" si="51"/>
        <x:v>FUND_FLOW</x:v>
      </x:c>
      <x:c r="E1185" t="str">
        <x:f t="shared" si="52"/>
        <x:v>Dynamic</x:v>
      </x:c>
      <x:c r="F1185" t="str">
        <x:f ca="1">_xll.BDH($B$1185,$C$1185,$B$1010,$B$1011,CONCATENATE("Per=",$B$1008),"Dts=H","Dir=H",CONCATENATE("Points=",$B$1009),"Sort=R","Days=A","Fill=B",CONCATENATE("FX=", $B$1007),"cols=14;rows=1")</x:f>
        <x:v/>
      </x:c>
      <x:c r="J1185">
        <x:v>0</x:v>
      </x:c>
      <x:c r="K1185">
        <x:v>-6.1257000000000001</x:v>
      </x:c>
      <x:c r="L1185">
        <x:v>-10.448499999999999</x:v>
      </x:c>
      <x:c r="M1185">
        <x:v>0</x:v>
      </x:c>
      <x:c r="N1185">
        <x:v>0</x:v>
      </x:c>
      <x:c r="O1185">
        <x:v>0</x:v>
      </x:c>
      <x:c r="P1185">
        <x:v>0</x:v>
      </x:c>
      <x:c r="Q1185">
        <x:v>0</x:v>
      </x:c>
      <x:c r="R1185">
        <x:v>0</x:v>
      </x:c>
      <x:c r="S1185">
        <x:v>0</x:v>
      </x:c>
      <x:c r="T1185" t="str">
        <x:f>""</x:f>
        <x:v/>
      </x:c>
      <x:c r="U1185" t="str">
        <x:f>""</x:f>
        <x:v/>
      </x:c>
      <x:c r="V1185" t="str">
        <x:f>""</x:f>
        <x:v/>
      </x:c>
      <x:c r="W1185" t="str">
        <x:f>""</x:f>
        <x:v/>
      </x:c>
      <x:c r="X1185" t="str">
        <x:f>""</x:f>
        <x:v/>
      </x:c>
      <x:c r="Y1185" t="str">
        <x:f>""</x:f>
        <x:v/>
      </x:c>
      <x:c r="Z1185" t="str">
        <x:f>""</x:f>
        <x:v/>
      </x:c>
      <x:c r="AA1185" t="str">
        <x:f>""</x:f>
        <x:v/>
      </x:c>
      <x:c r="AB1185" t="str">
        <x:f>""</x:f>
        <x:v/>
      </x:c>
      <x:c r="AC1185" t="str">
        <x:f>""</x:f>
        <x:v/>
      </x:c>
      <x:c r="AD1185" t="str">
        <x:f>""</x:f>
        <x:v/>
      </x:c>
      <x:c r="AE1185" t="str">
        <x:f>""</x:f>
        <x:v/>
      </x:c>
      <x:c r="AF1185" t="str">
        <x:f>""</x:f>
        <x:v/>
      </x:c>
      <x:c r="AG1185" t="str">
        <x:f>""</x:f>
        <x:v/>
      </x:c>
    </x:row>
    <x:row r="1186" spans="2:33" x14ac:dyDescent="0.25">
      <x:c r="B1186" t="str">
        <x:f>"NRGD US Equity"</x:f>
        <x:v>NRGD US Equity</x:v>
      </x:c>
      <x:c r="C1186" t="str">
        <x:f t="shared" si="50"/>
        <x:v>FD447</x:v>
      </x:c>
      <x:c r="D1186" t="str">
        <x:f t="shared" si="51"/>
        <x:v>FUND_FLOW</x:v>
      </x:c>
      <x:c r="E1186" t="str">
        <x:f t="shared" si="52"/>
        <x:v>Dynamic</x:v>
      </x:c>
      <x:c r="F1186">
        <x:f ca="1">_xll.BDH($B$1186,$C$1186,$B$1010,$B$1011,CONCATENATE("Per=",$B$1008),"Dts=H","Dir=H",CONCATENATE("Points=",$B$1009),"Sort=R","Days=A","Fill=B",CONCATENATE("FX=", $B$1007),"cols=14;rows=1")</x:f>
        <x:v>0</x:v>
      </x:c>
      <x:c r="G1186">
        <x:v>0</x:v>
      </x:c>
      <x:c r="H1186">
        <x:v>0</x:v>
      </x:c>
      <x:c r="I1186">
        <x:v>0</x:v>
      </x:c>
      <x:c r="J1186">
        <x:v>0</x:v>
      </x:c>
      <x:c r="K1186">
        <x:v>0</x:v>
      </x:c>
      <x:c r="L1186">
        <x:v>0</x:v>
      </x:c>
      <x:c r="M1186">
        <x:v>0</x:v>
      </x:c>
      <x:c r="N1186">
        <x:v>0</x:v>
      </x:c>
      <x:c r="O1186">
        <x:v>0</x:v>
      </x:c>
      <x:c r="P1186">
        <x:v>0</x:v>
      </x:c>
      <x:c r="Q1186">
        <x:v>57.79</x:v>
      </x:c>
      <x:c r="R1186">
        <x:v>52.866599999999998</x:v>
      </x:c>
      <x:c r="S1186">
        <x:v>0</x:v>
      </x:c>
      <x:c r="T1186" t="str">
        <x:f>""</x:f>
        <x:v/>
      </x:c>
      <x:c r="U1186" t="str">
        <x:f>""</x:f>
        <x:v/>
      </x:c>
      <x:c r="V1186" t="str">
        <x:f>""</x:f>
        <x:v/>
      </x:c>
      <x:c r="W1186" t="str">
        <x:f>""</x:f>
        <x:v/>
      </x:c>
      <x:c r="X1186" t="str">
        <x:f>""</x:f>
        <x:v/>
      </x:c>
      <x:c r="Y1186" t="str">
        <x:f>""</x:f>
        <x:v/>
      </x:c>
      <x:c r="Z1186" t="str">
        <x:f>""</x:f>
        <x:v/>
      </x:c>
      <x:c r="AA1186" t="str">
        <x:f>""</x:f>
        <x:v/>
      </x:c>
      <x:c r="AB1186" t="str">
        <x:f>""</x:f>
        <x:v/>
      </x:c>
      <x:c r="AC1186" t="str">
        <x:f>""</x:f>
        <x:v/>
      </x:c>
      <x:c r="AD1186" t="str">
        <x:f>""</x:f>
        <x:v/>
      </x:c>
      <x:c r="AE1186" t="str">
        <x:f>""</x:f>
        <x:v/>
      </x:c>
      <x:c r="AF1186" t="str">
        <x:f>""</x:f>
        <x:v/>
      </x:c>
      <x:c r="AG1186" t="str">
        <x:f>""</x:f>
        <x:v/>
      </x:c>
    </x:row>
    <x:row r="1187" spans="2:33" x14ac:dyDescent="0.25">
      <x:c r="B1187" t="str">
        <x:f>"NRGO US Equity"</x:f>
        <x:v>NRGO US Equity</x:v>
      </x:c>
      <x:c r="C1187" t="str">
        <x:f t="shared" si="50"/>
        <x:v>FD447</x:v>
      </x:c>
      <x:c r="D1187" t="str">
        <x:f t="shared" si="51"/>
        <x:v>FUND_FLOW</x:v>
      </x:c>
      <x:c r="E1187" t="str">
        <x:f t="shared" si="52"/>
        <x:v>Dynamic</x:v>
      </x:c>
      <x:c r="F1187" t="str">
        <x:f ca="1">_xll.BDH($B$1187,$C$1187,$B$1010,$B$1011,CONCATENATE("Per=",$B$1008),"Dts=H","Dir=H",CONCATENATE("Points=",$B$1009),"Sort=R","Days=A","Fill=B",CONCATENATE("FX=", $B$1007) )</x:f>
        <x:v/>
      </x:c>
      <x:c r="T1187" t="str">
        <x:f>""</x:f>
        <x:v/>
      </x:c>
      <x:c r="U1187" t="str">
        <x:f>""</x:f>
        <x:v/>
      </x:c>
      <x:c r="V1187" t="str">
        <x:f>""</x:f>
        <x:v/>
      </x:c>
      <x:c r="W1187" t="str">
        <x:f>""</x:f>
        <x:v/>
      </x:c>
      <x:c r="X1187" t="str">
        <x:f>""</x:f>
        <x:v/>
      </x:c>
      <x:c r="Y1187" t="str">
        <x:f>""</x:f>
        <x:v/>
      </x:c>
      <x:c r="Z1187" t="str">
        <x:f>""</x:f>
        <x:v/>
      </x:c>
      <x:c r="AA1187" t="str">
        <x:f>""</x:f>
        <x:v/>
      </x:c>
      <x:c r="AB1187" t="str">
        <x:f>""</x:f>
        <x:v/>
      </x:c>
      <x:c r="AC1187" t="str">
        <x:f>""</x:f>
        <x:v/>
      </x:c>
      <x:c r="AD1187" t="str">
        <x:f>""</x:f>
        <x:v/>
      </x:c>
      <x:c r="AE1187" t="str">
        <x:f>""</x:f>
        <x:v/>
      </x:c>
      <x:c r="AF1187" t="str">
        <x:f>""</x:f>
        <x:v/>
      </x:c>
      <x:c r="AG1187" t="str">
        <x:f>""</x:f>
        <x:v/>
      </x:c>
    </x:row>
    <x:row r="1188" spans="2:33" x14ac:dyDescent="0.25">
      <x:c r="B1188" t="str">
        <x:f>"NRGU US Equity"</x:f>
        <x:v>NRGU US Equity</x:v>
      </x:c>
      <x:c r="C1188" t="str">
        <x:f t="shared" si="50"/>
        <x:v>FD447</x:v>
      </x:c>
      <x:c r="D1188" t="str">
        <x:f t="shared" si="51"/>
        <x:v>FUND_FLOW</x:v>
      </x:c>
      <x:c r="E1188" t="str">
        <x:f t="shared" si="52"/>
        <x:v>Dynamic</x:v>
      </x:c>
      <x:c r="F1188">
        <x:f ca="1">_xll.BDH($B$1188,$C$1188,$B$1010,$B$1011,CONCATENATE("Per=",$B$1008),"Dts=H","Dir=H",CONCATENATE("Points=",$B$1009),"Sort=R","Days=A","Fill=B",CONCATENATE("FX=", $B$1007),"cols=14;rows=1")</x:f>
        <x:v>0</x:v>
      </x:c>
      <x:c r="G1188">
        <x:v>0</x:v>
      </x:c>
      <x:c r="H1188">
        <x:v>0</x:v>
      </x:c>
      <x:c r="I1188">
        <x:v>0</x:v>
      </x:c>
      <x:c r="J1188">
        <x:v>0</x:v>
      </x:c>
      <x:c r="K1188">
        <x:v>0</x:v>
      </x:c>
      <x:c r="L1188">
        <x:v>0</x:v>
      </x:c>
      <x:c r="M1188">
        <x:v>0</x:v>
      </x:c>
      <x:c r="N1188">
        <x:v>0</x:v>
      </x:c>
      <x:c r="O1188">
        <x:v>0</x:v>
      </x:c>
      <x:c r="P1188">
        <x:v>0</x:v>
      </x:c>
      <x:c r="Q1188">
        <x:v>0</x:v>
      </x:c>
      <x:c r="R1188">
        <x:v>0</x:v>
      </x:c>
      <x:c r="S1188">
        <x:v>0</x:v>
      </x:c>
      <x:c r="T1188" t="str">
        <x:f>""</x:f>
        <x:v/>
      </x:c>
      <x:c r="U1188" t="str">
        <x:f>""</x:f>
        <x:v/>
      </x:c>
      <x:c r="V1188" t="str">
        <x:f>""</x:f>
        <x:v/>
      </x:c>
      <x:c r="W1188" t="str">
        <x:f>""</x:f>
        <x:v/>
      </x:c>
      <x:c r="X1188" t="str">
        <x:f>""</x:f>
        <x:v/>
      </x:c>
      <x:c r="Y1188" t="str">
        <x:f>""</x:f>
        <x:v/>
      </x:c>
      <x:c r="Z1188" t="str">
        <x:f>""</x:f>
        <x:v/>
      </x:c>
      <x:c r="AA1188" t="str">
        <x:f>""</x:f>
        <x:v/>
      </x:c>
      <x:c r="AB1188" t="str">
        <x:f>""</x:f>
        <x:v/>
      </x:c>
      <x:c r="AC1188" t="str">
        <x:f>""</x:f>
        <x:v/>
      </x:c>
      <x:c r="AD1188" t="str">
        <x:f>""</x:f>
        <x:v/>
      </x:c>
      <x:c r="AE1188" t="str">
        <x:f>""</x:f>
        <x:v/>
      </x:c>
      <x:c r="AF1188" t="str">
        <x:f>""</x:f>
        <x:v/>
      </x:c>
      <x:c r="AG1188" t="str">
        <x:f>""</x:f>
        <x:v/>
      </x:c>
    </x:row>
    <x:row r="1189" spans="2:33" x14ac:dyDescent="0.25">
      <x:c r="B1189" t="str">
        <x:f>"NRGZ US Equity"</x:f>
        <x:v>NRGZ US Equity</x:v>
      </x:c>
      <x:c r="C1189" t="str">
        <x:f t="shared" si="50"/>
        <x:v>FD447</x:v>
      </x:c>
      <x:c r="D1189" t="str">
        <x:f t="shared" si="51"/>
        <x:v>FUND_FLOW</x:v>
      </x:c>
      <x:c r="E1189" t="str">
        <x:f t="shared" si="52"/>
        <x:v>Dynamic</x:v>
      </x:c>
      <x:c r="F1189" t="str">
        <x:f ca="1">_xll.BDH($B$1189,$C$1189,$B$1010,$B$1011,CONCATENATE("Per=",$B$1008),"Dts=H","Dir=H",CONCATENATE("Points=",$B$1009),"Sort=R","Days=A","Fill=B",CONCATENATE("FX=", $B$1007) )</x:f>
        <x:v/>
      </x:c>
      <x:c r="T1189" t="str">
        <x:f>""</x:f>
        <x:v/>
      </x:c>
      <x:c r="U1189" t="str">
        <x:f>""</x:f>
        <x:v/>
      </x:c>
      <x:c r="V1189" t="str">
        <x:f>""</x:f>
        <x:v/>
      </x:c>
      <x:c r="W1189" t="str">
        <x:f>""</x:f>
        <x:v/>
      </x:c>
      <x:c r="X1189" t="str">
        <x:f>""</x:f>
        <x:v/>
      </x:c>
      <x:c r="Y1189" t="str">
        <x:f>""</x:f>
        <x:v/>
      </x:c>
      <x:c r="Z1189" t="str">
        <x:f>""</x:f>
        <x:v/>
      </x:c>
      <x:c r="AA1189" t="str">
        <x:f>""</x:f>
        <x:v/>
      </x:c>
      <x:c r="AB1189" t="str">
        <x:f>""</x:f>
        <x:v/>
      </x:c>
      <x:c r="AC1189" t="str">
        <x:f>""</x:f>
        <x:v/>
      </x:c>
      <x:c r="AD1189" t="str">
        <x:f>""</x:f>
        <x:v/>
      </x:c>
      <x:c r="AE1189" t="str">
        <x:f>""</x:f>
        <x:v/>
      </x:c>
      <x:c r="AF1189" t="str">
        <x:f>""</x:f>
        <x:v/>
      </x:c>
      <x:c r="AG1189" t="str">
        <x:f>""</x:f>
        <x:v/>
      </x:c>
    </x:row>
    <x:row r="1190" spans="2:33" x14ac:dyDescent="0.25">
      <x:c r="B1190" t="str">
        <x:f>"XLEY US Equity"</x:f>
        <x:v>XLEY US Equity</x:v>
      </x:c>
      <x:c r="C1190" t="str">
        <x:f t="shared" si="50"/>
        <x:v>FD447</x:v>
      </x:c>
      <x:c r="D1190" t="str">
        <x:f t="shared" si="51"/>
        <x:v>FUND_FLOW</x:v>
      </x:c>
      <x:c r="E1190" t="str">
        <x:f t="shared" si="52"/>
        <x:v>Dynamic</x:v>
      </x:c>
      <x:c r="F1190" t="str">
        <x:f ca="1">_xll.BDH($B$1190,$C$1190,$B$1010,$B$1011,CONCATENATE("Per=",$B$1008),"Dts=H","Dir=H",CONCATENATE("Points=",$B$1009),"Sort=R","Days=A","Fill=B",CONCATENATE("FX=", $B$1007) )</x:f>
        <x:v/>
      </x:c>
      <x:c r="T1190" t="str">
        <x:f>""</x:f>
        <x:v/>
      </x:c>
      <x:c r="U1190" t="str">
        <x:f>""</x:f>
        <x:v/>
      </x:c>
      <x:c r="V1190" t="str">
        <x:f>""</x:f>
        <x:v/>
      </x:c>
      <x:c r="W1190" t="str">
        <x:f>""</x:f>
        <x:v/>
      </x:c>
      <x:c r="X1190" t="str">
        <x:f>""</x:f>
        <x:v/>
      </x:c>
      <x:c r="Y1190" t="str">
        <x:f>""</x:f>
        <x:v/>
      </x:c>
      <x:c r="Z1190" t="str">
        <x:f>""</x:f>
        <x:v/>
      </x:c>
      <x:c r="AA1190" t="str">
        <x:f>""</x:f>
        <x:v/>
      </x:c>
      <x:c r="AB1190" t="str">
        <x:f>""</x:f>
        <x:v/>
      </x:c>
      <x:c r="AC1190" t="str">
        <x:f>""</x:f>
        <x:v/>
      </x:c>
      <x:c r="AD1190" t="str">
        <x:f>""</x:f>
        <x:v/>
      </x:c>
      <x:c r="AE1190" t="str">
        <x:f>""</x:f>
        <x:v/>
      </x:c>
      <x:c r="AF1190" t="str">
        <x:f>""</x:f>
        <x:v/>
      </x:c>
      <x:c r="AG1190" t="str">
        <x:f>""</x:f>
        <x:v/>
      </x:c>
    </x:row>
    <x:row r="1191" spans="2:33" x14ac:dyDescent="0.25">
      <x:c r="B1191" t="str">
        <x:f>"XLSY US Equity"</x:f>
        <x:v>XLSY US Equity</x:v>
      </x:c>
      <x:c r="C1191" t="str">
        <x:f t="shared" si="50"/>
        <x:v>FD447</x:v>
      </x:c>
      <x:c r="D1191" t="str">
        <x:f t="shared" si="51"/>
        <x:v>FUND_FLOW</x:v>
      </x:c>
      <x:c r="E1191" t="str">
        <x:f t="shared" si="52"/>
        <x:v>Dynamic</x:v>
      </x:c>
      <x:c r="F1191" t="str">
        <x:f ca="1">_xll.BDH($B$1191,$C$1191,$B$1010,$B$1011,CONCATENATE("Per=",$B$1008),"Dts=H","Dir=H",CONCATENATE("Points=",$B$1009),"Sort=R","Days=A","Fill=B",CONCATENATE("FX=", $B$1007) )</x:f>
        <x:v/>
      </x:c>
      <x:c r="T1191" t="str">
        <x:f>""</x:f>
        <x:v/>
      </x:c>
      <x:c r="U1191" t="str">
        <x:f>""</x:f>
        <x:v/>
      </x:c>
      <x:c r="V1191" t="str">
        <x:f>""</x:f>
        <x:v/>
      </x:c>
      <x:c r="W1191" t="str">
        <x:f>""</x:f>
        <x:v/>
      </x:c>
      <x:c r="X1191" t="str">
        <x:f>""</x:f>
        <x:v/>
      </x:c>
      <x:c r="Y1191" t="str">
        <x:f>""</x:f>
        <x:v/>
      </x:c>
      <x:c r="Z1191" t="str">
        <x:f>""</x:f>
        <x:v/>
      </x:c>
      <x:c r="AA1191" t="str">
        <x:f>""</x:f>
        <x:v/>
      </x:c>
      <x:c r="AB1191" t="str">
        <x:f>""</x:f>
        <x:v/>
      </x:c>
      <x:c r="AC1191" t="str">
        <x:f>""</x:f>
        <x:v/>
      </x:c>
      <x:c r="AD1191" t="str">
        <x:f>""</x:f>
        <x:v/>
      </x:c>
      <x:c r="AE1191" t="str">
        <x:f>""</x:f>
        <x:v/>
      </x:c>
      <x:c r="AF1191" t="str">
        <x:f>""</x:f>
        <x:v/>
      </x:c>
      <x:c r="AG1191" t="str">
        <x:f>""</x:f>
        <x:v/>
      </x:c>
    </x:row>
    <x:row r="1192" spans="2:33" x14ac:dyDescent="0.25">
      <x:c r="B1192" t="str">
        <x:f>"YGRN US Equity"</x:f>
        <x:v>YGRN US Equity</x:v>
      </x:c>
      <x:c r="C1192" t="str">
        <x:f t="shared" si="50"/>
        <x:v>FD447</x:v>
      </x:c>
      <x:c r="D1192" t="str">
        <x:f t="shared" si="51"/>
        <x:v>FUND_FLOW</x:v>
      </x:c>
      <x:c r="E1192" t="str">
        <x:f t="shared" si="52"/>
        <x:v>Dynamic</x:v>
      </x:c>
      <x:c r="F1192" t="str">
        <x:f ca="1">_xll.BDH($B$1192,$C$1192,$B$1010,$B$1011,CONCATENATE("Per=",$B$1008),"Dts=H","Dir=H",CONCATENATE("Points=",$B$1009),"Sort=R","Days=A","Fill=B",CONCATENATE("FX=", $B$1007) )</x:f>
        <x:v/>
      </x:c>
      <x:c r="T1192" t="str">
        <x:f>""</x:f>
        <x:v/>
      </x:c>
      <x:c r="U1192" t="str">
        <x:f>""</x:f>
        <x:v/>
      </x:c>
      <x:c r="V1192" t="str">
        <x:f>""</x:f>
        <x:v/>
      </x:c>
      <x:c r="W1192" t="str">
        <x:f>""</x:f>
        <x:v/>
      </x:c>
      <x:c r="X1192" t="str">
        <x:f>""</x:f>
        <x:v/>
      </x:c>
      <x:c r="Y1192" t="str">
        <x:f>""</x:f>
        <x:v/>
      </x:c>
      <x:c r="Z1192" t="str">
        <x:f>""</x:f>
        <x:v/>
      </x:c>
      <x:c r="AA1192" t="str">
        <x:f>""</x:f>
        <x:v/>
      </x:c>
      <x:c r="AB1192" t="str">
        <x:f>""</x:f>
        <x:v/>
      </x:c>
      <x:c r="AC1192" t="str">
        <x:f>""</x:f>
        <x:v/>
      </x:c>
      <x:c r="AD1192" t="str">
        <x:f>""</x:f>
        <x:v/>
      </x:c>
      <x:c r="AE1192" t="str">
        <x:f>""</x:f>
        <x:v/>
      </x:c>
      <x:c r="AF1192" t="str">
        <x:f>""</x:f>
        <x:v/>
      </x:c>
      <x:c r="AG1192" t="str">
        <x:f>""</x:f>
        <x:v/>
      </x:c>
    </x:row>
    <x:row r="1193" spans="2:33" x14ac:dyDescent="0.25">
      <x:c r="B1193" t="str">
        <x:f>"AMNA US Equity"</x:f>
        <x:v>AMNA US Equity</x:v>
      </x:c>
      <x:c r="C1193" t="str">
        <x:f t="shared" si="50"/>
        <x:v>FD447</x:v>
      </x:c>
      <x:c r="D1193" t="str">
        <x:f t="shared" si="51"/>
        <x:v>FUND_FLOW</x:v>
      </x:c>
      <x:c r="E1193" t="str">
        <x:f t="shared" si="52"/>
        <x:v>Dynamic</x:v>
      </x:c>
      <x:c r="F1193">
        <x:f ca="1">_xll.BDH($B$1193,$C$1193,$B$1010,$B$1011,CONCATENATE("Per=",$B$1008),"Dts=H","Dir=H",CONCATENATE("Points=",$B$1009),"Sort=R","Days=A","Fill=B",CONCATENATE("FX=", $B$1007),"cols=14;rows=1")</x:f>
        <x:v>0</x:v>
      </x:c>
      <x:c r="G1193">
        <x:v>0</x:v>
      </x:c>
      <x:c r="H1193">
        <x:v>0</x:v>
      </x:c>
      <x:c r="I1193">
        <x:v>0</x:v>
      </x:c>
      <x:c r="J1193">
        <x:v>0</x:v>
      </x:c>
      <x:c r="K1193">
        <x:v>0</x:v>
      </x:c>
      <x:c r="L1193">
        <x:v>0</x:v>
      </x:c>
      <x:c r="M1193">
        <x:v>0</x:v>
      </x:c>
      <x:c r="N1193">
        <x:v>0</x:v>
      </x:c>
      <x:c r="O1193">
        <x:v>0</x:v>
      </x:c>
      <x:c r="P1193">
        <x:v>0</x:v>
      </x:c>
      <x:c r="Q1193">
        <x:v>0</x:v>
      </x:c>
      <x:c r="R1193">
        <x:v>0</x:v>
      </x:c>
      <x:c r="S1193">
        <x:v>0</x:v>
      </x:c>
      <x:c r="T1193" t="str">
        <x:f>""</x:f>
        <x:v/>
      </x:c>
      <x:c r="U1193" t="str">
        <x:f>""</x:f>
        <x:v/>
      </x:c>
      <x:c r="V1193" t="str">
        <x:f>""</x:f>
        <x:v/>
      </x:c>
      <x:c r="W1193" t="str">
        <x:f>""</x:f>
        <x:v/>
      </x:c>
      <x:c r="X1193" t="str">
        <x:f>""</x:f>
        <x:v/>
      </x:c>
      <x:c r="Y1193" t="str">
        <x:f>""</x:f>
        <x:v/>
      </x:c>
      <x:c r="Z1193" t="str">
        <x:f>""</x:f>
        <x:v/>
      </x:c>
      <x:c r="AA1193" t="str">
        <x:f>""</x:f>
        <x:v/>
      </x:c>
      <x:c r="AB1193" t="str">
        <x:f>""</x:f>
        <x:v/>
      </x:c>
      <x:c r="AC1193" t="str">
        <x:f>""</x:f>
        <x:v/>
      </x:c>
      <x:c r="AD1193" t="str">
        <x:f>""</x:f>
        <x:v/>
      </x:c>
      <x:c r="AE1193" t="str">
        <x:f>""</x:f>
        <x:v/>
      </x:c>
      <x:c r="AF1193" t="str">
        <x:f>""</x:f>
        <x:v/>
      </x:c>
      <x:c r="AG1193" t="str">
        <x:f>""</x:f>
        <x:v/>
      </x:c>
    </x:row>
    <x:row r="1194" spans="2:33" x14ac:dyDescent="0.25">
      <x:c r="B1194" t="str">
        <x:f>"AMND US Equity"</x:f>
        <x:v>AMND US Equity</x:v>
      </x:c>
      <x:c r="C1194" t="str">
        <x:f t="shared" si="50"/>
        <x:v>FD447</x:v>
      </x:c>
      <x:c r="D1194" t="str">
        <x:f t="shared" si="51"/>
        <x:v>FUND_FLOW</x:v>
      </x:c>
      <x:c r="E1194" t="str">
        <x:f t="shared" si="52"/>
        <x:v>Dynamic</x:v>
      </x:c>
      <x:c r="F1194">
        <x:f ca="1">_xll.BDH($B$1194,$C$1194,$B$1010,$B$1011,CONCATENATE("Per=",$B$1008),"Dts=H","Dir=H",CONCATENATE("Points=",$B$1009),"Sort=R","Days=A","Fill=B",CONCATENATE("FX=", $B$1007),"cols=14;rows=1")</x:f>
        <x:v>0</x:v>
      </x:c>
      <x:c r="G1194">
        <x:v>0</x:v>
      </x:c>
      <x:c r="H1194">
        <x:v>0</x:v>
      </x:c>
      <x:c r="I1194">
        <x:v>0</x:v>
      </x:c>
      <x:c r="J1194">
        <x:v>0</x:v>
      </x:c>
      <x:c r="K1194">
        <x:v>0</x:v>
      </x:c>
      <x:c r="L1194">
        <x:v>0</x:v>
      </x:c>
      <x:c r="M1194">
        <x:v>0</x:v>
      </x:c>
      <x:c r="N1194">
        <x:v>0</x:v>
      </x:c>
      <x:c r="O1194">
        <x:v>0</x:v>
      </x:c>
      <x:c r="P1194">
        <x:v>0</x:v>
      </x:c>
      <x:c r="Q1194">
        <x:v>0</x:v>
      </x:c>
      <x:c r="R1194">
        <x:v>0</x:v>
      </x:c>
      <x:c r="S1194">
        <x:v>0</x:v>
      </x:c>
      <x:c r="T1194" t="str">
        <x:f>""</x:f>
        <x:v/>
      </x:c>
      <x:c r="U1194" t="str">
        <x:f>""</x:f>
        <x:v/>
      </x:c>
      <x:c r="V1194" t="str">
        <x:f>""</x:f>
        <x:v/>
      </x:c>
      <x:c r="W1194" t="str">
        <x:f>""</x:f>
        <x:v/>
      </x:c>
      <x:c r="X1194" t="str">
        <x:f>""</x:f>
        <x:v/>
      </x:c>
      <x:c r="Y1194" t="str">
        <x:f>""</x:f>
        <x:v/>
      </x:c>
      <x:c r="Z1194" t="str">
        <x:f>""</x:f>
        <x:v/>
      </x:c>
      <x:c r="AA1194" t="str">
        <x:f>""</x:f>
        <x:v/>
      </x:c>
      <x:c r="AB1194" t="str">
        <x:f>""</x:f>
        <x:v/>
      </x:c>
      <x:c r="AC1194" t="str">
        <x:f>""</x:f>
        <x:v/>
      </x:c>
      <x:c r="AD1194" t="str">
        <x:f>""</x:f>
        <x:v/>
      </x:c>
      <x:c r="AE1194" t="str">
        <x:f>""</x:f>
        <x:v/>
      </x:c>
      <x:c r="AF1194" t="str">
        <x:f>""</x:f>
        <x:v/>
      </x:c>
      <x:c r="AG1194" t="str">
        <x:f>""</x:f>
        <x:v/>
      </x:c>
    </x:row>
    <x:row r="1195" spans="2:33" x14ac:dyDescent="0.25">
      <x:c r="B1195" t="str">
        <x:f>"AMTR US Equity"</x:f>
        <x:v>AMTR US Equity</x:v>
      </x:c>
      <x:c r="C1195" t="str">
        <x:f t="shared" si="50"/>
        <x:v>FD447</x:v>
      </x:c>
      <x:c r="D1195" t="str">
        <x:f t="shared" si="51"/>
        <x:v>FUND_FLOW</x:v>
      </x:c>
      <x:c r="E1195" t="str">
        <x:f t="shared" si="52"/>
        <x:v>Dynamic</x:v>
      </x:c>
      <x:c r="F1195">
        <x:f ca="1">_xll.BDH($B$1195,$C$1195,$B$1010,$B$1011,CONCATENATE("Per=",$B$1008),"Dts=H","Dir=H",CONCATENATE("Points=",$B$1009),"Sort=R","Days=A","Fill=B",CONCATENATE("FX=", $B$1007),"cols=14;rows=1")</x:f>
        <x:v>0</x:v>
      </x:c>
      <x:c r="G1195">
        <x:v>0</x:v>
      </x:c>
      <x:c r="H1195">
        <x:v>0</x:v>
      </x:c>
      <x:c r="I1195">
        <x:v>0</x:v>
      </x:c>
      <x:c r="J1195">
        <x:v>0</x:v>
      </x:c>
      <x:c r="K1195">
        <x:v>0</x:v>
      </x:c>
      <x:c r="L1195">
        <x:v>0</x:v>
      </x:c>
      <x:c r="M1195">
        <x:v>0</x:v>
      </x:c>
      <x:c r="N1195">
        <x:v>0</x:v>
      </x:c>
      <x:c r="O1195">
        <x:v>0</x:v>
      </x:c>
      <x:c r="P1195">
        <x:v>0</x:v>
      </x:c>
      <x:c r="Q1195">
        <x:v>0</x:v>
      </x:c>
      <x:c r="R1195">
        <x:v>0</x:v>
      </x:c>
      <x:c r="S1195">
        <x:v>0</x:v>
      </x:c>
      <x:c r="T1195" t="str">
        <x:f>""</x:f>
        <x:v/>
      </x:c>
      <x:c r="U1195" t="str">
        <x:f>""</x:f>
        <x:v/>
      </x:c>
      <x:c r="V1195" t="str">
        <x:f>""</x:f>
        <x:v/>
      </x:c>
      <x:c r="W1195" t="str">
        <x:f>""</x:f>
        <x:v/>
      </x:c>
      <x:c r="X1195" t="str">
        <x:f>""</x:f>
        <x:v/>
      </x:c>
      <x:c r="Y1195" t="str">
        <x:f>""</x:f>
        <x:v/>
      </x:c>
      <x:c r="Z1195" t="str">
        <x:f>""</x:f>
        <x:v/>
      </x:c>
      <x:c r="AA1195" t="str">
        <x:f>""</x:f>
        <x:v/>
      </x:c>
      <x:c r="AB1195" t="str">
        <x:f>""</x:f>
        <x:v/>
      </x:c>
      <x:c r="AC1195" t="str">
        <x:f>""</x:f>
        <x:v/>
      </x:c>
      <x:c r="AD1195" t="str">
        <x:f>""</x:f>
        <x:v/>
      </x:c>
      <x:c r="AE1195" t="str">
        <x:f>""</x:f>
        <x:v/>
      </x:c>
      <x:c r="AF1195" t="str">
        <x:f>""</x:f>
        <x:v/>
      </x:c>
      <x:c r="AG1195" t="str">
        <x:f>""</x:f>
        <x:v/>
      </x:c>
    </x:row>
    <x:row r="1196" spans="2:33" x14ac:dyDescent="0.25">
      <x:c r="B1196" t="str">
        <x:f>"MLPR US Equity"</x:f>
        <x:v>MLPR US Equity</x:v>
      </x:c>
      <x:c r="C1196" t="str">
        <x:f t="shared" si="50"/>
        <x:v>FD447</x:v>
      </x:c>
      <x:c r="D1196" t="str">
        <x:f t="shared" si="51"/>
        <x:v>FUND_FLOW</x:v>
      </x:c>
      <x:c r="E1196" t="str">
        <x:f t="shared" si="52"/>
        <x:v>Dynamic</x:v>
      </x:c>
      <x:c r="F1196">
        <x:f ca="1">_xll.BDH($B$1196,$C$1196,$B$1010,$B$1011,CONCATENATE("Per=",$B$1008),"Dts=H","Dir=H",CONCATENATE("Points=",$B$1009),"Sort=R","Days=A","Fill=B",CONCATENATE("FX=", $B$1007),"cols=14;rows=1")</x:f>
        <x:v>0</x:v>
      </x:c>
      <x:c r="G1196">
        <x:v>0</x:v>
      </x:c>
      <x:c r="H1196">
        <x:v>0</x:v>
      </x:c>
      <x:c r="I1196">
        <x:v>0</x:v>
      </x:c>
      <x:c r="J1196">
        <x:v>0</x:v>
      </x:c>
      <x:c r="K1196">
        <x:v>0</x:v>
      </x:c>
      <x:c r="L1196">
        <x:v>0</x:v>
      </x:c>
      <x:c r="M1196">
        <x:v>0</x:v>
      </x:c>
      <x:c r="N1196">
        <x:v>0</x:v>
      </x:c>
      <x:c r="O1196">
        <x:v>0</x:v>
      </x:c>
      <x:c r="P1196">
        <x:v>0</x:v>
      </x:c>
      <x:c r="Q1196">
        <x:v>0</x:v>
      </x:c>
      <x:c r="R1196">
        <x:v>0</x:v>
      </x:c>
      <x:c r="S1196">
        <x:v>0</x:v>
      </x:c>
      <x:c r="T1196" t="str">
        <x:f>""</x:f>
        <x:v/>
      </x:c>
      <x:c r="U1196" t="str">
        <x:f>""</x:f>
        <x:v/>
      </x:c>
      <x:c r="V1196" t="str">
        <x:f>""</x:f>
        <x:v/>
      </x:c>
      <x:c r="W1196" t="str">
        <x:f>""</x:f>
        <x:v/>
      </x:c>
      <x:c r="X1196" t="str">
        <x:f>""</x:f>
        <x:v/>
      </x:c>
      <x:c r="Y1196" t="str">
        <x:f>""</x:f>
        <x:v/>
      </x:c>
      <x:c r="Z1196" t="str">
        <x:f>""</x:f>
        <x:v/>
      </x:c>
      <x:c r="AA1196" t="str">
        <x:f>""</x:f>
        <x:v/>
      </x:c>
      <x:c r="AB1196" t="str">
        <x:f>""</x:f>
        <x:v/>
      </x:c>
      <x:c r="AC1196" t="str">
        <x:f>""</x:f>
        <x:v/>
      </x:c>
      <x:c r="AD1196" t="str">
        <x:f>""</x:f>
        <x:v/>
      </x:c>
      <x:c r="AE1196" t="str">
        <x:f>""</x:f>
        <x:v/>
      </x:c>
      <x:c r="AF1196" t="str">
        <x:f>""</x:f>
        <x:v/>
      </x:c>
      <x:c r="AG1196" t="str">
        <x:f>""</x:f>
        <x:v/>
      </x:c>
    </x:row>
    <x:row r="1197" spans="2:33" x14ac:dyDescent="0.25">
      <x:c r="B1197" t="str">
        <x:f>"OILU US Equity"</x:f>
        <x:v>OILU US Equity</x:v>
      </x:c>
      <x:c r="C1197" t="str">
        <x:f t="shared" si="50"/>
        <x:v>FD447</x:v>
      </x:c>
      <x:c r="D1197" t="str">
        <x:f t="shared" si="51"/>
        <x:v>FUND_FLOW</x:v>
      </x:c>
      <x:c r="E1197" t="str">
        <x:f t="shared" si="52"/>
        <x:v>Dynamic</x:v>
      </x:c>
      <x:c r="F1197">
        <x:f ca="1">_xll.BDH($B$1197,$C$1197,$B$1010,$B$1011,CONCATENATE("Per=",$B$1008),"Dts=H","Dir=H",CONCATENATE("Points=",$B$1009),"Sort=R","Days=A","Fill=B",CONCATENATE("FX=", $B$1007),"cols=14;rows=1")</x:f>
        <x:v>0</x:v>
      </x:c>
      <x:c r="G1197">
        <x:v>0</x:v>
      </x:c>
      <x:c r="H1197">
        <x:v>0</x:v>
      </x:c>
      <x:c r="I1197">
        <x:v>0</x:v>
      </x:c>
      <x:c r="J1197">
        <x:v>0</x:v>
      </x:c>
      <x:c r="K1197">
        <x:v>0</x:v>
      </x:c>
      <x:c r="L1197">
        <x:v>0</x:v>
      </x:c>
      <x:c r="M1197">
        <x:v>16.737400000000001</x:v>
      </x:c>
      <x:c r="N1197">
        <x:v>0</x:v>
      </x:c>
      <x:c r="O1197">
        <x:v>0</x:v>
      </x:c>
      <x:c r="P1197">
        <x:v>0</x:v>
      </x:c>
      <x:c r="Q1197">
        <x:v>0</x:v>
      </x:c>
      <x:c r="R1197">
        <x:v>0</x:v>
      </x:c>
      <x:c r="S1197">
        <x:v>0</x:v>
      </x:c>
      <x:c r="T1197" t="str">
        <x:f>""</x:f>
        <x:v/>
      </x:c>
      <x:c r="U1197" t="str">
        <x:f>""</x:f>
        <x:v/>
      </x:c>
      <x:c r="V1197" t="str">
        <x:f>""</x:f>
        <x:v/>
      </x:c>
      <x:c r="W1197" t="str">
        <x:f>""</x:f>
        <x:v/>
      </x:c>
      <x:c r="X1197" t="str">
        <x:f>""</x:f>
        <x:v/>
      </x:c>
      <x:c r="Y1197" t="str">
        <x:f>""</x:f>
        <x:v/>
      </x:c>
      <x:c r="Z1197" t="str">
        <x:f>""</x:f>
        <x:v/>
      </x:c>
      <x:c r="AA1197" t="str">
        <x:f>""</x:f>
        <x:v/>
      </x:c>
      <x:c r="AB1197" t="str">
        <x:f>""</x:f>
        <x:v/>
      </x:c>
      <x:c r="AC1197" t="str">
        <x:f>""</x:f>
        <x:v/>
      </x:c>
      <x:c r="AD1197" t="str">
        <x:f>""</x:f>
        <x:v/>
      </x:c>
      <x:c r="AE1197" t="str">
        <x:f>""</x:f>
        <x:v/>
      </x:c>
      <x:c r="AF1197" t="str">
        <x:f>""</x:f>
        <x:v/>
      </x:c>
      <x:c r="AG1197" t="str">
        <x:f>""</x:f>
        <x:v/>
      </x:c>
    </x:row>
    <x:row r="1198" spans="2:33" x14ac:dyDescent="0.25">
      <x:c r="B1198" t="str">
        <x:f>"OILD US Equity"</x:f>
        <x:v>OILD US Equity</x:v>
      </x:c>
      <x:c r="C1198" t="str">
        <x:f t="shared" si="50"/>
        <x:v>FD447</x:v>
      </x:c>
      <x:c r="D1198" t="str">
        <x:f t="shared" si="51"/>
        <x:v>FUND_FLOW</x:v>
      </x:c>
      <x:c r="E1198" t="str">
        <x:f t="shared" si="52"/>
        <x:v>Dynamic</x:v>
      </x:c>
      <x:c r="F1198">
        <x:f ca="1">_xll.BDH($B$1198,$C$1198,$B$1010,$B$1011,CONCATENATE("Per=",$B$1008),"Dts=H","Dir=H",CONCATENATE("Points=",$B$1009),"Sort=R","Days=A","Fill=B",CONCATENATE("FX=", $B$1007),"cols=14;rows=1")</x:f>
        <x:v>0</x:v>
      </x:c>
      <x:c r="G1198">
        <x:v>0</x:v>
      </x:c>
      <x:c r="H1198">
        <x:v>0</x:v>
      </x:c>
      <x:c r="I1198">
        <x:v>0</x:v>
      </x:c>
      <x:c r="J1198">
        <x:v>0</x:v>
      </x:c>
      <x:c r="K1198">
        <x:v>0</x:v>
      </x:c>
      <x:c r="L1198">
        <x:v>0</x:v>
      </x:c>
      <x:c r="M1198">
        <x:v>0</x:v>
      </x:c>
      <x:c r="N1198">
        <x:v>0</x:v>
      </x:c>
      <x:c r="O1198">
        <x:v>0</x:v>
      </x:c>
      <x:c r="P1198">
        <x:v>0</x:v>
      </x:c>
      <x:c r="Q1198">
        <x:v>5.8232999999999997</x:v>
      </x:c>
      <x:c r="R1198">
        <x:v>9.8072999999999997</x:v>
      </x:c>
      <x:c r="S1198">
        <x:v>0</x:v>
      </x:c>
      <x:c r="T1198" t="str">
        <x:f>""</x:f>
        <x:v/>
      </x:c>
      <x:c r="U1198" t="str">
        <x:f>""</x:f>
        <x:v/>
      </x:c>
      <x:c r="V1198" t="str">
        <x:f>""</x:f>
        <x:v/>
      </x:c>
      <x:c r="W1198" t="str">
        <x:f>""</x:f>
        <x:v/>
      </x:c>
      <x:c r="X1198" t="str">
        <x:f>""</x:f>
        <x:v/>
      </x:c>
      <x:c r="Y1198" t="str">
        <x:f>""</x:f>
        <x:v/>
      </x:c>
      <x:c r="Z1198" t="str">
        <x:f>""</x:f>
        <x:v/>
      </x:c>
      <x:c r="AA1198" t="str">
        <x:f>""</x:f>
        <x:v/>
      </x:c>
      <x:c r="AB1198" t="str">
        <x:f>""</x:f>
        <x:v/>
      </x:c>
      <x:c r="AC1198" t="str">
        <x:f>""</x:f>
        <x:v/>
      </x:c>
      <x:c r="AD1198" t="str">
        <x:f>""</x:f>
        <x:v/>
      </x:c>
      <x:c r="AE1198" t="str">
        <x:f>""</x:f>
        <x:v/>
      </x:c>
      <x:c r="AF1198" t="str">
        <x:f>""</x:f>
        <x:v/>
      </x:c>
      <x:c r="AG1198" t="str">
        <x:f>""</x:f>
        <x:v/>
      </x:c>
    </x:row>
    <x:row r="1199" spans="2:33" x14ac:dyDescent="0.25">
      <x:c r="B1199" t="str">
        <x:f>"UMI US Equity"</x:f>
        <x:v>UMI US Equity</x:v>
      </x:c>
      <x:c r="C1199" t="str">
        <x:f t="shared" si="50"/>
        <x:v>FD447</x:v>
      </x:c>
      <x:c r="D1199" t="str">
        <x:f t="shared" si="51"/>
        <x:v>FUND_FLOW</x:v>
      </x:c>
      <x:c r="E1199" t="str">
        <x:f t="shared" si="52"/>
        <x:v>Dynamic</x:v>
      </x:c>
      <x:c r="F1199">
        <x:f ca="1">_xll.BDH($B$1199,$C$1199,$B$1010,$B$1011,CONCATENATE("Per=",$B$1008),"Dts=H","Dir=H",CONCATENATE("Points=",$B$1009),"Sort=R","Days=A","Fill=B",CONCATENATE("FX=", $B$1007),"cols=14;rows=1")</x:f>
        <x:v>0</x:v>
      </x:c>
      <x:c r="G1199">
        <x:v>3.5590999999999999</x:v>
      </x:c>
      <x:c r="H1199">
        <x:v>0</x:v>
      </x:c>
      <x:c r="I1199">
        <x:v>1.7715000000000001</x:v>
      </x:c>
      <x:c r="J1199">
        <x:v>1.6979</x:v>
      </x:c>
      <x:c r="K1199">
        <x:v>1.6245000000000001</x:v>
      </x:c>
      <x:c r="L1199">
        <x:v>0</x:v>
      </x:c>
      <x:c r="M1199">
        <x:v>4.9386000000000001</x:v>
      </x:c>
      <x:c r="N1199">
        <x:v>8.5311000000000003</x:v>
      </x:c>
      <x:c r="O1199">
        <x:v>3.5004</x:v>
      </x:c>
      <x:c r="P1199">
        <x:v>1.6503000000000001</x:v>
      </x:c>
      <x:c r="Q1199">
        <x:v>5.3186</x:v>
      </x:c>
      <x:c r="R1199">
        <x:v>3.2665999999999999</x:v>
      </x:c>
      <x:c r="S1199">
        <x:v>3.3972000000000002</x:v>
      </x:c>
      <x:c r="T1199" t="str">
        <x:f>""</x:f>
        <x:v/>
      </x:c>
      <x:c r="U1199" t="str">
        <x:f>""</x:f>
        <x:v/>
      </x:c>
      <x:c r="V1199" t="str">
        <x:f>""</x:f>
        <x:v/>
      </x:c>
      <x:c r="W1199" t="str">
        <x:f>""</x:f>
        <x:v/>
      </x:c>
      <x:c r="X1199" t="str">
        <x:f>""</x:f>
        <x:v/>
      </x:c>
      <x:c r="Y1199" t="str">
        <x:f>""</x:f>
        <x:v/>
      </x:c>
      <x:c r="Z1199" t="str">
        <x:f>""</x:f>
        <x:v/>
      </x:c>
      <x:c r="AA1199" t="str">
        <x:f>""</x:f>
        <x:v/>
      </x:c>
      <x:c r="AB1199" t="str">
        <x:f>""</x:f>
        <x:v/>
      </x:c>
      <x:c r="AC1199" t="str">
        <x:f>""</x:f>
        <x:v/>
      </x:c>
      <x:c r="AD1199" t="str">
        <x:f>""</x:f>
        <x:v/>
      </x:c>
      <x:c r="AE1199" t="str">
        <x:f>""</x:f>
        <x:v/>
      </x:c>
      <x:c r="AF1199" t="str">
        <x:f>""</x:f>
        <x:v/>
      </x:c>
      <x:c r="AG1199" t="str">
        <x:f>""</x:f>
        <x:v/>
      </x:c>
    </x:row>
    <x:row r="1200" spans="2:33" x14ac:dyDescent="0.25">
      <x:c r="B1200" t="str">
        <x:f>"ONG US Equity"</x:f>
        <x:v>ONG US Equity</x:v>
      </x:c>
      <x:c r="C1200" t="str">
        <x:f t="shared" si="50"/>
        <x:v>FD447</x:v>
      </x:c>
      <x:c r="D1200" t="str">
        <x:f t="shared" si="51"/>
        <x:v>FUND_FLOW</x:v>
      </x:c>
      <x:c r="E1200" t="str">
        <x:f t="shared" si="52"/>
        <x:v>Dynamic</x:v>
      </x:c>
      <x:c r="F1200" t="str">
        <x:f ca="1">_xll.BDH($B$1200,$C$1200,$B$1010,$B$1011,CONCATENATE("Per=",$B$1008),"Dts=H","Dir=H",CONCATENATE("Points=",$B$1009),"Sort=R","Days=A","Fill=B",CONCATENATE("FX=", $B$1007),"cols=14;rows=1")</x:f>
        <x:v/>
      </x:c>
      <x:c r="L1200">
        <x:v>-1.5658000000000001</x:v>
      </x:c>
      <x:c r="M1200">
        <x:v>0</x:v>
      </x:c>
      <x:c r="N1200">
        <x:v>0</x:v>
      </x:c>
      <x:c r="O1200">
        <x:v>0</x:v>
      </x:c>
      <x:c r="P1200">
        <x:v>-1.6811</x:v>
      </x:c>
      <x:c r="Q1200">
        <x:v>-3.7538</x:v>
      </x:c>
      <x:c r="R1200">
        <x:v>1.7681</x:v>
      </x:c>
      <x:c r="S1200">
        <x:v>0</x:v>
      </x:c>
      <x:c r="T1200" t="str">
        <x:f>""</x:f>
        <x:v/>
      </x:c>
      <x:c r="U1200" t="str">
        <x:f>""</x:f>
        <x:v/>
      </x:c>
      <x:c r="V1200" t="str">
        <x:f>""</x:f>
        <x:v/>
      </x:c>
      <x:c r="W1200" t="str">
        <x:f>""</x:f>
        <x:v/>
      </x:c>
      <x:c r="X1200" t="str">
        <x:f>""</x:f>
        <x:v/>
      </x:c>
      <x:c r="Y1200" t="str">
        <x:f>""</x:f>
        <x:v/>
      </x:c>
      <x:c r="Z1200" t="str">
        <x:f>""</x:f>
        <x:v/>
      </x:c>
      <x:c r="AA1200" t="str">
        <x:f>""</x:f>
        <x:v/>
      </x:c>
      <x:c r="AB1200" t="str">
        <x:f>""</x:f>
        <x:v/>
      </x:c>
      <x:c r="AC1200" t="str">
        <x:f>""</x:f>
        <x:v/>
      </x:c>
      <x:c r="AD1200" t="str">
        <x:f>""</x:f>
        <x:v/>
      </x:c>
      <x:c r="AE1200" t="str">
        <x:f>""</x:f>
        <x:v/>
      </x:c>
      <x:c r="AF1200" t="str">
        <x:f>""</x:f>
        <x:v/>
      </x:c>
      <x:c r="AG1200" t="str">
        <x:f>""</x:f>
        <x:v/>
      </x:c>
    </x:row>
    <x:row r="1201" spans="2:33" x14ac:dyDescent="0.25">
      <x:c r="B1201" t="str">
        <x:f>"DKRB US Equity"</x:f>
        <x:v>DKRB US Equity</x:v>
      </x:c>
      <x:c r="C1201" t="str">
        <x:f t="shared" si="50"/>
        <x:v>FD447</x:v>
      </x:c>
      <x:c r="D1201" t="str">
        <x:f t="shared" si="51"/>
        <x:v>FUND_FLOW</x:v>
      </x:c>
      <x:c r="E1201" t="str">
        <x:f t="shared" si="52"/>
        <x:v>Dynamic</x:v>
      </x:c>
      <x:c r="F1201">
        <x:f ca="1">_xll.BDH($B$1201,$C$1201,$B$1010,$B$1011,CONCATENATE("Per=",$B$1008),"Dts=H","Dir=H",CONCATENATE("Points=",$B$1009),"Sort=R","Days=A","Fill=B",CONCATENATE("FX=", $B$1007),"cols=14;rows=1")</x:f>
        <x:v>0</x:v>
      </x:c>
      <x:c r="G1201">
        <x:v>0</x:v>
      </x:c>
      <x:c r="H1201">
        <x:v>0</x:v>
      </x:c>
      <x:c r="I1201">
        <x:v>0</x:v>
      </x:c>
      <x:c r="J1201">
        <x:v>0</x:v>
      </x:c>
      <x:c r="K1201">
        <x:v>0</x:v>
      </x:c>
      <x:c r="L1201">
        <x:v>0</x:v>
      </x:c>
      <x:c r="M1201">
        <x:v>0</x:v>
      </x:c>
      <x:c r="N1201">
        <x:v>0</x:v>
      </x:c>
      <x:c r="O1201">
        <x:v>0</x:v>
      </x:c>
      <x:c r="P1201">
        <x:v>0.61539999999999995</x:v>
      </x:c>
      <x:c r="T1201" t="str">
        <x:f>""</x:f>
        <x:v/>
      </x:c>
      <x:c r="U1201" t="str">
        <x:f>""</x:f>
        <x:v/>
      </x:c>
      <x:c r="V1201" t="str">
        <x:f>""</x:f>
        <x:v/>
      </x:c>
      <x:c r="W1201" t="str">
        <x:f>""</x:f>
        <x:v/>
      </x:c>
      <x:c r="X1201" t="str">
        <x:f>""</x:f>
        <x:v/>
      </x:c>
      <x:c r="Y1201" t="str">
        <x:f>""</x:f>
        <x:v/>
      </x:c>
      <x:c r="Z1201" t="str">
        <x:f>""</x:f>
        <x:v/>
      </x:c>
      <x:c r="AA1201" t="str">
        <x:f>""</x:f>
        <x:v/>
      </x:c>
      <x:c r="AB1201" t="str">
        <x:f>""</x:f>
        <x:v/>
      </x:c>
      <x:c r="AC1201" t="str">
        <x:f>""</x:f>
        <x:v/>
      </x:c>
      <x:c r="AD1201" t="str">
        <x:f>""</x:f>
        <x:v/>
      </x:c>
      <x:c r="AE1201" t="str">
        <x:f>""</x:f>
        <x:v/>
      </x:c>
      <x:c r="AF1201" t="str">
        <x:f>""</x:f>
        <x:v/>
      </x:c>
      <x:c r="AG1201" t="str">
        <x:f>""</x:f>
        <x:v/>
      </x:c>
    </x:row>
    <x:row r="1202" spans="2:33" x14ac:dyDescent="0.25">
      <x:c r="B1202" t="str">
        <x:f>"DRLL US Equity"</x:f>
        <x:v>DRLL US Equity</x:v>
      </x:c>
      <x:c r="C1202" t="str">
        <x:f t="shared" si="50"/>
        <x:v>FD447</x:v>
      </x:c>
      <x:c r="D1202" t="str">
        <x:f t="shared" si="51"/>
        <x:v>FUND_FLOW</x:v>
      </x:c>
      <x:c r="E1202" t="str">
        <x:f t="shared" si="52"/>
        <x:v>Dynamic</x:v>
      </x:c>
      <x:c r="F1202">
        <x:f ca="1">_xll.BDH($B$1202,$C$1202,$B$1010,$B$1011,CONCATENATE("Per=",$B$1008),"Dts=H","Dir=H",CONCATENATE("Points=",$B$1009),"Sort=R","Days=A","Fill=B",CONCATENATE("FX=", $B$1007),"cols=14;rows=1")</x:f>
        <x:v>-2.5282</x:v>
      </x:c>
      <x:c r="G1202">
        <x:v>-1.8177000000000001</x:v>
      </x:c>
      <x:c r="H1202">
        <x:v>-1.7493000000000001</x:v>
      </x:c>
      <x:c r="I1202">
        <x:v>-2.7808999999999999</x:v>
      </x:c>
      <x:c r="J1202">
        <x:v>-1.0912999999999999</x:v>
      </x:c>
      <x:c r="K1202">
        <x:v>0.5373</x:v>
      </x:c>
      <x:c r="L1202">
        <x:v>0.2843</x:v>
      </x:c>
      <x:c r="M1202">
        <x:v>1.4113</x:v>
      </x:c>
      <x:c r="N1202">
        <x:v>-30.8169</x:v>
      </x:c>
      <x:c r="O1202">
        <x:v>4.5308999999999999</x:v>
      </x:c>
      <x:c r="P1202">
        <x:v>-3.4870999999999999</x:v>
      </x:c>
      <x:c r="Q1202">
        <x:v>24.5716</x:v>
      </x:c>
      <x:c r="R1202">
        <x:v>31.128799999999998</x:v>
      </x:c>
      <x:c r="S1202">
        <x:v>1.6015999999999999</x:v>
      </x:c>
      <x:c r="T1202" t="str">
        <x:f>""</x:f>
        <x:v/>
      </x:c>
      <x:c r="U1202" t="str">
        <x:f>""</x:f>
        <x:v/>
      </x:c>
      <x:c r="V1202" t="str">
        <x:f>""</x:f>
        <x:v/>
      </x:c>
      <x:c r="W1202" t="str">
        <x:f>""</x:f>
        <x:v/>
      </x:c>
      <x:c r="X1202" t="str">
        <x:f>""</x:f>
        <x:v/>
      </x:c>
      <x:c r="Y1202" t="str">
        <x:f>""</x:f>
        <x:v/>
      </x:c>
      <x:c r="Z1202" t="str">
        <x:f>""</x:f>
        <x:v/>
      </x:c>
      <x:c r="AA1202" t="str">
        <x:f>""</x:f>
        <x:v/>
      </x:c>
      <x:c r="AB1202" t="str">
        <x:f>""</x:f>
        <x:v/>
      </x:c>
      <x:c r="AC1202" t="str">
        <x:f>""</x:f>
        <x:v/>
      </x:c>
      <x:c r="AD1202" t="str">
        <x:f>""</x:f>
        <x:v/>
      </x:c>
      <x:c r="AE1202" t="str">
        <x:f>""</x:f>
        <x:v/>
      </x:c>
      <x:c r="AF1202" t="str">
        <x:f>""</x:f>
        <x:v/>
      </x:c>
      <x:c r="AG1202" t="str">
        <x:f>""</x:f>
        <x:v/>
      </x:c>
    </x:row>
    <x:row r="1203" spans="2:33" x14ac:dyDescent="0.25">
      <x:c r="B1203" t="str">
        <x:f>"EIPX US Equity"</x:f>
        <x:v>EIPX US Equity</x:v>
      </x:c>
      <x:c r="C1203" t="str">
        <x:f t="shared" si="50"/>
        <x:v>FD447</x:v>
      </x:c>
      <x:c r="D1203" t="str">
        <x:f t="shared" si="51"/>
        <x:v>FUND_FLOW</x:v>
      </x:c>
      <x:c r="E1203" t="str">
        <x:f t="shared" si="52"/>
        <x:v>Dynamic</x:v>
      </x:c>
      <x:c r="F1203">
        <x:f ca="1">_xll.BDH($B$1203,$C$1203,$B$1010,$B$1011,CONCATENATE("Per=",$B$1008),"Dts=H","Dir=H",CONCATENATE("Points=",$B$1009),"Sort=R","Days=A","Fill=B",CONCATENATE("FX=", $B$1007),"cols=14;rows=1")</x:f>
        <x:v>60.394500000000001</x:v>
      </x:c>
      <x:c r="G1203">
        <x:v>6.4279999999999999</x:v>
      </x:c>
      <x:c r="H1203">
        <x:v>4.1910999999999996</x:v>
      </x:c>
      <x:c r="I1203">
        <x:v>-1.7000000000000001E-2</x:v>
      </x:c>
      <x:c r="J1203">
        <x:v>4.9749999999999996</x:v>
      </x:c>
      <x:c r="K1203">
        <x:v>11.864000000000001</x:v>
      </x:c>
      <x:c r="L1203">
        <x:v>2.0619999999999998</x:v>
      </x:c>
      <x:c r="M1203">
        <x:v>3.8664999999999998</x:v>
      </x:c>
      <x:c r="N1203">
        <x:v>9.23</x:v>
      </x:c>
      <x:c r="O1203">
        <x:v>15.9048</x:v>
      </x:c>
      <x:c r="P1203">
        <x:v>1.9648000000000001</x:v>
      </x:c>
      <x:c r="Q1203">
        <x:v>85.285600000000002</x:v>
      </x:c>
      <x:c r="T1203" t="str">
        <x:f>""</x:f>
        <x:v/>
      </x:c>
      <x:c r="U1203" t="str">
        <x:f>""</x:f>
        <x:v/>
      </x:c>
      <x:c r="V1203" t="str">
        <x:f>""</x:f>
        <x:v/>
      </x:c>
      <x:c r="W1203" t="str">
        <x:f>""</x:f>
        <x:v/>
      </x:c>
      <x:c r="X1203" t="str">
        <x:f>""</x:f>
        <x:v/>
      </x:c>
      <x:c r="Y1203" t="str">
        <x:f>""</x:f>
        <x:v/>
      </x:c>
      <x:c r="Z1203" t="str">
        <x:f>""</x:f>
        <x:v/>
      </x:c>
      <x:c r="AA1203" t="str">
        <x:f>""</x:f>
        <x:v/>
      </x:c>
      <x:c r="AB1203" t="str">
        <x:f>""</x:f>
        <x:v/>
      </x:c>
      <x:c r="AC1203" t="str">
        <x:f>""</x:f>
        <x:v/>
      </x:c>
      <x:c r="AD1203" t="str">
        <x:f>""</x:f>
        <x:v/>
      </x:c>
      <x:c r="AE1203" t="str">
        <x:f>""</x:f>
        <x:v/>
      </x:c>
      <x:c r="AF1203" t="str">
        <x:f>""</x:f>
        <x:v/>
      </x:c>
      <x:c r="AG1203" t="str">
        <x:f>""</x:f>
        <x:v/>
      </x:c>
    </x:row>
    <x:row r="1204" spans="2:33" x14ac:dyDescent="0.25">
      <x:c r="B1204" t="str">
        <x:f>"NVIR US Equity"</x:f>
        <x:v>NVIR US Equity</x:v>
      </x:c>
      <x:c r="C1204" t="str">
        <x:f t="shared" si="50"/>
        <x:v>FD447</x:v>
      </x:c>
      <x:c r="D1204" t="str">
        <x:f t="shared" si="51"/>
        <x:v>FUND_FLOW</x:v>
      </x:c>
      <x:c r="E1204" t="str">
        <x:f t="shared" si="52"/>
        <x:v>Dynamic</x:v>
      </x:c>
      <x:c r="F1204">
        <x:f ca="1">_xll.BDH($B$1204,$C$1204,$B$1010,$B$1011,CONCATENATE("Per=",$B$1008),"Dts=H","Dir=H",CONCATENATE("Points=",$B$1009),"Sort=R","Days=A","Fill=B",CONCATENATE("FX=", $B$1007),"cols=14;rows=1")</x:f>
        <x:v>-1.3019000000000001</x:v>
      </x:c>
      <x:c r="G1204">
        <x:v>2.024</x:v>
      </x:c>
      <x:c r="H1204">
        <x:v>0</x:v>
      </x:c>
      <x:c r="I1204">
        <x:v>0</x:v>
      </x:c>
      <x:c r="J1204">
        <x:v>0</x:v>
      </x:c>
      <x:c r="K1204">
        <x:v>0</x:v>
      </x:c>
      <x:c r="L1204">
        <x:v>0</x:v>
      </x:c>
      <x:c r="M1204">
        <x:v>1.2094</x:v>
      </x:c>
      <x:c r="N1204">
        <x:v>0</x:v>
      </x:c>
      <x:c r="T1204" t="str">
        <x:f>""</x:f>
        <x:v/>
      </x:c>
      <x:c r="U1204" t="str">
        <x:f>""</x:f>
        <x:v/>
      </x:c>
      <x:c r="V1204" t="str">
        <x:f>""</x:f>
        <x:v/>
      </x:c>
      <x:c r="W1204" t="str">
        <x:f>""</x:f>
        <x:v/>
      </x:c>
      <x:c r="X1204" t="str">
        <x:f>""</x:f>
        <x:v/>
      </x:c>
      <x:c r="Y1204" t="str">
        <x:f>""</x:f>
        <x:v/>
      </x:c>
      <x:c r="Z1204" t="str">
        <x:f>""</x:f>
        <x:v/>
      </x:c>
      <x:c r="AA1204" t="str">
        <x:f>""</x:f>
        <x:v/>
      </x:c>
      <x:c r="AB1204" t="str">
        <x:f>""</x:f>
        <x:v/>
      </x:c>
      <x:c r="AC1204" t="str">
        <x:f>""</x:f>
        <x:v/>
      </x:c>
      <x:c r="AD1204" t="str">
        <x:f>""</x:f>
        <x:v/>
      </x:c>
      <x:c r="AE1204" t="str">
        <x:f>""</x:f>
        <x:v/>
      </x:c>
      <x:c r="AF1204" t="str">
        <x:f>""</x:f>
        <x:v/>
      </x:c>
      <x:c r="AG1204" t="str">
        <x:f>""</x:f>
        <x:v/>
      </x:c>
    </x:row>
    <x:row r="1205" spans="2:33" x14ac:dyDescent="0.25">
      <x:c r="B1205" t="str">
        <x:f>"RNWZ US Equity"</x:f>
        <x:v>RNWZ US Equity</x:v>
      </x:c>
      <x:c r="C1205" t="str">
        <x:f t="shared" si="50"/>
        <x:v>FD447</x:v>
      </x:c>
      <x:c r="D1205" t="str">
        <x:f t="shared" si="51"/>
        <x:v>FUND_FLOW</x:v>
      </x:c>
      <x:c r="E1205" t="str">
        <x:f t="shared" si="52"/>
        <x:v>Dynamic</x:v>
      </x:c>
      <x:c r="F1205">
        <x:f ca="1">_xll.BDH($B$1205,$C$1205,$B$1010,$B$1011,CONCATENATE("Per=",$B$1008),"Dts=H","Dir=H",CONCATENATE("Points=",$B$1009),"Sort=R","Days=A","Fill=B",CONCATENATE("FX=", $B$1007),"cols=14;rows=1")</x:f>
        <x:v>0</x:v>
      </x:c>
      <x:c r="G1205">
        <x:v>0</x:v>
      </x:c>
      <x:c r="H1205">
        <x:v>-0.2336</x:v>
      </x:c>
      <x:c r="I1205">
        <x:v>0</x:v>
      </x:c>
      <x:c r="J1205">
        <x:v>0.48570000000000002</x:v>
      </x:c>
      <x:c r="K1205">
        <x:v>0</x:v>
      </x:c>
      <x:c r="L1205">
        <x:v>0</x:v>
      </x:c>
      <x:c r="M1205">
        <x:v>0</x:v>
      </x:c>
      <x:c r="N1205">
        <x:v>0</x:v>
      </x:c>
      <x:c r="O1205">
        <x:v>0</x:v>
      </x:c>
      <x:c r="P1205">
        <x:v>2.4950999999999999</x:v>
      </x:c>
      <x:c r="T1205" t="str">
        <x:f>""</x:f>
        <x:v/>
      </x:c>
      <x:c r="U1205" t="str">
        <x:f>""</x:f>
        <x:v/>
      </x:c>
      <x:c r="V1205" t="str">
        <x:f>""</x:f>
        <x:v/>
      </x:c>
      <x:c r="W1205" t="str">
        <x:f>""</x:f>
        <x:v/>
      </x:c>
      <x:c r="X1205" t="str">
        <x:f>""</x:f>
        <x:v/>
      </x:c>
      <x:c r="Y1205" t="str">
        <x:f>""</x:f>
        <x:v/>
      </x:c>
      <x:c r="Z1205" t="str">
        <x:f>""</x:f>
        <x:v/>
      </x:c>
      <x:c r="AA1205" t="str">
        <x:f>""</x:f>
        <x:v/>
      </x:c>
      <x:c r="AB1205" t="str">
        <x:f>""</x:f>
        <x:v/>
      </x:c>
      <x:c r="AC1205" t="str">
        <x:f>""</x:f>
        <x:v/>
      </x:c>
      <x:c r="AD1205" t="str">
        <x:f>""</x:f>
        <x:v/>
      </x:c>
      <x:c r="AE1205" t="str">
        <x:f>""</x:f>
        <x:v/>
      </x:c>
      <x:c r="AF1205" t="str">
        <x:f>""</x:f>
        <x:v/>
      </x:c>
      <x:c r="AG1205" t="str">
        <x:f>""</x:f>
        <x:v/>
      </x:c>
    </x:row>
    <x:row r="1206" spans="2:33" x14ac:dyDescent="0.25">
      <x:c r="B1206" t="str">
        <x:f>"TSLH US Equity"</x:f>
        <x:v>TSLH US Equity</x:v>
      </x:c>
      <x:c r="C1206" t="str">
        <x:f t="shared" ref="C1206:C1269" si="53">"FD447"</x:f>
        <x:v>FD447</x:v>
      </x:c>
      <x:c r="D1206" t="str">
        <x:f t="shared" ref="D1206:D1269" si="54">"FUND_FLOW"</x:f>
        <x:v>FUND_FLOW</x:v>
      </x:c>
      <x:c r="E1206" t="str">
        <x:f t="shared" ref="E1206:E1269" si="55">"Dynamic"</x:f>
        <x:v>Dynamic</x:v>
      </x:c>
      <x:c r="F1206">
        <x:f ca="1">_xll.BDH($B$1206,$C$1206,$B$1010,$B$1011,CONCATENATE("Per=",$B$1008),"Dts=H","Dir=H",CONCATENATE("Points=",$B$1009),"Sort=R","Days=A","Fill=B",CONCATENATE("FX=", $B$1007),"cols=14;rows=1")</x:f>
        <x:v>0</x:v>
      </x:c>
      <x:c r="G1206">
        <x:v>0</x:v>
      </x:c>
      <x:c r="H1206">
        <x:v>0</x:v>
      </x:c>
      <x:c r="I1206">
        <x:v>0</x:v>
      </x:c>
      <x:c r="J1206">
        <x:v>0</x:v>
      </x:c>
      <x:c r="K1206">
        <x:v>0</x:v>
      </x:c>
      <x:c r="L1206">
        <x:v>0</x:v>
      </x:c>
      <x:c r="M1206">
        <x:v>-0.47689999999999999</x:v>
      </x:c>
      <x:c r="N1206">
        <x:v>0</x:v>
      </x:c>
      <x:c r="O1206">
        <x:v>0</x:v>
      </x:c>
      <x:c r="P1206">
        <x:v>0</x:v>
      </x:c>
      <x:c r="Q1206">
        <x:v>0</x:v>
      </x:c>
      <x:c r="R1206">
        <x:v>0</x:v>
      </x:c>
      <x:c r="S1206">
        <x:v>0.14810000000000001</x:v>
      </x:c>
      <x:c r="T1206" t="str">
        <x:f>""</x:f>
        <x:v/>
      </x:c>
      <x:c r="U1206" t="str">
        <x:f>""</x:f>
        <x:v/>
      </x:c>
      <x:c r="V1206" t="str">
        <x:f>""</x:f>
        <x:v/>
      </x:c>
      <x:c r="W1206" t="str">
        <x:f>""</x:f>
        <x:v/>
      </x:c>
      <x:c r="X1206" t="str">
        <x:f>""</x:f>
        <x:v/>
      </x:c>
      <x:c r="Y1206" t="str">
        <x:f>""</x:f>
        <x:v/>
      </x:c>
      <x:c r="Z1206" t="str">
        <x:f>""</x:f>
        <x:v/>
      </x:c>
      <x:c r="AA1206" t="str">
        <x:f>""</x:f>
        <x:v/>
      </x:c>
      <x:c r="AB1206" t="str">
        <x:f>""</x:f>
        <x:v/>
      </x:c>
      <x:c r="AC1206" t="str">
        <x:f>""</x:f>
        <x:v/>
      </x:c>
      <x:c r="AD1206" t="str">
        <x:f>""</x:f>
        <x:v/>
      </x:c>
      <x:c r="AE1206" t="str">
        <x:f>""</x:f>
        <x:v/>
      </x:c>
      <x:c r="AF1206" t="str">
        <x:f>""</x:f>
        <x:v/>
      </x:c>
      <x:c r="AG1206" t="str">
        <x:f>""</x:f>
        <x:v/>
      </x:c>
    </x:row>
    <x:row r="1207" spans="2:33" x14ac:dyDescent="0.25">
      <x:c r="B1207" t="str">
        <x:f>"TSLQ US Equity"</x:f>
        <x:v>TSLQ US Equity</x:v>
      </x:c>
      <x:c r="C1207" t="str">
        <x:f t="shared" si="53"/>
        <x:v>FD447</x:v>
      </x:c>
      <x:c r="D1207" t="str">
        <x:f t="shared" si="54"/>
        <x:v>FUND_FLOW</x:v>
      </x:c>
      <x:c r="E1207" t="str">
        <x:f t="shared" si="55"/>
        <x:v>Dynamic</x:v>
      </x:c>
      <x:c r="F1207">
        <x:f ca="1">_xll.BDH($B$1207,$C$1207,$B$1010,$B$1011,CONCATENATE("Per=",$B$1008),"Dts=H","Dir=H",CONCATENATE("Points=",$B$1009),"Sort=R","Days=A","Fill=B",CONCATENATE("FX=", $B$1007),"cols=14;rows=1")</x:f>
        <x:v>8.5633999999999997</x:v>
      </x:c>
      <x:c r="G1207">
        <x:v>2.7334000000000001</x:v>
      </x:c>
      <x:c r="H1207">
        <x:v>-33.229700000000001</x:v>
      </x:c>
      <x:c r="I1207">
        <x:v>11.413399999999999</x:v>
      </x:c>
      <x:c r="J1207">
        <x:v>46.335299999999997</x:v>
      </x:c>
      <x:c r="K1207">
        <x:v>-15.6837</x:v>
      </x:c>
      <x:c r="L1207">
        <x:v>-4.1989000000000001</x:v>
      </x:c>
      <x:c r="M1207">
        <x:v>-85.718100000000007</x:v>
      </x:c>
      <x:c r="N1207">
        <x:v>40.5319</x:v>
      </x:c>
      <x:c r="O1207">
        <x:v>132.30160000000001</x:v>
      </x:c>
      <x:c r="P1207">
        <x:v>7.0921000000000003</x:v>
      </x:c>
      <x:c r="Q1207">
        <x:v>0.70089999999999997</x:v>
      </x:c>
      <x:c r="R1207">
        <x:v>-19.2317</x:v>
      </x:c>
      <x:c r="S1207">
        <x:v>10.2141</x:v>
      </x:c>
      <x:c r="T1207" t="str">
        <x:f>""</x:f>
        <x:v/>
      </x:c>
      <x:c r="U1207" t="str">
        <x:f>""</x:f>
        <x:v/>
      </x:c>
      <x:c r="V1207" t="str">
        <x:f>""</x:f>
        <x:v/>
      </x:c>
      <x:c r="W1207" t="str">
        <x:f>""</x:f>
        <x:v/>
      </x:c>
      <x:c r="X1207" t="str">
        <x:f>""</x:f>
        <x:v/>
      </x:c>
      <x:c r="Y1207" t="str">
        <x:f>""</x:f>
        <x:v/>
      </x:c>
      <x:c r="Z1207" t="str">
        <x:f>""</x:f>
        <x:v/>
      </x:c>
      <x:c r="AA1207" t="str">
        <x:f>""</x:f>
        <x:v/>
      </x:c>
      <x:c r="AB1207" t="str">
        <x:f>""</x:f>
        <x:v/>
      </x:c>
      <x:c r="AC1207" t="str">
        <x:f>""</x:f>
        <x:v/>
      </x:c>
      <x:c r="AD1207" t="str">
        <x:f>""</x:f>
        <x:v/>
      </x:c>
      <x:c r="AE1207" t="str">
        <x:f>""</x:f>
        <x:v/>
      </x:c>
      <x:c r="AF1207" t="str">
        <x:f>""</x:f>
        <x:v/>
      </x:c>
      <x:c r="AG1207" t="str">
        <x:f>""</x:f>
        <x:v/>
      </x:c>
    </x:row>
    <x:row r="1208" spans="2:33" x14ac:dyDescent="0.25">
      <x:c r="B1208" t="str">
        <x:f>"WTID US Equity"</x:f>
        <x:v>WTID US Equity</x:v>
      </x:c>
      <x:c r="C1208" t="str">
        <x:f t="shared" si="53"/>
        <x:v>FD447</x:v>
      </x:c>
      <x:c r="D1208" t="str">
        <x:f t="shared" si="54"/>
        <x:v>FUND_FLOW</x:v>
      </x:c>
      <x:c r="E1208" t="str">
        <x:f t="shared" si="55"/>
        <x:v>Dynamic</x:v>
      </x:c>
      <x:c r="F1208">
        <x:f ca="1">_xll.BDH($B$1208,$C$1208,$B$1010,$B$1011,CONCATENATE("Per=",$B$1008),"Dts=H","Dir=H",CONCATENATE("Points=",$B$1009),"Sort=R","Days=A","Fill=B",CONCATENATE("FX=", $B$1007),"cols=14;rows=1")</x:f>
        <x:v>0</x:v>
      </x:c>
      <x:c r="G1208">
        <x:v>0</x:v>
      </x:c>
      <x:c r="H1208">
        <x:v>0</x:v>
      </x:c>
      <x:c r="I1208">
        <x:v>0</x:v>
      </x:c>
      <x:c r="J1208">
        <x:v>0</x:v>
      </x:c>
      <x:c r="K1208">
        <x:v>0</x:v>
      </x:c>
      <x:c r="L1208">
        <x:v>0</x:v>
      </x:c>
      <x:c r="M1208">
        <x:v>0</x:v>
      </x:c>
      <x:c r="N1208">
        <x:v>0</x:v>
      </x:c>
      <x:c r="T1208" t="str">
        <x:f>""</x:f>
        <x:v/>
      </x:c>
      <x:c r="U1208" t="str">
        <x:f>""</x:f>
        <x:v/>
      </x:c>
      <x:c r="V1208" t="str">
        <x:f>""</x:f>
        <x:v/>
      </x:c>
      <x:c r="W1208" t="str">
        <x:f>""</x:f>
        <x:v/>
      </x:c>
      <x:c r="X1208" t="str">
        <x:f>""</x:f>
        <x:v/>
      </x:c>
      <x:c r="Y1208" t="str">
        <x:f>""</x:f>
        <x:v/>
      </x:c>
      <x:c r="Z1208" t="str">
        <x:f>""</x:f>
        <x:v/>
      </x:c>
      <x:c r="AA1208" t="str">
        <x:f>""</x:f>
        <x:v/>
      </x:c>
      <x:c r="AB1208" t="str">
        <x:f>""</x:f>
        <x:v/>
      </x:c>
      <x:c r="AC1208" t="str">
        <x:f>""</x:f>
        <x:v/>
      </x:c>
      <x:c r="AD1208" t="str">
        <x:f>""</x:f>
        <x:v/>
      </x:c>
      <x:c r="AE1208" t="str">
        <x:f>""</x:f>
        <x:v/>
      </x:c>
      <x:c r="AF1208" t="str">
        <x:f>""</x:f>
        <x:v/>
      </x:c>
      <x:c r="AG1208" t="str">
        <x:f>""</x:f>
        <x:v/>
      </x:c>
    </x:row>
    <x:row r="1209" spans="2:33" x14ac:dyDescent="0.25">
      <x:c r="B1209" t="str">
        <x:f>"WTIU US Equity"</x:f>
        <x:v>WTIU US Equity</x:v>
      </x:c>
      <x:c r="C1209" t="str">
        <x:f t="shared" si="53"/>
        <x:v>FD447</x:v>
      </x:c>
      <x:c r="D1209" t="str">
        <x:f t="shared" si="54"/>
        <x:v>FUND_FLOW</x:v>
      </x:c>
      <x:c r="E1209" t="str">
        <x:f t="shared" si="55"/>
        <x:v>Dynamic</x:v>
      </x:c>
      <x:c r="F1209">
        <x:f ca="1">_xll.BDH($B$1209,$C$1209,$B$1010,$B$1011,CONCATENATE("Per=",$B$1008),"Dts=H","Dir=H",CONCATENATE("Points=",$B$1009),"Sort=R","Days=A","Fill=B",CONCATENATE("FX=", $B$1007),"cols=14;rows=1")</x:f>
        <x:v>0</x:v>
      </x:c>
      <x:c r="G1209">
        <x:v>0</x:v>
      </x:c>
      <x:c r="H1209">
        <x:v>0</x:v>
      </x:c>
      <x:c r="I1209">
        <x:v>0</x:v>
      </x:c>
      <x:c r="J1209">
        <x:v>0</x:v>
      </x:c>
      <x:c r="K1209">
        <x:v>0</x:v>
      </x:c>
      <x:c r="L1209">
        <x:v>0</x:v>
      </x:c>
      <x:c r="M1209">
        <x:v>0</x:v>
      </x:c>
      <x:c r="N1209">
        <x:v>0</x:v>
      </x:c>
      <x:c r="T1209" t="str">
        <x:f>""</x:f>
        <x:v/>
      </x:c>
      <x:c r="U1209" t="str">
        <x:f>""</x:f>
        <x:v/>
      </x:c>
      <x:c r="V1209" t="str">
        <x:f>""</x:f>
        <x:v/>
      </x:c>
      <x:c r="W1209" t="str">
        <x:f>""</x:f>
        <x:v/>
      </x:c>
      <x:c r="X1209" t="str">
        <x:f>""</x:f>
        <x:v/>
      </x:c>
      <x:c r="Y1209" t="str">
        <x:f>""</x:f>
        <x:v/>
      </x:c>
      <x:c r="Z1209" t="str">
        <x:f>""</x:f>
        <x:v/>
      </x:c>
      <x:c r="AA1209" t="str">
        <x:f>""</x:f>
        <x:v/>
      </x:c>
      <x:c r="AB1209" t="str">
        <x:f>""</x:f>
        <x:v/>
      </x:c>
      <x:c r="AC1209" t="str">
        <x:f>""</x:f>
        <x:v/>
      </x:c>
      <x:c r="AD1209" t="str">
        <x:f>""</x:f>
        <x:v/>
      </x:c>
      <x:c r="AE1209" t="str">
        <x:f>""</x:f>
        <x:v/>
      </x:c>
      <x:c r="AF1209" t="str">
        <x:f>""</x:f>
        <x:v/>
      </x:c>
      <x:c r="AG1209" t="str">
        <x:f>""</x:f>
        <x:v/>
      </x:c>
    </x:row>
    <x:row r="1210" spans="2:33" x14ac:dyDescent="0.25">
      <x:c r="B1210" t="str">
        <x:f>"XLF US Equity"</x:f>
        <x:v>XLF US Equity</x:v>
      </x:c>
      <x:c r="C1210" t="str">
        <x:f t="shared" si="53"/>
        <x:v>FD447</x:v>
      </x:c>
      <x:c r="D1210" t="str">
        <x:f t="shared" si="54"/>
        <x:v>FUND_FLOW</x:v>
      </x:c>
      <x:c r="E1210" t="str">
        <x:f t="shared" si="55"/>
        <x:v>Dynamic</x:v>
      </x:c>
      <x:c r="F1210">
        <x:f ca="1">_xll.BDH($B$1210,$C$1210,$B$1010,$B$1011,CONCATENATE("Per=",$B$1008),"Dts=H","Dir=H",CONCATENATE("Points=",$B$1009),"Sort=R","Days=A","Fill=B",CONCATENATE("FX=", $B$1007),"cols=14;rows=1")</x:f>
        <x:v>-2082.9097999999999</x:v>
      </x:c>
      <x:c r="G1210">
        <x:v>-1495.6664000000001</x:v>
      </x:c>
      <x:c r="H1210">
        <x:v>-1834.9659999999999</x:v>
      </x:c>
      <x:c r="I1210">
        <x:v>1855.5535</x:v>
      </x:c>
      <x:c r="J1210">
        <x:v>2161.6714999999999</x:v>
      </x:c>
      <x:c r="K1210">
        <x:v>-2437.9843999999998</x:v>
      </x:c>
      <x:c r="L1210">
        <x:v>1897.4583</x:v>
      </x:c>
      <x:c r="M1210">
        <x:v>-590.3682</x:v>
      </x:c>
      <x:c r="N1210">
        <x:v>560.57489999999996</x:v>
      </x:c>
      <x:c r="O1210">
        <x:v>228.42449999999999</x:v>
      </x:c>
      <x:c r="P1210">
        <x:v>-454.58710000000002</x:v>
      </x:c>
      <x:c r="Q1210">
        <x:v>318.11669999999998</x:v>
      </x:c>
      <x:c r="R1210">
        <x:v>1021.4597</x:v>
      </x:c>
      <x:c r="S1210">
        <x:v>-3762.8121999999998</x:v>
      </x:c>
      <x:c r="T1210" t="str">
        <x:f>""</x:f>
        <x:v/>
      </x:c>
      <x:c r="U1210" t="str">
        <x:f>""</x:f>
        <x:v/>
      </x:c>
      <x:c r="V1210" t="str">
        <x:f>""</x:f>
        <x:v/>
      </x:c>
      <x:c r="W1210" t="str">
        <x:f>""</x:f>
        <x:v/>
      </x:c>
      <x:c r="X1210" t="str">
        <x:f>""</x:f>
        <x:v/>
      </x:c>
      <x:c r="Y1210" t="str">
        <x:f>""</x:f>
        <x:v/>
      </x:c>
      <x:c r="Z1210" t="str">
        <x:f>""</x:f>
        <x:v/>
      </x:c>
      <x:c r="AA1210" t="str">
        <x:f>""</x:f>
        <x:v/>
      </x:c>
      <x:c r="AB1210" t="str">
        <x:f>""</x:f>
        <x:v/>
      </x:c>
      <x:c r="AC1210" t="str">
        <x:f>""</x:f>
        <x:v/>
      </x:c>
      <x:c r="AD1210" t="str">
        <x:f>""</x:f>
        <x:v/>
      </x:c>
      <x:c r="AE1210" t="str">
        <x:f>""</x:f>
        <x:v/>
      </x:c>
      <x:c r="AF1210" t="str">
        <x:f>""</x:f>
        <x:v/>
      </x:c>
      <x:c r="AG1210" t="str">
        <x:f>""</x:f>
        <x:v/>
      </x:c>
    </x:row>
    <x:row r="1211" spans="2:33" x14ac:dyDescent="0.25">
      <x:c r="B1211" t="str">
        <x:f>"VFH US Equity"</x:f>
        <x:v>VFH US Equity</x:v>
      </x:c>
      <x:c r="C1211" t="str">
        <x:f t="shared" si="53"/>
        <x:v>FD447</x:v>
      </x:c>
      <x:c r="D1211" t="str">
        <x:f t="shared" si="54"/>
        <x:v>FUND_FLOW</x:v>
      </x:c>
      <x:c r="E1211" t="str">
        <x:f t="shared" si="55"/>
        <x:v>Dynamic</x:v>
      </x:c>
      <x:c r="F1211">
        <x:f ca="1">_xll.BDH($B$1211,$C$1211,$B$1010,$B$1011,CONCATENATE("Per=",$B$1008),"Dts=H","Dir=H",CONCATENATE("Points=",$B$1009),"Sort=R","Days=A","Fill=B",CONCATENATE("FX=", $B$1007),"cols=14;rows=1")</x:f>
        <x:v>-813.37980000000005</x:v>
      </x:c>
      <x:c r="G1211">
        <x:v>-78.3</x:v>
      </x:c>
      <x:c r="H1211">
        <x:v>-26.032800000000002</x:v>
      </x:c>
      <x:c r="I1211">
        <x:v>615.80840000000001</x:v>
      </x:c>
      <x:c r="J1211">
        <x:v>-233.57769999999999</x:v>
      </x:c>
      <x:c r="K1211">
        <x:v>181.01599999999999</x:v>
      </x:c>
      <x:c r="L1211">
        <x:v>-16.407599999999999</x:v>
      </x:c>
      <x:c r="M1211">
        <x:v>-321.78129999999999</x:v>
      </x:c>
      <x:c r="N1211">
        <x:v>-135.3843</x:v>
      </x:c>
      <x:c r="O1211">
        <x:v>54.988999999999997</x:v>
      </x:c>
      <x:c r="P1211">
        <x:v>-189.97130000000001</x:v>
      </x:c>
      <x:c r="Q1211">
        <x:v>-4.3817000000000004</x:v>
      </x:c>
      <x:c r="R1211">
        <x:v>-82.282899999999998</x:v>
      </x:c>
      <x:c r="S1211">
        <x:v>10.385400000000001</x:v>
      </x:c>
      <x:c r="T1211" t="str">
        <x:f>""</x:f>
        <x:v/>
      </x:c>
      <x:c r="U1211" t="str">
        <x:f>""</x:f>
        <x:v/>
      </x:c>
      <x:c r="V1211" t="str">
        <x:f>""</x:f>
        <x:v/>
      </x:c>
      <x:c r="W1211" t="str">
        <x:f>""</x:f>
        <x:v/>
      </x:c>
      <x:c r="X1211" t="str">
        <x:f>""</x:f>
        <x:v/>
      </x:c>
      <x:c r="Y1211" t="str">
        <x:f>""</x:f>
        <x:v/>
      </x:c>
      <x:c r="Z1211" t="str">
        <x:f>""</x:f>
        <x:v/>
      </x:c>
      <x:c r="AA1211" t="str">
        <x:f>""</x:f>
        <x:v/>
      </x:c>
      <x:c r="AB1211" t="str">
        <x:f>""</x:f>
        <x:v/>
      </x:c>
      <x:c r="AC1211" t="str">
        <x:f>""</x:f>
        <x:v/>
      </x:c>
      <x:c r="AD1211" t="str">
        <x:f>""</x:f>
        <x:v/>
      </x:c>
      <x:c r="AE1211" t="str">
        <x:f>""</x:f>
        <x:v/>
      </x:c>
      <x:c r="AF1211" t="str">
        <x:f>""</x:f>
        <x:v/>
      </x:c>
      <x:c r="AG1211" t="str">
        <x:f>""</x:f>
        <x:v/>
      </x:c>
    </x:row>
    <x:row r="1212" spans="2:33" x14ac:dyDescent="0.25">
      <x:c r="B1212" t="str">
        <x:f>"KRE US Equity"</x:f>
        <x:v>KRE US Equity</x:v>
      </x:c>
      <x:c r="C1212" t="str">
        <x:f t="shared" si="53"/>
        <x:v>FD447</x:v>
      </x:c>
      <x:c r="D1212" t="str">
        <x:f t="shared" si="54"/>
        <x:v>FUND_FLOW</x:v>
      </x:c>
      <x:c r="E1212" t="str">
        <x:f t="shared" si="55"/>
        <x:v>Dynamic</x:v>
      </x:c>
      <x:c r="F1212">
        <x:f ca="1">_xll.BDH($B$1212,$C$1212,$B$1010,$B$1011,CONCATENATE("Per=",$B$1008),"Dts=H","Dir=H",CONCATENATE("Points=",$B$1009),"Sort=R","Days=A","Fill=B",CONCATENATE("FX=", $B$1007),"cols=14;rows=1")</x:f>
        <x:v>-117.833</x:v>
      </x:c>
      <x:c r="G1212">
        <x:v>-133.05879999999999</x:v>
      </x:c>
      <x:c r="H1212">
        <x:v>-408.56330000000003</x:v>
      </x:c>
      <x:c r="I1212">
        <x:v>96.032200000000003</x:v>
      </x:c>
      <x:c r="J1212">
        <x:v>63.811700000000002</x:v>
      </x:c>
      <x:c r="K1212">
        <x:v>9.0999999999999998E-2</x:v>
      </x:c>
      <x:c r="L1212">
        <x:v>208.84219999999999</x:v>
      </x:c>
      <x:c r="M1212">
        <x:v>1363.8779999999999</x:v>
      </x:c>
      <x:c r="N1212">
        <x:v>-203.99969999999999</x:v>
      </x:c>
      <x:c r="O1212">
        <x:v>-241.37620000000001</x:v>
      </x:c>
      <x:c r="P1212">
        <x:v>-277.7851</x:v>
      </x:c>
      <x:c r="Q1212">
        <x:v>-343.93680000000001</x:v>
      </x:c>
      <x:c r="R1212">
        <x:v>244.6952</x:v>
      </x:c>
      <x:c r="S1212">
        <x:v>-93.863</x:v>
      </x:c>
      <x:c r="T1212" t="str">
        <x:f>""</x:f>
        <x:v/>
      </x:c>
      <x:c r="U1212" t="str">
        <x:f>""</x:f>
        <x:v/>
      </x:c>
      <x:c r="V1212" t="str">
        <x:f>""</x:f>
        <x:v/>
      </x:c>
      <x:c r="W1212" t="str">
        <x:f>""</x:f>
        <x:v/>
      </x:c>
      <x:c r="X1212" t="str">
        <x:f>""</x:f>
        <x:v/>
      </x:c>
      <x:c r="Y1212" t="str">
        <x:f>""</x:f>
        <x:v/>
      </x:c>
      <x:c r="Z1212" t="str">
        <x:f>""</x:f>
        <x:v/>
      </x:c>
      <x:c r="AA1212" t="str">
        <x:f>""</x:f>
        <x:v/>
      </x:c>
      <x:c r="AB1212" t="str">
        <x:f>""</x:f>
        <x:v/>
      </x:c>
      <x:c r="AC1212" t="str">
        <x:f>""</x:f>
        <x:v/>
      </x:c>
      <x:c r="AD1212" t="str">
        <x:f>""</x:f>
        <x:v/>
      </x:c>
      <x:c r="AE1212" t="str">
        <x:f>""</x:f>
        <x:v/>
      </x:c>
      <x:c r="AF1212" t="str">
        <x:f>""</x:f>
        <x:v/>
      </x:c>
      <x:c r="AG1212" t="str">
        <x:f>""</x:f>
        <x:v/>
      </x:c>
    </x:row>
    <x:row r="1213" spans="2:33" x14ac:dyDescent="0.25">
      <x:c r="B1213" t="str">
        <x:f>"KBE US Equity"</x:f>
        <x:v>KBE US Equity</x:v>
      </x:c>
      <x:c r="C1213" t="str">
        <x:f t="shared" si="53"/>
        <x:v>FD447</x:v>
      </x:c>
      <x:c r="D1213" t="str">
        <x:f t="shared" si="54"/>
        <x:v>FUND_FLOW</x:v>
      </x:c>
      <x:c r="E1213" t="str">
        <x:f t="shared" si="55"/>
        <x:v>Dynamic</x:v>
      </x:c>
      <x:c r="F1213">
        <x:f ca="1">_xll.BDH($B$1213,$C$1213,$B$1010,$B$1011,CONCATENATE("Per=",$B$1008),"Dts=H","Dir=H",CONCATENATE("Points=",$B$1009),"Sort=R","Days=A","Fill=B",CONCATENATE("FX=", $B$1007),"cols=14;rows=1")</x:f>
        <x:v>-39.768900000000002</x:v>
      </x:c>
      <x:c r="G1213">
        <x:v>-213.69929999999999</x:v>
      </x:c>
      <x:c r="H1213">
        <x:v>75.328199999999995</x:v>
      </x:c>
      <x:c r="I1213">
        <x:v>-150.0985</x:v>
      </x:c>
      <x:c r="J1213">
        <x:v>97.073400000000007</x:v>
      </x:c>
      <x:c r="K1213">
        <x:v>-103.2587</x:v>
      </x:c>
      <x:c r="L1213">
        <x:v>5.6847000000000003</x:v>
      </x:c>
      <x:c r="M1213">
        <x:v>118.1053</x:v>
      </x:c>
      <x:c r="N1213">
        <x:v>-90.900700000000001</x:v>
      </x:c>
      <x:c r="O1213">
        <x:v>-59.007599999999996</x:v>
      </x:c>
      <x:c r="P1213">
        <x:v>-289.22640000000001</x:v>
      </x:c>
      <x:c r="Q1213">
        <x:v>-93.245099999999994</x:v>
      </x:c>
      <x:c r="R1213">
        <x:v>103.9815</x:v>
      </x:c>
      <x:c r="S1213">
        <x:v>-6.6684999999999999</x:v>
      </x:c>
      <x:c r="T1213" t="str">
        <x:f>""</x:f>
        <x:v/>
      </x:c>
      <x:c r="U1213" t="str">
        <x:f>""</x:f>
        <x:v/>
      </x:c>
      <x:c r="V1213" t="str">
        <x:f>""</x:f>
        <x:v/>
      </x:c>
      <x:c r="W1213" t="str">
        <x:f>""</x:f>
        <x:v/>
      </x:c>
      <x:c r="X1213" t="str">
        <x:f>""</x:f>
        <x:v/>
      </x:c>
      <x:c r="Y1213" t="str">
        <x:f>""</x:f>
        <x:v/>
      </x:c>
      <x:c r="Z1213" t="str">
        <x:f>""</x:f>
        <x:v/>
      </x:c>
      <x:c r="AA1213" t="str">
        <x:f>""</x:f>
        <x:v/>
      </x:c>
      <x:c r="AB1213" t="str">
        <x:f>""</x:f>
        <x:v/>
      </x:c>
      <x:c r="AC1213" t="str">
        <x:f>""</x:f>
        <x:v/>
      </x:c>
      <x:c r="AD1213" t="str">
        <x:f>""</x:f>
        <x:v/>
      </x:c>
      <x:c r="AE1213" t="str">
        <x:f>""</x:f>
        <x:v/>
      </x:c>
      <x:c r="AF1213" t="str">
        <x:f>""</x:f>
        <x:v/>
      </x:c>
      <x:c r="AG1213" t="str">
        <x:f>""</x:f>
        <x:v/>
      </x:c>
    </x:row>
    <x:row r="1214" spans="2:33" x14ac:dyDescent="0.25">
      <x:c r="B1214" t="str">
        <x:f>"IYF US Equity"</x:f>
        <x:v>IYF US Equity</x:v>
      </x:c>
      <x:c r="C1214" t="str">
        <x:f t="shared" si="53"/>
        <x:v>FD447</x:v>
      </x:c>
      <x:c r="D1214" t="str">
        <x:f t="shared" si="54"/>
        <x:v>FUND_FLOW</x:v>
      </x:c>
      <x:c r="E1214" t="str">
        <x:f t="shared" si="55"/>
        <x:v>Dynamic</x:v>
      </x:c>
      <x:c r="F1214">
        <x:f ca="1">_xll.BDH($B$1214,$C$1214,$B$1010,$B$1011,CONCATENATE("Per=",$B$1008),"Dts=H","Dir=H",CONCATENATE("Points=",$B$1009),"Sort=R","Days=A","Fill=B",CONCATENATE("FX=", $B$1007),"cols=14;rows=1")</x:f>
        <x:v>7.2682000000000002</x:v>
      </x:c>
      <x:c r="G1214">
        <x:v>33.365000000000002</x:v>
      </x:c>
      <x:c r="H1214">
        <x:v>0.17649999999999999</x:v>
      </x:c>
      <x:c r="I1214">
        <x:v>3.2391999999999999</x:v>
      </x:c>
      <x:c r="J1214">
        <x:v>-10.9406</x:v>
      </x:c>
      <x:c r="K1214">
        <x:v>-56.5959</x:v>
      </x:c>
      <x:c r="L1214">
        <x:v>-21.674600000000002</x:v>
      </x:c>
      <x:c r="M1214">
        <x:v>-62.941400000000002</x:v>
      </x:c>
      <x:c r="N1214">
        <x:v>1.2800000000000001E-2</x:v>
      </x:c>
      <x:c r="O1214">
        <x:v>-27.599299999999999</x:v>
      </x:c>
      <x:c r="P1214">
        <x:v>-41.503700000000002</x:v>
      </x:c>
      <x:c r="Q1214">
        <x:v>-4.7584</x:v>
      </x:c>
      <x:c r="R1214">
        <x:v>24.874400000000001</x:v>
      </x:c>
      <x:c r="S1214">
        <x:v>11.089499999999999</x:v>
      </x:c>
      <x:c r="T1214" t="str">
        <x:f>""</x:f>
        <x:v/>
      </x:c>
      <x:c r="U1214" t="str">
        <x:f>""</x:f>
        <x:v/>
      </x:c>
      <x:c r="V1214" t="str">
        <x:f>""</x:f>
        <x:v/>
      </x:c>
      <x:c r="W1214" t="str">
        <x:f>""</x:f>
        <x:v/>
      </x:c>
      <x:c r="X1214" t="str">
        <x:f>""</x:f>
        <x:v/>
      </x:c>
      <x:c r="Y1214" t="str">
        <x:f>""</x:f>
        <x:v/>
      </x:c>
      <x:c r="Z1214" t="str">
        <x:f>""</x:f>
        <x:v/>
      </x:c>
      <x:c r="AA1214" t="str">
        <x:f>""</x:f>
        <x:v/>
      </x:c>
      <x:c r="AB1214" t="str">
        <x:f>""</x:f>
        <x:v/>
      </x:c>
      <x:c r="AC1214" t="str">
        <x:f>""</x:f>
        <x:v/>
      </x:c>
      <x:c r="AD1214" t="str">
        <x:f>""</x:f>
        <x:v/>
      </x:c>
      <x:c r="AE1214" t="str">
        <x:f>""</x:f>
        <x:v/>
      </x:c>
      <x:c r="AF1214" t="str">
        <x:f>""</x:f>
        <x:v/>
      </x:c>
      <x:c r="AG1214" t="str">
        <x:f>""</x:f>
        <x:v/>
      </x:c>
    </x:row>
    <x:row r="1215" spans="2:33" x14ac:dyDescent="0.25">
      <x:c r="B1215" t="str">
        <x:f>"FAS US Equity"</x:f>
        <x:v>FAS US Equity</x:v>
      </x:c>
      <x:c r="C1215" t="str">
        <x:f t="shared" si="53"/>
        <x:v>FD447</x:v>
      </x:c>
      <x:c r="D1215" t="str">
        <x:f t="shared" si="54"/>
        <x:v>FUND_FLOW</x:v>
      </x:c>
      <x:c r="E1215" t="str">
        <x:f t="shared" si="55"/>
        <x:v>Dynamic</x:v>
      </x:c>
      <x:c r="F1215">
        <x:f ca="1">_xll.BDH($B$1215,$C$1215,$B$1010,$B$1011,CONCATENATE("Per=",$B$1008),"Dts=H","Dir=H",CONCATENATE("Points=",$B$1009),"Sort=R","Days=A","Fill=B",CONCATENATE("FX=", $B$1007),"cols=14;rows=1")</x:f>
        <x:v>35.127099999999999</x:v>
      </x:c>
      <x:c r="G1215">
        <x:v>-23.128900000000002</x:v>
      </x:c>
      <x:c r="H1215">
        <x:v>-34.781500000000001</x:v>
      </x:c>
      <x:c r="I1215">
        <x:v>-62.729799999999997</x:v>
      </x:c>
      <x:c r="J1215">
        <x:v>-58.643999999999998</x:v>
      </x:c>
      <x:c r="K1215">
        <x:v>46.256300000000003</x:v>
      </x:c>
      <x:c r="L1215">
        <x:v>-117.6095</x:v>
      </x:c>
      <x:c r="M1215">
        <x:v>383.87029999999999</x:v>
      </x:c>
      <x:c r="N1215">
        <x:v>-31.446200000000001</x:v>
      </x:c>
      <x:c r="O1215">
        <x:v>-99.069900000000004</x:v>
      </x:c>
      <x:c r="P1215">
        <x:v>-39.592100000000002</x:v>
      </x:c>
      <x:c r="Q1215">
        <x:v>-46.569299999999998</x:v>
      </x:c>
      <x:c r="R1215">
        <x:v>-75.329499999999996</x:v>
      </x:c>
      <x:c r="S1215">
        <x:v>62.198399999999999</x:v>
      </x:c>
      <x:c r="T1215" t="str">
        <x:f>""</x:f>
        <x:v/>
      </x:c>
      <x:c r="U1215" t="str">
        <x:f>""</x:f>
        <x:v/>
      </x:c>
      <x:c r="V1215" t="str">
        <x:f>""</x:f>
        <x:v/>
      </x:c>
      <x:c r="W1215" t="str">
        <x:f>""</x:f>
        <x:v/>
      </x:c>
      <x:c r="X1215" t="str">
        <x:f>""</x:f>
        <x:v/>
      </x:c>
      <x:c r="Y1215" t="str">
        <x:f>""</x:f>
        <x:v/>
      </x:c>
      <x:c r="Z1215" t="str">
        <x:f>""</x:f>
        <x:v/>
      </x:c>
      <x:c r="AA1215" t="str">
        <x:f>""</x:f>
        <x:v/>
      </x:c>
      <x:c r="AB1215" t="str">
        <x:f>""</x:f>
        <x:v/>
      </x:c>
      <x:c r="AC1215" t="str">
        <x:f>""</x:f>
        <x:v/>
      </x:c>
      <x:c r="AD1215" t="str">
        <x:f>""</x:f>
        <x:v/>
      </x:c>
      <x:c r="AE1215" t="str">
        <x:f>""</x:f>
        <x:v/>
      </x:c>
      <x:c r="AF1215" t="str">
        <x:f>""</x:f>
        <x:v/>
      </x:c>
      <x:c r="AG1215" t="str">
        <x:f>""</x:f>
        <x:v/>
      </x:c>
    </x:row>
    <x:row r="1216" spans="2:33" x14ac:dyDescent="0.25">
      <x:c r="B1216" t="str">
        <x:f>"IYG US Equity"</x:f>
        <x:v>IYG US Equity</x:v>
      </x:c>
      <x:c r="C1216" t="str">
        <x:f t="shared" si="53"/>
        <x:v>FD447</x:v>
      </x:c>
      <x:c r="D1216" t="str">
        <x:f t="shared" si="54"/>
        <x:v>FUND_FLOW</x:v>
      </x:c>
      <x:c r="E1216" t="str">
        <x:f t="shared" si="55"/>
        <x:v>Dynamic</x:v>
      </x:c>
      <x:c r="F1216">
        <x:f ca="1">_xll.BDH($B$1216,$C$1216,$B$1010,$B$1011,CONCATENATE("Per=",$B$1008),"Dts=H","Dir=H",CONCATENATE("Points=",$B$1009),"Sort=R","Days=A","Fill=B",CONCATENATE("FX=", $B$1007),"cols=14;rows=1")</x:f>
        <x:v>-31.052099999999999</x:v>
      </x:c>
      <x:c r="G1216">
        <x:v>15.603899999999999</x:v>
      </x:c>
      <x:c r="H1216">
        <x:v>-16.344100000000001</x:v>
      </x:c>
      <x:c r="I1216">
        <x:v>-7.3422999999999998</x:v>
      </x:c>
      <x:c r="J1216">
        <x:v>-7.6919000000000004</x:v>
      </x:c>
      <x:c r="K1216">
        <x:v>-37.195</x:v>
      </x:c>
      <x:c r="L1216">
        <x:v>-7.5526999999999997</x:v>
      </x:c>
      <x:c r="M1216">
        <x:v>-113.9092</x:v>
      </x:c>
      <x:c r="N1216">
        <x:v>-17.143599999999999</x:v>
      </x:c>
      <x:c r="O1216">
        <x:v>-17.0688</x:v>
      </x:c>
      <x:c r="P1216">
        <x:v>-23.5885</x:v>
      </x:c>
      <x:c r="Q1216">
        <x:v>-8.1089000000000002</x:v>
      </x:c>
      <x:c r="R1216">
        <x:v>-7.0403000000000002</x:v>
      </x:c>
      <x:c r="S1216">
        <x:v>-16.340299999999999</x:v>
      </x:c>
      <x:c r="T1216" t="str">
        <x:f>""</x:f>
        <x:v/>
      </x:c>
      <x:c r="U1216" t="str">
        <x:f>""</x:f>
        <x:v/>
      </x:c>
      <x:c r="V1216" t="str">
        <x:f>""</x:f>
        <x:v/>
      </x:c>
      <x:c r="W1216" t="str">
        <x:f>""</x:f>
        <x:v/>
      </x:c>
      <x:c r="X1216" t="str">
        <x:f>""</x:f>
        <x:v/>
      </x:c>
      <x:c r="Y1216" t="str">
        <x:f>""</x:f>
        <x:v/>
      </x:c>
      <x:c r="Z1216" t="str">
        <x:f>""</x:f>
        <x:v/>
      </x:c>
      <x:c r="AA1216" t="str">
        <x:f>""</x:f>
        <x:v/>
      </x:c>
      <x:c r="AB1216" t="str">
        <x:f>""</x:f>
        <x:v/>
      </x:c>
      <x:c r="AC1216" t="str">
        <x:f>""</x:f>
        <x:v/>
      </x:c>
      <x:c r="AD1216" t="str">
        <x:f>""</x:f>
        <x:v/>
      </x:c>
      <x:c r="AE1216" t="str">
        <x:f>""</x:f>
        <x:v/>
      </x:c>
      <x:c r="AF1216" t="str">
        <x:f>""</x:f>
        <x:v/>
      </x:c>
      <x:c r="AG1216" t="str">
        <x:f>""</x:f>
        <x:v/>
      </x:c>
    </x:row>
    <x:row r="1217" spans="2:33" x14ac:dyDescent="0.25">
      <x:c r="B1217" t="str">
        <x:f>"EUFN US Equity"</x:f>
        <x:v>EUFN US Equity</x:v>
      </x:c>
      <x:c r="C1217" t="str">
        <x:f t="shared" si="53"/>
        <x:v>FD447</x:v>
      </x:c>
      <x:c r="D1217" t="str">
        <x:f t="shared" si="54"/>
        <x:v>FUND_FLOW</x:v>
      </x:c>
      <x:c r="E1217" t="str">
        <x:f t="shared" si="55"/>
        <x:v>Dynamic</x:v>
      </x:c>
      <x:c r="F1217">
        <x:f ca="1">_xll.BDH($B$1217,$C$1217,$B$1010,$B$1011,CONCATENATE("Per=",$B$1008),"Dts=H","Dir=H",CONCATENATE("Points=",$B$1009),"Sort=R","Days=A","Fill=B",CONCATENATE("FX=", $B$1007),"cols=14;rows=1")</x:f>
        <x:v>-190.08709999999999</x:v>
      </x:c>
      <x:c r="G1217">
        <x:v>-100.7629</x:v>
      </x:c>
      <x:c r="H1217">
        <x:v>-6.8318000000000003</x:v>
      </x:c>
      <x:c r="I1217">
        <x:v>-2.4622000000000002</x:v>
      </x:c>
      <x:c r="J1217">
        <x:v>-40.909599999999998</x:v>
      </x:c>
      <x:c r="K1217">
        <x:v>-39.970799999999997</x:v>
      </x:c>
      <x:c r="L1217">
        <x:v>0</x:v>
      </x:c>
      <x:c r="M1217">
        <x:v>-6.3175999999999997</x:v>
      </x:c>
      <x:c r="N1217">
        <x:v>141.8715</x:v>
      </x:c>
      <x:c r="O1217">
        <x:v>15.222899999999999</x:v>
      </x:c>
      <x:c r="P1217">
        <x:v>-25.288599999999999</x:v>
      </x:c>
      <x:c r="Q1217">
        <x:v>-4.2191999999999998</x:v>
      </x:c>
      <x:c r="R1217">
        <x:v>-41.617699999999999</x:v>
      </x:c>
      <x:c r="S1217">
        <x:v>232.70079999999999</x:v>
      </x:c>
      <x:c r="T1217" t="str">
        <x:f>""</x:f>
        <x:v/>
      </x:c>
      <x:c r="U1217" t="str">
        <x:f>""</x:f>
        <x:v/>
      </x:c>
      <x:c r="V1217" t="str">
        <x:f>""</x:f>
        <x:v/>
      </x:c>
      <x:c r="W1217" t="str">
        <x:f>""</x:f>
        <x:v/>
      </x:c>
      <x:c r="X1217" t="str">
        <x:f>""</x:f>
        <x:v/>
      </x:c>
      <x:c r="Y1217" t="str">
        <x:f>""</x:f>
        <x:v/>
      </x:c>
      <x:c r="Z1217" t="str">
        <x:f>""</x:f>
        <x:v/>
      </x:c>
      <x:c r="AA1217" t="str">
        <x:f>""</x:f>
        <x:v/>
      </x:c>
      <x:c r="AB1217" t="str">
        <x:f>""</x:f>
        <x:v/>
      </x:c>
      <x:c r="AC1217" t="str">
        <x:f>""</x:f>
        <x:v/>
      </x:c>
      <x:c r="AD1217" t="str">
        <x:f>""</x:f>
        <x:v/>
      </x:c>
      <x:c r="AE1217" t="str">
        <x:f>""</x:f>
        <x:v/>
      </x:c>
      <x:c r="AF1217" t="str">
        <x:f>""</x:f>
        <x:v/>
      </x:c>
      <x:c r="AG1217" t="str">
        <x:f>""</x:f>
        <x:v/>
      </x:c>
    </x:row>
    <x:row r="1218" spans="2:33" x14ac:dyDescent="0.25">
      <x:c r="B1218" t="str">
        <x:f>"FTXO US Equity"</x:f>
        <x:v>FTXO US Equity</x:v>
      </x:c>
      <x:c r="C1218" t="str">
        <x:f t="shared" si="53"/>
        <x:v>FD447</x:v>
      </x:c>
      <x:c r="D1218" t="str">
        <x:f t="shared" si="54"/>
        <x:v>FUND_FLOW</x:v>
      </x:c>
      <x:c r="E1218" t="str">
        <x:f t="shared" si="55"/>
        <x:v>Dynamic</x:v>
      </x:c>
      <x:c r="F1218">
        <x:f ca="1">_xll.BDH($B$1218,$C$1218,$B$1010,$B$1011,CONCATENATE("Per=",$B$1008),"Dts=H","Dir=H",CONCATENATE("Points=",$B$1009),"Sort=R","Days=A","Fill=B",CONCATENATE("FX=", $B$1007),"cols=14;rows=1")</x:f>
        <x:v>-1.0238</x:v>
      </x:c>
      <x:c r="G1218">
        <x:v>-1.0963000000000001</x:v>
      </x:c>
      <x:c r="H1218">
        <x:v>2.4554999999999998</x:v>
      </x:c>
      <x:c r="I1218">
        <x:v>-4.5049999999999999</x:v>
      </x:c>
      <x:c r="J1218">
        <x:v>-2.0979999999999999</x:v>
      </x:c>
      <x:c r="K1218">
        <x:v>-12.951000000000001</x:v>
      </x:c>
      <x:c r="L1218">
        <x:v>-16.110399999999998</x:v>
      </x:c>
      <x:c r="M1218">
        <x:v>-4.2847</x:v>
      </x:c>
      <x:c r="N1218">
        <x:v>-2.7780999999999998</x:v>
      </x:c>
      <x:c r="O1218">
        <x:v>12.2113</x:v>
      </x:c>
      <x:c r="P1218">
        <x:v>-2.6661999999999999</x:v>
      </x:c>
      <x:c r="Q1218">
        <x:v>-2.8654999999999999</x:v>
      </x:c>
      <x:c r="R1218">
        <x:v>0</x:v>
      </x:c>
      <x:c r="S1218">
        <x:v>-12.456</x:v>
      </x:c>
      <x:c r="T1218" t="str">
        <x:f>""</x:f>
        <x:v/>
      </x:c>
      <x:c r="U1218" t="str">
        <x:f>""</x:f>
        <x:v/>
      </x:c>
      <x:c r="V1218" t="str">
        <x:f>""</x:f>
        <x:v/>
      </x:c>
      <x:c r="W1218" t="str">
        <x:f>""</x:f>
        <x:v/>
      </x:c>
      <x:c r="X1218" t="str">
        <x:f>""</x:f>
        <x:v/>
      </x:c>
      <x:c r="Y1218" t="str">
        <x:f>""</x:f>
        <x:v/>
      </x:c>
      <x:c r="Z1218" t="str">
        <x:f>""</x:f>
        <x:v/>
      </x:c>
      <x:c r="AA1218" t="str">
        <x:f>""</x:f>
        <x:v/>
      </x:c>
      <x:c r="AB1218" t="str">
        <x:f>""</x:f>
        <x:v/>
      </x:c>
      <x:c r="AC1218" t="str">
        <x:f>""</x:f>
        <x:v/>
      </x:c>
      <x:c r="AD1218" t="str">
        <x:f>""</x:f>
        <x:v/>
      </x:c>
      <x:c r="AE1218" t="str">
        <x:f>""</x:f>
        <x:v/>
      </x:c>
      <x:c r="AF1218" t="str">
        <x:f>""</x:f>
        <x:v/>
      </x:c>
      <x:c r="AG1218" t="str">
        <x:f>""</x:f>
        <x:v/>
      </x:c>
    </x:row>
    <x:row r="1219" spans="2:33" x14ac:dyDescent="0.25">
      <x:c r="B1219" t="str">
        <x:f>"FXO US Equity"</x:f>
        <x:v>FXO US Equity</x:v>
      </x:c>
      <x:c r="C1219" t="str">
        <x:f t="shared" si="53"/>
        <x:v>FD447</x:v>
      </x:c>
      <x:c r="D1219" t="str">
        <x:f t="shared" si="54"/>
        <x:v>FUND_FLOW</x:v>
      </x:c>
      <x:c r="E1219" t="str">
        <x:f t="shared" si="55"/>
        <x:v>Dynamic</x:v>
      </x:c>
      <x:c r="F1219">
        <x:f ca="1">_xll.BDH($B$1219,$C$1219,$B$1010,$B$1011,CONCATENATE("Per=",$B$1008),"Dts=H","Dir=H",CONCATENATE("Points=",$B$1009),"Sort=R","Days=A","Fill=B",CONCATENATE("FX=", $B$1007),"cols=14;rows=1")</x:f>
        <x:v>-27.2182</x:v>
      </x:c>
      <x:c r="G1219">
        <x:v>-19.754100000000001</x:v>
      </x:c>
      <x:c r="H1219">
        <x:v>-35.395800000000001</x:v>
      </x:c>
      <x:c r="I1219">
        <x:v>-44.295999999999999</x:v>
      </x:c>
      <x:c r="J1219">
        <x:v>-53.335500000000003</x:v>
      </x:c>
      <x:c r="K1219">
        <x:v>-95.141999999999996</x:v>
      </x:c>
      <x:c r="L1219">
        <x:v>-72.740499999999997</x:v>
      </x:c>
      <x:c r="M1219">
        <x:v>-769.22349999999994</x:v>
      </x:c>
      <x:c r="N1219">
        <x:v>1064.8209999999999</x:v>
      </x:c>
      <x:c r="O1219">
        <x:v>-14.7354</x:v>
      </x:c>
      <x:c r="P1219">
        <x:v>-11.936500000000001</x:v>
      </x:c>
      <x:c r="Q1219">
        <x:v>-0.36509999999999998</x:v>
      </x:c>
      <x:c r="R1219">
        <x:v>-31.425699999999999</x:v>
      </x:c>
      <x:c r="S1219">
        <x:v>-7.8464</x:v>
      </x:c>
      <x:c r="T1219" t="str">
        <x:f>""</x:f>
        <x:v/>
      </x:c>
      <x:c r="U1219" t="str">
        <x:f>""</x:f>
        <x:v/>
      </x:c>
      <x:c r="V1219" t="str">
        <x:f>""</x:f>
        <x:v/>
      </x:c>
      <x:c r="W1219" t="str">
        <x:f>""</x:f>
        <x:v/>
      </x:c>
      <x:c r="X1219" t="str">
        <x:f>""</x:f>
        <x:v/>
      </x:c>
      <x:c r="Y1219" t="str">
        <x:f>""</x:f>
        <x:v/>
      </x:c>
      <x:c r="Z1219" t="str">
        <x:f>""</x:f>
        <x:v/>
      </x:c>
      <x:c r="AA1219" t="str">
        <x:f>""</x:f>
        <x:v/>
      </x:c>
      <x:c r="AB1219" t="str">
        <x:f>""</x:f>
        <x:v/>
      </x:c>
      <x:c r="AC1219" t="str">
        <x:f>""</x:f>
        <x:v/>
      </x:c>
      <x:c r="AD1219" t="str">
        <x:f>""</x:f>
        <x:v/>
      </x:c>
      <x:c r="AE1219" t="str">
        <x:f>""</x:f>
        <x:v/>
      </x:c>
      <x:c r="AF1219" t="str">
        <x:f>""</x:f>
        <x:v/>
      </x:c>
      <x:c r="AG1219" t="str">
        <x:f>""</x:f>
        <x:v/>
      </x:c>
    </x:row>
    <x:row r="1220" spans="2:33" x14ac:dyDescent="0.25">
      <x:c r="B1220" t="str">
        <x:f>"KIE US Equity"</x:f>
        <x:v>KIE US Equity</x:v>
      </x:c>
      <x:c r="C1220" t="str">
        <x:f t="shared" si="53"/>
        <x:v>FD447</x:v>
      </x:c>
      <x:c r="D1220" t="str">
        <x:f t="shared" si="54"/>
        <x:v>FUND_FLOW</x:v>
      </x:c>
      <x:c r="E1220" t="str">
        <x:f t="shared" si="55"/>
        <x:v>Dynamic</x:v>
      </x:c>
      <x:c r="F1220">
        <x:f ca="1">_xll.BDH($B$1220,$C$1220,$B$1010,$B$1011,CONCATENATE("Per=",$B$1008),"Dts=H","Dir=H",CONCATENATE("Points=",$B$1009),"Sort=R","Days=A","Fill=B",CONCATENATE("FX=", $B$1007),"cols=14;rows=1")</x:f>
        <x:v>19.769100000000002</x:v>
      </x:c>
      <x:c r="G1220">
        <x:v>80.243399999999994</x:v>
      </x:c>
      <x:c r="H1220">
        <x:v>-15.508900000000001</x:v>
      </x:c>
      <x:c r="I1220">
        <x:v>30.238299999999999</x:v>
      </x:c>
      <x:c r="J1220">
        <x:v>-6.2523</x:v>
      </x:c>
      <x:c r="K1220">
        <x:v>-35.847799999999999</x:v>
      </x:c>
      <x:c r="L1220">
        <x:v>59.422600000000003</x:v>
      </x:c>
      <x:c r="M1220">
        <x:v>-72.892099999999999</x:v>
      </x:c>
      <x:c r="N1220">
        <x:v>62.829099999999997</x:v>
      </x:c>
      <x:c r="O1220">
        <x:v>-30.542100000000001</x:v>
      </x:c>
      <x:c r="P1220">
        <x:v>-86.959900000000005</x:v>
      </x:c>
      <x:c r="Q1220">
        <x:v>79.819900000000004</x:v>
      </x:c>
      <x:c r="R1220">
        <x:v>52.1492</x:v>
      </x:c>
      <x:c r="S1220">
        <x:v>-80.956199999999995</x:v>
      </x:c>
      <x:c r="T1220" t="str">
        <x:f>""</x:f>
        <x:v/>
      </x:c>
      <x:c r="U1220" t="str">
        <x:f>""</x:f>
        <x:v/>
      </x:c>
      <x:c r="V1220" t="str">
        <x:f>""</x:f>
        <x:v/>
      </x:c>
      <x:c r="W1220" t="str">
        <x:f>""</x:f>
        <x:v/>
      </x:c>
      <x:c r="X1220" t="str">
        <x:f>""</x:f>
        <x:v/>
      </x:c>
      <x:c r="Y1220" t="str">
        <x:f>""</x:f>
        <x:v/>
      </x:c>
      <x:c r="Z1220" t="str">
        <x:f>""</x:f>
        <x:v/>
      </x:c>
      <x:c r="AA1220" t="str">
        <x:f>""</x:f>
        <x:v/>
      </x:c>
      <x:c r="AB1220" t="str">
        <x:f>""</x:f>
        <x:v/>
      </x:c>
      <x:c r="AC1220" t="str">
        <x:f>""</x:f>
        <x:v/>
      </x:c>
      <x:c r="AD1220" t="str">
        <x:f>""</x:f>
        <x:v/>
      </x:c>
      <x:c r="AE1220" t="str">
        <x:f>""</x:f>
        <x:v/>
      </x:c>
      <x:c r="AF1220" t="str">
        <x:f>""</x:f>
        <x:v/>
      </x:c>
      <x:c r="AG1220" t="str">
        <x:f>""</x:f>
        <x:v/>
      </x:c>
    </x:row>
    <x:row r="1221" spans="2:33" x14ac:dyDescent="0.25">
      <x:c r="B1221" t="str">
        <x:f>"FNCL US Equity"</x:f>
        <x:v>FNCL US Equity</x:v>
      </x:c>
      <x:c r="C1221" t="str">
        <x:f t="shared" si="53"/>
        <x:v>FD447</x:v>
      </x:c>
      <x:c r="D1221" t="str">
        <x:f t="shared" si="54"/>
        <x:v>FUND_FLOW</x:v>
      </x:c>
      <x:c r="E1221" t="str">
        <x:f t="shared" si="55"/>
        <x:v>Dynamic</x:v>
      </x:c>
      <x:c r="F1221">
        <x:f ca="1">_xll.BDH($B$1221,$C$1221,$B$1010,$B$1011,CONCATENATE("Per=",$B$1008),"Dts=H","Dir=H",CONCATENATE("Points=",$B$1009),"Sort=R","Days=A","Fill=B",CONCATENATE("FX=", $B$1007),"cols=14;rows=1")</x:f>
        <x:v>-11.2584</x:v>
      </x:c>
      <x:c r="G1221">
        <x:v>-4.6524000000000001</x:v>
      </x:c>
      <x:c r="H1221">
        <x:v>-4.8400999999999996</x:v>
      </x:c>
      <x:c r="I1221">
        <x:v>-12.3954</x:v>
      </x:c>
      <x:c r="J1221">
        <x:v>-9.1212</x:v>
      </x:c>
      <x:c r="K1221">
        <x:v>-24.382300000000001</x:v>
      </x:c>
      <x:c r="L1221">
        <x:v>-24.761399999999998</x:v>
      </x:c>
      <x:c r="M1221">
        <x:v>-8.9123000000000001</x:v>
      </x:c>
      <x:c r="N1221">
        <x:v>-7.8266</x:v>
      </x:c>
      <x:c r="O1221">
        <x:v>-47.062100000000001</x:v>
      </x:c>
      <x:c r="P1221">
        <x:v>-19.348600000000001</x:v>
      </x:c>
      <x:c r="Q1221">
        <x:v>-9.7896999999999998</x:v>
      </x:c>
      <x:c r="R1221">
        <x:v>-9.4581999999999997</x:v>
      </x:c>
      <x:c r="S1221">
        <x:v>3.9453999999999998</x:v>
      </x:c>
      <x:c r="T1221" t="str">
        <x:f>""</x:f>
        <x:v/>
      </x:c>
      <x:c r="U1221" t="str">
        <x:f>""</x:f>
        <x:v/>
      </x:c>
      <x:c r="V1221" t="str">
        <x:f>""</x:f>
        <x:v/>
      </x:c>
      <x:c r="W1221" t="str">
        <x:f>""</x:f>
        <x:v/>
      </x:c>
      <x:c r="X1221" t="str">
        <x:f>""</x:f>
        <x:v/>
      </x:c>
      <x:c r="Y1221" t="str">
        <x:f>""</x:f>
        <x:v/>
      </x:c>
      <x:c r="Z1221" t="str">
        <x:f>""</x:f>
        <x:v/>
      </x:c>
      <x:c r="AA1221" t="str">
        <x:f>""</x:f>
        <x:v/>
      </x:c>
      <x:c r="AB1221" t="str">
        <x:f>""</x:f>
        <x:v/>
      </x:c>
      <x:c r="AC1221" t="str">
        <x:f>""</x:f>
        <x:v/>
      </x:c>
      <x:c r="AD1221" t="str">
        <x:f>""</x:f>
        <x:v/>
      </x:c>
      <x:c r="AE1221" t="str">
        <x:f>""</x:f>
        <x:v/>
      </x:c>
      <x:c r="AF1221" t="str">
        <x:f>""</x:f>
        <x:v/>
      </x:c>
      <x:c r="AG1221" t="str">
        <x:f>""</x:f>
        <x:v/>
      </x:c>
    </x:row>
    <x:row r="1222" spans="2:33" x14ac:dyDescent="0.25">
      <x:c r="B1222" t="str">
        <x:f>"UYG US Equity"</x:f>
        <x:v>UYG US Equity</x:v>
      </x:c>
      <x:c r="C1222" t="str">
        <x:f t="shared" si="53"/>
        <x:v>FD447</x:v>
      </x:c>
      <x:c r="D1222" t="str">
        <x:f t="shared" si="54"/>
        <x:v>FUND_FLOW</x:v>
      </x:c>
      <x:c r="E1222" t="str">
        <x:f t="shared" si="55"/>
        <x:v>Dynamic</x:v>
      </x:c>
      <x:c r="F1222">
        <x:f ca="1">_xll.BDH($B$1222,$C$1222,$B$1010,$B$1011,CONCATENATE("Per=",$B$1008),"Dts=H","Dir=H",CONCATENATE("Points=",$B$1009),"Sort=R","Days=A","Fill=B",CONCATENATE("FX=", $B$1007),"cols=14;rows=1")</x:f>
        <x:v>-8.4086999999999996</x:v>
      </x:c>
      <x:c r="G1222">
        <x:v>-2.3157999999999999</x:v>
      </x:c>
      <x:c r="H1222">
        <x:v>-4.6780999999999997</x:v>
      </x:c>
      <x:c r="I1222">
        <x:v>-2.4241000000000001</x:v>
      </x:c>
      <x:c r="J1222">
        <x:v>-4.42</x:v>
      </x:c>
      <x:c r="K1222">
        <x:v>-6.3606999999999996</x:v>
      </x:c>
      <x:c r="L1222">
        <x:v>-2.1128</x:v>
      </x:c>
      <x:c r="M1222">
        <x:v>2.1316000000000002</x:v>
      </x:c>
      <x:c r="N1222">
        <x:v>-5.1204000000000001</x:v>
      </x:c>
      <x:c r="O1222">
        <x:v>-2.6543999999999999</x:v>
      </x:c>
      <x:c r="P1222">
        <x:v>-4.6961000000000004</x:v>
      </x:c>
      <x:c r="Q1222">
        <x:v>-0.39700000000000002</x:v>
      </x:c>
      <x:c r="R1222">
        <x:v>-2.0948000000000002</x:v>
      </x:c>
      <x:c r="S1222">
        <x:v>-1.72E-2</x:v>
      </x:c>
      <x:c r="T1222" t="str">
        <x:f>""</x:f>
        <x:v/>
      </x:c>
      <x:c r="U1222" t="str">
        <x:f>""</x:f>
        <x:v/>
      </x:c>
      <x:c r="V1222" t="str">
        <x:f>""</x:f>
        <x:v/>
      </x:c>
      <x:c r="W1222" t="str">
        <x:f>""</x:f>
        <x:v/>
      </x:c>
      <x:c r="X1222" t="str">
        <x:f>""</x:f>
        <x:v/>
      </x:c>
      <x:c r="Y1222" t="str">
        <x:f>""</x:f>
        <x:v/>
      </x:c>
      <x:c r="Z1222" t="str">
        <x:f>""</x:f>
        <x:v/>
      </x:c>
      <x:c r="AA1222" t="str">
        <x:f>""</x:f>
        <x:v/>
      </x:c>
      <x:c r="AB1222" t="str">
        <x:f>""</x:f>
        <x:v/>
      </x:c>
      <x:c r="AC1222" t="str">
        <x:f>""</x:f>
        <x:v/>
      </x:c>
      <x:c r="AD1222" t="str">
        <x:f>""</x:f>
        <x:v/>
      </x:c>
      <x:c r="AE1222" t="str">
        <x:f>""</x:f>
        <x:v/>
      </x:c>
      <x:c r="AF1222" t="str">
        <x:f>""</x:f>
        <x:v/>
      </x:c>
      <x:c r="AG1222" t="str">
        <x:f>""</x:f>
        <x:v/>
      </x:c>
    </x:row>
    <x:row r="1223" spans="2:33" x14ac:dyDescent="0.25">
      <x:c r="B1223" t="str">
        <x:f>"KBWB US Equity"</x:f>
        <x:v>KBWB US Equity</x:v>
      </x:c>
      <x:c r="C1223" t="str">
        <x:f t="shared" si="53"/>
        <x:v>FD447</x:v>
      </x:c>
      <x:c r="D1223" t="str">
        <x:f t="shared" si="54"/>
        <x:v>FUND_FLOW</x:v>
      </x:c>
      <x:c r="E1223" t="str">
        <x:f t="shared" si="55"/>
        <x:v>Dynamic</x:v>
      </x:c>
      <x:c r="F1223">
        <x:f ca="1">_xll.BDH($B$1223,$C$1223,$B$1010,$B$1011,CONCATENATE("Per=",$B$1008),"Dts=H","Dir=H",CONCATENATE("Points=",$B$1009),"Sort=R","Days=A","Fill=B",CONCATENATE("FX=", $B$1007),"cols=14;rows=1")</x:f>
        <x:v>-415.62400000000002</x:v>
      </x:c>
      <x:c r="G1223">
        <x:v>-53.975299999999997</x:v>
      </x:c>
      <x:c r="H1223">
        <x:v>-85.345500000000001</x:v>
      </x:c>
      <x:c r="I1223">
        <x:v>514.52919999999995</x:v>
      </x:c>
      <x:c r="J1223">
        <x:v>34.178100000000001</x:v>
      </x:c>
      <x:c r="K1223">
        <x:v>-26.9724</x:v>
      </x:c>
      <x:c r="L1223">
        <x:v>1.6465000000000001</x:v>
      </x:c>
      <x:c r="M1223">
        <x:v>-436.45409999999998</x:v>
      </x:c>
      <x:c r="N1223">
        <x:v>426.89150000000001</x:v>
      </x:c>
      <x:c r="O1223">
        <x:v>49.673299999999998</x:v>
      </x:c>
      <x:c r="P1223">
        <x:v>-256.43599999999998</x:v>
      </x:c>
      <x:c r="Q1223">
        <x:v>37.909799999999997</x:v>
      </x:c>
      <x:c r="R1223">
        <x:v>60.186900000000001</x:v>
      </x:c>
      <x:c r="S1223">
        <x:v>58.809100000000001</x:v>
      </x:c>
      <x:c r="T1223" t="str">
        <x:f>""</x:f>
        <x:v/>
      </x:c>
      <x:c r="U1223" t="str">
        <x:f>""</x:f>
        <x:v/>
      </x:c>
      <x:c r="V1223" t="str">
        <x:f>""</x:f>
        <x:v/>
      </x:c>
      <x:c r="W1223" t="str">
        <x:f>""</x:f>
        <x:v/>
      </x:c>
      <x:c r="X1223" t="str">
        <x:f>""</x:f>
        <x:v/>
      </x:c>
      <x:c r="Y1223" t="str">
        <x:f>""</x:f>
        <x:v/>
      </x:c>
      <x:c r="Z1223" t="str">
        <x:f>""</x:f>
        <x:v/>
      </x:c>
      <x:c r="AA1223" t="str">
        <x:f>""</x:f>
        <x:v/>
      </x:c>
      <x:c r="AB1223" t="str">
        <x:f>""</x:f>
        <x:v/>
      </x:c>
      <x:c r="AC1223" t="str">
        <x:f>""</x:f>
        <x:v/>
      </x:c>
      <x:c r="AD1223" t="str">
        <x:f>""</x:f>
        <x:v/>
      </x:c>
      <x:c r="AE1223" t="str">
        <x:f>""</x:f>
        <x:v/>
      </x:c>
      <x:c r="AF1223" t="str">
        <x:f>""</x:f>
        <x:v/>
      </x:c>
      <x:c r="AG1223" t="str">
        <x:f>""</x:f>
        <x:v/>
      </x:c>
    </x:row>
    <x:row r="1224" spans="2:33" x14ac:dyDescent="0.25">
      <x:c r="B1224" t="str">
        <x:f>"IAT US Equity"</x:f>
        <x:v>IAT US Equity</x:v>
      </x:c>
      <x:c r="C1224" t="str">
        <x:f t="shared" si="53"/>
        <x:v>FD447</x:v>
      </x:c>
      <x:c r="D1224" t="str">
        <x:f t="shared" si="54"/>
        <x:v>FUND_FLOW</x:v>
      </x:c>
      <x:c r="E1224" t="str">
        <x:f t="shared" si="55"/>
        <x:v>Dynamic</x:v>
      </x:c>
      <x:c r="F1224">
        <x:f ca="1">_xll.BDH($B$1224,$C$1224,$B$1010,$B$1011,CONCATENATE("Per=",$B$1008),"Dts=H","Dir=H",CONCATENATE("Points=",$B$1009),"Sort=R","Days=A","Fill=B",CONCATENATE("FX=", $B$1007),"cols=14;rows=1")</x:f>
        <x:v>-22.510100000000001</x:v>
      </x:c>
      <x:c r="G1224">
        <x:v>-5.0194999999999999</x:v>
      </x:c>
      <x:c r="H1224">
        <x:v>-58.8476</x:v>
      </x:c>
      <x:c r="I1224">
        <x:v>-131.37549999999999</x:v>
      </x:c>
      <x:c r="J1224">
        <x:v>30.341899999999999</x:v>
      </x:c>
      <x:c r="K1224">
        <x:v>86.773700000000005</x:v>
      </x:c>
      <x:c r="L1224">
        <x:v>-79.086799999999997</x:v>
      </x:c>
      <x:c r="M1224">
        <x:v>292.71559999999999</x:v>
      </x:c>
      <x:c r="N1224">
        <x:v>-5.2750000000000004</x:v>
      </x:c>
      <x:c r="O1224">
        <x:v>-20.058900000000001</x:v>
      </x:c>
      <x:c r="P1224">
        <x:v>-28.514199999999999</x:v>
      </x:c>
      <x:c r="Q1224">
        <x:v>-7.7514000000000003</x:v>
      </x:c>
      <x:c r="R1224">
        <x:v>-11.9815</x:v>
      </x:c>
      <x:c r="S1224">
        <x:v>-35.084499999999998</x:v>
      </x:c>
      <x:c r="T1224" t="str">
        <x:f>""</x:f>
        <x:v/>
      </x:c>
      <x:c r="U1224" t="str">
        <x:f>""</x:f>
        <x:v/>
      </x:c>
      <x:c r="V1224" t="str">
        <x:f>""</x:f>
        <x:v/>
      </x:c>
      <x:c r="W1224" t="str">
        <x:f>""</x:f>
        <x:v/>
      </x:c>
      <x:c r="X1224" t="str">
        <x:f>""</x:f>
        <x:v/>
      </x:c>
      <x:c r="Y1224" t="str">
        <x:f>""</x:f>
        <x:v/>
      </x:c>
      <x:c r="Z1224" t="str">
        <x:f>""</x:f>
        <x:v/>
      </x:c>
      <x:c r="AA1224" t="str">
        <x:f>""</x:f>
        <x:v/>
      </x:c>
      <x:c r="AB1224" t="str">
        <x:f>""</x:f>
        <x:v/>
      </x:c>
      <x:c r="AC1224" t="str">
        <x:f>""</x:f>
        <x:v/>
      </x:c>
      <x:c r="AD1224" t="str">
        <x:f>""</x:f>
        <x:v/>
      </x:c>
      <x:c r="AE1224" t="str">
        <x:f>""</x:f>
        <x:v/>
      </x:c>
      <x:c r="AF1224" t="str">
        <x:f>""</x:f>
        <x:v/>
      </x:c>
      <x:c r="AG1224" t="str">
        <x:f>""</x:f>
        <x:v/>
      </x:c>
    </x:row>
    <x:row r="1225" spans="2:33" x14ac:dyDescent="0.25">
      <x:c r="B1225" t="str">
        <x:f>"IXG US Equity"</x:f>
        <x:v>IXG US Equity</x:v>
      </x:c>
      <x:c r="C1225" t="str">
        <x:f t="shared" si="53"/>
        <x:v>FD447</x:v>
      </x:c>
      <x:c r="D1225" t="str">
        <x:f t="shared" si="54"/>
        <x:v>FUND_FLOW</x:v>
      </x:c>
      <x:c r="E1225" t="str">
        <x:f t="shared" si="55"/>
        <x:v>Dynamic</x:v>
      </x:c>
      <x:c r="F1225">
        <x:f ca="1">_xll.BDH($B$1225,$C$1225,$B$1010,$B$1011,CONCATENATE("Per=",$B$1008),"Dts=H","Dir=H",CONCATENATE("Points=",$B$1009),"Sort=R","Days=A","Fill=B",CONCATENATE("FX=", $B$1007),"cols=14;rows=1")</x:f>
        <x:v>-6.7088999999999999</x:v>
      </x:c>
      <x:c r="G1225">
        <x:v>-7.2961</x:v>
      </x:c>
      <x:c r="H1225">
        <x:v>0</x:v>
      </x:c>
      <x:c r="I1225">
        <x:v>-10.667899999999999</x:v>
      </x:c>
      <x:c r="J1225">
        <x:v>0</x:v>
      </x:c>
      <x:c r="K1225">
        <x:v>6.9073000000000002</x:v>
      </x:c>
      <x:c r="L1225">
        <x:v>-21.481300000000001</x:v>
      </x:c>
      <x:c r="M1225">
        <x:v>-81.548199999999994</x:v>
      </x:c>
      <x:c r="N1225">
        <x:v>-70.100099999999998</x:v>
      </x:c>
      <x:c r="O1225">
        <x:v>52.039000000000001</x:v>
      </x:c>
      <x:c r="P1225">
        <x:v>17.8536</x:v>
      </x:c>
      <x:c r="Q1225">
        <x:v>-255.64400000000001</x:v>
      </x:c>
      <x:c r="R1225">
        <x:v>0.34420000000000001</x:v>
      </x:c>
      <x:c r="S1225">
        <x:v>-9.49</x:v>
      </x:c>
      <x:c r="T1225" t="str">
        <x:f>""</x:f>
        <x:v/>
      </x:c>
      <x:c r="U1225" t="str">
        <x:f>""</x:f>
        <x:v/>
      </x:c>
      <x:c r="V1225" t="str">
        <x:f>""</x:f>
        <x:v/>
      </x:c>
      <x:c r="W1225" t="str">
        <x:f>""</x:f>
        <x:v/>
      </x:c>
      <x:c r="X1225" t="str">
        <x:f>""</x:f>
        <x:v/>
      </x:c>
      <x:c r="Y1225" t="str">
        <x:f>""</x:f>
        <x:v/>
      </x:c>
      <x:c r="Z1225" t="str">
        <x:f>""</x:f>
        <x:v/>
      </x:c>
      <x:c r="AA1225" t="str">
        <x:f>""</x:f>
        <x:v/>
      </x:c>
      <x:c r="AB1225" t="str">
        <x:f>""</x:f>
        <x:v/>
      </x:c>
      <x:c r="AC1225" t="str">
        <x:f>""</x:f>
        <x:v/>
      </x:c>
      <x:c r="AD1225" t="str">
        <x:f>""</x:f>
        <x:v/>
      </x:c>
      <x:c r="AE1225" t="str">
        <x:f>""</x:f>
        <x:v/>
      </x:c>
      <x:c r="AF1225" t="str">
        <x:f>""</x:f>
        <x:v/>
      </x:c>
      <x:c r="AG1225" t="str">
        <x:f>""</x:f>
        <x:v/>
      </x:c>
    </x:row>
    <x:row r="1226" spans="2:33" x14ac:dyDescent="0.25">
      <x:c r="B1226" t="str">
        <x:f>"QABA US Equity"</x:f>
        <x:v>QABA US Equity</x:v>
      </x:c>
      <x:c r="C1226" t="str">
        <x:f t="shared" si="53"/>
        <x:v>FD447</x:v>
      </x:c>
      <x:c r="D1226" t="str">
        <x:f t="shared" si="54"/>
        <x:v>FUND_FLOW</x:v>
      </x:c>
      <x:c r="E1226" t="str">
        <x:f t="shared" si="55"/>
        <x:v>Dynamic</x:v>
      </x:c>
      <x:c r="F1226">
        <x:f ca="1">_xll.BDH($B$1226,$C$1226,$B$1010,$B$1011,CONCATENATE("Per=",$B$1008),"Dts=H","Dir=H",CONCATENATE("Points=",$B$1009),"Sort=R","Days=A","Fill=B",CONCATENATE("FX=", $B$1007),"cols=14;rows=1")</x:f>
        <x:v>-1.8911</x:v>
      </x:c>
      <x:c r="G1226">
        <x:v>-1.9852000000000001</x:v>
      </x:c>
      <x:c r="H1226">
        <x:v>-6.5258000000000003</x:v>
      </x:c>
      <x:c r="I1226">
        <x:v>-2.0579999999999998</x:v>
      </x:c>
      <x:c r="J1226">
        <x:v>-8.1769999999999996</x:v>
      </x:c>
      <x:c r="K1226">
        <x:v>-7.38</x:v>
      </x:c>
      <x:c r="L1226">
        <x:v>-4.1905000000000001</x:v>
      </x:c>
      <x:c r="M1226">
        <x:v>-26.861999999999998</x:v>
      </x:c>
      <x:c r="N1226">
        <x:v>-35.708500000000001</x:v>
      </x:c>
      <x:c r="O1226">
        <x:v>-5.2009999999999996</x:v>
      </x:c>
      <x:c r="P1226">
        <x:v>26.8123</x:v>
      </x:c>
      <x:c r="Q1226">
        <x:v>44.516599999999997</x:v>
      </x:c>
      <x:c r="R1226">
        <x:v>29.956199999999999</x:v>
      </x:c>
      <x:c r="S1226">
        <x:v>-2.6886000000000001</x:v>
      </x:c>
      <x:c r="T1226" t="str">
        <x:f>""</x:f>
        <x:v/>
      </x:c>
      <x:c r="U1226" t="str">
        <x:f>""</x:f>
        <x:v/>
      </x:c>
      <x:c r="V1226" t="str">
        <x:f>""</x:f>
        <x:v/>
      </x:c>
      <x:c r="W1226" t="str">
        <x:f>""</x:f>
        <x:v/>
      </x:c>
      <x:c r="X1226" t="str">
        <x:f>""</x:f>
        <x:v/>
      </x:c>
      <x:c r="Y1226" t="str">
        <x:f>""</x:f>
        <x:v/>
      </x:c>
      <x:c r="Z1226" t="str">
        <x:f>""</x:f>
        <x:v/>
      </x:c>
      <x:c r="AA1226" t="str">
        <x:f>""</x:f>
        <x:v/>
      </x:c>
      <x:c r="AB1226" t="str">
        <x:f>""</x:f>
        <x:v/>
      </x:c>
      <x:c r="AC1226" t="str">
        <x:f>""</x:f>
        <x:v/>
      </x:c>
      <x:c r="AD1226" t="str">
        <x:f>""</x:f>
        <x:v/>
      </x:c>
      <x:c r="AE1226" t="str">
        <x:f>""</x:f>
        <x:v/>
      </x:c>
      <x:c r="AF1226" t="str">
        <x:f>""</x:f>
        <x:v/>
      </x:c>
      <x:c r="AG1226" t="str">
        <x:f>""</x:f>
        <x:v/>
      </x:c>
    </x:row>
    <x:row r="1227" spans="2:33" x14ac:dyDescent="0.25">
      <x:c r="B1227" t="str">
        <x:f>"KBWD US Equity"</x:f>
        <x:v>KBWD US Equity</x:v>
      </x:c>
      <x:c r="C1227" t="str">
        <x:f t="shared" si="53"/>
        <x:v>FD447</x:v>
      </x:c>
      <x:c r="D1227" t="str">
        <x:f t="shared" si="54"/>
        <x:v>FUND_FLOW</x:v>
      </x:c>
      <x:c r="E1227" t="str">
        <x:f t="shared" si="55"/>
        <x:v>Dynamic</x:v>
      </x:c>
      <x:c r="F1227">
        <x:f ca="1">_xll.BDH($B$1227,$C$1227,$B$1010,$B$1011,CONCATENATE("Per=",$B$1008),"Dts=H","Dir=H",CONCATENATE("Points=",$B$1009),"Sort=R","Days=A","Fill=B",CONCATENATE("FX=", $B$1007),"cols=14;rows=1")</x:f>
        <x:v>-2.4491999999999998</x:v>
      </x:c>
      <x:c r="G1227">
        <x:v>0</x:v>
      </x:c>
      <x:c r="H1227">
        <x:v>1.3011999999999999</x:v>
      </x:c>
      <x:c r="I1227">
        <x:v>2.5558999999999998</x:v>
      </x:c>
      <x:c r="J1227">
        <x:v>1.3866000000000001</x:v>
      </x:c>
      <x:c r="K1227">
        <x:v>-2.1574</x:v>
      </x:c>
      <x:c r="L1227">
        <x:v>4.5960999999999999</x:v>
      </x:c>
      <x:c r="M1227">
        <x:v>2.0794000000000001</x:v>
      </x:c>
      <x:c r="N1227">
        <x:v>2.7059000000000002</x:v>
      </x:c>
      <x:c r="O1227">
        <x:v>1.4737</x:v>
      </x:c>
      <x:c r="P1227">
        <x:v>-1.9420999999999999</x:v>
      </x:c>
      <x:c r="Q1227">
        <x:v>7.8651999999999997</x:v>
      </x:c>
      <x:c r="R1227">
        <x:v>-28.292100000000001</x:v>
      </x:c>
      <x:c r="S1227">
        <x:v>1.4635</x:v>
      </x:c>
      <x:c r="T1227" t="str">
        <x:f>""</x:f>
        <x:v/>
      </x:c>
      <x:c r="U1227" t="str">
        <x:f>""</x:f>
        <x:v/>
      </x:c>
      <x:c r="V1227" t="str">
        <x:f>""</x:f>
        <x:v/>
      </x:c>
      <x:c r="W1227" t="str">
        <x:f>""</x:f>
        <x:v/>
      </x:c>
      <x:c r="X1227" t="str">
        <x:f>""</x:f>
        <x:v/>
      </x:c>
      <x:c r="Y1227" t="str">
        <x:f>""</x:f>
        <x:v/>
      </x:c>
      <x:c r="Z1227" t="str">
        <x:f>""</x:f>
        <x:v/>
      </x:c>
      <x:c r="AA1227" t="str">
        <x:f>""</x:f>
        <x:v/>
      </x:c>
      <x:c r="AB1227" t="str">
        <x:f>""</x:f>
        <x:v/>
      </x:c>
      <x:c r="AC1227" t="str">
        <x:f>""</x:f>
        <x:v/>
      </x:c>
      <x:c r="AD1227" t="str">
        <x:f>""</x:f>
        <x:v/>
      </x:c>
      <x:c r="AE1227" t="str">
        <x:f>""</x:f>
        <x:v/>
      </x:c>
      <x:c r="AF1227" t="str">
        <x:f>""</x:f>
        <x:v/>
      </x:c>
      <x:c r="AG1227" t="str">
        <x:f>""</x:f>
        <x:v/>
      </x:c>
    </x:row>
    <x:row r="1228" spans="2:33" x14ac:dyDescent="0.25">
      <x:c r="B1228" t="str">
        <x:f>"RYF US Equity"</x:f>
        <x:v>RYF US Equity</x:v>
      </x:c>
      <x:c r="C1228" t="str">
        <x:f t="shared" si="53"/>
        <x:v>FD447</x:v>
      </x:c>
      <x:c r="D1228" t="str">
        <x:f t="shared" si="54"/>
        <x:v>FUND_FLOW</x:v>
      </x:c>
      <x:c r="E1228" t="str">
        <x:f t="shared" si="55"/>
        <x:v>Dynamic</x:v>
      </x:c>
      <x:c r="F1228">
        <x:f ca="1">_xll.BDH($B$1228,$C$1228,$B$1010,$B$1011,CONCATENATE("Per=",$B$1008),"Dts=H","Dir=H",CONCATENATE("Points=",$B$1009),"Sort=R","Days=A","Fill=B",CONCATENATE("FX=", $B$1007),"cols=14;rows=1")</x:f>
        <x:v>-13.048299999999999</x:v>
      </x:c>
      <x:c r="G1228">
        <x:v>-3.1680000000000001</x:v>
      </x:c>
      <x:c r="H1228">
        <x:v>-9.9261999999999997</x:v>
      </x:c>
      <x:c r="I1228">
        <x:v>-15.2233</x:v>
      </x:c>
      <x:c r="J1228">
        <x:v>-15.2502</x:v>
      </x:c>
      <x:c r="T1228" t="str">
        <x:f>""</x:f>
        <x:v/>
      </x:c>
      <x:c r="U1228" t="str">
        <x:f>""</x:f>
        <x:v/>
      </x:c>
      <x:c r="V1228" t="str">
        <x:f>""</x:f>
        <x:v/>
      </x:c>
      <x:c r="W1228" t="str">
        <x:f>""</x:f>
        <x:v/>
      </x:c>
      <x:c r="X1228" t="str">
        <x:f>""</x:f>
        <x:v/>
      </x:c>
      <x:c r="Y1228" t="str">
        <x:f>""</x:f>
        <x:v/>
      </x:c>
      <x:c r="Z1228" t="str">
        <x:f>""</x:f>
        <x:v/>
      </x:c>
      <x:c r="AA1228" t="str">
        <x:f>""</x:f>
        <x:v/>
      </x:c>
      <x:c r="AB1228" t="str">
        <x:f>""</x:f>
        <x:v/>
      </x:c>
      <x:c r="AC1228" t="str">
        <x:f>""</x:f>
        <x:v/>
      </x:c>
      <x:c r="AD1228" t="str">
        <x:f>""</x:f>
        <x:v/>
      </x:c>
      <x:c r="AE1228" t="str">
        <x:f>""</x:f>
        <x:v/>
      </x:c>
      <x:c r="AF1228" t="str">
        <x:f>""</x:f>
        <x:v/>
      </x:c>
      <x:c r="AG1228" t="str">
        <x:f>""</x:f>
        <x:v/>
      </x:c>
    </x:row>
    <x:row r="1229" spans="2:33" x14ac:dyDescent="0.25">
      <x:c r="B1229" t="str">
        <x:f>"PSCF US Equity"</x:f>
        <x:v>PSCF US Equity</x:v>
      </x:c>
      <x:c r="C1229" t="str">
        <x:f t="shared" si="53"/>
        <x:v>FD447</x:v>
      </x:c>
      <x:c r="D1229" t="str">
        <x:f t="shared" si="54"/>
        <x:v>FUND_FLOW</x:v>
      </x:c>
      <x:c r="E1229" t="str">
        <x:f t="shared" si="55"/>
        <x:v>Dynamic</x:v>
      </x:c>
      <x:c r="F1229">
        <x:f ca="1">_xll.BDH($B$1229,$C$1229,$B$1010,$B$1011,CONCATENATE("Per=",$B$1008),"Dts=H","Dir=H",CONCATENATE("Points=",$B$1009),"Sort=R","Days=A","Fill=B",CONCATENATE("FX=", $B$1007),"cols=14;rows=1")</x:f>
        <x:v>-0.81799999999999995</x:v>
      </x:c>
      <x:c r="G1229">
        <x:v>-1.2841</x:v>
      </x:c>
      <x:c r="H1229">
        <x:v>0</x:v>
      </x:c>
      <x:c r="I1229">
        <x:v>-0.47239999999999999</x:v>
      </x:c>
      <x:c r="J1229">
        <x:v>-0.43009999999999998</x:v>
      </x:c>
      <x:c r="K1229">
        <x:v>-0.8085</x:v>
      </x:c>
      <x:c r="L1229">
        <x:v>-0.84909999999999997</x:v>
      </x:c>
      <x:c r="M1229">
        <x:v>0</x:v>
      </x:c>
      <x:c r="N1229">
        <x:v>-0.52010000000000001</x:v>
      </x:c>
      <x:c r="O1229">
        <x:v>-1.4947999999999999</x:v>
      </x:c>
      <x:c r="P1229">
        <x:v>-3.4003000000000001</x:v>
      </x:c>
      <x:c r="Q1229">
        <x:v>-1.5314000000000001</x:v>
      </x:c>
      <x:c r="R1229">
        <x:v>-0.50180000000000002</x:v>
      </x:c>
      <x:c r="S1229">
        <x:v>-1.8821000000000001</x:v>
      </x:c>
      <x:c r="T1229" t="str">
        <x:f>""</x:f>
        <x:v/>
      </x:c>
      <x:c r="U1229" t="str">
        <x:f>""</x:f>
        <x:v/>
      </x:c>
      <x:c r="V1229" t="str">
        <x:f>""</x:f>
        <x:v/>
      </x:c>
      <x:c r="W1229" t="str">
        <x:f>""</x:f>
        <x:v/>
      </x:c>
      <x:c r="X1229" t="str">
        <x:f>""</x:f>
        <x:v/>
      </x:c>
      <x:c r="Y1229" t="str">
        <x:f>""</x:f>
        <x:v/>
      </x:c>
      <x:c r="Z1229" t="str">
        <x:f>""</x:f>
        <x:v/>
      </x:c>
      <x:c r="AA1229" t="str">
        <x:f>""</x:f>
        <x:v/>
      </x:c>
      <x:c r="AB1229" t="str">
        <x:f>""</x:f>
        <x:v/>
      </x:c>
      <x:c r="AC1229" t="str">
        <x:f>""</x:f>
        <x:v/>
      </x:c>
      <x:c r="AD1229" t="str">
        <x:f>""</x:f>
        <x:v/>
      </x:c>
      <x:c r="AE1229" t="str">
        <x:f>""</x:f>
        <x:v/>
      </x:c>
      <x:c r="AF1229" t="str">
        <x:f>""</x:f>
        <x:v/>
      </x:c>
      <x:c r="AG1229" t="str">
        <x:f>""</x:f>
        <x:v/>
      </x:c>
    </x:row>
    <x:row r="1230" spans="2:33" x14ac:dyDescent="0.25">
      <x:c r="B1230" t="str">
        <x:f>"FAZ US Equity"</x:f>
        <x:v>FAZ US Equity</x:v>
      </x:c>
      <x:c r="C1230" t="str">
        <x:f t="shared" si="53"/>
        <x:v>FD447</x:v>
      </x:c>
      <x:c r="D1230" t="str">
        <x:f t="shared" si="54"/>
        <x:v>FUND_FLOW</x:v>
      </x:c>
      <x:c r="E1230" t="str">
        <x:f t="shared" si="55"/>
        <x:v>Dynamic</x:v>
      </x:c>
      <x:c r="F1230">
        <x:f ca="1">_xll.BDH($B$1230,$C$1230,$B$1010,$B$1011,CONCATENATE("Per=",$B$1008),"Dts=H","Dir=H",CONCATENATE("Points=",$B$1009),"Sort=R","Days=A","Fill=B",CONCATENATE("FX=", $B$1007),"cols=14;rows=1")</x:f>
        <x:v>-10.3779</x:v>
      </x:c>
      <x:c r="G1230">
        <x:v>-55.574199999999998</x:v>
      </x:c>
      <x:c r="H1230">
        <x:v>35.374400000000001</x:v>
      </x:c>
      <x:c r="I1230">
        <x:v>19.938199999999998</x:v>
      </x:c>
      <x:c r="J1230">
        <x:v>8.0122999999999998</x:v>
      </x:c>
      <x:c r="K1230">
        <x:v>-16.727699999999999</x:v>
      </x:c>
      <x:c r="L1230">
        <x:v>5.2226999999999997</x:v>
      </x:c>
      <x:c r="M1230">
        <x:v>-50.668700000000001</x:v>
      </x:c>
      <x:c r="N1230">
        <x:v>-12.991899999999999</x:v>
      </x:c>
      <x:c r="O1230">
        <x:v>32.834099999999999</x:v>
      </x:c>
      <x:c r="P1230">
        <x:v>-30.007999999999999</x:v>
      </x:c>
      <x:c r="Q1230">
        <x:v>23.459900000000001</x:v>
      </x:c>
      <x:c r="R1230">
        <x:v>48.769500000000001</x:v>
      </x:c>
      <x:c r="S1230">
        <x:v>-5.2721999999999998</x:v>
      </x:c>
      <x:c r="T1230" t="str">
        <x:f>""</x:f>
        <x:v/>
      </x:c>
      <x:c r="U1230" t="str">
        <x:f>""</x:f>
        <x:v/>
      </x:c>
      <x:c r="V1230" t="str">
        <x:f>""</x:f>
        <x:v/>
      </x:c>
      <x:c r="W1230" t="str">
        <x:f>""</x:f>
        <x:v/>
      </x:c>
      <x:c r="X1230" t="str">
        <x:f>""</x:f>
        <x:v/>
      </x:c>
      <x:c r="Y1230" t="str">
        <x:f>""</x:f>
        <x:v/>
      </x:c>
      <x:c r="Z1230" t="str">
        <x:f>""</x:f>
        <x:v/>
      </x:c>
      <x:c r="AA1230" t="str">
        <x:f>""</x:f>
        <x:v/>
      </x:c>
      <x:c r="AB1230" t="str">
        <x:f>""</x:f>
        <x:v/>
      </x:c>
      <x:c r="AC1230" t="str">
        <x:f>""</x:f>
        <x:v/>
      </x:c>
      <x:c r="AD1230" t="str">
        <x:f>""</x:f>
        <x:v/>
      </x:c>
      <x:c r="AE1230" t="str">
        <x:f>""</x:f>
        <x:v/>
      </x:c>
      <x:c r="AF1230" t="str">
        <x:f>""</x:f>
        <x:v/>
      </x:c>
      <x:c r="AG1230" t="str">
        <x:f>""</x:f>
        <x:v/>
      </x:c>
    </x:row>
    <x:row r="1231" spans="2:33" x14ac:dyDescent="0.25">
      <x:c r="B1231" t="str">
        <x:f>"BIZD US Equity"</x:f>
        <x:v>BIZD US Equity</x:v>
      </x:c>
      <x:c r="C1231" t="str">
        <x:f t="shared" si="53"/>
        <x:v>FD447</x:v>
      </x:c>
      <x:c r="D1231" t="str">
        <x:f t="shared" si="54"/>
        <x:v>FUND_FLOW</x:v>
      </x:c>
      <x:c r="E1231" t="str">
        <x:f t="shared" si="55"/>
        <x:v>Dynamic</x:v>
      </x:c>
      <x:c r="F1231">
        <x:f ca="1">_xll.BDH($B$1231,$C$1231,$B$1010,$B$1011,CONCATENATE("Per=",$B$1008),"Dts=H","Dir=H",CONCATENATE("Points=",$B$1009),"Sort=R","Days=A","Fill=B",CONCATENATE("FX=", $B$1007),"cols=14;rows=1")</x:f>
        <x:v>17.617100000000001</x:v>
      </x:c>
      <x:c r="G1231">
        <x:v>56.018599999999999</x:v>
      </x:c>
      <x:c r="H1231">
        <x:v>10.3803</x:v>
      </x:c>
      <x:c r="I1231">
        <x:v>-4.4244000000000003</x:v>
      </x:c>
      <x:c r="J1231">
        <x:v>32.899900000000002</x:v>
      </x:c>
      <x:c r="K1231">
        <x:v>7.5057</x:v>
      </x:c>
      <x:c r="L1231">
        <x:v>3.6939000000000002</x:v>
      </x:c>
      <x:c r="M1231">
        <x:v>18.0307</x:v>
      </x:c>
      <x:c r="N1231">
        <x:v>16.6982</x:v>
      </x:c>
      <x:c r="O1231">
        <x:v>8.9655000000000005</x:v>
      </x:c>
      <x:c r="P1231">
        <x:v>19.715</x:v>
      </x:c>
      <x:c r="Q1231">
        <x:v>7.6623000000000001</x:v>
      </x:c>
      <x:c r="R1231">
        <x:v>12.710800000000001</x:v>
      </x:c>
      <x:c r="S1231">
        <x:v>-14.617699999999999</x:v>
      </x:c>
      <x:c r="T1231" t="str">
        <x:f>""</x:f>
        <x:v/>
      </x:c>
      <x:c r="U1231" t="str">
        <x:f>""</x:f>
        <x:v/>
      </x:c>
      <x:c r="V1231" t="str">
        <x:f>""</x:f>
        <x:v/>
      </x:c>
      <x:c r="W1231" t="str">
        <x:f>""</x:f>
        <x:v/>
      </x:c>
      <x:c r="X1231" t="str">
        <x:f>""</x:f>
        <x:v/>
      </x:c>
      <x:c r="Y1231" t="str">
        <x:f>""</x:f>
        <x:v/>
      </x:c>
      <x:c r="Z1231" t="str">
        <x:f>""</x:f>
        <x:v/>
      </x:c>
      <x:c r="AA1231" t="str">
        <x:f>""</x:f>
        <x:v/>
      </x:c>
      <x:c r="AB1231" t="str">
        <x:f>""</x:f>
        <x:v/>
      </x:c>
      <x:c r="AC1231" t="str">
        <x:f>""</x:f>
        <x:v/>
      </x:c>
      <x:c r="AD1231" t="str">
        <x:f>""</x:f>
        <x:v/>
      </x:c>
      <x:c r="AE1231" t="str">
        <x:f>""</x:f>
        <x:v/>
      </x:c>
      <x:c r="AF1231" t="str">
        <x:f>""</x:f>
        <x:v/>
      </x:c>
      <x:c r="AG1231" t="str">
        <x:f>""</x:f>
        <x:v/>
      </x:c>
    </x:row>
    <x:row r="1232" spans="2:33" x14ac:dyDescent="0.25">
      <x:c r="B1232" t="str">
        <x:f>"IAK US Equity"</x:f>
        <x:v>IAK US Equity</x:v>
      </x:c>
      <x:c r="C1232" t="str">
        <x:f t="shared" si="53"/>
        <x:v>FD447</x:v>
      </x:c>
      <x:c r="D1232" t="str">
        <x:f t="shared" si="54"/>
        <x:v>FUND_FLOW</x:v>
      </x:c>
      <x:c r="E1232" t="str">
        <x:f t="shared" si="55"/>
        <x:v>Dynamic</x:v>
      </x:c>
      <x:c r="F1232">
        <x:f ca="1">_xll.BDH($B$1232,$C$1232,$B$1010,$B$1011,CONCATENATE("Per=",$B$1008),"Dts=H","Dir=H",CONCATENATE("Points=",$B$1009),"Sort=R","Days=A","Fill=B",CONCATENATE("FX=", $B$1007),"cols=14;rows=1")</x:f>
        <x:v>27.8611</x:v>
      </x:c>
      <x:c r="G1232">
        <x:v>0</x:v>
      </x:c>
      <x:c r="H1232">
        <x:v>-31.754200000000001</x:v>
      </x:c>
      <x:c r="I1232">
        <x:v>-13.0084</x:v>
      </x:c>
      <x:c r="J1232">
        <x:v>-42.951700000000002</x:v>
      </x:c>
      <x:c r="K1232">
        <x:v>-30.1035</x:v>
      </x:c>
      <x:c r="L1232">
        <x:v>-17.3384</x:v>
      </x:c>
      <x:c r="M1232">
        <x:v>-71.188100000000006</x:v>
      </x:c>
      <x:c r="N1232">
        <x:v>-9.3543000000000003</x:v>
      </x:c>
      <x:c r="O1232">
        <x:v>0.16550000000000001</x:v>
      </x:c>
      <x:c r="P1232">
        <x:v>18.3459</x:v>
      </x:c>
      <x:c r="Q1232">
        <x:v>127.44070000000001</x:v>
      </x:c>
      <x:c r="R1232">
        <x:v>59.338200000000001</x:v>
      </x:c>
      <x:c r="S1232">
        <x:v>-12.059100000000001</x:v>
      </x:c>
      <x:c r="T1232" t="str">
        <x:f>""</x:f>
        <x:v/>
      </x:c>
      <x:c r="U1232" t="str">
        <x:f>""</x:f>
        <x:v/>
      </x:c>
      <x:c r="V1232" t="str">
        <x:f>""</x:f>
        <x:v/>
      </x:c>
      <x:c r="W1232" t="str">
        <x:f>""</x:f>
        <x:v/>
      </x:c>
      <x:c r="X1232" t="str">
        <x:f>""</x:f>
        <x:v/>
      </x:c>
      <x:c r="Y1232" t="str">
        <x:f>""</x:f>
        <x:v/>
      </x:c>
      <x:c r="Z1232" t="str">
        <x:f>""</x:f>
        <x:v/>
      </x:c>
      <x:c r="AA1232" t="str">
        <x:f>""</x:f>
        <x:v/>
      </x:c>
      <x:c r="AB1232" t="str">
        <x:f>""</x:f>
        <x:v/>
      </x:c>
      <x:c r="AC1232" t="str">
        <x:f>""</x:f>
        <x:v/>
      </x:c>
      <x:c r="AD1232" t="str">
        <x:f>""</x:f>
        <x:v/>
      </x:c>
      <x:c r="AE1232" t="str">
        <x:f>""</x:f>
        <x:v/>
      </x:c>
      <x:c r="AF1232" t="str">
        <x:f>""</x:f>
        <x:v/>
      </x:c>
      <x:c r="AG1232" t="str">
        <x:f>""</x:f>
        <x:v/>
      </x:c>
    </x:row>
    <x:row r="1233" spans="2:33" x14ac:dyDescent="0.25">
      <x:c r="B1233" t="str">
        <x:f>"KBWR US Equity"</x:f>
        <x:v>KBWR US Equity</x:v>
      </x:c>
      <x:c r="C1233" t="str">
        <x:f t="shared" si="53"/>
        <x:v>FD447</x:v>
      </x:c>
      <x:c r="D1233" t="str">
        <x:f t="shared" si="54"/>
        <x:v>FUND_FLOW</x:v>
      </x:c>
      <x:c r="E1233" t="str">
        <x:f t="shared" si="55"/>
        <x:v>Dynamic</x:v>
      </x:c>
      <x:c r="F1233">
        <x:f ca="1">_xll.BDH($B$1233,$C$1233,$B$1010,$B$1011,CONCATENATE("Per=",$B$1008),"Dts=H","Dir=H",CONCATENATE("Points=",$B$1009),"Sort=R","Days=A","Fill=B",CONCATENATE("FX=", $B$1007),"cols=14;rows=1")</x:f>
        <x:v>-2.1446000000000001</x:v>
      </x:c>
      <x:c r="G1233">
        <x:v>-2.6217999999999999</x:v>
      </x:c>
      <x:c r="H1233">
        <x:v>-0.51329999999999998</x:v>
      </x:c>
      <x:c r="I1233">
        <x:v>-4.6839000000000004</x:v>
      </x:c>
      <x:c r="J1233">
        <x:v>0.4536</x:v>
      </x:c>
      <x:c r="K1233">
        <x:v>2.9746000000000001</x:v>
      </x:c>
      <x:c r="L1233">
        <x:v>0.92410000000000003</x:v>
      </x:c>
      <x:c r="M1233">
        <x:v>9.0641999999999996</x:v>
      </x:c>
      <x:c r="N1233">
        <x:v>-4.7756999999999996</x:v>
      </x:c>
      <x:c r="O1233">
        <x:v>-1.7242</x:v>
      </x:c>
      <x:c r="P1233">
        <x:v>-11.2441</x:v>
      </x:c>
      <x:c r="Q1233">
        <x:v>4.9462999999999999</x:v>
      </x:c>
      <x:c r="R1233">
        <x:v>-3.1699999999999999E-2</x:v>
      </x:c>
      <x:c r="S1233">
        <x:v>0.44230000000000003</x:v>
      </x:c>
      <x:c r="T1233" t="str">
        <x:f>""</x:f>
        <x:v/>
      </x:c>
      <x:c r="U1233" t="str">
        <x:f>""</x:f>
        <x:v/>
      </x:c>
      <x:c r="V1233" t="str">
        <x:f>""</x:f>
        <x:v/>
      </x:c>
      <x:c r="W1233" t="str">
        <x:f>""</x:f>
        <x:v/>
      </x:c>
      <x:c r="X1233" t="str">
        <x:f>""</x:f>
        <x:v/>
      </x:c>
      <x:c r="Y1233" t="str">
        <x:f>""</x:f>
        <x:v/>
      </x:c>
      <x:c r="Z1233" t="str">
        <x:f>""</x:f>
        <x:v/>
      </x:c>
      <x:c r="AA1233" t="str">
        <x:f>""</x:f>
        <x:v/>
      </x:c>
      <x:c r="AB1233" t="str">
        <x:f>""</x:f>
        <x:v/>
      </x:c>
      <x:c r="AC1233" t="str">
        <x:f>""</x:f>
        <x:v/>
      </x:c>
      <x:c r="AD1233" t="str">
        <x:f>""</x:f>
        <x:v/>
      </x:c>
      <x:c r="AE1233" t="str">
        <x:f>""</x:f>
        <x:v/>
      </x:c>
      <x:c r="AF1233" t="str">
        <x:f>""</x:f>
        <x:v/>
      </x:c>
      <x:c r="AG1233" t="str">
        <x:f>""</x:f>
        <x:v/>
      </x:c>
    </x:row>
    <x:row r="1234" spans="2:33" x14ac:dyDescent="0.25">
      <x:c r="B1234" t="str">
        <x:f>"IAI US Equity"</x:f>
        <x:v>IAI US Equity</x:v>
      </x:c>
      <x:c r="C1234" t="str">
        <x:f t="shared" si="53"/>
        <x:v>FD447</x:v>
      </x:c>
      <x:c r="D1234" t="str">
        <x:f t="shared" si="54"/>
        <x:v>FUND_FLOW</x:v>
      </x:c>
      <x:c r="E1234" t="str">
        <x:f t="shared" si="55"/>
        <x:v>Dynamic</x:v>
      </x:c>
      <x:c r="F1234">
        <x:f ca="1">_xll.BDH($B$1234,$C$1234,$B$1010,$B$1011,CONCATENATE("Per=",$B$1008),"Dts=H","Dir=H",CONCATENATE("Points=",$B$1009),"Sort=R","Days=A","Fill=B",CONCATENATE("FX=", $B$1007),"cols=14;rows=1")</x:f>
        <x:v>4.1778000000000004</x:v>
      </x:c>
      <x:c r="G1234">
        <x:v>-4.6284000000000001</x:v>
      </x:c>
      <x:c r="H1234">
        <x:v>-14.0891</x:v>
      </x:c>
      <x:c r="I1234">
        <x:v>-31.599799999999998</x:v>
      </x:c>
      <x:c r="J1234">
        <x:v>-213.0575</x:v>
      </x:c>
      <x:c r="K1234">
        <x:v>-17.602699999999999</x:v>
      </x:c>
      <x:c r="L1234">
        <x:v>-97.356899999999996</x:v>
      </x:c>
      <x:c r="M1234">
        <x:v>-25.4132</x:v>
      </x:c>
      <x:c r="N1234">
        <x:v>-9.9149999999999991</x:v>
      </x:c>
      <x:c r="O1234">
        <x:v>15.184100000000001</x:v>
      </x:c>
      <x:c r="P1234">
        <x:v>9.5728000000000009</x:v>
      </x:c>
      <x:c r="Q1234">
        <x:v>297.13850000000002</x:v>
      </x:c>
      <x:c r="R1234">
        <x:v>5.0556000000000001</x:v>
      </x:c>
      <x:c r="S1234">
        <x:v>0.58489999999999998</x:v>
      </x:c>
      <x:c r="T1234" t="str">
        <x:f>""</x:f>
        <x:v/>
      </x:c>
      <x:c r="U1234" t="str">
        <x:f>""</x:f>
        <x:v/>
      </x:c>
      <x:c r="V1234" t="str">
        <x:f>""</x:f>
        <x:v/>
      </x:c>
      <x:c r="W1234" t="str">
        <x:f>""</x:f>
        <x:v/>
      </x:c>
      <x:c r="X1234" t="str">
        <x:f>""</x:f>
        <x:v/>
      </x:c>
      <x:c r="Y1234" t="str">
        <x:f>""</x:f>
        <x:v/>
      </x:c>
      <x:c r="Z1234" t="str">
        <x:f>""</x:f>
        <x:v/>
      </x:c>
      <x:c r="AA1234" t="str">
        <x:f>""</x:f>
        <x:v/>
      </x:c>
      <x:c r="AB1234" t="str">
        <x:f>""</x:f>
        <x:v/>
      </x:c>
      <x:c r="AC1234" t="str">
        <x:f>""</x:f>
        <x:v/>
      </x:c>
      <x:c r="AD1234" t="str">
        <x:f>""</x:f>
        <x:v/>
      </x:c>
      <x:c r="AE1234" t="str">
        <x:f>""</x:f>
        <x:v/>
      </x:c>
      <x:c r="AF1234" t="str">
        <x:f>""</x:f>
        <x:v/>
      </x:c>
      <x:c r="AG1234" t="str">
        <x:f>""</x:f>
        <x:v/>
      </x:c>
    </x:row>
    <x:row r="1235" spans="2:33" x14ac:dyDescent="0.25">
      <x:c r="B1235" t="str">
        <x:f>"KBWP US Equity"</x:f>
        <x:v>KBWP US Equity</x:v>
      </x:c>
      <x:c r="C1235" t="str">
        <x:f t="shared" si="53"/>
        <x:v>FD447</x:v>
      </x:c>
      <x:c r="D1235" t="str">
        <x:f t="shared" si="54"/>
        <x:v>FUND_FLOW</x:v>
      </x:c>
      <x:c r="E1235" t="str">
        <x:f t="shared" si="55"/>
        <x:v>Dynamic</x:v>
      </x:c>
      <x:c r="F1235">
        <x:f ca="1">_xll.BDH($B$1235,$C$1235,$B$1010,$B$1011,CONCATENATE("Per=",$B$1008),"Dts=H","Dir=H",CONCATENATE("Points=",$B$1009),"Sort=R","Days=A","Fill=B",CONCATENATE("FX=", $B$1007),"cols=14;rows=1")</x:f>
        <x:v>9.4196000000000009</x:v>
      </x:c>
      <x:c r="G1235">
        <x:v>-3.3904000000000001</x:v>
      </x:c>
      <x:c r="H1235">
        <x:v>-57.438400000000001</x:v>
      </x:c>
      <x:c r="I1235">
        <x:v>-81.302999999999997</x:v>
      </x:c>
      <x:c r="J1235">
        <x:v>-47.341999999999999</x:v>
      </x:c>
      <x:c r="K1235">
        <x:v>-25.876100000000001</x:v>
      </x:c>
      <x:c r="L1235">
        <x:v>-6.7671999999999999</x:v>
      </x:c>
      <x:c r="M1235">
        <x:v>-7.7542999999999997</x:v>
      </x:c>
      <x:c r="N1235">
        <x:v>29.831900000000001</x:v>
      </x:c>
      <x:c r="O1235">
        <x:v>3.0285000000000002</x:v>
      </x:c>
      <x:c r="P1235">
        <x:v>29.559000000000001</x:v>
      </x:c>
      <x:c r="Q1235">
        <x:v>11.134600000000001</x:v>
      </x:c>
      <x:c r="R1235">
        <x:v>-9.0442</x:v>
      </x:c>
      <x:c r="S1235">
        <x:v>89.683599999999998</x:v>
      </x:c>
      <x:c r="T1235" t="str">
        <x:f>""</x:f>
        <x:v/>
      </x:c>
      <x:c r="U1235" t="str">
        <x:f>""</x:f>
        <x:v/>
      </x:c>
      <x:c r="V1235" t="str">
        <x:f>""</x:f>
        <x:v/>
      </x:c>
      <x:c r="W1235" t="str">
        <x:f>""</x:f>
        <x:v/>
      </x:c>
      <x:c r="X1235" t="str">
        <x:f>""</x:f>
        <x:v/>
      </x:c>
      <x:c r="Y1235" t="str">
        <x:f>""</x:f>
        <x:v/>
      </x:c>
      <x:c r="Z1235" t="str">
        <x:f>""</x:f>
        <x:v/>
      </x:c>
      <x:c r="AA1235" t="str">
        <x:f>""</x:f>
        <x:v/>
      </x:c>
      <x:c r="AB1235" t="str">
        <x:f>""</x:f>
        <x:v/>
      </x:c>
      <x:c r="AC1235" t="str">
        <x:f>""</x:f>
        <x:v/>
      </x:c>
      <x:c r="AD1235" t="str">
        <x:f>""</x:f>
        <x:v/>
      </x:c>
      <x:c r="AE1235" t="str">
        <x:f>""</x:f>
        <x:v/>
      </x:c>
      <x:c r="AF1235" t="str">
        <x:f>""</x:f>
        <x:v/>
      </x:c>
      <x:c r="AG1235" t="str">
        <x:f>""</x:f>
        <x:v/>
      </x:c>
    </x:row>
    <x:row r="1236" spans="2:33" x14ac:dyDescent="0.25">
      <x:c r="B1236" t="str">
        <x:f>"KCE US Equity"</x:f>
        <x:v>KCE US Equity</x:v>
      </x:c>
      <x:c r="C1236" t="str">
        <x:f t="shared" si="53"/>
        <x:v>FD447</x:v>
      </x:c>
      <x:c r="D1236" t="str">
        <x:f t="shared" si="54"/>
        <x:v>FUND_FLOW</x:v>
      </x:c>
      <x:c r="E1236" t="str">
        <x:f t="shared" si="55"/>
        <x:v>Dynamic</x:v>
      </x:c>
      <x:c r="F1236">
        <x:f ca="1">_xll.BDH($B$1236,$C$1236,$B$1010,$B$1011,CONCATENATE("Per=",$B$1008),"Dts=H","Dir=H",CONCATENATE("Points=",$B$1009),"Sort=R","Days=A","Fill=B",CONCATENATE("FX=", $B$1007),"cols=14;rows=1")</x:f>
        <x:v>10.637</x:v>
      </x:c>
      <x:c r="G1236">
        <x:v>102.93689999999999</x:v>
      </x:c>
      <x:c r="H1236">
        <x:v>71.4405</x:v>
      </x:c>
      <x:c r="I1236">
        <x:v>4.5688000000000004</x:v>
      </x:c>
      <x:c r="J1236">
        <x:v>29.0871</x:v>
      </x:c>
      <x:c r="K1236">
        <x:v>-3.9426000000000001</x:v>
      </x:c>
      <x:c r="L1236">
        <x:v>-2.0171000000000001</x:v>
      </x:c>
      <x:c r="M1236">
        <x:v>-1.1900000000000001E-2</x:v>
      </x:c>
      <x:c r="N1236">
        <x:v>0</x:v>
      </x:c>
      <x:c r="O1236">
        <x:v>6.4173</x:v>
      </x:c>
      <x:c r="P1236">
        <x:v>1.9970000000000001</x:v>
      </x:c>
      <x:c r="Q1236">
        <x:v>-2.1551999999999998</x:v>
      </x:c>
      <x:c r="R1236">
        <x:v>-1.8008999999999999</x:v>
      </x:c>
      <x:c r="S1236">
        <x:v>2.0106000000000002</x:v>
      </x:c>
      <x:c r="T1236" t="str">
        <x:f>""</x:f>
        <x:v/>
      </x:c>
      <x:c r="U1236" t="str">
        <x:f>""</x:f>
        <x:v/>
      </x:c>
      <x:c r="V1236" t="str">
        <x:f>""</x:f>
        <x:v/>
      </x:c>
      <x:c r="W1236" t="str">
        <x:f>""</x:f>
        <x:v/>
      </x:c>
      <x:c r="X1236" t="str">
        <x:f>""</x:f>
        <x:v/>
      </x:c>
      <x:c r="Y1236" t="str">
        <x:f>""</x:f>
        <x:v/>
      </x:c>
      <x:c r="Z1236" t="str">
        <x:f>""</x:f>
        <x:v/>
      </x:c>
      <x:c r="AA1236" t="str">
        <x:f>""</x:f>
        <x:v/>
      </x:c>
      <x:c r="AB1236" t="str">
        <x:f>""</x:f>
        <x:v/>
      </x:c>
      <x:c r="AC1236" t="str">
        <x:f>""</x:f>
        <x:v/>
      </x:c>
      <x:c r="AD1236" t="str">
        <x:f>""</x:f>
        <x:v/>
      </x:c>
      <x:c r="AE1236" t="str">
        <x:f>""</x:f>
        <x:v/>
      </x:c>
      <x:c r="AF1236" t="str">
        <x:f>""</x:f>
        <x:v/>
      </x:c>
      <x:c r="AG1236" t="str">
        <x:f>""</x:f>
        <x:v/>
      </x:c>
    </x:row>
    <x:row r="1237" spans="2:33" x14ac:dyDescent="0.25">
      <x:c r="B1237" t="str">
        <x:f>"PFI US Equity"</x:f>
        <x:v>PFI US Equity</x:v>
      </x:c>
      <x:c r="C1237" t="str">
        <x:f t="shared" si="53"/>
        <x:v>FD447</x:v>
      </x:c>
      <x:c r="D1237" t="str">
        <x:f t="shared" si="54"/>
        <x:v>FUND_FLOW</x:v>
      </x:c>
      <x:c r="E1237" t="str">
        <x:f t="shared" si="55"/>
        <x:v>Dynamic</x:v>
      </x:c>
      <x:c r="F1237">
        <x:f ca="1">_xll.BDH($B$1237,$C$1237,$B$1010,$B$1011,CONCATENATE("Per=",$B$1008),"Dts=H","Dir=H",CONCATENATE("Points=",$B$1009),"Sort=R","Days=A","Fill=B",CONCATENATE("FX=", $B$1007),"cols=14;rows=1")</x:f>
        <x:v>0</x:v>
      </x:c>
      <x:c r="G1237">
        <x:v>-0.41439999999999999</x:v>
      </x:c>
      <x:c r="H1237">
        <x:v>-0.84330000000000005</x:v>
      </x:c>
      <x:c r="I1237">
        <x:v>0</x:v>
      </x:c>
      <x:c r="J1237">
        <x:v>-1.6476</x:v>
      </x:c>
      <x:c r="K1237">
        <x:v>-0.40389999999999998</x:v>
      </x:c>
      <x:c r="L1237">
        <x:v>-0.81850000000000001</x:v>
      </x:c>
      <x:c r="M1237">
        <x:v>-3.1027</x:v>
      </x:c>
      <x:c r="N1237">
        <x:v>-0.87509999999999999</x:v>
      </x:c>
      <x:c r="O1237">
        <x:v>-26.479399999999998</x:v>
      </x:c>
      <x:c r="P1237">
        <x:v>0</x:v>
      </x:c>
      <x:c r="Q1237">
        <x:v>5.1999999999999998E-3</x:v>
      </x:c>
      <x:c r="R1237">
        <x:v>-1.718</x:v>
      </x:c>
      <x:c r="S1237">
        <x:v>-1.2427999999999999</x:v>
      </x:c>
      <x:c r="T1237" t="str">
        <x:f>""</x:f>
        <x:v/>
      </x:c>
      <x:c r="U1237" t="str">
        <x:f>""</x:f>
        <x:v/>
      </x:c>
      <x:c r="V1237" t="str">
        <x:f>""</x:f>
        <x:v/>
      </x:c>
      <x:c r="W1237" t="str">
        <x:f>""</x:f>
        <x:v/>
      </x:c>
      <x:c r="X1237" t="str">
        <x:f>""</x:f>
        <x:v/>
      </x:c>
      <x:c r="Y1237" t="str">
        <x:f>""</x:f>
        <x:v/>
      </x:c>
      <x:c r="Z1237" t="str">
        <x:f>""</x:f>
        <x:v/>
      </x:c>
      <x:c r="AA1237" t="str">
        <x:f>""</x:f>
        <x:v/>
      </x:c>
      <x:c r="AB1237" t="str">
        <x:f>""</x:f>
        <x:v/>
      </x:c>
      <x:c r="AC1237" t="str">
        <x:f>""</x:f>
        <x:v/>
      </x:c>
      <x:c r="AD1237" t="str">
        <x:f>""</x:f>
        <x:v/>
      </x:c>
      <x:c r="AE1237" t="str">
        <x:f>""</x:f>
        <x:v/>
      </x:c>
      <x:c r="AF1237" t="str">
        <x:f>""</x:f>
        <x:v/>
      </x:c>
      <x:c r="AG1237" t="str">
        <x:f>""</x:f>
        <x:v/>
      </x:c>
    </x:row>
    <x:row r="1238" spans="2:33" x14ac:dyDescent="0.25">
      <x:c r="B1238" t="str">
        <x:f>"DFNL US Equity"</x:f>
        <x:v>DFNL US Equity</x:v>
      </x:c>
      <x:c r="C1238" t="str">
        <x:f t="shared" si="53"/>
        <x:v>FD447</x:v>
      </x:c>
      <x:c r="D1238" t="str">
        <x:f t="shared" si="54"/>
        <x:v>FUND_FLOW</x:v>
      </x:c>
      <x:c r="E1238" t="str">
        <x:f t="shared" si="55"/>
        <x:v>Dynamic</x:v>
      </x:c>
      <x:c r="F1238">
        <x:f ca="1">_xll.BDH($B$1238,$C$1238,$B$1010,$B$1011,CONCATENATE("Per=",$B$1008),"Dts=H","Dir=H",CONCATENATE("Points=",$B$1009),"Sort=R","Days=A","Fill=B",CONCATENATE("FX=", $B$1007),"cols=14;rows=1")</x:f>
        <x:v>0</x:v>
      </x:c>
      <x:c r="G1238">
        <x:v>-1.3725000000000001</x:v>
      </x:c>
      <x:c r="H1238">
        <x:v>-2.7534999999999998</x:v>
      </x:c>
      <x:c r="I1238">
        <x:v>0</x:v>
      </x:c>
      <x:c r="J1238">
        <x:v>0</x:v>
      </x:c>
      <x:c r="K1238">
        <x:v>0</x:v>
      </x:c>
      <x:c r="L1238">
        <x:v>-2.6206999999999998</x:v>
      </x:c>
      <x:c r="M1238">
        <x:v>0</x:v>
      </x:c>
      <x:c r="N1238">
        <x:v>-5.8680000000000003</x:v>
      </x:c>
      <x:c r="O1238">
        <x:v>0</x:v>
      </x:c>
      <x:c r="P1238">
        <x:v>0</x:v>
      </x:c>
      <x:c r="Q1238">
        <x:v>0</x:v>
      </x:c>
      <x:c r="R1238">
        <x:v>0</x:v>
      </x:c>
      <x:c r="S1238">
        <x:v>0</x:v>
      </x:c>
      <x:c r="T1238" t="str">
        <x:f>""</x:f>
        <x:v/>
      </x:c>
      <x:c r="U1238" t="str">
        <x:f>""</x:f>
        <x:v/>
      </x:c>
      <x:c r="V1238" t="str">
        <x:f>""</x:f>
        <x:v/>
      </x:c>
      <x:c r="W1238" t="str">
        <x:f>""</x:f>
        <x:v/>
      </x:c>
      <x:c r="X1238" t="str">
        <x:f>""</x:f>
        <x:v/>
      </x:c>
      <x:c r="Y1238" t="str">
        <x:f>""</x:f>
        <x:v/>
      </x:c>
      <x:c r="Z1238" t="str">
        <x:f>""</x:f>
        <x:v/>
      </x:c>
      <x:c r="AA1238" t="str">
        <x:f>""</x:f>
        <x:v/>
      </x:c>
      <x:c r="AB1238" t="str">
        <x:f>""</x:f>
        <x:v/>
      </x:c>
      <x:c r="AC1238" t="str">
        <x:f>""</x:f>
        <x:v/>
      </x:c>
      <x:c r="AD1238" t="str">
        <x:f>""</x:f>
        <x:v/>
      </x:c>
      <x:c r="AE1238" t="str">
        <x:f>""</x:f>
        <x:v/>
      </x:c>
      <x:c r="AF1238" t="str">
        <x:f>""</x:f>
        <x:v/>
      </x:c>
      <x:c r="AG1238" t="str">
        <x:f>""</x:f>
        <x:v/>
      </x:c>
    </x:row>
    <x:row r="1239" spans="2:33" x14ac:dyDescent="0.25">
      <x:c r="B1239" t="str">
        <x:f>"SKF US Equity"</x:f>
        <x:v>SKF US Equity</x:v>
      </x:c>
      <x:c r="C1239" t="str">
        <x:f t="shared" si="53"/>
        <x:v>FD447</x:v>
      </x:c>
      <x:c r="D1239" t="str">
        <x:f t="shared" si="54"/>
        <x:v>FUND_FLOW</x:v>
      </x:c>
      <x:c r="E1239" t="str">
        <x:f t="shared" si="55"/>
        <x:v>Dynamic</x:v>
      </x:c>
      <x:c r="F1239">
        <x:f ca="1">_xll.BDH($B$1239,$C$1239,$B$1010,$B$1011,CONCATENATE("Per=",$B$1008),"Dts=H","Dir=H",CONCATENATE("Points=",$B$1009),"Sort=R","Days=A","Fill=B",CONCATENATE("FX=", $B$1007),"cols=14;rows=1")</x:f>
        <x:v>0.50900000000000001</x:v>
      </x:c>
      <x:c r="G1239">
        <x:v>-0.96330000000000005</x:v>
      </x:c>
      <x:c r="H1239">
        <x:v>-0.42170000000000002</x:v>
      </x:c>
      <x:c r="I1239">
        <x:v>5.4000000000000003E-3</x:v>
      </x:c>
      <x:c r="J1239">
        <x:v>-3.7806000000000002</x:v>
      </x:c>
      <x:c r="K1239">
        <x:v>1.9341999999999999</x:v>
      </x:c>
      <x:c r="L1239">
        <x:v>1.9681</x:v>
      </x:c>
      <x:c r="M1239">
        <x:v>2.573</x:v>
      </x:c>
      <x:c r="N1239">
        <x:v>-0.44500000000000001</x:v>
      </x:c>
      <x:c r="O1239">
        <x:v>-2.2747000000000002</x:v>
      </x:c>
      <x:c r="P1239">
        <x:v>4.4618000000000002</x:v>
      </x:c>
      <x:c r="Q1239">
        <x:v>-2.52E-2</x:v>
      </x:c>
      <x:c r="R1239">
        <x:v>1.2541</x:v>
      </x:c>
      <x:c r="S1239">
        <x:v>2.2502</x:v>
      </x:c>
      <x:c r="T1239" t="str">
        <x:f>""</x:f>
        <x:v/>
      </x:c>
      <x:c r="U1239" t="str">
        <x:f>""</x:f>
        <x:v/>
      </x:c>
      <x:c r="V1239" t="str">
        <x:f>""</x:f>
        <x:v/>
      </x:c>
      <x:c r="W1239" t="str">
        <x:f>""</x:f>
        <x:v/>
      </x:c>
      <x:c r="X1239" t="str">
        <x:f>""</x:f>
        <x:v/>
      </x:c>
      <x:c r="Y1239" t="str">
        <x:f>""</x:f>
        <x:v/>
      </x:c>
      <x:c r="Z1239" t="str">
        <x:f>""</x:f>
        <x:v/>
      </x:c>
      <x:c r="AA1239" t="str">
        <x:f>""</x:f>
        <x:v/>
      </x:c>
      <x:c r="AB1239" t="str">
        <x:f>""</x:f>
        <x:v/>
      </x:c>
      <x:c r="AC1239" t="str">
        <x:f>""</x:f>
        <x:v/>
      </x:c>
      <x:c r="AD1239" t="str">
        <x:f>""</x:f>
        <x:v/>
      </x:c>
      <x:c r="AE1239" t="str">
        <x:f>""</x:f>
        <x:v/>
      </x:c>
      <x:c r="AF1239" t="str">
        <x:f>""</x:f>
        <x:v/>
      </x:c>
      <x:c r="AG1239" t="str">
        <x:f>""</x:f>
        <x:v/>
      </x:c>
    </x:row>
    <x:row r="1240" spans="2:33" x14ac:dyDescent="0.25">
      <x:c r="B1240" t="str">
        <x:f>"JHMF US Equity"</x:f>
        <x:v>JHMF US Equity</x:v>
      </x:c>
      <x:c r="C1240" t="str">
        <x:f t="shared" si="53"/>
        <x:v>FD447</x:v>
      </x:c>
      <x:c r="D1240" t="str">
        <x:f t="shared" si="54"/>
        <x:v>FUND_FLOW</x:v>
      </x:c>
      <x:c r="E1240" t="str">
        <x:f t="shared" si="55"/>
        <x:v>Dynamic</x:v>
      </x:c>
      <x:c r="F1240" t="str">
        <x:f ca="1">_xll.BDH($B$1240,$C$1240,$B$1010,$B$1011,CONCATENATE("Per=",$B$1008),"Dts=H","Dir=H",CONCATENATE("Points=",$B$1009),"Sort=R","Days=A","Fill=B",CONCATENATE("FX=", $B$1007),"cols=14;rows=1")</x:f>
        <x:v/>
      </x:c>
      <x:c r="R1240">
        <x:v>-2.9927999999999999</x:v>
      </x:c>
      <x:c r="S1240">
        <x:v>-2.5255000000000001</x:v>
      </x:c>
      <x:c r="T1240" t="str">
        <x:f>""</x:f>
        <x:v/>
      </x:c>
      <x:c r="U1240" t="str">
        <x:f>""</x:f>
        <x:v/>
      </x:c>
      <x:c r="V1240" t="str">
        <x:f>""</x:f>
        <x:v/>
      </x:c>
      <x:c r="W1240" t="str">
        <x:f>""</x:f>
        <x:v/>
      </x:c>
      <x:c r="X1240" t="str">
        <x:f>""</x:f>
        <x:v/>
      </x:c>
      <x:c r="Y1240" t="str">
        <x:f>""</x:f>
        <x:v/>
      </x:c>
      <x:c r="Z1240" t="str">
        <x:f>""</x:f>
        <x:v/>
      </x:c>
      <x:c r="AA1240" t="str">
        <x:f>""</x:f>
        <x:v/>
      </x:c>
      <x:c r="AB1240" t="str">
        <x:f>""</x:f>
        <x:v/>
      </x:c>
      <x:c r="AC1240" t="str">
        <x:f>""</x:f>
        <x:v/>
      </x:c>
      <x:c r="AD1240" t="str">
        <x:f>""</x:f>
        <x:v/>
      </x:c>
      <x:c r="AE1240" t="str">
        <x:f>""</x:f>
        <x:v/>
      </x:c>
      <x:c r="AF1240" t="str">
        <x:f>""</x:f>
        <x:v/>
      </x:c>
      <x:c r="AG1240" t="str">
        <x:f>""</x:f>
        <x:v/>
      </x:c>
    </x:row>
    <x:row r="1241" spans="2:33" x14ac:dyDescent="0.25">
      <x:c r="B1241" t="str">
        <x:f>"DXJF US Equity"</x:f>
        <x:v>DXJF US Equity</x:v>
      </x:c>
      <x:c r="C1241" t="str">
        <x:f t="shared" si="53"/>
        <x:v>FD447</x:v>
      </x:c>
      <x:c r="D1241" t="str">
        <x:f t="shared" si="54"/>
        <x:v>FUND_FLOW</x:v>
      </x:c>
      <x:c r="E1241" t="str">
        <x:f t="shared" si="55"/>
        <x:v>Dynamic</x:v>
      </x:c>
      <x:c r="F1241" t="str">
        <x:f ca="1">_xll.BDH($B$1241,$C$1241,$B$1010,$B$1011,CONCATENATE("Per=",$B$1008),"Dts=H","Dir=H",CONCATENATE("Points=",$B$1009),"Sort=R","Days=A","Fill=B",CONCATENATE("FX=", $B$1007) )</x:f>
        <x:v/>
      </x:c>
      <x:c r="T1241" t="str">
        <x:f>""</x:f>
        <x:v/>
      </x:c>
      <x:c r="U1241" t="str">
        <x:f>""</x:f>
        <x:v/>
      </x:c>
      <x:c r="V1241" t="str">
        <x:f>""</x:f>
        <x:v/>
      </x:c>
      <x:c r="W1241" t="str">
        <x:f>""</x:f>
        <x:v/>
      </x:c>
      <x:c r="X1241" t="str">
        <x:f>""</x:f>
        <x:v/>
      </x:c>
      <x:c r="Y1241" t="str">
        <x:f>""</x:f>
        <x:v/>
      </x:c>
      <x:c r="Z1241" t="str">
        <x:f>""</x:f>
        <x:v/>
      </x:c>
      <x:c r="AA1241" t="str">
        <x:f>""</x:f>
        <x:v/>
      </x:c>
      <x:c r="AB1241" t="str">
        <x:f>""</x:f>
        <x:v/>
      </x:c>
      <x:c r="AC1241" t="str">
        <x:f>""</x:f>
        <x:v/>
      </x:c>
      <x:c r="AD1241" t="str">
        <x:f>""</x:f>
        <x:v/>
      </x:c>
      <x:c r="AE1241" t="str">
        <x:f>""</x:f>
        <x:v/>
      </x:c>
      <x:c r="AF1241" t="str">
        <x:f>""</x:f>
        <x:v/>
      </x:c>
      <x:c r="AG1241" t="str">
        <x:f>""</x:f>
        <x:v/>
      </x:c>
    </x:row>
    <x:row r="1242" spans="2:33" x14ac:dyDescent="0.25">
      <x:c r="B1242" t="str">
        <x:f>"CHIX US Equity"</x:f>
        <x:v>CHIX US Equity</x:v>
      </x:c>
      <x:c r="C1242" t="str">
        <x:f t="shared" si="53"/>
        <x:v>FD447</x:v>
      </x:c>
      <x:c r="D1242" t="str">
        <x:f t="shared" si="54"/>
        <x:v>FUND_FLOW</x:v>
      </x:c>
      <x:c r="E1242" t="str">
        <x:f t="shared" si="55"/>
        <x:v>Dynamic</x:v>
      </x:c>
      <x:c r="F1242">
        <x:f ca="1">_xll.BDH($B$1242,$C$1242,$B$1010,$B$1011,CONCATENATE("Per=",$B$1008),"Dts=H","Dir=H",CONCATENATE("Points=",$B$1009),"Sort=R","Days=A","Fill=B",CONCATENATE("FX=", $B$1007),"cols=14;rows=1")</x:f>
        <x:v>0</x:v>
      </x:c>
      <x:c r="G1242">
        <x:v>0</x:v>
      </x:c>
      <x:c r="H1242">
        <x:v>0</x:v>
      </x:c>
      <x:c r="I1242">
        <x:v>0</x:v>
      </x:c>
      <x:c r="J1242">
        <x:v>-1.0980000000000001</x:v>
      </x:c>
      <x:c r="K1242">
        <x:v>0</x:v>
      </x:c>
      <x:c r="L1242">
        <x:v>0</x:v>
      </x:c>
      <x:c r="M1242">
        <x:v>0</x:v>
      </x:c>
      <x:c r="N1242">
        <x:v>0</x:v>
      </x:c>
      <x:c r="O1242">
        <x:v>-5.3013000000000003</x:v>
      </x:c>
      <x:c r="P1242">
        <x:v>-5.4675000000000002</x:v>
      </x:c>
      <x:c r="Q1242">
        <x:v>0</x:v>
      </x:c>
      <x:c r="R1242">
        <x:v>0</x:v>
      </x:c>
      <x:c r="S1242">
        <x:v>-1.7426999999999999</x:v>
      </x:c>
      <x:c r="T1242" t="str">
        <x:f>""</x:f>
        <x:v/>
      </x:c>
      <x:c r="U1242" t="str">
        <x:f>""</x:f>
        <x:v/>
      </x:c>
      <x:c r="V1242" t="str">
        <x:f>""</x:f>
        <x:v/>
      </x:c>
      <x:c r="W1242" t="str">
        <x:f>""</x:f>
        <x:v/>
      </x:c>
      <x:c r="X1242" t="str">
        <x:f>""</x:f>
        <x:v/>
      </x:c>
      <x:c r="Y1242" t="str">
        <x:f>""</x:f>
        <x:v/>
      </x:c>
      <x:c r="Z1242" t="str">
        <x:f>""</x:f>
        <x:v/>
      </x:c>
      <x:c r="AA1242" t="str">
        <x:f>""</x:f>
        <x:v/>
      </x:c>
      <x:c r="AB1242" t="str">
        <x:f>""</x:f>
        <x:v/>
      </x:c>
      <x:c r="AC1242" t="str">
        <x:f>""</x:f>
        <x:v/>
      </x:c>
      <x:c r="AD1242" t="str">
        <x:f>""</x:f>
        <x:v/>
      </x:c>
      <x:c r="AE1242" t="str">
        <x:f>""</x:f>
        <x:v/>
      </x:c>
      <x:c r="AF1242" t="str">
        <x:f>""</x:f>
        <x:v/>
      </x:c>
      <x:c r="AG1242" t="str">
        <x:f>""</x:f>
        <x:v/>
      </x:c>
    </x:row>
    <x:row r="1243" spans="2:33" x14ac:dyDescent="0.25">
      <x:c r="B1243" t="str">
        <x:f>"RWW US Equity"</x:f>
        <x:v>RWW US Equity</x:v>
      </x:c>
      <x:c r="C1243" t="str">
        <x:f t="shared" si="53"/>
        <x:v>FD447</x:v>
      </x:c>
      <x:c r="D1243" t="str">
        <x:f t="shared" si="54"/>
        <x:v>FUND_FLOW</x:v>
      </x:c>
      <x:c r="E1243" t="str">
        <x:f t="shared" si="55"/>
        <x:v>Dynamic</x:v>
      </x:c>
      <x:c r="F1243" t="str">
        <x:f ca="1">_xll.BDH($B$1243,$C$1243,$B$1010,$B$1011,CONCATENATE("Per=",$B$1008),"Dts=H","Dir=H",CONCATENATE("Points=",$B$1009),"Sort=R","Days=A","Fill=B",CONCATENATE("FX=", $B$1007) )</x:f>
        <x:v/>
      </x:c>
      <x:c r="T1243" t="str">
        <x:f>""</x:f>
        <x:v/>
      </x:c>
      <x:c r="U1243" t="str">
        <x:f>""</x:f>
        <x:v/>
      </x:c>
      <x:c r="V1243" t="str">
        <x:f>""</x:f>
        <x:v/>
      </x:c>
      <x:c r="W1243" t="str">
        <x:f>""</x:f>
        <x:v/>
      </x:c>
      <x:c r="X1243" t="str">
        <x:f>""</x:f>
        <x:v/>
      </x:c>
      <x:c r="Y1243" t="str">
        <x:f>""</x:f>
        <x:v/>
      </x:c>
      <x:c r="Z1243" t="str">
        <x:f>""</x:f>
        <x:v/>
      </x:c>
      <x:c r="AA1243" t="str">
        <x:f>""</x:f>
        <x:v/>
      </x:c>
      <x:c r="AB1243" t="str">
        <x:f>""</x:f>
        <x:v/>
      </x:c>
      <x:c r="AC1243" t="str">
        <x:f>""</x:f>
        <x:v/>
      </x:c>
      <x:c r="AD1243" t="str">
        <x:f>""</x:f>
        <x:v/>
      </x:c>
      <x:c r="AE1243" t="str">
        <x:f>""</x:f>
        <x:v/>
      </x:c>
      <x:c r="AF1243" t="str">
        <x:f>""</x:f>
        <x:v/>
      </x:c>
      <x:c r="AG1243" t="str">
        <x:f>""</x:f>
        <x:v/>
      </x:c>
    </x:row>
    <x:row r="1244" spans="2:33" x14ac:dyDescent="0.25">
      <x:c r="B1244" t="str">
        <x:f>"DPST US Equity"</x:f>
        <x:v>DPST US Equity</x:v>
      </x:c>
      <x:c r="C1244" t="str">
        <x:f t="shared" si="53"/>
        <x:v>FD447</x:v>
      </x:c>
      <x:c r="D1244" t="str">
        <x:f t="shared" si="54"/>
        <x:v>FUND_FLOW</x:v>
      </x:c>
      <x:c r="E1244" t="str">
        <x:f t="shared" si="55"/>
        <x:v>Dynamic</x:v>
      </x:c>
      <x:c r="F1244">
        <x:f ca="1">_xll.BDH($B$1244,$C$1244,$B$1010,$B$1011,CONCATENATE("Per=",$B$1008),"Dts=H","Dir=H",CONCATENATE("Points=",$B$1009),"Sort=R","Days=A","Fill=B",CONCATENATE("FX=", $B$1007),"cols=14;rows=1")</x:f>
        <x:v>66.311499999999995</x:v>
      </x:c>
      <x:c r="G1244">
        <x:v>46.3964</x:v>
      </x:c>
      <x:c r="H1244">
        <x:v>-34.457599999999999</x:v>
      </x:c>
      <x:c r="I1244">
        <x:v>-189.48419999999999</x:v>
      </x:c>
      <x:c r="J1244">
        <x:v>12.023199999999999</x:v>
      </x:c>
      <x:c r="K1244">
        <x:v>161.13069999999999</x:v>
      </x:c>
      <x:c r="L1244">
        <x:v>76.309200000000004</x:v>
      </x:c>
      <x:c r="M1244">
        <x:v>349.5616</x:v>
      </x:c>
      <x:c r="N1244">
        <x:v>-10.1922</x:v>
      </x:c>
      <x:c r="O1244">
        <x:v>-14.9236</x:v>
      </x:c>
      <x:c r="P1244">
        <x:v>16.197399999999998</x:v>
      </x:c>
      <x:c r="Q1244">
        <x:v>-9.1279000000000003</x:v>
      </x:c>
      <x:c r="R1244">
        <x:v>2.2153</x:v>
      </x:c>
      <x:c r="S1244">
        <x:v>-0.10829999999999999</x:v>
      </x:c>
      <x:c r="T1244" t="str">
        <x:f>""</x:f>
        <x:v/>
      </x:c>
      <x:c r="U1244" t="str">
        <x:f>""</x:f>
        <x:v/>
      </x:c>
      <x:c r="V1244" t="str">
        <x:f>""</x:f>
        <x:v/>
      </x:c>
      <x:c r="W1244" t="str">
        <x:f>""</x:f>
        <x:v/>
      </x:c>
      <x:c r="X1244" t="str">
        <x:f>""</x:f>
        <x:v/>
      </x:c>
      <x:c r="Y1244" t="str">
        <x:f>""</x:f>
        <x:v/>
      </x:c>
      <x:c r="Z1244" t="str">
        <x:f>""</x:f>
        <x:v/>
      </x:c>
      <x:c r="AA1244" t="str">
        <x:f>""</x:f>
        <x:v/>
      </x:c>
      <x:c r="AB1244" t="str">
        <x:f>""</x:f>
        <x:v/>
      </x:c>
      <x:c r="AC1244" t="str">
        <x:f>""</x:f>
        <x:v/>
      </x:c>
      <x:c r="AD1244" t="str">
        <x:f>""</x:f>
        <x:v/>
      </x:c>
      <x:c r="AE1244" t="str">
        <x:f>""</x:f>
        <x:v/>
      </x:c>
      <x:c r="AF1244" t="str">
        <x:f>""</x:f>
        <x:v/>
      </x:c>
      <x:c r="AG1244" t="str">
        <x:f>""</x:f>
        <x:v/>
      </x:c>
    </x:row>
    <x:row r="1245" spans="2:33" x14ac:dyDescent="0.25">
      <x:c r="B1245" t="str">
        <x:f>"SEF US Equity"</x:f>
        <x:v>SEF US Equity</x:v>
      </x:c>
      <x:c r="C1245" t="str">
        <x:f t="shared" si="53"/>
        <x:v>FD447</x:v>
      </x:c>
      <x:c r="D1245" t="str">
        <x:f t="shared" si="54"/>
        <x:v>FUND_FLOW</x:v>
      </x:c>
      <x:c r="E1245" t="str">
        <x:f t="shared" si="55"/>
        <x:v>Dynamic</x:v>
      </x:c>
      <x:c r="F1245">
        <x:f ca="1">_xll.BDH($B$1245,$C$1245,$B$1010,$B$1011,CONCATENATE("Per=",$B$1008),"Dts=H","Dir=H",CONCATENATE("Points=",$B$1009),"Sort=R","Days=A","Fill=B",CONCATENATE("FX=", $B$1007),"cols=14;rows=1")</x:f>
        <x:v>-1.3866000000000001</x:v>
      </x:c>
      <x:c r="G1245">
        <x:v>-0.64200000000000002</x:v>
      </x:c>
      <x:c r="H1245">
        <x:v>-1.9596</x:v>
      </x:c>
      <x:c r="I1245">
        <x:v>-8.6805000000000003</x:v>
      </x:c>
      <x:c r="J1245">
        <x:v>-1.2714000000000001</x:v>
      </x:c>
      <x:c r="K1245">
        <x:v>0.54479999999999995</x:v>
      </x:c>
      <x:c r="L1245">
        <x:v>1.7607999999999999</x:v>
      </x:c>
      <x:c r="M1245">
        <x:v>10.8469</x:v>
      </x:c>
      <x:c r="N1245">
        <x:v>-2.4150999999999998</x:v>
      </x:c>
      <x:c r="O1245">
        <x:v>0.62990000000000002</x:v>
      </x:c>
      <x:c r="P1245">
        <x:v>0.60599999999999998</x:v>
      </x:c>
      <x:c r="Q1245">
        <x:v>-4.3235999999999999</x:v>
      </x:c>
      <x:c r="R1245">
        <x:v>3.5608</x:v>
      </x:c>
      <x:c r="S1245">
        <x:v>0.46479999999999999</x:v>
      </x:c>
      <x:c r="T1245" t="str">
        <x:f>""</x:f>
        <x:v/>
      </x:c>
      <x:c r="U1245" t="str">
        <x:f>""</x:f>
        <x:v/>
      </x:c>
      <x:c r="V1245" t="str">
        <x:f>""</x:f>
        <x:v/>
      </x:c>
      <x:c r="W1245" t="str">
        <x:f>""</x:f>
        <x:v/>
      </x:c>
      <x:c r="X1245" t="str">
        <x:f>""</x:f>
        <x:v/>
      </x:c>
      <x:c r="Y1245" t="str">
        <x:f>""</x:f>
        <x:v/>
      </x:c>
      <x:c r="Z1245" t="str">
        <x:f>""</x:f>
        <x:v/>
      </x:c>
      <x:c r="AA1245" t="str">
        <x:f>""</x:f>
        <x:v/>
      </x:c>
      <x:c r="AB1245" t="str">
        <x:f>""</x:f>
        <x:v/>
      </x:c>
      <x:c r="AC1245" t="str">
        <x:f>""</x:f>
        <x:v/>
      </x:c>
      <x:c r="AD1245" t="str">
        <x:f>""</x:f>
        <x:v/>
      </x:c>
      <x:c r="AE1245" t="str">
        <x:f>""</x:f>
        <x:v/>
      </x:c>
      <x:c r="AF1245" t="str">
        <x:f>""</x:f>
        <x:v/>
      </x:c>
      <x:c r="AG1245" t="str">
        <x:f>""</x:f>
        <x:v/>
      </x:c>
    </x:row>
    <x:row r="1246" spans="2:33" x14ac:dyDescent="0.25">
      <x:c r="B1246" t="str">
        <x:f>"1848835D US Equity"</x:f>
        <x:v>1848835D US Equity</x:v>
      </x:c>
      <x:c r="C1246" t="str">
        <x:f t="shared" si="53"/>
        <x:v>FD447</x:v>
      </x:c>
      <x:c r="D1246" t="str">
        <x:f t="shared" si="54"/>
        <x:v>FUND_FLOW</x:v>
      </x:c>
      <x:c r="E1246" t="str">
        <x:f t="shared" si="55"/>
        <x:v>Dynamic</x:v>
      </x:c>
      <x:c r="F1246" t="str">
        <x:f ca="1">_xll.BDH($B$1246,$C$1246,$B$1010,$B$1011,CONCATENATE("Per=",$B$1008),"Dts=H","Dir=H",CONCATENATE("Points=",$B$1009),"Sort=R","Days=A","Fill=B",CONCATENATE("FX=", $B$1007) )</x:f>
        <x:v/>
      </x:c>
      <x:c r="T1246" t="str">
        <x:f>""</x:f>
        <x:v/>
      </x:c>
      <x:c r="U1246" t="str">
        <x:f>""</x:f>
        <x:v/>
      </x:c>
      <x:c r="V1246" t="str">
        <x:f>""</x:f>
        <x:v/>
      </x:c>
      <x:c r="W1246" t="str">
        <x:f>""</x:f>
        <x:v/>
      </x:c>
      <x:c r="X1246" t="str">
        <x:f>""</x:f>
        <x:v/>
      </x:c>
      <x:c r="Y1246" t="str">
        <x:f>""</x:f>
        <x:v/>
      </x:c>
      <x:c r="Z1246" t="str">
        <x:f>""</x:f>
        <x:v/>
      </x:c>
      <x:c r="AA1246" t="str">
        <x:f>""</x:f>
        <x:v/>
      </x:c>
      <x:c r="AB1246" t="str">
        <x:f>""</x:f>
        <x:v/>
      </x:c>
      <x:c r="AC1246" t="str">
        <x:f>""</x:f>
        <x:v/>
      </x:c>
      <x:c r="AD1246" t="str">
        <x:f>""</x:f>
        <x:v/>
      </x:c>
      <x:c r="AE1246" t="str">
        <x:f>""</x:f>
        <x:v/>
      </x:c>
      <x:c r="AF1246" t="str">
        <x:f>""</x:f>
        <x:v/>
      </x:c>
      <x:c r="AG1246" t="str">
        <x:f>""</x:f>
        <x:v/>
      </x:c>
    </x:row>
    <x:row r="1247" spans="2:33" x14ac:dyDescent="0.25">
      <x:c r="B1247" t="str">
        <x:f>"KRU US Equity"</x:f>
        <x:v>KRU US Equity</x:v>
      </x:c>
      <x:c r="C1247" t="str">
        <x:f t="shared" si="53"/>
        <x:v>FD447</x:v>
      </x:c>
      <x:c r="D1247" t="str">
        <x:f t="shared" si="54"/>
        <x:v>FUND_FLOW</x:v>
      </x:c>
      <x:c r="E1247" t="str">
        <x:f t="shared" si="55"/>
        <x:v>Dynamic</x:v>
      </x:c>
      <x:c r="F1247" t="str">
        <x:f ca="1">_xll.BDH($B$1247,$C$1247,$B$1010,$B$1011,CONCATENATE("Per=",$B$1008),"Dts=H","Dir=H",CONCATENATE("Points=",$B$1009),"Sort=R","Days=A","Fill=B",CONCATENATE("FX=", $B$1007) )</x:f>
        <x:v/>
      </x:c>
      <x:c r="T1247" t="str">
        <x:f>""</x:f>
        <x:v/>
      </x:c>
      <x:c r="U1247" t="str">
        <x:f>""</x:f>
        <x:v/>
      </x:c>
      <x:c r="V1247" t="str">
        <x:f>""</x:f>
        <x:v/>
      </x:c>
      <x:c r="W1247" t="str">
        <x:f>""</x:f>
        <x:v/>
      </x:c>
      <x:c r="X1247" t="str">
        <x:f>""</x:f>
        <x:v/>
      </x:c>
      <x:c r="Y1247" t="str">
        <x:f>""</x:f>
        <x:v/>
      </x:c>
      <x:c r="Z1247" t="str">
        <x:f>""</x:f>
        <x:v/>
      </x:c>
      <x:c r="AA1247" t="str">
        <x:f>""</x:f>
        <x:v/>
      </x:c>
      <x:c r="AB1247" t="str">
        <x:f>""</x:f>
        <x:v/>
      </x:c>
      <x:c r="AC1247" t="str">
        <x:f>""</x:f>
        <x:v/>
      </x:c>
      <x:c r="AD1247" t="str">
        <x:f>""</x:f>
        <x:v/>
      </x:c>
      <x:c r="AE1247" t="str">
        <x:f>""</x:f>
        <x:v/>
      </x:c>
      <x:c r="AF1247" t="str">
        <x:f>""</x:f>
        <x:v/>
      </x:c>
      <x:c r="AG1247" t="str">
        <x:f>""</x:f>
        <x:v/>
      </x:c>
    </x:row>
    <x:row r="1248" spans="2:33" x14ac:dyDescent="0.25">
      <x:c r="B1248" t="str">
        <x:f>"IPF US Equity"</x:f>
        <x:v>IPF US Equity</x:v>
      </x:c>
      <x:c r="C1248" t="str">
        <x:f t="shared" si="53"/>
        <x:v>FD447</x:v>
      </x:c>
      <x:c r="D1248" t="str">
        <x:f t="shared" si="54"/>
        <x:v>FUND_FLOW</x:v>
      </x:c>
      <x:c r="E1248" t="str">
        <x:f t="shared" si="55"/>
        <x:v>Dynamic</x:v>
      </x:c>
      <x:c r="F1248" t="str">
        <x:f ca="1">_xll.BDH($B$1248,$C$1248,$B$1010,$B$1011,CONCATENATE("Per=",$B$1008),"Dts=H","Dir=H",CONCATENATE("Points=",$B$1009),"Sort=R","Days=A","Fill=B",CONCATENATE("FX=", $B$1007) )</x:f>
        <x:v/>
      </x:c>
      <x:c r="T1248" t="str">
        <x:f>""</x:f>
        <x:v/>
      </x:c>
      <x:c r="U1248" t="str">
        <x:f>""</x:f>
        <x:v/>
      </x:c>
      <x:c r="V1248" t="str">
        <x:f>""</x:f>
        <x:v/>
      </x:c>
      <x:c r="W1248" t="str">
        <x:f>""</x:f>
        <x:v/>
      </x:c>
      <x:c r="X1248" t="str">
        <x:f>""</x:f>
        <x:v/>
      </x:c>
      <x:c r="Y1248" t="str">
        <x:f>""</x:f>
        <x:v/>
      </x:c>
      <x:c r="Z1248" t="str">
        <x:f>""</x:f>
        <x:v/>
      </x:c>
      <x:c r="AA1248" t="str">
        <x:f>""</x:f>
        <x:v/>
      </x:c>
      <x:c r="AB1248" t="str">
        <x:f>""</x:f>
        <x:v/>
      </x:c>
      <x:c r="AC1248" t="str">
        <x:f>""</x:f>
        <x:v/>
      </x:c>
      <x:c r="AD1248" t="str">
        <x:f>""</x:f>
        <x:v/>
      </x:c>
      <x:c r="AE1248" t="str">
        <x:f>""</x:f>
        <x:v/>
      </x:c>
      <x:c r="AF1248" t="str">
        <x:f>""</x:f>
        <x:v/>
      </x:c>
      <x:c r="AG1248" t="str">
        <x:f>""</x:f>
        <x:v/>
      </x:c>
    </x:row>
    <x:row r="1249" spans="2:33" x14ac:dyDescent="0.25">
      <x:c r="B1249" t="str">
        <x:f>"WDRW US Equity"</x:f>
        <x:v>WDRW US Equity</x:v>
      </x:c>
      <x:c r="C1249" t="str">
        <x:f t="shared" si="53"/>
        <x:v>FD447</x:v>
      </x:c>
      <x:c r="D1249" t="str">
        <x:f t="shared" si="54"/>
        <x:v>FUND_FLOW</x:v>
      </x:c>
      <x:c r="E1249" t="str">
        <x:f t="shared" si="55"/>
        <x:v>Dynamic</x:v>
      </x:c>
      <x:c r="F1249" t="str">
        <x:f ca="1">_xll.BDH($B$1249,$C$1249,$B$1010,$B$1011,CONCATENATE("Per=",$B$1008),"Dts=H","Dir=H",CONCATENATE("Points=",$B$1009),"Sort=R","Days=A","Fill=B",CONCATENATE("FX=", $B$1007) )</x:f>
        <x:v/>
      </x:c>
      <x:c r="T1249" t="str">
        <x:f>""</x:f>
        <x:v/>
      </x:c>
      <x:c r="U1249" t="str">
        <x:f>""</x:f>
        <x:v/>
      </x:c>
      <x:c r="V1249" t="str">
        <x:f>""</x:f>
        <x:v/>
      </x:c>
      <x:c r="W1249" t="str">
        <x:f>""</x:f>
        <x:v/>
      </x:c>
      <x:c r="X1249" t="str">
        <x:f>""</x:f>
        <x:v/>
      </x:c>
      <x:c r="Y1249" t="str">
        <x:f>""</x:f>
        <x:v/>
      </x:c>
      <x:c r="Z1249" t="str">
        <x:f>""</x:f>
        <x:v/>
      </x:c>
      <x:c r="AA1249" t="str">
        <x:f>""</x:f>
        <x:v/>
      </x:c>
      <x:c r="AB1249" t="str">
        <x:f>""</x:f>
        <x:v/>
      </x:c>
      <x:c r="AC1249" t="str">
        <x:f>""</x:f>
        <x:v/>
      </x:c>
      <x:c r="AD1249" t="str">
        <x:f>""</x:f>
        <x:v/>
      </x:c>
      <x:c r="AE1249" t="str">
        <x:f>""</x:f>
        <x:v/>
      </x:c>
      <x:c r="AF1249" t="str">
        <x:f>""</x:f>
        <x:v/>
      </x:c>
      <x:c r="AG1249" t="str">
        <x:f>""</x:f>
        <x:v/>
      </x:c>
    </x:row>
    <x:row r="1250" spans="2:33" x14ac:dyDescent="0.25">
      <x:c r="B1250" t="str">
        <x:f>"EUFL US Equity"</x:f>
        <x:v>EUFL US Equity</x:v>
      </x:c>
      <x:c r="C1250" t="str">
        <x:f t="shared" si="53"/>
        <x:v>FD447</x:v>
      </x:c>
      <x:c r="D1250" t="str">
        <x:f t="shared" si="54"/>
        <x:v>FUND_FLOW</x:v>
      </x:c>
      <x:c r="E1250" t="str">
        <x:f t="shared" si="55"/>
        <x:v>Dynamic</x:v>
      </x:c>
      <x:c r="F1250" t="str">
        <x:f ca="1">_xll.BDH($B$1250,$C$1250,$B$1010,$B$1011,CONCATENATE("Per=",$B$1008),"Dts=H","Dir=H",CONCATENATE("Points=",$B$1009),"Sort=R","Days=A","Fill=B",CONCATENATE("FX=", $B$1007) )</x:f>
        <x:v/>
      </x:c>
      <x:c r="T1250" t="str">
        <x:f>""</x:f>
        <x:v/>
      </x:c>
      <x:c r="U1250" t="str">
        <x:f>""</x:f>
        <x:v/>
      </x:c>
      <x:c r="V1250" t="str">
        <x:f>""</x:f>
        <x:v/>
      </x:c>
      <x:c r="W1250" t="str">
        <x:f>""</x:f>
        <x:v/>
      </x:c>
      <x:c r="X1250" t="str">
        <x:f>""</x:f>
        <x:v/>
      </x:c>
      <x:c r="Y1250" t="str">
        <x:f>""</x:f>
        <x:v/>
      </x:c>
      <x:c r="Z1250" t="str">
        <x:f>""</x:f>
        <x:v/>
      </x:c>
      <x:c r="AA1250" t="str">
        <x:f>""</x:f>
        <x:v/>
      </x:c>
      <x:c r="AB1250" t="str">
        <x:f>""</x:f>
        <x:v/>
      </x:c>
      <x:c r="AC1250" t="str">
        <x:f>""</x:f>
        <x:v/>
      </x:c>
      <x:c r="AD1250" t="str">
        <x:f>""</x:f>
        <x:v/>
      </x:c>
      <x:c r="AE1250" t="str">
        <x:f>""</x:f>
        <x:v/>
      </x:c>
      <x:c r="AF1250" t="str">
        <x:f>""</x:f>
        <x:v/>
      </x:c>
      <x:c r="AG1250" t="str">
        <x:f>""</x:f>
        <x:v/>
      </x:c>
    </x:row>
    <x:row r="1251" spans="2:33" x14ac:dyDescent="0.25">
      <x:c r="B1251" t="str">
        <x:f>"FNCF US Equity"</x:f>
        <x:v>FNCF US Equity</x:v>
      </x:c>
      <x:c r="C1251" t="str">
        <x:f t="shared" si="53"/>
        <x:v>FD447</x:v>
      </x:c>
      <x:c r="D1251" t="str">
        <x:f t="shared" si="54"/>
        <x:v>FUND_FLOW</x:v>
      </x:c>
      <x:c r="E1251" t="str">
        <x:f t="shared" si="55"/>
        <x:v>Dynamic</x:v>
      </x:c>
      <x:c r="F1251" t="str">
        <x:f ca="1">_xll.BDH($B$1251,$C$1251,$B$1010,$B$1011,CONCATENATE("Per=",$B$1008),"Dts=H","Dir=H",CONCATENATE("Points=",$B$1009),"Sort=R","Days=A","Fill=B",CONCATENATE("FX=", $B$1007) )</x:f>
        <x:v/>
      </x:c>
      <x:c r="T1251" t="str">
        <x:f>""</x:f>
        <x:v/>
      </x:c>
      <x:c r="U1251" t="str">
        <x:f>""</x:f>
        <x:v/>
      </x:c>
      <x:c r="V1251" t="str">
        <x:f>""</x:f>
        <x:v/>
      </x:c>
      <x:c r="W1251" t="str">
        <x:f>""</x:f>
        <x:v/>
      </x:c>
      <x:c r="X1251" t="str">
        <x:f>""</x:f>
        <x:v/>
      </x:c>
      <x:c r="Y1251" t="str">
        <x:f>""</x:f>
        <x:v/>
      </x:c>
      <x:c r="Z1251" t="str">
        <x:f>""</x:f>
        <x:v/>
      </x:c>
      <x:c r="AA1251" t="str">
        <x:f>""</x:f>
        <x:v/>
      </x:c>
      <x:c r="AB1251" t="str">
        <x:f>""</x:f>
        <x:v/>
      </x:c>
      <x:c r="AC1251" t="str">
        <x:f>""</x:f>
        <x:v/>
      </x:c>
      <x:c r="AD1251" t="str">
        <x:f>""</x:f>
        <x:v/>
      </x:c>
      <x:c r="AE1251" t="str">
        <x:f>""</x:f>
        <x:v/>
      </x:c>
      <x:c r="AF1251" t="str">
        <x:f>""</x:f>
        <x:v/>
      </x:c>
      <x:c r="AG1251" t="str">
        <x:f>""</x:f>
        <x:v/>
      </x:c>
    </x:row>
    <x:row r="1252" spans="2:33" x14ac:dyDescent="0.25">
      <x:c r="B1252" t="str">
        <x:f>"FINZ US Equity"</x:f>
        <x:v>FINZ US Equity</x:v>
      </x:c>
      <x:c r="C1252" t="str">
        <x:f t="shared" si="53"/>
        <x:v>FD447</x:v>
      </x:c>
      <x:c r="D1252" t="str">
        <x:f t="shared" si="54"/>
        <x:v>FUND_FLOW</x:v>
      </x:c>
      <x:c r="E1252" t="str">
        <x:f t="shared" si="55"/>
        <x:v>Dynamic</x:v>
      </x:c>
      <x:c r="F1252" t="str">
        <x:f ca="1">_xll.BDH($B$1252,$C$1252,$B$1010,$B$1011,CONCATENATE("Per=",$B$1008),"Dts=H","Dir=H",CONCATENATE("Points=",$B$1009),"Sort=R","Days=A","Fill=B",CONCATENATE("FX=", $B$1007) )</x:f>
        <x:v/>
      </x:c>
      <x:c r="T1252" t="str">
        <x:f>""</x:f>
        <x:v/>
      </x:c>
      <x:c r="U1252" t="str">
        <x:f>""</x:f>
        <x:v/>
      </x:c>
      <x:c r="V1252" t="str">
        <x:f>""</x:f>
        <x:v/>
      </x:c>
      <x:c r="W1252" t="str">
        <x:f>""</x:f>
        <x:v/>
      </x:c>
      <x:c r="X1252" t="str">
        <x:f>""</x:f>
        <x:v/>
      </x:c>
      <x:c r="Y1252" t="str">
        <x:f>""</x:f>
        <x:v/>
      </x:c>
      <x:c r="Z1252" t="str">
        <x:f>""</x:f>
        <x:v/>
      </x:c>
      <x:c r="AA1252" t="str">
        <x:f>""</x:f>
        <x:v/>
      </x:c>
      <x:c r="AB1252" t="str">
        <x:f>""</x:f>
        <x:v/>
      </x:c>
      <x:c r="AC1252" t="str">
        <x:f>""</x:f>
        <x:v/>
      </x:c>
      <x:c r="AD1252" t="str">
        <x:f>""</x:f>
        <x:v/>
      </x:c>
      <x:c r="AE1252" t="str">
        <x:f>""</x:f>
        <x:v/>
      </x:c>
      <x:c r="AF1252" t="str">
        <x:f>""</x:f>
        <x:v/>
      </x:c>
      <x:c r="AG1252" t="str">
        <x:f>""</x:f>
        <x:v/>
      </x:c>
    </x:row>
    <x:row r="1253" spans="2:33" x14ac:dyDescent="0.25">
      <x:c r="B1253" t="str">
        <x:f>"FAZZ US Equity"</x:f>
        <x:v>FAZZ US Equity</x:v>
      </x:c>
      <x:c r="C1253" t="str">
        <x:f t="shared" si="53"/>
        <x:v>FD447</x:v>
      </x:c>
      <x:c r="D1253" t="str">
        <x:f t="shared" si="54"/>
        <x:v>FUND_FLOW</x:v>
      </x:c>
      <x:c r="E1253" t="str">
        <x:f t="shared" si="55"/>
        <x:v>Dynamic</x:v>
      </x:c>
      <x:c r="F1253" t="str">
        <x:f ca="1">_xll.BDH($B$1253,$C$1253,$B$1010,$B$1011,CONCATENATE("Per=",$B$1008),"Dts=H","Dir=H",CONCATENATE("Points=",$B$1009),"Sort=R","Days=A","Fill=B",CONCATENATE("FX=", $B$1007) )</x:f>
        <x:v/>
      </x:c>
      <x:c r="T1253" t="str">
        <x:f>""</x:f>
        <x:v/>
      </x:c>
      <x:c r="U1253" t="str">
        <x:f>""</x:f>
        <x:v/>
      </x:c>
      <x:c r="V1253" t="str">
        <x:f>""</x:f>
        <x:v/>
      </x:c>
      <x:c r="W1253" t="str">
        <x:f>""</x:f>
        <x:v/>
      </x:c>
      <x:c r="X1253" t="str">
        <x:f>""</x:f>
        <x:v/>
      </x:c>
      <x:c r="Y1253" t="str">
        <x:f>""</x:f>
        <x:v/>
      </x:c>
      <x:c r="Z1253" t="str">
        <x:f>""</x:f>
        <x:v/>
      </x:c>
      <x:c r="AA1253" t="str">
        <x:f>""</x:f>
        <x:v/>
      </x:c>
      <x:c r="AB1253" t="str">
        <x:f>""</x:f>
        <x:v/>
      </x:c>
      <x:c r="AC1253" t="str">
        <x:f>""</x:f>
        <x:v/>
      </x:c>
      <x:c r="AD1253" t="str">
        <x:f>""</x:f>
        <x:v/>
      </x:c>
      <x:c r="AE1253" t="str">
        <x:f>""</x:f>
        <x:v/>
      </x:c>
      <x:c r="AF1253" t="str">
        <x:f>""</x:f>
        <x:v/>
      </x:c>
      <x:c r="AG1253" t="str">
        <x:f>""</x:f>
        <x:v/>
      </x:c>
    </x:row>
    <x:row r="1254" spans="2:33" x14ac:dyDescent="0.25">
      <x:c r="B1254" t="str">
        <x:f>"EUFS US Equity"</x:f>
        <x:v>EUFS US Equity</x:v>
      </x:c>
      <x:c r="C1254" t="str">
        <x:f t="shared" si="53"/>
        <x:v>FD447</x:v>
      </x:c>
      <x:c r="D1254" t="str">
        <x:f t="shared" si="54"/>
        <x:v>FUND_FLOW</x:v>
      </x:c>
      <x:c r="E1254" t="str">
        <x:f t="shared" si="55"/>
        <x:v>Dynamic</x:v>
      </x:c>
      <x:c r="F1254" t="str">
        <x:f ca="1">_xll.BDH($B$1254,$C$1254,$B$1010,$B$1011,CONCATENATE("Per=",$B$1008),"Dts=H","Dir=H",CONCATENATE("Points=",$B$1009),"Sort=R","Days=A","Fill=B",CONCATENATE("FX=", $B$1007) )</x:f>
        <x:v/>
      </x:c>
      <x:c r="T1254" t="str">
        <x:f>""</x:f>
        <x:v/>
      </x:c>
      <x:c r="U1254" t="str">
        <x:f>""</x:f>
        <x:v/>
      </x:c>
      <x:c r="V1254" t="str">
        <x:f>""</x:f>
        <x:v/>
      </x:c>
      <x:c r="W1254" t="str">
        <x:f>""</x:f>
        <x:v/>
      </x:c>
      <x:c r="X1254" t="str">
        <x:f>""</x:f>
        <x:v/>
      </x:c>
      <x:c r="Y1254" t="str">
        <x:f>""</x:f>
        <x:v/>
      </x:c>
      <x:c r="Z1254" t="str">
        <x:f>""</x:f>
        <x:v/>
      </x:c>
      <x:c r="AA1254" t="str">
        <x:f>""</x:f>
        <x:v/>
      </x:c>
      <x:c r="AB1254" t="str">
        <x:f>""</x:f>
        <x:v/>
      </x:c>
      <x:c r="AC1254" t="str">
        <x:f>""</x:f>
        <x:v/>
      </x:c>
      <x:c r="AD1254" t="str">
        <x:f>""</x:f>
        <x:v/>
      </x:c>
      <x:c r="AE1254" t="str">
        <x:f>""</x:f>
        <x:v/>
      </x:c>
      <x:c r="AF1254" t="str">
        <x:f>""</x:f>
        <x:v/>
      </x:c>
      <x:c r="AG1254" t="str">
        <x:f>""</x:f>
        <x:v/>
      </x:c>
    </x:row>
    <x:row r="1255" spans="2:33" x14ac:dyDescent="0.25">
      <x:c r="B1255" t="str">
        <x:f>"KRS US Equity"</x:f>
        <x:v>KRS US Equity</x:v>
      </x:c>
      <x:c r="C1255" t="str">
        <x:f t="shared" si="53"/>
        <x:v>FD447</x:v>
      </x:c>
      <x:c r="D1255" t="str">
        <x:f t="shared" si="54"/>
        <x:v>FUND_FLOW</x:v>
      </x:c>
      <x:c r="E1255" t="str">
        <x:f t="shared" si="55"/>
        <x:v>Dynamic</x:v>
      </x:c>
      <x:c r="F1255" t="str">
        <x:f ca="1">_xll.BDH($B$1255,$C$1255,$B$1010,$B$1011,CONCATENATE("Per=",$B$1008),"Dts=H","Dir=H",CONCATENATE("Points=",$B$1009),"Sort=R","Days=A","Fill=B",CONCATENATE("FX=", $B$1007) )</x:f>
        <x:v/>
      </x:c>
      <x:c r="T1255" t="str">
        <x:f>""</x:f>
        <x:v/>
      </x:c>
      <x:c r="U1255" t="str">
        <x:f>""</x:f>
        <x:v/>
      </x:c>
      <x:c r="V1255" t="str">
        <x:f>""</x:f>
        <x:v/>
      </x:c>
      <x:c r="W1255" t="str">
        <x:f>""</x:f>
        <x:v/>
      </x:c>
      <x:c r="X1255" t="str">
        <x:f>""</x:f>
        <x:v/>
      </x:c>
      <x:c r="Y1255" t="str">
        <x:f>""</x:f>
        <x:v/>
      </x:c>
      <x:c r="Z1255" t="str">
        <x:f>""</x:f>
        <x:v/>
      </x:c>
      <x:c r="AA1255" t="str">
        <x:f>""</x:f>
        <x:v/>
      </x:c>
      <x:c r="AB1255" t="str">
        <x:f>""</x:f>
        <x:v/>
      </x:c>
      <x:c r="AC1255" t="str">
        <x:f>""</x:f>
        <x:v/>
      </x:c>
      <x:c r="AD1255" t="str">
        <x:f>""</x:f>
        <x:v/>
      </x:c>
      <x:c r="AE1255" t="str">
        <x:f>""</x:f>
        <x:v/>
      </x:c>
      <x:c r="AF1255" t="str">
        <x:f>""</x:f>
        <x:v/>
      </x:c>
      <x:c r="AG1255" t="str">
        <x:f>""</x:f>
        <x:v/>
      </x:c>
    </x:row>
    <x:row r="1256" spans="2:33" x14ac:dyDescent="0.25">
      <x:c r="B1256" t="str">
        <x:f>"TETF US Equity"</x:f>
        <x:v>TETF US Equity</x:v>
      </x:c>
      <x:c r="C1256" t="str">
        <x:f t="shared" si="53"/>
        <x:v>FD447</x:v>
      </x:c>
      <x:c r="D1256" t="str">
        <x:f t="shared" si="54"/>
        <x:v>FUND_FLOW</x:v>
      </x:c>
      <x:c r="E1256" t="str">
        <x:f t="shared" si="55"/>
        <x:v>Dynamic</x:v>
      </x:c>
      <x:c r="F1256" t="str">
        <x:f ca="1">_xll.BDH($B$1256,$C$1256,$B$1010,$B$1011,CONCATENATE("Per=",$B$1008),"Dts=H","Dir=H",CONCATENATE("Points=",$B$1009),"Sort=R","Days=A","Fill=B",CONCATENATE("FX=", $B$1007) )</x:f>
        <x:v/>
      </x:c>
      <x:c r="T1256" t="str">
        <x:f>""</x:f>
        <x:v/>
      </x:c>
      <x:c r="U1256" t="str">
        <x:f>""</x:f>
        <x:v/>
      </x:c>
      <x:c r="V1256" t="str">
        <x:f>""</x:f>
        <x:v/>
      </x:c>
      <x:c r="W1256" t="str">
        <x:f>""</x:f>
        <x:v/>
      </x:c>
      <x:c r="X1256" t="str">
        <x:f>""</x:f>
        <x:v/>
      </x:c>
      <x:c r="Y1256" t="str">
        <x:f>""</x:f>
        <x:v/>
      </x:c>
      <x:c r="Z1256" t="str">
        <x:f>""</x:f>
        <x:v/>
      </x:c>
      <x:c r="AA1256" t="str">
        <x:f>""</x:f>
        <x:v/>
      </x:c>
      <x:c r="AB1256" t="str">
        <x:f>""</x:f>
        <x:v/>
      </x:c>
      <x:c r="AC1256" t="str">
        <x:f>""</x:f>
        <x:v/>
      </x:c>
      <x:c r="AD1256" t="str">
        <x:f>""</x:f>
        <x:v/>
      </x:c>
      <x:c r="AE1256" t="str">
        <x:f>""</x:f>
        <x:v/>
      </x:c>
      <x:c r="AF1256" t="str">
        <x:f>""</x:f>
        <x:v/>
      </x:c>
      <x:c r="AG1256" t="str">
        <x:f>""</x:f>
        <x:v/>
      </x:c>
    </x:row>
    <x:row r="1257" spans="2:33" x14ac:dyDescent="0.25">
      <x:c r="B1257" t="str">
        <x:f>"XF US Equity"</x:f>
        <x:v>XF US Equity</x:v>
      </x:c>
      <x:c r="C1257" t="str">
        <x:f t="shared" si="53"/>
        <x:v>FD447</x:v>
      </x:c>
      <x:c r="D1257" t="str">
        <x:f t="shared" si="54"/>
        <x:v>FUND_FLOW</x:v>
      </x:c>
      <x:c r="E1257" t="str">
        <x:f t="shared" si="55"/>
        <x:v>Dynamic</x:v>
      </x:c>
      <x:c r="F1257" t="str">
        <x:f ca="1">_xll.BDH($B$1257,$C$1257,$B$1010,$B$1011,CONCATENATE("Per=",$B$1008),"Dts=H","Dir=H",CONCATENATE("Points=",$B$1009),"Sort=R","Days=A","Fill=B",CONCATENATE("FX=", $B$1007) )</x:f>
        <x:v/>
      </x:c>
      <x:c r="T1257" t="str">
        <x:f>""</x:f>
        <x:v/>
      </x:c>
      <x:c r="U1257" t="str">
        <x:f>""</x:f>
        <x:v/>
      </x:c>
      <x:c r="V1257" t="str">
        <x:f>""</x:f>
        <x:v/>
      </x:c>
      <x:c r="W1257" t="str">
        <x:f>""</x:f>
        <x:v/>
      </x:c>
      <x:c r="X1257" t="str">
        <x:f>""</x:f>
        <x:v/>
      </x:c>
      <x:c r="Y1257" t="str">
        <x:f>""</x:f>
        <x:v/>
      </x:c>
      <x:c r="Z1257" t="str">
        <x:f>""</x:f>
        <x:v/>
      </x:c>
      <x:c r="AA1257" t="str">
        <x:f>""</x:f>
        <x:v/>
      </x:c>
      <x:c r="AB1257" t="str">
        <x:f>""</x:f>
        <x:v/>
      </x:c>
      <x:c r="AC1257" t="str">
        <x:f>""</x:f>
        <x:v/>
      </x:c>
      <x:c r="AD1257" t="str">
        <x:f>""</x:f>
        <x:v/>
      </x:c>
      <x:c r="AE1257" t="str">
        <x:f>""</x:f>
        <x:v/>
      </x:c>
      <x:c r="AF1257" t="str">
        <x:f>""</x:f>
        <x:v/>
      </x:c>
      <x:c r="AG1257" t="str">
        <x:f>""</x:f>
        <x:v/>
      </x:c>
    </x:row>
    <x:row r="1258" spans="2:33" x14ac:dyDescent="0.25">
      <x:c r="B1258" t="str">
        <x:f>"IEFN US Equity"</x:f>
        <x:v>IEFN US Equity</x:v>
      </x:c>
      <x:c r="C1258" t="str">
        <x:f t="shared" si="53"/>
        <x:v>FD447</x:v>
      </x:c>
      <x:c r="D1258" t="str">
        <x:f t="shared" si="54"/>
        <x:v>FUND_FLOW</x:v>
      </x:c>
      <x:c r="E1258" t="str">
        <x:f t="shared" si="55"/>
        <x:v>Dynamic</x:v>
      </x:c>
      <x:c r="F1258" t="str">
        <x:f ca="1">_xll.BDH($B$1258,$C$1258,$B$1010,$B$1011,CONCATENATE("Per=",$B$1008),"Dts=H","Dir=H",CONCATENATE("Points=",$B$1009),"Sort=R","Days=A","Fill=B",CONCATENATE("FX=", $B$1007),"cols=14;rows=1")</x:f>
        <x:v/>
      </x:c>
      <x:c r="T1258" t="str">
        <x:f>""</x:f>
        <x:v/>
      </x:c>
      <x:c r="U1258" t="str">
        <x:f>""</x:f>
        <x:v/>
      </x:c>
      <x:c r="V1258" t="str">
        <x:f>""</x:f>
        <x:v/>
      </x:c>
      <x:c r="W1258" t="str">
        <x:f>""</x:f>
        <x:v/>
      </x:c>
      <x:c r="X1258" t="str">
        <x:f>""</x:f>
        <x:v/>
      </x:c>
      <x:c r="Y1258" t="str">
        <x:f>""</x:f>
        <x:v/>
      </x:c>
      <x:c r="Z1258" t="str">
        <x:f>""</x:f>
        <x:v/>
      </x:c>
      <x:c r="AA1258" t="str">
        <x:f>""</x:f>
        <x:v/>
      </x:c>
      <x:c r="AB1258" t="str">
        <x:f>""</x:f>
        <x:v/>
      </x:c>
      <x:c r="AC1258" t="str">
        <x:f>""</x:f>
        <x:v/>
      </x:c>
      <x:c r="AD1258" t="str">
        <x:f>""</x:f>
        <x:v/>
      </x:c>
      <x:c r="AE1258" t="str">
        <x:f>""</x:f>
        <x:v/>
      </x:c>
      <x:c r="AF1258" t="str">
        <x:f>""</x:f>
        <x:v/>
      </x:c>
      <x:c r="AG1258" t="str">
        <x:f>""</x:f>
        <x:v/>
      </x:c>
    </x:row>
    <x:row r="1259" spans="2:33" x14ac:dyDescent="0.25">
      <x:c r="B1259" t="str">
        <x:f>"BNKD US Equity"</x:f>
        <x:v>BNKD US Equity</x:v>
      </x:c>
      <x:c r="C1259" t="str">
        <x:f t="shared" si="53"/>
        <x:v>FD447</x:v>
      </x:c>
      <x:c r="D1259" t="str">
        <x:f t="shared" si="54"/>
        <x:v>FUND_FLOW</x:v>
      </x:c>
      <x:c r="E1259" t="str">
        <x:f t="shared" si="55"/>
        <x:v>Dynamic</x:v>
      </x:c>
      <x:c r="F1259">
        <x:f ca="1">_xll.BDH($B$1259,$C$1259,$B$1010,$B$1011,CONCATENATE("Per=",$B$1008),"Dts=H","Dir=H",CONCATENATE("Points=",$B$1009),"Sort=R","Days=A","Fill=B",CONCATENATE("FX=", $B$1007),"cols=14;rows=1")</x:f>
        <x:v>0</x:v>
      </x:c>
      <x:c r="G1259">
        <x:v>0</x:v>
      </x:c>
      <x:c r="H1259">
        <x:v>0</x:v>
      </x:c>
      <x:c r="I1259">
        <x:v>4.4781000000000004</x:v>
      </x:c>
      <x:c r="J1259">
        <x:v>0</x:v>
      </x:c>
      <x:c r="K1259">
        <x:v>0</x:v>
      </x:c>
      <x:c r="L1259">
        <x:v>0</x:v>
      </x:c>
      <x:c r="M1259">
        <x:v>0</x:v>
      </x:c>
      <x:c r="N1259">
        <x:v>0</x:v>
      </x:c>
      <x:c r="O1259">
        <x:v>0</x:v>
      </x:c>
      <x:c r="P1259">
        <x:v>0</x:v>
      </x:c>
      <x:c r="Q1259">
        <x:v>0</x:v>
      </x:c>
      <x:c r="R1259">
        <x:v>0</x:v>
      </x:c>
      <x:c r="S1259">
        <x:v>0</x:v>
      </x:c>
      <x:c r="T1259" t="str">
        <x:f>""</x:f>
        <x:v/>
      </x:c>
      <x:c r="U1259" t="str">
        <x:f>""</x:f>
        <x:v/>
      </x:c>
      <x:c r="V1259" t="str">
        <x:f>""</x:f>
        <x:v/>
      </x:c>
      <x:c r="W1259" t="str">
        <x:f>""</x:f>
        <x:v/>
      </x:c>
      <x:c r="X1259" t="str">
        <x:f>""</x:f>
        <x:v/>
      </x:c>
      <x:c r="Y1259" t="str">
        <x:f>""</x:f>
        <x:v/>
      </x:c>
      <x:c r="Z1259" t="str">
        <x:f>""</x:f>
        <x:v/>
      </x:c>
      <x:c r="AA1259" t="str">
        <x:f>""</x:f>
        <x:v/>
      </x:c>
      <x:c r="AB1259" t="str">
        <x:f>""</x:f>
        <x:v/>
      </x:c>
      <x:c r="AC1259" t="str">
        <x:f>""</x:f>
        <x:v/>
      </x:c>
      <x:c r="AD1259" t="str">
        <x:f>""</x:f>
        <x:v/>
      </x:c>
      <x:c r="AE1259" t="str">
        <x:f>""</x:f>
        <x:v/>
      </x:c>
      <x:c r="AF1259" t="str">
        <x:f>""</x:f>
        <x:v/>
      </x:c>
      <x:c r="AG1259" t="str">
        <x:f>""</x:f>
        <x:v/>
      </x:c>
    </x:row>
    <x:row r="1260" spans="2:33" x14ac:dyDescent="0.25">
      <x:c r="B1260" t="str">
        <x:f>"BNKO US Equity"</x:f>
        <x:v>BNKO US Equity</x:v>
      </x:c>
      <x:c r="C1260" t="str">
        <x:f t="shared" si="53"/>
        <x:v>FD447</x:v>
      </x:c>
      <x:c r="D1260" t="str">
        <x:f t="shared" si="54"/>
        <x:v>FUND_FLOW</x:v>
      </x:c>
      <x:c r="E1260" t="str">
        <x:f t="shared" si="55"/>
        <x:v>Dynamic</x:v>
      </x:c>
      <x:c r="F1260" t="str">
        <x:f ca="1">_xll.BDH($B$1260,$C$1260,$B$1010,$B$1011,CONCATENATE("Per=",$B$1008),"Dts=H","Dir=H",CONCATENATE("Points=",$B$1009),"Sort=R","Days=A","Fill=B",CONCATENATE("FX=", $B$1007) )</x:f>
        <x:v/>
      </x:c>
      <x:c r="T1260" t="str">
        <x:f>""</x:f>
        <x:v/>
      </x:c>
      <x:c r="U1260" t="str">
        <x:f>""</x:f>
        <x:v/>
      </x:c>
      <x:c r="V1260" t="str">
        <x:f>""</x:f>
        <x:v/>
      </x:c>
      <x:c r="W1260" t="str">
        <x:f>""</x:f>
        <x:v/>
      </x:c>
      <x:c r="X1260" t="str">
        <x:f>""</x:f>
        <x:v/>
      </x:c>
      <x:c r="Y1260" t="str">
        <x:f>""</x:f>
        <x:v/>
      </x:c>
      <x:c r="Z1260" t="str">
        <x:f>""</x:f>
        <x:v/>
      </x:c>
      <x:c r="AA1260" t="str">
        <x:f>""</x:f>
        <x:v/>
      </x:c>
      <x:c r="AB1260" t="str">
        <x:f>""</x:f>
        <x:v/>
      </x:c>
      <x:c r="AC1260" t="str">
        <x:f>""</x:f>
        <x:v/>
      </x:c>
      <x:c r="AD1260" t="str">
        <x:f>""</x:f>
        <x:v/>
      </x:c>
      <x:c r="AE1260" t="str">
        <x:f>""</x:f>
        <x:v/>
      </x:c>
      <x:c r="AF1260" t="str">
        <x:f>""</x:f>
        <x:v/>
      </x:c>
      <x:c r="AG1260" t="str">
        <x:f>""</x:f>
        <x:v/>
      </x:c>
    </x:row>
    <x:row r="1261" spans="2:33" x14ac:dyDescent="0.25">
      <x:c r="B1261" t="str">
        <x:f>"BNKU US Equity"</x:f>
        <x:v>BNKU US Equity</x:v>
      </x:c>
      <x:c r="C1261" t="str">
        <x:f t="shared" si="53"/>
        <x:v>FD447</x:v>
      </x:c>
      <x:c r="D1261" t="str">
        <x:f t="shared" si="54"/>
        <x:v>FUND_FLOW</x:v>
      </x:c>
      <x:c r="E1261" t="str">
        <x:f t="shared" si="55"/>
        <x:v>Dynamic</x:v>
      </x:c>
      <x:c r="F1261">
        <x:f ca="1">_xll.BDH($B$1261,$C$1261,$B$1010,$B$1011,CONCATENATE("Per=",$B$1008),"Dts=H","Dir=H",CONCATENATE("Points=",$B$1009),"Sort=R","Days=A","Fill=B",CONCATENATE("FX=", $B$1007),"cols=14;rows=1")</x:f>
        <x:v>0</x:v>
      </x:c>
      <x:c r="G1261">
        <x:v>0</x:v>
      </x:c>
      <x:c r="H1261">
        <x:v>0</x:v>
      </x:c>
      <x:c r="I1261">
        <x:v>0</x:v>
      </x:c>
      <x:c r="J1261">
        <x:v>0</x:v>
      </x:c>
      <x:c r="K1261">
        <x:v>0</x:v>
      </x:c>
      <x:c r="L1261">
        <x:v>0</x:v>
      </x:c>
      <x:c r="M1261">
        <x:v>114.68729999999999</x:v>
      </x:c>
      <x:c r="N1261">
        <x:v>0</x:v>
      </x:c>
      <x:c r="O1261">
        <x:v>0</x:v>
      </x:c>
      <x:c r="P1261">
        <x:v>0</x:v>
      </x:c>
      <x:c r="Q1261">
        <x:v>0</x:v>
      </x:c>
      <x:c r="R1261">
        <x:v>0</x:v>
      </x:c>
      <x:c r="S1261">
        <x:v>0</x:v>
      </x:c>
      <x:c r="T1261" t="str">
        <x:f>""</x:f>
        <x:v/>
      </x:c>
      <x:c r="U1261" t="str">
        <x:f>""</x:f>
        <x:v/>
      </x:c>
      <x:c r="V1261" t="str">
        <x:f>""</x:f>
        <x:v/>
      </x:c>
      <x:c r="W1261" t="str">
        <x:f>""</x:f>
        <x:v/>
      </x:c>
      <x:c r="X1261" t="str">
        <x:f>""</x:f>
        <x:v/>
      </x:c>
      <x:c r="Y1261" t="str">
        <x:f>""</x:f>
        <x:v/>
      </x:c>
      <x:c r="Z1261" t="str">
        <x:f>""</x:f>
        <x:v/>
      </x:c>
      <x:c r="AA1261" t="str">
        <x:f>""</x:f>
        <x:v/>
      </x:c>
      <x:c r="AB1261" t="str">
        <x:f>""</x:f>
        <x:v/>
      </x:c>
      <x:c r="AC1261" t="str">
        <x:f>""</x:f>
        <x:v/>
      </x:c>
      <x:c r="AD1261" t="str">
        <x:f>""</x:f>
        <x:v/>
      </x:c>
      <x:c r="AE1261" t="str">
        <x:f>""</x:f>
        <x:v/>
      </x:c>
      <x:c r="AF1261" t="str">
        <x:f>""</x:f>
        <x:v/>
      </x:c>
      <x:c r="AG1261" t="str">
        <x:f>""</x:f>
        <x:v/>
      </x:c>
    </x:row>
    <x:row r="1262" spans="2:33" x14ac:dyDescent="0.25">
      <x:c r="B1262" t="str">
        <x:f>"BNKZ US Equity"</x:f>
        <x:v>BNKZ US Equity</x:v>
      </x:c>
      <x:c r="C1262" t="str">
        <x:f t="shared" si="53"/>
        <x:v>FD447</x:v>
      </x:c>
      <x:c r="D1262" t="str">
        <x:f t="shared" si="54"/>
        <x:v>FUND_FLOW</x:v>
      </x:c>
      <x:c r="E1262" t="str">
        <x:f t="shared" si="55"/>
        <x:v>Dynamic</x:v>
      </x:c>
      <x:c r="F1262" t="str">
        <x:f ca="1">_xll.BDH($B$1262,$C$1262,$B$1010,$B$1011,CONCATENATE("Per=",$B$1008),"Dts=H","Dir=H",CONCATENATE("Points=",$B$1009),"Sort=R","Days=A","Fill=B",CONCATENATE("FX=", $B$1007) )</x:f>
        <x:v/>
      </x:c>
      <x:c r="T1262" t="str">
        <x:f>""</x:f>
        <x:v/>
      </x:c>
      <x:c r="U1262" t="str">
        <x:f>""</x:f>
        <x:v/>
      </x:c>
      <x:c r="V1262" t="str">
        <x:f>""</x:f>
        <x:v/>
      </x:c>
      <x:c r="W1262" t="str">
        <x:f>""</x:f>
        <x:v/>
      </x:c>
      <x:c r="X1262" t="str">
        <x:f>""</x:f>
        <x:v/>
      </x:c>
      <x:c r="Y1262" t="str">
        <x:f>""</x:f>
        <x:v/>
      </x:c>
      <x:c r="Z1262" t="str">
        <x:f>""</x:f>
        <x:v/>
      </x:c>
      <x:c r="AA1262" t="str">
        <x:f>""</x:f>
        <x:v/>
      </x:c>
      <x:c r="AB1262" t="str">
        <x:f>""</x:f>
        <x:v/>
      </x:c>
      <x:c r="AC1262" t="str">
        <x:f>""</x:f>
        <x:v/>
      </x:c>
      <x:c r="AD1262" t="str">
        <x:f>""</x:f>
        <x:v/>
      </x:c>
      <x:c r="AE1262" t="str">
        <x:f>""</x:f>
        <x:v/>
      </x:c>
      <x:c r="AF1262" t="str">
        <x:f>""</x:f>
        <x:v/>
      </x:c>
      <x:c r="AG1262" t="str">
        <x:f>""</x:f>
        <x:v/>
      </x:c>
    </x:row>
    <x:row r="1263" spans="2:33" x14ac:dyDescent="0.25">
      <x:c r="B1263" t="str">
        <x:f>"GFIN US Equity"</x:f>
        <x:v>GFIN US Equity</x:v>
      </x:c>
      <x:c r="C1263" t="str">
        <x:f t="shared" si="53"/>
        <x:v>FD447</x:v>
      </x:c>
      <x:c r="D1263" t="str">
        <x:f t="shared" si="54"/>
        <x:v>FUND_FLOW</x:v>
      </x:c>
      <x:c r="E1263" t="str">
        <x:f t="shared" si="55"/>
        <x:v>Dynamic</x:v>
      </x:c>
      <x:c r="F1263" t="str">
        <x:f ca="1">_xll.BDH($B$1263,$C$1263,$B$1010,$B$1011,CONCATENATE("Per=",$B$1008),"Dts=H","Dir=H",CONCATENATE("Points=",$B$1009),"Sort=R","Days=A","Fill=B",CONCATENATE("FX=", $B$1007) )</x:f>
        <x:v/>
      </x:c>
      <x:c r="T1263" t="str">
        <x:f>""</x:f>
        <x:v/>
      </x:c>
      <x:c r="U1263" t="str">
        <x:f>""</x:f>
        <x:v/>
      </x:c>
      <x:c r="V1263" t="str">
        <x:f>""</x:f>
        <x:v/>
      </x:c>
      <x:c r="W1263" t="str">
        <x:f>""</x:f>
        <x:v/>
      </x:c>
      <x:c r="X1263" t="str">
        <x:f>""</x:f>
        <x:v/>
      </x:c>
      <x:c r="Y1263" t="str">
        <x:f>""</x:f>
        <x:v/>
      </x:c>
      <x:c r="Z1263" t="str">
        <x:f>""</x:f>
        <x:v/>
      </x:c>
      <x:c r="AA1263" t="str">
        <x:f>""</x:f>
        <x:v/>
      </x:c>
      <x:c r="AB1263" t="str">
        <x:f>""</x:f>
        <x:v/>
      </x:c>
      <x:c r="AC1263" t="str">
        <x:f>""</x:f>
        <x:v/>
      </x:c>
      <x:c r="AD1263" t="str">
        <x:f>""</x:f>
        <x:v/>
      </x:c>
      <x:c r="AE1263" t="str">
        <x:f>""</x:f>
        <x:v/>
      </x:c>
      <x:c r="AF1263" t="str">
        <x:f>""</x:f>
        <x:v/>
      </x:c>
      <x:c r="AG1263" t="str">
        <x:f>""</x:f>
        <x:v/>
      </x:c>
    </x:row>
    <x:row r="1264" spans="2:33" x14ac:dyDescent="0.25">
      <x:c r="B1264" t="str">
        <x:f>"KNAB US Equity"</x:f>
        <x:v>KNAB US Equity</x:v>
      </x:c>
      <x:c r="C1264" t="str">
        <x:f t="shared" si="53"/>
        <x:v>FD447</x:v>
      </x:c>
      <x:c r="D1264" t="str">
        <x:f t="shared" si="54"/>
        <x:v>FUND_FLOW</x:v>
      </x:c>
      <x:c r="E1264" t="str">
        <x:f t="shared" si="55"/>
        <x:v>Dynamic</x:v>
      </x:c>
      <x:c r="F1264" t="str">
        <x:f ca="1">_xll.BDH($B$1264,$C$1264,$B$1010,$B$1011,CONCATENATE("Per=",$B$1008),"Dts=H","Dir=H",CONCATENATE("Points=",$B$1009),"Sort=R","Days=A","Fill=B",CONCATENATE("FX=", $B$1007) )</x:f>
        <x:v/>
      </x:c>
      <x:c r="T1264" t="str">
        <x:f>""</x:f>
        <x:v/>
      </x:c>
      <x:c r="U1264" t="str">
        <x:f>""</x:f>
        <x:v/>
      </x:c>
      <x:c r="V1264" t="str">
        <x:f>""</x:f>
        <x:v/>
      </x:c>
      <x:c r="W1264" t="str">
        <x:f>""</x:f>
        <x:v/>
      </x:c>
      <x:c r="X1264" t="str">
        <x:f>""</x:f>
        <x:v/>
      </x:c>
      <x:c r="Y1264" t="str">
        <x:f>""</x:f>
        <x:v/>
      </x:c>
      <x:c r="Z1264" t="str">
        <x:f>""</x:f>
        <x:v/>
      </x:c>
      <x:c r="AA1264" t="str">
        <x:f>""</x:f>
        <x:v/>
      </x:c>
      <x:c r="AB1264" t="str">
        <x:f>""</x:f>
        <x:v/>
      </x:c>
      <x:c r="AC1264" t="str">
        <x:f>""</x:f>
        <x:v/>
      </x:c>
      <x:c r="AD1264" t="str">
        <x:f>""</x:f>
        <x:v/>
      </x:c>
      <x:c r="AE1264" t="str">
        <x:f>""</x:f>
        <x:v/>
      </x:c>
      <x:c r="AF1264" t="str">
        <x:f>""</x:f>
        <x:v/>
      </x:c>
      <x:c r="AG1264" t="str">
        <x:f>""</x:f>
        <x:v/>
      </x:c>
    </x:row>
    <x:row r="1265" spans="2:33" x14ac:dyDescent="0.25">
      <x:c r="B1265" t="str">
        <x:f>"BIGB US Equity"</x:f>
        <x:v>BIGB US Equity</x:v>
      </x:c>
      <x:c r="C1265" t="str">
        <x:f t="shared" si="53"/>
        <x:v>FD447</x:v>
      </x:c>
      <x:c r="D1265" t="str">
        <x:f t="shared" si="54"/>
        <x:v>FUND_FLOW</x:v>
      </x:c>
      <x:c r="E1265" t="str">
        <x:f t="shared" si="55"/>
        <x:v>Dynamic</x:v>
      </x:c>
      <x:c r="F1265">
        <x:f ca="1">_xll.BDH($B$1265,$C$1265,$B$1010,$B$1011,CONCATENATE("Per=",$B$1008),"Dts=H","Dir=H",CONCATENATE("Points=",$B$1009),"Sort=R","Days=A","Fill=B",CONCATENATE("FX=", $B$1007),"cols=14;rows=1")</x:f>
        <x:v>-1.7803</x:v>
      </x:c>
      <x:c r="G1265">
        <x:v>0.78349999999999997</x:v>
      </x:c>
      <x:c r="H1265">
        <x:v>0</x:v>
      </x:c>
      <x:c r="I1265">
        <x:v>0.79769999999999996</x:v>
      </x:c>
      <x:c r="J1265">
        <x:v>-1.5E-3</x:v>
      </x:c>
      <x:c r="K1265">
        <x:v>0</x:v>
      </x:c>
      <x:c r="L1265">
        <x:v>0.2606</x:v>
      </x:c>
      <x:c r="M1265">
        <x:v>3.2633999999999999</x:v>
      </x:c>
      <x:c r="T1265" t="str">
        <x:f>""</x:f>
        <x:v/>
      </x:c>
      <x:c r="U1265" t="str">
        <x:f>""</x:f>
        <x:v/>
      </x:c>
      <x:c r="V1265" t="str">
        <x:f>""</x:f>
        <x:v/>
      </x:c>
      <x:c r="W1265" t="str">
        <x:f>""</x:f>
        <x:v/>
      </x:c>
      <x:c r="X1265" t="str">
        <x:f>""</x:f>
        <x:v/>
      </x:c>
      <x:c r="Y1265" t="str">
        <x:f>""</x:f>
        <x:v/>
      </x:c>
      <x:c r="Z1265" t="str">
        <x:f>""</x:f>
        <x:v/>
      </x:c>
      <x:c r="AA1265" t="str">
        <x:f>""</x:f>
        <x:v/>
      </x:c>
      <x:c r="AB1265" t="str">
        <x:f>""</x:f>
        <x:v/>
      </x:c>
      <x:c r="AC1265" t="str">
        <x:f>""</x:f>
        <x:v/>
      </x:c>
      <x:c r="AD1265" t="str">
        <x:f>""</x:f>
        <x:v/>
      </x:c>
      <x:c r="AE1265" t="str">
        <x:f>""</x:f>
        <x:v/>
      </x:c>
      <x:c r="AF1265" t="str">
        <x:f>""</x:f>
        <x:v/>
      </x:c>
      <x:c r="AG1265" t="str">
        <x:f>""</x:f>
        <x:v/>
      </x:c>
    </x:row>
    <x:row r="1266" spans="2:33" x14ac:dyDescent="0.25">
      <x:c r="B1266" t="str">
        <x:f>"CONL US Equity"</x:f>
        <x:v>CONL US Equity</x:v>
      </x:c>
      <x:c r="C1266" t="str">
        <x:f t="shared" si="53"/>
        <x:v>FD447</x:v>
      </x:c>
      <x:c r="D1266" t="str">
        <x:f t="shared" si="54"/>
        <x:v>FUND_FLOW</x:v>
      </x:c>
      <x:c r="E1266" t="str">
        <x:f t="shared" si="55"/>
        <x:v>Dynamic</x:v>
      </x:c>
      <x:c r="F1266">
        <x:f ca="1">_xll.BDH($B$1266,$C$1266,$B$1010,$B$1011,CONCATENATE("Per=",$B$1008),"Dts=H","Dir=H",CONCATENATE("Points=",$B$1009),"Sort=R","Days=A","Fill=B",CONCATENATE("FX=", $B$1007),"cols=14;rows=1")</x:f>
        <x:v>0.88529999999999998</x:v>
      </x:c>
      <x:c r="G1266">
        <x:v>-0.22689999999999999</x:v>
      </x:c>
      <x:c r="H1266">
        <x:v>2.274</x:v>
      </x:c>
      <x:c r="I1266">
        <x:v>-1.2475000000000001</x:v>
      </x:c>
      <x:c r="J1266">
        <x:v>1.2269000000000001</x:v>
      </x:c>
      <x:c r="K1266">
        <x:v>-0.25040000000000001</x:v>
      </x:c>
      <x:c r="L1266">
        <x:v>-9.1899999999999996E-2</x:v>
      </x:c>
      <x:c r="M1266">
        <x:v>1.6947000000000001</x:v>
      </x:c>
      <x:c r="N1266">
        <x:v>3.1652999999999998</x:v>
      </x:c>
      <x:c r="O1266">
        <x:v>0.24129999999999999</x:v>
      </x:c>
      <x:c r="P1266">
        <x:v>4.4600000000000001E-2</x:v>
      </x:c>
      <x:c r="Q1266">
        <x:v>1.2507999999999999</x:v>
      </x:c>
      <x:c r="R1266">
        <x:v>-0.43070000000000003</x:v>
      </x:c>
      <x:c r="S1266">
        <x:v>0.27179999999999999</x:v>
      </x:c>
      <x:c r="T1266" t="str">
        <x:f>""</x:f>
        <x:v/>
      </x:c>
      <x:c r="U1266" t="str">
        <x:f>""</x:f>
        <x:v/>
      </x:c>
      <x:c r="V1266" t="str">
        <x:f>""</x:f>
        <x:v/>
      </x:c>
      <x:c r="W1266" t="str">
        <x:f>""</x:f>
        <x:v/>
      </x:c>
      <x:c r="X1266" t="str">
        <x:f>""</x:f>
        <x:v/>
      </x:c>
      <x:c r="Y1266" t="str">
        <x:f>""</x:f>
        <x:v/>
      </x:c>
      <x:c r="Z1266" t="str">
        <x:f>""</x:f>
        <x:v/>
      </x:c>
      <x:c r="AA1266" t="str">
        <x:f>""</x:f>
        <x:v/>
      </x:c>
      <x:c r="AB1266" t="str">
        <x:f>""</x:f>
        <x:v/>
      </x:c>
      <x:c r="AC1266" t="str">
        <x:f>""</x:f>
        <x:v/>
      </x:c>
      <x:c r="AD1266" t="str">
        <x:f>""</x:f>
        <x:v/>
      </x:c>
      <x:c r="AE1266" t="str">
        <x:f>""</x:f>
        <x:v/>
      </x:c>
      <x:c r="AF1266" t="str">
        <x:f>""</x:f>
        <x:v/>
      </x:c>
      <x:c r="AG1266" t="str">
        <x:f>""</x:f>
        <x:v/>
      </x:c>
    </x:row>
    <x:row r="1267" spans="2:33" x14ac:dyDescent="0.25">
      <x:c r="B1267" t="str">
        <x:f>"FYLG US Equity"</x:f>
        <x:v>FYLG US Equity</x:v>
      </x:c>
      <x:c r="C1267" t="str">
        <x:f t="shared" si="53"/>
        <x:v>FD447</x:v>
      </x:c>
      <x:c r="D1267" t="str">
        <x:f t="shared" si="54"/>
        <x:v>FUND_FLOW</x:v>
      </x:c>
      <x:c r="E1267" t="str">
        <x:f t="shared" si="55"/>
        <x:v>Dynamic</x:v>
      </x:c>
      <x:c r="F1267">
        <x:f ca="1">_xll.BDH($B$1267,$C$1267,$B$1010,$B$1011,CONCATENATE("Per=",$B$1008),"Dts=H","Dir=H",CONCATENATE("Points=",$B$1009),"Sort=R","Days=A","Fill=B",CONCATENATE("FX=", $B$1007),"cols=14;rows=1")</x:f>
        <x:v>0</x:v>
      </x:c>
      <x:c r="G1267">
        <x:v>0</x:v>
      </x:c>
      <x:c r="H1267">
        <x:v>0</x:v>
      </x:c>
      <x:c r="I1267">
        <x:v>0</x:v>
      </x:c>
      <x:c r="J1267">
        <x:v>0</x:v>
      </x:c>
      <x:c r="K1267">
        <x:v>0</x:v>
      </x:c>
      <x:c r="L1267">
        <x:v>0</x:v>
      </x:c>
      <x:c r="M1267">
        <x:v>0</x:v>
      </x:c>
      <x:c r="N1267">
        <x:v>0</x:v>
      </x:c>
      <x:c r="O1267">
        <x:v>0</x:v>
      </x:c>
      <x:c r="P1267">
        <x:v>0</x:v>
      </x:c>
      <x:c r="Q1267">
        <x:v>0</x:v>
      </x:c>
      <x:c r="T1267" t="str">
        <x:f>""</x:f>
        <x:v/>
      </x:c>
      <x:c r="U1267" t="str">
        <x:f>""</x:f>
        <x:v/>
      </x:c>
      <x:c r="V1267" t="str">
        <x:f>""</x:f>
        <x:v/>
      </x:c>
      <x:c r="W1267" t="str">
        <x:f>""</x:f>
        <x:v/>
      </x:c>
      <x:c r="X1267" t="str">
        <x:f>""</x:f>
        <x:v/>
      </x:c>
      <x:c r="Y1267" t="str">
        <x:f>""</x:f>
        <x:v/>
      </x:c>
      <x:c r="Z1267" t="str">
        <x:f>""</x:f>
        <x:v/>
      </x:c>
      <x:c r="AA1267" t="str">
        <x:f>""</x:f>
        <x:v/>
      </x:c>
      <x:c r="AB1267" t="str">
        <x:f>""</x:f>
        <x:v/>
      </x:c>
      <x:c r="AC1267" t="str">
        <x:f>""</x:f>
        <x:v/>
      </x:c>
      <x:c r="AD1267" t="str">
        <x:f>""</x:f>
        <x:v/>
      </x:c>
      <x:c r="AE1267" t="str">
        <x:f>""</x:f>
        <x:v/>
      </x:c>
      <x:c r="AF1267" t="str">
        <x:f>""</x:f>
        <x:v/>
      </x:c>
      <x:c r="AG1267" t="str">
        <x:f>""</x:f>
        <x:v/>
      </x:c>
    </x:row>
    <x:row r="1268" spans="2:33" x14ac:dyDescent="0.25">
      <x:c r="B1268" t="str">
        <x:f>"GABF US Equity"</x:f>
        <x:v>GABF US Equity</x:v>
      </x:c>
      <x:c r="C1268" t="str">
        <x:f t="shared" si="53"/>
        <x:v>FD447</x:v>
      </x:c>
      <x:c r="D1268" t="str">
        <x:f t="shared" si="54"/>
        <x:v>FUND_FLOW</x:v>
      </x:c>
      <x:c r="E1268" t="str">
        <x:f t="shared" si="55"/>
        <x:v>Dynamic</x:v>
      </x:c>
      <x:c r="F1268">
        <x:f ca="1">_xll.BDH($B$1268,$C$1268,$B$1010,$B$1011,CONCATENATE("Per=",$B$1008),"Dts=H","Dir=H",CONCATENATE("Points=",$B$1009),"Sort=R","Days=A","Fill=B",CONCATENATE("FX=", $B$1007),"cols=14;rows=1")</x:f>
        <x:v>0</x:v>
      </x:c>
      <x:c r="G1268">
        <x:v>0.29899999999999999</x:v>
      </x:c>
      <x:c r="H1268">
        <x:v>0.29759999999999998</x:v>
      </x:c>
      <x:c r="I1268">
        <x:v>0.59499999999999997</x:v>
      </x:c>
      <x:c r="J1268">
        <x:v>0.27539999999999998</x:v>
      </x:c>
      <x:c r="K1268">
        <x:v>0</x:v>
      </x:c>
      <x:c r="L1268">
        <x:v>0.27050000000000002</x:v>
      </x:c>
      <x:c r="M1268">
        <x:v>0</x:v>
      </x:c>
      <x:c r="N1268">
        <x:v>0.14449999999999999</x:v>
      </x:c>
      <x:c r="O1268">
        <x:v>0</x:v>
      </x:c>
      <x:c r="P1268">
        <x:v>0</x:v>
      </x:c>
      <x:c r="Q1268">
        <x:v>0</x:v>
      </x:c>
      <x:c r="R1268">
        <x:v>0</x:v>
      </x:c>
      <x:c r="S1268">
        <x:v>0</x:v>
      </x:c>
      <x:c r="T1268" t="str">
        <x:f>""</x:f>
        <x:v/>
      </x:c>
      <x:c r="U1268" t="str">
        <x:f>""</x:f>
        <x:v/>
      </x:c>
      <x:c r="V1268" t="str">
        <x:f>""</x:f>
        <x:v/>
      </x:c>
      <x:c r="W1268" t="str">
        <x:f>""</x:f>
        <x:v/>
      </x:c>
      <x:c r="X1268" t="str">
        <x:f>""</x:f>
        <x:v/>
      </x:c>
      <x:c r="Y1268" t="str">
        <x:f>""</x:f>
        <x:v/>
      </x:c>
      <x:c r="Z1268" t="str">
        <x:f>""</x:f>
        <x:v/>
      </x:c>
      <x:c r="AA1268" t="str">
        <x:f>""</x:f>
        <x:v/>
      </x:c>
      <x:c r="AB1268" t="str">
        <x:f>""</x:f>
        <x:v/>
      </x:c>
      <x:c r="AC1268" t="str">
        <x:f>""</x:f>
        <x:v/>
      </x:c>
      <x:c r="AD1268" t="str">
        <x:f>""</x:f>
        <x:v/>
      </x:c>
      <x:c r="AE1268" t="str">
        <x:f>""</x:f>
        <x:v/>
      </x:c>
      <x:c r="AF1268" t="str">
        <x:f>""</x:f>
        <x:v/>
      </x:c>
      <x:c r="AG1268" t="str">
        <x:f>""</x:f>
        <x:v/>
      </x:c>
    </x:row>
    <x:row r="1269" spans="2:33" x14ac:dyDescent="0.25">
      <x:c r="B1269" t="str">
        <x:f>"XLV US Equity"</x:f>
        <x:v>XLV US Equity</x:v>
      </x:c>
      <x:c r="C1269" t="str">
        <x:f t="shared" si="53"/>
        <x:v>FD447</x:v>
      </x:c>
      <x:c r="D1269" t="str">
        <x:f t="shared" si="54"/>
        <x:v>FUND_FLOW</x:v>
      </x:c>
      <x:c r="E1269" t="str">
        <x:f t="shared" si="55"/>
        <x:v>Dynamic</x:v>
      </x:c>
      <x:c r="F1269">
        <x:f ca="1">_xll.BDH($B$1269,$C$1269,$B$1010,$B$1011,CONCATENATE("Per=",$B$1008),"Dts=H","Dir=H",CONCATENATE("Points=",$B$1009),"Sort=R","Days=A","Fill=B",CONCATENATE("FX=", $B$1007),"cols=14;rows=1")</x:f>
        <x:v>-894.90909999999997</x:v>
      </x:c>
      <x:c r="G1269">
        <x:v>-1150.3638000000001</x:v>
      </x:c>
      <x:c r="H1269">
        <x:v>293.49939999999998</x:v>
      </x:c>
      <x:c r="I1269">
        <x:v>-1345.73</x:v>
      </x:c>
      <x:c r="J1269">
        <x:v>160.9588</x:v>
      </x:c>
      <x:c r="K1269">
        <x:v>1344.1632</x:v>
      </x:c>
      <x:c r="L1269">
        <x:v>155.7808</x:v>
      </x:c>
      <x:c r="M1269">
        <x:v>-1061.9779000000001</x:v>
      </x:c>
      <x:c r="N1269">
        <x:v>-153.25450000000001</x:v>
      </x:c>
      <x:c r="O1269">
        <x:v>-366.92880000000002</x:v>
      </x:c>
      <x:c r="P1269">
        <x:v>-292.74680000000001</x:v>
      </x:c>
      <x:c r="Q1269">
        <x:v>1267.8800000000001</x:v>
      </x:c>
      <x:c r="R1269">
        <x:v>781.05020000000002</x:v>
      </x:c>
      <x:c r="S1269">
        <x:v>-822.82029999999997</x:v>
      </x:c>
      <x:c r="T1269" t="str">
        <x:f>""</x:f>
        <x:v/>
      </x:c>
      <x:c r="U1269" t="str">
        <x:f>""</x:f>
        <x:v/>
      </x:c>
      <x:c r="V1269" t="str">
        <x:f>""</x:f>
        <x:v/>
      </x:c>
      <x:c r="W1269" t="str">
        <x:f>""</x:f>
        <x:v/>
      </x:c>
      <x:c r="X1269" t="str">
        <x:f>""</x:f>
        <x:v/>
      </x:c>
      <x:c r="Y1269" t="str">
        <x:f>""</x:f>
        <x:v/>
      </x:c>
      <x:c r="Z1269" t="str">
        <x:f>""</x:f>
        <x:v/>
      </x:c>
      <x:c r="AA1269" t="str">
        <x:f>""</x:f>
        <x:v/>
      </x:c>
      <x:c r="AB1269" t="str">
        <x:f>""</x:f>
        <x:v/>
      </x:c>
      <x:c r="AC1269" t="str">
        <x:f>""</x:f>
        <x:v/>
      </x:c>
      <x:c r="AD1269" t="str">
        <x:f>""</x:f>
        <x:v/>
      </x:c>
      <x:c r="AE1269" t="str">
        <x:f>""</x:f>
        <x:v/>
      </x:c>
      <x:c r="AF1269" t="str">
        <x:f>""</x:f>
        <x:v/>
      </x:c>
      <x:c r="AG1269" t="str">
        <x:f>""</x:f>
        <x:v/>
      </x:c>
    </x:row>
    <x:row r="1270" spans="2:33" x14ac:dyDescent="0.25">
      <x:c r="B1270" t="str">
        <x:f>"IBB US Equity"</x:f>
        <x:v>IBB US Equity</x:v>
      </x:c>
      <x:c r="C1270" t="str">
        <x:f t="shared" ref="C1270:C1333" si="56">"FD447"</x:f>
        <x:v>FD447</x:v>
      </x:c>
      <x:c r="D1270" t="str">
        <x:f t="shared" ref="D1270:D1333" si="57">"FUND_FLOW"</x:f>
        <x:v>FUND_FLOW</x:v>
      </x:c>
      <x:c r="E1270" t="str">
        <x:f t="shared" ref="E1270:E1333" si="58">"Dynamic"</x:f>
        <x:v>Dynamic</x:v>
      </x:c>
      <x:c r="F1270">
        <x:f ca="1">_xll.BDH($B$1270,$C$1270,$B$1010,$B$1011,CONCATENATE("Per=",$B$1008),"Dts=H","Dir=H",CONCATENATE("Points=",$B$1009),"Sort=R","Days=A","Fill=B",CONCATENATE("FX=", $B$1007),"cols=14;rows=1")</x:f>
        <x:v>-68.155600000000007</x:v>
      </x:c>
      <x:c r="G1270">
        <x:v>-146.29759999999999</x:v>
      </x:c>
      <x:c r="H1270">
        <x:v>-108.00879999999999</x:v>
      </x:c>
      <x:c r="I1270">
        <x:v>-106.07989999999999</x:v>
      </x:c>
      <x:c r="J1270">
        <x:v>51.517899999999997</x:v>
      </x:c>
      <x:c r="K1270">
        <x:v>-114.53740000000001</x:v>
      </x:c>
      <x:c r="L1270">
        <x:v>-223.44810000000001</x:v>
      </x:c>
      <x:c r="M1270">
        <x:v>-177.9973</x:v>
      </x:c>
      <x:c r="N1270">
        <x:v>-328.87920000000003</x:v>
      </x:c>
      <x:c r="O1270">
        <x:v>-54.490400000000001</x:v>
      </x:c>
      <x:c r="P1270">
        <x:v>152.7072</x:v>
      </x:c>
      <x:c r="Q1270">
        <x:v>328.52949999999998</x:v>
      </x:c>
      <x:c r="R1270">
        <x:v>7.6424000000000003</x:v>
      </x:c>
      <x:c r="S1270">
        <x:v>-85.418199999999999</x:v>
      </x:c>
      <x:c r="T1270" t="str">
        <x:f>""</x:f>
        <x:v/>
      </x:c>
      <x:c r="U1270" t="str">
        <x:f>""</x:f>
        <x:v/>
      </x:c>
      <x:c r="V1270" t="str">
        <x:f>""</x:f>
        <x:v/>
      </x:c>
      <x:c r="W1270" t="str">
        <x:f>""</x:f>
        <x:v/>
      </x:c>
      <x:c r="X1270" t="str">
        <x:f>""</x:f>
        <x:v/>
      </x:c>
      <x:c r="Y1270" t="str">
        <x:f>""</x:f>
        <x:v/>
      </x:c>
      <x:c r="Z1270" t="str">
        <x:f>""</x:f>
        <x:v/>
      </x:c>
      <x:c r="AA1270" t="str">
        <x:f>""</x:f>
        <x:v/>
      </x:c>
      <x:c r="AB1270" t="str">
        <x:f>""</x:f>
        <x:v/>
      </x:c>
      <x:c r="AC1270" t="str">
        <x:f>""</x:f>
        <x:v/>
      </x:c>
      <x:c r="AD1270" t="str">
        <x:f>""</x:f>
        <x:v/>
      </x:c>
      <x:c r="AE1270" t="str">
        <x:f>""</x:f>
        <x:v/>
      </x:c>
      <x:c r="AF1270" t="str">
        <x:f>""</x:f>
        <x:v/>
      </x:c>
      <x:c r="AG1270" t="str">
        <x:f>""</x:f>
        <x:v/>
      </x:c>
    </x:row>
    <x:row r="1271" spans="2:33" x14ac:dyDescent="0.25">
      <x:c r="B1271" t="str">
        <x:f>"VHT US Equity"</x:f>
        <x:v>VHT US Equity</x:v>
      </x:c>
      <x:c r="C1271" t="str">
        <x:f t="shared" si="56"/>
        <x:v>FD447</x:v>
      </x:c>
      <x:c r="D1271" t="str">
        <x:f t="shared" si="57"/>
        <x:v>FUND_FLOW</x:v>
      </x:c>
      <x:c r="E1271" t="str">
        <x:f t="shared" si="58"/>
        <x:v>Dynamic</x:v>
      </x:c>
      <x:c r="F1271">
        <x:f ca="1">_xll.BDH($B$1271,$C$1271,$B$1010,$B$1011,CONCATENATE("Per=",$B$1008),"Dts=H","Dir=H",CONCATENATE("Points=",$B$1009),"Sort=R","Days=A","Fill=B",CONCATENATE("FX=", $B$1007),"cols=14;rows=1")</x:f>
        <x:v>-394.89060000000001</x:v>
      </x:c>
      <x:c r="G1271">
        <x:v>-13.771100000000001</x:v>
      </x:c>
      <x:c r="H1271">
        <x:v>-21.682400000000001</x:v>
      </x:c>
      <x:c r="I1271">
        <x:v>147.05019999999999</x:v>
      </x:c>
      <x:c r="J1271">
        <x:v>-123.8925</x:v>
      </x:c>
      <x:c r="K1271">
        <x:v>-152.9425</x:v>
      </x:c>
      <x:c r="L1271">
        <x:v>80.041300000000007</x:v>
      </x:c>
      <x:c r="M1271">
        <x:v>-28.114100000000001</x:v>
      </x:c>
      <x:c r="N1271">
        <x:v>6.4974999999999996</x:v>
      </x:c>
      <x:c r="O1271">
        <x:v>79.805199999999999</x:v>
      </x:c>
      <x:c r="P1271">
        <x:v>0.1535</x:v>
      </x:c>
      <x:c r="Q1271">
        <x:v>-43.119599999999998</x:v>
      </x:c>
      <x:c r="R1271">
        <x:v>275.40780000000001</x:v>
      </x:c>
      <x:c r="S1271">
        <x:v>48.2791</x:v>
      </x:c>
      <x:c r="T1271" t="str">
        <x:f>""</x:f>
        <x:v/>
      </x:c>
      <x:c r="U1271" t="str">
        <x:f>""</x:f>
        <x:v/>
      </x:c>
      <x:c r="V1271" t="str">
        <x:f>""</x:f>
        <x:v/>
      </x:c>
      <x:c r="W1271" t="str">
        <x:f>""</x:f>
        <x:v/>
      </x:c>
      <x:c r="X1271" t="str">
        <x:f>""</x:f>
        <x:v/>
      </x:c>
      <x:c r="Y1271" t="str">
        <x:f>""</x:f>
        <x:v/>
      </x:c>
      <x:c r="Z1271" t="str">
        <x:f>""</x:f>
        <x:v/>
      </x:c>
      <x:c r="AA1271" t="str">
        <x:f>""</x:f>
        <x:v/>
      </x:c>
      <x:c r="AB1271" t="str">
        <x:f>""</x:f>
        <x:v/>
      </x:c>
      <x:c r="AC1271" t="str">
        <x:f>""</x:f>
        <x:v/>
      </x:c>
      <x:c r="AD1271" t="str">
        <x:f>""</x:f>
        <x:v/>
      </x:c>
      <x:c r="AE1271" t="str">
        <x:f>""</x:f>
        <x:v/>
      </x:c>
      <x:c r="AF1271" t="str">
        <x:f>""</x:f>
        <x:v/>
      </x:c>
      <x:c r="AG1271" t="str">
        <x:f>""</x:f>
        <x:v/>
      </x:c>
    </x:row>
    <x:row r="1272" spans="2:33" x14ac:dyDescent="0.25">
      <x:c r="B1272" t="str">
        <x:f>"XBI US Equity"</x:f>
        <x:v>XBI US Equity</x:v>
      </x:c>
      <x:c r="C1272" t="str">
        <x:f t="shared" si="56"/>
        <x:v>FD447</x:v>
      </x:c>
      <x:c r="D1272" t="str">
        <x:f t="shared" si="57"/>
        <x:v>FUND_FLOW</x:v>
      </x:c>
      <x:c r="E1272" t="str">
        <x:f t="shared" si="58"/>
        <x:v>Dynamic</x:v>
      </x:c>
      <x:c r="F1272">
        <x:f ca="1">_xll.BDH($B$1272,$C$1272,$B$1010,$B$1011,CONCATENATE("Per=",$B$1008),"Dts=H","Dir=H",CONCATENATE("Points=",$B$1009),"Sort=R","Days=A","Fill=B",CONCATENATE("FX=", $B$1007),"cols=14;rows=1")</x:f>
        <x:v>202.28399999999999</x:v>
      </x:c>
      <x:c r="G1272">
        <x:v>-1.2351000000000001</x:v>
      </x:c>
      <x:c r="H1272">
        <x:v>-258.59890000000001</x:v>
      </x:c>
      <x:c r="I1272">
        <x:v>47.484200000000001</x:v>
      </x:c>
      <x:c r="J1272">
        <x:v>17.982700000000001</x:v>
      </x:c>
      <x:c r="K1272">
        <x:v>-131.8099</x:v>
      </x:c>
      <x:c r="L1272">
        <x:v>-425.02249999999998</x:v>
      </x:c>
      <x:c r="M1272">
        <x:v>-90.145799999999994</x:v>
      </x:c>
      <x:c r="N1272">
        <x:v>-627.94770000000005</x:v>
      </x:c>
      <x:c r="O1272">
        <x:v>-289.77960000000002</x:v>
      </x:c>
      <x:c r="P1272">
        <x:v>-302.29079999999999</x:v>
      </x:c>
      <x:c r="Q1272">
        <x:v>863.80780000000004</x:v>
      </x:c>
      <x:c r="R1272">
        <x:v>331.67450000000002</x:v>
      </x:c>
      <x:c r="S1272">
        <x:v>-96.292500000000004</x:v>
      </x:c>
      <x:c r="T1272" t="str">
        <x:f>""</x:f>
        <x:v/>
      </x:c>
      <x:c r="U1272" t="str">
        <x:f>""</x:f>
        <x:v/>
      </x:c>
      <x:c r="V1272" t="str">
        <x:f>""</x:f>
        <x:v/>
      </x:c>
      <x:c r="W1272" t="str">
        <x:f>""</x:f>
        <x:v/>
      </x:c>
      <x:c r="X1272" t="str">
        <x:f>""</x:f>
        <x:v/>
      </x:c>
      <x:c r="Y1272" t="str">
        <x:f>""</x:f>
        <x:v/>
      </x:c>
      <x:c r="Z1272" t="str">
        <x:f>""</x:f>
        <x:v/>
      </x:c>
      <x:c r="AA1272" t="str">
        <x:f>""</x:f>
        <x:v/>
      </x:c>
      <x:c r="AB1272" t="str">
        <x:f>""</x:f>
        <x:v/>
      </x:c>
      <x:c r="AC1272" t="str">
        <x:f>""</x:f>
        <x:v/>
      </x:c>
      <x:c r="AD1272" t="str">
        <x:f>""</x:f>
        <x:v/>
      </x:c>
      <x:c r="AE1272" t="str">
        <x:f>""</x:f>
        <x:v/>
      </x:c>
      <x:c r="AF1272" t="str">
        <x:f>""</x:f>
        <x:v/>
      </x:c>
      <x:c r="AG1272" t="str">
        <x:f>""</x:f>
        <x:v/>
      </x:c>
    </x:row>
    <x:row r="1273" spans="2:33" x14ac:dyDescent="0.25">
      <x:c r="B1273" t="str">
        <x:f>"IYH US Equity"</x:f>
        <x:v>IYH US Equity</x:v>
      </x:c>
      <x:c r="C1273" t="str">
        <x:f t="shared" si="56"/>
        <x:v>FD447</x:v>
      </x:c>
      <x:c r="D1273" t="str">
        <x:f t="shared" si="57"/>
        <x:v>FUND_FLOW</x:v>
      </x:c>
      <x:c r="E1273" t="str">
        <x:f t="shared" si="58"/>
        <x:v>Dynamic</x:v>
      </x:c>
      <x:c r="F1273">
        <x:f ca="1">_xll.BDH($B$1273,$C$1273,$B$1010,$B$1011,CONCATENATE("Per=",$B$1008),"Dts=H","Dir=H",CONCATENATE("Points=",$B$1009),"Sort=R","Days=A","Fill=B",CONCATENATE("FX=", $B$1007),"cols=14;rows=1")</x:f>
        <x:v>-120.7135</x:v>
      </x:c>
      <x:c r="G1273">
        <x:v>-13.8489</x:v>
      </x:c>
      <x:c r="H1273">
        <x:v>42.24</x:v>
      </x:c>
      <x:c r="I1273">
        <x:v>-27.331600000000002</x:v>
      </x:c>
      <x:c r="J1273">
        <x:v>-13.942399999999999</x:v>
      </x:c>
      <x:c r="K1273">
        <x:v>-27.296800000000001</x:v>
      </x:c>
      <x:c r="L1273">
        <x:v>-14.3841</x:v>
      </x:c>
      <x:c r="M1273">
        <x:v>0.45300000000000001</x:v>
      </x:c>
      <x:c r="N1273">
        <x:v>-27.608699999999999</x:v>
      </x:c>
      <x:c r="O1273">
        <x:v>-3.3599999999999998E-2</x:v>
      </x:c>
      <x:c r="P1273">
        <x:v>-13.9879</x:v>
      </x:c>
      <x:c r="Q1273">
        <x:v>27.9329</x:v>
      </x:c>
      <x:c r="R1273">
        <x:v>41.300400000000003</x:v>
      </x:c>
      <x:c r="S1273">
        <x:v>15.763199999999999</x:v>
      </x:c>
      <x:c r="T1273" t="str">
        <x:f>""</x:f>
        <x:v/>
      </x:c>
      <x:c r="U1273" t="str">
        <x:f>""</x:f>
        <x:v/>
      </x:c>
      <x:c r="V1273" t="str">
        <x:f>""</x:f>
        <x:v/>
      </x:c>
      <x:c r="W1273" t="str">
        <x:f>""</x:f>
        <x:v/>
      </x:c>
      <x:c r="X1273" t="str">
        <x:f>""</x:f>
        <x:v/>
      </x:c>
      <x:c r="Y1273" t="str">
        <x:f>""</x:f>
        <x:v/>
      </x:c>
      <x:c r="Z1273" t="str">
        <x:f>""</x:f>
        <x:v/>
      </x:c>
      <x:c r="AA1273" t="str">
        <x:f>""</x:f>
        <x:v/>
      </x:c>
      <x:c r="AB1273" t="str">
        <x:f>""</x:f>
        <x:v/>
      </x:c>
      <x:c r="AC1273" t="str">
        <x:f>""</x:f>
        <x:v/>
      </x:c>
      <x:c r="AD1273" t="str">
        <x:f>""</x:f>
        <x:v/>
      </x:c>
      <x:c r="AE1273" t="str">
        <x:f>""</x:f>
        <x:v/>
      </x:c>
      <x:c r="AF1273" t="str">
        <x:f>""</x:f>
        <x:v/>
      </x:c>
      <x:c r="AG1273" t="str">
        <x:f>""</x:f>
        <x:v/>
      </x:c>
    </x:row>
    <x:row r="1274" spans="2:33" x14ac:dyDescent="0.25">
      <x:c r="B1274" t="str">
        <x:f>"IXJ US Equity"</x:f>
        <x:v>IXJ US Equity</x:v>
      </x:c>
      <x:c r="C1274" t="str">
        <x:f t="shared" si="56"/>
        <x:v>FD447</x:v>
      </x:c>
      <x:c r="D1274" t="str">
        <x:f t="shared" si="57"/>
        <x:v>FUND_FLOW</x:v>
      </x:c>
      <x:c r="E1274" t="str">
        <x:f t="shared" si="58"/>
        <x:v>Dynamic</x:v>
      </x:c>
      <x:c r="F1274">
        <x:f ca="1">_xll.BDH($B$1274,$C$1274,$B$1010,$B$1011,CONCATENATE("Per=",$B$1008),"Dts=H","Dir=H",CONCATENATE("Points=",$B$1009),"Sort=R","Days=A","Fill=B",CONCATENATE("FX=", $B$1007),"cols=14;rows=1")</x:f>
        <x:v>12.7141</x:v>
      </x:c>
      <x:c r="G1274">
        <x:v>75.371600000000001</x:v>
      </x:c>
      <x:c r="H1274">
        <x:v>50.734699999999997</x:v>
      </x:c>
      <x:c r="I1274">
        <x:v>25.604600000000001</x:v>
      </x:c>
      <x:c r="J1274">
        <x:v>-122.3145</x:v>
      </x:c>
      <x:c r="K1274">
        <x:v>-253.36019999999999</x:v>
      </x:c>
      <x:c r="L1274">
        <x:v>129.97980000000001</x:v>
      </x:c>
      <x:c r="M1274">
        <x:v>70.148099999999999</x:v>
      </x:c>
      <x:c r="N1274">
        <x:v>-246.14429999999999</x:v>
      </x:c>
      <x:c r="O1274">
        <x:v>-105.9482</x:v>
      </x:c>
      <x:c r="P1274">
        <x:v>118.6825</x:v>
      </x:c>
      <x:c r="Q1274">
        <x:v>408.99529999999999</x:v>
      </x:c>
      <x:c r="R1274">
        <x:v>24.4421</x:v>
      </x:c>
      <x:c r="S1274">
        <x:v>4.4992999999999999</x:v>
      </x:c>
      <x:c r="T1274" t="str">
        <x:f>""</x:f>
        <x:v/>
      </x:c>
      <x:c r="U1274" t="str">
        <x:f>""</x:f>
        <x:v/>
      </x:c>
      <x:c r="V1274" t="str">
        <x:f>""</x:f>
        <x:v/>
      </x:c>
      <x:c r="W1274" t="str">
        <x:f>""</x:f>
        <x:v/>
      </x:c>
      <x:c r="X1274" t="str">
        <x:f>""</x:f>
        <x:v/>
      </x:c>
      <x:c r="Y1274" t="str">
        <x:f>""</x:f>
        <x:v/>
      </x:c>
      <x:c r="Z1274" t="str">
        <x:f>""</x:f>
        <x:v/>
      </x:c>
      <x:c r="AA1274" t="str">
        <x:f>""</x:f>
        <x:v/>
      </x:c>
      <x:c r="AB1274" t="str">
        <x:f>""</x:f>
        <x:v/>
      </x:c>
      <x:c r="AC1274" t="str">
        <x:f>""</x:f>
        <x:v/>
      </x:c>
      <x:c r="AD1274" t="str">
        <x:f>""</x:f>
        <x:v/>
      </x:c>
      <x:c r="AE1274" t="str">
        <x:f>""</x:f>
        <x:v/>
      </x:c>
      <x:c r="AF1274" t="str">
        <x:f>""</x:f>
        <x:v/>
      </x:c>
      <x:c r="AG1274" t="str">
        <x:f>""</x:f>
        <x:v/>
      </x:c>
    </x:row>
    <x:row r="1275" spans="2:33" x14ac:dyDescent="0.25">
      <x:c r="B1275" t="str">
        <x:f>"IHI US Equity"</x:f>
        <x:v>IHI US Equity</x:v>
      </x:c>
      <x:c r="C1275" t="str">
        <x:f t="shared" si="56"/>
        <x:v>FD447</x:v>
      </x:c>
      <x:c r="D1275" t="str">
        <x:f t="shared" si="57"/>
        <x:v>FUND_FLOW</x:v>
      </x:c>
      <x:c r="E1275" t="str">
        <x:f t="shared" si="58"/>
        <x:v>Dynamic</x:v>
      </x:c>
      <x:c r="F1275">
        <x:f ca="1">_xll.BDH($B$1275,$C$1275,$B$1010,$B$1011,CONCATENATE("Per=",$B$1008),"Dts=H","Dir=H",CONCATENATE("Points=",$B$1009),"Sort=R","Days=A","Fill=B",CONCATENATE("FX=", $B$1007),"cols=14;rows=1")</x:f>
        <x:v>-107.2119</x:v>
      </x:c>
      <x:c r="G1275">
        <x:v>-132.26329999999999</x:v>
      </x:c>
      <x:c r="H1275">
        <x:v>-84.872399999999999</x:v>
      </x:c>
      <x:c r="I1275">
        <x:v>21.0779</x:v>
      </x:c>
      <x:c r="J1275">
        <x:v>-118.8931</x:v>
      </x:c>
      <x:c r="K1275">
        <x:v>-58.688000000000002</x:v>
      </x:c>
      <x:c r="L1275">
        <x:v>35.360599999999998</x:v>
      </x:c>
      <x:c r="M1275">
        <x:v>-73.611099999999993</x:v>
      </x:c>
      <x:c r="N1275">
        <x:v>-109.2052</x:v>
      </x:c>
      <x:c r="O1275">
        <x:v>-122.4162</x:v>
      </x:c>
      <x:c r="P1275">
        <x:v>-200.5087</x:v>
      </x:c>
      <x:c r="Q1275">
        <x:v>-59.742899999999999</x:v>
      </x:c>
      <x:c r="R1275">
        <x:v>-54.509599999999999</x:v>
      </x:c>
      <x:c r="S1275">
        <x:v>-78.763900000000007</x:v>
      </x:c>
      <x:c r="T1275" t="str">
        <x:f>""</x:f>
        <x:v/>
      </x:c>
      <x:c r="U1275" t="str">
        <x:f>""</x:f>
        <x:v/>
      </x:c>
      <x:c r="V1275" t="str">
        <x:f>""</x:f>
        <x:v/>
      </x:c>
      <x:c r="W1275" t="str">
        <x:f>""</x:f>
        <x:v/>
      </x:c>
      <x:c r="X1275" t="str">
        <x:f>""</x:f>
        <x:v/>
      </x:c>
      <x:c r="Y1275" t="str">
        <x:f>""</x:f>
        <x:v/>
      </x:c>
      <x:c r="Z1275" t="str">
        <x:f>""</x:f>
        <x:v/>
      </x:c>
      <x:c r="AA1275" t="str">
        <x:f>""</x:f>
        <x:v/>
      </x:c>
      <x:c r="AB1275" t="str">
        <x:f>""</x:f>
        <x:v/>
      </x:c>
      <x:c r="AC1275" t="str">
        <x:f>""</x:f>
        <x:v/>
      </x:c>
      <x:c r="AD1275" t="str">
        <x:f>""</x:f>
        <x:v/>
      </x:c>
      <x:c r="AE1275" t="str">
        <x:f>""</x:f>
        <x:v/>
      </x:c>
      <x:c r="AF1275" t="str">
        <x:f>""</x:f>
        <x:v/>
      </x:c>
      <x:c r="AG1275" t="str">
        <x:f>""</x:f>
        <x:v/>
      </x:c>
    </x:row>
    <x:row r="1276" spans="2:33" x14ac:dyDescent="0.25">
      <x:c r="B1276" t="str">
        <x:f>"FXH US Equity"</x:f>
        <x:v>FXH US Equity</x:v>
      </x:c>
      <x:c r="C1276" t="str">
        <x:f t="shared" si="56"/>
        <x:v>FD447</x:v>
      </x:c>
      <x:c r="D1276" t="str">
        <x:f t="shared" si="57"/>
        <x:v>FUND_FLOW</x:v>
      </x:c>
      <x:c r="E1276" t="str">
        <x:f t="shared" si="58"/>
        <x:v>Dynamic</x:v>
      </x:c>
      <x:c r="F1276">
        <x:f ca="1">_xll.BDH($B$1276,$C$1276,$B$1010,$B$1011,CONCATENATE("Per=",$B$1008),"Dts=H","Dir=H",CONCATENATE("Points=",$B$1009),"Sort=R","Days=A","Fill=B",CONCATENATE("FX=", $B$1007),"cols=14;rows=1")</x:f>
        <x:v>-42.421100000000003</x:v>
      </x:c>
      <x:c r="G1276">
        <x:v>-34.5304</x:v>
      </x:c>
      <x:c r="H1276">
        <x:v>-57.083300000000001</x:v>
      </x:c>
      <x:c r="I1276">
        <x:v>-16.065999999999999</x:v>
      </x:c>
      <x:c r="J1276">
        <x:v>15.9595</x:v>
      </x:c>
      <x:c r="K1276">
        <x:v>-26.429500000000001</x:v>
      </x:c>
      <x:c r="L1276">
        <x:v>-5.5049999999999999</x:v>
      </x:c>
      <x:c r="M1276">
        <x:v>-10.365</x:v>
      </x:c>
      <x:c r="N1276">
        <x:v>-11.548500000000001</x:v>
      </x:c>
      <x:c r="O1276">
        <x:v>38.548000000000002</x:v>
      </x:c>
      <x:c r="P1276">
        <x:v>5.6188000000000002</x:v>
      </x:c>
      <x:c r="Q1276">
        <x:v>26.3706</x:v>
      </x:c>
      <x:c r="R1276">
        <x:v>-9.9732000000000003</x:v>
      </x:c>
      <x:c r="S1276">
        <x:v>-9.4786999999999999</x:v>
      </x:c>
      <x:c r="T1276" t="str">
        <x:f>""</x:f>
        <x:v/>
      </x:c>
      <x:c r="U1276" t="str">
        <x:f>""</x:f>
        <x:v/>
      </x:c>
      <x:c r="V1276" t="str">
        <x:f>""</x:f>
        <x:v/>
      </x:c>
      <x:c r="W1276" t="str">
        <x:f>""</x:f>
        <x:v/>
      </x:c>
      <x:c r="X1276" t="str">
        <x:f>""</x:f>
        <x:v/>
      </x:c>
      <x:c r="Y1276" t="str">
        <x:f>""</x:f>
        <x:v/>
      </x:c>
      <x:c r="Z1276" t="str">
        <x:f>""</x:f>
        <x:v/>
      </x:c>
      <x:c r="AA1276" t="str">
        <x:f>""</x:f>
        <x:v/>
      </x:c>
      <x:c r="AB1276" t="str">
        <x:f>""</x:f>
        <x:v/>
      </x:c>
      <x:c r="AC1276" t="str">
        <x:f>""</x:f>
        <x:v/>
      </x:c>
      <x:c r="AD1276" t="str">
        <x:f>""</x:f>
        <x:v/>
      </x:c>
      <x:c r="AE1276" t="str">
        <x:f>""</x:f>
        <x:v/>
      </x:c>
      <x:c r="AF1276" t="str">
        <x:f>""</x:f>
        <x:v/>
      </x:c>
      <x:c r="AG1276" t="str">
        <x:f>""</x:f>
        <x:v/>
      </x:c>
    </x:row>
    <x:row r="1277" spans="2:33" x14ac:dyDescent="0.25">
      <x:c r="B1277" t="str">
        <x:f>"FBT US Equity"</x:f>
        <x:v>FBT US Equity</x:v>
      </x:c>
      <x:c r="C1277" t="str">
        <x:f t="shared" si="56"/>
        <x:v>FD447</x:v>
      </x:c>
      <x:c r="D1277" t="str">
        <x:f t="shared" si="57"/>
        <x:v>FUND_FLOW</x:v>
      </x:c>
      <x:c r="E1277" t="str">
        <x:f t="shared" si="58"/>
        <x:v>Dynamic</x:v>
      </x:c>
      <x:c r="F1277">
        <x:f ca="1">_xll.BDH($B$1277,$C$1277,$B$1010,$B$1011,CONCATENATE("Per=",$B$1008),"Dts=H","Dir=H",CONCATENATE("Points=",$B$1009),"Sort=R","Days=A","Fill=B",CONCATENATE("FX=", $B$1007),"cols=14;rows=1")</x:f>
        <x:v>-41.436199999999999</x:v>
      </x:c>
      <x:c r="G1277">
        <x:v>-29.9528</x:v>
      </x:c>
      <x:c r="H1277">
        <x:v>-45.8643</x:v>
      </x:c>
      <x:c r="I1277">
        <x:v>-22.827000000000002</x:v>
      </x:c>
      <x:c r="J1277">
        <x:v>-31.318999999999999</x:v>
      </x:c>
      <x:c r="K1277">
        <x:v>0</x:v>
      </x:c>
      <x:c r="L1277">
        <x:v>-7.6849999999999996</x:v>
      </x:c>
      <x:c r="M1277">
        <x:v>-7.4165000000000001</x:v>
      </x:c>
      <x:c r="N1277">
        <x:v>0</x:v>
      </x:c>
      <x:c r="O1277">
        <x:v>-8.048</x:v>
      </x:c>
      <x:c r="P1277">
        <x:v>30.786100000000001</x:v>
      </x:c>
      <x:c r="Q1277">
        <x:v>0.49359999999999998</x:v>
      </x:c>
      <x:c r="R1277">
        <x:v>-6.9367000000000001</x:v>
      </x:c>
      <x:c r="S1277">
        <x:v>-13.494199999999999</x:v>
      </x:c>
      <x:c r="T1277" t="str">
        <x:f>""</x:f>
        <x:v/>
      </x:c>
      <x:c r="U1277" t="str">
        <x:f>""</x:f>
        <x:v/>
      </x:c>
      <x:c r="V1277" t="str">
        <x:f>""</x:f>
        <x:v/>
      </x:c>
      <x:c r="W1277" t="str">
        <x:f>""</x:f>
        <x:v/>
      </x:c>
      <x:c r="X1277" t="str">
        <x:f>""</x:f>
        <x:v/>
      </x:c>
      <x:c r="Y1277" t="str">
        <x:f>""</x:f>
        <x:v/>
      </x:c>
      <x:c r="Z1277" t="str">
        <x:f>""</x:f>
        <x:v/>
      </x:c>
      <x:c r="AA1277" t="str">
        <x:f>""</x:f>
        <x:v/>
      </x:c>
      <x:c r="AB1277" t="str">
        <x:f>""</x:f>
        <x:v/>
      </x:c>
      <x:c r="AC1277" t="str">
        <x:f>""</x:f>
        <x:v/>
      </x:c>
      <x:c r="AD1277" t="str">
        <x:f>""</x:f>
        <x:v/>
      </x:c>
      <x:c r="AE1277" t="str">
        <x:f>""</x:f>
        <x:v/>
      </x:c>
      <x:c r="AF1277" t="str">
        <x:f>""</x:f>
        <x:v/>
      </x:c>
      <x:c r="AG1277" t="str">
        <x:f>""</x:f>
        <x:v/>
      </x:c>
    </x:row>
    <x:row r="1278" spans="2:33" x14ac:dyDescent="0.25">
      <x:c r="B1278" t="str">
        <x:f>"PJP US Equity"</x:f>
        <x:v>PJP US Equity</x:v>
      </x:c>
      <x:c r="C1278" t="str">
        <x:f t="shared" si="56"/>
        <x:v>FD447</x:v>
      </x:c>
      <x:c r="D1278" t="str">
        <x:f t="shared" si="57"/>
        <x:v>FUND_FLOW</x:v>
      </x:c>
      <x:c r="E1278" t="str">
        <x:f t="shared" si="58"/>
        <x:v>Dynamic</x:v>
      </x:c>
      <x:c r="F1278">
        <x:f ca="1">_xll.BDH($B$1278,$C$1278,$B$1010,$B$1011,CONCATENATE("Per=",$B$1008),"Dts=H","Dir=H",CONCATENATE("Points=",$B$1009),"Sort=R","Days=A","Fill=B",CONCATENATE("FX=", $B$1007),"cols=14;rows=1")</x:f>
        <x:v>-8.4740000000000002</x:v>
      </x:c>
      <x:c r="G1278">
        <x:v>-5.2344999999999997</x:v>
      </x:c>
      <x:c r="H1278">
        <x:v>-4.7103999999999999</x:v>
      </x:c>
      <x:c r="I1278">
        <x:v>-3.7486000000000002</x:v>
      </x:c>
      <x:c r="J1278">
        <x:v>-6.8071000000000002</x:v>
      </x:c>
      <x:c r="K1278">
        <x:v>2.47E-2</x:v>
      </x:c>
      <x:c r="L1278">
        <x:v>-5.3924000000000003</x:v>
      </x:c>
      <x:c r="M1278">
        <x:v>-10.4885</x:v>
      </x:c>
      <x:c r="N1278">
        <x:v>-1.5508</x:v>
      </x:c>
      <x:c r="O1278">
        <x:v>0</x:v>
      </x:c>
      <x:c r="P1278">
        <x:v>-0.78810000000000002</x:v>
      </x:c>
      <x:c r="Q1278">
        <x:v>7.6801000000000004</x:v>
      </x:c>
      <x:c r="R1278">
        <x:v>-11.8888</x:v>
      </x:c>
      <x:c r="S1278">
        <x:v>-2.1646999999999998</x:v>
      </x:c>
      <x:c r="T1278" t="str">
        <x:f>""</x:f>
        <x:v/>
      </x:c>
      <x:c r="U1278" t="str">
        <x:f>""</x:f>
        <x:v/>
      </x:c>
      <x:c r="V1278" t="str">
        <x:f>""</x:f>
        <x:v/>
      </x:c>
      <x:c r="W1278" t="str">
        <x:f>""</x:f>
        <x:v/>
      </x:c>
      <x:c r="X1278" t="str">
        <x:f>""</x:f>
        <x:v/>
      </x:c>
      <x:c r="Y1278" t="str">
        <x:f>""</x:f>
        <x:v/>
      </x:c>
      <x:c r="Z1278" t="str">
        <x:f>""</x:f>
        <x:v/>
      </x:c>
      <x:c r="AA1278" t="str">
        <x:f>""</x:f>
        <x:v/>
      </x:c>
      <x:c r="AB1278" t="str">
        <x:f>""</x:f>
        <x:v/>
      </x:c>
      <x:c r="AC1278" t="str">
        <x:f>""</x:f>
        <x:v/>
      </x:c>
      <x:c r="AD1278" t="str">
        <x:f>""</x:f>
        <x:v/>
      </x:c>
      <x:c r="AE1278" t="str">
        <x:f>""</x:f>
        <x:v/>
      </x:c>
      <x:c r="AF1278" t="str">
        <x:f>""</x:f>
        <x:v/>
      </x:c>
      <x:c r="AG1278" t="str">
        <x:f>""</x:f>
        <x:v/>
      </x:c>
    </x:row>
    <x:row r="1279" spans="2:33" x14ac:dyDescent="0.25">
      <x:c r="B1279" t="str">
        <x:f>"IHE US Equity"</x:f>
        <x:v>IHE US Equity</x:v>
      </x:c>
      <x:c r="C1279" t="str">
        <x:f t="shared" si="56"/>
        <x:v>FD447</x:v>
      </x:c>
      <x:c r="D1279" t="str">
        <x:f t="shared" si="57"/>
        <x:v>FUND_FLOW</x:v>
      </x:c>
      <x:c r="E1279" t="str">
        <x:f t="shared" si="58"/>
        <x:v>Dynamic</x:v>
      </x:c>
      <x:c r="F1279">
        <x:f ca="1">_xll.BDH($B$1279,$C$1279,$B$1010,$B$1011,CONCATENATE("Per=",$B$1008),"Dts=H","Dir=H",CONCATENATE("Points=",$B$1009),"Sort=R","Days=A","Fill=B",CONCATENATE("FX=", $B$1007),"cols=14;rows=1")</x:f>
        <x:v>229.8929</x:v>
      </x:c>
      <x:c r="G1279">
        <x:v>-8.9920000000000009</x:v>
      </x:c>
      <x:c r="H1279">
        <x:v>0</x:v>
      </x:c>
      <x:c r="I1279">
        <x:v>-9.0382999999999996</x:v>
      </x:c>
      <x:c r="J1279">
        <x:v>-8.8803000000000001</x:v>
      </x:c>
      <x:c r="K1279">
        <x:v>0</x:v>
      </x:c>
      <x:c r="L1279">
        <x:v>0</x:v>
      </x:c>
      <x:c r="M1279">
        <x:v>-8.7445000000000004</x:v>
      </x:c>
      <x:c r="N1279">
        <x:v>9.5488</x:v>
      </x:c>
      <x:c r="O1279">
        <x:v>-18.627700000000001</x:v>
      </x:c>
      <x:c r="P1279">
        <x:v>0</x:v>
      </x:c>
      <x:c r="Q1279">
        <x:v>-8.9933999999999994</x:v>
      </x:c>
      <x:c r="R1279">
        <x:v>8.8855000000000004</x:v>
      </x:c>
      <x:c r="S1279">
        <x:v>-8.4558</x:v>
      </x:c>
      <x:c r="T1279" t="str">
        <x:f>""</x:f>
        <x:v/>
      </x:c>
      <x:c r="U1279" t="str">
        <x:f>""</x:f>
        <x:v/>
      </x:c>
      <x:c r="V1279" t="str">
        <x:f>""</x:f>
        <x:v/>
      </x:c>
      <x:c r="W1279" t="str">
        <x:f>""</x:f>
        <x:v/>
      </x:c>
      <x:c r="X1279" t="str">
        <x:f>""</x:f>
        <x:v/>
      </x:c>
      <x:c r="Y1279" t="str">
        <x:f>""</x:f>
        <x:v/>
      </x:c>
      <x:c r="Z1279" t="str">
        <x:f>""</x:f>
        <x:v/>
      </x:c>
      <x:c r="AA1279" t="str">
        <x:f>""</x:f>
        <x:v/>
      </x:c>
      <x:c r="AB1279" t="str">
        <x:f>""</x:f>
        <x:v/>
      </x:c>
      <x:c r="AC1279" t="str">
        <x:f>""</x:f>
        <x:v/>
      </x:c>
      <x:c r="AD1279" t="str">
        <x:f>""</x:f>
        <x:v/>
      </x:c>
      <x:c r="AE1279" t="str">
        <x:f>""</x:f>
        <x:v/>
      </x:c>
      <x:c r="AF1279" t="str">
        <x:f>""</x:f>
        <x:v/>
      </x:c>
      <x:c r="AG1279" t="str">
        <x:f>""</x:f>
        <x:v/>
      </x:c>
    </x:row>
    <x:row r="1280" spans="2:33" x14ac:dyDescent="0.25">
      <x:c r="B1280" t="str">
        <x:f>"FHLC US Equity"</x:f>
        <x:v>FHLC US Equity</x:v>
      </x:c>
      <x:c r="C1280" t="str">
        <x:f t="shared" si="56"/>
        <x:v>FD447</x:v>
      </x:c>
      <x:c r="D1280" t="str">
        <x:f t="shared" si="57"/>
        <x:v>FUND_FLOW</x:v>
      </x:c>
      <x:c r="E1280" t="str">
        <x:f t="shared" si="58"/>
        <x:v>Dynamic</x:v>
      </x:c>
      <x:c r="F1280">
        <x:f ca="1">_xll.BDH($B$1280,$C$1280,$B$1010,$B$1011,CONCATENATE("Per=",$B$1008),"Dts=H","Dir=H",CONCATENATE("Points=",$B$1009),"Sort=R","Days=A","Fill=B",CONCATENATE("FX=", $B$1007),"cols=14;rows=1")</x:f>
        <x:v>-38.472200000000001</x:v>
      </x:c>
      <x:c r="G1280">
        <x:v>2.6700000000000002E-2</x:v>
      </x:c>
      <x:c r="H1280">
        <x:v>-0.58599999999999997</x:v>
      </x:c>
      <x:c r="I1280">
        <x:v>-0.42870000000000003</x:v>
      </x:c>
      <x:c r="J1280">
        <x:v>0.1517</x:v>
      </x:c>
      <x:c r="K1280">
        <x:v>-24.604500000000002</x:v>
      </x:c>
      <x:c r="L1280">
        <x:v>-9.3778000000000006</x:v>
      </x:c>
      <x:c r="M1280">
        <x:v>-12.1183</x:v>
      </x:c>
      <x:c r="N1280">
        <x:v>-21.941299999999998</x:v>
      </x:c>
      <x:c r="O1280">
        <x:v>6.3140999999999998</x:v>
      </x:c>
      <x:c r="P1280">
        <x:v>12.8878</x:v>
      </x:c>
      <x:c r="Q1280">
        <x:v>37.307699999999997</x:v>
      </x:c>
      <x:c r="R1280">
        <x:v>29.9678</x:v>
      </x:c>
      <x:c r="S1280">
        <x:v>17.134699999999999</x:v>
      </x:c>
      <x:c r="T1280" t="str">
        <x:f>""</x:f>
        <x:v/>
      </x:c>
      <x:c r="U1280" t="str">
        <x:f>""</x:f>
        <x:v/>
      </x:c>
      <x:c r="V1280" t="str">
        <x:f>""</x:f>
        <x:v/>
      </x:c>
      <x:c r="W1280" t="str">
        <x:f>""</x:f>
        <x:v/>
      </x:c>
      <x:c r="X1280" t="str">
        <x:f>""</x:f>
        <x:v/>
      </x:c>
      <x:c r="Y1280" t="str">
        <x:f>""</x:f>
        <x:v/>
      </x:c>
      <x:c r="Z1280" t="str">
        <x:f>""</x:f>
        <x:v/>
      </x:c>
      <x:c r="AA1280" t="str">
        <x:f>""</x:f>
        <x:v/>
      </x:c>
      <x:c r="AB1280" t="str">
        <x:f>""</x:f>
        <x:v/>
      </x:c>
      <x:c r="AC1280" t="str">
        <x:f>""</x:f>
        <x:v/>
      </x:c>
      <x:c r="AD1280" t="str">
        <x:f>""</x:f>
        <x:v/>
      </x:c>
      <x:c r="AE1280" t="str">
        <x:f>""</x:f>
        <x:v/>
      </x:c>
      <x:c r="AF1280" t="str">
        <x:f>""</x:f>
        <x:v/>
      </x:c>
      <x:c r="AG1280" t="str">
        <x:f>""</x:f>
        <x:v/>
      </x:c>
    </x:row>
    <x:row r="1281" spans="2:33" x14ac:dyDescent="0.25">
      <x:c r="B1281" t="str">
        <x:f>"BBH US Equity"</x:f>
        <x:v>BBH US Equity</x:v>
      </x:c>
      <x:c r="C1281" t="str">
        <x:f t="shared" si="56"/>
        <x:v>FD447</x:v>
      </x:c>
      <x:c r="D1281" t="str">
        <x:f t="shared" si="57"/>
        <x:v>FUND_FLOW</x:v>
      </x:c>
      <x:c r="E1281" t="str">
        <x:f t="shared" si="58"/>
        <x:v>Dynamic</x:v>
      </x:c>
      <x:c r="F1281">
        <x:f ca="1">_xll.BDH($B$1281,$C$1281,$B$1010,$B$1011,CONCATENATE("Per=",$B$1008),"Dts=H","Dir=H",CONCATENATE("Points=",$B$1009),"Sort=R","Days=A","Fill=B",CONCATENATE("FX=", $B$1007),"cols=14;rows=1")</x:f>
        <x:v>0</x:v>
      </x:c>
      <x:c r="G1281">
        <x:v>-7.7337999999999996</x:v>
      </x:c>
      <x:c r="H1281">
        <x:v>-16.034500000000001</x:v>
      </x:c>
      <x:c r="I1281">
        <x:v>-3.9245000000000001</x:v>
      </x:c>
      <x:c r="J1281">
        <x:v>-4.1162999999999998</x:v>
      </x:c>
      <x:c r="K1281">
        <x:v>-3.9691000000000001</x:v>
      </x:c>
      <x:c r="L1281">
        <x:v>8.1006999999999998</x:v>
      </x:c>
      <x:c r="M1281">
        <x:v>-15.6645</x:v>
      </x:c>
      <x:c r="N1281">
        <x:v>0</x:v>
      </x:c>
      <x:c r="O1281">
        <x:v>12.7956</x:v>
      </x:c>
      <x:c r="P1281">
        <x:v>5.3883000000000001</x:v>
      </x:c>
      <x:c r="Q1281">
        <x:v>3.7688999999999999</x:v>
      </x:c>
      <x:c r="R1281">
        <x:v>14.4922</x:v>
      </x:c>
      <x:c r="S1281">
        <x:v>-7.1257000000000001</x:v>
      </x:c>
      <x:c r="T1281" t="str">
        <x:f>""</x:f>
        <x:v/>
      </x:c>
      <x:c r="U1281" t="str">
        <x:f>""</x:f>
        <x:v/>
      </x:c>
      <x:c r="V1281" t="str">
        <x:f>""</x:f>
        <x:v/>
      </x:c>
      <x:c r="W1281" t="str">
        <x:f>""</x:f>
        <x:v/>
      </x:c>
      <x:c r="X1281" t="str">
        <x:f>""</x:f>
        <x:v/>
      </x:c>
      <x:c r="Y1281" t="str">
        <x:f>""</x:f>
        <x:v/>
      </x:c>
      <x:c r="Z1281" t="str">
        <x:f>""</x:f>
        <x:v/>
      </x:c>
      <x:c r="AA1281" t="str">
        <x:f>""</x:f>
        <x:v/>
      </x:c>
      <x:c r="AB1281" t="str">
        <x:f>""</x:f>
        <x:v/>
      </x:c>
      <x:c r="AC1281" t="str">
        <x:f>""</x:f>
        <x:v/>
      </x:c>
      <x:c r="AD1281" t="str">
        <x:f>""</x:f>
        <x:v/>
      </x:c>
      <x:c r="AE1281" t="str">
        <x:f>""</x:f>
        <x:v/>
      </x:c>
      <x:c r="AF1281" t="str">
        <x:f>""</x:f>
        <x:v/>
      </x:c>
      <x:c r="AG1281" t="str">
        <x:f>""</x:f>
        <x:v/>
      </x:c>
    </x:row>
    <x:row r="1282" spans="2:33" x14ac:dyDescent="0.25">
      <x:c r="B1282" t="str">
        <x:f>"RYH US Equity"</x:f>
        <x:v>RYH US Equity</x:v>
      </x:c>
      <x:c r="C1282" t="str">
        <x:f t="shared" si="56"/>
        <x:v>FD447</x:v>
      </x:c>
      <x:c r="D1282" t="str">
        <x:f t="shared" si="57"/>
        <x:v>FUND_FLOW</x:v>
      </x:c>
      <x:c r="E1282" t="str">
        <x:f t="shared" si="58"/>
        <x:v>Dynamic</x:v>
      </x:c>
      <x:c r="F1282">
        <x:f ca="1">_xll.BDH($B$1282,$C$1282,$B$1010,$B$1011,CONCATENATE("Per=",$B$1008),"Dts=H","Dir=H",CONCATENATE("Points=",$B$1009),"Sort=R","Days=A","Fill=B",CONCATENATE("FX=", $B$1007),"cols=14;rows=1")</x:f>
        <x:v>-28.117000000000001</x:v>
      </x:c>
      <x:c r="G1282">
        <x:v>-5.5388999999999999</x:v>
      </x:c>
      <x:c r="H1282">
        <x:v>13.0251</x:v>
      </x:c>
      <x:c r="I1282">
        <x:v>-8.1829000000000001</x:v>
      </x:c>
      <x:c r="J1282">
        <x:v>-0.76639999999999997</x:v>
      </x:c>
      <x:c r="T1282" t="str">
        <x:f>""</x:f>
        <x:v/>
      </x:c>
      <x:c r="U1282" t="str">
        <x:f>""</x:f>
        <x:v/>
      </x:c>
      <x:c r="V1282" t="str">
        <x:f>""</x:f>
        <x:v/>
      </x:c>
      <x:c r="W1282" t="str">
        <x:f>""</x:f>
        <x:v/>
      </x:c>
      <x:c r="X1282" t="str">
        <x:f>""</x:f>
        <x:v/>
      </x:c>
      <x:c r="Y1282" t="str">
        <x:f>""</x:f>
        <x:v/>
      </x:c>
      <x:c r="Z1282" t="str">
        <x:f>""</x:f>
        <x:v/>
      </x:c>
      <x:c r="AA1282" t="str">
        <x:f>""</x:f>
        <x:v/>
      </x:c>
      <x:c r="AB1282" t="str">
        <x:f>""</x:f>
        <x:v/>
      </x:c>
      <x:c r="AC1282" t="str">
        <x:f>""</x:f>
        <x:v/>
      </x:c>
      <x:c r="AD1282" t="str">
        <x:f>""</x:f>
        <x:v/>
      </x:c>
      <x:c r="AE1282" t="str">
        <x:f>""</x:f>
        <x:v/>
      </x:c>
      <x:c r="AF1282" t="str">
        <x:f>""</x:f>
        <x:v/>
      </x:c>
      <x:c r="AG1282" t="str">
        <x:f>""</x:f>
        <x:v/>
      </x:c>
    </x:row>
    <x:row r="1283" spans="2:33" x14ac:dyDescent="0.25">
      <x:c r="B1283" t="str">
        <x:f>"IHF US Equity"</x:f>
        <x:v>IHF US Equity</x:v>
      </x:c>
      <x:c r="C1283" t="str">
        <x:f t="shared" si="56"/>
        <x:v>FD447</x:v>
      </x:c>
      <x:c r="D1283" t="str">
        <x:f t="shared" si="57"/>
        <x:v>FUND_FLOW</x:v>
      </x:c>
      <x:c r="E1283" t="str">
        <x:f t="shared" si="58"/>
        <x:v>Dynamic</x:v>
      </x:c>
      <x:c r="F1283">
        <x:f ca="1">_xll.BDH($B$1283,$C$1283,$B$1010,$B$1011,CONCATENATE("Per=",$B$1008),"Dts=H","Dir=H",CONCATENATE("Points=",$B$1009),"Sort=R","Days=A","Fill=B",CONCATENATE("FX=", $B$1007),"cols=14;rows=1")</x:f>
        <x:v>-12.2721</x:v>
      </x:c>
      <x:c r="G1283">
        <x:v>-37.367199999999997</x:v>
      </x:c>
      <x:c r="H1283">
        <x:v>-25.657699999999998</x:v>
      </x:c>
      <x:c r="I1283">
        <x:v>-50.489199999999997</x:v>
      </x:c>
      <x:c r="J1283">
        <x:v>-63.399000000000001</x:v>
      </x:c>
      <x:c r="K1283">
        <x:v>-36.7271</x:v>
      </x:c>
      <x:c r="L1283">
        <x:v>-76.368899999999996</x:v>
      </x:c>
      <x:c r="M1283">
        <x:v>-135.63329999999999</x:v>
      </x:c>
      <x:c r="N1283">
        <x:v>-26.551300000000001</x:v>
      </x:c>
      <x:c r="O1283">
        <x:v>-39.530299999999997</x:v>
      </x:c>
      <x:c r="P1283">
        <x:v>-120.87179999999999</x:v>
      </x:c>
      <x:c r="Q1283">
        <x:v>27.687999999999999</x:v>
      </x:c>
      <x:c r="R1283">
        <x:v>-13.6249</x:v>
      </x:c>
      <x:c r="S1283">
        <x:v>68.1494</x:v>
      </x:c>
      <x:c r="T1283" t="str">
        <x:f>""</x:f>
        <x:v/>
      </x:c>
      <x:c r="U1283" t="str">
        <x:f>""</x:f>
        <x:v/>
      </x:c>
      <x:c r="V1283" t="str">
        <x:f>""</x:f>
        <x:v/>
      </x:c>
      <x:c r="W1283" t="str">
        <x:f>""</x:f>
        <x:v/>
      </x:c>
      <x:c r="X1283" t="str">
        <x:f>""</x:f>
        <x:v/>
      </x:c>
      <x:c r="Y1283" t="str">
        <x:f>""</x:f>
        <x:v/>
      </x:c>
      <x:c r="Z1283" t="str">
        <x:f>""</x:f>
        <x:v/>
      </x:c>
      <x:c r="AA1283" t="str">
        <x:f>""</x:f>
        <x:v/>
      </x:c>
      <x:c r="AB1283" t="str">
        <x:f>""</x:f>
        <x:v/>
      </x:c>
      <x:c r="AC1283" t="str">
        <x:f>""</x:f>
        <x:v/>
      </x:c>
      <x:c r="AD1283" t="str">
        <x:f>""</x:f>
        <x:v/>
      </x:c>
      <x:c r="AE1283" t="str">
        <x:f>""</x:f>
        <x:v/>
      </x:c>
      <x:c r="AF1283" t="str">
        <x:f>""</x:f>
        <x:v/>
      </x:c>
      <x:c r="AG1283" t="str">
        <x:f>""</x:f>
        <x:v/>
      </x:c>
    </x:row>
    <x:row r="1284" spans="2:33" x14ac:dyDescent="0.25">
      <x:c r="B1284" t="str">
        <x:f>"XPH US Equity"</x:f>
        <x:v>XPH US Equity</x:v>
      </x:c>
      <x:c r="C1284" t="str">
        <x:f t="shared" si="56"/>
        <x:v>FD447</x:v>
      </x:c>
      <x:c r="D1284" t="str">
        <x:f t="shared" si="57"/>
        <x:v>FUND_FLOW</x:v>
      </x:c>
      <x:c r="E1284" t="str">
        <x:f t="shared" si="58"/>
        <x:v>Dynamic</x:v>
      </x:c>
      <x:c r="F1284">
        <x:f ca="1">_xll.BDH($B$1284,$C$1284,$B$1010,$B$1011,CONCATENATE("Per=",$B$1008),"Dts=H","Dir=H",CONCATENATE("Points=",$B$1009),"Sort=R","Days=A","Fill=B",CONCATENATE("FX=", $B$1007),"cols=14;rows=1")</x:f>
        <x:v>-7.7283999999999997</x:v>
      </x:c>
      <x:c r="G1284">
        <x:v>-19.3645</x:v>
      </x:c>
      <x:c r="H1284">
        <x:v>6.5323000000000002</x:v>
      </x:c>
      <x:c r="I1284">
        <x:v>-6.2140000000000004</x:v>
      </x:c>
      <x:c r="J1284">
        <x:v>-10.3001</x:v>
      </x:c>
      <x:c r="K1284">
        <x:v>-3.9258999999999999</x:v>
      </x:c>
      <x:c r="L1284">
        <x:v>48.456200000000003</x:v>
      </x:c>
      <x:c r="M1284">
        <x:v>-27.196999999999999</x:v>
      </x:c>
      <x:c r="N1284">
        <x:v>19.713999999999999</x:v>
      </x:c>
      <x:c r="O1284">
        <x:v>-8.4323999999999995</x:v>
      </x:c>
      <x:c r="P1284">
        <x:v>-0.13980000000000001</x:v>
      </x:c>
      <x:c r="Q1284">
        <x:v>-4.6082999999999998</x:v>
      </x:c>
      <x:c r="R1284">
        <x:v>-2.0438000000000001</x:v>
      </x:c>
      <x:c r="S1284">
        <x:v>-7.6683000000000003</x:v>
      </x:c>
      <x:c r="T1284" t="str">
        <x:f>""</x:f>
        <x:v/>
      </x:c>
      <x:c r="U1284" t="str">
        <x:f>""</x:f>
        <x:v/>
      </x:c>
      <x:c r="V1284" t="str">
        <x:f>""</x:f>
        <x:v/>
      </x:c>
      <x:c r="W1284" t="str">
        <x:f>""</x:f>
        <x:v/>
      </x:c>
      <x:c r="X1284" t="str">
        <x:f>""</x:f>
        <x:v/>
      </x:c>
      <x:c r="Y1284" t="str">
        <x:f>""</x:f>
        <x:v/>
      </x:c>
      <x:c r="Z1284" t="str">
        <x:f>""</x:f>
        <x:v/>
      </x:c>
      <x:c r="AA1284" t="str">
        <x:f>""</x:f>
        <x:v/>
      </x:c>
      <x:c r="AB1284" t="str">
        <x:f>""</x:f>
        <x:v/>
      </x:c>
      <x:c r="AC1284" t="str">
        <x:f>""</x:f>
        <x:v/>
      </x:c>
      <x:c r="AD1284" t="str">
        <x:f>""</x:f>
        <x:v/>
      </x:c>
      <x:c r="AE1284" t="str">
        <x:f>""</x:f>
        <x:v/>
      </x:c>
      <x:c r="AF1284" t="str">
        <x:f>""</x:f>
        <x:v/>
      </x:c>
      <x:c r="AG1284" t="str">
        <x:f>""</x:f>
        <x:v/>
      </x:c>
    </x:row>
    <x:row r="1285" spans="2:33" x14ac:dyDescent="0.25">
      <x:c r="B1285" t="str">
        <x:f>"BIB US Equity"</x:f>
        <x:v>BIB US Equity</x:v>
      </x:c>
      <x:c r="C1285" t="str">
        <x:f t="shared" si="56"/>
        <x:v>FD447</x:v>
      </x:c>
      <x:c r="D1285" t="str">
        <x:f t="shared" si="57"/>
        <x:v>FUND_FLOW</x:v>
      </x:c>
      <x:c r="E1285" t="str">
        <x:f t="shared" si="58"/>
        <x:v>Dynamic</x:v>
      </x:c>
      <x:c r="F1285">
        <x:f ca="1">_xll.BDH($B$1285,$C$1285,$B$1010,$B$1011,CONCATENATE("Per=",$B$1008),"Dts=H","Dir=H",CONCATENATE("Points=",$B$1009),"Sort=R","Days=A","Fill=B",CONCATENATE("FX=", $B$1007),"cols=14;rows=1")</x:f>
        <x:v>-2.2494000000000001</x:v>
      </x:c>
      <x:c r="G1285">
        <x:v>-1.2906</x:v>
      </x:c>
      <x:c r="H1285">
        <x:v>-2.5809000000000002</x:v>
      </x:c>
      <x:c r="I1285">
        <x:v>1.3365</x:v>
      </x:c>
      <x:c r="J1285">
        <x:v>-5.2618</x:v>
      </x:c>
      <x:c r="K1285">
        <x:v>0</x:v>
      </x:c>
      <x:c r="L1285">
        <x:v>-2.7744</x:v>
      </x:c>
      <x:c r="M1285">
        <x:v>-2.7199999999999998E-2</x:v>
      </x:c>
      <x:c r="N1285">
        <x:v>0</x:v>
      </x:c>
      <x:c r="O1285">
        <x:v>6.2119999999999997</x:v>
      </x:c>
      <x:c r="P1285">
        <x:v>-5.7702</x:v>
      </x:c>
      <x:c r="Q1285">
        <x:v>3.0428000000000002</x:v>
      </x:c>
      <x:c r="R1285">
        <x:v>0</x:v>
      </x:c>
      <x:c r="S1285">
        <x:v>-2.7622</x:v>
      </x:c>
      <x:c r="T1285" t="str">
        <x:f>""</x:f>
        <x:v/>
      </x:c>
      <x:c r="U1285" t="str">
        <x:f>""</x:f>
        <x:v/>
      </x:c>
      <x:c r="V1285" t="str">
        <x:f>""</x:f>
        <x:v/>
      </x:c>
      <x:c r="W1285" t="str">
        <x:f>""</x:f>
        <x:v/>
      </x:c>
      <x:c r="X1285" t="str">
        <x:f>""</x:f>
        <x:v/>
      </x:c>
      <x:c r="Y1285" t="str">
        <x:f>""</x:f>
        <x:v/>
      </x:c>
      <x:c r="Z1285" t="str">
        <x:f>""</x:f>
        <x:v/>
      </x:c>
      <x:c r="AA1285" t="str">
        <x:f>""</x:f>
        <x:v/>
      </x:c>
      <x:c r="AB1285" t="str">
        <x:f>""</x:f>
        <x:v/>
      </x:c>
      <x:c r="AC1285" t="str">
        <x:f>""</x:f>
        <x:v/>
      </x:c>
      <x:c r="AD1285" t="str">
        <x:f>""</x:f>
        <x:v/>
      </x:c>
      <x:c r="AE1285" t="str">
        <x:f>""</x:f>
        <x:v/>
      </x:c>
      <x:c r="AF1285" t="str">
        <x:f>""</x:f>
        <x:v/>
      </x:c>
      <x:c r="AG1285" t="str">
        <x:f>""</x:f>
        <x:v/>
      </x:c>
    </x:row>
    <x:row r="1286" spans="2:33" x14ac:dyDescent="0.25">
      <x:c r="B1286" t="str">
        <x:f>"PPH US Equity"</x:f>
        <x:v>PPH US Equity</x:v>
      </x:c>
      <x:c r="C1286" t="str">
        <x:f t="shared" si="56"/>
        <x:v>FD447</x:v>
      </x:c>
      <x:c r="D1286" t="str">
        <x:f t="shared" si="57"/>
        <x:v>FUND_FLOW</x:v>
      </x:c>
      <x:c r="E1286" t="str">
        <x:f t="shared" si="58"/>
        <x:v>Dynamic</x:v>
      </x:c>
      <x:c r="F1286">
        <x:f ca="1">_xll.BDH($B$1286,$C$1286,$B$1010,$B$1011,CONCATENATE("Per=",$B$1008),"Dts=H","Dir=H",CONCATENATE("Points=",$B$1009),"Sort=R","Days=A","Fill=B",CONCATENATE("FX=", $B$1007),"cols=14;rows=1")</x:f>
        <x:v>-26.433599999999998</x:v>
      </x:c>
      <x:c r="G1286">
        <x:v>12.1684</x:v>
      </x:c>
      <x:c r="H1286">
        <x:v>56.803600000000003</x:v>
      </x:c>
      <x:c r="I1286">
        <x:v>-31.048999999999999</x:v>
      </x:c>
      <x:c r="J1286">
        <x:v>-11.8407</x:v>
      </x:c>
      <x:c r="K1286">
        <x:v>4.7244000000000002</x:v>
      </x:c>
      <x:c r="L1286">
        <x:v>19.724699999999999</x:v>
      </x:c>
      <x:c r="M1286">
        <x:v>-37.740200000000002</x:v>
      </x:c>
      <x:c r="N1286">
        <x:v>-97.536199999999994</x:v>
      </x:c>
      <x:c r="O1286">
        <x:v>-78.1053</x:v>
      </x:c>
      <x:c r="P1286">
        <x:v>-7.1875999999999998</x:v>
      </x:c>
      <x:c r="Q1286">
        <x:v>-6.3654000000000002</x:v>
      </x:c>
      <x:c r="R1286">
        <x:v>-0.42799999999999999</x:v>
      </x:c>
      <x:c r="S1286">
        <x:v>19.215800000000002</x:v>
      </x:c>
      <x:c r="T1286" t="str">
        <x:f>""</x:f>
        <x:v/>
      </x:c>
      <x:c r="U1286" t="str">
        <x:f>""</x:f>
        <x:v/>
      </x:c>
      <x:c r="V1286" t="str">
        <x:f>""</x:f>
        <x:v/>
      </x:c>
      <x:c r="W1286" t="str">
        <x:f>""</x:f>
        <x:v/>
      </x:c>
      <x:c r="X1286" t="str">
        <x:f>""</x:f>
        <x:v/>
      </x:c>
      <x:c r="Y1286" t="str">
        <x:f>""</x:f>
        <x:v/>
      </x:c>
      <x:c r="Z1286" t="str">
        <x:f>""</x:f>
        <x:v/>
      </x:c>
      <x:c r="AA1286" t="str">
        <x:f>""</x:f>
        <x:v/>
      </x:c>
      <x:c r="AB1286" t="str">
        <x:f>""</x:f>
        <x:v/>
      </x:c>
      <x:c r="AC1286" t="str">
        <x:f>""</x:f>
        <x:v/>
      </x:c>
      <x:c r="AD1286" t="str">
        <x:f>""</x:f>
        <x:v/>
      </x:c>
      <x:c r="AE1286" t="str">
        <x:f>""</x:f>
        <x:v/>
      </x:c>
      <x:c r="AF1286" t="str">
        <x:f>""</x:f>
        <x:v/>
      </x:c>
      <x:c r="AG1286" t="str">
        <x:f>""</x:f>
        <x:v/>
      </x:c>
    </x:row>
    <x:row r="1287" spans="2:33" x14ac:dyDescent="0.25">
      <x:c r="B1287" t="str">
        <x:f>"LABU US Equity"</x:f>
        <x:v>LABU US Equity</x:v>
      </x:c>
      <x:c r="C1287" t="str">
        <x:f t="shared" si="56"/>
        <x:v>FD447</x:v>
      </x:c>
      <x:c r="D1287" t="str">
        <x:f t="shared" si="57"/>
        <x:v>FUND_FLOW</x:v>
      </x:c>
      <x:c r="E1287" t="str">
        <x:f t="shared" si="58"/>
        <x:v>Dynamic</x:v>
      </x:c>
      <x:c r="F1287">
        <x:f ca="1">_xll.BDH($B$1287,$C$1287,$B$1010,$B$1011,CONCATENATE("Per=",$B$1008),"Dts=H","Dir=H",CONCATENATE("Points=",$B$1009),"Sort=R","Days=A","Fill=B",CONCATENATE("FX=", $B$1007),"cols=14;rows=1")</x:f>
        <x:v>56.437899999999999</x:v>
      </x:c>
      <x:c r="G1287">
        <x:v>69.900599999999997</x:v>
      </x:c>
      <x:c r="H1287">
        <x:v>204.42599999999999</x:v>
      </x:c>
      <x:c r="I1287">
        <x:v>57.240900000000003</x:v>
      </x:c>
      <x:c r="J1287">
        <x:v>-43.099899999999998</x:v>
      </x:c>
      <x:c r="K1287">
        <x:v>-78.660899999999998</x:v>
      </x:c>
      <x:c r="L1287">
        <x:v>-73.163399999999996</x:v>
      </x:c>
      <x:c r="M1287">
        <x:v>263.15359999999998</x:v>
      </x:c>
      <x:c r="N1287">
        <x:v>71.758700000000005</x:v>
      </x:c>
      <x:c r="O1287">
        <x:v>-308.5444</x:v>
      </x:c>
      <x:c r="P1287">
        <x:v>148.4348</x:v>
      </x:c>
      <x:c r="Q1287">
        <x:v>-102.6439</x:v>
      </x:c>
      <x:c r="R1287">
        <x:v>30.255600000000001</x:v>
      </x:c>
      <x:c r="S1287">
        <x:v>186.90539999999999</x:v>
      </x:c>
      <x:c r="T1287" t="str">
        <x:f>""</x:f>
        <x:v/>
      </x:c>
      <x:c r="U1287" t="str">
        <x:f>""</x:f>
        <x:v/>
      </x:c>
      <x:c r="V1287" t="str">
        <x:f>""</x:f>
        <x:v/>
      </x:c>
      <x:c r="W1287" t="str">
        <x:f>""</x:f>
        <x:v/>
      </x:c>
      <x:c r="X1287" t="str">
        <x:f>""</x:f>
        <x:v/>
      </x:c>
      <x:c r="Y1287" t="str">
        <x:f>""</x:f>
        <x:v/>
      </x:c>
      <x:c r="Z1287" t="str">
        <x:f>""</x:f>
        <x:v/>
      </x:c>
      <x:c r="AA1287" t="str">
        <x:f>""</x:f>
        <x:v/>
      </x:c>
      <x:c r="AB1287" t="str">
        <x:f>""</x:f>
        <x:v/>
      </x:c>
      <x:c r="AC1287" t="str">
        <x:f>""</x:f>
        <x:v/>
      </x:c>
      <x:c r="AD1287" t="str">
        <x:f>""</x:f>
        <x:v/>
      </x:c>
      <x:c r="AE1287" t="str">
        <x:f>""</x:f>
        <x:v/>
      </x:c>
      <x:c r="AF1287" t="str">
        <x:f>""</x:f>
        <x:v/>
      </x:c>
      <x:c r="AG1287" t="str">
        <x:f>""</x:f>
        <x:v/>
      </x:c>
    </x:row>
    <x:row r="1288" spans="2:33" x14ac:dyDescent="0.25">
      <x:c r="B1288" t="str">
        <x:f>"PBE US Equity"</x:f>
        <x:v>PBE US Equity</x:v>
      </x:c>
      <x:c r="C1288" t="str">
        <x:f t="shared" si="56"/>
        <x:v>FD447</x:v>
      </x:c>
      <x:c r="D1288" t="str">
        <x:f t="shared" si="57"/>
        <x:v>FUND_FLOW</x:v>
      </x:c>
      <x:c r="E1288" t="str">
        <x:f t="shared" si="58"/>
        <x:v>Dynamic</x:v>
      </x:c>
      <x:c r="F1288">
        <x:f ca="1">_xll.BDH($B$1288,$C$1288,$B$1010,$B$1011,CONCATENATE("Per=",$B$1008),"Dts=H","Dir=H",CONCATENATE("Points=",$B$1009),"Sort=R","Days=A","Fill=B",CONCATENATE("FX=", $B$1007),"cols=14;rows=1")</x:f>
        <x:v>-1.1507000000000001</x:v>
      </x:c>
      <x:c r="G1288">
        <x:v>-0.60560000000000003</x:v>
      </x:c>
      <x:c r="H1288">
        <x:v>-0.60909999999999997</x:v>
      </x:c>
      <x:c r="I1288">
        <x:v>-0.63560000000000005</x:v>
      </x:c>
      <x:c r="J1288">
        <x:v>0.62380000000000002</x:v>
      </x:c>
      <x:c r="K1288">
        <x:v>-3.1013000000000002</x:v>
      </x:c>
      <x:c r="L1288">
        <x:v>0</x:v>
      </x:c>
      <x:c r="M1288">
        <x:v>2.0999999999999999E-3</x:v>
      </x:c>
      <x:c r="N1288">
        <x:v>1.2642</x:v>
      </x:c>
      <x:c r="O1288">
        <x:v>3.2012999999999998</x:v>
      </x:c>
      <x:c r="P1288">
        <x:v>-0.62029999999999996</x:v>
      </x:c>
      <x:c r="Q1288">
        <x:v>1.2638</x:v>
      </x:c>
      <x:c r="R1288">
        <x:v>3.5989</x:v>
      </x:c>
      <x:c r="S1288">
        <x:v>1.1637</x:v>
      </x:c>
      <x:c r="T1288" t="str">
        <x:f>""</x:f>
        <x:v/>
      </x:c>
      <x:c r="U1288" t="str">
        <x:f>""</x:f>
        <x:v/>
      </x:c>
      <x:c r="V1288" t="str">
        <x:f>""</x:f>
        <x:v/>
      </x:c>
      <x:c r="W1288" t="str">
        <x:f>""</x:f>
        <x:v/>
      </x:c>
      <x:c r="X1288" t="str">
        <x:f>""</x:f>
        <x:v/>
      </x:c>
      <x:c r="Y1288" t="str">
        <x:f>""</x:f>
        <x:v/>
      </x:c>
      <x:c r="Z1288" t="str">
        <x:f>""</x:f>
        <x:v/>
      </x:c>
      <x:c r="AA1288" t="str">
        <x:f>""</x:f>
        <x:v/>
      </x:c>
      <x:c r="AB1288" t="str">
        <x:f>""</x:f>
        <x:v/>
      </x:c>
      <x:c r="AC1288" t="str">
        <x:f>""</x:f>
        <x:v/>
      </x:c>
      <x:c r="AD1288" t="str">
        <x:f>""</x:f>
        <x:v/>
      </x:c>
      <x:c r="AE1288" t="str">
        <x:f>""</x:f>
        <x:v/>
      </x:c>
      <x:c r="AF1288" t="str">
        <x:f>""</x:f>
        <x:v/>
      </x:c>
      <x:c r="AG1288" t="str">
        <x:f>""</x:f>
        <x:v/>
      </x:c>
    </x:row>
    <x:row r="1289" spans="2:33" x14ac:dyDescent="0.25">
      <x:c r="B1289" t="str">
        <x:f>"PSCH US Equity"</x:f>
        <x:v>PSCH US Equity</x:v>
      </x:c>
      <x:c r="C1289" t="str">
        <x:f t="shared" si="56"/>
        <x:v>FD447</x:v>
      </x:c>
      <x:c r="D1289" t="str">
        <x:f t="shared" si="57"/>
        <x:v>FUND_FLOW</x:v>
      </x:c>
      <x:c r="E1289" t="str">
        <x:f t="shared" si="58"/>
        <x:v>Dynamic</x:v>
      </x:c>
      <x:c r="F1289">
        <x:f ca="1">_xll.BDH($B$1289,$C$1289,$B$1010,$B$1011,CONCATENATE("Per=",$B$1008),"Dts=H","Dir=H",CONCATENATE("Points=",$B$1009),"Sort=R","Days=A","Fill=B",CONCATENATE("FX=", $B$1007),"cols=14;rows=1")</x:f>
        <x:v>-5.5419999999999998</x:v>
      </x:c>
      <x:c r="G1289">
        <x:v>-12.165100000000001</x:v>
      </x:c>
      <x:c r="H1289">
        <x:v>-4.6513999999999998</x:v>
      </x:c>
      <x:c r="I1289">
        <x:v>-5.3178999999999998</x:v>
      </x:c>
      <x:c r="J1289">
        <x:v>-5.33</x:v>
      </x:c>
      <x:c r="K1289">
        <x:v>-1.3359000000000001</x:v>
      </x:c>
      <x:c r="L1289">
        <x:v>-4.0185000000000004</x:v>
      </x:c>
      <x:c r="M1289">
        <x:v>-16.690999999999999</x:v>
      </x:c>
      <x:c r="N1289">
        <x:v>4.4200000000000003E-2</x:v>
      </x:c>
      <x:c r="O1289">
        <x:v>-5.4743000000000004</x:v>
      </x:c>
      <x:c r="P1289">
        <x:v>4.1996000000000002</x:v>
      </x:c>
      <x:c r="Q1289">
        <x:v>-1.339</x:v>
      </x:c>
      <x:c r="R1289">
        <x:v>-0.15840000000000001</x:v>
      </x:c>
      <x:c r="S1289">
        <x:v>-2.7326000000000001</x:v>
      </x:c>
      <x:c r="T1289" t="str">
        <x:f>""</x:f>
        <x:v/>
      </x:c>
      <x:c r="U1289" t="str">
        <x:f>""</x:f>
        <x:v/>
      </x:c>
      <x:c r="V1289" t="str">
        <x:f>""</x:f>
        <x:v/>
      </x:c>
      <x:c r="W1289" t="str">
        <x:f>""</x:f>
        <x:v/>
      </x:c>
      <x:c r="X1289" t="str">
        <x:f>""</x:f>
        <x:v/>
      </x:c>
      <x:c r="Y1289" t="str">
        <x:f>""</x:f>
        <x:v/>
      </x:c>
      <x:c r="Z1289" t="str">
        <x:f>""</x:f>
        <x:v/>
      </x:c>
      <x:c r="AA1289" t="str">
        <x:f>""</x:f>
        <x:v/>
      </x:c>
      <x:c r="AB1289" t="str">
        <x:f>""</x:f>
        <x:v/>
      </x:c>
      <x:c r="AC1289" t="str">
        <x:f>""</x:f>
        <x:v/>
      </x:c>
      <x:c r="AD1289" t="str">
        <x:f>""</x:f>
        <x:v/>
      </x:c>
      <x:c r="AE1289" t="str">
        <x:f>""</x:f>
        <x:v/>
      </x:c>
      <x:c r="AF1289" t="str">
        <x:f>""</x:f>
        <x:v/>
      </x:c>
      <x:c r="AG1289" t="str">
        <x:f>""</x:f>
        <x:v/>
      </x:c>
    </x:row>
    <x:row r="1290" spans="2:33" x14ac:dyDescent="0.25">
      <x:c r="B1290" t="str">
        <x:f>"CURE US Equity"</x:f>
        <x:v>CURE US Equity</x:v>
      </x:c>
      <x:c r="C1290" t="str">
        <x:f t="shared" si="56"/>
        <x:v>FD447</x:v>
      </x:c>
      <x:c r="D1290" t="str">
        <x:f t="shared" si="57"/>
        <x:v>FUND_FLOW</x:v>
      </x:c>
      <x:c r="E1290" t="str">
        <x:f t="shared" si="58"/>
        <x:v>Dynamic</x:v>
      </x:c>
      <x:c r="F1290">
        <x:f ca="1">_xll.BDH($B$1290,$C$1290,$B$1010,$B$1011,CONCATENATE("Per=",$B$1008),"Dts=H","Dir=H",CONCATENATE("Points=",$B$1009),"Sort=R","Days=A","Fill=B",CONCATENATE("FX=", $B$1007),"cols=14;rows=1")</x:f>
        <x:v>4.0076999999999998</x:v>
      </x:c>
      <x:c r="G1290">
        <x:v>-4.6387</x:v>
      </x:c>
      <x:c r="H1290">
        <x:v>-0.1565</x:v>
      </x:c>
      <x:c r="I1290">
        <x:v>0</x:v>
      </x:c>
      <x:c r="J1290">
        <x:v>4.6276000000000002</x:v>
      </x:c>
      <x:c r="K1290">
        <x:v>4.3061999999999996</x:v>
      </x:c>
      <x:c r="L1290">
        <x:v>-10.277200000000001</x:v>
      </x:c>
      <x:c r="M1290">
        <x:v>13.478</x:v>
      </x:c>
      <x:c r="N1290">
        <x:v>0</x:v>
      </x:c>
      <x:c r="O1290">
        <x:v>0</x:v>
      </x:c>
      <x:c r="P1290">
        <x:v>-5.8959000000000001</x:v>
      </x:c>
      <x:c r="Q1290">
        <x:v>5.4273999999999996</x:v>
      </x:c>
      <x:c r="R1290">
        <x:v>-5.0888999999999998</x:v>
      </x:c>
      <x:c r="S1290">
        <x:v>-0.63790000000000002</x:v>
      </x:c>
      <x:c r="T1290" t="str">
        <x:f>""</x:f>
        <x:v/>
      </x:c>
      <x:c r="U1290" t="str">
        <x:f>""</x:f>
        <x:v/>
      </x:c>
      <x:c r="V1290" t="str">
        <x:f>""</x:f>
        <x:v/>
      </x:c>
      <x:c r="W1290" t="str">
        <x:f>""</x:f>
        <x:v/>
      </x:c>
      <x:c r="X1290" t="str">
        <x:f>""</x:f>
        <x:v/>
      </x:c>
      <x:c r="Y1290" t="str">
        <x:f>""</x:f>
        <x:v/>
      </x:c>
      <x:c r="Z1290" t="str">
        <x:f>""</x:f>
        <x:v/>
      </x:c>
      <x:c r="AA1290" t="str">
        <x:f>""</x:f>
        <x:v/>
      </x:c>
      <x:c r="AB1290" t="str">
        <x:f>""</x:f>
        <x:v/>
      </x:c>
      <x:c r="AC1290" t="str">
        <x:f>""</x:f>
        <x:v/>
      </x:c>
      <x:c r="AD1290" t="str">
        <x:f>""</x:f>
        <x:v/>
      </x:c>
      <x:c r="AE1290" t="str">
        <x:f>""</x:f>
        <x:v/>
      </x:c>
      <x:c r="AF1290" t="str">
        <x:f>""</x:f>
        <x:v/>
      </x:c>
      <x:c r="AG1290" t="str">
        <x:f>""</x:f>
        <x:v/>
      </x:c>
    </x:row>
    <x:row r="1291" spans="2:33" x14ac:dyDescent="0.25">
      <x:c r="B1291" t="str">
        <x:f>"XHE US Equity"</x:f>
        <x:v>XHE US Equity</x:v>
      </x:c>
      <x:c r="C1291" t="str">
        <x:f t="shared" si="56"/>
        <x:v>FD447</x:v>
      </x:c>
      <x:c r="D1291" t="str">
        <x:f t="shared" si="57"/>
        <x:v>FUND_FLOW</x:v>
      </x:c>
      <x:c r="E1291" t="str">
        <x:f t="shared" si="58"/>
        <x:v>Dynamic</x:v>
      </x:c>
      <x:c r="F1291">
        <x:f ca="1">_xll.BDH($B$1291,$C$1291,$B$1010,$B$1011,CONCATENATE("Per=",$B$1008),"Dts=H","Dir=H",CONCATENATE("Points=",$B$1009),"Sort=R","Days=A","Fill=B",CONCATENATE("FX=", $B$1007),"cols=14;rows=1")</x:f>
        <x:v>-37.775300000000001</x:v>
      </x:c>
      <x:c r="G1291">
        <x:v>-35.6372</x:v>
      </x:c>
      <x:c r="H1291">
        <x:v>-100.3879</x:v>
      </x:c>
      <x:c r="I1291">
        <x:v>36.046999999999997</x:v>
      </x:c>
      <x:c r="J1291">
        <x:v>31.330100000000002</x:v>
      </x:c>
      <x:c r="K1291">
        <x:v>19.039300000000001</x:v>
      </x:c>
      <x:c r="L1291">
        <x:v>38.886099999999999</x:v>
      </x:c>
      <x:c r="M1291">
        <x:v>-38.467300000000002</x:v>
      </x:c>
      <x:c r="N1291">
        <x:v>69.038200000000003</x:v>
      </x:c>
      <x:c r="O1291">
        <x:v>50.5518</x:v>
      </x:c>
      <x:c r="P1291">
        <x:v>-11.298400000000001</x:v>
      </x:c>
      <x:c r="Q1291">
        <x:v>-10.9282</x:v>
      </x:c>
      <x:c r="R1291">
        <x:v>6.7542</x:v>
      </x:c>
      <x:c r="S1291">
        <x:v>-4.7568000000000001</x:v>
      </x:c>
      <x:c r="T1291" t="str">
        <x:f>""</x:f>
        <x:v/>
      </x:c>
      <x:c r="U1291" t="str">
        <x:f>""</x:f>
        <x:v/>
      </x:c>
      <x:c r="V1291" t="str">
        <x:f>""</x:f>
        <x:v/>
      </x:c>
      <x:c r="W1291" t="str">
        <x:f>""</x:f>
        <x:v/>
      </x:c>
      <x:c r="X1291" t="str">
        <x:f>""</x:f>
        <x:v/>
      </x:c>
      <x:c r="Y1291" t="str">
        <x:f>""</x:f>
        <x:v/>
      </x:c>
      <x:c r="Z1291" t="str">
        <x:f>""</x:f>
        <x:v/>
      </x:c>
      <x:c r="AA1291" t="str">
        <x:f>""</x:f>
        <x:v/>
      </x:c>
      <x:c r="AB1291" t="str">
        <x:f>""</x:f>
        <x:v/>
      </x:c>
      <x:c r="AC1291" t="str">
        <x:f>""</x:f>
        <x:v/>
      </x:c>
      <x:c r="AD1291" t="str">
        <x:f>""</x:f>
        <x:v/>
      </x:c>
      <x:c r="AE1291" t="str">
        <x:f>""</x:f>
        <x:v/>
      </x:c>
      <x:c r="AF1291" t="str">
        <x:f>""</x:f>
        <x:v/>
      </x:c>
      <x:c r="AG1291" t="str">
        <x:f>""</x:f>
        <x:v/>
      </x:c>
    </x:row>
    <x:row r="1292" spans="2:33" x14ac:dyDescent="0.25">
      <x:c r="B1292" t="str">
        <x:f>"XHS US Equity"</x:f>
        <x:v>XHS US Equity</x:v>
      </x:c>
      <x:c r="C1292" t="str">
        <x:f t="shared" si="56"/>
        <x:v>FD447</x:v>
      </x:c>
      <x:c r="D1292" t="str">
        <x:f t="shared" si="57"/>
        <x:v>FUND_FLOW</x:v>
      </x:c>
      <x:c r="E1292" t="str">
        <x:f t="shared" si="58"/>
        <x:v>Dynamic</x:v>
      </x:c>
      <x:c r="F1292">
        <x:f ca="1">_xll.BDH($B$1292,$C$1292,$B$1010,$B$1011,CONCATENATE("Per=",$B$1008),"Dts=H","Dir=H",CONCATENATE("Points=",$B$1009),"Sort=R","Days=A","Fill=B",CONCATENATE("FX=", $B$1007),"cols=14;rows=1")</x:f>
        <x:v>-8.3195999999999994</x:v>
      </x:c>
      <x:c r="G1292">
        <x:v>-5.1597999999999997</x:v>
      </x:c>
      <x:c r="H1292">
        <x:v>3.6890000000000001</x:v>
      </x:c>
      <x:c r="I1292">
        <x:v>1.8753</x:v>
      </x:c>
      <x:c r="J1292">
        <x:v>-5.4240000000000004</x:v>
      </x:c>
      <x:c r="K1292">
        <x:v>0.1258</x:v>
      </x:c>
      <x:c r="L1292">
        <x:v>-0.89070000000000005</x:v>
      </x:c>
      <x:c r="M1292">
        <x:v>-3.5053000000000001</x:v>
      </x:c>
      <x:c r="N1292">
        <x:v>-1.35E-2</x:v>
      </x:c>
      <x:c r="O1292">
        <x:v>-3.3561000000000001</x:v>
      </x:c>
      <x:c r="P1292">
        <x:v>-17.573799999999999</x:v>
      </x:c>
      <x:c r="Q1292">
        <x:v>-1.7141</x:v>
      </x:c>
      <x:c r="R1292">
        <x:v>11.232699999999999</x:v>
      </x:c>
      <x:c r="S1292">
        <x:v>1.8129</x:v>
      </x:c>
      <x:c r="T1292" t="str">
        <x:f>""</x:f>
        <x:v/>
      </x:c>
      <x:c r="U1292" t="str">
        <x:f>""</x:f>
        <x:v/>
      </x:c>
      <x:c r="V1292" t="str">
        <x:f>""</x:f>
        <x:v/>
      </x:c>
      <x:c r="W1292" t="str">
        <x:f>""</x:f>
        <x:v/>
      </x:c>
      <x:c r="X1292" t="str">
        <x:f>""</x:f>
        <x:v/>
      </x:c>
      <x:c r="Y1292" t="str">
        <x:f>""</x:f>
        <x:v/>
      </x:c>
      <x:c r="Z1292" t="str">
        <x:f>""</x:f>
        <x:v/>
      </x:c>
      <x:c r="AA1292" t="str">
        <x:f>""</x:f>
        <x:v/>
      </x:c>
      <x:c r="AB1292" t="str">
        <x:f>""</x:f>
        <x:v/>
      </x:c>
      <x:c r="AC1292" t="str">
        <x:f>""</x:f>
        <x:v/>
      </x:c>
      <x:c r="AD1292" t="str">
        <x:f>""</x:f>
        <x:v/>
      </x:c>
      <x:c r="AE1292" t="str">
        <x:f>""</x:f>
        <x:v/>
      </x:c>
      <x:c r="AF1292" t="str">
        <x:f>""</x:f>
        <x:v/>
      </x:c>
      <x:c r="AG1292" t="str">
        <x:f>""</x:f>
        <x:v/>
      </x:c>
    </x:row>
    <x:row r="1293" spans="2:33" x14ac:dyDescent="0.25">
      <x:c r="B1293" t="str">
        <x:f>"SBIO US Equity"</x:f>
        <x:v>SBIO US Equity</x:v>
      </x:c>
      <x:c r="C1293" t="str">
        <x:f t="shared" si="56"/>
        <x:v>FD447</x:v>
      </x:c>
      <x:c r="D1293" t="str">
        <x:f t="shared" si="57"/>
        <x:v>FUND_FLOW</x:v>
      </x:c>
      <x:c r="E1293" t="str">
        <x:f t="shared" si="58"/>
        <x:v>Dynamic</x:v>
      </x:c>
      <x:c r="F1293">
        <x:f ca="1">_xll.BDH($B$1293,$C$1293,$B$1010,$B$1011,CONCATENATE("Per=",$B$1008),"Dts=H","Dir=H",CONCATENATE("Points=",$B$1009),"Sort=R","Days=A","Fill=B",CONCATENATE("FX=", $B$1007),"cols=14;rows=1")</x:f>
        <x:v>-3.0665</x:v>
      </x:c>
      <x:c r="G1293">
        <x:v>-0.73950000000000005</x:v>
      </x:c>
      <x:c r="H1293">
        <x:v>-1.5189999999999999</x:v>
      </x:c>
      <x:c r="I1293">
        <x:v>-1.599</x:v>
      </x:c>
      <x:c r="J1293">
        <x:v>-2.4359000000000002</x:v>
      </x:c>
      <x:c r="K1293">
        <x:v>0.81469999999999998</x:v>
      </x:c>
      <x:c r="L1293">
        <x:v>0</x:v>
      </x:c>
      <x:c r="M1293">
        <x:v>-7.0999999999999994E-2</x:v>
      </x:c>
      <x:c r="N1293">
        <x:v>-0.78820000000000001</x:v>
      </x:c>
      <x:c r="O1293">
        <x:v>-2.2515999999999998</x:v>
      </x:c>
      <x:c r="P1293">
        <x:v>-0.74299999999999999</x:v>
      </x:c>
      <x:c r="Q1293">
        <x:v>13.389799999999999</x:v>
      </x:c>
      <x:c r="R1293">
        <x:v>-0.75790000000000002</x:v>
      </x:c>
      <x:c r="S1293">
        <x:v>-3.8046000000000002</x:v>
      </x:c>
      <x:c r="T1293" t="str">
        <x:f>""</x:f>
        <x:v/>
      </x:c>
      <x:c r="U1293" t="str">
        <x:f>""</x:f>
        <x:v/>
      </x:c>
      <x:c r="V1293" t="str">
        <x:f>""</x:f>
        <x:v/>
      </x:c>
      <x:c r="W1293" t="str">
        <x:f>""</x:f>
        <x:v/>
      </x:c>
      <x:c r="X1293" t="str">
        <x:f>""</x:f>
        <x:v/>
      </x:c>
      <x:c r="Y1293" t="str">
        <x:f>""</x:f>
        <x:v/>
      </x:c>
      <x:c r="Z1293" t="str">
        <x:f>""</x:f>
        <x:v/>
      </x:c>
      <x:c r="AA1293" t="str">
        <x:f>""</x:f>
        <x:v/>
      </x:c>
      <x:c r="AB1293" t="str">
        <x:f>""</x:f>
        <x:v/>
      </x:c>
      <x:c r="AC1293" t="str">
        <x:f>""</x:f>
        <x:v/>
      </x:c>
      <x:c r="AD1293" t="str">
        <x:f>""</x:f>
        <x:v/>
      </x:c>
      <x:c r="AE1293" t="str">
        <x:f>""</x:f>
        <x:v/>
      </x:c>
      <x:c r="AF1293" t="str">
        <x:f>""</x:f>
        <x:v/>
      </x:c>
      <x:c r="AG1293" t="str">
        <x:f>""</x:f>
        <x:v/>
      </x:c>
    </x:row>
    <x:row r="1294" spans="2:33" x14ac:dyDescent="0.25">
      <x:c r="B1294" t="str">
        <x:f>"LABD US Equity"</x:f>
        <x:v>LABD US Equity</x:v>
      </x:c>
      <x:c r="C1294" t="str">
        <x:f t="shared" si="56"/>
        <x:v>FD447</x:v>
      </x:c>
      <x:c r="D1294" t="str">
        <x:f t="shared" si="57"/>
        <x:v>FUND_FLOW</x:v>
      </x:c>
      <x:c r="E1294" t="str">
        <x:f t="shared" si="58"/>
        <x:v>Dynamic</x:v>
      </x:c>
      <x:c r="F1294">
        <x:f ca="1">_xll.BDH($B$1294,$C$1294,$B$1010,$B$1011,CONCATENATE("Per=",$B$1008),"Dts=H","Dir=H",CONCATENATE("Points=",$B$1009),"Sort=R","Days=A","Fill=B",CONCATENATE("FX=", $B$1007),"cols=14;rows=1")</x:f>
        <x:v>-20.179400000000001</x:v>
      </x:c>
      <x:c r="G1294">
        <x:v>-24.508800000000001</x:v>
      </x:c>
      <x:c r="H1294">
        <x:v>-23.955300000000001</x:v>
      </x:c>
      <x:c r="I1294">
        <x:v>-20.2501</x:v>
      </x:c>
      <x:c r="J1294">
        <x:v>-2.6053999999999999</x:v>
      </x:c>
      <x:c r="K1294">
        <x:v>27.3567</x:v>
      </x:c>
      <x:c r="L1294">
        <x:v>27.340299999999999</x:v>
      </x:c>
      <x:c r="M1294">
        <x:v>-64.783000000000001</x:v>
      </x:c>
      <x:c r="N1294">
        <x:v>-65.627300000000005</x:v>
      </x:c>
      <x:c r="O1294">
        <x:v>66.881299999999996</x:v>
      </x:c>
      <x:c r="P1294">
        <x:v>2.2271000000000001</x:v>
      </x:c>
      <x:c r="Q1294">
        <x:v>-67.665800000000004</x:v>
      </x:c>
      <x:c r="R1294">
        <x:v>13.7171</x:v>
      </x:c>
      <x:c r="S1294">
        <x:v>7.9443999999999999</x:v>
      </x:c>
      <x:c r="T1294" t="str">
        <x:f>""</x:f>
        <x:v/>
      </x:c>
      <x:c r="U1294" t="str">
        <x:f>""</x:f>
        <x:v/>
      </x:c>
      <x:c r="V1294" t="str">
        <x:f>""</x:f>
        <x:v/>
      </x:c>
      <x:c r="W1294" t="str">
        <x:f>""</x:f>
        <x:v/>
      </x:c>
      <x:c r="X1294" t="str">
        <x:f>""</x:f>
        <x:v/>
      </x:c>
      <x:c r="Y1294" t="str">
        <x:f>""</x:f>
        <x:v/>
      </x:c>
      <x:c r="Z1294" t="str">
        <x:f>""</x:f>
        <x:v/>
      </x:c>
      <x:c r="AA1294" t="str">
        <x:f>""</x:f>
        <x:v/>
      </x:c>
      <x:c r="AB1294" t="str">
        <x:f>""</x:f>
        <x:v/>
      </x:c>
      <x:c r="AC1294" t="str">
        <x:f>""</x:f>
        <x:v/>
      </x:c>
      <x:c r="AD1294" t="str">
        <x:f>""</x:f>
        <x:v/>
      </x:c>
      <x:c r="AE1294" t="str">
        <x:f>""</x:f>
        <x:v/>
      </x:c>
      <x:c r="AF1294" t="str">
        <x:f>""</x:f>
        <x:v/>
      </x:c>
      <x:c r="AG1294" t="str">
        <x:f>""</x:f>
        <x:v/>
      </x:c>
    </x:row>
    <x:row r="1295" spans="2:33" x14ac:dyDescent="0.25">
      <x:c r="B1295" t="str">
        <x:f>"RXL US Equity"</x:f>
        <x:v>RXL US Equity</x:v>
      </x:c>
      <x:c r="C1295" t="str">
        <x:f t="shared" si="56"/>
        <x:v>FD447</x:v>
      </x:c>
      <x:c r="D1295" t="str">
        <x:f t="shared" si="57"/>
        <x:v>FUND_FLOW</x:v>
      </x:c>
      <x:c r="E1295" t="str">
        <x:f t="shared" si="58"/>
        <x:v>Dynamic</x:v>
      </x:c>
      <x:c r="F1295">
        <x:f ca="1">_xll.BDH($B$1295,$C$1295,$B$1010,$B$1011,CONCATENATE("Per=",$B$1008),"Dts=H","Dir=H",CONCATENATE("Points=",$B$1009),"Sort=R","Days=A","Fill=B",CONCATENATE("FX=", $B$1007),"cols=14;rows=1")</x:f>
        <x:v>-2.3837999999999999</x:v>
      </x:c>
      <x:c r="G1295">
        <x:v>-1.7179</x:v>
      </x:c>
      <x:c r="H1295">
        <x:v>1.7811999999999999</x:v>
      </x:c>
      <x:c r="I1295">
        <x:v>1.8540000000000001</x:v>
      </x:c>
      <x:c r="J1295">
        <x:v>-3.9287999999999998</x:v>
      </x:c>
      <x:c r="K1295">
        <x:v>0</x:v>
      </x:c>
      <x:c r="L1295">
        <x:v>0</x:v>
      </x:c>
      <x:c r="M1295">
        <x:v>-16.339300000000001</x:v>
      </x:c>
      <x:c r="N1295">
        <x:v>13.324299999999999</x:v>
      </x:c>
      <x:c r="O1295">
        <x:v>0</x:v>
      </x:c>
      <x:c r="P1295">
        <x:v>-6.9832000000000001</x:v>
      </x:c>
      <x:c r="Q1295">
        <x:v>9.1080000000000005</x:v>
      </x:c>
      <x:c r="R1295">
        <x:v>-9.7335999999999991</x:v>
      </x:c>
      <x:c r="S1295">
        <x:v>-2.2111000000000001</x:v>
      </x:c>
      <x:c r="T1295" t="str">
        <x:f>""</x:f>
        <x:v/>
      </x:c>
      <x:c r="U1295" t="str">
        <x:f>""</x:f>
        <x:v/>
      </x:c>
      <x:c r="V1295" t="str">
        <x:f>""</x:f>
        <x:v/>
      </x:c>
      <x:c r="W1295" t="str">
        <x:f>""</x:f>
        <x:v/>
      </x:c>
      <x:c r="X1295" t="str">
        <x:f>""</x:f>
        <x:v/>
      </x:c>
      <x:c r="Y1295" t="str">
        <x:f>""</x:f>
        <x:v/>
      </x:c>
      <x:c r="Z1295" t="str">
        <x:f>""</x:f>
        <x:v/>
      </x:c>
      <x:c r="AA1295" t="str">
        <x:f>""</x:f>
        <x:v/>
      </x:c>
      <x:c r="AB1295" t="str">
        <x:f>""</x:f>
        <x:v/>
      </x:c>
      <x:c r="AC1295" t="str">
        <x:f>""</x:f>
        <x:v/>
      </x:c>
      <x:c r="AD1295" t="str">
        <x:f>""</x:f>
        <x:v/>
      </x:c>
      <x:c r="AE1295" t="str">
        <x:f>""</x:f>
        <x:v/>
      </x:c>
      <x:c r="AF1295" t="str">
        <x:f>""</x:f>
        <x:v/>
      </x:c>
      <x:c r="AG1295" t="str">
        <x:f>""</x:f>
        <x:v/>
      </x:c>
    </x:row>
    <x:row r="1296" spans="2:33" x14ac:dyDescent="0.25">
      <x:c r="B1296" t="str">
        <x:f>"PTH US Equity"</x:f>
        <x:v>PTH US Equity</x:v>
      </x:c>
      <x:c r="C1296" t="str">
        <x:f t="shared" si="56"/>
        <x:v>FD447</x:v>
      </x:c>
      <x:c r="D1296" t="str">
        <x:f t="shared" si="57"/>
        <x:v>FUND_FLOW</x:v>
      </x:c>
      <x:c r="E1296" t="str">
        <x:f t="shared" si="58"/>
        <x:v>Dynamic</x:v>
      </x:c>
      <x:c r="F1296">
        <x:f ca="1">_xll.BDH($B$1296,$C$1296,$B$1010,$B$1011,CONCATENATE("Per=",$B$1008),"Dts=H","Dir=H",CONCATENATE("Points=",$B$1009),"Sort=R","Days=A","Fill=B",CONCATENATE("FX=", $B$1007),"cols=14;rows=1")</x:f>
        <x:v>-3.7605</x:v>
      </x:c>
      <x:c r="G1296">
        <x:v>-3.1383000000000001</x:v>
      </x:c>
      <x:c r="H1296">
        <x:v>-9.7477</x:v>
      </x:c>
      <x:c r="I1296">
        <x:v>-2.4024999999999999</x:v>
      </x:c>
      <x:c r="J1296">
        <x:v>-6.0754000000000001</x:v>
      </x:c>
      <x:c r="K1296">
        <x:v>-2.2456</x:v>
      </x:c>
      <x:c r="L1296">
        <x:v>-12.698399999999999</x:v>
      </x:c>
      <x:c r="M1296">
        <x:v>-5.6097999999999999</x:v>
      </x:c>
      <x:c r="N1296">
        <x:v>-12.8452</x:v>
      </x:c>
      <x:c r="O1296">
        <x:v>-1.2002999999999999</x:v>
      </x:c>
      <x:c r="P1296">
        <x:v>-9.782</x:v>
      </x:c>
      <x:c r="Q1296">
        <x:v>-5.9488000000000003</x:v>
      </x:c>
      <x:c r="R1296">
        <x:v>-3.6503999999999999</x:v>
      </x:c>
      <x:c r="S1296">
        <x:v>-6.5095000000000001</x:v>
      </x:c>
      <x:c r="T1296" t="str">
        <x:f>""</x:f>
        <x:v/>
      </x:c>
      <x:c r="U1296" t="str">
        <x:f>""</x:f>
        <x:v/>
      </x:c>
      <x:c r="V1296" t="str">
        <x:f>""</x:f>
        <x:v/>
      </x:c>
      <x:c r="W1296" t="str">
        <x:f>""</x:f>
        <x:v/>
      </x:c>
      <x:c r="X1296" t="str">
        <x:f>""</x:f>
        <x:v/>
      </x:c>
      <x:c r="Y1296" t="str">
        <x:f>""</x:f>
        <x:v/>
      </x:c>
      <x:c r="Z1296" t="str">
        <x:f>""</x:f>
        <x:v/>
      </x:c>
      <x:c r="AA1296" t="str">
        <x:f>""</x:f>
        <x:v/>
      </x:c>
      <x:c r="AB1296" t="str">
        <x:f>""</x:f>
        <x:v/>
      </x:c>
      <x:c r="AC1296" t="str">
        <x:f>""</x:f>
        <x:v/>
      </x:c>
      <x:c r="AD1296" t="str">
        <x:f>""</x:f>
        <x:v/>
      </x:c>
      <x:c r="AE1296" t="str">
        <x:f>""</x:f>
        <x:v/>
      </x:c>
      <x:c r="AF1296" t="str">
        <x:f>""</x:f>
        <x:v/>
      </x:c>
      <x:c r="AG1296" t="str">
        <x:f>""</x:f>
        <x:v/>
      </x:c>
    </x:row>
    <x:row r="1297" spans="2:33" x14ac:dyDescent="0.25">
      <x:c r="B1297" t="str">
        <x:f>"IRY US Equity"</x:f>
        <x:v>IRY US Equity</x:v>
      </x:c>
      <x:c r="C1297" t="str">
        <x:f t="shared" si="56"/>
        <x:v>FD447</x:v>
      </x:c>
      <x:c r="D1297" t="str">
        <x:f t="shared" si="57"/>
        <x:v>FUND_FLOW</x:v>
      </x:c>
      <x:c r="E1297" t="str">
        <x:f t="shared" si="58"/>
        <x:v>Dynamic</x:v>
      </x:c>
      <x:c r="F1297" t="str">
        <x:f ca="1">_xll.BDH($B$1297,$C$1297,$B$1010,$B$1011,CONCATENATE("Per=",$B$1008),"Dts=H","Dir=H",CONCATENATE("Points=",$B$1009),"Sort=R","Days=A","Fill=B",CONCATENATE("FX=", $B$1007) )</x:f>
        <x:v/>
      </x:c>
      <x:c r="T1297" t="str">
        <x:f>""</x:f>
        <x:v/>
      </x:c>
      <x:c r="U1297" t="str">
        <x:f>""</x:f>
        <x:v/>
      </x:c>
      <x:c r="V1297" t="str">
        <x:f>""</x:f>
        <x:v/>
      </x:c>
      <x:c r="W1297" t="str">
        <x:f>""</x:f>
        <x:v/>
      </x:c>
      <x:c r="X1297" t="str">
        <x:f>""</x:f>
        <x:v/>
      </x:c>
      <x:c r="Y1297" t="str">
        <x:f>""</x:f>
        <x:v/>
      </x:c>
      <x:c r="Z1297" t="str">
        <x:f>""</x:f>
        <x:v/>
      </x:c>
      <x:c r="AA1297" t="str">
        <x:f>""</x:f>
        <x:v/>
      </x:c>
      <x:c r="AB1297" t="str">
        <x:f>""</x:f>
        <x:v/>
      </x:c>
      <x:c r="AC1297" t="str">
        <x:f>""</x:f>
        <x:v/>
      </x:c>
      <x:c r="AD1297" t="str">
        <x:f>""</x:f>
        <x:v/>
      </x:c>
      <x:c r="AE1297" t="str">
        <x:f>""</x:f>
        <x:v/>
      </x:c>
      <x:c r="AF1297" t="str">
        <x:f>""</x:f>
        <x:v/>
      </x:c>
      <x:c r="AG1297" t="str">
        <x:f>""</x:f>
        <x:v/>
      </x:c>
    </x:row>
    <x:row r="1298" spans="2:33" x14ac:dyDescent="0.25">
      <x:c r="B1298" t="str">
        <x:f>"BIS US Equity"</x:f>
        <x:v>BIS US Equity</x:v>
      </x:c>
      <x:c r="C1298" t="str">
        <x:f t="shared" si="56"/>
        <x:v>FD447</x:v>
      </x:c>
      <x:c r="D1298" t="str">
        <x:f t="shared" si="57"/>
        <x:v>FUND_FLOW</x:v>
      </x:c>
      <x:c r="E1298" t="str">
        <x:f t="shared" si="58"/>
        <x:v>Dynamic</x:v>
      </x:c>
      <x:c r="F1298">
        <x:f ca="1">_xll.BDH($B$1298,$C$1298,$B$1010,$B$1011,CONCATENATE("Per=",$B$1008),"Dts=H","Dir=H",CONCATENATE("Points=",$B$1009),"Sort=R","Days=A","Fill=B",CONCATENATE("FX=", $B$1007),"cols=14;rows=1")</x:f>
        <x:v>-4.0599999999999997E-2</x:v>
      </x:c>
      <x:c r="G1298">
        <x:v>0</x:v>
      </x:c>
      <x:c r="H1298">
        <x:v>-0.5222</x:v>
      </x:c>
      <x:c r="I1298">
        <x:v>0</x:v>
      </x:c>
      <x:c r="J1298">
        <x:v>0</x:v>
      </x:c>
      <x:c r="K1298">
        <x:v>0</x:v>
      </x:c>
      <x:c r="L1298">
        <x:v>-0.96109999999999995</x:v>
      </x:c>
      <x:c r="M1298">
        <x:v>1.6032999999999999</x:v>
      </x:c>
      <x:c r="N1298">
        <x:v>-0.50239999999999996</x:v>
      </x:c>
      <x:c r="O1298">
        <x:v>-1.8836999999999999</x:v>
      </x:c>
      <x:c r="P1298">
        <x:v>1.0326</x:v>
      </x:c>
      <x:c r="Q1298">
        <x:v>0</x:v>
      </x:c>
      <x:c r="R1298">
        <x:v>-1.1536</x:v>
      </x:c>
      <x:c r="S1298">
        <x:v>0</x:v>
      </x:c>
      <x:c r="T1298" t="str">
        <x:f>""</x:f>
        <x:v/>
      </x:c>
      <x:c r="U1298" t="str">
        <x:f>""</x:f>
        <x:v/>
      </x:c>
      <x:c r="V1298" t="str">
        <x:f>""</x:f>
        <x:v/>
      </x:c>
      <x:c r="W1298" t="str">
        <x:f>""</x:f>
        <x:v/>
      </x:c>
      <x:c r="X1298" t="str">
        <x:f>""</x:f>
        <x:v/>
      </x:c>
      <x:c r="Y1298" t="str">
        <x:f>""</x:f>
        <x:v/>
      </x:c>
      <x:c r="Z1298" t="str">
        <x:f>""</x:f>
        <x:v/>
      </x:c>
      <x:c r="AA1298" t="str">
        <x:f>""</x:f>
        <x:v/>
      </x:c>
      <x:c r="AB1298" t="str">
        <x:f>""</x:f>
        <x:v/>
      </x:c>
      <x:c r="AC1298" t="str">
        <x:f>""</x:f>
        <x:v/>
      </x:c>
      <x:c r="AD1298" t="str">
        <x:f>""</x:f>
        <x:v/>
      </x:c>
      <x:c r="AE1298" t="str">
        <x:f>""</x:f>
        <x:v/>
      </x:c>
      <x:c r="AF1298" t="str">
        <x:f>""</x:f>
        <x:v/>
      </x:c>
      <x:c r="AG1298" t="str">
        <x:f>""</x:f>
        <x:v/>
      </x:c>
    </x:row>
    <x:row r="1299" spans="2:33" x14ac:dyDescent="0.25">
      <x:c r="B1299" t="str">
        <x:f>"BBP US Equity"</x:f>
        <x:v>BBP US Equity</x:v>
      </x:c>
      <x:c r="C1299" t="str">
        <x:f t="shared" si="56"/>
        <x:v>FD447</x:v>
      </x:c>
      <x:c r="D1299" t="str">
        <x:f t="shared" si="57"/>
        <x:v>FUND_FLOW</x:v>
      </x:c>
      <x:c r="E1299" t="str">
        <x:f t="shared" si="58"/>
        <x:v>Dynamic</x:v>
      </x:c>
      <x:c r="F1299">
        <x:f ca="1">_xll.BDH($B$1299,$C$1299,$B$1010,$B$1011,CONCATENATE("Per=",$B$1008),"Dts=H","Dir=H",CONCATENATE("Points=",$B$1009),"Sort=R","Days=A","Fill=B",CONCATENATE("FX=", $B$1007),"cols=14;rows=1")</x:f>
        <x:v>0</x:v>
      </x:c>
      <x:c r="G1299">
        <x:v>0</x:v>
      </x:c>
      <x:c r="H1299">
        <x:v>-2.6503999999999999</x:v>
      </x:c>
      <x:c r="I1299">
        <x:v>0</x:v>
      </x:c>
      <x:c r="J1299">
        <x:v>0</x:v>
      </x:c>
      <x:c r="K1299">
        <x:v>0</x:v>
      </x:c>
      <x:c r="L1299">
        <x:v>0</x:v>
      </x:c>
      <x:c r="M1299">
        <x:v>0</x:v>
      </x:c>
      <x:c r="N1299">
        <x:v>0</x:v>
      </x:c>
      <x:c r="O1299">
        <x:v>0</x:v>
      </x:c>
      <x:c r="P1299">
        <x:v>0</x:v>
      </x:c>
      <x:c r="Q1299">
        <x:v>0</x:v>
      </x:c>
      <x:c r="R1299">
        <x:v>0</x:v>
      </x:c>
      <x:c r="S1299">
        <x:v>0</x:v>
      </x:c>
      <x:c r="T1299" t="str">
        <x:f>""</x:f>
        <x:v/>
      </x:c>
      <x:c r="U1299" t="str">
        <x:f>""</x:f>
        <x:v/>
      </x:c>
      <x:c r="V1299" t="str">
        <x:f>""</x:f>
        <x:v/>
      </x:c>
      <x:c r="W1299" t="str">
        <x:f>""</x:f>
        <x:v/>
      </x:c>
      <x:c r="X1299" t="str">
        <x:f>""</x:f>
        <x:v/>
      </x:c>
      <x:c r="Y1299" t="str">
        <x:f>""</x:f>
        <x:v/>
      </x:c>
      <x:c r="Z1299" t="str">
        <x:f>""</x:f>
        <x:v/>
      </x:c>
      <x:c r="AA1299" t="str">
        <x:f>""</x:f>
        <x:v/>
      </x:c>
      <x:c r="AB1299" t="str">
        <x:f>""</x:f>
        <x:v/>
      </x:c>
      <x:c r="AC1299" t="str">
        <x:f>""</x:f>
        <x:v/>
      </x:c>
      <x:c r="AD1299" t="str">
        <x:f>""</x:f>
        <x:v/>
      </x:c>
      <x:c r="AE1299" t="str">
        <x:f>""</x:f>
        <x:v/>
      </x:c>
      <x:c r="AF1299" t="str">
        <x:f>""</x:f>
        <x:v/>
      </x:c>
      <x:c r="AG1299" t="str">
        <x:f>""</x:f>
        <x:v/>
      </x:c>
    </x:row>
    <x:row r="1300" spans="2:33" x14ac:dyDescent="0.25">
      <x:c r="B1300" t="str">
        <x:f>"UBIO US Equity"</x:f>
        <x:v>UBIO US Equity</x:v>
      </x:c>
      <x:c r="C1300" t="str">
        <x:f t="shared" si="56"/>
        <x:v>FD447</x:v>
      </x:c>
      <x:c r="D1300" t="str">
        <x:f t="shared" si="57"/>
        <x:v>FUND_FLOW</x:v>
      </x:c>
      <x:c r="E1300" t="str">
        <x:f t="shared" si="58"/>
        <x:v>Dynamic</x:v>
      </x:c>
      <x:c r="F1300" t="str">
        <x:f ca="1">_xll.BDH($B$1300,$C$1300,$B$1010,$B$1011,CONCATENATE("Per=",$B$1008),"Dts=H","Dir=H",CONCATENATE("Points=",$B$1009),"Sort=R","Days=A","Fill=B",CONCATENATE("FX=", $B$1007) )</x:f>
        <x:v/>
      </x:c>
      <x:c r="T1300" t="str">
        <x:f>""</x:f>
        <x:v/>
      </x:c>
      <x:c r="U1300" t="str">
        <x:f>""</x:f>
        <x:v/>
      </x:c>
      <x:c r="V1300" t="str">
        <x:f>""</x:f>
        <x:v/>
      </x:c>
      <x:c r="W1300" t="str">
        <x:f>""</x:f>
        <x:v/>
      </x:c>
      <x:c r="X1300" t="str">
        <x:f>""</x:f>
        <x:v/>
      </x:c>
      <x:c r="Y1300" t="str">
        <x:f>""</x:f>
        <x:v/>
      </x:c>
      <x:c r="Z1300" t="str">
        <x:f>""</x:f>
        <x:v/>
      </x:c>
      <x:c r="AA1300" t="str">
        <x:f>""</x:f>
        <x:v/>
      </x:c>
      <x:c r="AB1300" t="str">
        <x:f>""</x:f>
        <x:v/>
      </x:c>
      <x:c r="AC1300" t="str">
        <x:f>""</x:f>
        <x:v/>
      </x:c>
      <x:c r="AD1300" t="str">
        <x:f>""</x:f>
        <x:v/>
      </x:c>
      <x:c r="AE1300" t="str">
        <x:f>""</x:f>
        <x:v/>
      </x:c>
      <x:c r="AF1300" t="str">
        <x:f>""</x:f>
        <x:v/>
      </x:c>
      <x:c r="AG1300" t="str">
        <x:f>""</x:f>
        <x:v/>
      </x:c>
    </x:row>
    <x:row r="1301" spans="2:33" x14ac:dyDescent="0.25">
      <x:c r="B1301" t="str">
        <x:f>"JHMH US Equity"</x:f>
        <x:v>JHMH US Equity</x:v>
      </x:c>
      <x:c r="C1301" t="str">
        <x:f t="shared" si="56"/>
        <x:v>FD447</x:v>
      </x:c>
      <x:c r="D1301" t="str">
        <x:f t="shared" si="57"/>
        <x:v>FUND_FLOW</x:v>
      </x:c>
      <x:c r="E1301" t="str">
        <x:f t="shared" si="58"/>
        <x:v>Dynamic</x:v>
      </x:c>
      <x:c r="F1301" t="str">
        <x:f ca="1">_xll.BDH($B$1301,$C$1301,$B$1010,$B$1011,CONCATENATE("Per=",$B$1008),"Dts=H","Dir=H",CONCATENATE("Points=",$B$1009),"Sort=R","Days=A","Fill=B",CONCATENATE("FX=", $B$1007),"cols=14;rows=1")</x:f>
        <x:v/>
      </x:c>
      <x:c r="R1301">
        <x:v>-13.6983</x:v>
      </x:c>
      <x:c r="S1301">
        <x:v>-5.6288</x:v>
      </x:c>
      <x:c r="T1301" t="str">
        <x:f>""</x:f>
        <x:v/>
      </x:c>
      <x:c r="U1301" t="str">
        <x:f>""</x:f>
        <x:v/>
      </x:c>
      <x:c r="V1301" t="str">
        <x:f>""</x:f>
        <x:v/>
      </x:c>
      <x:c r="W1301" t="str">
        <x:f>""</x:f>
        <x:v/>
      </x:c>
      <x:c r="X1301" t="str">
        <x:f>""</x:f>
        <x:v/>
      </x:c>
      <x:c r="Y1301" t="str">
        <x:f>""</x:f>
        <x:v/>
      </x:c>
      <x:c r="Z1301" t="str">
        <x:f>""</x:f>
        <x:v/>
      </x:c>
      <x:c r="AA1301" t="str">
        <x:f>""</x:f>
        <x:v/>
      </x:c>
      <x:c r="AB1301" t="str">
        <x:f>""</x:f>
        <x:v/>
      </x:c>
      <x:c r="AC1301" t="str">
        <x:f>""</x:f>
        <x:v/>
      </x:c>
      <x:c r="AD1301" t="str">
        <x:f>""</x:f>
        <x:v/>
      </x:c>
      <x:c r="AE1301" t="str">
        <x:f>""</x:f>
        <x:v/>
      </x:c>
      <x:c r="AF1301" t="str">
        <x:f>""</x:f>
        <x:v/>
      </x:c>
      <x:c r="AG1301" t="str">
        <x:f>""</x:f>
        <x:v/>
      </x:c>
    </x:row>
    <x:row r="1302" spans="2:33" x14ac:dyDescent="0.25">
      <x:c r="B1302" t="str">
        <x:f>"BBC US Equity"</x:f>
        <x:v>BBC US Equity</x:v>
      </x:c>
      <x:c r="C1302" t="str">
        <x:f t="shared" si="56"/>
        <x:v>FD447</x:v>
      </x:c>
      <x:c r="D1302" t="str">
        <x:f t="shared" si="57"/>
        <x:v>FUND_FLOW</x:v>
      </x:c>
      <x:c r="E1302" t="str">
        <x:f t="shared" si="58"/>
        <x:v>Dynamic</x:v>
      </x:c>
      <x:c r="F1302">
        <x:f ca="1">_xll.BDH($B$1302,$C$1302,$B$1010,$B$1011,CONCATENATE("Per=",$B$1008),"Dts=H","Dir=H",CONCATENATE("Points=",$B$1009),"Sort=R","Days=A","Fill=B",CONCATENATE("FX=", $B$1007),"cols=14;rows=1")</x:f>
        <x:v>0</x:v>
      </x:c>
      <x:c r="G1302">
        <x:v>0</x:v>
      </x:c>
      <x:c r="H1302">
        <x:v>-1.1205000000000001</x:v>
      </x:c>
      <x:c r="I1302">
        <x:v>0</x:v>
      </x:c>
      <x:c r="J1302">
        <x:v>0</x:v>
      </x:c>
      <x:c r="K1302">
        <x:v>0</x:v>
      </x:c>
      <x:c r="L1302">
        <x:v>0</x:v>
      </x:c>
      <x:c r="M1302">
        <x:v>-1.0989</x:v>
      </x:c>
      <x:c r="N1302">
        <x:v>-1.331</x:v>
      </x:c>
      <x:c r="O1302">
        <x:v>-2.5819999999999999</x:v>
      </x:c>
      <x:c r="P1302">
        <x:v>0</x:v>
      </x:c>
      <x:c r="Q1302">
        <x:v>0</x:v>
      </x:c>
      <x:c r="R1302">
        <x:v>0</x:v>
      </x:c>
      <x:c r="S1302">
        <x:v>0</x:v>
      </x:c>
      <x:c r="T1302" t="str">
        <x:f>""</x:f>
        <x:v/>
      </x:c>
      <x:c r="U1302" t="str">
        <x:f>""</x:f>
        <x:v/>
      </x:c>
      <x:c r="V1302" t="str">
        <x:f>""</x:f>
        <x:v/>
      </x:c>
      <x:c r="W1302" t="str">
        <x:f>""</x:f>
        <x:v/>
      </x:c>
      <x:c r="X1302" t="str">
        <x:f>""</x:f>
        <x:v/>
      </x:c>
      <x:c r="Y1302" t="str">
        <x:f>""</x:f>
        <x:v/>
      </x:c>
      <x:c r="Z1302" t="str">
        <x:f>""</x:f>
        <x:v/>
      </x:c>
      <x:c r="AA1302" t="str">
        <x:f>""</x:f>
        <x:v/>
      </x:c>
      <x:c r="AB1302" t="str">
        <x:f>""</x:f>
        <x:v/>
      </x:c>
      <x:c r="AC1302" t="str">
        <x:f>""</x:f>
        <x:v/>
      </x:c>
      <x:c r="AD1302" t="str">
        <x:f>""</x:f>
        <x:v/>
      </x:c>
      <x:c r="AE1302" t="str">
        <x:f>""</x:f>
        <x:v/>
      </x:c>
      <x:c r="AF1302" t="str">
        <x:f>""</x:f>
        <x:v/>
      </x:c>
      <x:c r="AG1302" t="str">
        <x:f>""</x:f>
        <x:v/>
      </x:c>
    </x:row>
    <x:row r="1303" spans="2:33" x14ac:dyDescent="0.25">
      <x:c r="B1303" t="str">
        <x:f>"OLD US Equity"</x:f>
        <x:v>OLD US Equity</x:v>
      </x:c>
      <x:c r="C1303" t="str">
        <x:f t="shared" si="56"/>
        <x:v>FD447</x:v>
      </x:c>
      <x:c r="D1303" t="str">
        <x:f t="shared" si="57"/>
        <x:v>FUND_FLOW</x:v>
      </x:c>
      <x:c r="E1303" t="str">
        <x:f t="shared" si="58"/>
        <x:v>Dynamic</x:v>
      </x:c>
      <x:c r="F1303" t="str">
        <x:f ca="1">_xll.BDH($B$1303,$C$1303,$B$1010,$B$1011,CONCATENATE("Per=",$B$1008),"Dts=H","Dir=H",CONCATENATE("Points=",$B$1009),"Sort=R","Days=A","Fill=B",CONCATENATE("FX=", $B$1007) )</x:f>
        <x:v/>
      </x:c>
      <x:c r="T1303" t="str">
        <x:f>""</x:f>
        <x:v/>
      </x:c>
      <x:c r="U1303" t="str">
        <x:f>""</x:f>
        <x:v/>
      </x:c>
      <x:c r="V1303" t="str">
        <x:f>""</x:f>
        <x:v/>
      </x:c>
      <x:c r="W1303" t="str">
        <x:f>""</x:f>
        <x:v/>
      </x:c>
      <x:c r="X1303" t="str">
        <x:f>""</x:f>
        <x:v/>
      </x:c>
      <x:c r="Y1303" t="str">
        <x:f>""</x:f>
        <x:v/>
      </x:c>
      <x:c r="Z1303" t="str">
        <x:f>""</x:f>
        <x:v/>
      </x:c>
      <x:c r="AA1303" t="str">
        <x:f>""</x:f>
        <x:v/>
      </x:c>
      <x:c r="AB1303" t="str">
        <x:f>""</x:f>
        <x:v/>
      </x:c>
      <x:c r="AC1303" t="str">
        <x:f>""</x:f>
        <x:v/>
      </x:c>
      <x:c r="AD1303" t="str">
        <x:f>""</x:f>
        <x:v/>
      </x:c>
      <x:c r="AE1303" t="str">
        <x:f>""</x:f>
        <x:v/>
      </x:c>
      <x:c r="AF1303" t="str">
        <x:f>""</x:f>
        <x:v/>
      </x:c>
      <x:c r="AG1303" t="str">
        <x:f>""</x:f>
        <x:v/>
      </x:c>
    </x:row>
    <x:row r="1304" spans="2:33" x14ac:dyDescent="0.25">
      <x:c r="B1304" t="str">
        <x:f>"ZBIO US Equity"</x:f>
        <x:v>ZBIO US Equity</x:v>
      </x:c>
      <x:c r="C1304" t="str">
        <x:f t="shared" si="56"/>
        <x:v>FD447</x:v>
      </x:c>
      <x:c r="D1304" t="str">
        <x:f t="shared" si="57"/>
        <x:v>FUND_FLOW</x:v>
      </x:c>
      <x:c r="E1304" t="str">
        <x:f t="shared" si="58"/>
        <x:v>Dynamic</x:v>
      </x:c>
      <x:c r="F1304" t="str">
        <x:f ca="1">_xll.BDH($B$1304,$C$1304,$B$1010,$B$1011,CONCATENATE("Per=",$B$1008),"Dts=H","Dir=H",CONCATENATE("Points=",$B$1009),"Sort=R","Days=A","Fill=B",CONCATENATE("FX=", $B$1007) )</x:f>
        <x:v/>
      </x:c>
      <x:c r="T1304" t="str">
        <x:f>""</x:f>
        <x:v/>
      </x:c>
      <x:c r="U1304" t="str">
        <x:f>""</x:f>
        <x:v/>
      </x:c>
      <x:c r="V1304" t="str">
        <x:f>""</x:f>
        <x:v/>
      </x:c>
      <x:c r="W1304" t="str">
        <x:f>""</x:f>
        <x:v/>
      </x:c>
      <x:c r="X1304" t="str">
        <x:f>""</x:f>
        <x:v/>
      </x:c>
      <x:c r="Y1304" t="str">
        <x:f>""</x:f>
        <x:v/>
      </x:c>
      <x:c r="Z1304" t="str">
        <x:f>""</x:f>
        <x:v/>
      </x:c>
      <x:c r="AA1304" t="str">
        <x:f>""</x:f>
        <x:v/>
      </x:c>
      <x:c r="AB1304" t="str">
        <x:f>""</x:f>
        <x:v/>
      </x:c>
      <x:c r="AC1304" t="str">
        <x:f>""</x:f>
        <x:v/>
      </x:c>
      <x:c r="AD1304" t="str">
        <x:f>""</x:f>
        <x:v/>
      </x:c>
      <x:c r="AE1304" t="str">
        <x:f>""</x:f>
        <x:v/>
      </x:c>
      <x:c r="AF1304" t="str">
        <x:f>""</x:f>
        <x:v/>
      </x:c>
      <x:c r="AG1304" t="str">
        <x:f>""</x:f>
        <x:v/>
      </x:c>
    </x:row>
    <x:row r="1305" spans="2:33" x14ac:dyDescent="0.25">
      <x:c r="B1305" t="str">
        <x:f>"BTEC US Equity"</x:f>
        <x:v>BTEC US Equity</x:v>
      </x:c>
      <x:c r="C1305" t="str">
        <x:f t="shared" si="56"/>
        <x:v>FD447</x:v>
      </x:c>
      <x:c r="D1305" t="str">
        <x:f t="shared" si="57"/>
        <x:v>FUND_FLOW</x:v>
      </x:c>
      <x:c r="E1305" t="str">
        <x:f t="shared" si="58"/>
        <x:v>Dynamic</x:v>
      </x:c>
      <x:c r="F1305">
        <x:f ca="1">_xll.BDH($B$1305,$C$1305,$B$1010,$B$1011,CONCATENATE("Per=",$B$1008),"Dts=H","Dir=H",CONCATENATE("Points=",$B$1009),"Sort=R","Days=A","Fill=B",CONCATENATE("FX=", $B$1007),"cols=14;rows=1")</x:f>
        <x:v>-1.4616</x:v>
      </x:c>
      <x:c r="G1305">
        <x:v>-1.5371999999999999</x:v>
      </x:c>
      <x:c r="H1305">
        <x:v>0</x:v>
      </x:c>
      <x:c r="I1305">
        <x:v>1.7839</x:v>
      </x:c>
      <x:c r="J1305">
        <x:v>0</x:v>
      </x:c>
      <x:c r="K1305">
        <x:v>0</x:v>
      </x:c>
      <x:c r="L1305">
        <x:v>-1.7625</x:v>
      </x:c>
      <x:c r="M1305">
        <x:v>-1.6203000000000001</x:v>
      </x:c>
      <x:c r="N1305">
        <x:v>0</x:v>
      </x:c>
      <x:c r="O1305">
        <x:v>-1.6886000000000001</x:v>
      </x:c>
      <x:c r="P1305">
        <x:v>0</x:v>
      </x:c>
      <x:c r="Q1305">
        <x:v>0</x:v>
      </x:c>
      <x:c r="R1305">
        <x:v>-1.7434000000000001</x:v>
      </x:c>
      <x:c r="S1305">
        <x:v>0</x:v>
      </x:c>
      <x:c r="T1305" t="str">
        <x:f>""</x:f>
        <x:v/>
      </x:c>
      <x:c r="U1305" t="str">
        <x:f>""</x:f>
        <x:v/>
      </x:c>
      <x:c r="V1305" t="str">
        <x:f>""</x:f>
        <x:v/>
      </x:c>
      <x:c r="W1305" t="str">
        <x:f>""</x:f>
        <x:v/>
      </x:c>
      <x:c r="X1305" t="str">
        <x:f>""</x:f>
        <x:v/>
      </x:c>
      <x:c r="Y1305" t="str">
        <x:f>""</x:f>
        <x:v/>
      </x:c>
      <x:c r="Z1305" t="str">
        <x:f>""</x:f>
        <x:v/>
      </x:c>
      <x:c r="AA1305" t="str">
        <x:f>""</x:f>
        <x:v/>
      </x:c>
      <x:c r="AB1305" t="str">
        <x:f>""</x:f>
        <x:v/>
      </x:c>
      <x:c r="AC1305" t="str">
        <x:f>""</x:f>
        <x:v/>
      </x:c>
      <x:c r="AD1305" t="str">
        <x:f>""</x:f>
        <x:v/>
      </x:c>
      <x:c r="AE1305" t="str">
        <x:f>""</x:f>
        <x:v/>
      </x:c>
      <x:c r="AF1305" t="str">
        <x:f>""</x:f>
        <x:v/>
      </x:c>
      <x:c r="AG1305" t="str">
        <x:f>""</x:f>
        <x:v/>
      </x:c>
    </x:row>
    <x:row r="1306" spans="2:33" x14ac:dyDescent="0.25">
      <x:c r="B1306" t="str">
        <x:f>"DXJH US Equity"</x:f>
        <x:v>DXJH US Equity</x:v>
      </x:c>
      <x:c r="C1306" t="str">
        <x:f t="shared" si="56"/>
        <x:v>FD447</x:v>
      </x:c>
      <x:c r="D1306" t="str">
        <x:f t="shared" si="57"/>
        <x:v>FUND_FLOW</x:v>
      </x:c>
      <x:c r="E1306" t="str">
        <x:f t="shared" si="58"/>
        <x:v>Dynamic</x:v>
      </x:c>
      <x:c r="F1306" t="str">
        <x:f ca="1">_xll.BDH($B$1306,$C$1306,$B$1010,$B$1011,CONCATENATE("Per=",$B$1008),"Dts=H","Dir=H",CONCATENATE("Points=",$B$1009),"Sort=R","Days=A","Fill=B",CONCATENATE("FX=", $B$1007) )</x:f>
        <x:v/>
      </x:c>
      <x:c r="T1306" t="str">
        <x:f>""</x:f>
        <x:v/>
      </x:c>
      <x:c r="U1306" t="str">
        <x:f>""</x:f>
        <x:v/>
      </x:c>
      <x:c r="V1306" t="str">
        <x:f>""</x:f>
        <x:v/>
      </x:c>
      <x:c r="W1306" t="str">
        <x:f>""</x:f>
        <x:v/>
      </x:c>
      <x:c r="X1306" t="str">
        <x:f>""</x:f>
        <x:v/>
      </x:c>
      <x:c r="Y1306" t="str">
        <x:f>""</x:f>
        <x:v/>
      </x:c>
      <x:c r="Z1306" t="str">
        <x:f>""</x:f>
        <x:v/>
      </x:c>
      <x:c r="AA1306" t="str">
        <x:f>""</x:f>
        <x:v/>
      </x:c>
      <x:c r="AB1306" t="str">
        <x:f>""</x:f>
        <x:v/>
      </x:c>
      <x:c r="AC1306" t="str">
        <x:f>""</x:f>
        <x:v/>
      </x:c>
      <x:c r="AD1306" t="str">
        <x:f>""</x:f>
        <x:v/>
      </x:c>
      <x:c r="AE1306" t="str">
        <x:f>""</x:f>
        <x:v/>
      </x:c>
      <x:c r="AF1306" t="str">
        <x:f>""</x:f>
        <x:v/>
      </x:c>
      <x:c r="AG1306" t="str">
        <x:f>""</x:f>
        <x:v/>
      </x:c>
    </x:row>
    <x:row r="1307" spans="2:33" x14ac:dyDescent="0.25">
      <x:c r="B1307" t="str">
        <x:f>"GNRX US Equity"</x:f>
        <x:v>GNRX US Equity</x:v>
      </x:c>
      <x:c r="C1307" t="str">
        <x:f t="shared" si="56"/>
        <x:v>FD447</x:v>
      </x:c>
      <x:c r="D1307" t="str">
        <x:f t="shared" si="57"/>
        <x:v>FUND_FLOW</x:v>
      </x:c>
      <x:c r="E1307" t="str">
        <x:f t="shared" si="58"/>
        <x:v>Dynamic</x:v>
      </x:c>
      <x:c r="F1307" t="str">
        <x:f ca="1">_xll.BDH($B$1307,$C$1307,$B$1010,$B$1011,CONCATENATE("Per=",$B$1008),"Dts=H","Dir=H",CONCATENATE("Points=",$B$1009),"Sort=R","Days=A","Fill=B",CONCATENATE("FX=", $B$1007) )</x:f>
        <x:v/>
      </x:c>
      <x:c r="T1307" t="str">
        <x:f>""</x:f>
        <x:v/>
      </x:c>
      <x:c r="U1307" t="str">
        <x:f>""</x:f>
        <x:v/>
      </x:c>
      <x:c r="V1307" t="str">
        <x:f>""</x:f>
        <x:v/>
      </x:c>
      <x:c r="W1307" t="str">
        <x:f>""</x:f>
        <x:v/>
      </x:c>
      <x:c r="X1307" t="str">
        <x:f>""</x:f>
        <x:v/>
      </x:c>
      <x:c r="Y1307" t="str">
        <x:f>""</x:f>
        <x:v/>
      </x:c>
      <x:c r="Z1307" t="str">
        <x:f>""</x:f>
        <x:v/>
      </x:c>
      <x:c r="AA1307" t="str">
        <x:f>""</x:f>
        <x:v/>
      </x:c>
      <x:c r="AB1307" t="str">
        <x:f>""</x:f>
        <x:v/>
      </x:c>
      <x:c r="AC1307" t="str">
        <x:f>""</x:f>
        <x:v/>
      </x:c>
      <x:c r="AD1307" t="str">
        <x:f>""</x:f>
        <x:v/>
      </x:c>
      <x:c r="AE1307" t="str">
        <x:f>""</x:f>
        <x:v/>
      </x:c>
      <x:c r="AF1307" t="str">
        <x:f>""</x:f>
        <x:v/>
      </x:c>
      <x:c r="AG1307" t="str">
        <x:f>""</x:f>
        <x:v/>
      </x:c>
    </x:row>
    <x:row r="1308" spans="2:33" x14ac:dyDescent="0.25">
      <x:c r="B1308" t="str">
        <x:f>"LABS US Equity"</x:f>
        <x:v>LABS US Equity</x:v>
      </x:c>
      <x:c r="C1308" t="str">
        <x:f t="shared" si="56"/>
        <x:v>FD447</x:v>
      </x:c>
      <x:c r="D1308" t="str">
        <x:f t="shared" si="57"/>
        <x:v>FUND_FLOW</x:v>
      </x:c>
      <x:c r="E1308" t="str">
        <x:f t="shared" si="58"/>
        <x:v>Dynamic</x:v>
      </x:c>
      <x:c r="F1308" t="str">
        <x:f ca="1">_xll.BDH($B$1308,$C$1308,$B$1010,$B$1011,CONCATENATE("Per=",$B$1008),"Dts=H","Dir=H",CONCATENATE("Points=",$B$1009),"Sort=R","Days=A","Fill=B",CONCATENATE("FX=", $B$1007) )</x:f>
        <x:v/>
      </x:c>
      <x:c r="T1308" t="str">
        <x:f>""</x:f>
        <x:v/>
      </x:c>
      <x:c r="U1308" t="str">
        <x:f>""</x:f>
        <x:v/>
      </x:c>
      <x:c r="V1308" t="str">
        <x:f>""</x:f>
        <x:v/>
      </x:c>
      <x:c r="W1308" t="str">
        <x:f>""</x:f>
        <x:v/>
      </x:c>
      <x:c r="X1308" t="str">
        <x:f>""</x:f>
        <x:v/>
      </x:c>
      <x:c r="Y1308" t="str">
        <x:f>""</x:f>
        <x:v/>
      </x:c>
      <x:c r="Z1308" t="str">
        <x:f>""</x:f>
        <x:v/>
      </x:c>
      <x:c r="AA1308" t="str">
        <x:f>""</x:f>
        <x:v/>
      </x:c>
      <x:c r="AB1308" t="str">
        <x:f>""</x:f>
        <x:v/>
      </x:c>
      <x:c r="AC1308" t="str">
        <x:f>""</x:f>
        <x:v/>
      </x:c>
      <x:c r="AD1308" t="str">
        <x:f>""</x:f>
        <x:v/>
      </x:c>
      <x:c r="AE1308" t="str">
        <x:f>""</x:f>
        <x:v/>
      </x:c>
      <x:c r="AF1308" t="str">
        <x:f>""</x:f>
        <x:v/>
      </x:c>
      <x:c r="AG1308" t="str">
        <x:f>""</x:f>
        <x:v/>
      </x:c>
    </x:row>
    <x:row r="1309" spans="2:33" x14ac:dyDescent="0.25">
      <x:c r="B1309" t="str">
        <x:f>"HCRF US Equity"</x:f>
        <x:v>HCRF US Equity</x:v>
      </x:c>
      <x:c r="C1309" t="str">
        <x:f t="shared" si="56"/>
        <x:v>FD447</x:v>
      </x:c>
      <x:c r="D1309" t="str">
        <x:f t="shared" si="57"/>
        <x:v>FUND_FLOW</x:v>
      </x:c>
      <x:c r="E1309" t="str">
        <x:f t="shared" si="58"/>
        <x:v>Dynamic</x:v>
      </x:c>
      <x:c r="F1309" t="str">
        <x:f ca="1">_xll.BDH($B$1309,$C$1309,$B$1010,$B$1011,CONCATENATE("Per=",$B$1008),"Dts=H","Dir=H",CONCATENATE("Points=",$B$1009),"Sort=R","Days=A","Fill=B",CONCATENATE("FX=", $B$1007) )</x:f>
        <x:v/>
      </x:c>
      <x:c r="T1309" t="str">
        <x:f>""</x:f>
        <x:v/>
      </x:c>
      <x:c r="U1309" t="str">
        <x:f>""</x:f>
        <x:v/>
      </x:c>
      <x:c r="V1309" t="str">
        <x:f>""</x:f>
        <x:v/>
      </x:c>
      <x:c r="W1309" t="str">
        <x:f>""</x:f>
        <x:v/>
      </x:c>
      <x:c r="X1309" t="str">
        <x:f>""</x:f>
        <x:v/>
      </x:c>
      <x:c r="Y1309" t="str">
        <x:f>""</x:f>
        <x:v/>
      </x:c>
      <x:c r="Z1309" t="str">
        <x:f>""</x:f>
        <x:v/>
      </x:c>
      <x:c r="AA1309" t="str">
        <x:f>""</x:f>
        <x:v/>
      </x:c>
      <x:c r="AB1309" t="str">
        <x:f>""</x:f>
        <x:v/>
      </x:c>
      <x:c r="AC1309" t="str">
        <x:f>""</x:f>
        <x:v/>
      </x:c>
      <x:c r="AD1309" t="str">
        <x:f>""</x:f>
        <x:v/>
      </x:c>
      <x:c r="AE1309" t="str">
        <x:f>""</x:f>
        <x:v/>
      </x:c>
      <x:c r="AF1309" t="str">
        <x:f>""</x:f>
        <x:v/>
      </x:c>
      <x:c r="AG1309" t="str">
        <x:f>""</x:f>
        <x:v/>
      </x:c>
    </x:row>
    <x:row r="1310" spans="2:33" x14ac:dyDescent="0.25">
      <x:c r="B1310" t="str">
        <x:f>"FTXH US Equity"</x:f>
        <x:v>FTXH US Equity</x:v>
      </x:c>
      <x:c r="C1310" t="str">
        <x:f t="shared" si="56"/>
        <x:v>FD447</x:v>
      </x:c>
      <x:c r="D1310" t="str">
        <x:f t="shared" si="57"/>
        <x:v>FUND_FLOW</x:v>
      </x:c>
      <x:c r="E1310" t="str">
        <x:f t="shared" si="58"/>
        <x:v>Dynamic</x:v>
      </x:c>
      <x:c r="F1310">
        <x:f ca="1">_xll.BDH($B$1310,$C$1310,$B$1010,$B$1011,CONCATENATE("Per=",$B$1008),"Dts=H","Dir=H",CONCATENATE("Points=",$B$1009),"Sort=R","Days=A","Fill=B",CONCATENATE("FX=", $B$1007),"cols=14;rows=1")</x:f>
        <x:v>0</x:v>
      </x:c>
      <x:c r="G1310">
        <x:v>-1.3183</x:v>
      </x:c>
      <x:c r="H1310">
        <x:v>0</x:v>
      </x:c>
      <x:c r="I1310">
        <x:v>-3.9580000000000002</x:v>
      </x:c>
      <x:c r="J1310">
        <x:v>-5.2670000000000003</x:v>
      </x:c>
      <x:c r="K1310">
        <x:v>-1.3360000000000001</x:v>
      </x:c>
      <x:c r="L1310">
        <x:v>0</x:v>
      </x:c>
      <x:c r="M1310">
        <x:v>-7.6891999999999996</x:v>
      </x:c>
      <x:c r="N1310">
        <x:v>0</x:v>
      </x:c>
      <x:c r="O1310">
        <x:v>0</x:v>
      </x:c>
      <x:c r="P1310">
        <x:v>2.41E-2</x:v>
      </x:c>
      <x:c r="Q1310">
        <x:v>-1.3257000000000001</x:v>
      </x:c>
      <x:c r="R1310">
        <x:v>2.4527999999999999</x:v>
      </x:c>
      <x:c r="S1310">
        <x:v>0</x:v>
      </x:c>
      <x:c r="T1310" t="str">
        <x:f>""</x:f>
        <x:v/>
      </x:c>
      <x:c r="U1310" t="str">
        <x:f>""</x:f>
        <x:v/>
      </x:c>
      <x:c r="V1310" t="str">
        <x:f>""</x:f>
        <x:v/>
      </x:c>
      <x:c r="W1310" t="str">
        <x:f>""</x:f>
        <x:v/>
      </x:c>
      <x:c r="X1310" t="str">
        <x:f>""</x:f>
        <x:v/>
      </x:c>
      <x:c r="Y1310" t="str">
        <x:f>""</x:f>
        <x:v/>
      </x:c>
      <x:c r="Z1310" t="str">
        <x:f>""</x:f>
        <x:v/>
      </x:c>
      <x:c r="AA1310" t="str">
        <x:f>""</x:f>
        <x:v/>
      </x:c>
      <x:c r="AB1310" t="str">
        <x:f>""</x:f>
        <x:v/>
      </x:c>
      <x:c r="AC1310" t="str">
        <x:f>""</x:f>
        <x:v/>
      </x:c>
      <x:c r="AD1310" t="str">
        <x:f>""</x:f>
        <x:v/>
      </x:c>
      <x:c r="AE1310" t="str">
        <x:f>""</x:f>
        <x:v/>
      </x:c>
      <x:c r="AF1310" t="str">
        <x:f>""</x:f>
        <x:v/>
      </x:c>
      <x:c r="AG1310" t="str">
        <x:f>""</x:f>
        <x:v/>
      </x:c>
    </x:row>
    <x:row r="1311" spans="2:33" x14ac:dyDescent="0.25">
      <x:c r="B1311" t="str">
        <x:f>"XH US Equity"</x:f>
        <x:v>XH US Equity</x:v>
      </x:c>
      <x:c r="C1311" t="str">
        <x:f t="shared" si="56"/>
        <x:v>FD447</x:v>
      </x:c>
      <x:c r="D1311" t="str">
        <x:f t="shared" si="57"/>
        <x:v>FUND_FLOW</x:v>
      </x:c>
      <x:c r="E1311" t="str">
        <x:f t="shared" si="58"/>
        <x:v>Dynamic</x:v>
      </x:c>
      <x:c r="F1311" t="str">
        <x:f ca="1">_xll.BDH($B$1311,$C$1311,$B$1010,$B$1011,CONCATENATE("Per=",$B$1008),"Dts=H","Dir=H",CONCATENATE("Points=",$B$1009),"Sort=R","Days=A","Fill=B",CONCATENATE("FX=", $B$1007) )</x:f>
        <x:v/>
      </x:c>
      <x:c r="T1311" t="str">
        <x:f>""</x:f>
        <x:v/>
      </x:c>
      <x:c r="U1311" t="str">
        <x:f>""</x:f>
        <x:v/>
      </x:c>
      <x:c r="V1311" t="str">
        <x:f>""</x:f>
        <x:v/>
      </x:c>
      <x:c r="W1311" t="str">
        <x:f>""</x:f>
        <x:v/>
      </x:c>
      <x:c r="X1311" t="str">
        <x:f>""</x:f>
        <x:v/>
      </x:c>
      <x:c r="Y1311" t="str">
        <x:f>""</x:f>
        <x:v/>
      </x:c>
      <x:c r="Z1311" t="str">
        <x:f>""</x:f>
        <x:v/>
      </x:c>
      <x:c r="AA1311" t="str">
        <x:f>""</x:f>
        <x:v/>
      </x:c>
      <x:c r="AB1311" t="str">
        <x:f>""</x:f>
        <x:v/>
      </x:c>
      <x:c r="AC1311" t="str">
        <x:f>""</x:f>
        <x:v/>
      </x:c>
      <x:c r="AD1311" t="str">
        <x:f>""</x:f>
        <x:v/>
      </x:c>
      <x:c r="AE1311" t="str">
        <x:f>""</x:f>
        <x:v/>
      </x:c>
      <x:c r="AF1311" t="str">
        <x:f>""</x:f>
        <x:v/>
      </x:c>
      <x:c r="AG1311" t="str">
        <x:f>""</x:f>
        <x:v/>
      </x:c>
    </x:row>
    <x:row r="1312" spans="2:33" x14ac:dyDescent="0.25">
      <x:c r="B1312" t="str">
        <x:f>"IMED US Equity"</x:f>
        <x:v>IMED US Equity</x:v>
      </x:c>
      <x:c r="C1312" t="str">
        <x:f t="shared" si="56"/>
        <x:v>FD447</x:v>
      </x:c>
      <x:c r="D1312" t="str">
        <x:f t="shared" si="57"/>
        <x:v>FUND_FLOW</x:v>
      </x:c>
      <x:c r="E1312" t="str">
        <x:f t="shared" si="58"/>
        <x:v>Dynamic</x:v>
      </x:c>
      <x:c r="F1312" t="str">
        <x:f ca="1">_xll.BDH($B$1312,$C$1312,$B$1010,$B$1011,CONCATENATE("Per=",$B$1008),"Dts=H","Dir=H",CONCATENATE("Points=",$B$1009),"Sort=R","Days=A","Fill=B",CONCATENATE("FX=", $B$1007) )</x:f>
        <x:v/>
      </x:c>
      <x:c r="T1312" t="str">
        <x:f>""</x:f>
        <x:v/>
      </x:c>
      <x:c r="U1312" t="str">
        <x:f>""</x:f>
        <x:v/>
      </x:c>
      <x:c r="V1312" t="str">
        <x:f>""</x:f>
        <x:v/>
      </x:c>
      <x:c r="W1312" t="str">
        <x:f>""</x:f>
        <x:v/>
      </x:c>
      <x:c r="X1312" t="str">
        <x:f>""</x:f>
        <x:v/>
      </x:c>
      <x:c r="Y1312" t="str">
        <x:f>""</x:f>
        <x:v/>
      </x:c>
      <x:c r="Z1312" t="str">
        <x:f>""</x:f>
        <x:v/>
      </x:c>
      <x:c r="AA1312" t="str">
        <x:f>""</x:f>
        <x:v/>
      </x:c>
      <x:c r="AB1312" t="str">
        <x:f>""</x:f>
        <x:v/>
      </x:c>
      <x:c r="AC1312" t="str">
        <x:f>""</x:f>
        <x:v/>
      </x:c>
      <x:c r="AD1312" t="str">
        <x:f>""</x:f>
        <x:v/>
      </x:c>
      <x:c r="AE1312" t="str">
        <x:f>""</x:f>
        <x:v/>
      </x:c>
      <x:c r="AF1312" t="str">
        <x:f>""</x:f>
        <x:v/>
      </x:c>
      <x:c r="AG1312" t="str">
        <x:f>""</x:f>
        <x:v/>
      </x:c>
    </x:row>
    <x:row r="1313" spans="2:33" x14ac:dyDescent="0.25">
      <x:c r="B1313" t="str">
        <x:f>"RXD US Equity"</x:f>
        <x:v>RXD US Equity</x:v>
      </x:c>
      <x:c r="C1313" t="str">
        <x:f t="shared" si="56"/>
        <x:v>FD447</x:v>
      </x:c>
      <x:c r="D1313" t="str">
        <x:f t="shared" si="57"/>
        <x:v>FUND_FLOW</x:v>
      </x:c>
      <x:c r="E1313" t="str">
        <x:f t="shared" si="58"/>
        <x:v>Dynamic</x:v>
      </x:c>
      <x:c r="F1313">
        <x:f ca="1">_xll.BDH($B$1313,$C$1313,$B$1010,$B$1011,CONCATENATE("Per=",$B$1008),"Dts=H","Dir=H",CONCATENATE("Points=",$B$1009),"Sort=R","Days=A","Fill=B",CONCATENATE("FX=", $B$1007),"cols=14;rows=1")</x:f>
        <x:v>0.5726</x:v>
      </x:c>
      <x:c r="G1313">
        <x:v>0.13100000000000001</x:v>
      </x:c>
      <x:c r="H1313">
        <x:v>0</x:v>
      </x:c>
      <x:c r="I1313">
        <x:v>-0.38150000000000001</x:v>
      </x:c>
      <x:c r="J1313">
        <x:v>-0.44040000000000001</x:v>
      </x:c>
      <x:c r="K1313">
        <x:v>0</x:v>
      </x:c>
      <x:c r="L1313">
        <x:v>-0.95399999999999996</x:v>
      </x:c>
      <x:c r="M1313">
        <x:v>1.3673</x:v>
      </x:c>
      <x:c r="N1313">
        <x:v>-0.33360000000000001</x:v>
      </x:c>
      <x:c r="O1313">
        <x:v>0.29749999999999999</x:v>
      </x:c>
      <x:c r="P1313">
        <x:v>0</x:v>
      </x:c>
      <x:c r="Q1313">
        <x:v>-1.8526</x:v>
      </x:c>
      <x:c r="R1313">
        <x:v>-4.6075999999999997</x:v>
      </x:c>
      <x:c r="S1313">
        <x:v>2.3736999999999999</x:v>
      </x:c>
      <x:c r="T1313" t="str">
        <x:f>""</x:f>
        <x:v/>
      </x:c>
      <x:c r="U1313" t="str">
        <x:f>""</x:f>
        <x:v/>
      </x:c>
      <x:c r="V1313" t="str">
        <x:f>""</x:f>
        <x:v/>
      </x:c>
      <x:c r="W1313" t="str">
        <x:f>""</x:f>
        <x:v/>
      </x:c>
      <x:c r="X1313" t="str">
        <x:f>""</x:f>
        <x:v/>
      </x:c>
      <x:c r="Y1313" t="str">
        <x:f>""</x:f>
        <x:v/>
      </x:c>
      <x:c r="Z1313" t="str">
        <x:f>""</x:f>
        <x:v/>
      </x:c>
      <x:c r="AA1313" t="str">
        <x:f>""</x:f>
        <x:v/>
      </x:c>
      <x:c r="AB1313" t="str">
        <x:f>""</x:f>
        <x:v/>
      </x:c>
      <x:c r="AC1313" t="str">
        <x:f>""</x:f>
        <x:v/>
      </x:c>
      <x:c r="AD1313" t="str">
        <x:f>""</x:f>
        <x:v/>
      </x:c>
      <x:c r="AE1313" t="str">
        <x:f>""</x:f>
        <x:v/>
      </x:c>
      <x:c r="AF1313" t="str">
        <x:f>""</x:f>
        <x:v/>
      </x:c>
      <x:c r="AG1313" t="str">
        <x:f>""</x:f>
        <x:v/>
      </x:c>
    </x:row>
    <x:row r="1314" spans="2:33" x14ac:dyDescent="0.25">
      <x:c r="B1314" t="str">
        <x:f>"SICK US Equity"</x:f>
        <x:v>SICK US Equity</x:v>
      </x:c>
      <x:c r="C1314" t="str">
        <x:f t="shared" si="56"/>
        <x:v>FD447</x:v>
      </x:c>
      <x:c r="D1314" t="str">
        <x:f t="shared" si="57"/>
        <x:v>FUND_FLOW</x:v>
      </x:c>
      <x:c r="E1314" t="str">
        <x:f t="shared" si="58"/>
        <x:v>Dynamic</x:v>
      </x:c>
      <x:c r="F1314" t="str">
        <x:f ca="1">_xll.BDH($B$1314,$C$1314,$B$1010,$B$1011,CONCATENATE("Per=",$B$1008),"Dts=H","Dir=H",CONCATENATE("Points=",$B$1009),"Sort=R","Days=A","Fill=B",CONCATENATE("FX=", $B$1007) )</x:f>
        <x:v/>
      </x:c>
      <x:c r="T1314" t="str">
        <x:f>""</x:f>
        <x:v/>
      </x:c>
      <x:c r="U1314" t="str">
        <x:f>""</x:f>
        <x:v/>
      </x:c>
      <x:c r="V1314" t="str">
        <x:f>""</x:f>
        <x:v/>
      </x:c>
      <x:c r="W1314" t="str">
        <x:f>""</x:f>
        <x:v/>
      </x:c>
      <x:c r="X1314" t="str">
        <x:f>""</x:f>
        <x:v/>
      </x:c>
      <x:c r="Y1314" t="str">
        <x:f>""</x:f>
        <x:v/>
      </x:c>
      <x:c r="Z1314" t="str">
        <x:f>""</x:f>
        <x:v/>
      </x:c>
      <x:c r="AA1314" t="str">
        <x:f>""</x:f>
        <x:v/>
      </x:c>
      <x:c r="AB1314" t="str">
        <x:f>""</x:f>
        <x:v/>
      </x:c>
      <x:c r="AC1314" t="str">
        <x:f>""</x:f>
        <x:v/>
      </x:c>
      <x:c r="AD1314" t="str">
        <x:f>""</x:f>
        <x:v/>
      </x:c>
      <x:c r="AE1314" t="str">
        <x:f>""</x:f>
        <x:v/>
      </x:c>
      <x:c r="AF1314" t="str">
        <x:f>""</x:f>
        <x:v/>
      </x:c>
      <x:c r="AG1314" t="str">
        <x:f>""</x:f>
        <x:v/>
      </x:c>
    </x:row>
    <x:row r="1315" spans="2:33" x14ac:dyDescent="0.25">
      <x:c r="B1315" t="str">
        <x:f>"IEHS US Equity"</x:f>
        <x:v>IEHS US Equity</x:v>
      </x:c>
      <x:c r="C1315" t="str">
        <x:f t="shared" si="56"/>
        <x:v>FD447</x:v>
      </x:c>
      <x:c r="D1315" t="str">
        <x:f t="shared" si="57"/>
        <x:v>FUND_FLOW</x:v>
      </x:c>
      <x:c r="E1315" t="str">
        <x:f t="shared" si="58"/>
        <x:v>Dynamic</x:v>
      </x:c>
      <x:c r="F1315" t="str">
        <x:f ca="1">_xll.BDH($B$1315,$C$1315,$B$1010,$B$1011,CONCATENATE("Per=",$B$1008),"Dts=H","Dir=H",CONCATENATE("Points=",$B$1009),"Sort=R","Days=A","Fill=B",CONCATENATE("FX=", $B$1007),"cols=14;rows=1")</x:f>
        <x:v/>
      </x:c>
      <x:c r="T1315" t="str">
        <x:f>""</x:f>
        <x:v/>
      </x:c>
      <x:c r="U1315" t="str">
        <x:f>""</x:f>
        <x:v/>
      </x:c>
      <x:c r="V1315" t="str">
        <x:f>""</x:f>
        <x:v/>
      </x:c>
      <x:c r="W1315" t="str">
        <x:f>""</x:f>
        <x:v/>
      </x:c>
      <x:c r="X1315" t="str">
        <x:f>""</x:f>
        <x:v/>
      </x:c>
      <x:c r="Y1315" t="str">
        <x:f>""</x:f>
        <x:v/>
      </x:c>
      <x:c r="Z1315" t="str">
        <x:f>""</x:f>
        <x:v/>
      </x:c>
      <x:c r="AA1315" t="str">
        <x:f>""</x:f>
        <x:v/>
      </x:c>
      <x:c r="AB1315" t="str">
        <x:f>""</x:f>
        <x:v/>
      </x:c>
      <x:c r="AC1315" t="str">
        <x:f>""</x:f>
        <x:v/>
      </x:c>
      <x:c r="AD1315" t="str">
        <x:f>""</x:f>
        <x:v/>
      </x:c>
      <x:c r="AE1315" t="str">
        <x:f>""</x:f>
        <x:v/>
      </x:c>
      <x:c r="AF1315" t="str">
        <x:f>""</x:f>
        <x:v/>
      </x:c>
      <x:c r="AG1315" t="str">
        <x:f>""</x:f>
        <x:v/>
      </x:c>
    </x:row>
    <x:row r="1316" spans="2:33" x14ac:dyDescent="0.25">
      <x:c r="B1316" t="str">
        <x:f>"IEIH US Equity"</x:f>
        <x:v>IEIH US Equity</x:v>
      </x:c>
      <x:c r="C1316" t="str">
        <x:f t="shared" si="56"/>
        <x:v>FD447</x:v>
      </x:c>
      <x:c r="D1316" t="str">
        <x:f t="shared" si="57"/>
        <x:v>FUND_FLOW</x:v>
      </x:c>
      <x:c r="E1316" t="str">
        <x:f t="shared" si="58"/>
        <x:v>Dynamic</x:v>
      </x:c>
      <x:c r="F1316" t="str">
        <x:f ca="1">_xll.BDH($B$1316,$C$1316,$B$1010,$B$1011,CONCATENATE("Per=",$B$1008),"Dts=H","Dir=H",CONCATENATE("Points=",$B$1009),"Sort=R","Days=A","Fill=B",CONCATENATE("FX=", $B$1007),"cols=14;rows=1")</x:f>
        <x:v/>
      </x:c>
      <x:c r="T1316" t="str">
        <x:f>""</x:f>
        <x:v/>
      </x:c>
      <x:c r="U1316" t="str">
        <x:f>""</x:f>
        <x:v/>
      </x:c>
      <x:c r="V1316" t="str">
        <x:f>""</x:f>
        <x:v/>
      </x:c>
      <x:c r="W1316" t="str">
        <x:f>""</x:f>
        <x:v/>
      </x:c>
      <x:c r="X1316" t="str">
        <x:f>""</x:f>
        <x:v/>
      </x:c>
      <x:c r="Y1316" t="str">
        <x:f>""</x:f>
        <x:v/>
      </x:c>
      <x:c r="Z1316" t="str">
        <x:f>""</x:f>
        <x:v/>
      </x:c>
      <x:c r="AA1316" t="str">
        <x:f>""</x:f>
        <x:v/>
      </x:c>
      <x:c r="AB1316" t="str">
        <x:f>""</x:f>
        <x:v/>
      </x:c>
      <x:c r="AC1316" t="str">
        <x:f>""</x:f>
        <x:v/>
      </x:c>
      <x:c r="AD1316" t="str">
        <x:f>""</x:f>
        <x:v/>
      </x:c>
      <x:c r="AE1316" t="str">
        <x:f>""</x:f>
        <x:v/>
      </x:c>
      <x:c r="AF1316" t="str">
        <x:f>""</x:f>
        <x:v/>
      </x:c>
      <x:c r="AG1316" t="str">
        <x:f>""</x:f>
        <x:v/>
      </x:c>
    </x:row>
    <x:row r="1317" spans="2:33" x14ac:dyDescent="0.25">
      <x:c r="B1317" t="str">
        <x:f>"KURE US Equity"</x:f>
        <x:v>KURE US Equity</x:v>
      </x:c>
      <x:c r="C1317" t="str">
        <x:f t="shared" si="56"/>
        <x:v>FD447</x:v>
      </x:c>
      <x:c r="D1317" t="str">
        <x:f t="shared" si="57"/>
        <x:v>FUND_FLOW</x:v>
      </x:c>
      <x:c r="E1317" t="str">
        <x:f t="shared" si="58"/>
        <x:v>Dynamic</x:v>
      </x:c>
      <x:c r="F1317">
        <x:f ca="1">_xll.BDH($B$1317,$C$1317,$B$1010,$B$1011,CONCATENATE("Per=",$B$1008),"Dts=H","Dir=H",CONCATENATE("Points=",$B$1009),"Sort=R","Days=A","Fill=B",CONCATENATE("FX=", $B$1007),"cols=14;rows=1")</x:f>
        <x:v>-2.6970000000000001</x:v>
      </x:c>
      <x:c r="G1317">
        <x:v>-1.8009999999999999</x:v>
      </x:c>
      <x:c r="H1317">
        <x:v>-4.3365</x:v>
      </x:c>
      <x:c r="I1317">
        <x:v>0</x:v>
      </x:c>
      <x:c r="J1317">
        <x:v>0</x:v>
      </x:c>
      <x:c r="K1317">
        <x:v>-5.9429999999999996</x:v>
      </x:c>
      <x:c r="L1317">
        <x:v>-3.2505000000000002</x:v>
      </x:c>
      <x:c r="M1317">
        <x:v>0</x:v>
      </x:c>
      <x:c r="N1317">
        <x:v>0</x:v>
      </x:c>
      <x:c r="O1317">
        <x:v>-8.2270000000000003</x:v>
      </x:c>
      <x:c r="P1317">
        <x:v>4.298</x:v>
      </x:c>
      <x:c r="Q1317">
        <x:v>-2.0190000000000001</x:v>
      </x:c>
      <x:c r="R1317">
        <x:v>-3.589</x:v>
      </x:c>
      <x:c r="S1317">
        <x:v>-2.7044999999999999</x:v>
      </x:c>
      <x:c r="T1317" t="str">
        <x:f>""</x:f>
        <x:v/>
      </x:c>
      <x:c r="U1317" t="str">
        <x:f>""</x:f>
        <x:v/>
      </x:c>
      <x:c r="V1317" t="str">
        <x:f>""</x:f>
        <x:v/>
      </x:c>
      <x:c r="W1317" t="str">
        <x:f>""</x:f>
        <x:v/>
      </x:c>
      <x:c r="X1317" t="str">
        <x:f>""</x:f>
        <x:v/>
      </x:c>
      <x:c r="Y1317" t="str">
        <x:f>""</x:f>
        <x:v/>
      </x:c>
      <x:c r="Z1317" t="str">
        <x:f>""</x:f>
        <x:v/>
      </x:c>
      <x:c r="AA1317" t="str">
        <x:f>""</x:f>
        <x:v/>
      </x:c>
      <x:c r="AB1317" t="str">
        <x:f>""</x:f>
        <x:v/>
      </x:c>
      <x:c r="AC1317" t="str">
        <x:f>""</x:f>
        <x:v/>
      </x:c>
      <x:c r="AD1317" t="str">
        <x:f>""</x:f>
        <x:v/>
      </x:c>
      <x:c r="AE1317" t="str">
        <x:f>""</x:f>
        <x:v/>
      </x:c>
      <x:c r="AF1317" t="str">
        <x:f>""</x:f>
        <x:v/>
      </x:c>
      <x:c r="AG1317" t="str">
        <x:f>""</x:f>
        <x:v/>
      </x:c>
    </x:row>
    <x:row r="1318" spans="2:33" x14ac:dyDescent="0.25">
      <x:c r="B1318" t="str">
        <x:f>"PILL US Equity"</x:f>
        <x:v>PILL US Equity</x:v>
      </x:c>
      <x:c r="C1318" t="str">
        <x:f t="shared" si="56"/>
        <x:v>FD447</x:v>
      </x:c>
      <x:c r="D1318" t="str">
        <x:f t="shared" si="57"/>
        <x:v>FUND_FLOW</x:v>
      </x:c>
      <x:c r="E1318" t="str">
        <x:f t="shared" si="58"/>
        <x:v>Dynamic</x:v>
      </x:c>
      <x:c r="F1318">
        <x:f ca="1">_xll.BDH($B$1318,$C$1318,$B$1010,$B$1011,CONCATENATE("Per=",$B$1008),"Dts=H","Dir=H",CONCATENATE("Points=",$B$1009),"Sort=R","Days=A","Fill=B",CONCATENATE("FX=", $B$1007),"cols=14;rows=1")</x:f>
        <x:v>1.1808000000000001</x:v>
      </x:c>
      <x:c r="G1318">
        <x:v>0.64270000000000005</x:v>
      </x:c>
      <x:c r="H1318">
        <x:v>0.45889999999999997</x:v>
      </x:c>
      <x:c r="I1318">
        <x:v>0.40589999999999998</x:v>
      </x:c>
      <x:c r="J1318">
        <x:v>0.41160000000000002</x:v>
      </x:c>
      <x:c r="K1318">
        <x:v>0.73570000000000002</x:v>
      </x:c>
      <x:c r="L1318">
        <x:v>0</x:v>
      </x:c>
      <x:c r="M1318">
        <x:v>0</x:v>
      </x:c>
      <x:c r="N1318">
        <x:v>0</x:v>
      </x:c>
      <x:c r="O1318">
        <x:v>-0.48070000000000002</x:v>
      </x:c>
      <x:c r="P1318">
        <x:v>0</x:v>
      </x:c>
      <x:c r="Q1318">
        <x:v>0</x:v>
      </x:c>
      <x:c r="R1318">
        <x:v>-3.15E-2</x:v>
      </x:c>
      <x:c r="S1318">
        <x:v>-0.54239999999999999</x:v>
      </x:c>
      <x:c r="T1318" t="str">
        <x:f>""</x:f>
        <x:v/>
      </x:c>
      <x:c r="U1318" t="str">
        <x:f>""</x:f>
        <x:v/>
      </x:c>
      <x:c r="V1318" t="str">
        <x:f>""</x:f>
        <x:v/>
      </x:c>
      <x:c r="W1318" t="str">
        <x:f>""</x:f>
        <x:v/>
      </x:c>
      <x:c r="X1318" t="str">
        <x:f>""</x:f>
        <x:v/>
      </x:c>
      <x:c r="Y1318" t="str">
        <x:f>""</x:f>
        <x:v/>
      </x:c>
      <x:c r="Z1318" t="str">
        <x:f>""</x:f>
        <x:v/>
      </x:c>
      <x:c r="AA1318" t="str">
        <x:f>""</x:f>
        <x:v/>
      </x:c>
      <x:c r="AB1318" t="str">
        <x:f>""</x:f>
        <x:v/>
      </x:c>
      <x:c r="AC1318" t="str">
        <x:f>""</x:f>
        <x:v/>
      </x:c>
      <x:c r="AD1318" t="str">
        <x:f>""</x:f>
        <x:v/>
      </x:c>
      <x:c r="AE1318" t="str">
        <x:f>""</x:f>
        <x:v/>
      </x:c>
      <x:c r="AF1318" t="str">
        <x:f>""</x:f>
        <x:v/>
      </x:c>
      <x:c r="AG1318" t="str">
        <x:f>""</x:f>
        <x:v/>
      </x:c>
    </x:row>
    <x:row r="1319" spans="2:33" x14ac:dyDescent="0.25">
      <x:c r="B1319" t="str">
        <x:f>"CHNA US Equity"</x:f>
        <x:v>CHNA US Equity</x:v>
      </x:c>
      <x:c r="C1319" t="str">
        <x:f t="shared" si="56"/>
        <x:v>FD447</x:v>
      </x:c>
      <x:c r="D1319" t="str">
        <x:f t="shared" si="57"/>
        <x:v>FUND_FLOW</x:v>
      </x:c>
      <x:c r="E1319" t="str">
        <x:f t="shared" si="58"/>
        <x:v>Dynamic</x:v>
      </x:c>
      <x:c r="F1319">
        <x:f ca="1">_xll.BDH($B$1319,$C$1319,$B$1010,$B$1011,CONCATENATE("Per=",$B$1008),"Dts=H","Dir=H",CONCATENATE("Points=",$B$1009),"Sort=R","Days=A","Fill=B",CONCATENATE("FX=", $B$1007),"cols=14;rows=1")</x:f>
        <x:v>0</x:v>
      </x:c>
      <x:c r="G1319">
        <x:v>0</x:v>
      </x:c>
      <x:c r="H1319">
        <x:v>0</x:v>
      </x:c>
      <x:c r="I1319">
        <x:v>0</x:v>
      </x:c>
      <x:c r="J1319">
        <x:v>0</x:v>
      </x:c>
      <x:c r="K1319">
        <x:v>0</x:v>
      </x:c>
      <x:c r="L1319">
        <x:v>0</x:v>
      </x:c>
      <x:c r="M1319">
        <x:v>-0.45669999999999999</x:v>
      </x:c>
      <x:c r="N1319">
        <x:v>0</x:v>
      </x:c>
      <x:c r="O1319">
        <x:v>0</x:v>
      </x:c>
      <x:c r="P1319">
        <x:v>0</x:v>
      </x:c>
      <x:c r="Q1319">
        <x:v>0</x:v>
      </x:c>
      <x:c r="R1319">
        <x:v>0</x:v>
      </x:c>
      <x:c r="S1319">
        <x:v>0</x:v>
      </x:c>
      <x:c r="T1319" t="str">
        <x:f>""</x:f>
        <x:v/>
      </x:c>
      <x:c r="U1319" t="str">
        <x:f>""</x:f>
        <x:v/>
      </x:c>
      <x:c r="V1319" t="str">
        <x:f>""</x:f>
        <x:v/>
      </x:c>
      <x:c r="W1319" t="str">
        <x:f>""</x:f>
        <x:v/>
      </x:c>
      <x:c r="X1319" t="str">
        <x:f>""</x:f>
        <x:v/>
      </x:c>
      <x:c r="Y1319" t="str">
        <x:f>""</x:f>
        <x:v/>
      </x:c>
      <x:c r="Z1319" t="str">
        <x:f>""</x:f>
        <x:v/>
      </x:c>
      <x:c r="AA1319" t="str">
        <x:f>""</x:f>
        <x:v/>
      </x:c>
      <x:c r="AB1319" t="str">
        <x:f>""</x:f>
        <x:v/>
      </x:c>
      <x:c r="AC1319" t="str">
        <x:f>""</x:f>
        <x:v/>
      </x:c>
      <x:c r="AD1319" t="str">
        <x:f>""</x:f>
        <x:v/>
      </x:c>
      <x:c r="AE1319" t="str">
        <x:f>""</x:f>
        <x:v/>
      </x:c>
      <x:c r="AF1319" t="str">
        <x:f>""</x:f>
        <x:v/>
      </x:c>
      <x:c r="AG1319" t="str">
        <x:f>""</x:f>
        <x:v/>
      </x:c>
    </x:row>
    <x:row r="1320" spans="2:33" x14ac:dyDescent="0.25">
      <x:c r="B1320" t="str">
        <x:f>"KMED US Equity"</x:f>
        <x:v>KMED US Equity</x:v>
      </x:c>
      <x:c r="C1320" t="str">
        <x:f t="shared" si="56"/>
        <x:v>FD447</x:v>
      </x:c>
      <x:c r="D1320" t="str">
        <x:f t="shared" si="57"/>
        <x:v>FUND_FLOW</x:v>
      </x:c>
      <x:c r="E1320" t="str">
        <x:f t="shared" si="58"/>
        <x:v>Dynamic</x:v>
      </x:c>
      <x:c r="F1320">
        <x:f ca="1">_xll.BDH($B$1320,$C$1320,$B$1010,$B$1011,CONCATENATE("Per=",$B$1008),"Dts=H","Dir=H",CONCATENATE("Points=",$B$1009),"Sort=R","Days=A","Fill=B",CONCATENATE("FX=", $B$1007),"cols=14;rows=1")</x:f>
        <x:v>0</x:v>
      </x:c>
      <x:c r="G1320">
        <x:v>0</x:v>
      </x:c>
      <x:c r="H1320">
        <x:v>0</x:v>
      </x:c>
      <x:c r="I1320">
        <x:v>0</x:v>
      </x:c>
      <x:c r="J1320">
        <x:v>0</x:v>
      </x:c>
      <x:c r="K1320">
        <x:v>0</x:v>
      </x:c>
      <x:c r="L1320">
        <x:v>0</x:v>
      </x:c>
      <x:c r="M1320">
        <x:v>0</x:v>
      </x:c>
      <x:c r="N1320">
        <x:v>0</x:v>
      </x:c>
      <x:c r="O1320">
        <x:v>0</x:v>
      </x:c>
      <x:c r="P1320">
        <x:v>0</x:v>
      </x:c>
      <x:c r="Q1320">
        <x:v>0</x:v>
      </x:c>
      <x:c r="R1320">
        <x:v>0</x:v>
      </x:c>
      <x:c r="S1320">
        <x:v>0</x:v>
      </x:c>
      <x:c r="T1320" t="str">
        <x:f>""</x:f>
        <x:v/>
      </x:c>
      <x:c r="U1320" t="str">
        <x:f>""</x:f>
        <x:v/>
      </x:c>
      <x:c r="V1320" t="str">
        <x:f>""</x:f>
        <x:v/>
      </x:c>
      <x:c r="W1320" t="str">
        <x:f>""</x:f>
        <x:v/>
      </x:c>
      <x:c r="X1320" t="str">
        <x:f>""</x:f>
        <x:v/>
      </x:c>
      <x:c r="Y1320" t="str">
        <x:f>""</x:f>
        <x:v/>
      </x:c>
      <x:c r="Z1320" t="str">
        <x:f>""</x:f>
        <x:v/>
      </x:c>
      <x:c r="AA1320" t="str">
        <x:f>""</x:f>
        <x:v/>
      </x:c>
      <x:c r="AB1320" t="str">
        <x:f>""</x:f>
        <x:v/>
      </x:c>
      <x:c r="AC1320" t="str">
        <x:f>""</x:f>
        <x:v/>
      </x:c>
      <x:c r="AD1320" t="str">
        <x:f>""</x:f>
        <x:v/>
      </x:c>
      <x:c r="AE1320" t="str">
        <x:f>""</x:f>
        <x:v/>
      </x:c>
      <x:c r="AF1320" t="str">
        <x:f>""</x:f>
        <x:v/>
      </x:c>
      <x:c r="AG1320" t="str">
        <x:f>""</x:f>
        <x:v/>
      </x:c>
    </x:row>
    <x:row r="1321" spans="2:33" x14ac:dyDescent="0.25">
      <x:c r="B1321" t="str">
        <x:f>"CHIH US Equity"</x:f>
        <x:v>CHIH US Equity</x:v>
      </x:c>
      <x:c r="C1321" t="str">
        <x:f t="shared" si="56"/>
        <x:v>FD447</x:v>
      </x:c>
      <x:c r="D1321" t="str">
        <x:f t="shared" si="57"/>
        <x:v>FUND_FLOW</x:v>
      </x:c>
      <x:c r="E1321" t="str">
        <x:f t="shared" si="58"/>
        <x:v>Dynamic</x:v>
      </x:c>
      <x:c r="F1321">
        <x:f ca="1">_xll.BDH($B$1321,$C$1321,$B$1010,$B$1011,CONCATENATE("Per=",$B$1008),"Dts=H","Dir=H",CONCATENATE("Points=",$B$1009),"Sort=R","Days=A","Fill=B",CONCATENATE("FX=", $B$1007),"cols=14;rows=1")</x:f>
        <x:v>0</x:v>
      </x:c>
      <x:c r="G1321">
        <x:v>0</x:v>
      </x:c>
      <x:c r="H1321">
        <x:v>-0.1396</x:v>
      </x:c>
      <x:c r="I1321">
        <x:v>1.2861</x:v>
      </x:c>
      <x:c r="J1321">
        <x:v>0</x:v>
      </x:c>
      <x:c r="K1321">
        <x:v>0</x:v>
      </x:c>
      <x:c r="L1321">
        <x:v>-1.0077</x:v>
      </x:c>
      <x:c r="M1321">
        <x:v>0</x:v>
      </x:c>
      <x:c r="N1321">
        <x:v>0</x:v>
      </x:c>
      <x:c r="O1321">
        <x:v>0</x:v>
      </x:c>
      <x:c r="P1321">
        <x:v>0</x:v>
      </x:c>
      <x:c r="Q1321">
        <x:v>0</x:v>
      </x:c>
      <x:c r="R1321">
        <x:v>0</x:v>
      </x:c>
      <x:c r="S1321">
        <x:v>0</x:v>
      </x:c>
      <x:c r="T1321" t="str">
        <x:f>""</x:f>
        <x:v/>
      </x:c>
      <x:c r="U1321" t="str">
        <x:f>""</x:f>
        <x:v/>
      </x:c>
      <x:c r="V1321" t="str">
        <x:f>""</x:f>
        <x:v/>
      </x:c>
      <x:c r="W1321" t="str">
        <x:f>""</x:f>
        <x:v/>
      </x:c>
      <x:c r="X1321" t="str">
        <x:f>""</x:f>
        <x:v/>
      </x:c>
      <x:c r="Y1321" t="str">
        <x:f>""</x:f>
        <x:v/>
      </x:c>
      <x:c r="Z1321" t="str">
        <x:f>""</x:f>
        <x:v/>
      </x:c>
      <x:c r="AA1321" t="str">
        <x:f>""</x:f>
        <x:v/>
      </x:c>
      <x:c r="AB1321" t="str">
        <x:f>""</x:f>
        <x:v/>
      </x:c>
      <x:c r="AC1321" t="str">
        <x:f>""</x:f>
        <x:v/>
      </x:c>
      <x:c r="AD1321" t="str">
        <x:f>""</x:f>
        <x:v/>
      </x:c>
      <x:c r="AE1321" t="str">
        <x:f>""</x:f>
        <x:v/>
      </x:c>
      <x:c r="AF1321" t="str">
        <x:f>""</x:f>
        <x:v/>
      </x:c>
      <x:c r="AG1321" t="str">
        <x:f>""</x:f>
        <x:v/>
      </x:c>
    </x:row>
    <x:row r="1322" spans="2:33" x14ac:dyDescent="0.25">
      <x:c r="B1322" t="str">
        <x:f>"HTEC US Equity"</x:f>
        <x:v>HTEC US Equity</x:v>
      </x:c>
      <x:c r="C1322" t="str">
        <x:f t="shared" si="56"/>
        <x:v>FD447</x:v>
      </x:c>
      <x:c r="D1322" t="str">
        <x:f t="shared" si="57"/>
        <x:v>FUND_FLOW</x:v>
      </x:c>
      <x:c r="E1322" t="str">
        <x:f t="shared" si="58"/>
        <x:v>Dynamic</x:v>
      </x:c>
      <x:c r="F1322">
        <x:f ca="1">_xll.BDH($B$1322,$C$1322,$B$1010,$B$1011,CONCATENATE("Per=",$B$1008),"Dts=H","Dir=H",CONCATENATE("Points=",$B$1009),"Sort=R","Days=A","Fill=B",CONCATENATE("FX=", $B$1007),"cols=14;rows=1")</x:f>
        <x:v>-0.58450000000000002</x:v>
      </x:c>
      <x:c r="G1322">
        <x:v>-12.373699999999999</x:v>
      </x:c>
      <x:c r="H1322">
        <x:v>0</x:v>
      </x:c>
      <x:c r="I1322">
        <x:v>0</x:v>
      </x:c>
      <x:c r="J1322">
        <x:v>-4.5545</x:v>
      </x:c>
      <x:c r="K1322">
        <x:v>0</x:v>
      </x:c>
      <x:c r="L1322">
        <x:v>-5.3235000000000001</x:v>
      </x:c>
      <x:c r="M1322">
        <x:v>-5.7629000000000001</x:v>
      </x:c>
      <x:c r="N1322">
        <x:v>0</x:v>
      </x:c>
      <x:c r="O1322">
        <x:v>2.9523999999999999</x:v>
      </x:c>
      <x:c r="P1322">
        <x:v>0.7409</x:v>
      </x:c>
      <x:c r="Q1322">
        <x:v>0</x:v>
      </x:c>
      <x:c r="R1322">
        <x:v>-2.8477000000000001</x:v>
      </x:c>
      <x:c r="S1322">
        <x:v>-1.4128000000000001</x:v>
      </x:c>
      <x:c r="T1322" t="str">
        <x:f>""</x:f>
        <x:v/>
      </x:c>
      <x:c r="U1322" t="str">
        <x:f>""</x:f>
        <x:v/>
      </x:c>
      <x:c r="V1322" t="str">
        <x:f>""</x:f>
        <x:v/>
      </x:c>
      <x:c r="W1322" t="str">
        <x:f>""</x:f>
        <x:v/>
      </x:c>
      <x:c r="X1322" t="str">
        <x:f>""</x:f>
        <x:v/>
      </x:c>
      <x:c r="Y1322" t="str">
        <x:f>""</x:f>
        <x:v/>
      </x:c>
      <x:c r="Z1322" t="str">
        <x:f>""</x:f>
        <x:v/>
      </x:c>
      <x:c r="AA1322" t="str">
        <x:f>""</x:f>
        <x:v/>
      </x:c>
      <x:c r="AB1322" t="str">
        <x:f>""</x:f>
        <x:v/>
      </x:c>
      <x:c r="AC1322" t="str">
        <x:f>""</x:f>
        <x:v/>
      </x:c>
      <x:c r="AD1322" t="str">
        <x:f>""</x:f>
        <x:v/>
      </x:c>
      <x:c r="AE1322" t="str">
        <x:f>""</x:f>
        <x:v/>
      </x:c>
      <x:c r="AF1322" t="str">
        <x:f>""</x:f>
        <x:v/>
      </x:c>
      <x:c r="AG1322" t="str">
        <x:f>""</x:f>
        <x:v/>
      </x:c>
    </x:row>
    <x:row r="1323" spans="2:33" x14ac:dyDescent="0.25">
      <x:c r="B1323" t="str">
        <x:f>"IBBQ US Equity"</x:f>
        <x:v>IBBQ US Equity</x:v>
      </x:c>
      <x:c r="C1323" t="str">
        <x:f t="shared" si="56"/>
        <x:v>FD447</x:v>
      </x:c>
      <x:c r="D1323" t="str">
        <x:f t="shared" si="57"/>
        <x:v>FUND_FLOW</x:v>
      </x:c>
      <x:c r="E1323" t="str">
        <x:f t="shared" si="58"/>
        <x:v>Dynamic</x:v>
      </x:c>
      <x:c r="F1323">
        <x:f ca="1">_xll.BDH($B$1323,$C$1323,$B$1010,$B$1011,CONCATENATE("Per=",$B$1008),"Dts=H","Dir=H",CONCATENATE("Points=",$B$1009),"Sort=R","Days=A","Fill=B",CONCATENATE("FX=", $B$1007),"cols=14;rows=1")</x:f>
        <x:v>0</x:v>
      </x:c>
      <x:c r="G1323">
        <x:v>0</x:v>
      </x:c>
      <x:c r="H1323">
        <x:v>0</x:v>
      </x:c>
      <x:c r="I1323">
        <x:v>0</x:v>
      </x:c>
      <x:c r="J1323">
        <x:v>-2.8572000000000002</x:v>
      </x:c>
      <x:c r="K1323">
        <x:v>0.42730000000000001</x:v>
      </x:c>
      <x:c r="L1323">
        <x:v>0</x:v>
      </x:c>
      <x:c r="M1323">
        <x:v>0.1565</x:v>
      </x:c>
      <x:c r="N1323">
        <x:v>0</x:v>
      </x:c>
      <x:c r="O1323">
        <x:v>0</x:v>
      </x:c>
      <x:c r="P1323">
        <x:v>0</x:v>
      </x:c>
      <x:c r="Q1323">
        <x:v>-1.0396000000000001</x:v>
      </x:c>
      <x:c r="R1323">
        <x:v>-0.95809999999999995</x:v>
      </x:c>
      <x:c r="S1323">
        <x:v>0</x:v>
      </x:c>
      <x:c r="T1323" t="str">
        <x:f>""</x:f>
        <x:v/>
      </x:c>
      <x:c r="U1323" t="str">
        <x:f>""</x:f>
        <x:v/>
      </x:c>
      <x:c r="V1323" t="str">
        <x:f>""</x:f>
        <x:v/>
      </x:c>
      <x:c r="W1323" t="str">
        <x:f>""</x:f>
        <x:v/>
      </x:c>
      <x:c r="X1323" t="str">
        <x:f>""</x:f>
        <x:v/>
      </x:c>
      <x:c r="Y1323" t="str">
        <x:f>""</x:f>
        <x:v/>
      </x:c>
      <x:c r="Z1323" t="str">
        <x:f>""</x:f>
        <x:v/>
      </x:c>
      <x:c r="AA1323" t="str">
        <x:f>""</x:f>
        <x:v/>
      </x:c>
      <x:c r="AB1323" t="str">
        <x:f>""</x:f>
        <x:v/>
      </x:c>
      <x:c r="AC1323" t="str">
        <x:f>""</x:f>
        <x:v/>
      </x:c>
      <x:c r="AD1323" t="str">
        <x:f>""</x:f>
        <x:v/>
      </x:c>
      <x:c r="AE1323" t="str">
        <x:f>""</x:f>
        <x:v/>
      </x:c>
      <x:c r="AF1323" t="str">
        <x:f>""</x:f>
        <x:v/>
      </x:c>
      <x:c r="AG1323" t="str">
        <x:f>""</x:f>
        <x:v/>
      </x:c>
    </x:row>
    <x:row r="1324" spans="2:33" x14ac:dyDescent="0.25">
      <x:c r="B1324" t="str">
        <x:f>"HYLG US Equity"</x:f>
        <x:v>HYLG US Equity</x:v>
      </x:c>
      <x:c r="C1324" t="str">
        <x:f t="shared" si="56"/>
        <x:v>FD447</x:v>
      </x:c>
      <x:c r="D1324" t="str">
        <x:f t="shared" si="57"/>
        <x:v>FUND_FLOW</x:v>
      </x:c>
      <x:c r="E1324" t="str">
        <x:f t="shared" si="58"/>
        <x:v>Dynamic</x:v>
      </x:c>
      <x:c r="F1324">
        <x:f ca="1">_xll.BDH($B$1324,$C$1324,$B$1010,$B$1011,CONCATENATE("Per=",$B$1008),"Dts=H","Dir=H",CONCATENATE("Points=",$B$1009),"Sort=R","Days=A","Fill=B",CONCATENATE("FX=", $B$1007),"cols=14;rows=1")</x:f>
        <x:v>0</x:v>
      </x:c>
      <x:c r="G1324">
        <x:v>0</x:v>
      </x:c>
      <x:c r="H1324">
        <x:v>0</x:v>
      </x:c>
      <x:c r="I1324">
        <x:v>0</x:v>
      </x:c>
      <x:c r="J1324">
        <x:v>0</x:v>
      </x:c>
      <x:c r="K1324">
        <x:v>0</x:v>
      </x:c>
      <x:c r="L1324">
        <x:v>0.24809999999999999</x:v>
      </x:c>
      <x:c r="M1324">
        <x:v>0</x:v>
      </x:c>
      <x:c r="N1324">
        <x:v>0</x:v>
      </x:c>
      <x:c r="O1324">
        <x:v>0</x:v>
      </x:c>
      <x:c r="P1324">
        <x:v>0</x:v>
      </x:c>
      <x:c r="Q1324">
        <x:v>0</x:v>
      </x:c>
      <x:c r="T1324" t="str">
        <x:f>""</x:f>
        <x:v/>
      </x:c>
      <x:c r="U1324" t="str">
        <x:f>""</x:f>
        <x:v/>
      </x:c>
      <x:c r="V1324" t="str">
        <x:f>""</x:f>
        <x:v/>
      </x:c>
      <x:c r="W1324" t="str">
        <x:f>""</x:f>
        <x:v/>
      </x:c>
      <x:c r="X1324" t="str">
        <x:f>""</x:f>
        <x:v/>
      </x:c>
      <x:c r="Y1324" t="str">
        <x:f>""</x:f>
        <x:v/>
      </x:c>
      <x:c r="Z1324" t="str">
        <x:f>""</x:f>
        <x:v/>
      </x:c>
      <x:c r="AA1324" t="str">
        <x:f>""</x:f>
        <x:v/>
      </x:c>
      <x:c r="AB1324" t="str">
        <x:f>""</x:f>
        <x:v/>
      </x:c>
      <x:c r="AC1324" t="str">
        <x:f>""</x:f>
        <x:v/>
      </x:c>
      <x:c r="AD1324" t="str">
        <x:f>""</x:f>
        <x:v/>
      </x:c>
      <x:c r="AE1324" t="str">
        <x:f>""</x:f>
        <x:v/>
      </x:c>
      <x:c r="AF1324" t="str">
        <x:f>""</x:f>
        <x:v/>
      </x:c>
      <x:c r="AG1324" t="str">
        <x:f>""</x:f>
        <x:v/>
      </x:c>
    </x:row>
    <x:row r="1325" spans="2:33" x14ac:dyDescent="0.25">
      <x:c r="B1325" t="str">
        <x:f>"MEDI US Equity"</x:f>
        <x:v>MEDI US Equity</x:v>
      </x:c>
      <x:c r="C1325" t="str">
        <x:f t="shared" si="56"/>
        <x:v>FD447</x:v>
      </x:c>
      <x:c r="D1325" t="str">
        <x:f t="shared" si="57"/>
        <x:v>FUND_FLOW</x:v>
      </x:c>
      <x:c r="E1325" t="str">
        <x:f t="shared" si="58"/>
        <x:v>Dynamic</x:v>
      </x:c>
      <x:c r="F1325">
        <x:f ca="1">_xll.BDH($B$1325,$C$1325,$B$1010,$B$1011,CONCATENATE("Per=",$B$1008),"Dts=H","Dir=H",CONCATENATE("Points=",$B$1009),"Sort=R","Days=A","Fill=B",CONCATENATE("FX=", $B$1007),"cols=14;rows=1")</x:f>
        <x:v>0</x:v>
      </x:c>
      <x:c r="G1325">
        <x:v>0</x:v>
      </x:c>
      <x:c r="H1325">
        <x:v>0</x:v>
      </x:c>
      <x:c r="I1325">
        <x:v>0</x:v>
      </x:c>
      <x:c r="J1325">
        <x:v>0</x:v>
      </x:c>
      <x:c r="K1325">
        <x:v>0</x:v>
      </x:c>
      <x:c r="L1325">
        <x:v>0.53110000000000002</x:v>
      </x:c>
      <x:c r="M1325">
        <x:v>0</x:v>
      </x:c>
      <x:c r="N1325">
        <x:v>0</x:v>
      </x:c>
      <x:c r="O1325">
        <x:v>1.0078</x:v>
      </x:c>
      <x:c r="P1325">
        <x:v>0</x:v>
      </x:c>
      <x:c r="Q1325">
        <x:v>0</x:v>
      </x:c>
      <x:c r="T1325" t="str">
        <x:f>""</x:f>
        <x:v/>
      </x:c>
      <x:c r="U1325" t="str">
        <x:f>""</x:f>
        <x:v/>
      </x:c>
      <x:c r="V1325" t="str">
        <x:f>""</x:f>
        <x:v/>
      </x:c>
      <x:c r="W1325" t="str">
        <x:f>""</x:f>
        <x:v/>
      </x:c>
      <x:c r="X1325" t="str">
        <x:f>""</x:f>
        <x:v/>
      </x:c>
      <x:c r="Y1325" t="str">
        <x:f>""</x:f>
        <x:v/>
      </x:c>
      <x:c r="Z1325" t="str">
        <x:f>""</x:f>
        <x:v/>
      </x:c>
      <x:c r="AA1325" t="str">
        <x:f>""</x:f>
        <x:v/>
      </x:c>
      <x:c r="AB1325" t="str">
        <x:f>""</x:f>
        <x:v/>
      </x:c>
      <x:c r="AC1325" t="str">
        <x:f>""</x:f>
        <x:v/>
      </x:c>
      <x:c r="AD1325" t="str">
        <x:f>""</x:f>
        <x:v/>
      </x:c>
      <x:c r="AE1325" t="str">
        <x:f>""</x:f>
        <x:v/>
      </x:c>
      <x:c r="AF1325" t="str">
        <x:f>""</x:f>
        <x:v/>
      </x:c>
      <x:c r="AG1325" t="str">
        <x:f>""</x:f>
        <x:v/>
      </x:c>
    </x:row>
    <x:row r="1326" spans="2:33" x14ac:dyDescent="0.25">
      <x:c r="B1326" t="str">
        <x:f>"MEDX US Equity"</x:f>
        <x:v>MEDX US Equity</x:v>
      </x:c>
      <x:c r="C1326" t="str">
        <x:f t="shared" si="56"/>
        <x:v>FD447</x:v>
      </x:c>
      <x:c r="D1326" t="str">
        <x:f t="shared" si="57"/>
        <x:v>FUND_FLOW</x:v>
      </x:c>
      <x:c r="E1326" t="str">
        <x:f t="shared" si="58"/>
        <x:v>Dynamic</x:v>
      </x:c>
      <x:c r="F1326">
        <x:f ca="1">_xll.BDH($B$1326,$C$1326,$B$1010,$B$1011,CONCATENATE("Per=",$B$1008),"Dts=H","Dir=H",CONCATENATE("Points=",$B$1009),"Sort=R","Days=A","Fill=B",CONCATENATE("FX=", $B$1007),"cols=14;rows=1")</x:f>
        <x:v>0</x:v>
      </x:c>
      <x:c r="G1326">
        <x:v>0</x:v>
      </x:c>
      <x:c r="H1326">
        <x:v>0</x:v>
      </x:c>
      <x:c r="I1326">
        <x:v>0</x:v>
      </x:c>
      <x:c r="J1326">
        <x:v>-0.78239999999999998</x:v>
      </x:c>
      <x:c r="K1326">
        <x:v>0</x:v>
      </x:c>
      <x:c r="L1326">
        <x:v>0.7581</x:v>
      </x:c>
      <x:c r="M1326">
        <x:v>0</x:v>
      </x:c>
      <x:c r="N1326">
        <x:v>0</x:v>
      </x:c>
      <x:c r="O1326">
        <x:v>-4.3700000000000003E-2</x:v>
      </x:c>
      <x:c r="T1326" t="str">
        <x:f>""</x:f>
        <x:v/>
      </x:c>
      <x:c r="U1326" t="str">
        <x:f>""</x:f>
        <x:v/>
      </x:c>
      <x:c r="V1326" t="str">
        <x:f>""</x:f>
        <x:v/>
      </x:c>
      <x:c r="W1326" t="str">
        <x:f>""</x:f>
        <x:v/>
      </x:c>
      <x:c r="X1326" t="str">
        <x:f>""</x:f>
        <x:v/>
      </x:c>
      <x:c r="Y1326" t="str">
        <x:f>""</x:f>
        <x:v/>
      </x:c>
      <x:c r="Z1326" t="str">
        <x:f>""</x:f>
        <x:v/>
      </x:c>
      <x:c r="AA1326" t="str">
        <x:f>""</x:f>
        <x:v/>
      </x:c>
      <x:c r="AB1326" t="str">
        <x:f>""</x:f>
        <x:v/>
      </x:c>
      <x:c r="AC1326" t="str">
        <x:f>""</x:f>
        <x:v/>
      </x:c>
      <x:c r="AD1326" t="str">
        <x:f>""</x:f>
        <x:v/>
      </x:c>
      <x:c r="AE1326" t="str">
        <x:f>""</x:f>
        <x:v/>
      </x:c>
      <x:c r="AF1326" t="str">
        <x:f>""</x:f>
        <x:v/>
      </x:c>
      <x:c r="AG1326" t="str">
        <x:f>""</x:f>
        <x:v/>
      </x:c>
    </x:row>
    <x:row r="1327" spans="2:33" x14ac:dyDescent="0.25">
      <x:c r="B1327" t="str">
        <x:f>"PFEL US Equity"</x:f>
        <x:v>PFEL US Equity</x:v>
      </x:c>
      <x:c r="C1327" t="str">
        <x:f t="shared" si="56"/>
        <x:v>FD447</x:v>
      </x:c>
      <x:c r="D1327" t="str">
        <x:f t="shared" si="57"/>
        <x:v>FUND_FLOW</x:v>
      </x:c>
      <x:c r="E1327" t="str">
        <x:f t="shared" si="58"/>
        <x:v>Dynamic</x:v>
      </x:c>
      <x:c r="F1327" t="str">
        <x:f ca="1">_xll.BDH($B$1327,$C$1327,$B$1010,$B$1011,CONCATENATE("Per=",$B$1008),"Dts=H","Dir=H",CONCATENATE("Points=",$B$1009),"Sort=R","Days=A","Fill=B",CONCATENATE("FX=", $B$1007),"cols=14;rows=1")</x:f>
        <x:v/>
      </x:c>
      <x:c r="J1327">
        <x:v>8.7300000000000003E-2</x:v>
      </x:c>
      <x:c r="K1327">
        <x:v>-0.25009999999999999</x:v>
      </x:c>
      <x:c r="L1327">
        <x:v>0</x:v>
      </x:c>
      <x:c r="M1327">
        <x:v>0</x:v>
      </x:c>
      <x:c r="N1327">
        <x:v>0</x:v>
      </x:c>
      <x:c r="O1327">
        <x:v>0.1472</x:v>
      </x:c>
      <x:c r="P1327">
        <x:v>0</x:v>
      </x:c>
      <x:c r="Q1327">
        <x:v>0.1459</x:v>
      </x:c>
      <x:c r="R1327">
        <x:v>0</x:v>
      </x:c>
      <x:c r="S1327">
        <x:v>0.26939999999999997</x:v>
      </x:c>
      <x:c r="T1327" t="str">
        <x:f>""</x:f>
        <x:v/>
      </x:c>
      <x:c r="U1327" t="str">
        <x:f>""</x:f>
        <x:v/>
      </x:c>
      <x:c r="V1327" t="str">
        <x:f>""</x:f>
        <x:v/>
      </x:c>
      <x:c r="W1327" t="str">
        <x:f>""</x:f>
        <x:v/>
      </x:c>
      <x:c r="X1327" t="str">
        <x:f>""</x:f>
        <x:v/>
      </x:c>
      <x:c r="Y1327" t="str">
        <x:f>""</x:f>
        <x:v/>
      </x:c>
      <x:c r="Z1327" t="str">
        <x:f>""</x:f>
        <x:v/>
      </x:c>
      <x:c r="AA1327" t="str">
        <x:f>""</x:f>
        <x:v/>
      </x:c>
      <x:c r="AB1327" t="str">
        <x:f>""</x:f>
        <x:v/>
      </x:c>
      <x:c r="AC1327" t="str">
        <x:f>""</x:f>
        <x:v/>
      </x:c>
      <x:c r="AD1327" t="str">
        <x:f>""</x:f>
        <x:v/>
      </x:c>
      <x:c r="AE1327" t="str">
        <x:f>""</x:f>
        <x:v/>
      </x:c>
      <x:c r="AF1327" t="str">
        <x:f>""</x:f>
        <x:v/>
      </x:c>
      <x:c r="AG1327" t="str">
        <x:f>""</x:f>
        <x:v/>
      </x:c>
    </x:row>
    <x:row r="1328" spans="2:33" x14ac:dyDescent="0.25">
      <x:c r="B1328" t="str">
        <x:f>"PFES US Equity"</x:f>
        <x:v>PFES US Equity</x:v>
      </x:c>
      <x:c r="C1328" t="str">
        <x:f t="shared" si="56"/>
        <x:v>FD447</x:v>
      </x:c>
      <x:c r="D1328" t="str">
        <x:f t="shared" si="57"/>
        <x:v>FUND_FLOW</x:v>
      </x:c>
      <x:c r="E1328" t="str">
        <x:f t="shared" si="58"/>
        <x:v>Dynamic</x:v>
      </x:c>
      <x:c r="F1328" t="str">
        <x:f ca="1">_xll.BDH($B$1328,$C$1328,$B$1010,$B$1011,CONCATENATE("Per=",$B$1008),"Dts=H","Dir=H",CONCATENATE("Points=",$B$1009),"Sort=R","Days=A","Fill=B",CONCATENATE("FX=", $B$1007),"cols=14;rows=1")</x:f>
        <x:v/>
      </x:c>
      <x:c r="J1328">
        <x:v>-0.2838</x:v>
      </x:c>
      <x:c r="K1328">
        <x:v>-0.89270000000000005</x:v>
      </x:c>
      <x:c r="L1328">
        <x:v>0</x:v>
      </x:c>
      <x:c r="M1328">
        <x:v>0</x:v>
      </x:c>
      <x:c r="N1328">
        <x:v>0</x:v>
      </x:c>
      <x:c r="O1328">
        <x:v>0.18</x:v>
      </x:c>
      <x:c r="P1328">
        <x:v>0</x:v>
      </x:c>
      <x:c r="Q1328">
        <x:v>0</x:v>
      </x:c>
      <x:c r="R1328">
        <x:v>0</x:v>
      </x:c>
      <x:c r="S1328">
        <x:v>3.04E-2</x:v>
      </x:c>
      <x:c r="T1328" t="str">
        <x:f>""</x:f>
        <x:v/>
      </x:c>
      <x:c r="U1328" t="str">
        <x:f>""</x:f>
        <x:v/>
      </x:c>
      <x:c r="V1328" t="str">
        <x:f>""</x:f>
        <x:v/>
      </x:c>
      <x:c r="W1328" t="str">
        <x:f>""</x:f>
        <x:v/>
      </x:c>
      <x:c r="X1328" t="str">
        <x:f>""</x:f>
        <x:v/>
      </x:c>
      <x:c r="Y1328" t="str">
        <x:f>""</x:f>
        <x:v/>
      </x:c>
      <x:c r="Z1328" t="str">
        <x:f>""</x:f>
        <x:v/>
      </x:c>
      <x:c r="AA1328" t="str">
        <x:f>""</x:f>
        <x:v/>
      </x:c>
      <x:c r="AB1328" t="str">
        <x:f>""</x:f>
        <x:v/>
      </x:c>
      <x:c r="AC1328" t="str">
        <x:f>""</x:f>
        <x:v/>
      </x:c>
      <x:c r="AD1328" t="str">
        <x:f>""</x:f>
        <x:v/>
      </x:c>
      <x:c r="AE1328" t="str">
        <x:f>""</x:f>
        <x:v/>
      </x:c>
      <x:c r="AF1328" t="str">
        <x:f>""</x:f>
        <x:v/>
      </x:c>
      <x:c r="AG1328" t="str">
        <x:f>""</x:f>
        <x:v/>
      </x:c>
    </x:row>
    <x:row r="1329" spans="2:33" x14ac:dyDescent="0.25">
      <x:c r="B1329" t="str">
        <x:f>"SYNB US Equity"</x:f>
        <x:v>SYNB US Equity</x:v>
      </x:c>
      <x:c r="C1329" t="str">
        <x:f t="shared" si="56"/>
        <x:v>FD447</x:v>
      </x:c>
      <x:c r="D1329" t="str">
        <x:f t="shared" si="57"/>
        <x:v>FUND_FLOW</x:v>
      </x:c>
      <x:c r="E1329" t="str">
        <x:f t="shared" si="58"/>
        <x:v>Dynamic</x:v>
      </x:c>
      <x:c r="F1329">
        <x:f ca="1">_xll.BDH($B$1329,$C$1329,$B$1010,$B$1011,CONCATENATE("Per=",$B$1008),"Dts=H","Dir=H",CONCATENATE("Points=",$B$1009),"Sort=R","Days=A","Fill=B",CONCATENATE("FX=", $B$1007),"cols=14;rows=1")</x:f>
        <x:v>0</x:v>
      </x:c>
      <x:c r="G1329">
        <x:v>0</x:v>
      </x:c>
      <x:c r="H1329">
        <x:v>0</x:v>
      </x:c>
      <x:c r="I1329">
        <x:v>0</x:v>
      </x:c>
      <x:c r="J1329">
        <x:v>0</x:v>
      </x:c>
      <x:c r="K1329">
        <x:v>0</x:v>
      </x:c>
      <x:c r="L1329">
        <x:v>0</x:v>
      </x:c>
      <x:c r="M1329">
        <x:v>0</x:v>
      </x:c>
      <x:c r="N1329">
        <x:v>0</x:v>
      </x:c>
      <x:c r="O1329">
        <x:v>0</x:v>
      </x:c>
      <x:c r="P1329">
        <x:v>0</x:v>
      </x:c>
      <x:c r="Q1329">
        <x:v>0</x:v>
      </x:c>
      <x:c r="R1329">
        <x:v>1.2781</x:v>
      </x:c>
      <x:c r="T1329" t="str">
        <x:f>""</x:f>
        <x:v/>
      </x:c>
      <x:c r="U1329" t="str">
        <x:f>""</x:f>
        <x:v/>
      </x:c>
      <x:c r="V1329" t="str">
        <x:f>""</x:f>
        <x:v/>
      </x:c>
      <x:c r="W1329" t="str">
        <x:f>""</x:f>
        <x:v/>
      </x:c>
      <x:c r="X1329" t="str">
        <x:f>""</x:f>
        <x:v/>
      </x:c>
      <x:c r="Y1329" t="str">
        <x:f>""</x:f>
        <x:v/>
      </x:c>
      <x:c r="Z1329" t="str">
        <x:f>""</x:f>
        <x:v/>
      </x:c>
      <x:c r="AA1329" t="str">
        <x:f>""</x:f>
        <x:v/>
      </x:c>
      <x:c r="AB1329" t="str">
        <x:f>""</x:f>
        <x:v/>
      </x:c>
      <x:c r="AC1329" t="str">
        <x:f>""</x:f>
        <x:v/>
      </x:c>
      <x:c r="AD1329" t="str">
        <x:f>""</x:f>
        <x:v/>
      </x:c>
      <x:c r="AE1329" t="str">
        <x:f>""</x:f>
        <x:v/>
      </x:c>
      <x:c r="AF1329" t="str">
        <x:f>""</x:f>
        <x:v/>
      </x:c>
      <x:c r="AG1329" t="str">
        <x:f>""</x:f>
        <x:v/>
      </x:c>
    </x:row>
    <x:row r="1330" spans="2:33" x14ac:dyDescent="0.25">
      <x:c r="B1330" t="str">
        <x:f>"XLI US Equity"</x:f>
        <x:v>XLI US Equity</x:v>
      </x:c>
      <x:c r="C1330" t="str">
        <x:f t="shared" si="56"/>
        <x:v>FD447</x:v>
      </x:c>
      <x:c r="D1330" t="str">
        <x:f t="shared" si="57"/>
        <x:v>FUND_FLOW</x:v>
      </x:c>
      <x:c r="E1330" t="str">
        <x:f t="shared" si="58"/>
        <x:v>Dynamic</x:v>
      </x:c>
      <x:c r="F1330">
        <x:f ca="1">_xll.BDH($B$1330,$C$1330,$B$1010,$B$1011,CONCATENATE("Per=",$B$1008),"Dts=H","Dir=H",CONCATENATE("Points=",$B$1009),"Sort=R","Days=A","Fill=B",CONCATENATE("FX=", $B$1007),"cols=14;rows=1")</x:f>
        <x:v>-140.88409999999999</x:v>
      </x:c>
      <x:c r="G1330">
        <x:v>-34.011899999999997</x:v>
      </x:c>
      <x:c r="H1330">
        <x:v>-446.94069999999999</x:v>
      </x:c>
      <x:c r="I1330">
        <x:v>870.6703</x:v>
      </x:c>
      <x:c r="J1330">
        <x:v>1069.5011999999999</x:v>
      </x:c>
      <x:c r="K1330">
        <x:v>-449.7165</x:v>
      </x:c>
      <x:c r="L1330">
        <x:v>-429.6225</x:v>
      </x:c>
      <x:c r="M1330">
        <x:v>-391.98540000000003</x:v>
      </x:c>
      <x:c r="N1330">
        <x:v>284.54020000000003</x:v>
      </x:c>
      <x:c r="O1330">
        <x:v>96.203299999999999</x:v>
      </x:c>
      <x:c r="P1330">
        <x:v>71.541600000000003</x:v>
      </x:c>
      <x:c r="Q1330">
        <x:v>59.238199999999999</x:v>
      </x:c>
      <x:c r="R1330">
        <x:v>217.72839999999999</x:v>
      </x:c>
      <x:c r="S1330">
        <x:v>-639.26840000000004</x:v>
      </x:c>
      <x:c r="T1330" t="str">
        <x:f>""</x:f>
        <x:v/>
      </x:c>
      <x:c r="U1330" t="str">
        <x:f>""</x:f>
        <x:v/>
      </x:c>
      <x:c r="V1330" t="str">
        <x:f>""</x:f>
        <x:v/>
      </x:c>
      <x:c r="W1330" t="str">
        <x:f>""</x:f>
        <x:v/>
      </x:c>
      <x:c r="X1330" t="str">
        <x:f>""</x:f>
        <x:v/>
      </x:c>
      <x:c r="Y1330" t="str">
        <x:f>""</x:f>
        <x:v/>
      </x:c>
      <x:c r="Z1330" t="str">
        <x:f>""</x:f>
        <x:v/>
      </x:c>
      <x:c r="AA1330" t="str">
        <x:f>""</x:f>
        <x:v/>
      </x:c>
      <x:c r="AB1330" t="str">
        <x:f>""</x:f>
        <x:v/>
      </x:c>
      <x:c r="AC1330" t="str">
        <x:f>""</x:f>
        <x:v/>
      </x:c>
      <x:c r="AD1330" t="str">
        <x:f>""</x:f>
        <x:v/>
      </x:c>
      <x:c r="AE1330" t="str">
        <x:f>""</x:f>
        <x:v/>
      </x:c>
      <x:c r="AF1330" t="str">
        <x:f>""</x:f>
        <x:v/>
      </x:c>
      <x:c r="AG1330" t="str">
        <x:f>""</x:f>
        <x:v/>
      </x:c>
    </x:row>
    <x:row r="1331" spans="2:33" x14ac:dyDescent="0.25">
      <x:c r="B1331" t="str">
        <x:f>"VIS US Equity"</x:f>
        <x:v>VIS US Equity</x:v>
      </x:c>
      <x:c r="C1331" t="str">
        <x:f t="shared" si="56"/>
        <x:v>FD447</x:v>
      </x:c>
      <x:c r="D1331" t="str">
        <x:f t="shared" si="57"/>
        <x:v>FUND_FLOW</x:v>
      </x:c>
      <x:c r="E1331" t="str">
        <x:f t="shared" si="58"/>
        <x:v>Dynamic</x:v>
      </x:c>
      <x:c r="F1331">
        <x:f ca="1">_xll.BDH($B$1331,$C$1331,$B$1010,$B$1011,CONCATENATE("Per=",$B$1008),"Dts=H","Dir=H",CONCATENATE("Points=",$B$1009),"Sort=R","Days=A","Fill=B",CONCATENATE("FX=", $B$1007),"cols=14;rows=1")</x:f>
        <x:v>-393.18709999999999</x:v>
      </x:c>
      <x:c r="G1331">
        <x:v>-24.896000000000001</x:v>
      </x:c>
      <x:c r="H1331">
        <x:v>10.0243</x:v>
      </x:c>
      <x:c r="I1331">
        <x:v>256.62299999999999</x:v>
      </x:c>
      <x:c r="J1331">
        <x:v>74.909800000000004</x:v>
      </x:c>
      <x:c r="K1331">
        <x:v>4.6159999999999997</x:v>
      </x:c>
      <x:c r="L1331">
        <x:v>-46.476300000000002</x:v>
      </x:c>
      <x:c r="M1331">
        <x:v>36.221499999999999</x:v>
      </x:c>
      <x:c r="N1331">
        <x:v>47.949300000000001</x:v>
      </x:c>
      <x:c r="O1331">
        <x:v>-14.147500000000001</x:v>
      </x:c>
      <x:c r="P1331">
        <x:v>-9.4478000000000009</x:v>
      </x:c>
      <x:c r="Q1331">
        <x:v>96.753</x:v>
      </x:c>
      <x:c r="R1331">
        <x:v>-44.181199999999997</x:v>
      </x:c>
      <x:c r="S1331">
        <x:v>-1.3917999999999999</x:v>
      </x:c>
      <x:c r="T1331" t="str">
        <x:f>""</x:f>
        <x:v/>
      </x:c>
      <x:c r="U1331" t="str">
        <x:f>""</x:f>
        <x:v/>
      </x:c>
      <x:c r="V1331" t="str">
        <x:f>""</x:f>
        <x:v/>
      </x:c>
      <x:c r="W1331" t="str">
        <x:f>""</x:f>
        <x:v/>
      </x:c>
      <x:c r="X1331" t="str">
        <x:f>""</x:f>
        <x:v/>
      </x:c>
      <x:c r="Y1331" t="str">
        <x:f>""</x:f>
        <x:v/>
      </x:c>
      <x:c r="Z1331" t="str">
        <x:f>""</x:f>
        <x:v/>
      </x:c>
      <x:c r="AA1331" t="str">
        <x:f>""</x:f>
        <x:v/>
      </x:c>
      <x:c r="AB1331" t="str">
        <x:f>""</x:f>
        <x:v/>
      </x:c>
      <x:c r="AC1331" t="str">
        <x:f>""</x:f>
        <x:v/>
      </x:c>
      <x:c r="AD1331" t="str">
        <x:f>""</x:f>
        <x:v/>
      </x:c>
      <x:c r="AE1331" t="str">
        <x:f>""</x:f>
        <x:v/>
      </x:c>
      <x:c r="AF1331" t="str">
        <x:f>""</x:f>
        <x:v/>
      </x:c>
      <x:c r="AG1331" t="str">
        <x:f>""</x:f>
        <x:v/>
      </x:c>
    </x:row>
    <x:row r="1332" spans="2:33" x14ac:dyDescent="0.25">
      <x:c r="B1332" t="str">
        <x:f>"ITA US Equity"</x:f>
        <x:v>ITA US Equity</x:v>
      </x:c>
      <x:c r="C1332" t="str">
        <x:f t="shared" si="56"/>
        <x:v>FD447</x:v>
      </x:c>
      <x:c r="D1332" t="str">
        <x:f t="shared" si="57"/>
        <x:v>FUND_FLOW</x:v>
      </x:c>
      <x:c r="E1332" t="str">
        <x:f t="shared" si="58"/>
        <x:v>Dynamic</x:v>
      </x:c>
      <x:c r="F1332">
        <x:f ca="1">_xll.BDH($B$1332,$C$1332,$B$1010,$B$1011,CONCATENATE("Per=",$B$1008),"Dts=H","Dir=H",CONCATENATE("Points=",$B$1009),"Sort=R","Days=A","Fill=B",CONCATENATE("FX=", $B$1007),"cols=14;rows=1")</x:f>
        <x:v>160.97069999999999</x:v>
      </x:c>
      <x:c r="G1332">
        <x:v>-226.2732</x:v>
      </x:c>
      <x:c r="H1332">
        <x:v>-75.453500000000005</x:v>
      </x:c>
      <x:c r="I1332">
        <x:v>-103.99160000000001</x:v>
      </x:c>
      <x:c r="J1332">
        <x:v>-126.51730000000001</x:v>
      </x:c>
      <x:c r="K1332">
        <x:v>-133.31270000000001</x:v>
      </x:c>
      <x:c r="L1332">
        <x:v>138.81030000000001</x:v>
      </x:c>
      <x:c r="M1332">
        <x:v>174.4391</x:v>
      </x:c>
      <x:c r="N1332">
        <x:v>383.327</x:v>
      </x:c>
      <x:c r="O1332">
        <x:v>453.08330000000001</x:v>
      </x:c>
      <x:c r="P1332">
        <x:v>233.01750000000001</x:v>
      </x:c>
      <x:c r="Q1332">
        <x:v>207.92250000000001</x:v>
      </x:c>
      <x:c r="R1332">
        <x:v>58.956800000000001</x:v>
      </x:c>
      <x:c r="S1332">
        <x:v>14.1334</x:v>
      </x:c>
      <x:c r="T1332" t="str">
        <x:f>""</x:f>
        <x:v/>
      </x:c>
      <x:c r="U1332" t="str">
        <x:f>""</x:f>
        <x:v/>
      </x:c>
      <x:c r="V1332" t="str">
        <x:f>""</x:f>
        <x:v/>
      </x:c>
      <x:c r="W1332" t="str">
        <x:f>""</x:f>
        <x:v/>
      </x:c>
      <x:c r="X1332" t="str">
        <x:f>""</x:f>
        <x:v/>
      </x:c>
      <x:c r="Y1332" t="str">
        <x:f>""</x:f>
        <x:v/>
      </x:c>
      <x:c r="Z1332" t="str">
        <x:f>""</x:f>
        <x:v/>
      </x:c>
      <x:c r="AA1332" t="str">
        <x:f>""</x:f>
        <x:v/>
      </x:c>
      <x:c r="AB1332" t="str">
        <x:f>""</x:f>
        <x:v/>
      </x:c>
      <x:c r="AC1332" t="str">
        <x:f>""</x:f>
        <x:v/>
      </x:c>
      <x:c r="AD1332" t="str">
        <x:f>""</x:f>
        <x:v/>
      </x:c>
      <x:c r="AE1332" t="str">
        <x:f>""</x:f>
        <x:v/>
      </x:c>
      <x:c r="AF1332" t="str">
        <x:f>""</x:f>
        <x:v/>
      </x:c>
      <x:c r="AG1332" t="str">
        <x:f>""</x:f>
        <x:v/>
      </x:c>
    </x:row>
    <x:row r="1333" spans="2:33" x14ac:dyDescent="0.25">
      <x:c r="B1333" t="str">
        <x:f>"FXR US Equity"</x:f>
        <x:v>FXR US Equity</x:v>
      </x:c>
      <x:c r="C1333" t="str">
        <x:f t="shared" si="56"/>
        <x:v>FD447</x:v>
      </x:c>
      <x:c r="D1333" t="str">
        <x:f t="shared" si="57"/>
        <x:v>FUND_FLOW</x:v>
      </x:c>
      <x:c r="E1333" t="str">
        <x:f t="shared" si="58"/>
        <x:v>Dynamic</x:v>
      </x:c>
      <x:c r="F1333">
        <x:f ca="1">_xll.BDH($B$1333,$C$1333,$B$1010,$B$1011,CONCATENATE("Per=",$B$1008),"Dts=H","Dir=H",CONCATENATE("Points=",$B$1009),"Sort=R","Days=A","Fill=B",CONCATENATE("FX=", $B$1007),"cols=14;rows=1")</x:f>
        <x:v>-60.524500000000003</x:v>
      </x:c>
      <x:c r="G1333">
        <x:v>-14.944800000000001</x:v>
      </x:c>
      <x:c r="H1333">
        <x:v>24.223500000000001</x:v>
      </x:c>
      <x:c r="I1333">
        <x:v>25.211500000000001</x:v>
      </x:c>
      <x:c r="J1333">
        <x:v>-23.794499999999999</x:v>
      </x:c>
      <x:c r="K1333">
        <x:v>-10.7735</x:v>
      </x:c>
      <x:c r="L1333">
        <x:v>-35.152999999999999</x:v>
      </x:c>
      <x:c r="M1333">
        <x:v>-9.0519999999999996</x:v>
      </x:c>
      <x:c r="N1333">
        <x:v>40.414999999999999</x:v>
      </x:c>
      <x:c r="O1333">
        <x:v>0.29499999999999998</x:v>
      </x:c>
      <x:c r="P1333">
        <x:v>-15.218400000000001</x:v>
      </x:c>
      <x:c r="Q1333">
        <x:v>7.0260999999999996</x:v>
      </x:c>
      <x:c r="R1333">
        <x:v>-33.726199999999999</x:v>
      </x:c>
      <x:c r="S1333">
        <x:v>-20.988399999999999</x:v>
      </x:c>
      <x:c r="T1333" t="str">
        <x:f>""</x:f>
        <x:v/>
      </x:c>
      <x:c r="U1333" t="str">
        <x:f>""</x:f>
        <x:v/>
      </x:c>
      <x:c r="V1333" t="str">
        <x:f>""</x:f>
        <x:v/>
      </x:c>
      <x:c r="W1333" t="str">
        <x:f>""</x:f>
        <x:v/>
      </x:c>
      <x:c r="X1333" t="str">
        <x:f>""</x:f>
        <x:v/>
      </x:c>
      <x:c r="Y1333" t="str">
        <x:f>""</x:f>
        <x:v/>
      </x:c>
      <x:c r="Z1333" t="str">
        <x:f>""</x:f>
        <x:v/>
      </x:c>
      <x:c r="AA1333" t="str">
        <x:f>""</x:f>
        <x:v/>
      </x:c>
      <x:c r="AB1333" t="str">
        <x:f>""</x:f>
        <x:v/>
      </x:c>
      <x:c r="AC1333" t="str">
        <x:f>""</x:f>
        <x:v/>
      </x:c>
      <x:c r="AD1333" t="str">
        <x:f>""</x:f>
        <x:v/>
      </x:c>
      <x:c r="AE1333" t="str">
        <x:f>""</x:f>
        <x:v/>
      </x:c>
      <x:c r="AF1333" t="str">
        <x:f>""</x:f>
        <x:v/>
      </x:c>
      <x:c r="AG1333" t="str">
        <x:f>""</x:f>
        <x:v/>
      </x:c>
    </x:row>
    <x:row r="1334" spans="2:33" x14ac:dyDescent="0.25">
      <x:c r="B1334" t="str">
        <x:f>"IYJ US Equity"</x:f>
        <x:v>IYJ US Equity</x:v>
      </x:c>
      <x:c r="C1334" t="str">
        <x:f t="shared" ref="C1334:C1397" si="59">"FD447"</x:f>
        <x:v>FD447</x:v>
      </x:c>
      <x:c r="D1334" t="str">
        <x:f t="shared" ref="D1334:D1397" si="60">"FUND_FLOW"</x:f>
        <x:v>FUND_FLOW</x:v>
      </x:c>
      <x:c r="E1334" t="str">
        <x:f t="shared" ref="E1334:E1397" si="61">"Dynamic"</x:f>
        <x:v>Dynamic</x:v>
      </x:c>
      <x:c r="F1334">
        <x:f ca="1">_xll.BDH($B$1334,$C$1334,$B$1010,$B$1011,CONCATENATE("Per=",$B$1008),"Dts=H","Dir=H",CONCATENATE("Points=",$B$1009),"Sort=R","Days=A","Fill=B",CONCATENATE("FX=", $B$1007),"cols=14;rows=1")</x:f>
        <x:v>-9.7825000000000006</x:v>
      </x:c>
      <x:c r="G1334">
        <x:v>-52.221800000000002</x:v>
      </x:c>
      <x:c r="H1334">
        <x:v>-15.8202</x:v>
      </x:c>
      <x:c r="I1334">
        <x:v>96.978099999999998</x:v>
      </x:c>
      <x:c r="J1334">
        <x:v>-107.399</x:v>
      </x:c>
      <x:c r="K1334">
        <x:v>-9.8901000000000003</x:v>
      </x:c>
      <x:c r="L1334">
        <x:v>-10.025</x:v>
      </x:c>
      <x:c r="M1334">
        <x:v>-19.7715</x:v>
      </x:c>
      <x:c r="N1334">
        <x:v>-10.1915</x:v>
      </x:c>
      <x:c r="O1334">
        <x:v>-79.771699999999996</x:v>
      </x:c>
      <x:c r="P1334">
        <x:v>202.80199999999999</x:v>
      </x:c>
      <x:c r="Q1334">
        <x:v>-4.9192999999999998</x:v>
      </x:c>
      <x:c r="R1334">
        <x:v>-21.869299999999999</x:v>
      </x:c>
      <x:c r="S1334">
        <x:v>-34.244900000000001</x:v>
      </x:c>
      <x:c r="T1334" t="str">
        <x:f>""</x:f>
        <x:v/>
      </x:c>
      <x:c r="U1334" t="str">
        <x:f>""</x:f>
        <x:v/>
      </x:c>
      <x:c r="V1334" t="str">
        <x:f>""</x:f>
        <x:v/>
      </x:c>
      <x:c r="W1334" t="str">
        <x:f>""</x:f>
        <x:v/>
      </x:c>
      <x:c r="X1334" t="str">
        <x:f>""</x:f>
        <x:v/>
      </x:c>
      <x:c r="Y1334" t="str">
        <x:f>""</x:f>
        <x:v/>
      </x:c>
      <x:c r="Z1334" t="str">
        <x:f>""</x:f>
        <x:v/>
      </x:c>
      <x:c r="AA1334" t="str">
        <x:f>""</x:f>
        <x:v/>
      </x:c>
      <x:c r="AB1334" t="str">
        <x:f>""</x:f>
        <x:v/>
      </x:c>
      <x:c r="AC1334" t="str">
        <x:f>""</x:f>
        <x:v/>
      </x:c>
      <x:c r="AD1334" t="str">
        <x:f>""</x:f>
        <x:v/>
      </x:c>
      <x:c r="AE1334" t="str">
        <x:f>""</x:f>
        <x:v/>
      </x:c>
      <x:c r="AF1334" t="str">
        <x:f>""</x:f>
        <x:v/>
      </x:c>
      <x:c r="AG1334" t="str">
        <x:f>""</x:f>
        <x:v/>
      </x:c>
    </x:row>
    <x:row r="1335" spans="2:33" x14ac:dyDescent="0.25">
      <x:c r="B1335" t="str">
        <x:f>"IYT US Equity"</x:f>
        <x:v>IYT US Equity</x:v>
      </x:c>
      <x:c r="C1335" t="str">
        <x:f t="shared" si="59"/>
        <x:v>FD447</x:v>
      </x:c>
      <x:c r="D1335" t="str">
        <x:f t="shared" si="60"/>
        <x:v>FUND_FLOW</x:v>
      </x:c>
      <x:c r="E1335" t="str">
        <x:f t="shared" si="61"/>
        <x:v>Dynamic</x:v>
      </x:c>
      <x:c r="F1335">
        <x:f ca="1">_xll.BDH($B$1335,$C$1335,$B$1010,$B$1011,CONCATENATE("Per=",$B$1008),"Dts=H","Dir=H",CONCATENATE("Points=",$B$1009),"Sort=R","Days=A","Fill=B",CONCATENATE("FX=", $B$1007),"cols=14;rows=1")</x:f>
        <x:v>-22.361599999999999</x:v>
      </x:c>
      <x:c r="G1335">
        <x:v>-165.85509999999999</x:v>
      </x:c>
      <x:c r="H1335">
        <x:v>-36.941600000000001</x:v>
      </x:c>
      <x:c r="I1335">
        <x:v>182.24019999999999</x:v>
      </x:c>
      <x:c r="J1335">
        <x:v>116.6044</x:v>
      </x:c>
      <x:c r="K1335">
        <x:v>-67.843800000000002</x:v>
      </x:c>
      <x:c r="L1335">
        <x:v>66.653700000000001</x:v>
      </x:c>
      <x:c r="M1335">
        <x:v>2.0289000000000001</x:v>
      </x:c>
      <x:c r="N1335">
        <x:v>-2.3523999999999998</x:v>
      </x:c>
      <x:c r="O1335">
        <x:v>23.340199999999999</x:v>
      </x:c>
      <x:c r="P1335">
        <x:v>20.782499999999999</x:v>
      </x:c>
      <x:c r="Q1335">
        <x:v>-98.236900000000006</x:v>
      </x:c>
      <x:c r="R1335">
        <x:v>-7.3707000000000003</x:v>
      </x:c>
      <x:c r="S1335">
        <x:v>46.8842</x:v>
      </x:c>
      <x:c r="T1335" t="str">
        <x:f>""</x:f>
        <x:v/>
      </x:c>
      <x:c r="U1335" t="str">
        <x:f>""</x:f>
        <x:v/>
      </x:c>
      <x:c r="V1335" t="str">
        <x:f>""</x:f>
        <x:v/>
      </x:c>
      <x:c r="W1335" t="str">
        <x:f>""</x:f>
        <x:v/>
      </x:c>
      <x:c r="X1335" t="str">
        <x:f>""</x:f>
        <x:v/>
      </x:c>
      <x:c r="Y1335" t="str">
        <x:f>""</x:f>
        <x:v/>
      </x:c>
      <x:c r="Z1335" t="str">
        <x:f>""</x:f>
        <x:v/>
      </x:c>
      <x:c r="AA1335" t="str">
        <x:f>""</x:f>
        <x:v/>
      </x:c>
      <x:c r="AB1335" t="str">
        <x:f>""</x:f>
        <x:v/>
      </x:c>
      <x:c r="AC1335" t="str">
        <x:f>""</x:f>
        <x:v/>
      </x:c>
      <x:c r="AD1335" t="str">
        <x:f>""</x:f>
        <x:v/>
      </x:c>
      <x:c r="AE1335" t="str">
        <x:f>""</x:f>
        <x:v/>
      </x:c>
      <x:c r="AF1335" t="str">
        <x:f>""</x:f>
        <x:v/>
      </x:c>
      <x:c r="AG1335" t="str">
        <x:f>""</x:f>
        <x:v/>
      </x:c>
    </x:row>
    <x:row r="1336" spans="2:33" x14ac:dyDescent="0.25">
      <x:c r="B1336" t="str">
        <x:f>"XAR US Equity"</x:f>
        <x:v>XAR US Equity</x:v>
      </x:c>
      <x:c r="C1336" t="str">
        <x:f t="shared" si="59"/>
        <x:v>FD447</x:v>
      </x:c>
      <x:c r="D1336" t="str">
        <x:f t="shared" si="60"/>
        <x:v>FUND_FLOW</x:v>
      </x:c>
      <x:c r="E1336" t="str">
        <x:f t="shared" si="61"/>
        <x:v>Dynamic</x:v>
      </x:c>
      <x:c r="F1336">
        <x:f ca="1">_xll.BDH($B$1336,$C$1336,$B$1010,$B$1011,CONCATENATE("Per=",$B$1008),"Dts=H","Dir=H",CONCATENATE("Points=",$B$1009),"Sort=R","Days=A","Fill=B",CONCATENATE("FX=", $B$1007),"cols=14;rows=1")</x:f>
        <x:v>118.191</x:v>
      </x:c>
      <x:c r="G1336">
        <x:v>5.7942999999999998</x:v>
      </x:c>
      <x:c r="H1336">
        <x:v>12.255800000000001</x:v>
      </x:c>
      <x:c r="I1336">
        <x:v>12.2301</x:v>
      </x:c>
      <x:c r="J1336">
        <x:v>-5.6254999999999997</x:v>
      </x:c>
      <x:c r="K1336">
        <x:v>-11.3089</x:v>
      </x:c>
      <x:c r="L1336">
        <x:v>5.9802999999999997</x:v>
      </x:c>
      <x:c r="M1336">
        <x:v>12.335000000000001</x:v>
      </x:c>
      <x:c r="N1336">
        <x:v>38.926000000000002</x:v>
      </x:c>
      <x:c r="O1336">
        <x:v>14.349600000000001</x:v>
      </x:c>
      <x:c r="P1336">
        <x:v>8.1975999999999996</x:v>
      </x:c>
      <x:c r="Q1336">
        <x:v>7.6962000000000002</x:v>
      </x:c>
      <x:c r="R1336">
        <x:v>5.6388999999999996</x:v>
      </x:c>
      <x:c r="S1336">
        <x:v>-19.864799999999999</x:v>
      </x:c>
      <x:c r="T1336" t="str">
        <x:f>""</x:f>
        <x:v/>
      </x:c>
      <x:c r="U1336" t="str">
        <x:f>""</x:f>
        <x:v/>
      </x:c>
      <x:c r="V1336" t="str">
        <x:f>""</x:f>
        <x:v/>
      </x:c>
      <x:c r="W1336" t="str">
        <x:f>""</x:f>
        <x:v/>
      </x:c>
      <x:c r="X1336" t="str">
        <x:f>""</x:f>
        <x:v/>
      </x:c>
      <x:c r="Y1336" t="str">
        <x:f>""</x:f>
        <x:v/>
      </x:c>
      <x:c r="Z1336" t="str">
        <x:f>""</x:f>
        <x:v/>
      </x:c>
      <x:c r="AA1336" t="str">
        <x:f>""</x:f>
        <x:v/>
      </x:c>
      <x:c r="AB1336" t="str">
        <x:f>""</x:f>
        <x:v/>
      </x:c>
      <x:c r="AC1336" t="str">
        <x:f>""</x:f>
        <x:v/>
      </x:c>
      <x:c r="AD1336" t="str">
        <x:f>""</x:f>
        <x:v/>
      </x:c>
      <x:c r="AE1336" t="str">
        <x:f>""</x:f>
        <x:v/>
      </x:c>
      <x:c r="AF1336" t="str">
        <x:f>""</x:f>
        <x:v/>
      </x:c>
      <x:c r="AG1336" t="str">
        <x:f>""</x:f>
        <x:v/>
      </x:c>
    </x:row>
    <x:row r="1337" spans="2:33" x14ac:dyDescent="0.25">
      <x:c r="B1337" t="str">
        <x:f>"PPA US Equity"</x:f>
        <x:v>PPA US Equity</x:v>
      </x:c>
      <x:c r="C1337" t="str">
        <x:f t="shared" si="59"/>
        <x:v>FD447</x:v>
      </x:c>
      <x:c r="D1337" t="str">
        <x:f t="shared" si="60"/>
        <x:v>FUND_FLOW</x:v>
      </x:c>
      <x:c r="E1337" t="str">
        <x:f t="shared" si="61"/>
        <x:v>Dynamic</x:v>
      </x:c>
      <x:c r="F1337">
        <x:f ca="1">_xll.BDH($B$1337,$C$1337,$B$1010,$B$1011,CONCATENATE("Per=",$B$1008),"Dts=H","Dir=H",CONCATENATE("Points=",$B$1009),"Sort=R","Days=A","Fill=B",CONCATENATE("FX=", $B$1007),"cols=14;rows=1")</x:f>
        <x:v>179.8032</x:v>
      </x:c>
      <x:c r="G1337">
        <x:v>27.679200000000002</x:v>
      </x:c>
      <x:c r="H1337">
        <x:v>19.237400000000001</x:v>
      </x:c>
      <x:c r="I1337">
        <x:v>38.951000000000001</x:v>
      </x:c>
      <x:c r="J1337">
        <x:v>6.1737000000000002</x:v>
      </x:c>
      <x:c r="K1337">
        <x:v>-33.919800000000002</x:v>
      </x:c>
      <x:c r="L1337">
        <x:v>29.059000000000001</x:v>
      </x:c>
      <x:c r="M1337">
        <x:v>39.520099999999999</x:v>
      </x:c>
      <x:c r="N1337">
        <x:v>63.933399999999999</x:v>
      </x:c>
      <x:c r="O1337">
        <x:v>28.3186</x:v>
      </x:c>
      <x:c r="P1337">
        <x:v>-45.895299999999999</x:v>
      </x:c>
      <x:c r="Q1337">
        <x:v>80.392899999999997</x:v>
      </x:c>
      <x:c r="R1337">
        <x:v>76.5608</x:v>
      </x:c>
      <x:c r="S1337">
        <x:v>36.650199999999998</x:v>
      </x:c>
      <x:c r="T1337" t="str">
        <x:f>""</x:f>
        <x:v/>
      </x:c>
      <x:c r="U1337" t="str">
        <x:f>""</x:f>
        <x:v/>
      </x:c>
      <x:c r="V1337" t="str">
        <x:f>""</x:f>
        <x:v/>
      </x:c>
      <x:c r="W1337" t="str">
        <x:f>""</x:f>
        <x:v/>
      </x:c>
      <x:c r="X1337" t="str">
        <x:f>""</x:f>
        <x:v/>
      </x:c>
      <x:c r="Y1337" t="str">
        <x:f>""</x:f>
        <x:v/>
      </x:c>
      <x:c r="Z1337" t="str">
        <x:f>""</x:f>
        <x:v/>
      </x:c>
      <x:c r="AA1337" t="str">
        <x:f>""</x:f>
        <x:v/>
      </x:c>
      <x:c r="AB1337" t="str">
        <x:f>""</x:f>
        <x:v/>
      </x:c>
      <x:c r="AC1337" t="str">
        <x:f>""</x:f>
        <x:v/>
      </x:c>
      <x:c r="AD1337" t="str">
        <x:f>""</x:f>
        <x:v/>
      </x:c>
      <x:c r="AE1337" t="str">
        <x:f>""</x:f>
        <x:v/>
      </x:c>
      <x:c r="AF1337" t="str">
        <x:f>""</x:f>
        <x:v/>
      </x:c>
      <x:c r="AG1337" t="str">
        <x:f>""</x:f>
        <x:v/>
      </x:c>
    </x:row>
    <x:row r="1338" spans="2:33" x14ac:dyDescent="0.25">
      <x:c r="B1338" t="str">
        <x:f>"FIDU US Equity"</x:f>
        <x:v>FIDU US Equity</x:v>
      </x:c>
      <x:c r="C1338" t="str">
        <x:f t="shared" si="59"/>
        <x:v>FD447</x:v>
      </x:c>
      <x:c r="D1338" t="str">
        <x:f t="shared" si="60"/>
        <x:v>FUND_FLOW</x:v>
      </x:c>
      <x:c r="E1338" t="str">
        <x:f t="shared" si="61"/>
        <x:v>Dynamic</x:v>
      </x:c>
      <x:c r="F1338">
        <x:f ca="1">_xll.BDH($B$1338,$C$1338,$B$1010,$B$1011,CONCATENATE("Per=",$B$1008),"Dts=H","Dir=H",CONCATENATE("Points=",$B$1009),"Sort=R","Days=A","Fill=B",CONCATENATE("FX=", $B$1007),"cols=14;rows=1")</x:f>
        <x:v>2.2694000000000001</x:v>
      </x:c>
      <x:c r="G1338">
        <x:v>8.3682999999999996</x:v>
      </x:c>
      <x:c r="H1338">
        <x:v>31.889900000000001</x:v>
      </x:c>
      <x:c r="I1338">
        <x:v>23.067599999999999</x:v>
      </x:c>
      <x:c r="J1338">
        <x:v>2.8835999999999999</x:v>
      </x:c>
      <x:c r="K1338">
        <x:v>-5.2545000000000002</x:v>
      </x:c>
      <x:c r="L1338">
        <x:v>-7.8419999999999996</x:v>
      </x:c>
      <x:c r="M1338">
        <x:v>-10.896599999999999</x:v>
      </x:c>
      <x:c r="N1338">
        <x:v>-13.654</x:v>
      </x:c>
      <x:c r="O1338">
        <x:v>7.7241</x:v>
      </x:c>
      <x:c r="P1338">
        <x:v>7.6999999999999999E-2</x:v>
      </x:c>
      <x:c r="Q1338">
        <x:v>15.3271</x:v>
      </x:c>
      <x:c r="R1338">
        <x:v>-1.9286000000000001</x:v>
      </x:c>
      <x:c r="S1338">
        <x:v>-33.771599999999999</x:v>
      </x:c>
      <x:c r="T1338" t="str">
        <x:f>""</x:f>
        <x:v/>
      </x:c>
      <x:c r="U1338" t="str">
        <x:f>""</x:f>
        <x:v/>
      </x:c>
      <x:c r="V1338" t="str">
        <x:f>""</x:f>
        <x:v/>
      </x:c>
      <x:c r="W1338" t="str">
        <x:f>""</x:f>
        <x:v/>
      </x:c>
      <x:c r="X1338" t="str">
        <x:f>""</x:f>
        <x:v/>
      </x:c>
      <x:c r="Y1338" t="str">
        <x:f>""</x:f>
        <x:v/>
      </x:c>
      <x:c r="Z1338" t="str">
        <x:f>""</x:f>
        <x:v/>
      </x:c>
      <x:c r="AA1338" t="str">
        <x:f>""</x:f>
        <x:v/>
      </x:c>
      <x:c r="AB1338" t="str">
        <x:f>""</x:f>
        <x:v/>
      </x:c>
      <x:c r="AC1338" t="str">
        <x:f>""</x:f>
        <x:v/>
      </x:c>
      <x:c r="AD1338" t="str">
        <x:f>""</x:f>
        <x:v/>
      </x:c>
      <x:c r="AE1338" t="str">
        <x:f>""</x:f>
        <x:v/>
      </x:c>
      <x:c r="AF1338" t="str">
        <x:f>""</x:f>
        <x:v/>
      </x:c>
      <x:c r="AG1338" t="str">
        <x:f>""</x:f>
        <x:v/>
      </x:c>
    </x:row>
    <x:row r="1339" spans="2:33" x14ac:dyDescent="0.25">
      <x:c r="B1339" t="str">
        <x:f>"EXI US Equity"</x:f>
        <x:v>EXI US Equity</x:v>
      </x:c>
      <x:c r="C1339" t="str">
        <x:f t="shared" si="59"/>
        <x:v>FD447</x:v>
      </x:c>
      <x:c r="D1339" t="str">
        <x:f t="shared" si="60"/>
        <x:v>FUND_FLOW</x:v>
      </x:c>
      <x:c r="E1339" t="str">
        <x:f t="shared" si="61"/>
        <x:v>Dynamic</x:v>
      </x:c>
      <x:c r="F1339">
        <x:f ca="1">_xll.BDH($B$1339,$C$1339,$B$1010,$B$1011,CONCATENATE("Per=",$B$1008),"Dts=H","Dir=H",CONCATENATE("Points=",$B$1009),"Sort=R","Days=A","Fill=B",CONCATENATE("FX=", $B$1007),"cols=14;rows=1")</x:f>
        <x:v>-27.3614</x:v>
      </x:c>
      <x:c r="G1339">
        <x:v>130.95160000000001</x:v>
      </x:c>
      <x:c r="H1339">
        <x:v>35.723599999999998</x:v>
      </x:c>
      <x:c r="I1339">
        <x:v>12.2043</x:v>
      </x:c>
      <x:c r="J1339">
        <x:v>-57.179000000000002</x:v>
      </x:c>
      <x:c r="K1339">
        <x:v>-39.777900000000002</x:v>
      </x:c>
      <x:c r="L1339">
        <x:v>109.19840000000001</x:v>
      </x:c>
      <x:c r="M1339">
        <x:v>-5.4329000000000001</x:v>
      </x:c>
      <x:c r="N1339">
        <x:v>-11.128299999999999</x:v>
      </x:c>
      <x:c r="O1339">
        <x:v>11.217499999999999</x:v>
      </x:c>
      <x:c r="P1339">
        <x:v>10.886699999999999</x:v>
      </x:c>
      <x:c r="Q1339">
        <x:v>32.869999999999997</x:v>
      </x:c>
      <x:c r="R1339">
        <x:v>-23.477699999999999</x:v>
      </x:c>
      <x:c r="S1339">
        <x:v>-4.6231999999999998</x:v>
      </x:c>
      <x:c r="T1339" t="str">
        <x:f>""</x:f>
        <x:v/>
      </x:c>
      <x:c r="U1339" t="str">
        <x:f>""</x:f>
        <x:v/>
      </x:c>
      <x:c r="V1339" t="str">
        <x:f>""</x:f>
        <x:v/>
      </x:c>
      <x:c r="W1339" t="str">
        <x:f>""</x:f>
        <x:v/>
      </x:c>
      <x:c r="X1339" t="str">
        <x:f>""</x:f>
        <x:v/>
      </x:c>
      <x:c r="Y1339" t="str">
        <x:f>""</x:f>
        <x:v/>
      </x:c>
      <x:c r="Z1339" t="str">
        <x:f>""</x:f>
        <x:v/>
      </x:c>
      <x:c r="AA1339" t="str">
        <x:f>""</x:f>
        <x:v/>
      </x:c>
      <x:c r="AB1339" t="str">
        <x:f>""</x:f>
        <x:v/>
      </x:c>
      <x:c r="AC1339" t="str">
        <x:f>""</x:f>
        <x:v/>
      </x:c>
      <x:c r="AD1339" t="str">
        <x:f>""</x:f>
        <x:v/>
      </x:c>
      <x:c r="AE1339" t="str">
        <x:f>""</x:f>
        <x:v/>
      </x:c>
      <x:c r="AF1339" t="str">
        <x:f>""</x:f>
        <x:v/>
      </x:c>
      <x:c r="AG1339" t="str">
        <x:f>""</x:f>
        <x:v/>
      </x:c>
    </x:row>
    <x:row r="1340" spans="2:33" x14ac:dyDescent="0.25">
      <x:c r="B1340" t="str">
        <x:f>"AIRR US Equity"</x:f>
        <x:v>AIRR US Equity</x:v>
      </x:c>
      <x:c r="C1340" t="str">
        <x:f t="shared" si="59"/>
        <x:v>FD447</x:v>
      </x:c>
      <x:c r="D1340" t="str">
        <x:f t="shared" si="60"/>
        <x:v>FUND_FLOW</x:v>
      </x:c>
      <x:c r="E1340" t="str">
        <x:f t="shared" si="61"/>
        <x:v>Dynamic</x:v>
      </x:c>
      <x:c r="F1340">
        <x:f ca="1">_xll.BDH($B$1340,$C$1340,$B$1010,$B$1011,CONCATENATE("Per=",$B$1008),"Dts=H","Dir=H",CONCATENATE("Points=",$B$1009),"Sort=R","Days=A","Fill=B",CONCATENATE("FX=", $B$1007),"cols=14;rows=1")</x:f>
        <x:v>21.6082</x:v>
      </x:c>
      <x:c r="G1340">
        <x:v>34.316400000000002</x:v>
      </x:c>
      <x:c r="H1340">
        <x:v>27.1951</x:v>
      </x:c>
      <x:c r="I1340">
        <x:v>48.973199999999999</x:v>
      </x:c>
      <x:c r="J1340">
        <x:v>62.883899999999997</x:v>
      </x:c>
      <x:c r="K1340">
        <x:v>0.1822</x:v>
      </x:c>
      <x:c r="L1340">
        <x:v>-9.2013999999999996</x:v>
      </x:c>
      <x:c r="M1340">
        <x:v>50.6419</x:v>
      </x:c>
      <x:c r="N1340">
        <x:v>19.695799999999998</x:v>
      </x:c>
      <x:c r="O1340">
        <x:v>4.2083000000000004</x:v>
      </x:c>
      <x:c r="P1340">
        <x:v>2.3161</x:v>
      </x:c>
      <x:c r="Q1340">
        <x:v>16.024799999999999</x:v>
      </x:c>
      <x:c r="R1340">
        <x:v>9.1565999999999992</x:v>
      </x:c>
      <x:c r="S1340">
        <x:v>-6.0233999999999996</x:v>
      </x:c>
      <x:c r="T1340" t="str">
        <x:f>""</x:f>
        <x:v/>
      </x:c>
      <x:c r="U1340" t="str">
        <x:f>""</x:f>
        <x:v/>
      </x:c>
      <x:c r="V1340" t="str">
        <x:f>""</x:f>
        <x:v/>
      </x:c>
      <x:c r="W1340" t="str">
        <x:f>""</x:f>
        <x:v/>
      </x:c>
      <x:c r="X1340" t="str">
        <x:f>""</x:f>
        <x:v/>
      </x:c>
      <x:c r="Y1340" t="str">
        <x:f>""</x:f>
        <x:v/>
      </x:c>
      <x:c r="Z1340" t="str">
        <x:f>""</x:f>
        <x:v/>
      </x:c>
      <x:c r="AA1340" t="str">
        <x:f>""</x:f>
        <x:v/>
      </x:c>
      <x:c r="AB1340" t="str">
        <x:f>""</x:f>
        <x:v/>
      </x:c>
      <x:c r="AC1340" t="str">
        <x:f>""</x:f>
        <x:v/>
      </x:c>
      <x:c r="AD1340" t="str">
        <x:f>""</x:f>
        <x:v/>
      </x:c>
      <x:c r="AE1340" t="str">
        <x:f>""</x:f>
        <x:v/>
      </x:c>
      <x:c r="AF1340" t="str">
        <x:f>""</x:f>
        <x:v/>
      </x:c>
      <x:c r="AG1340" t="str">
        <x:f>""</x:f>
        <x:v/>
      </x:c>
    </x:row>
    <x:row r="1341" spans="2:33" x14ac:dyDescent="0.25">
      <x:c r="B1341" t="str">
        <x:f>"RGI US Equity"</x:f>
        <x:v>RGI US Equity</x:v>
      </x:c>
      <x:c r="C1341" t="str">
        <x:f t="shared" si="59"/>
        <x:v>FD447</x:v>
      </x:c>
      <x:c r="D1341" t="str">
        <x:f t="shared" si="60"/>
        <x:v>FUND_FLOW</x:v>
      </x:c>
      <x:c r="E1341" t="str">
        <x:f t="shared" si="61"/>
        <x:v>Dynamic</x:v>
      </x:c>
      <x:c r="F1341">
        <x:f ca="1">_xll.BDH($B$1341,$C$1341,$B$1010,$B$1011,CONCATENATE("Per=",$B$1008),"Dts=H","Dir=H",CONCATENATE("Points=",$B$1009),"Sort=R","Days=A","Fill=B",CONCATENATE("FX=", $B$1007),"cols=14;rows=1")</x:f>
        <x:v>0.13220000000000001</x:v>
      </x:c>
      <x:c r="G1341">
        <x:v>20.916699999999999</x:v>
      </x:c>
      <x:c r="H1341">
        <x:v>14.543900000000001</x:v>
      </x:c>
      <x:c r="I1341">
        <x:v>38.569299999999998</x:v>
      </x:c>
      <x:c r="J1341">
        <x:v>104.1189</x:v>
      </x:c>
      <x:c r="T1341" t="str">
        <x:f>""</x:f>
        <x:v/>
      </x:c>
      <x:c r="U1341" t="str">
        <x:f>""</x:f>
        <x:v/>
      </x:c>
      <x:c r="V1341" t="str">
        <x:f>""</x:f>
        <x:v/>
      </x:c>
      <x:c r="W1341" t="str">
        <x:f>""</x:f>
        <x:v/>
      </x:c>
      <x:c r="X1341" t="str">
        <x:f>""</x:f>
        <x:v/>
      </x:c>
      <x:c r="Y1341" t="str">
        <x:f>""</x:f>
        <x:v/>
      </x:c>
      <x:c r="Z1341" t="str">
        <x:f>""</x:f>
        <x:v/>
      </x:c>
      <x:c r="AA1341" t="str">
        <x:f>""</x:f>
        <x:v/>
      </x:c>
      <x:c r="AB1341" t="str">
        <x:f>""</x:f>
        <x:v/>
      </x:c>
      <x:c r="AC1341" t="str">
        <x:f>""</x:f>
        <x:v/>
      </x:c>
      <x:c r="AD1341" t="str">
        <x:f>""</x:f>
        <x:v/>
      </x:c>
      <x:c r="AE1341" t="str">
        <x:f>""</x:f>
        <x:v/>
      </x:c>
      <x:c r="AF1341" t="str">
        <x:f>""</x:f>
        <x:v/>
      </x:c>
      <x:c r="AG1341" t="str">
        <x:f>""</x:f>
        <x:v/>
      </x:c>
    </x:row>
    <x:row r="1342" spans="2:33" x14ac:dyDescent="0.25">
      <x:c r="B1342" t="str">
        <x:f>"XTN US Equity"</x:f>
        <x:v>XTN US Equity</x:v>
      </x:c>
      <x:c r="C1342" t="str">
        <x:f t="shared" si="59"/>
        <x:v>FD447</x:v>
      </x:c>
      <x:c r="D1342" t="str">
        <x:f t="shared" si="60"/>
        <x:v>FUND_FLOW</x:v>
      </x:c>
      <x:c r="E1342" t="str">
        <x:f t="shared" si="61"/>
        <x:v>Dynamic</x:v>
      </x:c>
      <x:c r="F1342">
        <x:f ca="1">_xll.BDH($B$1342,$C$1342,$B$1010,$B$1011,CONCATENATE("Per=",$B$1008),"Dts=H","Dir=H",CONCATENATE("Points=",$B$1009),"Sort=R","Days=A","Fill=B",CONCATENATE("FX=", $B$1007),"cols=14;rows=1")</x:f>
        <x:v>-8.6744000000000003</x:v>
      </x:c>
      <x:c r="G1342">
        <x:v>-14.063599999999999</x:v>
      </x:c>
      <x:c r="H1342">
        <x:v>-8.0509000000000004</x:v>
      </x:c>
      <x:c r="I1342">
        <x:v>6.3773</x:v>
      </x:c>
      <x:c r="J1342">
        <x:v>2.8296999999999999</x:v>
      </x:c>
      <x:c r="K1342">
        <x:v>-8.6157000000000004</x:v>
      </x:c>
      <x:c r="L1342">
        <x:v>-21.348099999999999</x:v>
      </x:c>
      <x:c r="M1342">
        <x:v>15.232900000000001</x:v>
      </x:c>
      <x:c r="N1342">
        <x:v>-2.9157999999999999</x:v>
      </x:c>
      <x:c r="O1342">
        <x:v>-201.24940000000001</x:v>
      </x:c>
      <x:c r="P1342">
        <x:v>-5.9836999999999998</x:v>
      </x:c>
      <x:c r="Q1342">
        <x:v>-9.4276</x:v>
      </x:c>
      <x:c r="R1342">
        <x:v>-13.4092</x:v>
      </x:c>
      <x:c r="S1342">
        <x:v>-3.4811000000000001</x:v>
      </x:c>
      <x:c r="T1342" t="str">
        <x:f>""</x:f>
        <x:v/>
      </x:c>
      <x:c r="U1342" t="str">
        <x:f>""</x:f>
        <x:v/>
      </x:c>
      <x:c r="V1342" t="str">
        <x:f>""</x:f>
        <x:v/>
      </x:c>
      <x:c r="W1342" t="str">
        <x:f>""</x:f>
        <x:v/>
      </x:c>
      <x:c r="X1342" t="str">
        <x:f>""</x:f>
        <x:v/>
      </x:c>
      <x:c r="Y1342" t="str">
        <x:f>""</x:f>
        <x:v/>
      </x:c>
      <x:c r="Z1342" t="str">
        <x:f>""</x:f>
        <x:v/>
      </x:c>
      <x:c r="AA1342" t="str">
        <x:f>""</x:f>
        <x:v/>
      </x:c>
      <x:c r="AB1342" t="str">
        <x:f>""</x:f>
        <x:v/>
      </x:c>
      <x:c r="AC1342" t="str">
        <x:f>""</x:f>
        <x:v/>
      </x:c>
      <x:c r="AD1342" t="str">
        <x:f>""</x:f>
        <x:v/>
      </x:c>
      <x:c r="AE1342" t="str">
        <x:f>""</x:f>
        <x:v/>
      </x:c>
      <x:c r="AF1342" t="str">
        <x:f>""</x:f>
        <x:v/>
      </x:c>
      <x:c r="AG1342" t="str">
        <x:f>""</x:f>
        <x:v/>
      </x:c>
    </x:row>
    <x:row r="1343" spans="2:33" x14ac:dyDescent="0.25">
      <x:c r="B1343" t="str">
        <x:f>"PRN US Equity"</x:f>
        <x:v>PRN US Equity</x:v>
      </x:c>
      <x:c r="C1343" t="str">
        <x:f t="shared" si="59"/>
        <x:v>FD447</x:v>
      </x:c>
      <x:c r="D1343" t="str">
        <x:f t="shared" si="60"/>
        <x:v>FUND_FLOW</x:v>
      </x:c>
      <x:c r="E1343" t="str">
        <x:f t="shared" si="61"/>
        <x:v>Dynamic</x:v>
      </x:c>
      <x:c r="F1343">
        <x:f ca="1">_xll.BDH($B$1343,$C$1343,$B$1010,$B$1011,CONCATENATE("Per=",$B$1008),"Dts=H","Dir=H",CONCATENATE("Points=",$B$1009),"Sort=R","Days=A","Fill=B",CONCATENATE("FX=", $B$1007),"cols=14;rows=1")</x:f>
        <x:v>-2.9554999999999998</x:v>
      </x:c>
      <x:c r="G1343">
        <x:v>5.28E-2</x:v>
      </x:c>
      <x:c r="H1343">
        <x:v>4.3148</x:v>
      </x:c>
      <x:c r="I1343">
        <x:v>1.0601</x:v>
      </x:c>
      <x:c r="J1343">
        <x:v>0.68910000000000005</x:v>
      </x:c>
      <x:c r="K1343">
        <x:v>0.97099999999999997</x:v>
      </x:c>
      <x:c r="L1343">
        <x:v>-1.8153999999999999</x:v>
      </x:c>
      <x:c r="M1343">
        <x:v>0</x:v>
      </x:c>
      <x:c r="N1343">
        <x:v>0</x:v>
      </x:c>
      <x:c r="O1343">
        <x:v>19.6846</x:v>
      </x:c>
      <x:c r="P1343">
        <x:v>-6.1379999999999999</x:v>
      </x:c>
      <x:c r="Q1343">
        <x:v>-1.7867999999999999</x:v>
      </x:c>
      <x:c r="R1343">
        <x:v>-4.2431999999999999</x:v>
      </x:c>
      <x:c r="S1343">
        <x:v>-0.89590000000000003</x:v>
      </x:c>
      <x:c r="T1343" t="str">
        <x:f>""</x:f>
        <x:v/>
      </x:c>
      <x:c r="U1343" t="str">
        <x:f>""</x:f>
        <x:v/>
      </x:c>
      <x:c r="V1343" t="str">
        <x:f>""</x:f>
        <x:v/>
      </x:c>
      <x:c r="W1343" t="str">
        <x:f>""</x:f>
        <x:v/>
      </x:c>
      <x:c r="X1343" t="str">
        <x:f>""</x:f>
        <x:v/>
      </x:c>
      <x:c r="Y1343" t="str">
        <x:f>""</x:f>
        <x:v/>
      </x:c>
      <x:c r="Z1343" t="str">
        <x:f>""</x:f>
        <x:v/>
      </x:c>
      <x:c r="AA1343" t="str">
        <x:f>""</x:f>
        <x:v/>
      </x:c>
      <x:c r="AB1343" t="str">
        <x:f>""</x:f>
        <x:v/>
      </x:c>
      <x:c r="AC1343" t="str">
        <x:f>""</x:f>
        <x:v/>
      </x:c>
      <x:c r="AD1343" t="str">
        <x:f>""</x:f>
        <x:v/>
      </x:c>
      <x:c r="AE1343" t="str">
        <x:f>""</x:f>
        <x:v/>
      </x:c>
      <x:c r="AF1343" t="str">
        <x:f>""</x:f>
        <x:v/>
      </x:c>
      <x:c r="AG1343" t="str">
        <x:f>""</x:f>
        <x:v/>
      </x:c>
    </x:row>
    <x:row r="1344" spans="2:33" x14ac:dyDescent="0.25">
      <x:c r="B1344" t="str">
        <x:f>"SEA US Equity"</x:f>
        <x:v>SEA US Equity</x:v>
      </x:c>
      <x:c r="C1344" t="str">
        <x:f t="shared" si="59"/>
        <x:v>FD447</x:v>
      </x:c>
      <x:c r="D1344" t="str">
        <x:f t="shared" si="60"/>
        <x:v>FUND_FLOW</x:v>
      </x:c>
      <x:c r="E1344" t="str">
        <x:f t="shared" si="61"/>
        <x:v>Dynamic</x:v>
      </x:c>
      <x:c r="F1344">
        <x:f ca="1">_xll.BDH($B$1344,$C$1344,$B$1010,$B$1011,CONCATENATE("Per=",$B$1008),"Dts=H","Dir=H",CONCATENATE("Points=",$B$1009),"Sort=R","Days=A","Fill=B",CONCATENATE("FX=", $B$1007),"cols=14;rows=1")</x:f>
        <x:v>0.72340000000000004</x:v>
      </x:c>
      <x:c r="G1344">
        <x:v>0</x:v>
      </x:c>
      <x:c r="H1344">
        <x:v>0</x:v>
      </x:c>
      <x:c r="I1344">
        <x:v>0</x:v>
      </x:c>
      <x:c r="J1344">
        <x:v>0</x:v>
      </x:c>
      <x:c r="K1344">
        <x:v>0</x:v>
      </x:c>
      <x:c r="L1344">
        <x:v>0</x:v>
      </x:c>
      <x:c r="M1344">
        <x:v>0</x:v>
      </x:c>
      <x:c r="N1344">
        <x:v>-0.7339</x:v>
      </x:c>
      <x:c r="O1344">
        <x:v>-0.71189999999999998</x:v>
      </x:c>
      <x:c r="P1344">
        <x:v>0.41959999999999997</x:v>
      </x:c>
      <x:c r="Q1344">
        <x:v>0</x:v>
      </x:c>
      <x:c r="R1344">
        <x:v>0</x:v>
      </x:c>
      <x:c r="S1344">
        <x:v>0</x:v>
      </x:c>
      <x:c r="T1344" t="str">
        <x:f>""</x:f>
        <x:v/>
      </x:c>
      <x:c r="U1344" t="str">
        <x:f>""</x:f>
        <x:v/>
      </x:c>
      <x:c r="V1344" t="str">
        <x:f>""</x:f>
        <x:v/>
      </x:c>
      <x:c r="W1344" t="str">
        <x:f>""</x:f>
        <x:v/>
      </x:c>
      <x:c r="X1344" t="str">
        <x:f>""</x:f>
        <x:v/>
      </x:c>
      <x:c r="Y1344" t="str">
        <x:f>""</x:f>
        <x:v/>
      </x:c>
      <x:c r="Z1344" t="str">
        <x:f>""</x:f>
        <x:v/>
      </x:c>
      <x:c r="AA1344" t="str">
        <x:f>""</x:f>
        <x:v/>
      </x:c>
      <x:c r="AB1344" t="str">
        <x:f>""</x:f>
        <x:v/>
      </x:c>
      <x:c r="AC1344" t="str">
        <x:f>""</x:f>
        <x:v/>
      </x:c>
      <x:c r="AD1344" t="str">
        <x:f>""</x:f>
        <x:v/>
      </x:c>
      <x:c r="AE1344" t="str">
        <x:f>""</x:f>
        <x:v/>
      </x:c>
      <x:c r="AF1344" t="str">
        <x:f>""</x:f>
        <x:v/>
      </x:c>
      <x:c r="AG1344" t="str">
        <x:f>""</x:f>
        <x:v/>
      </x:c>
    </x:row>
    <x:row r="1345" spans="2:33" x14ac:dyDescent="0.25">
      <x:c r="B1345" t="str">
        <x:f>"PSCI US Equity"</x:f>
        <x:v>PSCI US Equity</x:v>
      </x:c>
      <x:c r="C1345" t="str">
        <x:f t="shared" si="59"/>
        <x:v>FD447</x:v>
      </x:c>
      <x:c r="D1345" t="str">
        <x:f t="shared" si="60"/>
        <x:v>FUND_FLOW</x:v>
      </x:c>
      <x:c r="E1345" t="str">
        <x:f t="shared" si="61"/>
        <x:v>Dynamic</x:v>
      </x:c>
      <x:c r="F1345">
        <x:f ca="1">_xll.BDH($B$1345,$C$1345,$B$1010,$B$1011,CONCATENATE("Per=",$B$1008),"Dts=H","Dir=H",CONCATENATE("Points=",$B$1009),"Sort=R","Days=A","Fill=B",CONCATENATE("FX=", $B$1007),"cols=14;rows=1")</x:f>
        <x:v>-1.9098999999999999</x:v>
      </x:c>
      <x:c r="G1345">
        <x:v>7.1275000000000004</x:v>
      </x:c>
      <x:c r="H1345">
        <x:v>2.0918000000000001</x:v>
      </x:c>
      <x:c r="I1345">
        <x:v>3.0988000000000002</x:v>
      </x:c>
      <x:c r="J1345">
        <x:v>4.0572999999999997</x:v>
      </x:c>
      <x:c r="K1345">
        <x:v>39.249200000000002</x:v>
      </x:c>
      <x:c r="L1345">
        <x:v>-3.6976</x:v>
      </x:c>
      <x:c r="M1345">
        <x:v>4.9428000000000001</x:v>
      </x:c>
      <x:c r="N1345">
        <x:v>-0.95250000000000001</x:v>
      </x:c>
      <x:c r="O1345">
        <x:v>0</x:v>
      </x:c>
      <x:c r="P1345">
        <x:v>-0.89880000000000004</x:v>
      </x:c>
      <x:c r="Q1345">
        <x:v>-0.97440000000000004</x:v>
      </x:c>
      <x:c r="R1345">
        <x:v>1.7525999999999999</x:v>
      </x:c>
      <x:c r="S1345">
        <x:v>-0.82299999999999995</x:v>
      </x:c>
      <x:c r="T1345" t="str">
        <x:f>""</x:f>
        <x:v/>
      </x:c>
      <x:c r="U1345" t="str">
        <x:f>""</x:f>
        <x:v/>
      </x:c>
      <x:c r="V1345" t="str">
        <x:f>""</x:f>
        <x:v/>
      </x:c>
      <x:c r="W1345" t="str">
        <x:f>""</x:f>
        <x:v/>
      </x:c>
      <x:c r="X1345" t="str">
        <x:f>""</x:f>
        <x:v/>
      </x:c>
      <x:c r="Y1345" t="str">
        <x:f>""</x:f>
        <x:v/>
      </x:c>
      <x:c r="Z1345" t="str">
        <x:f>""</x:f>
        <x:v/>
      </x:c>
      <x:c r="AA1345" t="str">
        <x:f>""</x:f>
        <x:v/>
      </x:c>
      <x:c r="AB1345" t="str">
        <x:f>""</x:f>
        <x:v/>
      </x:c>
      <x:c r="AC1345" t="str">
        <x:f>""</x:f>
        <x:v/>
      </x:c>
      <x:c r="AD1345" t="str">
        <x:f>""</x:f>
        <x:v/>
      </x:c>
      <x:c r="AE1345" t="str">
        <x:f>""</x:f>
        <x:v/>
      </x:c>
      <x:c r="AF1345" t="str">
        <x:f>""</x:f>
        <x:v/>
      </x:c>
      <x:c r="AG1345" t="str">
        <x:f>""</x:f>
        <x:v/>
      </x:c>
    </x:row>
    <x:row r="1346" spans="2:33" x14ac:dyDescent="0.25">
      <x:c r="B1346" t="str">
        <x:f>"IPN US Equity"</x:f>
        <x:v>IPN US Equity</x:v>
      </x:c>
      <x:c r="C1346" t="str">
        <x:f t="shared" si="59"/>
        <x:v>FD447</x:v>
      </x:c>
      <x:c r="D1346" t="str">
        <x:f t="shared" si="60"/>
        <x:v>FUND_FLOW</x:v>
      </x:c>
      <x:c r="E1346" t="str">
        <x:f t="shared" si="61"/>
        <x:v>Dynamic</x:v>
      </x:c>
      <x:c r="F1346" t="str">
        <x:f ca="1">_xll.BDH($B$1346,$C$1346,$B$1010,$B$1011,CONCATENATE("Per=",$B$1008),"Dts=H","Dir=H",CONCATENATE("Points=",$B$1009),"Sort=R","Days=A","Fill=B",CONCATENATE("FX=", $B$1007) )</x:f>
        <x:v/>
      </x:c>
      <x:c r="T1346" t="str">
        <x:f>""</x:f>
        <x:v/>
      </x:c>
      <x:c r="U1346" t="str">
        <x:f>""</x:f>
        <x:v/>
      </x:c>
      <x:c r="V1346" t="str">
        <x:f>""</x:f>
        <x:v/>
      </x:c>
      <x:c r="W1346" t="str">
        <x:f>""</x:f>
        <x:v/>
      </x:c>
      <x:c r="X1346" t="str">
        <x:f>""</x:f>
        <x:v/>
      </x:c>
      <x:c r="Y1346" t="str">
        <x:f>""</x:f>
        <x:v/>
      </x:c>
      <x:c r="Z1346" t="str">
        <x:f>""</x:f>
        <x:v/>
      </x:c>
      <x:c r="AA1346" t="str">
        <x:f>""</x:f>
        <x:v/>
      </x:c>
      <x:c r="AB1346" t="str">
        <x:f>""</x:f>
        <x:v/>
      </x:c>
      <x:c r="AC1346" t="str">
        <x:f>""</x:f>
        <x:v/>
      </x:c>
      <x:c r="AD1346" t="str">
        <x:f>""</x:f>
        <x:v/>
      </x:c>
      <x:c r="AE1346" t="str">
        <x:f>""</x:f>
        <x:v/>
      </x:c>
      <x:c r="AF1346" t="str">
        <x:f>""</x:f>
        <x:v/>
      </x:c>
      <x:c r="AG1346" t="str">
        <x:f>""</x:f>
        <x:v/>
      </x:c>
    </x:row>
    <x:row r="1347" spans="2:33" x14ac:dyDescent="0.25">
      <x:c r="B1347" t="str">
        <x:f>"JHMI US Equity"</x:f>
        <x:v>JHMI US Equity</x:v>
      </x:c>
      <x:c r="C1347" t="str">
        <x:f t="shared" si="59"/>
        <x:v>FD447</x:v>
      </x:c>
      <x:c r="D1347" t="str">
        <x:f t="shared" si="60"/>
        <x:v>FUND_FLOW</x:v>
      </x:c>
      <x:c r="E1347" t="str">
        <x:f t="shared" si="61"/>
        <x:v>Dynamic</x:v>
      </x:c>
      <x:c r="F1347" t="str">
        <x:f ca="1">_xll.BDH($B$1347,$C$1347,$B$1010,$B$1011,CONCATENATE("Per=",$B$1008),"Dts=H","Dir=H",CONCATENATE("Points=",$B$1009),"Sort=R","Days=A","Fill=B",CONCATENATE("FX=", $B$1007),"cols=14;rows=1")</x:f>
        <x:v/>
      </x:c>
      <x:c r="R1347">
        <x:v>-1.7678</x:v>
      </x:c>
      <x:c r="S1347">
        <x:v>-0.95530000000000004</x:v>
      </x:c>
      <x:c r="T1347" t="str">
        <x:f>""</x:f>
        <x:v/>
      </x:c>
      <x:c r="U1347" t="str">
        <x:f>""</x:f>
        <x:v/>
      </x:c>
      <x:c r="V1347" t="str">
        <x:f>""</x:f>
        <x:v/>
      </x:c>
      <x:c r="W1347" t="str">
        <x:f>""</x:f>
        <x:v/>
      </x:c>
      <x:c r="X1347" t="str">
        <x:f>""</x:f>
        <x:v/>
      </x:c>
      <x:c r="Y1347" t="str">
        <x:f>""</x:f>
        <x:v/>
      </x:c>
      <x:c r="Z1347" t="str">
        <x:f>""</x:f>
        <x:v/>
      </x:c>
      <x:c r="AA1347" t="str">
        <x:f>""</x:f>
        <x:v/>
      </x:c>
      <x:c r="AB1347" t="str">
        <x:f>""</x:f>
        <x:v/>
      </x:c>
      <x:c r="AC1347" t="str">
        <x:f>""</x:f>
        <x:v/>
      </x:c>
      <x:c r="AD1347" t="str">
        <x:f>""</x:f>
        <x:v/>
      </x:c>
      <x:c r="AE1347" t="str">
        <x:f>""</x:f>
        <x:v/>
      </x:c>
      <x:c r="AF1347" t="str">
        <x:f>""</x:f>
        <x:v/>
      </x:c>
      <x:c r="AG1347" t="str">
        <x:f>""</x:f>
        <x:v/>
      </x:c>
    </x:row>
    <x:row r="1348" spans="2:33" x14ac:dyDescent="0.25">
      <x:c r="B1348" t="str">
        <x:f>"UXI US Equity"</x:f>
        <x:v>UXI US Equity</x:v>
      </x:c>
      <x:c r="C1348" t="str">
        <x:f t="shared" si="59"/>
        <x:v>FD447</x:v>
      </x:c>
      <x:c r="D1348" t="str">
        <x:f t="shared" si="60"/>
        <x:v>FUND_FLOW</x:v>
      </x:c>
      <x:c r="E1348" t="str">
        <x:f t="shared" si="61"/>
        <x:v>Dynamic</x:v>
      </x:c>
      <x:c r="F1348">
        <x:f ca="1">_xll.BDH($B$1348,$C$1348,$B$1010,$B$1011,CONCATENATE("Per=",$B$1008),"Dts=H","Dir=H",CONCATENATE("Points=",$B$1009),"Sort=R","Days=A","Fill=B",CONCATENATE("FX=", $B$1007),"cols=14;rows=1")</x:f>
        <x:v>-2.1804999999999999</x:v>
      </x:c>
      <x:c r="G1348">
        <x:v>-3.2092999999999998</x:v>
      </x:c>
      <x:c r="H1348">
        <x:v>2.1415000000000002</x:v>
      </x:c>
      <x:c r="I1348">
        <x:v>0.51839999999999997</x:v>
      </x:c>
      <x:c r="J1348">
        <x:v>-0.73160000000000003</x:v>
      </x:c>
      <x:c r="K1348">
        <x:v>-0.2175</x:v>
      </x:c>
      <x:c r="L1348">
        <x:v>0</x:v>
      </x:c>
      <x:c r="M1348">
        <x:v>0</x:v>
      </x:c>
      <x:c r="N1348">
        <x:v>0.76880000000000004</x:v>
      </x:c>
      <x:c r="O1348">
        <x:v>-0.23799999999999999</x:v>
      </x:c>
      <x:c r="P1348">
        <x:v>0</x:v>
      </x:c>
      <x:c r="Q1348">
        <x:v>1.3185</x:v>
      </x:c>
      <x:c r="R1348">
        <x:v>1.1073</x:v>
      </x:c>
      <x:c r="S1348">
        <x:v>0</x:v>
      </x:c>
      <x:c r="T1348" t="str">
        <x:f>""</x:f>
        <x:v/>
      </x:c>
      <x:c r="U1348" t="str">
        <x:f>""</x:f>
        <x:v/>
      </x:c>
      <x:c r="V1348" t="str">
        <x:f>""</x:f>
        <x:v/>
      </x:c>
      <x:c r="W1348" t="str">
        <x:f>""</x:f>
        <x:v/>
      </x:c>
      <x:c r="X1348" t="str">
        <x:f>""</x:f>
        <x:v/>
      </x:c>
      <x:c r="Y1348" t="str">
        <x:f>""</x:f>
        <x:v/>
      </x:c>
      <x:c r="Z1348" t="str">
        <x:f>""</x:f>
        <x:v/>
      </x:c>
      <x:c r="AA1348" t="str">
        <x:f>""</x:f>
        <x:v/>
      </x:c>
      <x:c r="AB1348" t="str">
        <x:f>""</x:f>
        <x:v/>
      </x:c>
      <x:c r="AC1348" t="str">
        <x:f>""</x:f>
        <x:v/>
      </x:c>
      <x:c r="AD1348" t="str">
        <x:f>""</x:f>
        <x:v/>
      </x:c>
      <x:c r="AE1348" t="str">
        <x:f>""</x:f>
        <x:v/>
      </x:c>
      <x:c r="AF1348" t="str">
        <x:f>""</x:f>
        <x:v/>
      </x:c>
      <x:c r="AG1348" t="str">
        <x:f>""</x:f>
        <x:v/>
      </x:c>
    </x:row>
    <x:row r="1349" spans="2:33" x14ac:dyDescent="0.25">
      <x:c r="B1349" t="str">
        <x:f>"EVX US Equity"</x:f>
        <x:v>EVX US Equity</x:v>
      </x:c>
      <x:c r="C1349" t="str">
        <x:f t="shared" si="59"/>
        <x:v>FD447</x:v>
      </x:c>
      <x:c r="D1349" t="str">
        <x:f t="shared" si="60"/>
        <x:v>FUND_FLOW</x:v>
      </x:c>
      <x:c r="E1349" t="str">
        <x:f t="shared" si="61"/>
        <x:v>Dynamic</x:v>
      </x:c>
      <x:c r="F1349">
        <x:f ca="1">_xll.BDH($B$1349,$C$1349,$B$1010,$B$1011,CONCATENATE("Per=",$B$1008),"Dts=H","Dir=H",CONCATENATE("Points=",$B$1009),"Sort=R","Days=A","Fill=B",CONCATENATE("FX=", $B$1007),"cols=14;rows=1")</x:f>
        <x:v>0</x:v>
      </x:c>
      <x:c r="G1349">
        <x:v>-1.5003</x:v>
      </x:c>
      <x:c r="H1349">
        <x:v>3.0695999999999999</x:v>
      </x:c>
      <x:c r="I1349">
        <x:v>9.6789000000000005</x:v>
      </x:c>
      <x:c r="J1349">
        <x:v>-6.3200000000000006E-2</x:v>
      </x:c>
      <x:c r="K1349">
        <x:v>0</x:v>
      </x:c>
      <x:c r="L1349">
        <x:v>-2.8382000000000001</x:v>
      </x:c>
      <x:c r="M1349">
        <x:v>-8.5099999999999995E-2</x:v>
      </x:c>
      <x:c r="N1349">
        <x:v>0</x:v>
      </x:c>
      <x:c r="O1349">
        <x:v>-2.8489</x:v>
      </x:c>
      <x:c r="P1349">
        <x:v>-3.8999999999999998E-3</x:v>
      </x:c>
      <x:c r="Q1349">
        <x:v>-1.3929</x:v>
      </x:c>
      <x:c r="R1349">
        <x:v>0</x:v>
      </x:c>
      <x:c r="S1349">
        <x:v>5.8685999999999998</x:v>
      </x:c>
      <x:c r="T1349" t="str">
        <x:f>""</x:f>
        <x:v/>
      </x:c>
      <x:c r="U1349" t="str">
        <x:f>""</x:f>
        <x:v/>
      </x:c>
      <x:c r="V1349" t="str">
        <x:f>""</x:f>
        <x:v/>
      </x:c>
      <x:c r="W1349" t="str">
        <x:f>""</x:f>
        <x:v/>
      </x:c>
      <x:c r="X1349" t="str">
        <x:f>""</x:f>
        <x:v/>
      </x:c>
      <x:c r="Y1349" t="str">
        <x:f>""</x:f>
        <x:v/>
      </x:c>
      <x:c r="Z1349" t="str">
        <x:f>""</x:f>
        <x:v/>
      </x:c>
      <x:c r="AA1349" t="str">
        <x:f>""</x:f>
        <x:v/>
      </x:c>
      <x:c r="AB1349" t="str">
        <x:f>""</x:f>
        <x:v/>
      </x:c>
      <x:c r="AC1349" t="str">
        <x:f>""</x:f>
        <x:v/>
      </x:c>
      <x:c r="AD1349" t="str">
        <x:f>""</x:f>
        <x:v/>
      </x:c>
      <x:c r="AE1349" t="str">
        <x:f>""</x:f>
        <x:v/>
      </x:c>
      <x:c r="AF1349" t="str">
        <x:f>""</x:f>
        <x:v/>
      </x:c>
      <x:c r="AG1349" t="str">
        <x:f>""</x:f>
        <x:v/>
      </x:c>
    </x:row>
    <x:row r="1350" spans="2:33" x14ac:dyDescent="0.25">
      <x:c r="B1350" t="str">
        <x:f>"FLM US Equity"</x:f>
        <x:v>FLM US Equity</x:v>
      </x:c>
      <x:c r="C1350" t="str">
        <x:f t="shared" si="59"/>
        <x:v>FD447</x:v>
      </x:c>
      <x:c r="D1350" t="str">
        <x:f t="shared" si="60"/>
        <x:v>FUND_FLOW</x:v>
      </x:c>
      <x:c r="E1350" t="str">
        <x:f t="shared" si="61"/>
        <x:v>Dynamic</x:v>
      </x:c>
      <x:c r="F1350">
        <x:f ca="1">_xll.BDH($B$1350,$C$1350,$B$1010,$B$1011,CONCATENATE("Per=",$B$1008),"Dts=H","Dir=H",CONCATENATE("Points=",$B$1009),"Sort=R","Days=A","Fill=B",CONCATENATE("FX=", $B$1007),"cols=14;rows=1")</x:f>
        <x:v>0</x:v>
      </x:c>
      <x:c r="G1350">
        <x:v>0</x:v>
      </x:c>
      <x:c r="H1350">
        <x:v>0</x:v>
      </x:c>
      <x:c r="I1350">
        <x:v>0</x:v>
      </x:c>
      <x:c r="J1350">
        <x:v>0</x:v>
      </x:c>
      <x:c r="K1350">
        <x:v>0</x:v>
      </x:c>
      <x:c r="L1350">
        <x:v>0</x:v>
      </x:c>
      <x:c r="M1350">
        <x:v>0</x:v>
      </x:c>
      <x:c r="N1350">
        <x:v>0</x:v>
      </x:c>
      <x:c r="O1350">
        <x:v>0</x:v>
      </x:c>
      <x:c r="P1350">
        <x:v>0</x:v>
      </x:c>
      <x:c r="Q1350">
        <x:v>0</x:v>
      </x:c>
      <x:c r="R1350">
        <x:v>-2.15</x:v>
      </x:c>
      <x:c r="S1350">
        <x:v>0</x:v>
      </x:c>
      <x:c r="T1350" t="str">
        <x:f>""</x:f>
        <x:v/>
      </x:c>
      <x:c r="U1350" t="str">
        <x:f>""</x:f>
        <x:v/>
      </x:c>
      <x:c r="V1350" t="str">
        <x:f>""</x:f>
        <x:v/>
      </x:c>
      <x:c r="W1350" t="str">
        <x:f>""</x:f>
        <x:v/>
      </x:c>
      <x:c r="X1350" t="str">
        <x:f>""</x:f>
        <x:v/>
      </x:c>
      <x:c r="Y1350" t="str">
        <x:f>""</x:f>
        <x:v/>
      </x:c>
      <x:c r="Z1350" t="str">
        <x:f>""</x:f>
        <x:v/>
      </x:c>
      <x:c r="AA1350" t="str">
        <x:f>""</x:f>
        <x:v/>
      </x:c>
      <x:c r="AB1350" t="str">
        <x:f>""</x:f>
        <x:v/>
      </x:c>
      <x:c r="AC1350" t="str">
        <x:f>""</x:f>
        <x:v/>
      </x:c>
      <x:c r="AD1350" t="str">
        <x:f>""</x:f>
        <x:v/>
      </x:c>
      <x:c r="AE1350" t="str">
        <x:f>""</x:f>
        <x:v/>
      </x:c>
      <x:c r="AF1350" t="str">
        <x:f>""</x:f>
        <x:v/>
      </x:c>
      <x:c r="AG1350" t="str">
        <x:f>""</x:f>
        <x:v/>
      </x:c>
    </x:row>
    <x:row r="1351" spans="2:33" x14ac:dyDescent="0.25">
      <x:c r="B1351" t="str">
        <x:f>"IVES US Equity"</x:f>
        <x:v>IVES US Equity</x:v>
      </x:c>
      <x:c r="C1351" t="str">
        <x:f t="shared" si="59"/>
        <x:v>FD447</x:v>
      </x:c>
      <x:c r="D1351" t="str">
        <x:f t="shared" si="60"/>
        <x:v>FUND_FLOW</x:v>
      </x:c>
      <x:c r="E1351" t="str">
        <x:f t="shared" si="61"/>
        <x:v>Dynamic</x:v>
      </x:c>
      <x:c r="F1351">
        <x:f ca="1">_xll.BDH($B$1351,$C$1351,$B$1010,$B$1011,CONCATENATE("Per=",$B$1008),"Dts=H","Dir=H",CONCATENATE("Points=",$B$1009),"Sort=R","Days=A","Fill=B",CONCATENATE("FX=", $B$1007),"cols=14;rows=1")</x:f>
        <x:v>-3.5318000000000001</x:v>
      </x:c>
      <x:c r="G1351">
        <x:v>-1.8433999999999999</x:v>
      </x:c>
      <x:c r="H1351">
        <x:v>3.5369999999999999</x:v>
      </x:c>
      <x:c r="I1351">
        <x:v>0</x:v>
      </x:c>
      <x:c r="J1351">
        <x:v>0</x:v>
      </x:c>
      <x:c r="K1351">
        <x:v>-1.5839000000000001</x:v>
      </x:c>
      <x:c r="L1351">
        <x:v>0</x:v>
      </x:c>
      <x:c r="M1351">
        <x:v>0</x:v>
      </x:c>
      <x:c r="N1351">
        <x:v>0</x:v>
      </x:c>
      <x:c r="O1351">
        <x:v>-2.9209000000000001</x:v>
      </x:c>
      <x:c r="P1351">
        <x:v>0</x:v>
      </x:c>
      <x:c r="Q1351">
        <x:v>0</x:v>
      </x:c>
      <x:c r="R1351">
        <x:v>0</x:v>
      </x:c>
      <x:c r="S1351">
        <x:v>0</x:v>
      </x:c>
      <x:c r="T1351" t="str">
        <x:f>""</x:f>
        <x:v/>
      </x:c>
      <x:c r="U1351" t="str">
        <x:f>""</x:f>
        <x:v/>
      </x:c>
      <x:c r="V1351" t="str">
        <x:f>""</x:f>
        <x:v/>
      </x:c>
      <x:c r="W1351" t="str">
        <x:f>""</x:f>
        <x:v/>
      </x:c>
      <x:c r="X1351" t="str">
        <x:f>""</x:f>
        <x:v/>
      </x:c>
      <x:c r="Y1351" t="str">
        <x:f>""</x:f>
        <x:v/>
      </x:c>
      <x:c r="Z1351" t="str">
        <x:f>""</x:f>
        <x:v/>
      </x:c>
      <x:c r="AA1351" t="str">
        <x:f>""</x:f>
        <x:v/>
      </x:c>
      <x:c r="AB1351" t="str">
        <x:f>""</x:f>
        <x:v/>
      </x:c>
      <x:c r="AC1351" t="str">
        <x:f>""</x:f>
        <x:v/>
      </x:c>
      <x:c r="AD1351" t="str">
        <x:f>""</x:f>
        <x:v/>
      </x:c>
      <x:c r="AE1351" t="str">
        <x:f>""</x:f>
        <x:v/>
      </x:c>
      <x:c r="AF1351" t="str">
        <x:f>""</x:f>
        <x:v/>
      </x:c>
      <x:c r="AG1351" t="str">
        <x:f>""</x:f>
        <x:v/>
      </x:c>
    </x:row>
    <x:row r="1352" spans="2:33" x14ac:dyDescent="0.25">
      <x:c r="B1352" t="str">
        <x:f>"CHII US Equity"</x:f>
        <x:v>CHII US Equity</x:v>
      </x:c>
      <x:c r="C1352" t="str">
        <x:f t="shared" si="59"/>
        <x:v>FD447</x:v>
      </x:c>
      <x:c r="D1352" t="str">
        <x:f t="shared" si="60"/>
        <x:v>FUND_FLOW</x:v>
      </x:c>
      <x:c r="E1352" t="str">
        <x:f t="shared" si="61"/>
        <x:v>Dynamic</x:v>
      </x:c>
      <x:c r="F1352">
        <x:f ca="1">_xll.BDH($B$1352,$C$1352,$B$1010,$B$1011,CONCATENATE("Per=",$B$1008),"Dts=H","Dir=H",CONCATENATE("Points=",$B$1009),"Sort=R","Days=A","Fill=B",CONCATENATE("FX=", $B$1007),"cols=14;rows=1")</x:f>
        <x:v>0</x:v>
      </x:c>
      <x:c r="G1352">
        <x:v>0</x:v>
      </x:c>
      <x:c r="H1352">
        <x:v>-0.34139999999999998</x:v>
      </x:c>
      <x:c r="I1352">
        <x:v>0</x:v>
      </x:c>
      <x:c r="J1352">
        <x:v>0</x:v>
      </x:c>
      <x:c r="K1352">
        <x:v>0</x:v>
      </x:c>
      <x:c r="L1352">
        <x:v>0</x:v>
      </x:c>
      <x:c r="M1352">
        <x:v>0</x:v>
      </x:c>
      <x:c r="N1352">
        <x:v>0</x:v>
      </x:c>
      <x:c r="O1352">
        <x:v>0</x:v>
      </x:c>
      <x:c r="P1352">
        <x:v>0.13400000000000001</x:v>
      </x:c>
      <x:c r="Q1352">
        <x:v>0</x:v>
      </x:c>
      <x:c r="R1352">
        <x:v>0</x:v>
      </x:c>
      <x:c r="S1352">
        <x:v>0.25619999999999998</x:v>
      </x:c>
      <x:c r="T1352" t="str">
        <x:f>""</x:f>
        <x:v/>
      </x:c>
      <x:c r="U1352" t="str">
        <x:f>""</x:f>
        <x:v/>
      </x:c>
      <x:c r="V1352" t="str">
        <x:f>""</x:f>
        <x:v/>
      </x:c>
      <x:c r="W1352" t="str">
        <x:f>""</x:f>
        <x:v/>
      </x:c>
      <x:c r="X1352" t="str">
        <x:f>""</x:f>
        <x:v/>
      </x:c>
      <x:c r="Y1352" t="str">
        <x:f>""</x:f>
        <x:v/>
      </x:c>
      <x:c r="Z1352" t="str">
        <x:f>""</x:f>
        <x:v/>
      </x:c>
      <x:c r="AA1352" t="str">
        <x:f>""</x:f>
        <x:v/>
      </x:c>
      <x:c r="AB1352" t="str">
        <x:f>""</x:f>
        <x:v/>
      </x:c>
      <x:c r="AC1352" t="str">
        <x:f>""</x:f>
        <x:v/>
      </x:c>
      <x:c r="AD1352" t="str">
        <x:f>""</x:f>
        <x:v/>
      </x:c>
      <x:c r="AE1352" t="str">
        <x:f>""</x:f>
        <x:v/>
      </x:c>
      <x:c r="AF1352" t="str">
        <x:f>""</x:f>
        <x:v/>
      </x:c>
      <x:c r="AG1352" t="str">
        <x:f>""</x:f>
        <x:v/>
      </x:c>
    </x:row>
    <x:row r="1353" spans="2:33" x14ac:dyDescent="0.25">
      <x:c r="B1353" t="str">
        <x:f>"SIJ US Equity"</x:f>
        <x:v>SIJ US Equity</x:v>
      </x:c>
      <x:c r="C1353" t="str">
        <x:f t="shared" si="59"/>
        <x:v>FD447</x:v>
      </x:c>
      <x:c r="D1353" t="str">
        <x:f t="shared" si="60"/>
        <x:v>FUND_FLOW</x:v>
      </x:c>
      <x:c r="E1353" t="str">
        <x:f t="shared" si="61"/>
        <x:v>Dynamic</x:v>
      </x:c>
      <x:c r="F1353">
        <x:f ca="1">_xll.BDH($B$1353,$C$1353,$B$1010,$B$1011,CONCATENATE("Per=",$B$1008),"Dts=H","Dir=H",CONCATENATE("Points=",$B$1009),"Sort=R","Days=A","Fill=B",CONCATENATE("FX=", $B$1007),"cols=14;rows=1")</x:f>
        <x:v>2.1600000000000001E-2</x:v>
      </x:c>
      <x:c r="G1353">
        <x:v>-0.1356</x:v>
      </x:c>
      <x:c r="H1353">
        <x:v>-0.79969999999999997</x:v>
      </x:c>
      <x:c r="I1353">
        <x:v>0.26729999999999998</x:v>
      </x:c>
      <x:c r="J1353">
        <x:v>5.0599999999999999E-2</x:v>
      </x:c>
      <x:c r="K1353">
        <x:v>0.76690000000000003</x:v>
      </x:c>
      <x:c r="L1353">
        <x:v>0.36670000000000003</x:v>
      </x:c>
      <x:c r="M1353">
        <x:v>-0.37380000000000002</x:v>
      </x:c>
      <x:c r="N1353">
        <x:v>0</x:v>
      </x:c>
      <x:c r="O1353">
        <x:v>-0.73209999999999997</x:v>
      </x:c>
      <x:c r="P1353">
        <x:v>1.1729000000000001</x:v>
      </x:c>
      <x:c r="Q1353">
        <x:v>-1.2438</x:v>
      </x:c>
      <x:c r="R1353">
        <x:v>0</x:v>
      </x:c>
      <x:c r="S1353">
        <x:v>1.8903000000000001</x:v>
      </x:c>
      <x:c r="T1353" t="str">
        <x:f>""</x:f>
        <x:v/>
      </x:c>
      <x:c r="U1353" t="str">
        <x:f>""</x:f>
        <x:v/>
      </x:c>
      <x:c r="V1353" t="str">
        <x:f>""</x:f>
        <x:v/>
      </x:c>
      <x:c r="W1353" t="str">
        <x:f>""</x:f>
        <x:v/>
      </x:c>
      <x:c r="X1353" t="str">
        <x:f>""</x:f>
        <x:v/>
      </x:c>
      <x:c r="Y1353" t="str">
        <x:f>""</x:f>
        <x:v/>
      </x:c>
      <x:c r="Z1353" t="str">
        <x:f>""</x:f>
        <x:v/>
      </x:c>
      <x:c r="AA1353" t="str">
        <x:f>""</x:f>
        <x:v/>
      </x:c>
      <x:c r="AB1353" t="str">
        <x:f>""</x:f>
        <x:v/>
      </x:c>
      <x:c r="AC1353" t="str">
        <x:f>""</x:f>
        <x:v/>
      </x:c>
      <x:c r="AD1353" t="str">
        <x:f>""</x:f>
        <x:v/>
      </x:c>
      <x:c r="AE1353" t="str">
        <x:f>""</x:f>
        <x:v/>
      </x:c>
      <x:c r="AF1353" t="str">
        <x:f>""</x:f>
        <x:v/>
      </x:c>
      <x:c r="AG1353" t="str">
        <x:f>""</x:f>
        <x:v/>
      </x:c>
    </x:row>
    <x:row r="1354" spans="2:33" x14ac:dyDescent="0.25">
      <x:c r="B1354" t="str">
        <x:f>"INDF US Equity"</x:f>
        <x:v>INDF US Equity</x:v>
      </x:c>
      <x:c r="C1354" t="str">
        <x:f t="shared" si="59"/>
        <x:v>FD447</x:v>
      </x:c>
      <x:c r="D1354" t="str">
        <x:f t="shared" si="60"/>
        <x:v>FUND_FLOW</x:v>
      </x:c>
      <x:c r="E1354" t="str">
        <x:f t="shared" si="61"/>
        <x:v>Dynamic</x:v>
      </x:c>
      <x:c r="F1354">
        <x:f ca="1">_xll.BDH($B$1354,$C$1354,$B$1010,$B$1011,CONCATENATE("Per=",$B$1008),"Dts=H","Dir=H",CONCATENATE("Points=",$B$1009),"Sort=R","Days=A","Fill=B",CONCATENATE("FX=", $B$1007),"cols=14;rows=1")</x:f>
        <x:v>0</x:v>
      </x:c>
      <x:c r="G1354">
        <x:v>0</x:v>
      </x:c>
      <x:c r="H1354">
        <x:v>0</x:v>
      </x:c>
      <x:c r="I1354">
        <x:v>0</x:v>
      </x:c>
      <x:c r="J1354">
        <x:v>-1.698</x:v>
      </x:c>
      <x:c r="K1354">
        <x:v>0</x:v>
      </x:c>
      <x:c r="L1354">
        <x:v>0</x:v>
      </x:c>
      <x:c r="M1354">
        <x:v>0</x:v>
      </x:c>
      <x:c r="N1354">
        <x:v>0</x:v>
      </x:c>
      <x:c r="O1354">
        <x:v>0</x:v>
      </x:c>
      <x:c r="P1354">
        <x:v>0</x:v>
      </x:c>
      <x:c r="Q1354">
        <x:v>0</x:v>
      </x:c>
      <x:c r="R1354">
        <x:v>0</x:v>
      </x:c>
      <x:c r="S1354">
        <x:v>0</x:v>
      </x:c>
      <x:c r="T1354" t="str">
        <x:f>""</x:f>
        <x:v/>
      </x:c>
      <x:c r="U1354" t="str">
        <x:f>""</x:f>
        <x:v/>
      </x:c>
      <x:c r="V1354" t="str">
        <x:f>""</x:f>
        <x:v/>
      </x:c>
      <x:c r="W1354" t="str">
        <x:f>""</x:f>
        <x:v/>
      </x:c>
      <x:c r="X1354" t="str">
        <x:f>""</x:f>
        <x:v/>
      </x:c>
      <x:c r="Y1354" t="str">
        <x:f>""</x:f>
        <x:v/>
      </x:c>
      <x:c r="Z1354" t="str">
        <x:f>""</x:f>
        <x:v/>
      </x:c>
      <x:c r="AA1354" t="str">
        <x:f>""</x:f>
        <x:v/>
      </x:c>
      <x:c r="AB1354" t="str">
        <x:f>""</x:f>
        <x:v/>
      </x:c>
      <x:c r="AC1354" t="str">
        <x:f>""</x:f>
        <x:v/>
      </x:c>
      <x:c r="AD1354" t="str">
        <x:f>""</x:f>
        <x:v/>
      </x:c>
      <x:c r="AE1354" t="str">
        <x:f>""</x:f>
        <x:v/>
      </x:c>
      <x:c r="AF1354" t="str">
        <x:f>""</x:f>
        <x:v/>
      </x:c>
      <x:c r="AG1354" t="str">
        <x:f>""</x:f>
        <x:v/>
      </x:c>
    </x:row>
    <x:row r="1355" spans="2:33" x14ac:dyDescent="0.25">
      <x:c r="B1355" t="str">
        <x:f>"DFEN US Equity"</x:f>
        <x:v>DFEN US Equity</x:v>
      </x:c>
      <x:c r="C1355" t="str">
        <x:f t="shared" si="59"/>
        <x:v>FD447</x:v>
      </x:c>
      <x:c r="D1355" t="str">
        <x:f t="shared" si="60"/>
        <x:v>FUND_FLOW</x:v>
      </x:c>
      <x:c r="E1355" t="str">
        <x:f t="shared" si="61"/>
        <x:v>Dynamic</x:v>
      </x:c>
      <x:c r="F1355">
        <x:f ca="1">_xll.BDH($B$1355,$C$1355,$B$1010,$B$1011,CONCATENATE("Per=",$B$1008),"Dts=H","Dir=H",CONCATENATE("Points=",$B$1009),"Sort=R","Days=A","Fill=B",CONCATENATE("FX=", $B$1007),"cols=14;rows=1")</x:f>
        <x:v>18.026700000000002</x:v>
      </x:c>
      <x:c r="G1355">
        <x:v>16.888999999999999</x:v>
      </x:c>
      <x:c r="H1355">
        <x:v>-6.2670000000000003</x:v>
      </x:c>
      <x:c r="I1355">
        <x:v>-5.3879000000000001</x:v>
      </x:c>
      <x:c r="J1355">
        <x:v>-13.2295</x:v>
      </x:c>
      <x:c r="K1355">
        <x:v>3.4401000000000002</x:v>
      </x:c>
      <x:c r="L1355">
        <x:v>-9.5783000000000005</x:v>
      </x:c>
      <x:c r="M1355">
        <x:v>-0.94359999999999999</x:v>
      </x:c>
      <x:c r="N1355">
        <x:v>-6.4431000000000003</x:v>
      </x:c>
      <x:c r="O1355">
        <x:v>-12.0509</x:v>
      </x:c>
      <x:c r="P1355">
        <x:v>-3.9758</x:v>
      </x:c>
      <x:c r="Q1355">
        <x:v>-13.3452</x:v>
      </x:c>
      <x:c r="R1355">
        <x:v>-1.2211000000000001</x:v>
      </x:c>
      <x:c r="S1355">
        <x:v>4.3239000000000001</x:v>
      </x:c>
      <x:c r="T1355" t="str">
        <x:f>""</x:f>
        <x:v/>
      </x:c>
      <x:c r="U1355" t="str">
        <x:f>""</x:f>
        <x:v/>
      </x:c>
      <x:c r="V1355" t="str">
        <x:f>""</x:f>
        <x:v/>
      </x:c>
      <x:c r="W1355" t="str">
        <x:f>""</x:f>
        <x:v/>
      </x:c>
      <x:c r="X1355" t="str">
        <x:f>""</x:f>
        <x:v/>
      </x:c>
      <x:c r="Y1355" t="str">
        <x:f>""</x:f>
        <x:v/>
      </x:c>
      <x:c r="Z1355" t="str">
        <x:f>""</x:f>
        <x:v/>
      </x:c>
      <x:c r="AA1355" t="str">
        <x:f>""</x:f>
        <x:v/>
      </x:c>
      <x:c r="AB1355" t="str">
        <x:f>""</x:f>
        <x:v/>
      </x:c>
      <x:c r="AC1355" t="str">
        <x:f>""</x:f>
        <x:v/>
      </x:c>
      <x:c r="AD1355" t="str">
        <x:f>""</x:f>
        <x:v/>
      </x:c>
      <x:c r="AE1355" t="str">
        <x:f>""</x:f>
        <x:v/>
      </x:c>
      <x:c r="AF1355" t="str">
        <x:f>""</x:f>
        <x:v/>
      </x:c>
      <x:c r="AG1355" t="str">
        <x:f>""</x:f>
        <x:v/>
      </x:c>
    </x:row>
    <x:row r="1356" spans="2:33" x14ac:dyDescent="0.25">
      <x:c r="B1356" t="str">
        <x:f>"DUSL US Equity"</x:f>
        <x:v>DUSL US Equity</x:v>
      </x:c>
      <x:c r="C1356" t="str">
        <x:f t="shared" si="59"/>
        <x:v>FD447</x:v>
      </x:c>
      <x:c r="D1356" t="str">
        <x:f t="shared" si="60"/>
        <x:v>FUND_FLOW</x:v>
      </x:c>
      <x:c r="E1356" t="str">
        <x:f t="shared" si="61"/>
        <x:v>Dynamic</x:v>
      </x:c>
      <x:c r="F1356">
        <x:f ca="1">_xll.BDH($B$1356,$C$1356,$B$1010,$B$1011,CONCATENATE("Per=",$B$1008),"Dts=H","Dir=H",CONCATENATE("Points=",$B$1009),"Sort=R","Days=A","Fill=B",CONCATENATE("FX=", $B$1007),"cols=14;rows=1")</x:f>
        <x:v>1.6367</x:v>
      </x:c>
      <x:c r="G1356">
        <x:v>0.21110000000000001</x:v>
      </x:c>
      <x:c r="H1356">
        <x:v>-3.8254999999999999</x:v>
      </x:c>
      <x:c r="I1356">
        <x:v>1.9375</x:v>
      </x:c>
      <x:c r="J1356">
        <x:v>1.5761000000000001</x:v>
      </x:c>
      <x:c r="K1356">
        <x:v>0</x:v>
      </x:c>
      <x:c r="L1356">
        <x:v>0</x:v>
      </x:c>
      <x:c r="M1356">
        <x:v>-1.5834999999999999</x:v>
      </x:c>
      <x:c r="N1356">
        <x:v>0</x:v>
      </x:c>
      <x:c r="O1356">
        <x:v>7.7200000000000005E-2</x:v>
      </x:c>
      <x:c r="P1356">
        <x:v>-1.6213</x:v>
      </x:c>
      <x:c r="Q1356">
        <x:v>2.9394</x:v>
      </x:c>
      <x:c r="R1356">
        <x:v>0</x:v>
      </x:c>
      <x:c r="S1356">
        <x:v>-1.0507</x:v>
      </x:c>
      <x:c r="T1356" t="str">
        <x:f>""</x:f>
        <x:v/>
      </x:c>
      <x:c r="U1356" t="str">
        <x:f>""</x:f>
        <x:v/>
      </x:c>
      <x:c r="V1356" t="str">
        <x:f>""</x:f>
        <x:v/>
      </x:c>
      <x:c r="W1356" t="str">
        <x:f>""</x:f>
        <x:v/>
      </x:c>
      <x:c r="X1356" t="str">
        <x:f>""</x:f>
        <x:v/>
      </x:c>
      <x:c r="Y1356" t="str">
        <x:f>""</x:f>
        <x:v/>
      </x:c>
      <x:c r="Z1356" t="str">
        <x:f>""</x:f>
        <x:v/>
      </x:c>
      <x:c r="AA1356" t="str">
        <x:f>""</x:f>
        <x:v/>
      </x:c>
      <x:c r="AB1356" t="str">
        <x:f>""</x:f>
        <x:v/>
      </x:c>
      <x:c r="AC1356" t="str">
        <x:f>""</x:f>
        <x:v/>
      </x:c>
      <x:c r="AD1356" t="str">
        <x:f>""</x:f>
        <x:v/>
      </x:c>
      <x:c r="AE1356" t="str">
        <x:f>""</x:f>
        <x:v/>
      </x:c>
      <x:c r="AF1356" t="str">
        <x:f>""</x:f>
        <x:v/>
      </x:c>
      <x:c r="AG1356" t="str">
        <x:f>""</x:f>
        <x:v/>
      </x:c>
    </x:row>
    <x:row r="1357" spans="2:33" x14ac:dyDescent="0.25">
      <x:c r="B1357" t="str">
        <x:f>"TPOR US Equity"</x:f>
        <x:v>TPOR US Equity</x:v>
      </x:c>
      <x:c r="C1357" t="str">
        <x:f t="shared" si="59"/>
        <x:v>FD447</x:v>
      </x:c>
      <x:c r="D1357" t="str">
        <x:f t="shared" si="60"/>
        <x:v>FUND_FLOW</x:v>
      </x:c>
      <x:c r="E1357" t="str">
        <x:f t="shared" si="61"/>
        <x:v>Dynamic</x:v>
      </x:c>
      <x:c r="F1357">
        <x:f ca="1">_xll.BDH($B$1357,$C$1357,$B$1010,$B$1011,CONCATENATE("Per=",$B$1008),"Dts=H","Dir=H",CONCATENATE("Points=",$B$1009),"Sort=R","Days=A","Fill=B",CONCATENATE("FX=", $B$1007),"cols=14;rows=1")</x:f>
        <x:v>1.2166999999999999</x:v>
      </x:c>
      <x:c r="G1357">
        <x:v>-1.3612</x:v>
      </x:c>
      <x:c r="H1357">
        <x:v>-1.6536999999999999</x:v>
      </x:c>
      <x:c r="I1357">
        <x:v>-3.5878999999999999</x:v>
      </x:c>
      <x:c r="J1357">
        <x:v>1.4285000000000001</x:v>
      </x:c>
      <x:c r="K1357">
        <x:v>0</x:v>
      </x:c>
      <x:c r="L1357">
        <x:v>-5.4899999999999997E-2</x:v>
      </x:c>
      <x:c r="M1357">
        <x:v>0</x:v>
      </x:c>
      <x:c r="N1357">
        <x:v>0</x:v>
      </x:c>
      <x:c r="O1357">
        <x:v>-1.2639</x:v>
      </x:c>
      <x:c r="P1357">
        <x:v>0</x:v>
      </x:c>
      <x:c r="Q1357">
        <x:v>0.39229999999999998</x:v>
      </x:c>
      <x:c r="R1357">
        <x:v>1.0911</x:v>
      </x:c>
      <x:c r="S1357">
        <x:v>-1.4635</x:v>
      </x:c>
      <x:c r="T1357" t="str">
        <x:f>""</x:f>
        <x:v/>
      </x:c>
      <x:c r="U1357" t="str">
        <x:f>""</x:f>
        <x:v/>
      </x:c>
      <x:c r="V1357" t="str">
        <x:f>""</x:f>
        <x:v/>
      </x:c>
      <x:c r="W1357" t="str">
        <x:f>""</x:f>
        <x:v/>
      </x:c>
      <x:c r="X1357" t="str">
        <x:f>""</x:f>
        <x:v/>
      </x:c>
      <x:c r="Y1357" t="str">
        <x:f>""</x:f>
        <x:v/>
      </x:c>
      <x:c r="Z1357" t="str">
        <x:f>""</x:f>
        <x:v/>
      </x:c>
      <x:c r="AA1357" t="str">
        <x:f>""</x:f>
        <x:v/>
      </x:c>
      <x:c r="AB1357" t="str">
        <x:f>""</x:f>
        <x:v/>
      </x:c>
      <x:c r="AC1357" t="str">
        <x:f>""</x:f>
        <x:v/>
      </x:c>
      <x:c r="AD1357" t="str">
        <x:f>""</x:f>
        <x:v/>
      </x:c>
      <x:c r="AE1357" t="str">
        <x:f>""</x:f>
        <x:v/>
      </x:c>
      <x:c r="AF1357" t="str">
        <x:f>""</x:f>
        <x:v/>
      </x:c>
      <x:c r="AG1357" t="str">
        <x:f>""</x:f>
        <x:v/>
      </x:c>
    </x:row>
    <x:row r="1358" spans="2:33" x14ac:dyDescent="0.25">
      <x:c r="B1358" t="str">
        <x:f>"FTXR US Equity"</x:f>
        <x:v>FTXR US Equity</x:v>
      </x:c>
      <x:c r="C1358" t="str">
        <x:f t="shared" si="59"/>
        <x:v>FD447</x:v>
      </x:c>
      <x:c r="D1358" t="str">
        <x:f t="shared" si="60"/>
        <x:v>FUND_FLOW</x:v>
      </x:c>
      <x:c r="E1358" t="str">
        <x:f t="shared" si="61"/>
        <x:v>Dynamic</x:v>
      </x:c>
      <x:c r="F1358">
        <x:f ca="1">_xll.BDH($B$1358,$C$1358,$B$1010,$B$1011,CONCATENATE("Per=",$B$1008),"Dts=H","Dir=H",CONCATENATE("Points=",$B$1009),"Sort=R","Days=A","Fill=B",CONCATENATE("FX=", $B$1007),"cols=14;rows=1")</x:f>
        <x:v>-4.2111000000000001</x:v>
      </x:c>
      <x:c r="G1358">
        <x:v>-11.481</x:v>
      </x:c>
      <x:c r="H1358">
        <x:v>-2.9817</x:v>
      </x:c>
      <x:c r="I1358">
        <x:v>12.3</x:v>
      </x:c>
      <x:c r="J1358">
        <x:v>-1.448</x:v>
      </x:c>
      <x:c r="K1358">
        <x:v>-2.6280000000000001</x:v>
      </x:c>
      <x:c r="L1358">
        <x:v>0</x:v>
      </x:c>
      <x:c r="M1358">
        <x:v>-5.2755999999999998</x:v>
      </x:c>
      <x:c r="N1358">
        <x:v>-2.7555999999999998</x:v>
      </x:c>
      <x:c r="O1358">
        <x:v>-6.8581000000000003</x:v>
      </x:c>
      <x:c r="P1358">
        <x:v>-9.1732999999999993</x:v>
      </x:c>
      <x:c r="Q1358">
        <x:v>-1.2588999999999999</x:v>
      </x:c>
      <x:c r="R1358">
        <x:v>-5.9759000000000002</x:v>
      </x:c>
      <x:c r="S1358">
        <x:v>0</x:v>
      </x:c>
      <x:c r="T1358" t="str">
        <x:f>""</x:f>
        <x:v/>
      </x:c>
      <x:c r="U1358" t="str">
        <x:f>""</x:f>
        <x:v/>
      </x:c>
      <x:c r="V1358" t="str">
        <x:f>""</x:f>
        <x:v/>
      </x:c>
      <x:c r="W1358" t="str">
        <x:f>""</x:f>
        <x:v/>
      </x:c>
      <x:c r="X1358" t="str">
        <x:f>""</x:f>
        <x:v/>
      </x:c>
      <x:c r="Y1358" t="str">
        <x:f>""</x:f>
        <x:v/>
      </x:c>
      <x:c r="Z1358" t="str">
        <x:f>""</x:f>
        <x:v/>
      </x:c>
      <x:c r="AA1358" t="str">
        <x:f>""</x:f>
        <x:v/>
      </x:c>
      <x:c r="AB1358" t="str">
        <x:f>""</x:f>
        <x:v/>
      </x:c>
      <x:c r="AC1358" t="str">
        <x:f>""</x:f>
        <x:v/>
      </x:c>
      <x:c r="AD1358" t="str">
        <x:f>""</x:f>
        <x:v/>
      </x:c>
      <x:c r="AE1358" t="str">
        <x:f>""</x:f>
        <x:v/>
      </x:c>
      <x:c r="AF1358" t="str">
        <x:f>""</x:f>
        <x:v/>
      </x:c>
      <x:c r="AG1358" t="str">
        <x:f>""</x:f>
        <x:v/>
      </x:c>
    </x:row>
    <x:row r="1359" spans="2:33" x14ac:dyDescent="0.25">
      <x:c r="B1359" t="str">
        <x:f>"XI US Equity"</x:f>
        <x:v>XI US Equity</x:v>
      </x:c>
      <x:c r="C1359" t="str">
        <x:f t="shared" si="59"/>
        <x:v>FD447</x:v>
      </x:c>
      <x:c r="D1359" t="str">
        <x:f t="shared" si="60"/>
        <x:v>FUND_FLOW</x:v>
      </x:c>
      <x:c r="E1359" t="str">
        <x:f t="shared" si="61"/>
        <x:v>Dynamic</x:v>
      </x:c>
      <x:c r="F1359" t="str">
        <x:f ca="1">_xll.BDH($B$1359,$C$1359,$B$1010,$B$1011,CONCATENATE("Per=",$B$1008),"Dts=H","Dir=H",CONCATENATE("Points=",$B$1009),"Sort=R","Days=A","Fill=B",CONCATENATE("FX=", $B$1007) )</x:f>
        <x:v/>
      </x:c>
      <x:c r="T1359" t="str">
        <x:f>""</x:f>
        <x:v/>
      </x:c>
      <x:c r="U1359" t="str">
        <x:f>""</x:f>
        <x:v/>
      </x:c>
      <x:c r="V1359" t="str">
        <x:f>""</x:f>
        <x:v/>
      </x:c>
      <x:c r="W1359" t="str">
        <x:f>""</x:f>
        <x:v/>
      </x:c>
      <x:c r="X1359" t="str">
        <x:f>""</x:f>
        <x:v/>
      </x:c>
      <x:c r="Y1359" t="str">
        <x:f>""</x:f>
        <x:v/>
      </x:c>
      <x:c r="Z1359" t="str">
        <x:f>""</x:f>
        <x:v/>
      </x:c>
      <x:c r="AA1359" t="str">
        <x:f>""</x:f>
        <x:v/>
      </x:c>
      <x:c r="AB1359" t="str">
        <x:f>""</x:f>
        <x:v/>
      </x:c>
      <x:c r="AC1359" t="str">
        <x:f>""</x:f>
        <x:v/>
      </x:c>
      <x:c r="AD1359" t="str">
        <x:f>""</x:f>
        <x:v/>
      </x:c>
      <x:c r="AE1359" t="str">
        <x:f>""</x:f>
        <x:v/>
      </x:c>
      <x:c r="AF1359" t="str">
        <x:f>""</x:f>
        <x:v/>
      </x:c>
      <x:c r="AG1359" t="str">
        <x:f>""</x:f>
        <x:v/>
      </x:c>
    </x:row>
    <x:row r="1360" spans="2:33" x14ac:dyDescent="0.25">
      <x:c r="B1360" t="str">
        <x:f>"TPOR US Equity"</x:f>
        <x:v>TPOR US Equity</x:v>
      </x:c>
      <x:c r="C1360" t="str">
        <x:f t="shared" si="59"/>
        <x:v>FD447</x:v>
      </x:c>
      <x:c r="D1360" t="str">
        <x:f t="shared" si="60"/>
        <x:v>FUND_FLOW</x:v>
      </x:c>
      <x:c r="E1360" t="str">
        <x:f t="shared" si="61"/>
        <x:v>Dynamic</x:v>
      </x:c>
      <x:c r="F1360">
        <x:f ca="1">_xll.BDH($B$1360,$C$1360,$B$1010,$B$1011,CONCATENATE("Per=",$B$1008),"Dts=H","Dir=H",CONCATENATE("Points=",$B$1009),"Sort=R","Days=A","Fill=B",CONCATENATE("FX=", $B$1007),"cols=14;rows=1")</x:f>
        <x:v>1.2166999999999999</x:v>
      </x:c>
      <x:c r="G1360">
        <x:v>-1.3612</x:v>
      </x:c>
      <x:c r="H1360">
        <x:v>-1.6536999999999999</x:v>
      </x:c>
      <x:c r="I1360">
        <x:v>-3.5878999999999999</x:v>
      </x:c>
      <x:c r="J1360">
        <x:v>1.4285000000000001</x:v>
      </x:c>
      <x:c r="K1360">
        <x:v>0</x:v>
      </x:c>
      <x:c r="L1360">
        <x:v>-5.4899999999999997E-2</x:v>
      </x:c>
      <x:c r="M1360">
        <x:v>0</x:v>
      </x:c>
      <x:c r="N1360">
        <x:v>0</x:v>
      </x:c>
      <x:c r="O1360">
        <x:v>-1.2639</x:v>
      </x:c>
      <x:c r="P1360">
        <x:v>0</x:v>
      </x:c>
      <x:c r="Q1360">
        <x:v>0.39229999999999998</x:v>
      </x:c>
      <x:c r="R1360">
        <x:v>1.0911</x:v>
      </x:c>
      <x:c r="S1360">
        <x:v>-1.4635</x:v>
      </x:c>
      <x:c r="T1360" t="str">
        <x:f>""</x:f>
        <x:v/>
      </x:c>
      <x:c r="U1360" t="str">
        <x:f>""</x:f>
        <x:v/>
      </x:c>
      <x:c r="V1360" t="str">
        <x:f>""</x:f>
        <x:v/>
      </x:c>
      <x:c r="W1360" t="str">
        <x:f>""</x:f>
        <x:v/>
      </x:c>
      <x:c r="X1360" t="str">
        <x:f>""</x:f>
        <x:v/>
      </x:c>
      <x:c r="Y1360" t="str">
        <x:f>""</x:f>
        <x:v/>
      </x:c>
      <x:c r="Z1360" t="str">
        <x:f>""</x:f>
        <x:v/>
      </x:c>
      <x:c r="AA1360" t="str">
        <x:f>""</x:f>
        <x:v/>
      </x:c>
      <x:c r="AB1360" t="str">
        <x:f>""</x:f>
        <x:v/>
      </x:c>
      <x:c r="AC1360" t="str">
        <x:f>""</x:f>
        <x:v/>
      </x:c>
      <x:c r="AD1360" t="str">
        <x:f>""</x:f>
        <x:v/>
      </x:c>
      <x:c r="AE1360" t="str">
        <x:f>""</x:f>
        <x:v/>
      </x:c>
      <x:c r="AF1360" t="str">
        <x:f>""</x:f>
        <x:v/>
      </x:c>
      <x:c r="AG1360" t="str">
        <x:f>""</x:f>
        <x:v/>
      </x:c>
    </x:row>
    <x:row r="1361" spans="2:33" x14ac:dyDescent="0.25">
      <x:c r="B1361" t="str">
        <x:f>"DUSL US Equity"</x:f>
        <x:v>DUSL US Equity</x:v>
      </x:c>
      <x:c r="C1361" t="str">
        <x:f t="shared" si="59"/>
        <x:v>FD447</x:v>
      </x:c>
      <x:c r="D1361" t="str">
        <x:f t="shared" si="60"/>
        <x:v>FUND_FLOW</x:v>
      </x:c>
      <x:c r="E1361" t="str">
        <x:f t="shared" si="61"/>
        <x:v>Dynamic</x:v>
      </x:c>
      <x:c r="F1361">
        <x:f ca="1">_xll.BDH($B$1361,$C$1361,$B$1010,$B$1011,CONCATENATE("Per=",$B$1008),"Dts=H","Dir=H",CONCATENATE("Points=",$B$1009),"Sort=R","Days=A","Fill=B",CONCATENATE("FX=", $B$1007),"cols=14;rows=1")</x:f>
        <x:v>1.6367</x:v>
      </x:c>
      <x:c r="G1361">
        <x:v>0.21110000000000001</x:v>
      </x:c>
      <x:c r="H1361">
        <x:v>-3.8254999999999999</x:v>
      </x:c>
      <x:c r="I1361">
        <x:v>1.9375</x:v>
      </x:c>
      <x:c r="J1361">
        <x:v>1.5761000000000001</x:v>
      </x:c>
      <x:c r="K1361">
        <x:v>0</x:v>
      </x:c>
      <x:c r="L1361">
        <x:v>0</x:v>
      </x:c>
      <x:c r="M1361">
        <x:v>-1.5834999999999999</x:v>
      </x:c>
      <x:c r="N1361">
        <x:v>0</x:v>
      </x:c>
      <x:c r="O1361">
        <x:v>7.7200000000000005E-2</x:v>
      </x:c>
      <x:c r="P1361">
        <x:v>-1.6213</x:v>
      </x:c>
      <x:c r="Q1361">
        <x:v>2.9394</x:v>
      </x:c>
      <x:c r="R1361">
        <x:v>0</x:v>
      </x:c>
      <x:c r="S1361">
        <x:v>-1.0507</x:v>
      </x:c>
      <x:c r="T1361" t="str">
        <x:f>""</x:f>
        <x:v/>
      </x:c>
      <x:c r="U1361" t="str">
        <x:f>""</x:f>
        <x:v/>
      </x:c>
      <x:c r="V1361" t="str">
        <x:f>""</x:f>
        <x:v/>
      </x:c>
      <x:c r="W1361" t="str">
        <x:f>""</x:f>
        <x:v/>
      </x:c>
      <x:c r="X1361" t="str">
        <x:f>""</x:f>
        <x:v/>
      </x:c>
      <x:c r="Y1361" t="str">
        <x:f>""</x:f>
        <x:v/>
      </x:c>
      <x:c r="Z1361" t="str">
        <x:f>""</x:f>
        <x:v/>
      </x:c>
      <x:c r="AA1361" t="str">
        <x:f>""</x:f>
        <x:v/>
      </x:c>
      <x:c r="AB1361" t="str">
        <x:f>""</x:f>
        <x:v/>
      </x:c>
      <x:c r="AC1361" t="str">
        <x:f>""</x:f>
        <x:v/>
      </x:c>
      <x:c r="AD1361" t="str">
        <x:f>""</x:f>
        <x:v/>
      </x:c>
      <x:c r="AE1361" t="str">
        <x:f>""</x:f>
        <x:v/>
      </x:c>
      <x:c r="AF1361" t="str">
        <x:f>""</x:f>
        <x:v/>
      </x:c>
      <x:c r="AG1361" t="str">
        <x:f>""</x:f>
        <x:v/>
      </x:c>
    </x:row>
    <x:row r="1362" spans="2:33" x14ac:dyDescent="0.25">
      <x:c r="B1362" t="str">
        <x:f>"DFEN US Equity"</x:f>
        <x:v>DFEN US Equity</x:v>
      </x:c>
      <x:c r="C1362" t="str">
        <x:f t="shared" si="59"/>
        <x:v>FD447</x:v>
      </x:c>
      <x:c r="D1362" t="str">
        <x:f t="shared" si="60"/>
        <x:v>FUND_FLOW</x:v>
      </x:c>
      <x:c r="E1362" t="str">
        <x:f t="shared" si="61"/>
        <x:v>Dynamic</x:v>
      </x:c>
      <x:c r="F1362">
        <x:f ca="1">_xll.BDH($B$1362,$C$1362,$B$1010,$B$1011,CONCATENATE("Per=",$B$1008),"Dts=H","Dir=H",CONCATENATE("Points=",$B$1009),"Sort=R","Days=A","Fill=B",CONCATENATE("FX=", $B$1007),"cols=14;rows=1")</x:f>
        <x:v>18.026700000000002</x:v>
      </x:c>
      <x:c r="G1362">
        <x:v>16.888999999999999</x:v>
      </x:c>
      <x:c r="H1362">
        <x:v>-6.2670000000000003</x:v>
      </x:c>
      <x:c r="I1362">
        <x:v>-5.3879000000000001</x:v>
      </x:c>
      <x:c r="J1362">
        <x:v>-13.2295</x:v>
      </x:c>
      <x:c r="K1362">
        <x:v>3.4401000000000002</x:v>
      </x:c>
      <x:c r="L1362">
        <x:v>-9.5783000000000005</x:v>
      </x:c>
      <x:c r="M1362">
        <x:v>-0.94359999999999999</x:v>
      </x:c>
      <x:c r="N1362">
        <x:v>-6.4431000000000003</x:v>
      </x:c>
      <x:c r="O1362">
        <x:v>-12.0509</x:v>
      </x:c>
      <x:c r="P1362">
        <x:v>-3.9758</x:v>
      </x:c>
      <x:c r="Q1362">
        <x:v>-13.3452</x:v>
      </x:c>
      <x:c r="R1362">
        <x:v>-1.2211000000000001</x:v>
      </x:c>
      <x:c r="S1362">
        <x:v>4.3239000000000001</x:v>
      </x:c>
      <x:c r="T1362" t="str">
        <x:f>""</x:f>
        <x:v/>
      </x:c>
      <x:c r="U1362" t="str">
        <x:f>""</x:f>
        <x:v/>
      </x:c>
      <x:c r="V1362" t="str">
        <x:f>""</x:f>
        <x:v/>
      </x:c>
      <x:c r="W1362" t="str">
        <x:f>""</x:f>
        <x:v/>
      </x:c>
      <x:c r="X1362" t="str">
        <x:f>""</x:f>
        <x:v/>
      </x:c>
      <x:c r="Y1362" t="str">
        <x:f>""</x:f>
        <x:v/>
      </x:c>
      <x:c r="Z1362" t="str">
        <x:f>""</x:f>
        <x:v/>
      </x:c>
      <x:c r="AA1362" t="str">
        <x:f>""</x:f>
        <x:v/>
      </x:c>
      <x:c r="AB1362" t="str">
        <x:f>""</x:f>
        <x:v/>
      </x:c>
      <x:c r="AC1362" t="str">
        <x:f>""</x:f>
        <x:v/>
      </x:c>
      <x:c r="AD1362" t="str">
        <x:f>""</x:f>
        <x:v/>
      </x:c>
      <x:c r="AE1362" t="str">
        <x:f>""</x:f>
        <x:v/>
      </x:c>
      <x:c r="AF1362" t="str">
        <x:f>""</x:f>
        <x:v/>
      </x:c>
      <x:c r="AG1362" t="str">
        <x:f>""</x:f>
        <x:v/>
      </x:c>
    </x:row>
    <x:row r="1363" spans="2:33" x14ac:dyDescent="0.25">
      <x:c r="B1363" t="str">
        <x:f>"SHLD US Equity"</x:f>
        <x:v>SHLD US Equity</x:v>
      </x:c>
      <x:c r="C1363" t="str">
        <x:f t="shared" si="59"/>
        <x:v>FD447</x:v>
      </x:c>
      <x:c r="D1363" t="str">
        <x:f t="shared" si="60"/>
        <x:v>FUND_FLOW</x:v>
      </x:c>
      <x:c r="E1363" t="str">
        <x:f t="shared" si="61"/>
        <x:v>Dynamic</x:v>
      </x:c>
      <x:c r="F1363">
        <x:f ca="1">_xll.BDH($B$1363,$C$1363,$B$1010,$B$1011,CONCATENATE("Per=",$B$1008),"Dts=H","Dir=H",CONCATENATE("Points=",$B$1009),"Sort=R","Days=A","Fill=B",CONCATENATE("FX=", $B$1007),"cols=14;rows=1")</x:f>
        <x:v>1.7815000000000001</x:v>
      </x:c>
      <x:c r="G1363">
        <x:v>0</x:v>
      </x:c>
      <x:c r="T1363" t="str">
        <x:f>""</x:f>
        <x:v/>
      </x:c>
      <x:c r="U1363" t="str">
        <x:f>""</x:f>
        <x:v/>
      </x:c>
      <x:c r="V1363" t="str">
        <x:f>""</x:f>
        <x:v/>
      </x:c>
      <x:c r="W1363" t="str">
        <x:f>""</x:f>
        <x:v/>
      </x:c>
      <x:c r="X1363" t="str">
        <x:f>""</x:f>
        <x:v/>
      </x:c>
      <x:c r="Y1363" t="str">
        <x:f>""</x:f>
        <x:v/>
      </x:c>
      <x:c r="Z1363" t="str">
        <x:f>""</x:f>
        <x:v/>
      </x:c>
      <x:c r="AA1363" t="str">
        <x:f>""</x:f>
        <x:v/>
      </x:c>
      <x:c r="AB1363" t="str">
        <x:f>""</x:f>
        <x:v/>
      </x:c>
      <x:c r="AC1363" t="str">
        <x:f>""</x:f>
        <x:v/>
      </x:c>
      <x:c r="AD1363" t="str">
        <x:f>""</x:f>
        <x:v/>
      </x:c>
      <x:c r="AE1363" t="str">
        <x:f>""</x:f>
        <x:v/>
      </x:c>
      <x:c r="AF1363" t="str">
        <x:f>""</x:f>
        <x:v/>
      </x:c>
      <x:c r="AG1363" t="str">
        <x:f>""</x:f>
        <x:v/>
      </x:c>
    </x:row>
    <x:row r="1364" spans="2:33" x14ac:dyDescent="0.25">
      <x:c r="B1364" t="str">
        <x:f>"GCAD US Equity"</x:f>
        <x:v>GCAD US Equity</x:v>
      </x:c>
      <x:c r="C1364" t="str">
        <x:f t="shared" si="59"/>
        <x:v>FD447</x:v>
      </x:c>
      <x:c r="D1364" t="str">
        <x:f t="shared" si="60"/>
        <x:v>FUND_FLOW</x:v>
      </x:c>
      <x:c r="E1364" t="str">
        <x:f t="shared" si="61"/>
        <x:v>Dynamic</x:v>
      </x:c>
      <x:c r="F1364">
        <x:f ca="1">_xll.BDH($B$1364,$C$1364,$B$1010,$B$1011,CONCATENATE("Per=",$B$1008),"Dts=H","Dir=H",CONCATENATE("Points=",$B$1009),"Sort=R","Days=A","Fill=B",CONCATENATE("FX=", $B$1007),"cols=14;rows=1")</x:f>
        <x:v>0</x:v>
      </x:c>
      <x:c r="G1364">
        <x:v>0</x:v>
      </x:c>
      <x:c r="H1364">
        <x:v>0</x:v>
      </x:c>
      <x:c r="I1364">
        <x:v>0</x:v>
      </x:c>
      <x:c r="J1364">
        <x:v>0</x:v>
      </x:c>
      <x:c r="K1364">
        <x:v>0.2485</x:v>
      </x:c>
      <x:c r="L1364">
        <x:v>0</x:v>
      </x:c>
      <x:c r="M1364">
        <x:v>0.25840000000000002</x:v>
      </x:c>
      <x:c r="N1364">
        <x:v>0.25659999999999999</x:v>
      </x:c>
      <x:c r="O1364">
        <x:v>0.62780000000000002</x:v>
      </x:c>
      <x:c r="T1364" t="str">
        <x:f>""</x:f>
        <x:v/>
      </x:c>
      <x:c r="U1364" t="str">
        <x:f>""</x:f>
        <x:v/>
      </x:c>
      <x:c r="V1364" t="str">
        <x:f>""</x:f>
        <x:v/>
      </x:c>
      <x:c r="W1364" t="str">
        <x:f>""</x:f>
        <x:v/>
      </x:c>
      <x:c r="X1364" t="str">
        <x:f>""</x:f>
        <x:v/>
      </x:c>
      <x:c r="Y1364" t="str">
        <x:f>""</x:f>
        <x:v/>
      </x:c>
      <x:c r="Z1364" t="str">
        <x:f>""</x:f>
        <x:v/>
      </x:c>
      <x:c r="AA1364" t="str">
        <x:f>""</x:f>
        <x:v/>
      </x:c>
      <x:c r="AB1364" t="str">
        <x:f>""</x:f>
        <x:v/>
      </x:c>
      <x:c r="AC1364" t="str">
        <x:f>""</x:f>
        <x:v/>
      </x:c>
      <x:c r="AD1364" t="str">
        <x:f>""</x:f>
        <x:v/>
      </x:c>
      <x:c r="AE1364" t="str">
        <x:f>""</x:f>
        <x:v/>
      </x:c>
      <x:c r="AF1364" t="str">
        <x:f>""</x:f>
        <x:v/>
      </x:c>
      <x:c r="AG1364" t="str">
        <x:f>""</x:f>
        <x:v/>
      </x:c>
    </x:row>
    <x:row r="1365" spans="2:33" x14ac:dyDescent="0.25">
      <x:c r="B1365" t="str">
        <x:f>"MISL US Equity"</x:f>
        <x:v>MISL US Equity</x:v>
      </x:c>
      <x:c r="C1365" t="str">
        <x:f t="shared" si="59"/>
        <x:v>FD447</x:v>
      </x:c>
      <x:c r="D1365" t="str">
        <x:f t="shared" si="60"/>
        <x:v>FUND_FLOW</x:v>
      </x:c>
      <x:c r="E1365" t="str">
        <x:f t="shared" si="61"/>
        <x:v>Dynamic</x:v>
      </x:c>
      <x:c r="F1365">
        <x:f ca="1">_xll.BDH($B$1365,$C$1365,$B$1010,$B$1011,CONCATENATE("Per=",$B$1008),"Dts=H","Dir=H",CONCATENATE("Points=",$B$1009),"Sort=R","Days=A","Fill=B",CONCATENATE("FX=", $B$1007),"cols=14;rows=1")</x:f>
        <x:v>7.9802</x:v>
      </x:c>
      <x:c r="G1365">
        <x:v>1.1151</x:v>
      </x:c>
      <x:c r="H1365">
        <x:v>11.619</x:v>
      </x:c>
      <x:c r="I1365">
        <x:v>3.5230000000000001</x:v>
      </x:c>
      <x:c r="J1365">
        <x:v>0</x:v>
      </x:c>
      <x:c r="K1365">
        <x:v>3.3450000000000002</x:v>
      </x:c>
      <x:c r="L1365">
        <x:v>3.2985000000000002</x:v>
      </x:c>
      <x:c r="M1365">
        <x:v>14.593500000000001</x:v>
      </x:c>
      <x:c r="N1365">
        <x:v>1.145</x:v>
      </x:c>
      <x:c r="O1365">
        <x:v>-0.01</x:v>
      </x:c>
      <x:c r="P1365">
        <x:v>0</x:v>
      </x:c>
      <x:c r="Q1365">
        <x:v>1.1000000000000001</x:v>
      </x:c>
      <x:c r="R1365">
        <x:v>0</x:v>
      </x:c>
      <x:c r="T1365" t="str">
        <x:f>""</x:f>
        <x:v/>
      </x:c>
      <x:c r="U1365" t="str">
        <x:f>""</x:f>
        <x:v/>
      </x:c>
      <x:c r="V1365" t="str">
        <x:f>""</x:f>
        <x:v/>
      </x:c>
      <x:c r="W1365" t="str">
        <x:f>""</x:f>
        <x:v/>
      </x:c>
      <x:c r="X1365" t="str">
        <x:f>""</x:f>
        <x:v/>
      </x:c>
      <x:c r="Y1365" t="str">
        <x:f>""</x:f>
        <x:v/>
      </x:c>
      <x:c r="Z1365" t="str">
        <x:f>""</x:f>
        <x:v/>
      </x:c>
      <x:c r="AA1365" t="str">
        <x:f>""</x:f>
        <x:v/>
      </x:c>
      <x:c r="AB1365" t="str">
        <x:f>""</x:f>
        <x:v/>
      </x:c>
      <x:c r="AC1365" t="str">
        <x:f>""</x:f>
        <x:v/>
      </x:c>
      <x:c r="AD1365" t="str">
        <x:f>""</x:f>
        <x:v/>
      </x:c>
      <x:c r="AE1365" t="str">
        <x:f>""</x:f>
        <x:v/>
      </x:c>
      <x:c r="AF1365" t="str">
        <x:f>""</x:f>
        <x:v/>
      </x:c>
      <x:c r="AG1365" t="str">
        <x:f>""</x:f>
        <x:v/>
      </x:c>
    </x:row>
    <x:row r="1366" spans="2:33" x14ac:dyDescent="0.25">
      <x:c r="B1366" t="str">
        <x:f>"SHPP US Equity"</x:f>
        <x:v>SHPP US Equity</x:v>
      </x:c>
      <x:c r="C1366" t="str">
        <x:f t="shared" si="59"/>
        <x:v>FD447</x:v>
      </x:c>
      <x:c r="D1366" t="str">
        <x:f t="shared" si="60"/>
        <x:v>FUND_FLOW</x:v>
      </x:c>
      <x:c r="E1366" t="str">
        <x:f t="shared" si="61"/>
        <x:v>Dynamic</x:v>
      </x:c>
      <x:c r="F1366">
        <x:f ca="1">_xll.BDH($B$1366,$C$1366,$B$1010,$B$1011,CONCATENATE("Per=",$B$1008),"Dts=H","Dir=H",CONCATENATE("Points=",$B$1009),"Sort=R","Days=A","Fill=B",CONCATENATE("FX=", $B$1007),"cols=14;rows=1")</x:f>
        <x:v>0</x:v>
      </x:c>
      <x:c r="G1366">
        <x:v>0</x:v>
      </x:c>
      <x:c r="H1366">
        <x:v>0</x:v>
      </x:c>
      <x:c r="I1366">
        <x:v>0</x:v>
      </x:c>
      <x:c r="J1366">
        <x:v>0</x:v>
      </x:c>
      <x:c r="K1366">
        <x:v>0</x:v>
      </x:c>
      <x:c r="L1366">
        <x:v>0</x:v>
      </x:c>
      <x:c r="M1366">
        <x:v>0</x:v>
      </x:c>
      <x:c r="N1366">
        <x:v>0</x:v>
      </x:c>
      <x:c r="O1366">
        <x:v>0</x:v>
      </x:c>
      <x:c r="P1366">
        <x:v>0</x:v>
      </x:c>
      <x:c r="Q1366">
        <x:v>0</x:v>
      </x:c>
      <x:c r="R1366">
        <x:v>0</x:v>
      </x:c>
      <x:c r="S1366">
        <x:v>0</x:v>
      </x:c>
      <x:c r="T1366" t="str">
        <x:f>""</x:f>
        <x:v/>
      </x:c>
      <x:c r="U1366" t="str">
        <x:f>""</x:f>
        <x:v/>
      </x:c>
      <x:c r="V1366" t="str">
        <x:f>""</x:f>
        <x:v/>
      </x:c>
      <x:c r="W1366" t="str">
        <x:f>""</x:f>
        <x:v/>
      </x:c>
      <x:c r="X1366" t="str">
        <x:f>""</x:f>
        <x:v/>
      </x:c>
      <x:c r="Y1366" t="str">
        <x:f>""</x:f>
        <x:v/>
      </x:c>
      <x:c r="Z1366" t="str">
        <x:f>""</x:f>
        <x:v/>
      </x:c>
      <x:c r="AA1366" t="str">
        <x:f>""</x:f>
        <x:v/>
      </x:c>
      <x:c r="AB1366" t="str">
        <x:f>""</x:f>
        <x:v/>
      </x:c>
      <x:c r="AC1366" t="str">
        <x:f>""</x:f>
        <x:v/>
      </x:c>
      <x:c r="AD1366" t="str">
        <x:f>""</x:f>
        <x:v/>
      </x:c>
      <x:c r="AE1366" t="str">
        <x:f>""</x:f>
        <x:v/>
      </x:c>
      <x:c r="AF1366" t="str">
        <x:f>""</x:f>
        <x:v/>
      </x:c>
      <x:c r="AG1366" t="str">
        <x:f>""</x:f>
        <x:v/>
      </x:c>
    </x:row>
    <x:row r="1367" spans="2:33" x14ac:dyDescent="0.25">
      <x:c r="B1367" t="str">
        <x:f>"GDX US Equity"</x:f>
        <x:v>GDX US Equity</x:v>
      </x:c>
      <x:c r="C1367" t="str">
        <x:f t="shared" si="59"/>
        <x:v>FD447</x:v>
      </x:c>
      <x:c r="D1367" t="str">
        <x:f t="shared" si="60"/>
        <x:v>FUND_FLOW</x:v>
      </x:c>
      <x:c r="E1367" t="str">
        <x:f t="shared" si="61"/>
        <x:v>Dynamic</x:v>
      </x:c>
      <x:c r="F1367">
        <x:f ca="1">_xll.BDH($B$1367,$C$1367,$B$1010,$B$1011,CONCATENATE("Per=",$B$1008),"Dts=H","Dir=H",CONCATENATE("Points=",$B$1009),"Sort=R","Days=A","Fill=B",CONCATENATE("FX=", $B$1007),"cols=14;rows=1")</x:f>
        <x:v>-86.882999999999996</x:v>
      </x:c>
      <x:c r="G1367">
        <x:v>-239.33349999999999</x:v>
      </x:c>
      <x:c r="H1367">
        <x:v>192.03129999999999</x:v>
      </x:c>
      <x:c r="I1367">
        <x:v>71.337999999999994</x:v>
      </x:c>
      <x:c r="J1367">
        <x:v>-370.20330000000001</x:v>
      </x:c>
      <x:c r="K1367">
        <x:v>-71.9756</x:v>
      </x:c>
      <x:c r="L1367">
        <x:v>-544.12559999999996</x:v>
      </x:c>
      <x:c r="M1367">
        <x:v>314.78820000000002</x:v>
      </x:c>
      <x:c r="N1367">
        <x:v>-256.6311</x:v>
      </x:c>
      <x:c r="O1367">
        <x:v>323.5428</x:v>
      </x:c>
      <x:c r="P1367">
        <x:v>-15.4117</x:v>
      </x:c>
      <x:c r="Q1367">
        <x:v>192.97900000000001</x:v>
      </x:c>
      <x:c r="R1367">
        <x:v>503.69310000000002</x:v>
      </x:c>
      <x:c r="S1367">
        <x:v>-392.09620000000001</x:v>
      </x:c>
      <x:c r="T1367" t="str">
        <x:f>""</x:f>
        <x:v/>
      </x:c>
      <x:c r="U1367" t="str">
        <x:f>""</x:f>
        <x:v/>
      </x:c>
      <x:c r="V1367" t="str">
        <x:f>""</x:f>
        <x:v/>
      </x:c>
      <x:c r="W1367" t="str">
        <x:f>""</x:f>
        <x:v/>
      </x:c>
      <x:c r="X1367" t="str">
        <x:f>""</x:f>
        <x:v/>
      </x:c>
      <x:c r="Y1367" t="str">
        <x:f>""</x:f>
        <x:v/>
      </x:c>
      <x:c r="Z1367" t="str">
        <x:f>""</x:f>
        <x:v/>
      </x:c>
      <x:c r="AA1367" t="str">
        <x:f>""</x:f>
        <x:v/>
      </x:c>
      <x:c r="AB1367" t="str">
        <x:f>""</x:f>
        <x:v/>
      </x:c>
      <x:c r="AC1367" t="str">
        <x:f>""</x:f>
        <x:v/>
      </x:c>
      <x:c r="AD1367" t="str">
        <x:f>""</x:f>
        <x:v/>
      </x:c>
      <x:c r="AE1367" t="str">
        <x:f>""</x:f>
        <x:v/>
      </x:c>
      <x:c r="AF1367" t="str">
        <x:f>""</x:f>
        <x:v/>
      </x:c>
      <x:c r="AG1367" t="str">
        <x:f>""</x:f>
        <x:v/>
      </x:c>
    </x:row>
    <x:row r="1368" spans="2:33" x14ac:dyDescent="0.25">
      <x:c r="B1368" t="str">
        <x:f>"GDXJ US Equity"</x:f>
        <x:v>GDXJ US Equity</x:v>
      </x:c>
      <x:c r="C1368" t="str">
        <x:f t="shared" si="59"/>
        <x:v>FD447</x:v>
      </x:c>
      <x:c r="D1368" t="str">
        <x:f t="shared" si="60"/>
        <x:v>FUND_FLOW</x:v>
      </x:c>
      <x:c r="E1368" t="str">
        <x:f t="shared" si="61"/>
        <x:v>Dynamic</x:v>
      </x:c>
      <x:c r="F1368">
        <x:f ca="1">_xll.BDH($B$1368,$C$1368,$B$1010,$B$1011,CONCATENATE("Per=",$B$1008),"Dts=H","Dir=H",CONCATENATE("Points=",$B$1009),"Sort=R","Days=A","Fill=B",CONCATENATE("FX=", $B$1007),"cols=14;rows=1")</x:f>
        <x:v>44.7958</x:v>
      </x:c>
      <x:c r="G1368">
        <x:v>6.1215999999999999</x:v>
      </x:c>
      <x:c r="H1368">
        <x:v>105.34690000000001</x:v>
      </x:c>
      <x:c r="I1368">
        <x:v>30.933499999999999</x:v>
      </x:c>
      <x:c r="J1368">
        <x:v>-2.2942999999999998</x:v>
      </x:c>
      <x:c r="K1368">
        <x:v>-51.1907</x:v>
      </x:c>
      <x:c r="L1368">
        <x:v>23.191099999999999</x:v>
      </x:c>
      <x:c r="M1368">
        <x:v>137.11080000000001</x:v>
      </x:c>
      <x:c r="N1368">
        <x:v>-55.199199999999998</x:v>
      </x:c>
      <x:c r="O1368">
        <x:v>17.6066</x:v>
      </x:c>
      <x:c r="P1368">
        <x:v>9.9387000000000008</x:v>
      </x:c>
      <x:c r="Q1368">
        <x:v>68.811999999999998</x:v>
      </x:c>
      <x:c r="R1368">
        <x:v>1.9106000000000001</x:v>
      </x:c>
      <x:c r="S1368">
        <x:v>-96.890799999999999</x:v>
      </x:c>
      <x:c r="T1368" t="str">
        <x:f>""</x:f>
        <x:v/>
      </x:c>
      <x:c r="U1368" t="str">
        <x:f>""</x:f>
        <x:v/>
      </x:c>
      <x:c r="V1368" t="str">
        <x:f>""</x:f>
        <x:v/>
      </x:c>
      <x:c r="W1368" t="str">
        <x:f>""</x:f>
        <x:v/>
      </x:c>
      <x:c r="X1368" t="str">
        <x:f>""</x:f>
        <x:v/>
      </x:c>
      <x:c r="Y1368" t="str">
        <x:f>""</x:f>
        <x:v/>
      </x:c>
      <x:c r="Z1368" t="str">
        <x:f>""</x:f>
        <x:v/>
      </x:c>
      <x:c r="AA1368" t="str">
        <x:f>""</x:f>
        <x:v/>
      </x:c>
      <x:c r="AB1368" t="str">
        <x:f>""</x:f>
        <x:v/>
      </x:c>
      <x:c r="AC1368" t="str">
        <x:f>""</x:f>
        <x:v/>
      </x:c>
      <x:c r="AD1368" t="str">
        <x:f>""</x:f>
        <x:v/>
      </x:c>
      <x:c r="AE1368" t="str">
        <x:f>""</x:f>
        <x:v/>
      </x:c>
      <x:c r="AF1368" t="str">
        <x:f>""</x:f>
        <x:v/>
      </x:c>
      <x:c r="AG1368" t="str">
        <x:f>""</x:f>
        <x:v/>
      </x:c>
    </x:row>
    <x:row r="1369" spans="2:33" x14ac:dyDescent="0.25">
      <x:c r="B1369" t="str">
        <x:f>"XLB US Equity"</x:f>
        <x:v>XLB US Equity</x:v>
      </x:c>
      <x:c r="C1369" t="str">
        <x:f t="shared" si="59"/>
        <x:v>FD447</x:v>
      </x:c>
      <x:c r="D1369" t="str">
        <x:f t="shared" si="60"/>
        <x:v>FUND_FLOW</x:v>
      </x:c>
      <x:c r="E1369" t="str">
        <x:f t="shared" si="61"/>
        <x:v>Dynamic</x:v>
      </x:c>
      <x:c r="F1369">
        <x:f ca="1">_xll.BDH($B$1369,$C$1369,$B$1010,$B$1011,CONCATENATE("Per=",$B$1008),"Dts=H","Dir=H",CONCATENATE("Points=",$B$1009),"Sort=R","Days=A","Fill=B",CONCATENATE("FX=", $B$1007),"cols=14;rows=1")</x:f>
        <x:v>455.17259999999999</x:v>
      </x:c>
      <x:c r="G1369">
        <x:v>-506.82260000000002</x:v>
      </x:c>
      <x:c r="H1369">
        <x:v>-830.96640000000002</x:v>
      </x:c>
      <x:c r="I1369">
        <x:v>622.95759999999996</x:v>
      </x:c>
      <x:c r="J1369">
        <x:v>167.56299999999999</x:v>
      </x:c>
      <x:c r="K1369">
        <x:v>-221.1909</x:v>
      </x:c>
      <x:c r="L1369">
        <x:v>484.5924</x:v>
      </x:c>
      <x:c r="M1369">
        <x:v>-416.08859999999999</x:v>
      </x:c>
      <x:c r="N1369">
        <x:v>-187.54570000000001</x:v>
      </x:c>
      <x:c r="O1369">
        <x:v>560.50239999999997</x:v>
      </x:c>
      <x:c r="P1369">
        <x:v>-3.1412</x:v>
      </x:c>
      <x:c r="Q1369">
        <x:v>-208.47819999999999</x:v>
      </x:c>
      <x:c r="R1369">
        <x:v>80.1036</x:v>
      </x:c>
      <x:c r="S1369">
        <x:v>-335.0455</x:v>
      </x:c>
      <x:c r="T1369" t="str">
        <x:f>""</x:f>
        <x:v/>
      </x:c>
      <x:c r="U1369" t="str">
        <x:f>""</x:f>
        <x:v/>
      </x:c>
      <x:c r="V1369" t="str">
        <x:f>""</x:f>
        <x:v/>
      </x:c>
      <x:c r="W1369" t="str">
        <x:f>""</x:f>
        <x:v/>
      </x:c>
      <x:c r="X1369" t="str">
        <x:f>""</x:f>
        <x:v/>
      </x:c>
      <x:c r="Y1369" t="str">
        <x:f>""</x:f>
        <x:v/>
      </x:c>
      <x:c r="Z1369" t="str">
        <x:f>""</x:f>
        <x:v/>
      </x:c>
      <x:c r="AA1369" t="str">
        <x:f>""</x:f>
        <x:v/>
      </x:c>
      <x:c r="AB1369" t="str">
        <x:f>""</x:f>
        <x:v/>
      </x:c>
      <x:c r="AC1369" t="str">
        <x:f>""</x:f>
        <x:v/>
      </x:c>
      <x:c r="AD1369" t="str">
        <x:f>""</x:f>
        <x:v/>
      </x:c>
      <x:c r="AE1369" t="str">
        <x:f>""</x:f>
        <x:v/>
      </x:c>
      <x:c r="AF1369" t="str">
        <x:f>""</x:f>
        <x:v/>
      </x:c>
      <x:c r="AG1369" t="str">
        <x:f>""</x:f>
        <x:v/>
      </x:c>
    </x:row>
    <x:row r="1370" spans="2:33" x14ac:dyDescent="0.25">
      <x:c r="B1370" t="str">
        <x:f>"VAW US Equity"</x:f>
        <x:v>VAW US Equity</x:v>
      </x:c>
      <x:c r="C1370" t="str">
        <x:f t="shared" si="59"/>
        <x:v>FD447</x:v>
      </x:c>
      <x:c r="D1370" t="str">
        <x:f t="shared" si="60"/>
        <x:v>FUND_FLOW</x:v>
      </x:c>
      <x:c r="E1370" t="str">
        <x:f t="shared" si="61"/>
        <x:v>Dynamic</x:v>
      </x:c>
      <x:c r="F1370">
        <x:f ca="1">_xll.BDH($B$1370,$C$1370,$B$1010,$B$1011,CONCATENATE("Per=",$B$1008),"Dts=H","Dir=H",CONCATENATE("Points=",$B$1009),"Sort=R","Days=A","Fill=B",CONCATENATE("FX=", $B$1007),"cols=14;rows=1")</x:f>
        <x:v>-322.5582</x:v>
      </x:c>
      <x:c r="G1370">
        <x:v>-44.545999999999999</x:v>
      </x:c>
      <x:c r="H1370">
        <x:v>-8.2676999999999996</x:v>
      </x:c>
      <x:c r="I1370">
        <x:v>230.267</x:v>
      </x:c>
      <x:c r="J1370">
        <x:v>-25.870100000000001</x:v>
      </x:c>
      <x:c r="K1370">
        <x:v>-77.556100000000001</x:v>
      </x:c>
      <x:c r="L1370">
        <x:v>-53.488</x:v>
      </x:c>
      <x:c r="M1370">
        <x:v>-7.4237000000000002</x:v>
      </x:c>
      <x:c r="N1370">
        <x:v>15.285399999999999</x:v>
      </x:c>
      <x:c r="O1370">
        <x:v>-25.739100000000001</x:v>
      </x:c>
      <x:c r="P1370">
        <x:v>-30.7577</x:v>
      </x:c>
      <x:c r="Q1370">
        <x:v>53.672499999999999</x:v>
      </x:c>
      <x:c r="R1370">
        <x:v>-46.644799999999996</x:v>
      </x:c>
      <x:c r="S1370">
        <x:v>-89.002499999999998</x:v>
      </x:c>
      <x:c r="T1370" t="str">
        <x:f>""</x:f>
        <x:v/>
      </x:c>
      <x:c r="U1370" t="str">
        <x:f>""</x:f>
        <x:v/>
      </x:c>
      <x:c r="V1370" t="str">
        <x:f>""</x:f>
        <x:v/>
      </x:c>
      <x:c r="W1370" t="str">
        <x:f>""</x:f>
        <x:v/>
      </x:c>
      <x:c r="X1370" t="str">
        <x:f>""</x:f>
        <x:v/>
      </x:c>
      <x:c r="Y1370" t="str">
        <x:f>""</x:f>
        <x:v/>
      </x:c>
      <x:c r="Z1370" t="str">
        <x:f>""</x:f>
        <x:v/>
      </x:c>
      <x:c r="AA1370" t="str">
        <x:f>""</x:f>
        <x:v/>
      </x:c>
      <x:c r="AB1370" t="str">
        <x:f>""</x:f>
        <x:v/>
      </x:c>
      <x:c r="AC1370" t="str">
        <x:f>""</x:f>
        <x:v/>
      </x:c>
      <x:c r="AD1370" t="str">
        <x:f>""</x:f>
        <x:v/>
      </x:c>
      <x:c r="AE1370" t="str">
        <x:f>""</x:f>
        <x:v/>
      </x:c>
      <x:c r="AF1370" t="str">
        <x:f>""</x:f>
        <x:v/>
      </x:c>
      <x:c r="AG1370" t="str">
        <x:f>""</x:f>
        <x:v/>
      </x:c>
    </x:row>
    <x:row r="1371" spans="2:33" x14ac:dyDescent="0.25">
      <x:c r="B1371" t="str">
        <x:f>"NUGT US Equity"</x:f>
        <x:v>NUGT US Equity</x:v>
      </x:c>
      <x:c r="C1371" t="str">
        <x:f t="shared" si="59"/>
        <x:v>FD447</x:v>
      </x:c>
      <x:c r="D1371" t="str">
        <x:f t="shared" si="60"/>
        <x:v>FUND_FLOW</x:v>
      </x:c>
      <x:c r="E1371" t="str">
        <x:f t="shared" si="61"/>
        <x:v>Dynamic</x:v>
      </x:c>
      <x:c r="F1371">
        <x:f ca="1">_xll.BDH($B$1371,$C$1371,$B$1010,$B$1011,CONCATENATE("Per=",$B$1008),"Dts=H","Dir=H",CONCATENATE("Points=",$B$1009),"Sort=R","Days=A","Fill=B",CONCATENATE("FX=", $B$1007),"cols=14;rows=1")</x:f>
        <x:v>10.0966</x:v>
      </x:c>
      <x:c r="G1371">
        <x:v>36.657600000000002</x:v>
      </x:c>
      <x:c r="H1371">
        <x:v>41.429000000000002</x:v>
      </x:c>
      <x:c r="I1371">
        <x:v>0.1527</x:v>
      </x:c>
      <x:c r="J1371">
        <x:v>4.2404000000000002</x:v>
      </x:c>
      <x:c r="K1371">
        <x:v>37.901299999999999</x:v>
      </x:c>
      <x:c r="L1371">
        <x:v>-51.459499999999998</x:v>
      </x:c>
      <x:c r="M1371">
        <x:v>-17.9924</x:v>
      </x:c>
      <x:c r="N1371">
        <x:v>39.073399999999999</x:v>
      </x:c>
      <x:c r="O1371">
        <x:v>-63.596200000000003</x:v>
      </x:c>
      <x:c r="P1371">
        <x:v>6.9054000000000002</x:v>
      </x:c>
      <x:c r="Q1371">
        <x:v>-45.567900000000002</x:v>
      </x:c>
      <x:c r="R1371">
        <x:v>-23.3264</x:v>
      </x:c>
      <x:c r="S1371">
        <x:v>7.9283000000000001</x:v>
      </x:c>
      <x:c r="T1371" t="str">
        <x:f>""</x:f>
        <x:v/>
      </x:c>
      <x:c r="U1371" t="str">
        <x:f>""</x:f>
        <x:v/>
      </x:c>
      <x:c r="V1371" t="str">
        <x:f>""</x:f>
        <x:v/>
      </x:c>
      <x:c r="W1371" t="str">
        <x:f>""</x:f>
        <x:v/>
      </x:c>
      <x:c r="X1371" t="str">
        <x:f>""</x:f>
        <x:v/>
      </x:c>
      <x:c r="Y1371" t="str">
        <x:f>""</x:f>
        <x:v/>
      </x:c>
      <x:c r="Z1371" t="str">
        <x:f>""</x:f>
        <x:v/>
      </x:c>
      <x:c r="AA1371" t="str">
        <x:f>""</x:f>
        <x:v/>
      </x:c>
      <x:c r="AB1371" t="str">
        <x:f>""</x:f>
        <x:v/>
      </x:c>
      <x:c r="AC1371" t="str">
        <x:f>""</x:f>
        <x:v/>
      </x:c>
      <x:c r="AD1371" t="str">
        <x:f>""</x:f>
        <x:v/>
      </x:c>
      <x:c r="AE1371" t="str">
        <x:f>""</x:f>
        <x:v/>
      </x:c>
      <x:c r="AF1371" t="str">
        <x:f>""</x:f>
        <x:v/>
      </x:c>
      <x:c r="AG1371" t="str">
        <x:f>""</x:f>
        <x:v/>
      </x:c>
    </x:row>
    <x:row r="1372" spans="2:33" x14ac:dyDescent="0.25">
      <x:c r="B1372" t="str">
        <x:f>"IYM US Equity"</x:f>
        <x:v>IYM US Equity</x:v>
      </x:c>
      <x:c r="C1372" t="str">
        <x:f t="shared" si="59"/>
        <x:v>FD447</x:v>
      </x:c>
      <x:c r="D1372" t="str">
        <x:f t="shared" si="60"/>
        <x:v>FUND_FLOW</x:v>
      </x:c>
      <x:c r="E1372" t="str">
        <x:f t="shared" si="61"/>
        <x:v>Dynamic</x:v>
      </x:c>
      <x:c r="F1372">
        <x:f ca="1">_xll.BDH($B$1372,$C$1372,$B$1010,$B$1011,CONCATENATE("Per=",$B$1008),"Dts=H","Dir=H",CONCATENATE("Points=",$B$1009),"Sort=R","Days=A","Fill=B",CONCATENATE("FX=", $B$1007),"cols=14;rows=1")</x:f>
        <x:v>-30.961300000000001</x:v>
      </x:c>
      <x:c r="G1372">
        <x:v>-6.5568999999999997</x:v>
      </x:c>
      <x:c r="H1372">
        <x:v>-79.415499999999994</x:v>
      </x:c>
      <x:c r="I1372">
        <x:v>-99.364099999999993</x:v>
      </x:c>
      <x:c r="J1372">
        <x:v>90.977500000000006</x:v>
      </x:c>
      <x:c r="K1372">
        <x:v>-120.6883</x:v>
      </x:c>
      <x:c r="L1372">
        <x:v>92.355999999999995</x:v>
      </x:c>
      <x:c r="M1372">
        <x:v>40.365499999999997</x:v>
      </x:c>
      <x:c r="N1372">
        <x:v>13.6858</x:v>
      </x:c>
      <x:c r="O1372">
        <x:v>20.321000000000002</x:v>
      </x:c>
      <x:c r="P1372">
        <x:v>-6.6223000000000001</x:v>
      </x:c>
      <x:c r="Q1372">
        <x:v>-156.2491</x:v>
      </x:c>
      <x:c r="R1372">
        <x:v>-34.179099999999998</x:v>
      </x:c>
      <x:c r="S1372">
        <x:v>-6.5003000000000002</x:v>
      </x:c>
      <x:c r="T1372" t="str">
        <x:f>""</x:f>
        <x:v/>
      </x:c>
      <x:c r="U1372" t="str">
        <x:f>""</x:f>
        <x:v/>
      </x:c>
      <x:c r="V1372" t="str">
        <x:f>""</x:f>
        <x:v/>
      </x:c>
      <x:c r="W1372" t="str">
        <x:f>""</x:f>
        <x:v/>
      </x:c>
      <x:c r="X1372" t="str">
        <x:f>""</x:f>
        <x:v/>
      </x:c>
      <x:c r="Y1372" t="str">
        <x:f>""</x:f>
        <x:v/>
      </x:c>
      <x:c r="Z1372" t="str">
        <x:f>""</x:f>
        <x:v/>
      </x:c>
      <x:c r="AA1372" t="str">
        <x:f>""</x:f>
        <x:v/>
      </x:c>
      <x:c r="AB1372" t="str">
        <x:f>""</x:f>
        <x:v/>
      </x:c>
      <x:c r="AC1372" t="str">
        <x:f>""</x:f>
        <x:v/>
      </x:c>
      <x:c r="AD1372" t="str">
        <x:f>""</x:f>
        <x:v/>
      </x:c>
      <x:c r="AE1372" t="str">
        <x:f>""</x:f>
        <x:v/>
      </x:c>
      <x:c r="AF1372" t="str">
        <x:f>""</x:f>
        <x:v/>
      </x:c>
      <x:c r="AG1372" t="str">
        <x:f>""</x:f>
        <x:v/>
      </x:c>
    </x:row>
    <x:row r="1373" spans="2:33" x14ac:dyDescent="0.25">
      <x:c r="B1373" t="str">
        <x:f>"JNUG US Equity"</x:f>
        <x:v>JNUG US Equity</x:v>
      </x:c>
      <x:c r="C1373" t="str">
        <x:f t="shared" si="59"/>
        <x:v>FD447</x:v>
      </x:c>
      <x:c r="D1373" t="str">
        <x:f t="shared" si="60"/>
        <x:v>FUND_FLOW</x:v>
      </x:c>
      <x:c r="E1373" t="str">
        <x:f t="shared" si="61"/>
        <x:v>Dynamic</x:v>
      </x:c>
      <x:c r="F1373">
        <x:f ca="1">_xll.BDH($B$1373,$C$1373,$B$1010,$B$1011,CONCATENATE("Per=",$B$1008),"Dts=H","Dir=H",CONCATENATE("Points=",$B$1009),"Sort=R","Days=A","Fill=B",CONCATENATE("FX=", $B$1007),"cols=14;rows=1")</x:f>
        <x:v>-9.5738000000000003</x:v>
      </x:c>
      <x:c r="G1373">
        <x:v>21.8416</x:v>
      </x:c>
      <x:c r="H1373">
        <x:v>83.084800000000001</x:v>
      </x:c>
      <x:c r="I1373">
        <x:v>-11.9895</x:v>
      </x:c>
      <x:c r="J1373">
        <x:v>23.3428</x:v>
      </x:c>
      <x:c r="K1373">
        <x:v>15.4718</x:v>
      </x:c>
      <x:c r="L1373">
        <x:v>-26.795500000000001</x:v>
      </x:c>
      <x:c r="M1373">
        <x:v>-39.3048</x:v>
      </x:c>
      <x:c r="N1373">
        <x:v>55.930399999999999</x:v>
      </x:c>
      <x:c r="O1373">
        <x:v>-26.8703</x:v>
      </x:c>
      <x:c r="P1373">
        <x:v>-4.9175000000000004</x:v>
      </x:c>
      <x:c r="Q1373">
        <x:v>-31.742999999999999</x:v>
      </x:c>
      <x:c r="R1373">
        <x:v>-6.5080999999999998</x:v>
      </x:c>
      <x:c r="S1373">
        <x:v>-3.8600000000000002E-2</x:v>
      </x:c>
      <x:c r="T1373" t="str">
        <x:f>""</x:f>
        <x:v/>
      </x:c>
      <x:c r="U1373" t="str">
        <x:f>""</x:f>
        <x:v/>
      </x:c>
      <x:c r="V1373" t="str">
        <x:f>""</x:f>
        <x:v/>
      </x:c>
      <x:c r="W1373" t="str">
        <x:f>""</x:f>
        <x:v/>
      </x:c>
      <x:c r="X1373" t="str">
        <x:f>""</x:f>
        <x:v/>
      </x:c>
      <x:c r="Y1373" t="str">
        <x:f>""</x:f>
        <x:v/>
      </x:c>
      <x:c r="Z1373" t="str">
        <x:f>""</x:f>
        <x:v/>
      </x:c>
      <x:c r="AA1373" t="str">
        <x:f>""</x:f>
        <x:v/>
      </x:c>
      <x:c r="AB1373" t="str">
        <x:f>""</x:f>
        <x:v/>
      </x:c>
      <x:c r="AC1373" t="str">
        <x:f>""</x:f>
        <x:v/>
      </x:c>
      <x:c r="AD1373" t="str">
        <x:f>""</x:f>
        <x:v/>
      </x:c>
      <x:c r="AE1373" t="str">
        <x:f>""</x:f>
        <x:v/>
      </x:c>
      <x:c r="AF1373" t="str">
        <x:f>""</x:f>
        <x:v/>
      </x:c>
      <x:c r="AG1373" t="str">
        <x:f>""</x:f>
        <x:v/>
      </x:c>
    </x:row>
    <x:row r="1374" spans="2:33" x14ac:dyDescent="0.25">
      <x:c r="B1374" t="str">
        <x:f>"XME US Equity"</x:f>
        <x:v>XME US Equity</x:v>
      </x:c>
      <x:c r="C1374" t="str">
        <x:f t="shared" si="59"/>
        <x:v>FD447</x:v>
      </x:c>
      <x:c r="D1374" t="str">
        <x:f t="shared" si="60"/>
        <x:v>FUND_FLOW</x:v>
      </x:c>
      <x:c r="E1374" t="str">
        <x:f t="shared" si="61"/>
        <x:v>Dynamic</x:v>
      </x:c>
      <x:c r="F1374">
        <x:f ca="1">_xll.BDH($B$1374,$C$1374,$B$1010,$B$1011,CONCATENATE("Per=",$B$1008),"Dts=H","Dir=H",CONCATENATE("Points=",$B$1009),"Sort=R","Days=A","Fill=B",CONCATENATE("FX=", $B$1007),"cols=14;rows=1")</x:f>
        <x:v>18.7364</x:v>
      </x:c>
      <x:c r="G1374">
        <x:v>-55.646900000000002</x:v>
      </x:c>
      <x:c r="H1374">
        <x:v>-142.93119999999999</x:v>
      </x:c>
      <x:c r="I1374">
        <x:v>61.840299999999999</x:v>
      </x:c>
      <x:c r="J1374">
        <x:v>8.4497999999999998</x:v>
      </x:c>
      <x:c r="K1374">
        <x:v>-208.3785</x:v>
      </x:c>
      <x:c r="L1374">
        <x:v>-119.664</x:v>
      </x:c>
      <x:c r="M1374">
        <x:v>-216.2448</x:v>
      </x:c>
      <x:c r="N1374">
        <x:v>59.634700000000002</x:v>
      </x:c>
      <x:c r="O1374">
        <x:v>310.108</x:v>
      </x:c>
      <x:c r="P1374">
        <x:v>-63.431800000000003</x:v>
      </x:c>
      <x:c r="Q1374">
        <x:v>143.9101</x:v>
      </x:c>
      <x:c r="R1374">
        <x:v>110.5812</x:v>
      </x:c>
      <x:c r="S1374">
        <x:v>-148.7012</x:v>
      </x:c>
      <x:c r="T1374" t="str">
        <x:f>""</x:f>
        <x:v/>
      </x:c>
      <x:c r="U1374" t="str">
        <x:f>""</x:f>
        <x:v/>
      </x:c>
      <x:c r="V1374" t="str">
        <x:f>""</x:f>
        <x:v/>
      </x:c>
      <x:c r="W1374" t="str">
        <x:f>""</x:f>
        <x:v/>
      </x:c>
      <x:c r="X1374" t="str">
        <x:f>""</x:f>
        <x:v/>
      </x:c>
      <x:c r="Y1374" t="str">
        <x:f>""</x:f>
        <x:v/>
      </x:c>
      <x:c r="Z1374" t="str">
        <x:f>""</x:f>
        <x:v/>
      </x:c>
      <x:c r="AA1374" t="str">
        <x:f>""</x:f>
        <x:v/>
      </x:c>
      <x:c r="AB1374" t="str">
        <x:f>""</x:f>
        <x:v/>
      </x:c>
      <x:c r="AC1374" t="str">
        <x:f>""</x:f>
        <x:v/>
      </x:c>
      <x:c r="AD1374" t="str">
        <x:f>""</x:f>
        <x:v/>
      </x:c>
      <x:c r="AE1374" t="str">
        <x:f>""</x:f>
        <x:v/>
      </x:c>
      <x:c r="AF1374" t="str">
        <x:f>""</x:f>
        <x:v/>
      </x:c>
      <x:c r="AG1374" t="str">
        <x:f>""</x:f>
        <x:v/>
      </x:c>
    </x:row>
    <x:row r="1375" spans="2:33" x14ac:dyDescent="0.25">
      <x:c r="B1375" t="str">
        <x:f>"SIL US Equity"</x:f>
        <x:v>SIL US Equity</x:v>
      </x:c>
      <x:c r="C1375" t="str">
        <x:f t="shared" si="59"/>
        <x:v>FD447</x:v>
      </x:c>
      <x:c r="D1375" t="str">
        <x:f t="shared" si="60"/>
        <x:v>FUND_FLOW</x:v>
      </x:c>
      <x:c r="E1375" t="str">
        <x:f t="shared" si="61"/>
        <x:v>Dynamic</x:v>
      </x:c>
      <x:c r="F1375">
        <x:f ca="1">_xll.BDH($B$1375,$C$1375,$B$1010,$B$1011,CONCATENATE("Per=",$B$1008),"Dts=H","Dir=H",CONCATENATE("Points=",$B$1009),"Sort=R","Days=A","Fill=B",CONCATENATE("FX=", $B$1007),"cols=14;rows=1")</x:f>
        <x:v>5.1840000000000002</x:v>
      </x:c>
      <x:c r="G1375">
        <x:v>27.4664</x:v>
      </x:c>
      <x:c r="H1375">
        <x:v>-7.2210000000000001</x:v>
      </x:c>
      <x:c r="I1375">
        <x:v>-2.5859999999999999</x:v>
      </x:c>
      <x:c r="J1375">
        <x:v>-15.0946</x:v>
      </x:c>
      <x:c r="K1375">
        <x:v>3.02</x:v>
      </x:c>
      <x:c r="L1375">
        <x:v>32.877299999999998</x:v>
      </x:c>
      <x:c r="M1375">
        <x:v>-4.7233999999999998</x:v>
      </x:c>
      <x:c r="N1375">
        <x:v>-20.186</x:v>
      </x:c>
      <x:c r="O1375">
        <x:v>-7.7625000000000002</x:v>
      </x:c>
      <x:c r="P1375">
        <x:v>-12.671200000000001</x:v>
      </x:c>
      <x:c r="Q1375">
        <x:v>16.346599999999999</x:v>
      </x:c>
      <x:c r="R1375">
        <x:v>-2.6779000000000002</x:v>
      </x:c>
      <x:c r="S1375">
        <x:v>39.414299999999997</x:v>
      </x:c>
      <x:c r="T1375" t="str">
        <x:f>""</x:f>
        <x:v/>
      </x:c>
      <x:c r="U1375" t="str">
        <x:f>""</x:f>
        <x:v/>
      </x:c>
      <x:c r="V1375" t="str">
        <x:f>""</x:f>
        <x:v/>
      </x:c>
      <x:c r="W1375" t="str">
        <x:f>""</x:f>
        <x:v/>
      </x:c>
      <x:c r="X1375" t="str">
        <x:f>""</x:f>
        <x:v/>
      </x:c>
      <x:c r="Y1375" t="str">
        <x:f>""</x:f>
        <x:v/>
      </x:c>
      <x:c r="Z1375" t="str">
        <x:f>""</x:f>
        <x:v/>
      </x:c>
      <x:c r="AA1375" t="str">
        <x:f>""</x:f>
        <x:v/>
      </x:c>
      <x:c r="AB1375" t="str">
        <x:f>""</x:f>
        <x:v/>
      </x:c>
      <x:c r="AC1375" t="str">
        <x:f>""</x:f>
        <x:v/>
      </x:c>
      <x:c r="AD1375" t="str">
        <x:f>""</x:f>
        <x:v/>
      </x:c>
      <x:c r="AE1375" t="str">
        <x:f>""</x:f>
        <x:v/>
      </x:c>
      <x:c r="AF1375" t="str">
        <x:f>""</x:f>
        <x:v/>
      </x:c>
      <x:c r="AG1375" t="str">
        <x:f>""</x:f>
        <x:v/>
      </x:c>
    </x:row>
    <x:row r="1376" spans="2:33" x14ac:dyDescent="0.25">
      <x:c r="B1376" t="str">
        <x:f>"RING US Equity"</x:f>
        <x:v>RING US Equity</x:v>
      </x:c>
      <x:c r="C1376" t="str">
        <x:f t="shared" si="59"/>
        <x:v>FD447</x:v>
      </x:c>
      <x:c r="D1376" t="str">
        <x:f t="shared" si="60"/>
        <x:v>FUND_FLOW</x:v>
      </x:c>
      <x:c r="E1376" t="str">
        <x:f t="shared" si="61"/>
        <x:v>Dynamic</x:v>
      </x:c>
      <x:c r="F1376">
        <x:f ca="1">_xll.BDH($B$1376,$C$1376,$B$1010,$B$1011,CONCATENATE("Per=",$B$1008),"Dts=H","Dir=H",CONCATENATE("Points=",$B$1009),"Sort=R","Days=A","Fill=B",CONCATENATE("FX=", $B$1007),"cols=14;rows=1")</x:f>
        <x:v>4.5528000000000004</x:v>
      </x:c>
      <x:c r="G1376">
        <x:v>4.2618</x:v>
      </x:c>
      <x:c r="H1376">
        <x:v>0</x:v>
      </x:c>
      <x:c r="I1376">
        <x:v>-7.5403000000000002</x:v>
      </x:c>
      <x:c r="J1376">
        <x:v>-4.5429000000000004</x:v>
      </x:c>
      <x:c r="K1376">
        <x:v>0.30740000000000001</x:v>
      </x:c>
      <x:c r="L1376">
        <x:v>5.4854000000000003</x:v>
      </x:c>
      <x:c r="M1376">
        <x:v>-56.310699999999997</x:v>
      </x:c>
      <x:c r="N1376">
        <x:v>6.2240000000000002</x:v>
      </x:c>
      <x:c r="O1376">
        <x:v>45.681699999999999</x:v>
      </x:c>
      <x:c r="P1376">
        <x:v>-5.6163999999999996</x:v>
      </x:c>
      <x:c r="Q1376">
        <x:v>-3.1282999999999999</x:v>
      </x:c>
      <x:c r="R1376">
        <x:v>-23.421099999999999</x:v>
      </x:c>
      <x:c r="S1376">
        <x:v>-4.2862</x:v>
      </x:c>
      <x:c r="T1376" t="str">
        <x:f>""</x:f>
        <x:v/>
      </x:c>
      <x:c r="U1376" t="str">
        <x:f>""</x:f>
        <x:v/>
      </x:c>
      <x:c r="V1376" t="str">
        <x:f>""</x:f>
        <x:v/>
      </x:c>
      <x:c r="W1376" t="str">
        <x:f>""</x:f>
        <x:v/>
      </x:c>
      <x:c r="X1376" t="str">
        <x:f>""</x:f>
        <x:v/>
      </x:c>
      <x:c r="Y1376" t="str">
        <x:f>""</x:f>
        <x:v/>
      </x:c>
      <x:c r="Z1376" t="str">
        <x:f>""</x:f>
        <x:v/>
      </x:c>
      <x:c r="AA1376" t="str">
        <x:f>""</x:f>
        <x:v/>
      </x:c>
      <x:c r="AB1376" t="str">
        <x:f>""</x:f>
        <x:v/>
      </x:c>
      <x:c r="AC1376" t="str">
        <x:f>""</x:f>
        <x:v/>
      </x:c>
      <x:c r="AD1376" t="str">
        <x:f>""</x:f>
        <x:v/>
      </x:c>
      <x:c r="AE1376" t="str">
        <x:f>""</x:f>
        <x:v/>
      </x:c>
      <x:c r="AF1376" t="str">
        <x:f>""</x:f>
        <x:v/>
      </x:c>
      <x:c r="AG1376" t="str">
        <x:f>""</x:f>
        <x:v/>
      </x:c>
    </x:row>
    <x:row r="1377" spans="2:33" x14ac:dyDescent="0.25">
      <x:c r="B1377" t="str">
        <x:f>"DUST US Equity"</x:f>
        <x:v>DUST US Equity</x:v>
      </x:c>
      <x:c r="C1377" t="str">
        <x:f t="shared" si="59"/>
        <x:v>FD447</x:v>
      </x:c>
      <x:c r="D1377" t="str">
        <x:f t="shared" si="60"/>
        <x:v>FUND_FLOW</x:v>
      </x:c>
      <x:c r="E1377" t="str">
        <x:f t="shared" si="61"/>
        <x:v>Dynamic</x:v>
      </x:c>
      <x:c r="F1377">
        <x:f ca="1">_xll.BDH($B$1377,$C$1377,$B$1010,$B$1011,CONCATENATE("Per=",$B$1008),"Dts=H","Dir=H",CONCATENATE("Points=",$B$1009),"Sort=R","Days=A","Fill=B",CONCATENATE("FX=", $B$1007),"cols=14;rows=1")</x:f>
        <x:v>72.891999999999996</x:v>
      </x:c>
      <x:c r="G1377">
        <x:v>-25.425899999999999</x:v>
      </x:c>
      <x:c r="H1377">
        <x:v>-60.036999999999999</x:v>
      </x:c>
      <x:c r="I1377">
        <x:v>12.6395</x:v>
      </x:c>
      <x:c r="J1377">
        <x:v>2.9925999999999999</x:v>
      </x:c>
      <x:c r="K1377">
        <x:v>-22.0823</x:v>
      </x:c>
      <x:c r="L1377">
        <x:v>39.036099999999998</x:v>
      </x:c>
      <x:c r="M1377">
        <x:v>37.475499999999997</x:v>
      </x:c>
      <x:c r="N1377">
        <x:v>-64.315700000000007</x:v>
      </x:c>
      <x:c r="O1377">
        <x:v>53.742899999999999</x:v>
      </x:c>
      <x:c r="P1377">
        <x:v>18.540199999999999</x:v>
      </x:c>
      <x:c r="Q1377">
        <x:v>25.545100000000001</x:v>
      </x:c>
      <x:c r="R1377">
        <x:v>-2.0583999999999998</x:v>
      </x:c>
      <x:c r="S1377">
        <x:v>2.6760000000000002</x:v>
      </x:c>
      <x:c r="T1377" t="str">
        <x:f>""</x:f>
        <x:v/>
      </x:c>
      <x:c r="U1377" t="str">
        <x:f>""</x:f>
        <x:v/>
      </x:c>
      <x:c r="V1377" t="str">
        <x:f>""</x:f>
        <x:v/>
      </x:c>
      <x:c r="W1377" t="str">
        <x:f>""</x:f>
        <x:v/>
      </x:c>
      <x:c r="X1377" t="str">
        <x:f>""</x:f>
        <x:v/>
      </x:c>
      <x:c r="Y1377" t="str">
        <x:f>""</x:f>
        <x:v/>
      </x:c>
      <x:c r="Z1377" t="str">
        <x:f>""</x:f>
        <x:v/>
      </x:c>
      <x:c r="AA1377" t="str">
        <x:f>""</x:f>
        <x:v/>
      </x:c>
      <x:c r="AB1377" t="str">
        <x:f>""</x:f>
        <x:v/>
      </x:c>
      <x:c r="AC1377" t="str">
        <x:f>""</x:f>
        <x:v/>
      </x:c>
      <x:c r="AD1377" t="str">
        <x:f>""</x:f>
        <x:v/>
      </x:c>
      <x:c r="AE1377" t="str">
        <x:f>""</x:f>
        <x:v/>
      </x:c>
      <x:c r="AF1377" t="str">
        <x:f>""</x:f>
        <x:v/>
      </x:c>
      <x:c r="AG1377" t="str">
        <x:f>""</x:f>
        <x:v/>
      </x:c>
    </x:row>
    <x:row r="1378" spans="2:33" x14ac:dyDescent="0.25">
      <x:c r="B1378" t="str">
        <x:f>"FXZ US Equity"</x:f>
        <x:v>FXZ US Equity</x:v>
      </x:c>
      <x:c r="C1378" t="str">
        <x:f t="shared" si="59"/>
        <x:v>FD447</x:v>
      </x:c>
      <x:c r="D1378" t="str">
        <x:f t="shared" si="60"/>
        <x:v>FUND_FLOW</x:v>
      </x:c>
      <x:c r="E1378" t="str">
        <x:f t="shared" si="61"/>
        <x:v>Dynamic</x:v>
      </x:c>
      <x:c r="F1378">
        <x:f ca="1">_xll.BDH($B$1378,$C$1378,$B$1010,$B$1011,CONCATENATE("Per=",$B$1008),"Dts=H","Dir=H",CONCATENATE("Points=",$B$1009),"Sort=R","Days=A","Fill=B",CONCATENATE("FX=", $B$1007),"cols=14;rows=1")</x:f>
        <x:v>-27.409500000000001</x:v>
      </x:c>
      <x:c r="G1378">
        <x:v>-9.1890999999999998</x:v>
      </x:c>
      <x:c r="H1378">
        <x:v>-26.302700000000002</x:v>
      </x:c>
      <x:c r="I1378">
        <x:v>-39.274500000000003</x:v>
      </x:c>
      <x:c r="J1378">
        <x:v>-912.99649999999997</x:v>
      </x:c>
      <x:c r="K1378">
        <x:v>-131.17599999999999</x:v>
      </x:c>
      <x:c r="L1378">
        <x:v>-23.025500000000001</x:v>
      </x:c>
      <x:c r="M1378">
        <x:v>-3.9864999999999999</x:v>
      </x:c>
      <x:c r="N1378">
        <x:v>203.464</x:v>
      </x:c>
      <x:c r="O1378">
        <x:v>34.337499999999999</x:v>
      </x:c>
      <x:c r="P1378">
        <x:v>-2.847</x:v>
      </x:c>
      <x:c r="Q1378">
        <x:v>15.172700000000001</x:v>
      </x:c>
      <x:c r="R1378">
        <x:v>-55.276800000000001</x:v>
      </x:c>
      <x:c r="S1378">
        <x:v>-54.0306</x:v>
      </x:c>
      <x:c r="T1378" t="str">
        <x:f>""</x:f>
        <x:v/>
      </x:c>
      <x:c r="U1378" t="str">
        <x:f>""</x:f>
        <x:v/>
      </x:c>
      <x:c r="V1378" t="str">
        <x:f>""</x:f>
        <x:v/>
      </x:c>
      <x:c r="W1378" t="str">
        <x:f>""</x:f>
        <x:v/>
      </x:c>
      <x:c r="X1378" t="str">
        <x:f>""</x:f>
        <x:v/>
      </x:c>
      <x:c r="Y1378" t="str">
        <x:f>""</x:f>
        <x:v/>
      </x:c>
      <x:c r="Z1378" t="str">
        <x:f>""</x:f>
        <x:v/>
      </x:c>
      <x:c r="AA1378" t="str">
        <x:f>""</x:f>
        <x:v/>
      </x:c>
      <x:c r="AB1378" t="str">
        <x:f>""</x:f>
        <x:v/>
      </x:c>
      <x:c r="AC1378" t="str">
        <x:f>""</x:f>
        <x:v/>
      </x:c>
      <x:c r="AD1378" t="str">
        <x:f>""</x:f>
        <x:v/>
      </x:c>
      <x:c r="AE1378" t="str">
        <x:f>""</x:f>
        <x:v/>
      </x:c>
      <x:c r="AF1378" t="str">
        <x:f>""</x:f>
        <x:v/>
      </x:c>
      <x:c r="AG1378" t="str">
        <x:f>""</x:f>
        <x:v/>
      </x:c>
    </x:row>
    <x:row r="1379" spans="2:33" x14ac:dyDescent="0.25">
      <x:c r="B1379" t="str">
        <x:f>"PICK US Equity"</x:f>
        <x:v>PICK US Equity</x:v>
      </x:c>
      <x:c r="C1379" t="str">
        <x:f t="shared" si="59"/>
        <x:v>FD447</x:v>
      </x:c>
      <x:c r="D1379" t="str">
        <x:f t="shared" si="60"/>
        <x:v>FUND_FLOW</x:v>
      </x:c>
      <x:c r="E1379" t="str">
        <x:f t="shared" si="61"/>
        <x:v>Dynamic</x:v>
      </x:c>
      <x:c r="F1379">
        <x:f ca="1">_xll.BDH($B$1379,$C$1379,$B$1010,$B$1011,CONCATENATE("Per=",$B$1008),"Dts=H","Dir=H",CONCATENATE("Points=",$B$1009),"Sort=R","Days=A","Fill=B",CONCATENATE("FX=", $B$1007),"cols=14;rows=1")</x:f>
        <x:v>-57.624000000000002</x:v>
      </x:c>
      <x:c r="G1379">
        <x:v>-81.903899999999993</x:v>
      </x:c>
      <x:c r="H1379">
        <x:v>-67.933599999999998</x:v>
      </x:c>
      <x:c r="I1379">
        <x:v>27.668299999999999</x:v>
      </x:c>
      <x:c r="J1379">
        <x:v>146.3672</x:v>
      </x:c>
      <x:c r="K1379">
        <x:v>-103.5523</x:v>
      </x:c>
      <x:c r="L1379">
        <x:v>-69.829499999999996</x:v>
      </x:c>
      <x:c r="M1379">
        <x:v>82.405299999999997</x:v>
      </x:c>
      <x:c r="N1379">
        <x:v>13.8979</x:v>
      </x:c>
      <x:c r="O1379">
        <x:v>107.45659999999999</x:v>
      </x:c>
      <x:c r="P1379">
        <x:v>-2.4554999999999998</x:v>
      </x:c>
      <x:c r="Q1379">
        <x:v>0</x:v>
      </x:c>
      <x:c r="R1379">
        <x:v>0</x:v>
      </x:c>
      <x:c r="S1379">
        <x:v>10.804</x:v>
      </x:c>
      <x:c r="T1379" t="str">
        <x:f>""</x:f>
        <x:v/>
      </x:c>
      <x:c r="U1379" t="str">
        <x:f>""</x:f>
        <x:v/>
      </x:c>
      <x:c r="V1379" t="str">
        <x:f>""</x:f>
        <x:v/>
      </x:c>
      <x:c r="W1379" t="str">
        <x:f>""</x:f>
        <x:v/>
      </x:c>
      <x:c r="X1379" t="str">
        <x:f>""</x:f>
        <x:v/>
      </x:c>
      <x:c r="Y1379" t="str">
        <x:f>""</x:f>
        <x:v/>
      </x:c>
      <x:c r="Z1379" t="str">
        <x:f>""</x:f>
        <x:v/>
      </x:c>
      <x:c r="AA1379" t="str">
        <x:f>""</x:f>
        <x:v/>
      </x:c>
      <x:c r="AB1379" t="str">
        <x:f>""</x:f>
        <x:v/>
      </x:c>
      <x:c r="AC1379" t="str">
        <x:f>""</x:f>
        <x:v/>
      </x:c>
      <x:c r="AD1379" t="str">
        <x:f>""</x:f>
        <x:v/>
      </x:c>
      <x:c r="AE1379" t="str">
        <x:f>""</x:f>
        <x:v/>
      </x:c>
      <x:c r="AF1379" t="str">
        <x:f>""</x:f>
        <x:v/>
      </x:c>
      <x:c r="AG1379" t="str">
        <x:f>""</x:f>
        <x:v/>
      </x:c>
    </x:row>
    <x:row r="1380" spans="2:33" x14ac:dyDescent="0.25">
      <x:c r="B1380" t="str">
        <x:f>"MXI US Equity"</x:f>
        <x:v>MXI US Equity</x:v>
      </x:c>
      <x:c r="C1380" t="str">
        <x:f t="shared" si="59"/>
        <x:v>FD447</x:v>
      </x:c>
      <x:c r="D1380" t="str">
        <x:f t="shared" si="60"/>
        <x:v>FUND_FLOW</x:v>
      </x:c>
      <x:c r="E1380" t="str">
        <x:f t="shared" si="61"/>
        <x:v>Dynamic</x:v>
      </x:c>
      <x:c r="F1380">
        <x:f ca="1">_xll.BDH($B$1380,$C$1380,$B$1010,$B$1011,CONCATENATE("Per=",$B$1008),"Dts=H","Dir=H",CONCATENATE("Points=",$B$1009),"Sort=R","Days=A","Fill=B",CONCATENATE("FX=", $B$1007),"cols=14;rows=1")</x:f>
        <x:v>0</x:v>
      </x:c>
      <x:c r="G1380">
        <x:v>-15.870699999999999</x:v>
      </x:c>
      <x:c r="H1380">
        <x:v>-4.0945999999999998</x:v>
      </x:c>
      <x:c r="I1380">
        <x:v>-21.226900000000001</x:v>
      </x:c>
      <x:c r="J1380">
        <x:v>-20.1724</x:v>
      </x:c>
      <x:c r="K1380">
        <x:v>-8.1407000000000007</x:v>
      </x:c>
      <x:c r="L1380">
        <x:v>-12.6152</x:v>
      </x:c>
      <x:c r="M1380">
        <x:v>8.1945999999999994</x:v>
      </x:c>
      <x:c r="N1380">
        <x:v>12.570600000000001</x:v>
      </x:c>
      <x:c r="O1380">
        <x:v>17.3202</x:v>
      </x:c>
      <x:c r="P1380">
        <x:v>12.0197</x:v>
      </x:c>
      <x:c r="Q1380">
        <x:v>-4.1628999999999996</x:v>
      </x:c>
      <x:c r="R1380">
        <x:v>-14.169600000000001</x:v>
      </x:c>
      <x:c r="S1380">
        <x:v>-7.3201000000000001</x:v>
      </x:c>
      <x:c r="T1380" t="str">
        <x:f>""</x:f>
        <x:v/>
      </x:c>
      <x:c r="U1380" t="str">
        <x:f>""</x:f>
        <x:v/>
      </x:c>
      <x:c r="V1380" t="str">
        <x:f>""</x:f>
        <x:v/>
      </x:c>
      <x:c r="W1380" t="str">
        <x:f>""</x:f>
        <x:v/>
      </x:c>
      <x:c r="X1380" t="str">
        <x:f>""</x:f>
        <x:v/>
      </x:c>
      <x:c r="Y1380" t="str">
        <x:f>""</x:f>
        <x:v/>
      </x:c>
      <x:c r="Z1380" t="str">
        <x:f>""</x:f>
        <x:v/>
      </x:c>
      <x:c r="AA1380" t="str">
        <x:f>""</x:f>
        <x:v/>
      </x:c>
      <x:c r="AB1380" t="str">
        <x:f>""</x:f>
        <x:v/>
      </x:c>
      <x:c r="AC1380" t="str">
        <x:f>""</x:f>
        <x:v/>
      </x:c>
      <x:c r="AD1380" t="str">
        <x:f>""</x:f>
        <x:v/>
      </x:c>
      <x:c r="AE1380" t="str">
        <x:f>""</x:f>
        <x:v/>
      </x:c>
      <x:c r="AF1380" t="str">
        <x:f>""</x:f>
        <x:v/>
      </x:c>
      <x:c r="AG1380" t="str">
        <x:f>""</x:f>
        <x:v/>
      </x:c>
    </x:row>
    <x:row r="1381" spans="2:33" x14ac:dyDescent="0.25">
      <x:c r="B1381" t="str">
        <x:f>"FMAT US Equity"</x:f>
        <x:v>FMAT US Equity</x:v>
      </x:c>
      <x:c r="C1381" t="str">
        <x:f t="shared" si="59"/>
        <x:v>FD447</x:v>
      </x:c>
      <x:c r="D1381" t="str">
        <x:f t="shared" si="60"/>
        <x:v>FUND_FLOW</x:v>
      </x:c>
      <x:c r="E1381" t="str">
        <x:f t="shared" si="61"/>
        <x:v>Dynamic</x:v>
      </x:c>
      <x:c r="F1381">
        <x:f ca="1">_xll.BDH($B$1381,$C$1381,$B$1010,$B$1011,CONCATENATE("Per=",$B$1008),"Dts=H","Dir=H",CONCATENATE("Points=",$B$1009),"Sort=R","Days=A","Fill=B",CONCATENATE("FX=", $B$1007),"cols=14;rows=1")</x:f>
        <x:v>-8.7080000000000002</x:v>
      </x:c>
      <x:c r="G1381">
        <x:v>2.2774999999999999</x:v>
      </x:c>
      <x:c r="H1381">
        <x:v>4.6657000000000002</x:v>
      </x:c>
      <x:c r="I1381">
        <x:v>4.6081000000000003</x:v>
      </x:c>
      <x:c r="J1381">
        <x:v>2.2940999999999998</x:v>
      </x:c>
      <x:c r="K1381">
        <x:v>-32.759599999999999</x:v>
      </x:c>
      <x:c r="L1381">
        <x:v>9.0211000000000006</x:v>
      </x:c>
      <x:c r="M1381">
        <x:v>27.0352</x:v>
      </x:c>
      <x:c r="N1381">
        <x:v>-2.3454000000000002</x:v>
      </x:c>
      <x:c r="O1381">
        <x:v>0</x:v>
      </x:c>
      <x:c r="P1381">
        <x:v>4.7652000000000001</x:v>
      </x:c>
      <x:c r="Q1381">
        <x:v>-8.7266999999999992</x:v>
      </x:c>
      <x:c r="R1381">
        <x:v>-11.855399999999999</x:v>
      </x:c>
      <x:c r="S1381">
        <x:v>0.16800000000000001</x:v>
      </x:c>
      <x:c r="T1381" t="str">
        <x:f>""</x:f>
        <x:v/>
      </x:c>
      <x:c r="U1381" t="str">
        <x:f>""</x:f>
        <x:v/>
      </x:c>
      <x:c r="V1381" t="str">
        <x:f>""</x:f>
        <x:v/>
      </x:c>
      <x:c r="W1381" t="str">
        <x:f>""</x:f>
        <x:v/>
      </x:c>
      <x:c r="X1381" t="str">
        <x:f>""</x:f>
        <x:v/>
      </x:c>
      <x:c r="Y1381" t="str">
        <x:f>""</x:f>
        <x:v/>
      </x:c>
      <x:c r="Z1381" t="str">
        <x:f>""</x:f>
        <x:v/>
      </x:c>
      <x:c r="AA1381" t="str">
        <x:f>""</x:f>
        <x:v/>
      </x:c>
      <x:c r="AB1381" t="str">
        <x:f>""</x:f>
        <x:v/>
      </x:c>
      <x:c r="AC1381" t="str">
        <x:f>""</x:f>
        <x:v/>
      </x:c>
      <x:c r="AD1381" t="str">
        <x:f>""</x:f>
        <x:v/>
      </x:c>
      <x:c r="AE1381" t="str">
        <x:f>""</x:f>
        <x:v/>
      </x:c>
      <x:c r="AF1381" t="str">
        <x:f>""</x:f>
        <x:v/>
      </x:c>
      <x:c r="AG1381" t="str">
        <x:f>""</x:f>
        <x:v/>
      </x:c>
    </x:row>
    <x:row r="1382" spans="2:33" x14ac:dyDescent="0.25">
      <x:c r="B1382" t="str">
        <x:f>"SGDM US Equity"</x:f>
        <x:v>SGDM US Equity</x:v>
      </x:c>
      <x:c r="C1382" t="str">
        <x:f t="shared" si="59"/>
        <x:v>FD447</x:v>
      </x:c>
      <x:c r="D1382" t="str">
        <x:f t="shared" si="60"/>
        <x:v>FUND_FLOW</x:v>
      </x:c>
      <x:c r="E1382" t="str">
        <x:f t="shared" si="61"/>
        <x:v>Dynamic</x:v>
      </x:c>
      <x:c r="F1382">
        <x:f ca="1">_xll.BDH($B$1382,$C$1382,$B$1010,$B$1011,CONCATENATE("Per=",$B$1008),"Dts=H","Dir=H",CONCATENATE("Points=",$B$1009),"Sort=R","Days=A","Fill=B",CONCATENATE("FX=", $B$1007),"cols=14;rows=1")</x:f>
        <x:v>-3.5794000000000001</x:v>
      </x:c>
      <x:c r="G1382">
        <x:v>0</x:v>
      </x:c>
      <x:c r="H1382">
        <x:v>-7.0391000000000004</x:v>
      </x:c>
      <x:c r="I1382">
        <x:v>1.3386</x:v>
      </x:c>
      <x:c r="J1382">
        <x:v>-2.5642</x:v>
      </x:c>
      <x:c r="K1382">
        <x:v>3.0872000000000002</x:v>
      </x:c>
      <x:c r="L1382">
        <x:v>-4.9537000000000004</x:v>
      </x:c>
      <x:c r="M1382">
        <x:v>15.1389</x:v>
      </x:c>
      <x:c r="N1382">
        <x:v>-3.1476999999999999</x:v>
      </x:c>
      <x:c r="O1382">
        <x:v>-4.9329999999999998</x:v>
      </x:c>
      <x:c r="P1382">
        <x:v>10.7926</x:v>
      </x:c>
      <x:c r="Q1382">
        <x:v>2.3988</x:v>
      </x:c>
      <x:c r="R1382">
        <x:v>0</x:v>
      </x:c>
      <x:c r="S1382">
        <x:v>0</x:v>
      </x:c>
      <x:c r="T1382" t="str">
        <x:f>""</x:f>
        <x:v/>
      </x:c>
      <x:c r="U1382" t="str">
        <x:f>""</x:f>
        <x:v/>
      </x:c>
      <x:c r="V1382" t="str">
        <x:f>""</x:f>
        <x:v/>
      </x:c>
      <x:c r="W1382" t="str">
        <x:f>""</x:f>
        <x:v/>
      </x:c>
      <x:c r="X1382" t="str">
        <x:f>""</x:f>
        <x:v/>
      </x:c>
      <x:c r="Y1382" t="str">
        <x:f>""</x:f>
        <x:v/>
      </x:c>
      <x:c r="Z1382" t="str">
        <x:f>""</x:f>
        <x:v/>
      </x:c>
      <x:c r="AA1382" t="str">
        <x:f>""</x:f>
        <x:v/>
      </x:c>
      <x:c r="AB1382" t="str">
        <x:f>""</x:f>
        <x:v/>
      </x:c>
      <x:c r="AC1382" t="str">
        <x:f>""</x:f>
        <x:v/>
      </x:c>
      <x:c r="AD1382" t="str">
        <x:f>""</x:f>
        <x:v/>
      </x:c>
      <x:c r="AE1382" t="str">
        <x:f>""</x:f>
        <x:v/>
      </x:c>
      <x:c r="AF1382" t="str">
        <x:f>""</x:f>
        <x:v/>
      </x:c>
      <x:c r="AG1382" t="str">
        <x:f>""</x:f>
        <x:v/>
      </x:c>
    </x:row>
    <x:row r="1383" spans="2:33" x14ac:dyDescent="0.25">
      <x:c r="B1383" t="str">
        <x:f>"RTM US Equity"</x:f>
        <x:v>RTM US Equity</x:v>
      </x:c>
      <x:c r="C1383" t="str">
        <x:f t="shared" si="59"/>
        <x:v>FD447</x:v>
      </x:c>
      <x:c r="D1383" t="str">
        <x:f t="shared" si="60"/>
        <x:v>FUND_FLOW</x:v>
      </x:c>
      <x:c r="E1383" t="str">
        <x:f t="shared" si="61"/>
        <x:v>Dynamic</x:v>
      </x:c>
      <x:c r="F1383">
        <x:f ca="1">_xll.BDH($B$1383,$C$1383,$B$1010,$B$1011,CONCATENATE("Per=",$B$1008),"Dts=H","Dir=H",CONCATENATE("Points=",$B$1009),"Sort=R","Days=A","Fill=B",CONCATENATE("FX=", $B$1007),"cols=14;rows=1")</x:f>
        <x:v>-4.5735999999999999</x:v>
      </x:c>
      <x:c r="G1383">
        <x:v>-1.5891</x:v>
      </x:c>
      <x:c r="H1383">
        <x:v>-13.1119</x:v>
      </x:c>
      <x:c r="I1383">
        <x:v>-6.3612000000000002</x:v>
      </x:c>
      <x:c r="J1383">
        <x:v>-14.225099999999999</x:v>
      </x:c>
      <x:c r="T1383" t="str">
        <x:f>""</x:f>
        <x:v/>
      </x:c>
      <x:c r="U1383" t="str">
        <x:f>""</x:f>
        <x:v/>
      </x:c>
      <x:c r="V1383" t="str">
        <x:f>""</x:f>
        <x:v/>
      </x:c>
      <x:c r="W1383" t="str">
        <x:f>""</x:f>
        <x:v/>
      </x:c>
      <x:c r="X1383" t="str">
        <x:f>""</x:f>
        <x:v/>
      </x:c>
      <x:c r="Y1383" t="str">
        <x:f>""</x:f>
        <x:v/>
      </x:c>
      <x:c r="Z1383" t="str">
        <x:f>""</x:f>
        <x:v/>
      </x:c>
      <x:c r="AA1383" t="str">
        <x:f>""</x:f>
        <x:v/>
      </x:c>
      <x:c r="AB1383" t="str">
        <x:f>""</x:f>
        <x:v/>
      </x:c>
      <x:c r="AC1383" t="str">
        <x:f>""</x:f>
        <x:v/>
      </x:c>
      <x:c r="AD1383" t="str">
        <x:f>""</x:f>
        <x:v/>
      </x:c>
      <x:c r="AE1383" t="str">
        <x:f>""</x:f>
        <x:v/>
      </x:c>
      <x:c r="AF1383" t="str">
        <x:f>""</x:f>
        <x:v/>
      </x:c>
      <x:c r="AG1383" t="str">
        <x:f>""</x:f>
        <x:v/>
      </x:c>
    </x:row>
    <x:row r="1384" spans="2:33" x14ac:dyDescent="0.25">
      <x:c r="B1384" t="str">
        <x:f>"SLX US Equity"</x:f>
        <x:v>SLX US Equity</x:v>
      </x:c>
      <x:c r="C1384" t="str">
        <x:f t="shared" si="59"/>
        <x:v>FD447</x:v>
      </x:c>
      <x:c r="D1384" t="str">
        <x:f t="shared" si="60"/>
        <x:v>FUND_FLOW</x:v>
      </x:c>
      <x:c r="E1384" t="str">
        <x:f t="shared" si="61"/>
        <x:v>Dynamic</x:v>
      </x:c>
      <x:c r="F1384">
        <x:f ca="1">_xll.BDH($B$1384,$C$1384,$B$1010,$B$1011,CONCATENATE("Per=",$B$1008),"Dts=H","Dir=H",CONCATENATE("Points=",$B$1009),"Sort=R","Days=A","Fill=B",CONCATENATE("FX=", $B$1007),"cols=14;rows=1")</x:f>
        <x:v>-1.5267999999999999</x:v>
      </x:c>
      <x:c r="G1384">
        <x:v>-0.11799999999999999</x:v>
      </x:c>
      <x:c r="H1384">
        <x:v>1.6541999999999999</x:v>
      </x:c>
      <x:c r="I1384">
        <x:v>3.4923999999999999</x:v>
      </x:c>
      <x:c r="J1384">
        <x:v>3.1105</x:v>
      </x:c>
      <x:c r="K1384">
        <x:v>-11.4954</x:v>
      </x:c>
      <x:c r="L1384">
        <x:v>-6.3064</x:v>
      </x:c>
      <x:c r="M1384">
        <x:v>-4.2476000000000003</x:v>
      </x:c>
      <x:c r="N1384">
        <x:v>15.2264</x:v>
      </x:c>
      <x:c r="O1384">
        <x:v>12.062099999999999</x:v>
      </x:c>
      <x:c r="P1384">
        <x:v>-0.55900000000000005</x:v>
      </x:c>
      <x:c r="Q1384">
        <x:v>6.5076999999999998</x:v>
      </x:c>
      <x:c r="R1384">
        <x:v>1.2458</x:v>
      </x:c>
      <x:c r="S1384">
        <x:v>-7.7290999999999999</x:v>
      </x:c>
      <x:c r="T1384" t="str">
        <x:f>""</x:f>
        <x:v/>
      </x:c>
      <x:c r="U1384" t="str">
        <x:f>""</x:f>
        <x:v/>
      </x:c>
      <x:c r="V1384" t="str">
        <x:f>""</x:f>
        <x:v/>
      </x:c>
      <x:c r="W1384" t="str">
        <x:f>""</x:f>
        <x:v/>
      </x:c>
      <x:c r="X1384" t="str">
        <x:f>""</x:f>
        <x:v/>
      </x:c>
      <x:c r="Y1384" t="str">
        <x:f>""</x:f>
        <x:v/>
      </x:c>
      <x:c r="Z1384" t="str">
        <x:f>""</x:f>
        <x:v/>
      </x:c>
      <x:c r="AA1384" t="str">
        <x:f>""</x:f>
        <x:v/>
      </x:c>
      <x:c r="AB1384" t="str">
        <x:f>""</x:f>
        <x:v/>
      </x:c>
      <x:c r="AC1384" t="str">
        <x:f>""</x:f>
        <x:v/>
      </x:c>
      <x:c r="AD1384" t="str">
        <x:f>""</x:f>
        <x:v/>
      </x:c>
      <x:c r="AE1384" t="str">
        <x:f>""</x:f>
        <x:v/>
      </x:c>
      <x:c r="AF1384" t="str">
        <x:f>""</x:f>
        <x:v/>
      </x:c>
      <x:c r="AG1384" t="str">
        <x:f>""</x:f>
        <x:v/>
      </x:c>
    </x:row>
    <x:row r="1385" spans="2:33" x14ac:dyDescent="0.25">
      <x:c r="B1385" t="str">
        <x:f>"SGDJ US Equity"</x:f>
        <x:v>SGDJ US Equity</x:v>
      </x:c>
      <x:c r="C1385" t="str">
        <x:f t="shared" si="59"/>
        <x:v>FD447</x:v>
      </x:c>
      <x:c r="D1385" t="str">
        <x:f t="shared" si="60"/>
        <x:v>FUND_FLOW</x:v>
      </x:c>
      <x:c r="E1385" t="str">
        <x:f t="shared" si="61"/>
        <x:v>Dynamic</x:v>
      </x:c>
      <x:c r="F1385">
        <x:f ca="1">_xll.BDH($B$1385,$C$1385,$B$1010,$B$1011,CONCATENATE("Per=",$B$1008),"Dts=H","Dir=H",CONCATENATE("Points=",$B$1009),"Sort=R","Days=A","Fill=B",CONCATENATE("FX=", $B$1007),"cols=14;rows=1")</x:f>
        <x:v>0</x:v>
      </x:c>
      <x:c r="G1385">
        <x:v>0</x:v>
      </x:c>
      <x:c r="H1385">
        <x:v>0</x:v>
      </x:c>
      <x:c r="I1385">
        <x:v>0</x:v>
      </x:c>
      <x:c r="J1385">
        <x:v>0</x:v>
      </x:c>
      <x:c r="K1385">
        <x:v>0</x:v>
      </x:c>
      <x:c r="L1385">
        <x:v>1.0867</x:v>
      </x:c>
      <x:c r="M1385">
        <x:v>0</x:v>
      </x:c>
      <x:c r="N1385">
        <x:v>-6.8025000000000002</x:v>
      </x:c>
      <x:c r="O1385">
        <x:v>0.59</x:v>
      </x:c>
      <x:c r="P1385">
        <x:v>0</x:v>
      </x:c>
      <x:c r="Q1385">
        <x:v>0</x:v>
      </x:c>
      <x:c r="R1385">
        <x:v>0</x:v>
      </x:c>
      <x:c r="S1385">
        <x:v>0</x:v>
      </x:c>
      <x:c r="T1385" t="str">
        <x:f>""</x:f>
        <x:v/>
      </x:c>
      <x:c r="U1385" t="str">
        <x:f>""</x:f>
        <x:v/>
      </x:c>
      <x:c r="V1385" t="str">
        <x:f>""</x:f>
        <x:v/>
      </x:c>
      <x:c r="W1385" t="str">
        <x:f>""</x:f>
        <x:v/>
      </x:c>
      <x:c r="X1385" t="str">
        <x:f>""</x:f>
        <x:v/>
      </x:c>
      <x:c r="Y1385" t="str">
        <x:f>""</x:f>
        <x:v/>
      </x:c>
      <x:c r="Z1385" t="str">
        <x:f>""</x:f>
        <x:v/>
      </x:c>
      <x:c r="AA1385" t="str">
        <x:f>""</x:f>
        <x:v/>
      </x:c>
      <x:c r="AB1385" t="str">
        <x:f>""</x:f>
        <x:v/>
      </x:c>
      <x:c r="AC1385" t="str">
        <x:f>""</x:f>
        <x:v/>
      </x:c>
      <x:c r="AD1385" t="str">
        <x:f>""</x:f>
        <x:v/>
      </x:c>
      <x:c r="AE1385" t="str">
        <x:f>""</x:f>
        <x:v/>
      </x:c>
      <x:c r="AF1385" t="str">
        <x:f>""</x:f>
        <x:v/>
      </x:c>
      <x:c r="AG1385" t="str">
        <x:f>""</x:f>
        <x:v/>
      </x:c>
    </x:row>
    <x:row r="1386" spans="2:33" x14ac:dyDescent="0.25">
      <x:c r="B1386" t="str">
        <x:f>"JDST US Equity"</x:f>
        <x:v>JDST US Equity</x:v>
      </x:c>
      <x:c r="C1386" t="str">
        <x:f t="shared" si="59"/>
        <x:v>FD447</x:v>
      </x:c>
      <x:c r="D1386" t="str">
        <x:f t="shared" si="60"/>
        <x:v>FUND_FLOW</x:v>
      </x:c>
      <x:c r="E1386" t="str">
        <x:f t="shared" si="61"/>
        <x:v>Dynamic</x:v>
      </x:c>
      <x:c r="F1386">
        <x:f ca="1">_xll.BDH($B$1386,$C$1386,$B$1010,$B$1011,CONCATENATE("Per=",$B$1008),"Dts=H","Dir=H",CONCATENATE("Points=",$B$1009),"Sort=R","Days=A","Fill=B",CONCATENATE("FX=", $B$1007),"cols=14;rows=1")</x:f>
        <x:v>47.4741</x:v>
      </x:c>
      <x:c r="G1386">
        <x:v>-38.8185</x:v>
      </x:c>
      <x:c r="H1386">
        <x:v>-11.3207</x:v>
      </x:c>
      <x:c r="I1386">
        <x:v>-12.1144</x:v>
      </x:c>
      <x:c r="J1386">
        <x:v>10.203200000000001</x:v>
      </x:c>
      <x:c r="K1386">
        <x:v>-9.9229000000000003</x:v>
      </x:c>
      <x:c r="L1386">
        <x:v>22.6449</x:v>
      </x:c>
      <x:c r="M1386">
        <x:v>32.605200000000004</x:v>
      </x:c>
      <x:c r="N1386">
        <x:v>-56.074300000000001</x:v>
      </x:c>
      <x:c r="O1386">
        <x:v>22.431799999999999</x:v>
      </x:c>
      <x:c r="P1386">
        <x:v>11.0549</x:v>
      </x:c>
      <x:c r="Q1386">
        <x:v>23.681000000000001</x:v>
      </x:c>
      <x:c r="R1386">
        <x:v>13.494999999999999</x:v>
      </x:c>
      <x:c r="S1386">
        <x:v>-6.4812000000000003</x:v>
      </x:c>
      <x:c r="T1386" t="str">
        <x:f>""</x:f>
        <x:v/>
      </x:c>
      <x:c r="U1386" t="str">
        <x:f>""</x:f>
        <x:v/>
      </x:c>
      <x:c r="V1386" t="str">
        <x:f>""</x:f>
        <x:v/>
      </x:c>
      <x:c r="W1386" t="str">
        <x:f>""</x:f>
        <x:v/>
      </x:c>
      <x:c r="X1386" t="str">
        <x:f>""</x:f>
        <x:v/>
      </x:c>
      <x:c r="Y1386" t="str">
        <x:f>""</x:f>
        <x:v/>
      </x:c>
      <x:c r="Z1386" t="str">
        <x:f>""</x:f>
        <x:v/>
      </x:c>
      <x:c r="AA1386" t="str">
        <x:f>""</x:f>
        <x:v/>
      </x:c>
      <x:c r="AB1386" t="str">
        <x:f>""</x:f>
        <x:v/>
      </x:c>
      <x:c r="AC1386" t="str">
        <x:f>""</x:f>
        <x:v/>
      </x:c>
      <x:c r="AD1386" t="str">
        <x:f>""</x:f>
        <x:v/>
      </x:c>
      <x:c r="AE1386" t="str">
        <x:f>""</x:f>
        <x:v/>
      </x:c>
      <x:c r="AF1386" t="str">
        <x:f>""</x:f>
        <x:v/>
      </x:c>
      <x:c r="AG1386" t="str">
        <x:f>""</x:f>
        <x:v/>
      </x:c>
    </x:row>
    <x:row r="1387" spans="2:33" x14ac:dyDescent="0.25">
      <x:c r="B1387" t="str">
        <x:f>"PYZ US Equity"</x:f>
        <x:v>PYZ US Equity</x:v>
      </x:c>
      <x:c r="C1387" t="str">
        <x:f t="shared" si="59"/>
        <x:v>FD447</x:v>
      </x:c>
      <x:c r="D1387" t="str">
        <x:f t="shared" si="60"/>
        <x:v>FUND_FLOW</x:v>
      </x:c>
      <x:c r="E1387" t="str">
        <x:f t="shared" si="61"/>
        <x:v>Dynamic</x:v>
      </x:c>
      <x:c r="F1387">
        <x:f ca="1">_xll.BDH($B$1387,$C$1387,$B$1010,$B$1011,CONCATENATE("Per=",$B$1008),"Dts=H","Dir=H",CONCATENATE("Points=",$B$1009),"Sort=R","Days=A","Fill=B",CONCATENATE("FX=", $B$1007),"cols=14;rows=1")</x:f>
        <x:v>-31.4224</x:v>
      </x:c>
      <x:c r="G1387">
        <x:v>-1.6156999999999999</x:v>
      </x:c>
      <x:c r="H1387">
        <x:v>0</x:v>
      </x:c>
      <x:c r="I1387">
        <x:v>-1.7258</x:v>
      </x:c>
      <x:c r="J1387">
        <x:v>-1.5468</x:v>
      </x:c>
      <x:c r="K1387">
        <x:v>-5.6071</x:v>
      </x:c>
      <x:c r="L1387">
        <x:v>0</x:v>
      </x:c>
      <x:c r="M1387">
        <x:v>-4.6204999999999998</x:v>
      </x:c>
      <x:c r="N1387">
        <x:v>9.1094000000000008</x:v>
      </x:c>
      <x:c r="O1387">
        <x:v>0.86170000000000002</x:v>
      </x:c>
      <x:c r="P1387">
        <x:v>32.598700000000001</x:v>
      </x:c>
      <x:c r="Q1387">
        <x:v>6.7150999999999996</x:v>
      </x:c>
      <x:c r="R1387">
        <x:v>-2.9510000000000001</x:v>
      </x:c>
      <x:c r="S1387">
        <x:v>-0.75890000000000002</x:v>
      </x:c>
      <x:c r="T1387" t="str">
        <x:f>""</x:f>
        <x:v/>
      </x:c>
      <x:c r="U1387" t="str">
        <x:f>""</x:f>
        <x:v/>
      </x:c>
      <x:c r="V1387" t="str">
        <x:f>""</x:f>
        <x:v/>
      </x:c>
      <x:c r="W1387" t="str">
        <x:f>""</x:f>
        <x:v/>
      </x:c>
      <x:c r="X1387" t="str">
        <x:f>""</x:f>
        <x:v/>
      </x:c>
      <x:c r="Y1387" t="str">
        <x:f>""</x:f>
        <x:v/>
      </x:c>
      <x:c r="Z1387" t="str">
        <x:f>""</x:f>
        <x:v/>
      </x:c>
      <x:c r="AA1387" t="str">
        <x:f>""</x:f>
        <x:v/>
      </x:c>
      <x:c r="AB1387" t="str">
        <x:f>""</x:f>
        <x:v/>
      </x:c>
      <x:c r="AC1387" t="str">
        <x:f>""</x:f>
        <x:v/>
      </x:c>
      <x:c r="AD1387" t="str">
        <x:f>""</x:f>
        <x:v/>
      </x:c>
      <x:c r="AE1387" t="str">
        <x:f>""</x:f>
        <x:v/>
      </x:c>
      <x:c r="AF1387" t="str">
        <x:f>""</x:f>
        <x:v/>
      </x:c>
      <x:c r="AG1387" t="str">
        <x:f>""</x:f>
        <x:v/>
      </x:c>
    </x:row>
    <x:row r="1388" spans="2:33" x14ac:dyDescent="0.25">
      <x:c r="B1388" t="str">
        <x:f>"SLVP US Equity"</x:f>
        <x:v>SLVP US Equity</x:v>
      </x:c>
      <x:c r="C1388" t="str">
        <x:f t="shared" si="59"/>
        <x:v>FD447</x:v>
      </x:c>
      <x:c r="D1388" t="str">
        <x:f t="shared" si="60"/>
        <x:v>FUND_FLOW</x:v>
      </x:c>
      <x:c r="E1388" t="str">
        <x:f t="shared" si="61"/>
        <x:v>Dynamic</x:v>
      </x:c>
      <x:c r="F1388">
        <x:f ca="1">_xll.BDH($B$1388,$C$1388,$B$1010,$B$1011,CONCATENATE("Per=",$B$1008),"Dts=H","Dir=H",CONCATENATE("Points=",$B$1009),"Sort=R","Days=A","Fill=B",CONCATENATE("FX=", $B$1007),"cols=14;rows=1")</x:f>
        <x:v>0</x:v>
      </x:c>
      <x:c r="G1388">
        <x:v>0.93079999999999996</x:v>
      </x:c>
      <x:c r="H1388">
        <x:v>0</x:v>
      </x:c>
      <x:c r="I1388">
        <x:v>0</x:v>
      </x:c>
      <x:c r="J1388">
        <x:v>1.8856999999999999</x:v>
      </x:c>
      <x:c r="K1388">
        <x:v>-4.4985999999999997</x:v>
      </x:c>
      <x:c r="L1388">
        <x:v>-3.5158</x:v>
      </x:c>
      <x:c r="M1388">
        <x:v>-2.8618999999999999</x:v>
      </x:c>
      <x:c r="N1388">
        <x:v>-1.9118999999999999</x:v>
      </x:c>
      <x:c r="O1388">
        <x:v>0</x:v>
      </x:c>
      <x:c r="P1388">
        <x:v>6.3500000000000001E-2</x:v>
      </x:c>
      <x:c r="Q1388">
        <x:v>0</x:v>
      </x:c>
      <x:c r="R1388">
        <x:v>2.7269999999999999</x:v>
      </x:c>
      <x:c r="S1388">
        <x:v>-1.7662</x:v>
      </x:c>
      <x:c r="T1388" t="str">
        <x:f>""</x:f>
        <x:v/>
      </x:c>
      <x:c r="U1388" t="str">
        <x:f>""</x:f>
        <x:v/>
      </x:c>
      <x:c r="V1388" t="str">
        <x:f>""</x:f>
        <x:v/>
      </x:c>
      <x:c r="W1388" t="str">
        <x:f>""</x:f>
        <x:v/>
      </x:c>
      <x:c r="X1388" t="str">
        <x:f>""</x:f>
        <x:v/>
      </x:c>
      <x:c r="Y1388" t="str">
        <x:f>""</x:f>
        <x:v/>
      </x:c>
      <x:c r="Z1388" t="str">
        <x:f>""</x:f>
        <x:v/>
      </x:c>
      <x:c r="AA1388" t="str">
        <x:f>""</x:f>
        <x:v/>
      </x:c>
      <x:c r="AB1388" t="str">
        <x:f>""</x:f>
        <x:v/>
      </x:c>
      <x:c r="AC1388" t="str">
        <x:f>""</x:f>
        <x:v/>
      </x:c>
      <x:c r="AD1388" t="str">
        <x:f>""</x:f>
        <x:v/>
      </x:c>
      <x:c r="AE1388" t="str">
        <x:f>""</x:f>
        <x:v/>
      </x:c>
      <x:c r="AF1388" t="str">
        <x:f>""</x:f>
        <x:v/>
      </x:c>
      <x:c r="AG1388" t="str">
        <x:f>""</x:f>
        <x:v/>
      </x:c>
    </x:row>
    <x:row r="1389" spans="2:33" x14ac:dyDescent="0.25">
      <x:c r="B1389" t="str">
        <x:f>"SILJ US Equity"</x:f>
        <x:v>SILJ US Equity</x:v>
      </x:c>
      <x:c r="C1389" t="str">
        <x:f t="shared" si="59"/>
        <x:v>FD447</x:v>
      </x:c>
      <x:c r="D1389" t="str">
        <x:f t="shared" si="60"/>
        <x:v>FUND_FLOW</x:v>
      </x:c>
      <x:c r="E1389" t="str">
        <x:f t="shared" si="61"/>
        <x:v>Dynamic</x:v>
      </x:c>
      <x:c r="F1389">
        <x:f ca="1">_xll.BDH($B$1389,$C$1389,$B$1010,$B$1011,CONCATENATE("Per=",$B$1008),"Dts=H","Dir=H",CONCATENATE("Points=",$B$1009),"Sort=R","Days=A","Fill=B",CONCATENATE("FX=", $B$1007),"cols=14;rows=1")</x:f>
        <x:v>7.5105000000000004</x:v>
      </x:c>
      <x:c r="G1389">
        <x:v>4.2241999999999997</x:v>
      </x:c>
      <x:c r="H1389">
        <x:v>0.46060000000000001</x:v>
      </x:c>
      <x:c r="I1389">
        <x:v>0</x:v>
      </x:c>
      <x:c r="J1389">
        <x:v>4.2887000000000004</x:v>
      </x:c>
      <x:c r="K1389">
        <x:v>14.974</x:v>
      </x:c>
      <x:c r="L1389">
        <x:v>10.726000000000001</x:v>
      </x:c>
      <x:c r="M1389">
        <x:v>-0.95440000000000003</x:v>
      </x:c>
      <x:c r="N1389">
        <x:v>-12.628500000000001</x:v>
      </x:c>
      <x:c r="O1389">
        <x:v>-6.3204000000000002</x:v>
      </x:c>
      <x:c r="P1389">
        <x:v>4.0881999999999996</x:v>
      </x:c>
      <x:c r="Q1389">
        <x:v>-1.6212</x:v>
      </x:c>
      <x:c r="R1389">
        <x:v>4.7103000000000002</x:v>
      </x:c>
      <x:c r="S1389">
        <x:v>-6.8155000000000001</x:v>
      </x:c>
      <x:c r="T1389" t="str">
        <x:f>""</x:f>
        <x:v/>
      </x:c>
      <x:c r="U1389" t="str">
        <x:f>""</x:f>
        <x:v/>
      </x:c>
      <x:c r="V1389" t="str">
        <x:f>""</x:f>
        <x:v/>
      </x:c>
      <x:c r="W1389" t="str">
        <x:f>""</x:f>
        <x:v/>
      </x:c>
      <x:c r="X1389" t="str">
        <x:f>""</x:f>
        <x:v/>
      </x:c>
      <x:c r="Y1389" t="str">
        <x:f>""</x:f>
        <x:v/>
      </x:c>
      <x:c r="Z1389" t="str">
        <x:f>""</x:f>
        <x:v/>
      </x:c>
      <x:c r="AA1389" t="str">
        <x:f>""</x:f>
        <x:v/>
      </x:c>
      <x:c r="AB1389" t="str">
        <x:f>""</x:f>
        <x:v/>
      </x:c>
      <x:c r="AC1389" t="str">
        <x:f>""</x:f>
        <x:v/>
      </x:c>
      <x:c r="AD1389" t="str">
        <x:f>""</x:f>
        <x:v/>
      </x:c>
      <x:c r="AE1389" t="str">
        <x:f>""</x:f>
        <x:v/>
      </x:c>
      <x:c r="AF1389" t="str">
        <x:f>""</x:f>
        <x:v/>
      </x:c>
      <x:c r="AG1389" t="str">
        <x:f>""</x:f>
        <x:v/>
      </x:c>
    </x:row>
    <x:row r="1390" spans="2:33" x14ac:dyDescent="0.25">
      <x:c r="B1390" t="str">
        <x:f>"PSCM US Equity"</x:f>
        <x:v>PSCM US Equity</x:v>
      </x:c>
      <x:c r="C1390" t="str">
        <x:f t="shared" si="59"/>
        <x:v>FD447</x:v>
      </x:c>
      <x:c r="D1390" t="str">
        <x:f t="shared" si="60"/>
        <x:v>FUND_FLOW</x:v>
      </x:c>
      <x:c r="E1390" t="str">
        <x:f t="shared" si="61"/>
        <x:v>Dynamic</x:v>
      </x:c>
      <x:c r="F1390">
        <x:f ca="1">_xll.BDH($B$1390,$C$1390,$B$1010,$B$1011,CONCATENATE("Per=",$B$1008),"Dts=H","Dir=H",CONCATENATE("Points=",$B$1009),"Sort=R","Days=A","Fill=B",CONCATENATE("FX=", $B$1007),"cols=14;rows=1")</x:f>
        <x:v>-1.1906000000000001</x:v>
      </x:c>
      <x:c r="G1390">
        <x:v>0</x:v>
      </x:c>
      <x:c r="H1390">
        <x:v>-1.3322000000000001</x:v>
      </x:c>
      <x:c r="I1390">
        <x:v>-0.69810000000000005</x:v>
      </x:c>
      <x:c r="J1390">
        <x:v>0.67020000000000002</x:v>
      </x:c>
      <x:c r="K1390">
        <x:v>-0.61939999999999995</x:v>
      </x:c>
      <x:c r="L1390">
        <x:v>-3.2839999999999998</x:v>
      </x:c>
      <x:c r="M1390">
        <x:v>5.4814999999999996</x:v>
      </x:c>
      <x:c r="N1390">
        <x:v>-0.71650000000000003</x:v>
      </x:c>
      <x:c r="O1390">
        <x:v>0</x:v>
      </x:c>
      <x:c r="P1390">
        <x:v>0</x:v>
      </x:c>
      <x:c r="Q1390">
        <x:v>-1.3160000000000001</x:v>
      </x:c>
      <x:c r="R1390">
        <x:v>-1.7415</x:v>
      </x:c>
      <x:c r="S1390">
        <x:v>1.8666</x:v>
      </x:c>
      <x:c r="T1390" t="str">
        <x:f>""</x:f>
        <x:v/>
      </x:c>
      <x:c r="U1390" t="str">
        <x:f>""</x:f>
        <x:v/>
      </x:c>
      <x:c r="V1390" t="str">
        <x:f>""</x:f>
        <x:v/>
      </x:c>
      <x:c r="W1390" t="str">
        <x:f>""</x:f>
        <x:v/>
      </x:c>
      <x:c r="X1390" t="str">
        <x:f>""</x:f>
        <x:v/>
      </x:c>
      <x:c r="Y1390" t="str">
        <x:f>""</x:f>
        <x:v/>
      </x:c>
      <x:c r="Z1390" t="str">
        <x:f>""</x:f>
        <x:v/>
      </x:c>
      <x:c r="AA1390" t="str">
        <x:f>""</x:f>
        <x:v/>
      </x:c>
      <x:c r="AB1390" t="str">
        <x:f>""</x:f>
        <x:v/>
      </x:c>
      <x:c r="AC1390" t="str">
        <x:f>""</x:f>
        <x:v/>
      </x:c>
      <x:c r="AD1390" t="str">
        <x:f>""</x:f>
        <x:v/>
      </x:c>
      <x:c r="AE1390" t="str">
        <x:f>""</x:f>
        <x:v/>
      </x:c>
      <x:c r="AF1390" t="str">
        <x:f>""</x:f>
        <x:v/>
      </x:c>
      <x:c r="AG1390" t="str">
        <x:f>""</x:f>
        <x:v/>
      </x:c>
    </x:row>
    <x:row r="1391" spans="2:33" x14ac:dyDescent="0.25">
      <x:c r="B1391" t="str">
        <x:f>"UYM US Equity"</x:f>
        <x:v>UYM US Equity</x:v>
      </x:c>
      <x:c r="C1391" t="str">
        <x:f t="shared" si="59"/>
        <x:v>FD447</x:v>
      </x:c>
      <x:c r="D1391" t="str">
        <x:f t="shared" si="60"/>
        <x:v>FUND_FLOW</x:v>
      </x:c>
      <x:c r="E1391" t="str">
        <x:f t="shared" si="61"/>
        <x:v>Dynamic</x:v>
      </x:c>
      <x:c r="F1391">
        <x:f ca="1">_xll.BDH($B$1391,$C$1391,$B$1010,$B$1011,CONCATENATE("Per=",$B$1008),"Dts=H","Dir=H",CONCATENATE("Points=",$B$1009),"Sort=R","Days=A","Fill=B",CONCATENATE("FX=", $B$1007),"cols=14;rows=1")</x:f>
        <x:v>-1.9983</x:v>
      </x:c>
      <x:c r="G1391">
        <x:v>-2.6865999999999999</x:v>
      </x:c>
      <x:c r="H1391">
        <x:v>8.6999999999999994E-2</x:v>
      </x:c>
      <x:c r="I1391">
        <x:v>1.8818999999999999</x:v>
      </x:c>
      <x:c r="J1391">
        <x:v>-1.0793999999999999</x:v>
      </x:c>
      <x:c r="K1391">
        <x:v>-2.0526</x:v>
      </x:c>
      <x:c r="L1391">
        <x:v>1.7769999999999999</x:v>
      </x:c>
      <x:c r="M1391">
        <x:v>-2.5137</x:v>
      </x:c>
      <x:c r="N1391">
        <x:v>0</x:v>
      </x:c>
      <x:c r="O1391">
        <x:v>-0.52849999999999997</x:v>
      </x:c>
      <x:c r="P1391">
        <x:v>2.6608000000000001</x:v>
      </x:c>
      <x:c r="Q1391">
        <x:v>-1.0812999999999999</x:v>
      </x:c>
      <x:c r="R1391">
        <x:v>0</x:v>
      </x:c>
      <x:c r="S1391">
        <x:v>0</x:v>
      </x:c>
      <x:c r="T1391" t="str">
        <x:f>""</x:f>
        <x:v/>
      </x:c>
      <x:c r="U1391" t="str">
        <x:f>""</x:f>
        <x:v/>
      </x:c>
      <x:c r="V1391" t="str">
        <x:f>""</x:f>
        <x:v/>
      </x:c>
      <x:c r="W1391" t="str">
        <x:f>""</x:f>
        <x:v/>
      </x:c>
      <x:c r="X1391" t="str">
        <x:f>""</x:f>
        <x:v/>
      </x:c>
      <x:c r="Y1391" t="str">
        <x:f>""</x:f>
        <x:v/>
      </x:c>
      <x:c r="Z1391" t="str">
        <x:f>""</x:f>
        <x:v/>
      </x:c>
      <x:c r="AA1391" t="str">
        <x:f>""</x:f>
        <x:v/>
      </x:c>
      <x:c r="AB1391" t="str">
        <x:f>""</x:f>
        <x:v/>
      </x:c>
      <x:c r="AC1391" t="str">
        <x:f>""</x:f>
        <x:v/>
      </x:c>
      <x:c r="AD1391" t="str">
        <x:f>""</x:f>
        <x:v/>
      </x:c>
      <x:c r="AE1391" t="str">
        <x:f>""</x:f>
        <x:v/>
      </x:c>
      <x:c r="AF1391" t="str">
        <x:f>""</x:f>
        <x:v/>
      </x:c>
      <x:c r="AG1391" t="str">
        <x:f>""</x:f>
        <x:v/>
      </x:c>
    </x:row>
    <x:row r="1392" spans="2:33" x14ac:dyDescent="0.25">
      <x:c r="B1392" t="str">
        <x:f>"REMX US Equity"</x:f>
        <x:v>REMX US Equity</x:v>
      </x:c>
      <x:c r="C1392" t="str">
        <x:f t="shared" si="59"/>
        <x:v>FD447</x:v>
      </x:c>
      <x:c r="D1392" t="str">
        <x:f t="shared" si="60"/>
        <x:v>FUND_FLOW</x:v>
      </x:c>
      <x:c r="E1392" t="str">
        <x:f t="shared" si="61"/>
        <x:v>Dynamic</x:v>
      </x:c>
      <x:c r="F1392">
        <x:f ca="1">_xll.BDH($B$1392,$C$1392,$B$1010,$B$1011,CONCATENATE("Per=",$B$1008),"Dts=H","Dir=H",CONCATENATE("Points=",$B$1009),"Sort=R","Days=A","Fill=B",CONCATENATE("FX=", $B$1007),"cols=14;rows=1")</x:f>
        <x:v>-26.807700000000001</x:v>
      </x:c>
      <x:c r="G1392">
        <x:v>7.1243999999999996</x:v>
      </x:c>
      <x:c r="H1392">
        <x:v>0.70130000000000003</x:v>
      </x:c>
      <x:c r="I1392">
        <x:v>9.9599999999999994E-2</x:v>
      </x:c>
      <x:c r="J1392">
        <x:v>-1.6799999999999999E-2</x:v>
      </x:c>
      <x:c r="K1392">
        <x:v>-38.1038</x:v>
      </x:c>
      <x:c r="L1392">
        <x:v>-4.0039999999999996</x:v>
      </x:c>
      <x:c r="M1392">
        <x:v>19.9345</x:v>
      </x:c>
      <x:c r="N1392">
        <x:v>-49.6464</x:v>
      </x:c>
      <x:c r="O1392">
        <x:v>-12.242800000000001</x:v>
      </x:c>
      <x:c r="P1392">
        <x:v>13.398899999999999</x:v>
      </x:c>
      <x:c r="Q1392">
        <x:v>14.210900000000001</x:v>
      </x:c>
      <x:c r="R1392">
        <x:v>-33.909999999999997</x:v>
      </x:c>
      <x:c r="S1392">
        <x:v>-17.448899999999998</x:v>
      </x:c>
      <x:c r="T1392" t="str">
        <x:f>""</x:f>
        <x:v/>
      </x:c>
      <x:c r="U1392" t="str">
        <x:f>""</x:f>
        <x:v/>
      </x:c>
      <x:c r="V1392" t="str">
        <x:f>""</x:f>
        <x:v/>
      </x:c>
      <x:c r="W1392" t="str">
        <x:f>""</x:f>
        <x:v/>
      </x:c>
      <x:c r="X1392" t="str">
        <x:f>""</x:f>
        <x:v/>
      </x:c>
      <x:c r="Y1392" t="str">
        <x:f>""</x:f>
        <x:v/>
      </x:c>
      <x:c r="Z1392" t="str">
        <x:f>""</x:f>
        <x:v/>
      </x:c>
      <x:c r="AA1392" t="str">
        <x:f>""</x:f>
        <x:v/>
      </x:c>
      <x:c r="AB1392" t="str">
        <x:f>""</x:f>
        <x:v/>
      </x:c>
      <x:c r="AC1392" t="str">
        <x:f>""</x:f>
        <x:v/>
      </x:c>
      <x:c r="AD1392" t="str">
        <x:f>""</x:f>
        <x:v/>
      </x:c>
      <x:c r="AE1392" t="str">
        <x:f>""</x:f>
        <x:v/>
      </x:c>
      <x:c r="AF1392" t="str">
        <x:f>""</x:f>
        <x:v/>
      </x:c>
      <x:c r="AG1392" t="str">
        <x:f>""</x:f>
        <x:v/>
      </x:c>
    </x:row>
    <x:row r="1393" spans="2:33" x14ac:dyDescent="0.25">
      <x:c r="B1393" t="str">
        <x:f>"GOEX US Equity"</x:f>
        <x:v>GOEX US Equity</x:v>
      </x:c>
      <x:c r="C1393" t="str">
        <x:f t="shared" si="59"/>
        <x:v>FD447</x:v>
      </x:c>
      <x:c r="D1393" t="str">
        <x:f t="shared" si="60"/>
        <x:v>FUND_FLOW</x:v>
      </x:c>
      <x:c r="E1393" t="str">
        <x:f t="shared" si="61"/>
        <x:v>Dynamic</x:v>
      </x:c>
      <x:c r="F1393">
        <x:f ca="1">_xll.BDH($B$1393,$C$1393,$B$1010,$B$1011,CONCATENATE("Per=",$B$1008),"Dts=H","Dir=H",CONCATENATE("Points=",$B$1009),"Sort=R","Days=A","Fill=B",CONCATENATE("FX=", $B$1007),"cols=14;rows=1")</x:f>
        <x:v>-0.65039999999999998</x:v>
      </x:c>
      <x:c r="G1393">
        <x:v>0</x:v>
      </x:c>
      <x:c r="H1393">
        <x:v>-0.72719999999999996</x:v>
      </x:c>
      <x:c r="I1393">
        <x:v>0</x:v>
      </x:c>
      <x:c r="J1393">
        <x:v>0</x:v>
      </x:c>
      <x:c r="K1393">
        <x:v>0</x:v>
      </x:c>
      <x:c r="L1393">
        <x:v>0</x:v>
      </x:c>
      <x:c r="M1393">
        <x:v>1.7458</x:v>
      </x:c>
      <x:c r="N1393">
        <x:v>0</x:v>
      </x:c>
      <x:c r="O1393">
        <x:v>0.27479999999999999</x:v>
      </x:c>
      <x:c r="P1393">
        <x:v>0.2485</x:v>
      </x:c>
      <x:c r="Q1393">
        <x:v>0</x:v>
      </x:c>
      <x:c r="R1393">
        <x:v>0</x:v>
      </x:c>
      <x:c r="S1393">
        <x:v>0</x:v>
      </x:c>
      <x:c r="T1393" t="str">
        <x:f>""</x:f>
        <x:v/>
      </x:c>
      <x:c r="U1393" t="str">
        <x:f>""</x:f>
        <x:v/>
      </x:c>
      <x:c r="V1393" t="str">
        <x:f>""</x:f>
        <x:v/>
      </x:c>
      <x:c r="W1393" t="str">
        <x:f>""</x:f>
        <x:v/>
      </x:c>
      <x:c r="X1393" t="str">
        <x:f>""</x:f>
        <x:v/>
      </x:c>
      <x:c r="Y1393" t="str">
        <x:f>""</x:f>
        <x:v/>
      </x:c>
      <x:c r="Z1393" t="str">
        <x:f>""</x:f>
        <x:v/>
      </x:c>
      <x:c r="AA1393" t="str">
        <x:f>""</x:f>
        <x:v/>
      </x:c>
      <x:c r="AB1393" t="str">
        <x:f>""</x:f>
        <x:v/>
      </x:c>
      <x:c r="AC1393" t="str">
        <x:f>""</x:f>
        <x:v/>
      </x:c>
      <x:c r="AD1393" t="str">
        <x:f>""</x:f>
        <x:v/>
      </x:c>
      <x:c r="AE1393" t="str">
        <x:f>""</x:f>
        <x:v/>
      </x:c>
      <x:c r="AF1393" t="str">
        <x:f>""</x:f>
        <x:v/>
      </x:c>
      <x:c r="AG1393" t="str">
        <x:f>""</x:f>
        <x:v/>
      </x:c>
    </x:row>
    <x:row r="1394" spans="2:33" x14ac:dyDescent="0.25">
      <x:c r="B1394" t="str">
        <x:f>"PSAU US Equity"</x:f>
        <x:v>PSAU US Equity</x:v>
      </x:c>
      <x:c r="C1394" t="str">
        <x:f t="shared" si="59"/>
        <x:v>FD447</x:v>
      </x:c>
      <x:c r="D1394" t="str">
        <x:f t="shared" si="60"/>
        <x:v>FUND_FLOW</x:v>
      </x:c>
      <x:c r="E1394" t="str">
        <x:f t="shared" si="61"/>
        <x:v>Dynamic</x:v>
      </x:c>
      <x:c r="F1394" t="str">
        <x:f ca="1">_xll.BDH($B$1394,$C$1394,$B$1010,$B$1011,CONCATENATE("Per=",$B$1008),"Dts=H","Dir=H",CONCATENATE("Points=",$B$1009),"Sort=R","Days=A","Fill=B",CONCATENATE("FX=", $B$1007) )</x:f>
        <x:v/>
      </x:c>
      <x:c r="T1394" t="str">
        <x:f>""</x:f>
        <x:v/>
      </x:c>
      <x:c r="U1394" t="str">
        <x:f>""</x:f>
        <x:v/>
      </x:c>
      <x:c r="V1394" t="str">
        <x:f>""</x:f>
        <x:v/>
      </x:c>
      <x:c r="W1394" t="str">
        <x:f>""</x:f>
        <x:v/>
      </x:c>
      <x:c r="X1394" t="str">
        <x:f>""</x:f>
        <x:v/>
      </x:c>
      <x:c r="Y1394" t="str">
        <x:f>""</x:f>
        <x:v/>
      </x:c>
      <x:c r="Z1394" t="str">
        <x:f>""</x:f>
        <x:v/>
      </x:c>
      <x:c r="AA1394" t="str">
        <x:f>""</x:f>
        <x:v/>
      </x:c>
      <x:c r="AB1394" t="str">
        <x:f>""</x:f>
        <x:v/>
      </x:c>
      <x:c r="AC1394" t="str">
        <x:f>""</x:f>
        <x:v/>
      </x:c>
      <x:c r="AD1394" t="str">
        <x:f>""</x:f>
        <x:v/>
      </x:c>
      <x:c r="AE1394" t="str">
        <x:f>""</x:f>
        <x:v/>
      </x:c>
      <x:c r="AF1394" t="str">
        <x:f>""</x:f>
        <x:v/>
      </x:c>
      <x:c r="AG1394" t="str">
        <x:f>""</x:f>
        <x:v/>
      </x:c>
    </x:row>
    <x:row r="1395" spans="2:33" x14ac:dyDescent="0.25">
      <x:c r="B1395" t="str">
        <x:f>"COPX US Equity"</x:f>
        <x:v>COPX US Equity</x:v>
      </x:c>
      <x:c r="C1395" t="str">
        <x:f t="shared" si="59"/>
        <x:v>FD447</x:v>
      </x:c>
      <x:c r="D1395" t="str">
        <x:f t="shared" si="60"/>
        <x:v>FUND_FLOW</x:v>
      </x:c>
      <x:c r="E1395" t="str">
        <x:f t="shared" si="61"/>
        <x:v>Dynamic</x:v>
      </x:c>
      <x:c r="F1395">
        <x:f ca="1">_xll.BDH($B$1395,$C$1395,$B$1010,$B$1011,CONCATENATE("Per=",$B$1008),"Dts=H","Dir=H",CONCATENATE("Points=",$B$1009),"Sort=R","Days=A","Fill=B",CONCATENATE("FX=", $B$1007),"cols=14;rows=1")</x:f>
        <x:v>-46.694600000000001</x:v>
      </x:c>
      <x:c r="G1395">
        <x:v>2.7604000000000002</x:v>
      </x:c>
      <x:c r="H1395">
        <x:v>111.51439999999999</x:v>
      </x:c>
      <x:c r="I1395">
        <x:v>-20.790099999999999</x:v>
      </x:c>
      <x:c r="J1395">
        <x:v>-315.39109999999999</x:v>
      </x:c>
      <x:c r="K1395">
        <x:v>75.381600000000006</x:v>
      </x:c>
      <x:c r="L1395">
        <x:v>-151.4452</x:v>
      </x:c>
      <x:c r="M1395">
        <x:v>3.8675000000000002</x:v>
      </x:c>
      <x:c r="N1395">
        <x:v>-19.276599999999998</x:v>
      </x:c>
      <x:c r="O1395">
        <x:v>60.211599999999997</x:v>
      </x:c>
      <x:c r="P1395">
        <x:v>41.535200000000003</x:v>
      </x:c>
      <x:c r="Q1395">
        <x:v>17.017099999999999</x:v>
      </x:c>
      <x:c r="R1395">
        <x:v>-18.917000000000002</x:v>
      </x:c>
      <x:c r="S1395">
        <x:v>59.344000000000001</x:v>
      </x:c>
      <x:c r="T1395" t="str">
        <x:f>""</x:f>
        <x:v/>
      </x:c>
      <x:c r="U1395" t="str">
        <x:f>""</x:f>
        <x:v/>
      </x:c>
      <x:c r="V1395" t="str">
        <x:f>""</x:f>
        <x:v/>
      </x:c>
      <x:c r="W1395" t="str">
        <x:f>""</x:f>
        <x:v/>
      </x:c>
      <x:c r="X1395" t="str">
        <x:f>""</x:f>
        <x:v/>
      </x:c>
      <x:c r="Y1395" t="str">
        <x:f>""</x:f>
        <x:v/>
      </x:c>
      <x:c r="Z1395" t="str">
        <x:f>""</x:f>
        <x:v/>
      </x:c>
      <x:c r="AA1395" t="str">
        <x:f>""</x:f>
        <x:v/>
      </x:c>
      <x:c r="AB1395" t="str">
        <x:f>""</x:f>
        <x:v/>
      </x:c>
      <x:c r="AC1395" t="str">
        <x:f>""</x:f>
        <x:v/>
      </x:c>
      <x:c r="AD1395" t="str">
        <x:f>""</x:f>
        <x:v/>
      </x:c>
      <x:c r="AE1395" t="str">
        <x:f>""</x:f>
        <x:v/>
      </x:c>
      <x:c r="AF1395" t="str">
        <x:f>""</x:f>
        <x:v/>
      </x:c>
      <x:c r="AG1395" t="str">
        <x:f>""</x:f>
        <x:v/>
      </x:c>
    </x:row>
    <x:row r="1396" spans="2:33" x14ac:dyDescent="0.25">
      <x:c r="B1396" t="str">
        <x:f>"JHMA US Equity"</x:f>
        <x:v>JHMA US Equity</x:v>
      </x:c>
      <x:c r="C1396" t="str">
        <x:f t="shared" si="59"/>
        <x:v>FD447</x:v>
      </x:c>
      <x:c r="D1396" t="str">
        <x:f t="shared" si="60"/>
        <x:v>FUND_FLOW</x:v>
      </x:c>
      <x:c r="E1396" t="str">
        <x:f t="shared" si="61"/>
        <x:v>Dynamic</x:v>
      </x:c>
      <x:c r="F1396" t="str">
        <x:f ca="1">_xll.BDH($B$1396,$C$1396,$B$1010,$B$1011,CONCATENATE("Per=",$B$1008),"Dts=H","Dir=H",CONCATENATE("Points=",$B$1009),"Sort=R","Days=A","Fill=B",CONCATENATE("FX=", $B$1007),"cols=14;rows=1")</x:f>
        <x:v/>
      </x:c>
      <x:c r="R1396">
        <x:v>-2.0251000000000001</x:v>
      </x:c>
      <x:c r="S1396">
        <x:v>0</x:v>
      </x:c>
      <x:c r="T1396" t="str">
        <x:f>""</x:f>
        <x:v/>
      </x:c>
      <x:c r="U1396" t="str">
        <x:f>""</x:f>
        <x:v/>
      </x:c>
      <x:c r="V1396" t="str">
        <x:f>""</x:f>
        <x:v/>
      </x:c>
      <x:c r="W1396" t="str">
        <x:f>""</x:f>
        <x:v/>
      </x:c>
      <x:c r="X1396" t="str">
        <x:f>""</x:f>
        <x:v/>
      </x:c>
      <x:c r="Y1396" t="str">
        <x:f>""</x:f>
        <x:v/>
      </x:c>
      <x:c r="Z1396" t="str">
        <x:f>""</x:f>
        <x:v/>
      </x:c>
      <x:c r="AA1396" t="str">
        <x:f>""</x:f>
        <x:v/>
      </x:c>
      <x:c r="AB1396" t="str">
        <x:f>""</x:f>
        <x:v/>
      </x:c>
      <x:c r="AC1396" t="str">
        <x:f>""</x:f>
        <x:v/>
      </x:c>
      <x:c r="AD1396" t="str">
        <x:f>""</x:f>
        <x:v/>
      </x:c>
      <x:c r="AE1396" t="str">
        <x:f>""</x:f>
        <x:v/>
      </x:c>
      <x:c r="AF1396" t="str">
        <x:f>""</x:f>
        <x:v/>
      </x:c>
      <x:c r="AG1396" t="str">
        <x:f>""</x:f>
        <x:v/>
      </x:c>
    </x:row>
    <x:row r="1397" spans="2:33" x14ac:dyDescent="0.25">
      <x:c r="B1397" t="str">
        <x:f>"SOIL US Equity"</x:f>
        <x:v>SOIL US Equity</x:v>
      </x:c>
      <x:c r="C1397" t="str">
        <x:f t="shared" si="59"/>
        <x:v>FD447</x:v>
      </x:c>
      <x:c r="D1397" t="str">
        <x:f t="shared" si="60"/>
        <x:v>FUND_FLOW</x:v>
      </x:c>
      <x:c r="E1397" t="str">
        <x:f t="shared" si="61"/>
        <x:v>Dynamic</x:v>
      </x:c>
      <x:c r="F1397" t="str">
        <x:f ca="1">_xll.BDH($B$1397,$C$1397,$B$1010,$B$1011,CONCATENATE("Per=",$B$1008),"Dts=H","Dir=H",CONCATENATE("Points=",$B$1009),"Sort=R","Days=A","Fill=B",CONCATENATE("FX=", $B$1007) )</x:f>
        <x:v/>
      </x:c>
      <x:c r="T1397" t="str">
        <x:f>""</x:f>
        <x:v/>
      </x:c>
      <x:c r="U1397" t="str">
        <x:f>""</x:f>
        <x:v/>
      </x:c>
      <x:c r="V1397" t="str">
        <x:f>""</x:f>
        <x:v/>
      </x:c>
      <x:c r="W1397" t="str">
        <x:f>""</x:f>
        <x:v/>
      </x:c>
      <x:c r="X1397" t="str">
        <x:f>""</x:f>
        <x:v/>
      </x:c>
      <x:c r="Y1397" t="str">
        <x:f>""</x:f>
        <x:v/>
      </x:c>
      <x:c r="Z1397" t="str">
        <x:f>""</x:f>
        <x:v/>
      </x:c>
      <x:c r="AA1397" t="str">
        <x:f>""</x:f>
        <x:v/>
      </x:c>
      <x:c r="AB1397" t="str">
        <x:f>""</x:f>
        <x:v/>
      </x:c>
      <x:c r="AC1397" t="str">
        <x:f>""</x:f>
        <x:v/>
      </x:c>
      <x:c r="AD1397" t="str">
        <x:f>""</x:f>
        <x:v/>
      </x:c>
      <x:c r="AE1397" t="str">
        <x:f>""</x:f>
        <x:v/>
      </x:c>
      <x:c r="AF1397" t="str">
        <x:f>""</x:f>
        <x:v/>
      </x:c>
      <x:c r="AG1397" t="str">
        <x:f>""</x:f>
        <x:v/>
      </x:c>
    </x:row>
    <x:row r="1398" spans="2:33" x14ac:dyDescent="0.25">
      <x:c r="B1398" t="str">
        <x:f>"GDXX US Equity"</x:f>
        <x:v>GDXX US Equity</x:v>
      </x:c>
      <x:c r="C1398" t="str">
        <x:f t="shared" ref="C1398:C1461" si="62">"FD447"</x:f>
        <x:v>FD447</x:v>
      </x:c>
      <x:c r="D1398" t="str">
        <x:f t="shared" ref="D1398:D1461" si="63">"FUND_FLOW"</x:f>
        <x:v>FUND_FLOW</x:v>
      </x:c>
      <x:c r="E1398" t="str">
        <x:f t="shared" ref="E1398:E1461" si="64">"Dynamic"</x:f>
        <x:v>Dynamic</x:v>
      </x:c>
      <x:c r="F1398" t="str">
        <x:f ca="1">_xll.BDH($B$1398,$C$1398,$B$1010,$B$1011,CONCATENATE("Per=",$B$1008),"Dts=H","Dir=H",CONCATENATE("Points=",$B$1009),"Sort=R","Days=A","Fill=B",CONCATENATE("FX=", $B$1007) )</x:f>
        <x:v/>
      </x:c>
      <x:c r="T1398" t="str">
        <x:f>""</x:f>
        <x:v/>
      </x:c>
      <x:c r="U1398" t="str">
        <x:f>""</x:f>
        <x:v/>
      </x:c>
      <x:c r="V1398" t="str">
        <x:f>""</x:f>
        <x:v/>
      </x:c>
      <x:c r="W1398" t="str">
        <x:f>""</x:f>
        <x:v/>
      </x:c>
      <x:c r="X1398" t="str">
        <x:f>""</x:f>
        <x:v/>
      </x:c>
      <x:c r="Y1398" t="str">
        <x:f>""</x:f>
        <x:v/>
      </x:c>
      <x:c r="Z1398" t="str">
        <x:f>""</x:f>
        <x:v/>
      </x:c>
      <x:c r="AA1398" t="str">
        <x:f>""</x:f>
        <x:v/>
      </x:c>
      <x:c r="AB1398" t="str">
        <x:f>""</x:f>
        <x:v/>
      </x:c>
      <x:c r="AC1398" t="str">
        <x:f>""</x:f>
        <x:v/>
      </x:c>
      <x:c r="AD1398" t="str">
        <x:f>""</x:f>
        <x:v/>
      </x:c>
      <x:c r="AE1398" t="str">
        <x:f>""</x:f>
        <x:v/>
      </x:c>
      <x:c r="AF1398" t="str">
        <x:f>""</x:f>
        <x:v/>
      </x:c>
      <x:c r="AG1398" t="str">
        <x:f>""</x:f>
        <x:v/>
      </x:c>
    </x:row>
    <x:row r="1399" spans="2:33" x14ac:dyDescent="0.25">
      <x:c r="B1399" t="str">
        <x:f>"IRV US Equity"</x:f>
        <x:v>IRV US Equity</x:v>
      </x:c>
      <x:c r="C1399" t="str">
        <x:f t="shared" si="62"/>
        <x:v>FD447</x:v>
      </x:c>
      <x:c r="D1399" t="str">
        <x:f t="shared" si="63"/>
        <x:v>FUND_FLOW</x:v>
      </x:c>
      <x:c r="E1399" t="str">
        <x:f t="shared" si="64"/>
        <x:v>Dynamic</x:v>
      </x:c>
      <x:c r="F1399" t="str">
        <x:f ca="1">_xll.BDH($B$1399,$C$1399,$B$1010,$B$1011,CONCATENATE("Per=",$B$1008),"Dts=H","Dir=H",CONCATENATE("Points=",$B$1009),"Sort=R","Days=A","Fill=B",CONCATENATE("FX=", $B$1007) )</x:f>
        <x:v/>
      </x:c>
      <x:c r="T1399" t="str">
        <x:f>""</x:f>
        <x:v/>
      </x:c>
      <x:c r="U1399" t="str">
        <x:f>""</x:f>
        <x:v/>
      </x:c>
      <x:c r="V1399" t="str">
        <x:f>""</x:f>
        <x:v/>
      </x:c>
      <x:c r="W1399" t="str">
        <x:f>""</x:f>
        <x:v/>
      </x:c>
      <x:c r="X1399" t="str">
        <x:f>""</x:f>
        <x:v/>
      </x:c>
      <x:c r="Y1399" t="str">
        <x:f>""</x:f>
        <x:v/>
      </x:c>
      <x:c r="Z1399" t="str">
        <x:f>""</x:f>
        <x:v/>
      </x:c>
      <x:c r="AA1399" t="str">
        <x:f>""</x:f>
        <x:v/>
      </x:c>
      <x:c r="AB1399" t="str">
        <x:f>""</x:f>
        <x:v/>
      </x:c>
      <x:c r="AC1399" t="str">
        <x:f>""</x:f>
        <x:v/>
      </x:c>
      <x:c r="AD1399" t="str">
        <x:f>""</x:f>
        <x:v/>
      </x:c>
      <x:c r="AE1399" t="str">
        <x:f>""</x:f>
        <x:v/>
      </x:c>
      <x:c r="AF1399" t="str">
        <x:f>""</x:f>
        <x:v/>
      </x:c>
      <x:c r="AG1399" t="str">
        <x:f>""</x:f>
        <x:v/>
      </x:c>
    </x:row>
    <x:row r="1400" spans="2:33" x14ac:dyDescent="0.25">
      <x:c r="B1400" t="str">
        <x:f>"SMN US Equity"</x:f>
        <x:v>SMN US Equity</x:v>
      </x:c>
      <x:c r="C1400" t="str">
        <x:f t="shared" si="62"/>
        <x:v>FD447</x:v>
      </x:c>
      <x:c r="D1400" t="str">
        <x:f t="shared" si="63"/>
        <x:v>FUND_FLOW</x:v>
      </x:c>
      <x:c r="E1400" t="str">
        <x:f t="shared" si="64"/>
        <x:v>Dynamic</x:v>
      </x:c>
      <x:c r="F1400">
        <x:f ca="1">_xll.BDH($B$1400,$C$1400,$B$1010,$B$1011,CONCATENATE("Per=",$B$1008),"Dts=H","Dir=H",CONCATENATE("Points=",$B$1009),"Sort=R","Days=A","Fill=B",CONCATENATE("FX=", $B$1007),"cols=14;rows=1")</x:f>
        <x:v>0.28170000000000001</x:v>
      </x:c>
      <x:c r="G1400">
        <x:v>-0.2281</x:v>
      </x:c>
      <x:c r="H1400">
        <x:v>0</x:v>
      </x:c>
      <x:c r="I1400">
        <x:v>-0.2268</x:v>
      </x:c>
      <x:c r="J1400">
        <x:v>0.24399999999999999</x:v>
      </x:c>
      <x:c r="K1400">
        <x:v>-0.26679999999999998</x:v>
      </x:c>
      <x:c r="L1400">
        <x:v>-8.3999999999999995E-3</x:v>
      </x:c>
      <x:c r="M1400">
        <x:v>-0.23860000000000001</x:v>
      </x:c>
      <x:c r="N1400">
        <x:v>0</x:v>
      </x:c>
      <x:c r="O1400">
        <x:v>-0.54020000000000001</x:v>
      </x:c>
      <x:c r="P1400">
        <x:v>0.52329999999999999</x:v>
      </x:c>
      <x:c r="Q1400">
        <x:v>-0.96940000000000004</x:v>
      </x:c>
      <x:c r="R1400">
        <x:v>-2.0406</x:v>
      </x:c>
      <x:c r="S1400">
        <x:v>0.61899999999999999</x:v>
      </x:c>
      <x:c r="T1400" t="str">
        <x:f>""</x:f>
        <x:v/>
      </x:c>
      <x:c r="U1400" t="str">
        <x:f>""</x:f>
        <x:v/>
      </x:c>
      <x:c r="V1400" t="str">
        <x:f>""</x:f>
        <x:v/>
      </x:c>
      <x:c r="W1400" t="str">
        <x:f>""</x:f>
        <x:v/>
      </x:c>
      <x:c r="X1400" t="str">
        <x:f>""</x:f>
        <x:v/>
      </x:c>
      <x:c r="Y1400" t="str">
        <x:f>""</x:f>
        <x:v/>
      </x:c>
      <x:c r="Z1400" t="str">
        <x:f>""</x:f>
        <x:v/>
      </x:c>
      <x:c r="AA1400" t="str">
        <x:f>""</x:f>
        <x:v/>
      </x:c>
      <x:c r="AB1400" t="str">
        <x:f>""</x:f>
        <x:v/>
      </x:c>
      <x:c r="AC1400" t="str">
        <x:f>""</x:f>
        <x:v/>
      </x:c>
      <x:c r="AD1400" t="str">
        <x:f>""</x:f>
        <x:v/>
      </x:c>
      <x:c r="AE1400" t="str">
        <x:f>""</x:f>
        <x:v/>
      </x:c>
      <x:c r="AF1400" t="str">
        <x:f>""</x:f>
        <x:v/>
      </x:c>
      <x:c r="AG1400" t="str">
        <x:f>""</x:f>
        <x:v/>
      </x:c>
    </x:row>
    <x:row r="1401" spans="2:33" x14ac:dyDescent="0.25">
      <x:c r="B1401" t="str">
        <x:f>"GDJJ US Equity"</x:f>
        <x:v>GDJJ US Equity</x:v>
      </x:c>
      <x:c r="C1401" t="str">
        <x:f t="shared" si="62"/>
        <x:v>FD447</x:v>
      </x:c>
      <x:c r="D1401" t="str">
        <x:f t="shared" si="63"/>
        <x:v>FUND_FLOW</x:v>
      </x:c>
      <x:c r="E1401" t="str">
        <x:f t="shared" si="64"/>
        <x:v>Dynamic</x:v>
      </x:c>
      <x:c r="F1401" t="str">
        <x:f ca="1">_xll.BDH($B$1401,$C$1401,$B$1010,$B$1011,CONCATENATE("Per=",$B$1008),"Dts=H","Dir=H",CONCATENATE("Points=",$B$1009),"Sort=R","Days=A","Fill=B",CONCATENATE("FX=", $B$1007) )</x:f>
        <x:v/>
      </x:c>
      <x:c r="T1401" t="str">
        <x:f>""</x:f>
        <x:v/>
      </x:c>
      <x:c r="U1401" t="str">
        <x:f>""</x:f>
        <x:v/>
      </x:c>
      <x:c r="V1401" t="str">
        <x:f>""</x:f>
        <x:v/>
      </x:c>
      <x:c r="W1401" t="str">
        <x:f>""</x:f>
        <x:v/>
      </x:c>
      <x:c r="X1401" t="str">
        <x:f>""</x:f>
        <x:v/>
      </x:c>
      <x:c r="Y1401" t="str">
        <x:f>""</x:f>
        <x:v/>
      </x:c>
      <x:c r="Z1401" t="str">
        <x:f>""</x:f>
        <x:v/>
      </x:c>
      <x:c r="AA1401" t="str">
        <x:f>""</x:f>
        <x:v/>
      </x:c>
      <x:c r="AB1401" t="str">
        <x:f>""</x:f>
        <x:v/>
      </x:c>
      <x:c r="AC1401" t="str">
        <x:f>""</x:f>
        <x:v/>
      </x:c>
      <x:c r="AD1401" t="str">
        <x:f>""</x:f>
        <x:v/>
      </x:c>
      <x:c r="AE1401" t="str">
        <x:f>""</x:f>
        <x:v/>
      </x:c>
      <x:c r="AF1401" t="str">
        <x:f>""</x:f>
        <x:v/>
      </x:c>
      <x:c r="AG1401" t="str">
        <x:f>""</x:f>
        <x:v/>
      </x:c>
    </x:row>
    <x:row r="1402" spans="2:33" x14ac:dyDescent="0.25">
      <x:c r="B1402" t="str">
        <x:f>"SHNY US Equity"</x:f>
        <x:v>SHNY US Equity</x:v>
      </x:c>
      <x:c r="C1402" t="str">
        <x:f t="shared" si="62"/>
        <x:v>FD447</x:v>
      </x:c>
      <x:c r="D1402" t="str">
        <x:f t="shared" si="63"/>
        <x:v>FUND_FLOW</x:v>
      </x:c>
      <x:c r="E1402" t="str">
        <x:f t="shared" si="64"/>
        <x:v>Dynamic</x:v>
      </x:c>
      <x:c r="F1402">
        <x:f ca="1">_xll.BDH($B$1402,$C$1402,$B$1010,$B$1011,CONCATENATE("Per=",$B$1008),"Dts=H","Dir=H",CONCATENATE("Points=",$B$1009),"Sort=R","Days=A","Fill=B",CONCATENATE("FX=", $B$1007),"cols=14;rows=1")</x:f>
        <x:v>0</x:v>
      </x:c>
      <x:c r="G1402">
        <x:v>0</x:v>
      </x:c>
      <x:c r="H1402">
        <x:v>0</x:v>
      </x:c>
      <x:c r="I1402">
        <x:v>0</x:v>
      </x:c>
      <x:c r="J1402">
        <x:v>0</x:v>
      </x:c>
      <x:c r="K1402">
        <x:v>0</x:v>
      </x:c>
      <x:c r="L1402">
        <x:v>0</x:v>
      </x:c>
      <x:c r="M1402">
        <x:v>2.0000000000000001E-4</x:v>
      </x:c>
      <x:c r="N1402">
        <x:v>0</x:v>
      </x:c>
      <x:c r="T1402" t="str">
        <x:f>""</x:f>
        <x:v/>
      </x:c>
      <x:c r="U1402" t="str">
        <x:f>""</x:f>
        <x:v/>
      </x:c>
      <x:c r="V1402" t="str">
        <x:f>""</x:f>
        <x:v/>
      </x:c>
      <x:c r="W1402" t="str">
        <x:f>""</x:f>
        <x:v/>
      </x:c>
      <x:c r="X1402" t="str">
        <x:f>""</x:f>
        <x:v/>
      </x:c>
      <x:c r="Y1402" t="str">
        <x:f>""</x:f>
        <x:v/>
      </x:c>
      <x:c r="Z1402" t="str">
        <x:f>""</x:f>
        <x:v/>
      </x:c>
      <x:c r="AA1402" t="str">
        <x:f>""</x:f>
        <x:v/>
      </x:c>
      <x:c r="AB1402" t="str">
        <x:f>""</x:f>
        <x:v/>
      </x:c>
      <x:c r="AC1402" t="str">
        <x:f>""</x:f>
        <x:v/>
      </x:c>
      <x:c r="AD1402" t="str">
        <x:f>""</x:f>
        <x:v/>
      </x:c>
      <x:c r="AE1402" t="str">
        <x:f>""</x:f>
        <x:v/>
      </x:c>
      <x:c r="AF1402" t="str">
        <x:f>""</x:f>
        <x:v/>
      </x:c>
      <x:c r="AG1402" t="str">
        <x:f>""</x:f>
        <x:v/>
      </x:c>
    </x:row>
    <x:row r="1403" spans="2:33" x14ac:dyDescent="0.25">
      <x:c r="B1403" t="str">
        <x:f>"CHIM US Equity"</x:f>
        <x:v>CHIM US Equity</x:v>
      </x:c>
      <x:c r="C1403" t="str">
        <x:f t="shared" si="62"/>
        <x:v>FD447</x:v>
      </x:c>
      <x:c r="D1403" t="str">
        <x:f t="shared" si="63"/>
        <x:v>FUND_FLOW</x:v>
      </x:c>
      <x:c r="E1403" t="str">
        <x:f t="shared" si="64"/>
        <x:v>Dynamic</x:v>
      </x:c>
      <x:c r="F1403">
        <x:f ca="1">_xll.BDH($B$1403,$C$1403,$B$1010,$B$1011,CONCATENATE("Per=",$B$1008),"Dts=H","Dir=H",CONCATENATE("Points=",$B$1009),"Sort=R","Days=A","Fill=B",CONCATENATE("FX=", $B$1007),"cols=14;rows=1")</x:f>
        <x:v>0</x:v>
      </x:c>
      <x:c r="G1403">
        <x:v>0</x:v>
      </x:c>
      <x:c r="H1403">
        <x:v>0</x:v>
      </x:c>
      <x:c r="I1403">
        <x:v>0</x:v>
      </x:c>
      <x:c r="J1403">
        <x:v>0</x:v>
      </x:c>
      <x:c r="K1403">
        <x:v>0</x:v>
      </x:c>
      <x:c r="L1403">
        <x:v>0</x:v>
      </x:c>
      <x:c r="M1403">
        <x:v>0</x:v>
      </x:c>
      <x:c r="N1403">
        <x:v>-1.1733</x:v>
      </x:c>
      <x:c r="O1403">
        <x:v>0.5988</x:v>
      </x:c>
      <x:c r="P1403">
        <x:v>0.35959999999999998</x:v>
      </x:c>
      <x:c r="Q1403">
        <x:v>0</x:v>
      </x:c>
      <x:c r="R1403">
        <x:v>0</x:v>
      </x:c>
      <x:c r="S1403">
        <x:v>0</x:v>
      </x:c>
      <x:c r="T1403" t="str">
        <x:f>""</x:f>
        <x:v/>
      </x:c>
      <x:c r="U1403" t="str">
        <x:f>""</x:f>
        <x:v/>
      </x:c>
      <x:c r="V1403" t="str">
        <x:f>""</x:f>
        <x:v/>
      </x:c>
      <x:c r="W1403" t="str">
        <x:f>""</x:f>
        <x:v/>
      </x:c>
      <x:c r="X1403" t="str">
        <x:f>""</x:f>
        <x:v/>
      </x:c>
      <x:c r="Y1403" t="str">
        <x:f>""</x:f>
        <x:v/>
      </x:c>
      <x:c r="Z1403" t="str">
        <x:f>""</x:f>
        <x:v/>
      </x:c>
      <x:c r="AA1403" t="str">
        <x:f>""</x:f>
        <x:v/>
      </x:c>
      <x:c r="AB1403" t="str">
        <x:f>""</x:f>
        <x:v/>
      </x:c>
      <x:c r="AC1403" t="str">
        <x:f>""</x:f>
        <x:v/>
      </x:c>
      <x:c r="AD1403" t="str">
        <x:f>""</x:f>
        <x:v/>
      </x:c>
      <x:c r="AE1403" t="str">
        <x:f>""</x:f>
        <x:v/>
      </x:c>
      <x:c r="AF1403" t="str">
        <x:f>""</x:f>
        <x:v/>
      </x:c>
      <x:c r="AG1403" t="str">
        <x:f>""</x:f>
        <x:v/>
      </x:c>
    </x:row>
    <x:row r="1404" spans="2:33" x14ac:dyDescent="0.25">
      <x:c r="B1404" t="str">
        <x:f>"MATF US Equity"</x:f>
        <x:v>MATF US Equity</x:v>
      </x:c>
      <x:c r="C1404" t="str">
        <x:f t="shared" si="62"/>
        <x:v>FD447</x:v>
      </x:c>
      <x:c r="D1404" t="str">
        <x:f t="shared" si="63"/>
        <x:v>FUND_FLOW</x:v>
      </x:c>
      <x:c r="E1404" t="str">
        <x:f t="shared" si="64"/>
        <x:v>Dynamic</x:v>
      </x:c>
      <x:c r="F1404" t="str">
        <x:f ca="1">_xll.BDH($B$1404,$C$1404,$B$1010,$B$1011,CONCATENATE("Per=",$B$1008),"Dts=H","Dir=H",CONCATENATE("Points=",$B$1009),"Sort=R","Days=A","Fill=B",CONCATENATE("FX=", $B$1007) )</x:f>
        <x:v/>
      </x:c>
      <x:c r="T1404" t="str">
        <x:f>""</x:f>
        <x:v/>
      </x:c>
      <x:c r="U1404" t="str">
        <x:f>""</x:f>
        <x:v/>
      </x:c>
      <x:c r="V1404" t="str">
        <x:f>""</x:f>
        <x:v/>
      </x:c>
      <x:c r="W1404" t="str">
        <x:f>""</x:f>
        <x:v/>
      </x:c>
      <x:c r="X1404" t="str">
        <x:f>""</x:f>
        <x:v/>
      </x:c>
      <x:c r="Y1404" t="str">
        <x:f>""</x:f>
        <x:v/>
      </x:c>
      <x:c r="Z1404" t="str">
        <x:f>""</x:f>
        <x:v/>
      </x:c>
      <x:c r="AA1404" t="str">
        <x:f>""</x:f>
        <x:v/>
      </x:c>
      <x:c r="AB1404" t="str">
        <x:f>""</x:f>
        <x:v/>
      </x:c>
      <x:c r="AC1404" t="str">
        <x:f>""</x:f>
        <x:v/>
      </x:c>
      <x:c r="AD1404" t="str">
        <x:f>""</x:f>
        <x:v/>
      </x:c>
      <x:c r="AE1404" t="str">
        <x:f>""</x:f>
        <x:v/>
      </x:c>
      <x:c r="AF1404" t="str">
        <x:f>""</x:f>
        <x:v/>
      </x:c>
      <x:c r="AG1404" t="str">
        <x:f>""</x:f>
        <x:v/>
      </x:c>
    </x:row>
    <x:row r="1405" spans="2:33" x14ac:dyDescent="0.25">
      <x:c r="B1405" t="str">
        <x:f>"MELT US Equity"</x:f>
        <x:v>MELT US Equity</x:v>
      </x:c>
      <x:c r="C1405" t="str">
        <x:f t="shared" si="62"/>
        <x:v>FD447</x:v>
      </x:c>
      <x:c r="D1405" t="str">
        <x:f t="shared" si="63"/>
        <x:v>FUND_FLOW</x:v>
      </x:c>
      <x:c r="E1405" t="str">
        <x:f t="shared" si="64"/>
        <x:v>Dynamic</x:v>
      </x:c>
      <x:c r="F1405" t="str">
        <x:f ca="1">_xll.BDH($B$1405,$C$1405,$B$1010,$B$1011,CONCATENATE("Per=",$B$1008),"Dts=H","Dir=H",CONCATENATE("Points=",$B$1009),"Sort=R","Days=A","Fill=B",CONCATENATE("FX=", $B$1007) )</x:f>
        <x:v/>
      </x:c>
      <x:c r="T1405" t="str">
        <x:f>""</x:f>
        <x:v/>
      </x:c>
      <x:c r="U1405" t="str">
        <x:f>""</x:f>
        <x:v/>
      </x:c>
      <x:c r="V1405" t="str">
        <x:f>""</x:f>
        <x:v/>
      </x:c>
      <x:c r="W1405" t="str">
        <x:f>""</x:f>
        <x:v/>
      </x:c>
      <x:c r="X1405" t="str">
        <x:f>""</x:f>
        <x:v/>
      </x:c>
      <x:c r="Y1405" t="str">
        <x:f>""</x:f>
        <x:v/>
      </x:c>
      <x:c r="Z1405" t="str">
        <x:f>""</x:f>
        <x:v/>
      </x:c>
      <x:c r="AA1405" t="str">
        <x:f>""</x:f>
        <x:v/>
      </x:c>
      <x:c r="AB1405" t="str">
        <x:f>""</x:f>
        <x:v/>
      </x:c>
      <x:c r="AC1405" t="str">
        <x:f>""</x:f>
        <x:v/>
      </x:c>
      <x:c r="AD1405" t="str">
        <x:f>""</x:f>
        <x:v/>
      </x:c>
      <x:c r="AE1405" t="str">
        <x:f>""</x:f>
        <x:v/>
      </x:c>
      <x:c r="AF1405" t="str">
        <x:f>""</x:f>
        <x:v/>
      </x:c>
      <x:c r="AG1405" t="str">
        <x:f>""</x:f>
        <x:v/>
      </x:c>
    </x:row>
    <x:row r="1406" spans="2:33" x14ac:dyDescent="0.25">
      <x:c r="B1406" t="str">
        <x:f>"GDXS US Equity"</x:f>
        <x:v>GDXS US Equity</x:v>
      </x:c>
      <x:c r="C1406" t="str">
        <x:f t="shared" si="62"/>
        <x:v>FD447</x:v>
      </x:c>
      <x:c r="D1406" t="str">
        <x:f t="shared" si="63"/>
        <x:v>FUND_FLOW</x:v>
      </x:c>
      <x:c r="E1406" t="str">
        <x:f t="shared" si="64"/>
        <x:v>Dynamic</x:v>
      </x:c>
      <x:c r="F1406" t="str">
        <x:f ca="1">_xll.BDH($B$1406,$C$1406,$B$1010,$B$1011,CONCATENATE("Per=",$B$1008),"Dts=H","Dir=H",CONCATENATE("Points=",$B$1009),"Sort=R","Days=A","Fill=B",CONCATENATE("FX=", $B$1007) )</x:f>
        <x:v/>
      </x:c>
      <x:c r="T1406" t="str">
        <x:f>""</x:f>
        <x:v/>
      </x:c>
      <x:c r="U1406" t="str">
        <x:f>""</x:f>
        <x:v/>
      </x:c>
      <x:c r="V1406" t="str">
        <x:f>""</x:f>
        <x:v/>
      </x:c>
      <x:c r="W1406" t="str">
        <x:f>""</x:f>
        <x:v/>
      </x:c>
      <x:c r="X1406" t="str">
        <x:f>""</x:f>
        <x:v/>
      </x:c>
      <x:c r="Y1406" t="str">
        <x:f>""</x:f>
        <x:v/>
      </x:c>
      <x:c r="Z1406" t="str">
        <x:f>""</x:f>
        <x:v/>
      </x:c>
      <x:c r="AA1406" t="str">
        <x:f>""</x:f>
        <x:v/>
      </x:c>
      <x:c r="AB1406" t="str">
        <x:f>""</x:f>
        <x:v/>
      </x:c>
      <x:c r="AC1406" t="str">
        <x:f>""</x:f>
        <x:v/>
      </x:c>
      <x:c r="AD1406" t="str">
        <x:f>""</x:f>
        <x:v/>
      </x:c>
      <x:c r="AE1406" t="str">
        <x:f>""</x:f>
        <x:v/>
      </x:c>
      <x:c r="AF1406" t="str">
        <x:f>""</x:f>
        <x:v/>
      </x:c>
      <x:c r="AG1406" t="str">
        <x:f>""</x:f>
        <x:v/>
      </x:c>
    </x:row>
    <x:row r="1407" spans="2:33" x14ac:dyDescent="0.25">
      <x:c r="B1407" t="str">
        <x:f>"SBM US Equity"</x:f>
        <x:v>SBM US Equity</x:v>
      </x:c>
      <x:c r="C1407" t="str">
        <x:f t="shared" si="62"/>
        <x:v>FD447</x:v>
      </x:c>
      <x:c r="D1407" t="str">
        <x:f t="shared" si="63"/>
        <x:v>FUND_FLOW</x:v>
      </x:c>
      <x:c r="E1407" t="str">
        <x:f t="shared" si="64"/>
        <x:v>Dynamic</x:v>
      </x:c>
      <x:c r="F1407" t="str">
        <x:f ca="1">_xll.BDH($B$1407,$C$1407,$B$1010,$B$1011,CONCATENATE("Per=",$B$1008),"Dts=H","Dir=H",CONCATENATE("Points=",$B$1009),"Sort=R","Days=A","Fill=B",CONCATENATE("FX=", $B$1007) )</x:f>
        <x:v/>
      </x:c>
      <x:c r="T1407" t="str">
        <x:f>""</x:f>
        <x:v/>
      </x:c>
      <x:c r="U1407" t="str">
        <x:f>""</x:f>
        <x:v/>
      </x:c>
      <x:c r="V1407" t="str">
        <x:f>""</x:f>
        <x:v/>
      </x:c>
      <x:c r="W1407" t="str">
        <x:f>""</x:f>
        <x:v/>
      </x:c>
      <x:c r="X1407" t="str">
        <x:f>""</x:f>
        <x:v/>
      </x:c>
      <x:c r="Y1407" t="str">
        <x:f>""</x:f>
        <x:v/>
      </x:c>
      <x:c r="Z1407" t="str">
        <x:f>""</x:f>
        <x:v/>
      </x:c>
      <x:c r="AA1407" t="str">
        <x:f>""</x:f>
        <x:v/>
      </x:c>
      <x:c r="AB1407" t="str">
        <x:f>""</x:f>
        <x:v/>
      </x:c>
      <x:c r="AC1407" t="str">
        <x:f>""</x:f>
        <x:v/>
      </x:c>
      <x:c r="AD1407" t="str">
        <x:f>""</x:f>
        <x:v/>
      </x:c>
      <x:c r="AE1407" t="str">
        <x:f>""</x:f>
        <x:v/>
      </x:c>
      <x:c r="AF1407" t="str">
        <x:f>""</x:f>
        <x:v/>
      </x:c>
      <x:c r="AG1407" t="str">
        <x:f>""</x:f>
        <x:v/>
      </x:c>
    </x:row>
    <x:row r="1408" spans="2:33" x14ac:dyDescent="0.25">
      <x:c r="B1408" t="str">
        <x:f>"DULL US Equity"</x:f>
        <x:v>DULL US Equity</x:v>
      </x:c>
      <x:c r="C1408" t="str">
        <x:f t="shared" si="62"/>
        <x:v>FD447</x:v>
      </x:c>
      <x:c r="D1408" t="str">
        <x:f t="shared" si="63"/>
        <x:v>FUND_FLOW</x:v>
      </x:c>
      <x:c r="E1408" t="str">
        <x:f t="shared" si="64"/>
        <x:v>Dynamic</x:v>
      </x:c>
      <x:c r="F1408">
        <x:f ca="1">_xll.BDH($B$1408,$C$1408,$B$1010,$B$1011,CONCATENATE("Per=",$B$1008),"Dts=H","Dir=H",CONCATENATE("Points=",$B$1009),"Sort=R","Days=A","Fill=B",CONCATENATE("FX=", $B$1007),"cols=14;rows=1")</x:f>
        <x:v>0</x:v>
      </x:c>
      <x:c r="G1408">
        <x:v>0</x:v>
      </x:c>
      <x:c r="H1408">
        <x:v>0</x:v>
      </x:c>
      <x:c r="I1408">
        <x:v>0</x:v>
      </x:c>
      <x:c r="J1408">
        <x:v>0</x:v>
      </x:c>
      <x:c r="K1408">
        <x:v>0</x:v>
      </x:c>
      <x:c r="L1408">
        <x:v>0</x:v>
      </x:c>
      <x:c r="M1408">
        <x:v>0</x:v>
      </x:c>
      <x:c r="N1408">
        <x:v>0</x:v>
      </x:c>
      <x:c r="T1408" t="str">
        <x:f>""</x:f>
        <x:v/>
      </x:c>
      <x:c r="U1408" t="str">
        <x:f>""</x:f>
        <x:v/>
      </x:c>
      <x:c r="V1408" t="str">
        <x:f>""</x:f>
        <x:v/>
      </x:c>
      <x:c r="W1408" t="str">
        <x:f>""</x:f>
        <x:v/>
      </x:c>
      <x:c r="X1408" t="str">
        <x:f>""</x:f>
        <x:v/>
      </x:c>
      <x:c r="Y1408" t="str">
        <x:f>""</x:f>
        <x:v/>
      </x:c>
      <x:c r="Z1408" t="str">
        <x:f>""</x:f>
        <x:v/>
      </x:c>
      <x:c r="AA1408" t="str">
        <x:f>""</x:f>
        <x:v/>
      </x:c>
      <x:c r="AB1408" t="str">
        <x:f>""</x:f>
        <x:v/>
      </x:c>
      <x:c r="AC1408" t="str">
        <x:f>""</x:f>
        <x:v/>
      </x:c>
      <x:c r="AD1408" t="str">
        <x:f>""</x:f>
        <x:v/>
      </x:c>
      <x:c r="AE1408" t="str">
        <x:f>""</x:f>
        <x:v/>
      </x:c>
      <x:c r="AF1408" t="str">
        <x:f>""</x:f>
        <x:v/>
      </x:c>
      <x:c r="AG1408" t="str">
        <x:f>""</x:f>
        <x:v/>
      </x:c>
    </x:row>
    <x:row r="1409" spans="2:33" x14ac:dyDescent="0.25">
      <x:c r="B1409" t="str">
        <x:f>"VIIZ US Equity"</x:f>
        <x:v>VIIZ US Equity</x:v>
      </x:c>
      <x:c r="C1409" t="str">
        <x:f t="shared" si="62"/>
        <x:v>FD447</x:v>
      </x:c>
      <x:c r="D1409" t="str">
        <x:f t="shared" si="63"/>
        <x:v>FUND_FLOW</x:v>
      </x:c>
      <x:c r="E1409" t="str">
        <x:f t="shared" si="64"/>
        <x:v>Dynamic</x:v>
      </x:c>
      <x:c r="F1409" t="str">
        <x:f ca="1">_xll.BDH($B$1409,$C$1409,$B$1010,$B$1011,CONCATENATE("Per=",$B$1008),"Dts=H","Dir=H",CONCATENATE("Points=",$B$1009),"Sort=R","Days=A","Fill=B",CONCATENATE("FX=", $B$1007) )</x:f>
        <x:v/>
      </x:c>
      <x:c r="T1409" t="str">
        <x:f>""</x:f>
        <x:v/>
      </x:c>
      <x:c r="U1409" t="str">
        <x:f>""</x:f>
        <x:v/>
      </x:c>
      <x:c r="V1409" t="str">
        <x:f>""</x:f>
        <x:v/>
      </x:c>
      <x:c r="W1409" t="str">
        <x:f>""</x:f>
        <x:v/>
      </x:c>
      <x:c r="X1409" t="str">
        <x:f>""</x:f>
        <x:v/>
      </x:c>
      <x:c r="Y1409" t="str">
        <x:f>""</x:f>
        <x:v/>
      </x:c>
      <x:c r="Z1409" t="str">
        <x:f>""</x:f>
        <x:v/>
      </x:c>
      <x:c r="AA1409" t="str">
        <x:f>""</x:f>
        <x:v/>
      </x:c>
      <x:c r="AB1409" t="str">
        <x:f>""</x:f>
        <x:v/>
      </x:c>
      <x:c r="AC1409" t="str">
        <x:f>""</x:f>
        <x:v/>
      </x:c>
      <x:c r="AD1409" t="str">
        <x:f>""</x:f>
        <x:v/>
      </x:c>
      <x:c r="AE1409" t="str">
        <x:f>""</x:f>
        <x:v/>
      </x:c>
      <x:c r="AF1409" t="str">
        <x:f>""</x:f>
        <x:v/>
      </x:c>
      <x:c r="AG1409" t="str">
        <x:f>""</x:f>
        <x:v/>
      </x:c>
    </x:row>
    <x:row r="1410" spans="2:33" x14ac:dyDescent="0.25">
      <x:c r="B1410" t="str">
        <x:f>"1873918D US Equity"</x:f>
        <x:v>1873918D US Equity</x:v>
      </x:c>
      <x:c r="C1410" t="str">
        <x:f t="shared" si="62"/>
        <x:v>FD447</x:v>
      </x:c>
      <x:c r="D1410" t="str">
        <x:f t="shared" si="63"/>
        <x:v>FUND_FLOW</x:v>
      </x:c>
      <x:c r="E1410" t="str">
        <x:f t="shared" si="64"/>
        <x:v>Dynamic</x:v>
      </x:c>
      <x:c r="F1410" t="str">
        <x:f ca="1">_xll.BDH($B$1410,$C$1410,$B$1010,$B$1011,CONCATENATE("Per=",$B$1008),"Dts=H","Dir=H",CONCATENATE("Points=",$B$1009),"Sort=R","Days=A","Fill=B",CONCATENATE("FX=", $B$1007) )</x:f>
        <x:v/>
      </x:c>
      <x:c r="T1410" t="str">
        <x:f>""</x:f>
        <x:v/>
      </x:c>
      <x:c r="U1410" t="str">
        <x:f>""</x:f>
        <x:v/>
      </x:c>
      <x:c r="V1410" t="str">
        <x:f>""</x:f>
        <x:v/>
      </x:c>
      <x:c r="W1410" t="str">
        <x:f>""</x:f>
        <x:v/>
      </x:c>
      <x:c r="X1410" t="str">
        <x:f>""</x:f>
        <x:v/>
      </x:c>
      <x:c r="Y1410" t="str">
        <x:f>""</x:f>
        <x:v/>
      </x:c>
      <x:c r="Z1410" t="str">
        <x:f>""</x:f>
        <x:v/>
      </x:c>
      <x:c r="AA1410" t="str">
        <x:f>""</x:f>
        <x:v/>
      </x:c>
      <x:c r="AB1410" t="str">
        <x:f>""</x:f>
        <x:v/>
      </x:c>
      <x:c r="AC1410" t="str">
        <x:f>""</x:f>
        <x:v/>
      </x:c>
      <x:c r="AD1410" t="str">
        <x:f>""</x:f>
        <x:v/>
      </x:c>
      <x:c r="AE1410" t="str">
        <x:f>""</x:f>
        <x:v/>
      </x:c>
      <x:c r="AF1410" t="str">
        <x:f>""</x:f>
        <x:v/>
      </x:c>
      <x:c r="AG1410" t="str">
        <x:f>""</x:f>
        <x:v/>
      </x:c>
    </x:row>
    <x:row r="1411" spans="2:33" x14ac:dyDescent="0.25">
      <x:c r="B1411" t="str">
        <x:f>"URNM US Equity"</x:f>
        <x:v>URNM US Equity</x:v>
      </x:c>
      <x:c r="C1411" t="str">
        <x:f t="shared" si="62"/>
        <x:v>FD447</x:v>
      </x:c>
      <x:c r="D1411" t="str">
        <x:f t="shared" si="63"/>
        <x:v>FUND_FLOW</x:v>
      </x:c>
      <x:c r="E1411" t="str">
        <x:f t="shared" si="64"/>
        <x:v>Dynamic</x:v>
      </x:c>
      <x:c r="F1411">
        <x:f ca="1">_xll.BDH($B$1411,$C$1411,$B$1010,$B$1011,CONCATENATE("Per=",$B$1008),"Dts=H","Dir=H",CONCATENATE("Points=",$B$1009),"Sort=R","Days=A","Fill=B",CONCATENATE("FX=", $B$1007),"cols=14;rows=1")</x:f>
        <x:v>130.50700000000001</x:v>
      </x:c>
      <x:c r="G1411">
        <x:v>20.511600000000001</x:v>
      </x:c>
      <x:c r="H1411">
        <x:v>37.143900000000002</x:v>
      </x:c>
      <x:c r="I1411">
        <x:v>-4.8311000000000002</x:v>
      </x:c>
      <x:c r="J1411">
        <x:v>-1.7162999999999999</x:v>
      </x:c>
      <x:c r="K1411">
        <x:v>-14.423500000000001</x:v>
      </x:c>
      <x:c r="L1411">
        <x:v>17.9391</x:v>
      </x:c>
      <x:c r="M1411">
        <x:v>11.4742</x:v>
      </x:c>
      <x:c r="N1411">
        <x:v>25.9742</x:v>
      </x:c>
      <x:c r="O1411">
        <x:v>2.1638999999999999</x:v>
      </x:c>
      <x:c r="P1411">
        <x:v>-33.214799999999997</x:v>
      </x:c>
      <x:c r="Q1411">
        <x:v>5.8692000000000002</x:v>
      </x:c>
      <x:c r="R1411">
        <x:v>-2.9891000000000001</x:v>
      </x:c>
      <x:c r="S1411">
        <x:v>-7.3178999999999998</x:v>
      </x:c>
      <x:c r="T1411" t="str">
        <x:f>""</x:f>
        <x:v/>
      </x:c>
      <x:c r="U1411" t="str">
        <x:f>""</x:f>
        <x:v/>
      </x:c>
      <x:c r="V1411" t="str">
        <x:f>""</x:f>
        <x:v/>
      </x:c>
      <x:c r="W1411" t="str">
        <x:f>""</x:f>
        <x:v/>
      </x:c>
      <x:c r="X1411" t="str">
        <x:f>""</x:f>
        <x:v/>
      </x:c>
      <x:c r="Y1411" t="str">
        <x:f>""</x:f>
        <x:v/>
      </x:c>
      <x:c r="Z1411" t="str">
        <x:f>""</x:f>
        <x:v/>
      </x:c>
      <x:c r="AA1411" t="str">
        <x:f>""</x:f>
        <x:v/>
      </x:c>
      <x:c r="AB1411" t="str">
        <x:f>""</x:f>
        <x:v/>
      </x:c>
      <x:c r="AC1411" t="str">
        <x:f>""</x:f>
        <x:v/>
      </x:c>
      <x:c r="AD1411" t="str">
        <x:f>""</x:f>
        <x:v/>
      </x:c>
      <x:c r="AE1411" t="str">
        <x:f>""</x:f>
        <x:v/>
      </x:c>
      <x:c r="AF1411" t="str">
        <x:f>""</x:f>
        <x:v/>
      </x:c>
      <x:c r="AG1411" t="str">
        <x:f>""</x:f>
        <x:v/>
      </x:c>
    </x:row>
    <x:row r="1412" spans="2:33" x14ac:dyDescent="0.25">
      <x:c r="B1412" t="str">
        <x:f>"GDXU US Equity"</x:f>
        <x:v>GDXU US Equity</x:v>
      </x:c>
      <x:c r="C1412" t="str">
        <x:f t="shared" si="62"/>
        <x:v>FD447</x:v>
      </x:c>
      <x:c r="D1412" t="str">
        <x:f t="shared" si="63"/>
        <x:v>FUND_FLOW</x:v>
      </x:c>
      <x:c r="E1412" t="str">
        <x:f t="shared" si="64"/>
        <x:v>Dynamic</x:v>
      </x:c>
      <x:c r="F1412">
        <x:f ca="1">_xll.BDH($B$1412,$C$1412,$B$1010,$B$1011,CONCATENATE("Per=",$B$1008),"Dts=H","Dir=H",CONCATENATE("Points=",$B$1009),"Sort=R","Days=A","Fill=B",CONCATENATE("FX=", $B$1007),"cols=14;rows=1")</x:f>
        <x:v>31.979800000000001</x:v>
      </x:c>
      <x:c r="G1412">
        <x:v>0</x:v>
      </x:c>
      <x:c r="H1412">
        <x:v>29.4819</x:v>
      </x:c>
      <x:c r="I1412">
        <x:v>0</x:v>
      </x:c>
      <x:c r="J1412">
        <x:v>18.573799999999999</x:v>
      </x:c>
      <x:c r="K1412">
        <x:v>0</x:v>
      </x:c>
      <x:c r="L1412">
        <x:v>0</x:v>
      </x:c>
      <x:c r="M1412">
        <x:v>0</x:v>
      </x:c>
      <x:c r="N1412">
        <x:v>0</x:v>
      </x:c>
      <x:c r="O1412">
        <x:v>0</x:v>
      </x:c>
      <x:c r="P1412">
        <x:v>0</x:v>
      </x:c>
      <x:c r="Q1412">
        <x:v>0</x:v>
      </x:c>
      <x:c r="R1412">
        <x:v>0</x:v>
      </x:c>
      <x:c r="S1412">
        <x:v>24.943999999999999</x:v>
      </x:c>
      <x:c r="T1412" t="str">
        <x:f>""</x:f>
        <x:v/>
      </x:c>
      <x:c r="U1412" t="str">
        <x:f>""</x:f>
        <x:v/>
      </x:c>
      <x:c r="V1412" t="str">
        <x:f>""</x:f>
        <x:v/>
      </x:c>
      <x:c r="W1412" t="str">
        <x:f>""</x:f>
        <x:v/>
      </x:c>
      <x:c r="X1412" t="str">
        <x:f>""</x:f>
        <x:v/>
      </x:c>
      <x:c r="Y1412" t="str">
        <x:f>""</x:f>
        <x:v/>
      </x:c>
      <x:c r="Z1412" t="str">
        <x:f>""</x:f>
        <x:v/>
      </x:c>
      <x:c r="AA1412" t="str">
        <x:f>""</x:f>
        <x:v/>
      </x:c>
      <x:c r="AB1412" t="str">
        <x:f>""</x:f>
        <x:v/>
      </x:c>
      <x:c r="AC1412" t="str">
        <x:f>""</x:f>
        <x:v/>
      </x:c>
      <x:c r="AD1412" t="str">
        <x:f>""</x:f>
        <x:v/>
      </x:c>
      <x:c r="AE1412" t="str">
        <x:f>""</x:f>
        <x:v/>
      </x:c>
      <x:c r="AF1412" t="str">
        <x:f>""</x:f>
        <x:v/>
      </x:c>
      <x:c r="AG1412" t="str">
        <x:f>""</x:f>
        <x:v/>
      </x:c>
    </x:row>
    <x:row r="1413" spans="2:33" x14ac:dyDescent="0.25">
      <x:c r="B1413" t="str">
        <x:f>"JGLD US Equity"</x:f>
        <x:v>JGLD US Equity</x:v>
      </x:c>
      <x:c r="C1413" t="str">
        <x:f t="shared" si="62"/>
        <x:v>FD447</x:v>
      </x:c>
      <x:c r="D1413" t="str">
        <x:f t="shared" si="63"/>
        <x:v>FUND_FLOW</x:v>
      </x:c>
      <x:c r="E1413" t="str">
        <x:f t="shared" si="64"/>
        <x:v>Dynamic</x:v>
      </x:c>
      <x:c r="F1413" t="str">
        <x:f ca="1">_xll.BDH($B$1413,$C$1413,$B$1010,$B$1011,CONCATENATE("Per=",$B$1008),"Dts=H","Dir=H",CONCATENATE("Points=",$B$1009),"Sort=R","Days=A","Fill=B",CONCATENATE("FX=", $B$1007),"cols=14;rows=1")</x:f>
        <x:v/>
      </x:c>
      <x:c r="R1413">
        <x:v>0</x:v>
      </x:c>
      <x:c r="S1413">
        <x:v>0</x:v>
      </x:c>
      <x:c r="T1413" t="str">
        <x:f>""</x:f>
        <x:v/>
      </x:c>
      <x:c r="U1413" t="str">
        <x:f>""</x:f>
        <x:v/>
      </x:c>
      <x:c r="V1413" t="str">
        <x:f>""</x:f>
        <x:v/>
      </x:c>
      <x:c r="W1413" t="str">
        <x:f>""</x:f>
        <x:v/>
      </x:c>
      <x:c r="X1413" t="str">
        <x:f>""</x:f>
        <x:v/>
      </x:c>
      <x:c r="Y1413" t="str">
        <x:f>""</x:f>
        <x:v/>
      </x:c>
      <x:c r="Z1413" t="str">
        <x:f>""</x:f>
        <x:v/>
      </x:c>
      <x:c r="AA1413" t="str">
        <x:f>""</x:f>
        <x:v/>
      </x:c>
      <x:c r="AB1413" t="str">
        <x:f>""</x:f>
        <x:v/>
      </x:c>
      <x:c r="AC1413" t="str">
        <x:f>""</x:f>
        <x:v/>
      </x:c>
      <x:c r="AD1413" t="str">
        <x:f>""</x:f>
        <x:v/>
      </x:c>
      <x:c r="AE1413" t="str">
        <x:f>""</x:f>
        <x:v/>
      </x:c>
      <x:c r="AF1413" t="str">
        <x:f>""</x:f>
        <x:v/>
      </x:c>
      <x:c r="AG1413" t="str">
        <x:f>""</x:f>
        <x:v/>
      </x:c>
    </x:row>
    <x:row r="1414" spans="2:33" x14ac:dyDescent="0.25">
      <x:c r="B1414" t="str">
        <x:f>"GDXD US Equity"</x:f>
        <x:v>GDXD US Equity</x:v>
      </x:c>
      <x:c r="C1414" t="str">
        <x:f t="shared" si="62"/>
        <x:v>FD447</x:v>
      </x:c>
      <x:c r="D1414" t="str">
        <x:f t="shared" si="63"/>
        <x:v>FUND_FLOW</x:v>
      </x:c>
      <x:c r="E1414" t="str">
        <x:f t="shared" si="64"/>
        <x:v>Dynamic</x:v>
      </x:c>
      <x:c r="F1414">
        <x:f ca="1">_xll.BDH($B$1414,$C$1414,$B$1010,$B$1011,CONCATENATE("Per=",$B$1008),"Dts=H","Dir=H",CONCATENATE("Points=",$B$1009),"Sort=R","Days=A","Fill=B",CONCATENATE("FX=", $B$1007),"cols=14;rows=1")</x:f>
        <x:v>0</x:v>
      </x:c>
      <x:c r="G1414">
        <x:v>0</x:v>
      </x:c>
      <x:c r="H1414">
        <x:v>0</x:v>
      </x:c>
      <x:c r="I1414">
        <x:v>0</x:v>
      </x:c>
      <x:c r="J1414">
        <x:v>0</x:v>
      </x:c>
      <x:c r="K1414">
        <x:v>0</x:v>
      </x:c>
      <x:c r="L1414">
        <x:v>23.0185</x:v>
      </x:c>
      <x:c r="M1414">
        <x:v>0</x:v>
      </x:c>
      <x:c r="N1414">
        <x:v>3.3155999999999999</x:v>
      </x:c>
      <x:c r="O1414">
        <x:v>10.224399999999999</x:v>
      </x:c>
      <x:c r="P1414">
        <x:v>4.1298000000000004</x:v>
      </x:c>
      <x:c r="Q1414">
        <x:v>11.468500000000001</x:v>
      </x:c>
      <x:c r="R1414">
        <x:v>0</x:v>
      </x:c>
      <x:c r="S1414">
        <x:v>0</x:v>
      </x:c>
      <x:c r="T1414" t="str">
        <x:f>""</x:f>
        <x:v/>
      </x:c>
      <x:c r="U1414" t="str">
        <x:f>""</x:f>
        <x:v/>
      </x:c>
      <x:c r="V1414" t="str">
        <x:f>""</x:f>
        <x:v/>
      </x:c>
      <x:c r="W1414" t="str">
        <x:f>""</x:f>
        <x:v/>
      </x:c>
      <x:c r="X1414" t="str">
        <x:f>""</x:f>
        <x:v/>
      </x:c>
      <x:c r="Y1414" t="str">
        <x:f>""</x:f>
        <x:v/>
      </x:c>
      <x:c r="Z1414" t="str">
        <x:f>""</x:f>
        <x:v/>
      </x:c>
      <x:c r="AA1414" t="str">
        <x:f>""</x:f>
        <x:v/>
      </x:c>
      <x:c r="AB1414" t="str">
        <x:f>""</x:f>
        <x:v/>
      </x:c>
      <x:c r="AC1414" t="str">
        <x:f>""</x:f>
        <x:v/>
      </x:c>
      <x:c r="AD1414" t="str">
        <x:f>""</x:f>
        <x:v/>
      </x:c>
      <x:c r="AE1414" t="str">
        <x:f>""</x:f>
        <x:v/>
      </x:c>
      <x:c r="AF1414" t="str">
        <x:f>""</x:f>
        <x:v/>
      </x:c>
      <x:c r="AG1414" t="str">
        <x:f>""</x:f>
        <x:v/>
      </x:c>
    </x:row>
    <x:row r="1415" spans="2:33" x14ac:dyDescent="0.25">
      <x:c r="B1415" t="str">
        <x:f>"SILX US Equity"</x:f>
        <x:v>SILX US Equity</x:v>
      </x:c>
      <x:c r="C1415" t="str">
        <x:f t="shared" si="62"/>
        <x:v>FD447</x:v>
      </x:c>
      <x:c r="D1415" t="str">
        <x:f t="shared" si="63"/>
        <x:v>FUND_FLOW</x:v>
      </x:c>
      <x:c r="E1415" t="str">
        <x:f t="shared" si="64"/>
        <x:v>Dynamic</x:v>
      </x:c>
      <x:c r="F1415" t="str">
        <x:f ca="1">_xll.BDH($B$1415,$C$1415,$B$1010,$B$1011,CONCATENATE("Per=",$B$1008),"Dts=H","Dir=H",CONCATENATE("Points=",$B$1009),"Sort=R","Days=A","Fill=B",CONCATENATE("FX=", $B$1007),"cols=14;rows=1")</x:f>
        <x:v/>
      </x:c>
      <x:c r="I1415">
        <x:v>-7.0400000000000004E-2</x:v>
      </x:c>
      <x:c r="J1415">
        <x:v>0.19350000000000001</x:v>
      </x:c>
      <x:c r="K1415">
        <x:v>1.3813</x:v>
      </x:c>
      <x:c r="L1415">
        <x:v>0.31269999999999998</x:v>
      </x:c>
      <x:c r="M1415">
        <x:v>0.75900000000000001</x:v>
      </x:c>
      <x:c r="N1415">
        <x:v>1.3089</x:v>
      </x:c>
      <x:c r="O1415">
        <x:v>0.1777</x:v>
      </x:c>
      <x:c r="P1415">
        <x:v>0.57550000000000001</x:v>
      </x:c>
      <x:c r="Q1415">
        <x:v>0.18079999999999999</x:v>
      </x:c>
      <x:c r="R1415">
        <x:v>0.19800000000000001</x:v>
      </x:c>
      <x:c r="S1415">
        <x:v>0.30299999999999999</x:v>
      </x:c>
      <x:c r="T1415" t="str">
        <x:f>""</x:f>
        <x:v/>
      </x:c>
      <x:c r="U1415" t="str">
        <x:f>""</x:f>
        <x:v/>
      </x:c>
      <x:c r="V1415" t="str">
        <x:f>""</x:f>
        <x:v/>
      </x:c>
      <x:c r="W1415" t="str">
        <x:f>""</x:f>
        <x:v/>
      </x:c>
      <x:c r="X1415" t="str">
        <x:f>""</x:f>
        <x:v/>
      </x:c>
      <x:c r="Y1415" t="str">
        <x:f>""</x:f>
        <x:v/>
      </x:c>
      <x:c r="Z1415" t="str">
        <x:f>""</x:f>
        <x:v/>
      </x:c>
      <x:c r="AA1415" t="str">
        <x:f>""</x:f>
        <x:v/>
      </x:c>
      <x:c r="AB1415" t="str">
        <x:f>""</x:f>
        <x:v/>
      </x:c>
      <x:c r="AC1415" t="str">
        <x:f>""</x:f>
        <x:v/>
      </x:c>
      <x:c r="AD1415" t="str">
        <x:f>""</x:f>
        <x:v/>
      </x:c>
      <x:c r="AE1415" t="str">
        <x:f>""</x:f>
        <x:v/>
      </x:c>
      <x:c r="AF1415" t="str">
        <x:f>""</x:f>
        <x:v/>
      </x:c>
      <x:c r="AG1415" t="str">
        <x:f>""</x:f>
        <x:v/>
      </x:c>
    </x:row>
    <x:row r="1416" spans="2:33" x14ac:dyDescent="0.25">
      <x:c r="B1416" t="str">
        <x:f>"SINV US Equity"</x:f>
        <x:v>SINV US Equity</x:v>
      </x:c>
      <x:c r="C1416" t="str">
        <x:f t="shared" si="62"/>
        <x:v>FD447</x:v>
      </x:c>
      <x:c r="D1416" t="str">
        <x:f t="shared" si="63"/>
        <x:v>FUND_FLOW</x:v>
      </x:c>
      <x:c r="E1416" t="str">
        <x:f t="shared" si="64"/>
        <x:v>Dynamic</x:v>
      </x:c>
      <x:c r="F1416" t="str">
        <x:f ca="1">_xll.BDH($B$1416,$C$1416,$B$1010,$B$1011,CONCATENATE("Per=",$B$1008),"Dts=H","Dir=H",CONCATENATE("Points=",$B$1009),"Sort=R","Days=A","Fill=B",CONCATENATE("FX=", $B$1007) )</x:f>
        <x:v/>
      </x:c>
      <x:c r="T1416" t="str">
        <x:f>""</x:f>
        <x:v/>
      </x:c>
      <x:c r="U1416" t="str">
        <x:f>""</x:f>
        <x:v/>
      </x:c>
      <x:c r="V1416" t="str">
        <x:f>""</x:f>
        <x:v/>
      </x:c>
      <x:c r="W1416" t="str">
        <x:f>""</x:f>
        <x:v/>
      </x:c>
      <x:c r="X1416" t="str">
        <x:f>""</x:f>
        <x:v/>
      </x:c>
      <x:c r="Y1416" t="str">
        <x:f>""</x:f>
        <x:v/>
      </x:c>
      <x:c r="Z1416" t="str">
        <x:f>""</x:f>
        <x:v/>
      </x:c>
      <x:c r="AA1416" t="str">
        <x:f>""</x:f>
        <x:v/>
      </x:c>
      <x:c r="AB1416" t="str">
        <x:f>""</x:f>
        <x:v/>
      </x:c>
      <x:c r="AC1416" t="str">
        <x:f>""</x:f>
        <x:v/>
      </x:c>
      <x:c r="AD1416" t="str">
        <x:f>""</x:f>
        <x:v/>
      </x:c>
      <x:c r="AE1416" t="str">
        <x:f>""</x:f>
        <x:v/>
      </x:c>
      <x:c r="AF1416" t="str">
        <x:f>""</x:f>
        <x:v/>
      </x:c>
      <x:c r="AG1416" t="str">
        <x:f>""</x:f>
        <x:v/>
      </x:c>
    </x:row>
    <x:row r="1417" spans="2:33" x14ac:dyDescent="0.25">
      <x:c r="B1417" t="str">
        <x:f>"TINT US Equity"</x:f>
        <x:v>TINT US Equity</x:v>
      </x:c>
      <x:c r="C1417" t="str">
        <x:f t="shared" si="62"/>
        <x:v>FD447</x:v>
      </x:c>
      <x:c r="D1417" t="str">
        <x:f t="shared" si="63"/>
        <x:v>FUND_FLOW</x:v>
      </x:c>
      <x:c r="E1417" t="str">
        <x:f t="shared" si="64"/>
        <x:v>Dynamic</x:v>
      </x:c>
      <x:c r="F1417">
        <x:f ca="1">_xll.BDH($B$1417,$C$1417,$B$1010,$B$1011,CONCATENATE("Per=",$B$1008),"Dts=H","Dir=H",CONCATENATE("Points=",$B$1009),"Sort=R","Days=A","Fill=B",CONCATENATE("FX=", $B$1007),"cols=14;rows=1")</x:f>
        <x:v>0</x:v>
      </x:c>
      <x:c r="G1417">
        <x:v>0</x:v>
      </x:c>
      <x:c r="H1417">
        <x:v>0</x:v>
      </x:c>
      <x:c r="I1417">
        <x:v>0</x:v>
      </x:c>
      <x:c r="J1417">
        <x:v>0</x:v>
      </x:c>
      <x:c r="K1417">
        <x:v>0</x:v>
      </x:c>
      <x:c r="L1417">
        <x:v>0</x:v>
      </x:c>
      <x:c r="M1417">
        <x:v>0</x:v>
      </x:c>
      <x:c r="N1417">
        <x:v>0</x:v>
      </x:c>
      <x:c r="O1417">
        <x:v>0</x:v>
      </x:c>
      <x:c r="P1417">
        <x:v>0</x:v>
      </x:c>
      <x:c r="Q1417">
        <x:v>0</x:v>
      </x:c>
      <x:c r="R1417">
        <x:v>0</x:v>
      </x:c>
      <x:c r="S1417">
        <x:v>0</x:v>
      </x:c>
      <x:c r="T1417" t="str">
        <x:f>""</x:f>
        <x:v/>
      </x:c>
      <x:c r="U1417" t="str">
        <x:f>""</x:f>
        <x:v/>
      </x:c>
      <x:c r="V1417" t="str">
        <x:f>""</x:f>
        <x:v/>
      </x:c>
      <x:c r="W1417" t="str">
        <x:f>""</x:f>
        <x:v/>
      </x:c>
      <x:c r="X1417" t="str">
        <x:f>""</x:f>
        <x:v/>
      </x:c>
      <x:c r="Y1417" t="str">
        <x:f>""</x:f>
        <x:v/>
      </x:c>
      <x:c r="Z1417" t="str">
        <x:f>""</x:f>
        <x:v/>
      </x:c>
      <x:c r="AA1417" t="str">
        <x:f>""</x:f>
        <x:v/>
      </x:c>
      <x:c r="AB1417" t="str">
        <x:f>""</x:f>
        <x:v/>
      </x:c>
      <x:c r="AC1417" t="str">
        <x:f>""</x:f>
        <x:v/>
      </x:c>
      <x:c r="AD1417" t="str">
        <x:f>""</x:f>
        <x:v/>
      </x:c>
      <x:c r="AE1417" t="str">
        <x:f>""</x:f>
        <x:v/>
      </x:c>
      <x:c r="AF1417" t="str">
        <x:f>""</x:f>
        <x:v/>
      </x:c>
      <x:c r="AG1417" t="str">
        <x:f>""</x:f>
        <x:v/>
      </x:c>
    </x:row>
    <x:row r="1418" spans="2:33" x14ac:dyDescent="0.25">
      <x:c r="B1418" t="str">
        <x:f>"GMET US Equity"</x:f>
        <x:v>GMET US Equity</x:v>
      </x:c>
      <x:c r="C1418" t="str">
        <x:f t="shared" si="62"/>
        <x:v>FD447</x:v>
      </x:c>
      <x:c r="D1418" t="str">
        <x:f t="shared" si="63"/>
        <x:v>FUND_FLOW</x:v>
      </x:c>
      <x:c r="E1418" t="str">
        <x:f t="shared" si="64"/>
        <x:v>Dynamic</x:v>
      </x:c>
      <x:c r="F1418">
        <x:f ca="1">_xll.BDH($B$1418,$C$1418,$B$1010,$B$1011,CONCATENATE("Per=",$B$1008),"Dts=H","Dir=H",CONCATENATE("Points=",$B$1009),"Sort=R","Days=A","Fill=B",CONCATENATE("FX=", $B$1007),"cols=14;rows=1")</x:f>
        <x:v>2.4077000000000002</x:v>
      </x:c>
      <x:c r="G1418">
        <x:v>0</x:v>
      </x:c>
      <x:c r="H1418">
        <x:v>2.6044</x:v>
      </x:c>
      <x:c r="I1418">
        <x:v>0</x:v>
      </x:c>
      <x:c r="J1418">
        <x:v>0</x:v>
      </x:c>
      <x:c r="K1418">
        <x:v>0</x:v>
      </x:c>
      <x:c r="L1418">
        <x:v>0</x:v>
      </x:c>
      <x:c r="M1418">
        <x:v>0</x:v>
      </x:c>
      <x:c r="N1418">
        <x:v>3.2648999999999999</x:v>
      </x:c>
      <x:c r="O1418">
        <x:v>0</x:v>
      </x:c>
      <x:c r="P1418">
        <x:v>0</x:v>
      </x:c>
      <x:c r="Q1418">
        <x:v>0</x:v>
      </x:c>
      <x:c r="R1418">
        <x:v>1.3379000000000001</x:v>
      </x:c>
      <x:c r="S1418">
        <x:v>0</x:v>
      </x:c>
      <x:c r="T1418" t="str">
        <x:f>""</x:f>
        <x:v/>
      </x:c>
      <x:c r="U1418" t="str">
        <x:f>""</x:f>
        <x:v/>
      </x:c>
      <x:c r="V1418" t="str">
        <x:f>""</x:f>
        <x:v/>
      </x:c>
      <x:c r="W1418" t="str">
        <x:f>""</x:f>
        <x:v/>
      </x:c>
      <x:c r="X1418" t="str">
        <x:f>""</x:f>
        <x:v/>
      </x:c>
      <x:c r="Y1418" t="str">
        <x:f>""</x:f>
        <x:v/>
      </x:c>
      <x:c r="Z1418" t="str">
        <x:f>""</x:f>
        <x:v/>
      </x:c>
      <x:c r="AA1418" t="str">
        <x:f>""</x:f>
        <x:v/>
      </x:c>
      <x:c r="AB1418" t="str">
        <x:f>""</x:f>
        <x:v/>
      </x:c>
      <x:c r="AC1418" t="str">
        <x:f>""</x:f>
        <x:v/>
      </x:c>
      <x:c r="AD1418" t="str">
        <x:f>""</x:f>
        <x:v/>
      </x:c>
      <x:c r="AE1418" t="str">
        <x:f>""</x:f>
        <x:v/>
      </x:c>
      <x:c r="AF1418" t="str">
        <x:f>""</x:f>
        <x:v/>
      </x:c>
      <x:c r="AG1418" t="str">
        <x:f>""</x:f>
        <x:v/>
      </x:c>
    </x:row>
    <x:row r="1419" spans="2:33" x14ac:dyDescent="0.25">
      <x:c r="B1419" t="str">
        <x:f>"DMAT US Equity"</x:f>
        <x:v>DMAT US Equity</x:v>
      </x:c>
      <x:c r="C1419" t="str">
        <x:f t="shared" si="62"/>
        <x:v>FD447</x:v>
      </x:c>
      <x:c r="D1419" t="str">
        <x:f t="shared" si="63"/>
        <x:v>FUND_FLOW</x:v>
      </x:c>
      <x:c r="E1419" t="str">
        <x:f t="shared" si="64"/>
        <x:v>Dynamic</x:v>
      </x:c>
      <x:c r="F1419">
        <x:f ca="1">_xll.BDH($B$1419,$C$1419,$B$1010,$B$1011,CONCATENATE("Per=",$B$1008),"Dts=H","Dir=H",CONCATENATE("Points=",$B$1009),"Sort=R","Days=A","Fill=B",CONCATENATE("FX=", $B$1007),"cols=14;rows=1")</x:f>
        <x:v>0</x:v>
      </x:c>
      <x:c r="G1419">
        <x:v>4.2300000000000004</x:v>
      </x:c>
      <x:c r="H1419">
        <x:v>0</x:v>
      </x:c>
      <x:c r="I1419">
        <x:v>0</x:v>
      </x:c>
      <x:c r="J1419">
        <x:v>0</x:v>
      </x:c>
      <x:c r="K1419">
        <x:v>0</x:v>
      </x:c>
      <x:c r="L1419">
        <x:v>0.37719999999999998</x:v>
      </x:c>
      <x:c r="M1419">
        <x:v>0.57150000000000001</x:v>
      </x:c>
      <x:c r="N1419">
        <x:v>-0.43180000000000002</x:v>
      </x:c>
      <x:c r="O1419">
        <x:v>0.9</x:v>
      </x:c>
      <x:c r="P1419">
        <x:v>0.63239999999999996</x:v>
      </x:c>
      <x:c r="Q1419">
        <x:v>0</x:v>
      </x:c>
      <x:c r="R1419">
        <x:v>0</x:v>
      </x:c>
      <x:c r="S1419">
        <x:v>0</x:v>
      </x:c>
      <x:c r="T1419" t="str">
        <x:f>""</x:f>
        <x:v/>
      </x:c>
      <x:c r="U1419" t="str">
        <x:f>""</x:f>
        <x:v/>
      </x:c>
      <x:c r="V1419" t="str">
        <x:f>""</x:f>
        <x:v/>
      </x:c>
      <x:c r="W1419" t="str">
        <x:f>""</x:f>
        <x:v/>
      </x:c>
      <x:c r="X1419" t="str">
        <x:f>""</x:f>
        <x:v/>
      </x:c>
      <x:c r="Y1419" t="str">
        <x:f>""</x:f>
        <x:v/>
      </x:c>
      <x:c r="Z1419" t="str">
        <x:f>""</x:f>
        <x:v/>
      </x:c>
      <x:c r="AA1419" t="str">
        <x:f>""</x:f>
        <x:v/>
      </x:c>
      <x:c r="AB1419" t="str">
        <x:f>""</x:f>
        <x:v/>
      </x:c>
      <x:c r="AC1419" t="str">
        <x:f>""</x:f>
        <x:v/>
      </x:c>
      <x:c r="AD1419" t="str">
        <x:f>""</x:f>
        <x:v/>
      </x:c>
      <x:c r="AE1419" t="str">
        <x:f>""</x:f>
        <x:v/>
      </x:c>
      <x:c r="AF1419" t="str">
        <x:f>""</x:f>
        <x:v/>
      </x:c>
      <x:c r="AG1419" t="str">
        <x:f>""</x:f>
        <x:v/>
      </x:c>
    </x:row>
    <x:row r="1420" spans="2:33" x14ac:dyDescent="0.25">
      <x:c r="B1420" t="str">
        <x:f>"CHRG US Equity"</x:f>
        <x:v>CHRG US Equity</x:v>
      </x:c>
      <x:c r="C1420" t="str">
        <x:f t="shared" si="62"/>
        <x:v>FD447</x:v>
      </x:c>
      <x:c r="D1420" t="str">
        <x:f t="shared" si="63"/>
        <x:v>FUND_FLOW</x:v>
      </x:c>
      <x:c r="E1420" t="str">
        <x:f t="shared" si="64"/>
        <x:v>Dynamic</x:v>
      </x:c>
      <x:c r="F1420">
        <x:f ca="1">_xll.BDH($B$1420,$C$1420,$B$1010,$B$1011,CONCATENATE("Per=",$B$1008),"Dts=H","Dir=H",CONCATENATE("Points=",$B$1009),"Sort=R","Days=A","Fill=B",CONCATENATE("FX=", $B$1007),"cols=14;rows=1")</x:f>
        <x:v>0</x:v>
      </x:c>
      <x:c r="G1420">
        <x:v>0</x:v>
      </x:c>
      <x:c r="H1420">
        <x:v>0</x:v>
      </x:c>
      <x:c r="I1420">
        <x:v>0</x:v>
      </x:c>
      <x:c r="J1420">
        <x:v>0</x:v>
      </x:c>
      <x:c r="K1420">
        <x:v>0</x:v>
      </x:c>
      <x:c r="L1420">
        <x:v>0</x:v>
      </x:c>
      <x:c r="M1420">
        <x:v>0</x:v>
      </x:c>
      <x:c r="N1420">
        <x:v>0</x:v>
      </x:c>
      <x:c r="O1420">
        <x:v>-1.9103000000000001</x:v>
      </x:c>
      <x:c r="T1420" t="str">
        <x:f>""</x:f>
        <x:v/>
      </x:c>
      <x:c r="U1420" t="str">
        <x:f>""</x:f>
        <x:v/>
      </x:c>
      <x:c r="V1420" t="str">
        <x:f>""</x:f>
        <x:v/>
      </x:c>
      <x:c r="W1420" t="str">
        <x:f>""</x:f>
        <x:v/>
      </x:c>
      <x:c r="X1420" t="str">
        <x:f>""</x:f>
        <x:v/>
      </x:c>
      <x:c r="Y1420" t="str">
        <x:f>""</x:f>
        <x:v/>
      </x:c>
      <x:c r="Z1420" t="str">
        <x:f>""</x:f>
        <x:v/>
      </x:c>
      <x:c r="AA1420" t="str">
        <x:f>""</x:f>
        <x:v/>
      </x:c>
      <x:c r="AB1420" t="str">
        <x:f>""</x:f>
        <x:v/>
      </x:c>
      <x:c r="AC1420" t="str">
        <x:f>""</x:f>
        <x:v/>
      </x:c>
      <x:c r="AD1420" t="str">
        <x:f>""</x:f>
        <x:v/>
      </x:c>
      <x:c r="AE1420" t="str">
        <x:f>""</x:f>
        <x:v/>
      </x:c>
      <x:c r="AF1420" t="str">
        <x:f>""</x:f>
        <x:v/>
      </x:c>
      <x:c r="AG1420" t="str">
        <x:f>""</x:f>
        <x:v/>
      </x:c>
    </x:row>
    <x:row r="1421" spans="2:33" x14ac:dyDescent="0.25">
      <x:c r="B1421" t="str">
        <x:f>"COPJ US Equity"</x:f>
        <x:v>COPJ US Equity</x:v>
      </x:c>
      <x:c r="C1421" t="str">
        <x:f t="shared" si="62"/>
        <x:v>FD447</x:v>
      </x:c>
      <x:c r="D1421" t="str">
        <x:f t="shared" si="63"/>
        <x:v>FUND_FLOW</x:v>
      </x:c>
      <x:c r="E1421" t="str">
        <x:f t="shared" si="64"/>
        <x:v>Dynamic</x:v>
      </x:c>
      <x:c r="F1421">
        <x:f ca="1">_xll.BDH($B$1421,$C$1421,$B$1010,$B$1011,CONCATENATE("Per=",$B$1008),"Dts=H","Dir=H",CONCATENATE("Points=",$B$1009),"Sort=R","Days=A","Fill=B",CONCATENATE("FX=", $B$1007),"cols=14;rows=1")</x:f>
        <x:v>0.16869999999999999</x:v>
      </x:c>
      <x:c r="G1421">
        <x:v>0.35299999999999998</x:v>
      </x:c>
      <x:c r="H1421">
        <x:v>0.80959999999999999</x:v>
      </x:c>
      <x:c r="I1421">
        <x:v>0</x:v>
      </x:c>
      <x:c r="J1421">
        <x:v>0.19239999999999999</x:v>
      </x:c>
      <x:c r="K1421">
        <x:v>0</x:v>
      </x:c>
      <x:c r="L1421">
        <x:v>0.59650000000000003</x:v>
      </x:c>
      <x:c r="M1421">
        <x:v>0</x:v>
      </x:c>
      <x:c r="N1421">
        <x:v>0</x:v>
      </x:c>
      <x:c r="T1421" t="str">
        <x:f>""</x:f>
        <x:v/>
      </x:c>
      <x:c r="U1421" t="str">
        <x:f>""</x:f>
        <x:v/>
      </x:c>
      <x:c r="V1421" t="str">
        <x:f>""</x:f>
        <x:v/>
      </x:c>
      <x:c r="W1421" t="str">
        <x:f>""</x:f>
        <x:v/>
      </x:c>
      <x:c r="X1421" t="str">
        <x:f>""</x:f>
        <x:v/>
      </x:c>
      <x:c r="Y1421" t="str">
        <x:f>""</x:f>
        <x:v/>
      </x:c>
      <x:c r="Z1421" t="str">
        <x:f>""</x:f>
        <x:v/>
      </x:c>
      <x:c r="AA1421" t="str">
        <x:f>""</x:f>
        <x:v/>
      </x:c>
      <x:c r="AB1421" t="str">
        <x:f>""</x:f>
        <x:v/>
      </x:c>
      <x:c r="AC1421" t="str">
        <x:f>""</x:f>
        <x:v/>
      </x:c>
      <x:c r="AD1421" t="str">
        <x:f>""</x:f>
        <x:v/>
      </x:c>
      <x:c r="AE1421" t="str">
        <x:f>""</x:f>
        <x:v/>
      </x:c>
      <x:c r="AF1421" t="str">
        <x:f>""</x:f>
        <x:v/>
      </x:c>
      <x:c r="AG1421" t="str">
        <x:f>""</x:f>
        <x:v/>
      </x:c>
    </x:row>
    <x:row r="1422" spans="2:33" x14ac:dyDescent="0.25">
      <x:c r="B1422" t="str">
        <x:f>"CRIT US Equity"</x:f>
        <x:v>CRIT US Equity</x:v>
      </x:c>
      <x:c r="C1422" t="str">
        <x:f t="shared" si="62"/>
        <x:v>FD447</x:v>
      </x:c>
      <x:c r="D1422" t="str">
        <x:f t="shared" si="63"/>
        <x:v>FUND_FLOW</x:v>
      </x:c>
      <x:c r="E1422" t="str">
        <x:f t="shared" si="64"/>
        <x:v>Dynamic</x:v>
      </x:c>
      <x:c r="F1422">
        <x:f ca="1">_xll.BDH($B$1422,$C$1422,$B$1010,$B$1011,CONCATENATE("Per=",$B$1008),"Dts=H","Dir=H",CONCATENATE("Points=",$B$1009),"Sort=R","Days=A","Fill=B",CONCATENATE("FX=", $B$1007),"cols=14;rows=1")</x:f>
        <x:v>0</x:v>
      </x:c>
      <x:c r="G1422">
        <x:v>0</x:v>
      </x:c>
      <x:c r="H1422">
        <x:v>0</x:v>
      </x:c>
      <x:c r="I1422">
        <x:v>0</x:v>
      </x:c>
      <x:c r="J1422">
        <x:v>0</x:v>
      </x:c>
      <x:c r="K1422">
        <x:v>0</x:v>
      </x:c>
      <x:c r="L1422">
        <x:v>0.3886</x:v>
      </x:c>
      <x:c r="M1422">
        <x:v>-0.2087</x:v>
      </x:c>
      <x:c r="N1422">
        <x:v>0.40920000000000001</x:v>
      </x:c>
      <x:c r="O1422">
        <x:v>-0.47799999999999998</x:v>
      </x:c>
      <x:c r="P1422">
        <x:v>0</x:v>
      </x:c>
      <x:c r="Q1422">
        <x:v>0</x:v>
      </x:c>
      <x:c r="R1422">
        <x:v>0</x:v>
      </x:c>
      <x:c r="S1422">
        <x:v>0.73919999999999997</x:v>
      </x:c>
      <x:c r="T1422" t="str">
        <x:f>""</x:f>
        <x:v/>
      </x:c>
      <x:c r="U1422" t="str">
        <x:f>""</x:f>
        <x:v/>
      </x:c>
      <x:c r="V1422" t="str">
        <x:f>""</x:f>
        <x:v/>
      </x:c>
      <x:c r="W1422" t="str">
        <x:f>""</x:f>
        <x:v/>
      </x:c>
      <x:c r="X1422" t="str">
        <x:f>""</x:f>
        <x:v/>
      </x:c>
      <x:c r="Y1422" t="str">
        <x:f>""</x:f>
        <x:v/>
      </x:c>
      <x:c r="Z1422" t="str">
        <x:f>""</x:f>
        <x:v/>
      </x:c>
      <x:c r="AA1422" t="str">
        <x:f>""</x:f>
        <x:v/>
      </x:c>
      <x:c r="AB1422" t="str">
        <x:f>""</x:f>
        <x:v/>
      </x:c>
      <x:c r="AC1422" t="str">
        <x:f>""</x:f>
        <x:v/>
      </x:c>
      <x:c r="AD1422" t="str">
        <x:f>""</x:f>
        <x:v/>
      </x:c>
      <x:c r="AE1422" t="str">
        <x:f>""</x:f>
        <x:v/>
      </x:c>
      <x:c r="AF1422" t="str">
        <x:f>""</x:f>
        <x:v/>
      </x:c>
      <x:c r="AG1422" t="str">
        <x:f>""</x:f>
        <x:v/>
      </x:c>
    </x:row>
    <x:row r="1423" spans="2:33" x14ac:dyDescent="0.25">
      <x:c r="B1423" t="str">
        <x:f>"ION US Equity"</x:f>
        <x:v>ION US Equity</x:v>
      </x:c>
      <x:c r="C1423" t="str">
        <x:f t="shared" si="62"/>
        <x:v>FD447</x:v>
      </x:c>
      <x:c r="D1423" t="str">
        <x:f t="shared" si="63"/>
        <x:v>FUND_FLOW</x:v>
      </x:c>
      <x:c r="E1423" t="str">
        <x:f t="shared" si="64"/>
        <x:v>Dynamic</x:v>
      </x:c>
      <x:c r="F1423">
        <x:f ca="1">_xll.BDH($B$1423,$C$1423,$B$1010,$B$1011,CONCATENATE("Per=",$B$1008),"Dts=H","Dir=H",CONCATENATE("Points=",$B$1009),"Sort=R","Days=A","Fill=B",CONCATENATE("FX=", $B$1007),"cols=14;rows=1")</x:f>
        <x:v>0</x:v>
      </x:c>
      <x:c r="G1423">
        <x:v>0</x:v>
      </x:c>
      <x:c r="H1423">
        <x:v>0</x:v>
      </x:c>
      <x:c r="I1423">
        <x:v>0</x:v>
      </x:c>
      <x:c r="J1423">
        <x:v>0</x:v>
      </x:c>
      <x:c r="K1423">
        <x:v>0</x:v>
      </x:c>
      <x:c r="L1423">
        <x:v>0</x:v>
      </x:c>
      <x:c r="M1423">
        <x:v>-0.90229999999999999</x:v>
      </x:c>
      <x:c r="N1423">
        <x:v>0</x:v>
      </x:c>
      <x:c r="O1423">
        <x:v>0</x:v>
      </x:c>
      <x:c r="P1423">
        <x:v>0</x:v>
      </x:c>
      <x:c r="T1423" t="str">
        <x:f>""</x:f>
        <x:v/>
      </x:c>
      <x:c r="U1423" t="str">
        <x:f>""</x:f>
        <x:v/>
      </x:c>
      <x:c r="V1423" t="str">
        <x:f>""</x:f>
        <x:v/>
      </x:c>
      <x:c r="W1423" t="str">
        <x:f>""</x:f>
        <x:v/>
      </x:c>
      <x:c r="X1423" t="str">
        <x:f>""</x:f>
        <x:v/>
      </x:c>
      <x:c r="Y1423" t="str">
        <x:f>""</x:f>
        <x:v/>
      </x:c>
      <x:c r="Z1423" t="str">
        <x:f>""</x:f>
        <x:v/>
      </x:c>
      <x:c r="AA1423" t="str">
        <x:f>""</x:f>
        <x:v/>
      </x:c>
      <x:c r="AB1423" t="str">
        <x:f>""</x:f>
        <x:v/>
      </x:c>
      <x:c r="AC1423" t="str">
        <x:f>""</x:f>
        <x:v/>
      </x:c>
      <x:c r="AD1423" t="str">
        <x:f>""</x:f>
        <x:v/>
      </x:c>
      <x:c r="AE1423" t="str">
        <x:f>""</x:f>
        <x:v/>
      </x:c>
      <x:c r="AF1423" t="str">
        <x:f>""</x:f>
        <x:v/>
      </x:c>
      <x:c r="AG1423" t="str">
        <x:f>""</x:f>
        <x:v/>
      </x:c>
    </x:row>
    <x:row r="1424" spans="2:33" x14ac:dyDescent="0.25">
      <x:c r="B1424" t="str">
        <x:f>"LITP US Equity"</x:f>
        <x:v>LITP US Equity</x:v>
      </x:c>
      <x:c r="C1424" t="str">
        <x:f t="shared" si="62"/>
        <x:v>FD447</x:v>
      </x:c>
      <x:c r="D1424" t="str">
        <x:f t="shared" si="63"/>
        <x:v>FUND_FLOW</x:v>
      </x:c>
      <x:c r="E1424" t="str">
        <x:f t="shared" si="64"/>
        <x:v>Dynamic</x:v>
      </x:c>
      <x:c r="F1424">
        <x:f ca="1">_xll.BDH($B$1424,$C$1424,$B$1010,$B$1011,CONCATENATE("Per=",$B$1008),"Dts=H","Dir=H",CONCATENATE("Points=",$B$1009),"Sort=R","Days=A","Fill=B",CONCATENATE("FX=", $B$1007),"cols=14;rows=1")</x:f>
        <x:v>0.40029999999999999</x:v>
      </x:c>
      <x:c r="G1424">
        <x:v>0.30630000000000002</x:v>
      </x:c>
      <x:c r="H1424">
        <x:v>0.63239999999999996</x:v>
      </x:c>
      <x:c r="I1424">
        <x:v>1.1716</x:v>
      </x:c>
      <x:c r="J1424">
        <x:v>-0.21249999999999999</x:v>
      </x:c>
      <x:c r="K1424">
        <x:v>-2.0434000000000001</x:v>
      </x:c>
      <x:c r="L1424">
        <x:v>0</x:v>
      </x:c>
      <x:c r="M1424">
        <x:v>2.3060999999999998</x:v>
      </x:c>
      <x:c r="N1424">
        <x:v>0.95409999999999995</x:v>
      </x:c>
      <x:c r="T1424" t="str">
        <x:f>""</x:f>
        <x:v/>
      </x:c>
      <x:c r="U1424" t="str">
        <x:f>""</x:f>
        <x:v/>
      </x:c>
      <x:c r="V1424" t="str">
        <x:f>""</x:f>
        <x:v/>
      </x:c>
      <x:c r="W1424" t="str">
        <x:f>""</x:f>
        <x:v/>
      </x:c>
      <x:c r="X1424" t="str">
        <x:f>""</x:f>
        <x:v/>
      </x:c>
      <x:c r="Y1424" t="str">
        <x:f>""</x:f>
        <x:v/>
      </x:c>
      <x:c r="Z1424" t="str">
        <x:f>""</x:f>
        <x:v/>
      </x:c>
      <x:c r="AA1424" t="str">
        <x:f>""</x:f>
        <x:v/>
      </x:c>
      <x:c r="AB1424" t="str">
        <x:f>""</x:f>
        <x:v/>
      </x:c>
      <x:c r="AC1424" t="str">
        <x:f>""</x:f>
        <x:v/>
      </x:c>
      <x:c r="AD1424" t="str">
        <x:f>""</x:f>
        <x:v/>
      </x:c>
      <x:c r="AE1424" t="str">
        <x:f>""</x:f>
        <x:v/>
      </x:c>
      <x:c r="AF1424" t="str">
        <x:f>""</x:f>
        <x:v/>
      </x:c>
      <x:c r="AG1424" t="str">
        <x:f>""</x:f>
        <x:v/>
      </x:c>
    </x:row>
    <x:row r="1425" spans="2:33" x14ac:dyDescent="0.25">
      <x:c r="B1425" t="str">
        <x:f>"NDIV US Equity"</x:f>
        <x:v>NDIV US Equity</x:v>
      </x:c>
      <x:c r="C1425" t="str">
        <x:f t="shared" si="62"/>
        <x:v>FD447</x:v>
      </x:c>
      <x:c r="D1425" t="str">
        <x:f t="shared" si="63"/>
        <x:v>FUND_FLOW</x:v>
      </x:c>
      <x:c r="E1425" t="str">
        <x:f t="shared" si="64"/>
        <x:v>Dynamic</x:v>
      </x:c>
      <x:c r="F1425">
        <x:f ca="1">_xll.BDH($B$1425,$C$1425,$B$1010,$B$1011,CONCATENATE("Per=",$B$1008),"Dts=H","Dir=H",CONCATENATE("Points=",$B$1009),"Sort=R","Days=A","Fill=B",CONCATENATE("FX=", $B$1007),"cols=14;rows=1")</x:f>
        <x:v>0.64180000000000004</x:v>
      </x:c>
      <x:c r="G1425">
        <x:v>0.67190000000000005</x:v>
      </x:c>
      <x:c r="H1425">
        <x:v>0.66239999999999999</x:v>
      </x:c>
      <x:c r="I1425">
        <x:v>0</x:v>
      </x:c>
      <x:c r="J1425">
        <x:v>0.62929999999999997</x:v>
      </x:c>
      <x:c r="K1425">
        <x:v>2.7000000000000001E-3</x:v>
      </x:c>
      <x:c r="L1425">
        <x:v>0.63839999999999997</x:v>
      </x:c>
      <x:c r="M1425">
        <x:v>0</x:v>
      </x:c>
      <x:c r="N1425">
        <x:v>2.7161</x:v>
      </x:c>
      <x:c r="O1425">
        <x:v>0</x:v>
      </x:c>
      <x:c r="P1425">
        <x:v>1.2803</x:v>
      </x:c>
      <x:c r="Q1425">
        <x:v>0</x:v>
      </x:c>
      <x:c r="R1425">
        <x:v>0.59940000000000004</x:v>
      </x:c>
      <x:c r="S1425">
        <x:v>0.62050000000000005</x:v>
      </x:c>
      <x:c r="T1425" t="str">
        <x:f>""</x:f>
        <x:v/>
      </x:c>
      <x:c r="U1425" t="str">
        <x:f>""</x:f>
        <x:v/>
      </x:c>
      <x:c r="V1425" t="str">
        <x:f>""</x:f>
        <x:v/>
      </x:c>
      <x:c r="W1425" t="str">
        <x:f>""</x:f>
        <x:v/>
      </x:c>
      <x:c r="X1425" t="str">
        <x:f>""</x:f>
        <x:v/>
      </x:c>
      <x:c r="Y1425" t="str">
        <x:f>""</x:f>
        <x:v/>
      </x:c>
      <x:c r="Z1425" t="str">
        <x:f>""</x:f>
        <x:v/>
      </x:c>
      <x:c r="AA1425" t="str">
        <x:f>""</x:f>
        <x:v/>
      </x:c>
      <x:c r="AB1425" t="str">
        <x:f>""</x:f>
        <x:v/>
      </x:c>
      <x:c r="AC1425" t="str">
        <x:f>""</x:f>
        <x:v/>
      </x:c>
      <x:c r="AD1425" t="str">
        <x:f>""</x:f>
        <x:v/>
      </x:c>
      <x:c r="AE1425" t="str">
        <x:f>""</x:f>
        <x:v/>
      </x:c>
      <x:c r="AF1425" t="str">
        <x:f>""</x:f>
        <x:v/>
      </x:c>
      <x:c r="AG1425" t="str">
        <x:f>""</x:f>
        <x:v/>
      </x:c>
    </x:row>
    <x:row r="1426" spans="2:33" x14ac:dyDescent="0.25">
      <x:c r="B1426" t="str">
        <x:f>"NIKL US Equity"</x:f>
        <x:v>NIKL US Equity</x:v>
      </x:c>
      <x:c r="C1426" t="str">
        <x:f t="shared" si="62"/>
        <x:v>FD447</x:v>
      </x:c>
      <x:c r="D1426" t="str">
        <x:f t="shared" si="63"/>
        <x:v>FUND_FLOW</x:v>
      </x:c>
      <x:c r="E1426" t="str">
        <x:f t="shared" si="64"/>
        <x:v>Dynamic</x:v>
      </x:c>
      <x:c r="F1426">
        <x:f ca="1">_xll.BDH($B$1426,$C$1426,$B$1010,$B$1011,CONCATENATE("Per=",$B$1008),"Dts=H","Dir=H",CONCATENATE("Points=",$B$1009),"Sort=R","Days=A","Fill=B",CONCATENATE("FX=", $B$1007),"cols=14;rows=1")</x:f>
        <x:v>0</x:v>
      </x:c>
      <x:c r="G1426">
        <x:v>0</x:v>
      </x:c>
      <x:c r="H1426">
        <x:v>0</x:v>
      </x:c>
      <x:c r="I1426">
        <x:v>0</x:v>
      </x:c>
      <x:c r="J1426">
        <x:v>0</x:v>
      </x:c>
      <x:c r="K1426">
        <x:v>0.1986</x:v>
      </x:c>
      <x:c r="L1426">
        <x:v>0</x:v>
      </x:c>
      <x:c r="M1426">
        <x:v>0</x:v>
      </x:c>
      <x:c r="T1426" t="str">
        <x:f>""</x:f>
        <x:v/>
      </x:c>
      <x:c r="U1426" t="str">
        <x:f>""</x:f>
        <x:v/>
      </x:c>
      <x:c r="V1426" t="str">
        <x:f>""</x:f>
        <x:v/>
      </x:c>
      <x:c r="W1426" t="str">
        <x:f>""</x:f>
        <x:v/>
      </x:c>
      <x:c r="X1426" t="str">
        <x:f>""</x:f>
        <x:v/>
      </x:c>
      <x:c r="Y1426" t="str">
        <x:f>""</x:f>
        <x:v/>
      </x:c>
      <x:c r="Z1426" t="str">
        <x:f>""</x:f>
        <x:v/>
      </x:c>
      <x:c r="AA1426" t="str">
        <x:f>""</x:f>
        <x:v/>
      </x:c>
      <x:c r="AB1426" t="str">
        <x:f>""</x:f>
        <x:v/>
      </x:c>
      <x:c r="AC1426" t="str">
        <x:f>""</x:f>
        <x:v/>
      </x:c>
      <x:c r="AD1426" t="str">
        <x:f>""</x:f>
        <x:v/>
      </x:c>
      <x:c r="AE1426" t="str">
        <x:f>""</x:f>
        <x:v/>
      </x:c>
      <x:c r="AF1426" t="str">
        <x:f>""</x:f>
        <x:v/>
      </x:c>
      <x:c r="AG1426" t="str">
        <x:f>""</x:f>
        <x:v/>
      </x:c>
    </x:row>
    <x:row r="1427" spans="2:33" x14ac:dyDescent="0.25">
      <x:c r="B1427" t="str">
        <x:f>"SETM US Equity"</x:f>
        <x:v>SETM US Equity</x:v>
      </x:c>
      <x:c r="C1427" t="str">
        <x:f t="shared" si="62"/>
        <x:v>FD447</x:v>
      </x:c>
      <x:c r="D1427" t="str">
        <x:f t="shared" si="63"/>
        <x:v>FUND_FLOW</x:v>
      </x:c>
      <x:c r="E1427" t="str">
        <x:f t="shared" si="64"/>
        <x:v>Dynamic</x:v>
      </x:c>
      <x:c r="F1427">
        <x:f ca="1">_xll.BDH($B$1427,$C$1427,$B$1010,$B$1011,CONCATENATE("Per=",$B$1008),"Dts=H","Dir=H",CONCATENATE("Points=",$B$1009),"Sort=R","Days=A","Fill=B",CONCATENATE("FX=", $B$1007),"cols=14;rows=1")</x:f>
        <x:v>0</x:v>
      </x:c>
      <x:c r="G1427">
        <x:v>1.2725</x:v>
      </x:c>
      <x:c r="H1427">
        <x:v>1.9459</x:v>
      </x:c>
      <x:c r="I1427">
        <x:v>0.87819999999999998</x:v>
      </x:c>
      <x:c r="J1427">
        <x:v>1.8018000000000001</x:v>
      </x:c>
      <x:c r="K1427">
        <x:v>-1.3372999999999999</x:v>
      </x:c>
      <x:c r="L1427">
        <x:v>0</x:v>
      </x:c>
      <x:c r="M1427">
        <x:v>3.1960000000000002</x:v>
      </x:c>
      <x:c r="N1427">
        <x:v>2.1341000000000001</x:v>
      </x:c>
      <x:c r="T1427" t="str">
        <x:f>""</x:f>
        <x:v/>
      </x:c>
      <x:c r="U1427" t="str">
        <x:f>""</x:f>
        <x:v/>
      </x:c>
      <x:c r="V1427" t="str">
        <x:f>""</x:f>
        <x:v/>
      </x:c>
      <x:c r="W1427" t="str">
        <x:f>""</x:f>
        <x:v/>
      </x:c>
      <x:c r="X1427" t="str">
        <x:f>""</x:f>
        <x:v/>
      </x:c>
      <x:c r="Y1427" t="str">
        <x:f>""</x:f>
        <x:v/>
      </x:c>
      <x:c r="Z1427" t="str">
        <x:f>""</x:f>
        <x:v/>
      </x:c>
      <x:c r="AA1427" t="str">
        <x:f>""</x:f>
        <x:v/>
      </x:c>
      <x:c r="AB1427" t="str">
        <x:f>""</x:f>
        <x:v/>
      </x:c>
      <x:c r="AC1427" t="str">
        <x:f>""</x:f>
        <x:v/>
      </x:c>
      <x:c r="AD1427" t="str">
        <x:f>""</x:f>
        <x:v/>
      </x:c>
      <x:c r="AE1427" t="str">
        <x:f>""</x:f>
        <x:v/>
      </x:c>
      <x:c r="AF1427" t="str">
        <x:f>""</x:f>
        <x:v/>
      </x:c>
      <x:c r="AG1427" t="str">
        <x:f>""</x:f>
        <x:v/>
      </x:c>
    </x:row>
    <x:row r="1428" spans="2:33" x14ac:dyDescent="0.25">
      <x:c r="B1428" t="str">
        <x:f>"URNJ US Equity"</x:f>
        <x:v>URNJ US Equity</x:v>
      </x:c>
      <x:c r="C1428" t="str">
        <x:f t="shared" si="62"/>
        <x:v>FD447</x:v>
      </x:c>
      <x:c r="D1428" t="str">
        <x:f t="shared" si="63"/>
        <x:v>FUND_FLOW</x:v>
      </x:c>
      <x:c r="E1428" t="str">
        <x:f t="shared" si="64"/>
        <x:v>Dynamic</x:v>
      </x:c>
      <x:c r="F1428">
        <x:f ca="1">_xll.BDH($B$1428,$C$1428,$B$1010,$B$1011,CONCATENATE("Per=",$B$1008),"Dts=H","Dir=H",CONCATENATE("Points=",$B$1009),"Sort=R","Days=A","Fill=B",CONCATENATE("FX=", $B$1007),"cols=14;rows=1")</x:f>
        <x:v>13.4566</x:v>
      </x:c>
      <x:c r="G1428">
        <x:v>86.266800000000003</x:v>
      </x:c>
      <x:c r="H1428">
        <x:v>13.754</x:v>
      </x:c>
      <x:c r="I1428">
        <x:v>0</x:v>
      </x:c>
      <x:c r="J1428">
        <x:v>8.6509999999999998</x:v>
      </x:c>
      <x:c r="K1428">
        <x:v>6.3803000000000001</x:v>
      </x:c>
      <x:c r="L1428">
        <x:v>0.30149999999999999</x:v>
      </x:c>
      <x:c r="M1428">
        <x:v>4.8076999999999996</x:v>
      </x:c>
      <x:c r="N1428">
        <x:v>12.8756</x:v>
      </x:c>
      <x:c r="T1428" t="str">
        <x:f>""</x:f>
        <x:v/>
      </x:c>
      <x:c r="U1428" t="str">
        <x:f>""</x:f>
        <x:v/>
      </x:c>
      <x:c r="V1428" t="str">
        <x:f>""</x:f>
        <x:v/>
      </x:c>
      <x:c r="W1428" t="str">
        <x:f>""</x:f>
        <x:v/>
      </x:c>
      <x:c r="X1428" t="str">
        <x:f>""</x:f>
        <x:v/>
      </x:c>
      <x:c r="Y1428" t="str">
        <x:f>""</x:f>
        <x:v/>
      </x:c>
      <x:c r="Z1428" t="str">
        <x:f>""</x:f>
        <x:v/>
      </x:c>
      <x:c r="AA1428" t="str">
        <x:f>""</x:f>
        <x:v/>
      </x:c>
      <x:c r="AB1428" t="str">
        <x:f>""</x:f>
        <x:v/>
      </x:c>
      <x:c r="AC1428" t="str">
        <x:f>""</x:f>
        <x:v/>
      </x:c>
      <x:c r="AD1428" t="str">
        <x:f>""</x:f>
        <x:v/>
      </x:c>
      <x:c r="AE1428" t="str">
        <x:f>""</x:f>
        <x:v/>
      </x:c>
      <x:c r="AF1428" t="str">
        <x:f>""</x:f>
        <x:v/>
      </x:c>
      <x:c r="AG1428" t="str">
        <x:f>""</x:f>
        <x:v/>
      </x:c>
    </x:row>
    <x:row r="1429" spans="2:33" x14ac:dyDescent="0.25">
      <x:c r="B1429" t="str">
        <x:f>"VNQ US Equity"</x:f>
        <x:v>VNQ US Equity</x:v>
      </x:c>
      <x:c r="C1429" t="str">
        <x:f t="shared" si="62"/>
        <x:v>FD447</x:v>
      </x:c>
      <x:c r="D1429" t="str">
        <x:f t="shared" si="63"/>
        <x:v>FUND_FLOW</x:v>
      </x:c>
      <x:c r="E1429" t="str">
        <x:f t="shared" si="64"/>
        <x:v>Dynamic</x:v>
      </x:c>
      <x:c r="F1429">
        <x:f ca="1">_xll.BDH($B$1429,$C$1429,$B$1010,$B$1011,CONCATENATE("Per=",$B$1008),"Dts=H","Dir=H",CONCATENATE("Points=",$B$1009),"Sort=R","Days=A","Fill=B",CONCATENATE("FX=", $B$1007),"cols=14;rows=1")</x:f>
        <x:v>-350.12150000000003</x:v>
      </x:c>
      <x:c r="G1429">
        <x:v>-164.58860000000001</x:v>
      </x:c>
      <x:c r="H1429">
        <x:v>-209.63919999999999</x:v>
      </x:c>
      <x:c r="I1429">
        <x:v>804.1961</x:v>
      </x:c>
      <x:c r="J1429">
        <x:v>-7.9367999999999999</x:v>
      </x:c>
      <x:c r="K1429">
        <x:v>-577.31889999999999</x:v>
      </x:c>
      <x:c r="L1429">
        <x:v>-150.57380000000001</x:v>
      </x:c>
      <x:c r="M1429">
        <x:v>-554.43320000000006</x:v>
      </x:c>
      <x:c r="N1429">
        <x:v>-244.63630000000001</x:v>
      </x:c>
      <x:c r="O1429">
        <x:v>14.858000000000001</x:v>
      </x:c>
      <x:c r="P1429">
        <x:v>-431.38189999999997</x:v>
      </x:c>
      <x:c r="Q1429">
        <x:v>275.97809999999998</x:v>
      </x:c>
      <x:c r="R1429">
        <x:v>-397.59390000000002</x:v>
      </x:c>
      <x:c r="S1429">
        <x:v>-319.3331</x:v>
      </x:c>
      <x:c r="T1429" t="str">
        <x:f>""</x:f>
        <x:v/>
      </x:c>
      <x:c r="U1429" t="str">
        <x:f>""</x:f>
        <x:v/>
      </x:c>
      <x:c r="V1429" t="str">
        <x:f>""</x:f>
        <x:v/>
      </x:c>
      <x:c r="W1429" t="str">
        <x:f>""</x:f>
        <x:v/>
      </x:c>
      <x:c r="X1429" t="str">
        <x:f>""</x:f>
        <x:v/>
      </x:c>
      <x:c r="Y1429" t="str">
        <x:f>""</x:f>
        <x:v/>
      </x:c>
      <x:c r="Z1429" t="str">
        <x:f>""</x:f>
        <x:v/>
      </x:c>
      <x:c r="AA1429" t="str">
        <x:f>""</x:f>
        <x:v/>
      </x:c>
      <x:c r="AB1429" t="str">
        <x:f>""</x:f>
        <x:v/>
      </x:c>
      <x:c r="AC1429" t="str">
        <x:f>""</x:f>
        <x:v/>
      </x:c>
      <x:c r="AD1429" t="str">
        <x:f>""</x:f>
        <x:v/>
      </x:c>
      <x:c r="AE1429" t="str">
        <x:f>""</x:f>
        <x:v/>
      </x:c>
      <x:c r="AF1429" t="str">
        <x:f>""</x:f>
        <x:v/>
      </x:c>
      <x:c r="AG1429" t="str">
        <x:f>""</x:f>
        <x:v/>
      </x:c>
    </x:row>
    <x:row r="1430" spans="2:33" x14ac:dyDescent="0.25">
      <x:c r="B1430" t="str">
        <x:f>"IYR US Equity"</x:f>
        <x:v>IYR US Equity</x:v>
      </x:c>
      <x:c r="C1430" t="str">
        <x:f t="shared" si="62"/>
        <x:v>FD447</x:v>
      </x:c>
      <x:c r="D1430" t="str">
        <x:f t="shared" si="63"/>
        <x:v>FUND_FLOW</x:v>
      </x:c>
      <x:c r="E1430" t="str">
        <x:f t="shared" si="64"/>
        <x:v>Dynamic</x:v>
      </x:c>
      <x:c r="F1430">
        <x:f ca="1">_xll.BDH($B$1430,$C$1430,$B$1010,$B$1011,CONCATENATE("Per=",$B$1008),"Dts=H","Dir=H",CONCATENATE("Points=",$B$1009),"Sort=R","Days=A","Fill=B",CONCATENATE("FX=", $B$1007),"cols=14;rows=1")</x:f>
        <x:v>26.529299999999999</x:v>
      </x:c>
      <x:c r="G1430">
        <x:v>-57.9803</x:v>
      </x:c>
      <x:c r="H1430">
        <x:v>99.340500000000006</x:v>
      </x:c>
      <x:c r="I1430">
        <x:v>-56.392000000000003</x:v>
      </x:c>
      <x:c r="J1430">
        <x:v>-229.59</x:v>
      </x:c>
      <x:c r="K1430">
        <x:v>212.98</x:v>
      </x:c>
      <x:c r="L1430">
        <x:v>-409.33879999999999</x:v>
      </x:c>
      <x:c r="M1430">
        <x:v>-102.1703</x:v>
      </x:c>
      <x:c r="N1430">
        <x:v>-262.47559999999999</x:v>
      </x:c>
      <x:c r="O1430">
        <x:v>-267.42570000000001</x:v>
      </x:c>
      <x:c r="P1430">
        <x:v>740.67579999999998</x:v>
      </x:c>
      <x:c r="Q1430">
        <x:v>-370.00029999999998</x:v>
      </x:c>
      <x:c r="R1430">
        <x:v>24.314399999999999</x:v>
      </x:c>
      <x:c r="S1430">
        <x:v>-286.25790000000001</x:v>
      </x:c>
      <x:c r="T1430" t="str">
        <x:f>""</x:f>
        <x:v/>
      </x:c>
      <x:c r="U1430" t="str">
        <x:f>""</x:f>
        <x:v/>
      </x:c>
      <x:c r="V1430" t="str">
        <x:f>""</x:f>
        <x:v/>
      </x:c>
      <x:c r="W1430" t="str">
        <x:f>""</x:f>
        <x:v/>
      </x:c>
      <x:c r="X1430" t="str">
        <x:f>""</x:f>
        <x:v/>
      </x:c>
      <x:c r="Y1430" t="str">
        <x:f>""</x:f>
        <x:v/>
      </x:c>
      <x:c r="Z1430" t="str">
        <x:f>""</x:f>
        <x:v/>
      </x:c>
      <x:c r="AA1430" t="str">
        <x:f>""</x:f>
        <x:v/>
      </x:c>
      <x:c r="AB1430" t="str">
        <x:f>""</x:f>
        <x:v/>
      </x:c>
      <x:c r="AC1430" t="str">
        <x:f>""</x:f>
        <x:v/>
      </x:c>
      <x:c r="AD1430" t="str">
        <x:f>""</x:f>
        <x:v/>
      </x:c>
      <x:c r="AE1430" t="str">
        <x:f>""</x:f>
        <x:v/>
      </x:c>
      <x:c r="AF1430" t="str">
        <x:f>""</x:f>
        <x:v/>
      </x:c>
      <x:c r="AG1430" t="str">
        <x:f>""</x:f>
        <x:v/>
      </x:c>
    </x:row>
    <x:row r="1431" spans="2:33" x14ac:dyDescent="0.25">
      <x:c r="B1431" t="str">
        <x:f>"VNQI US Equity"</x:f>
        <x:v>VNQI US Equity</x:v>
      </x:c>
      <x:c r="C1431" t="str">
        <x:f t="shared" si="62"/>
        <x:v>FD447</x:v>
      </x:c>
      <x:c r="D1431" t="str">
        <x:f t="shared" si="63"/>
        <x:v>FUND_FLOW</x:v>
      </x:c>
      <x:c r="E1431" t="str">
        <x:f t="shared" si="64"/>
        <x:v>Dynamic</x:v>
      </x:c>
      <x:c r="F1431">
        <x:f ca="1">_xll.BDH($B$1431,$C$1431,$B$1010,$B$1011,CONCATENATE("Per=",$B$1008),"Dts=H","Dir=H",CONCATENATE("Points=",$B$1009),"Sort=R","Days=A","Fill=B",CONCATENATE("FX=", $B$1007),"cols=14;rows=1")</x:f>
        <x:v>-15.718</x:v>
      </x:c>
      <x:c r="G1431">
        <x:v>-48.564799999999998</x:v>
      </x:c>
      <x:c r="H1431">
        <x:v>1.0666</x:v>
      </x:c>
      <x:c r="I1431">
        <x:v>8.6255000000000006</x:v>
      </x:c>
      <x:c r="J1431">
        <x:v>-35.858199999999997</x:v>
      </x:c>
      <x:c r="K1431">
        <x:v>-24.7103</x:v>
      </x:c>
      <x:c r="L1431">
        <x:v>-8.2880000000000003</x:v>
      </x:c>
      <x:c r="M1431">
        <x:v>-8.2017000000000007</x:v>
      </x:c>
      <x:c r="N1431">
        <x:v>1.03E-2</x:v>
      </x:c>
      <x:c r="O1431">
        <x:v>-41.780799999999999</x:v>
      </x:c>
      <x:c r="P1431">
        <x:v>12.6754</x:v>
      </x:c>
      <x:c r="Q1431">
        <x:v>3.9399999999999998E-2</x:v>
      </x:c>
      <x:c r="R1431">
        <x:v>-33.637099999999997</x:v>
      </x:c>
      <x:c r="S1431">
        <x:v>-13.4781</x:v>
      </x:c>
      <x:c r="T1431" t="str">
        <x:f>""</x:f>
        <x:v/>
      </x:c>
      <x:c r="U1431" t="str">
        <x:f>""</x:f>
        <x:v/>
      </x:c>
      <x:c r="V1431" t="str">
        <x:f>""</x:f>
        <x:v/>
      </x:c>
      <x:c r="W1431" t="str">
        <x:f>""</x:f>
        <x:v/>
      </x:c>
      <x:c r="X1431" t="str">
        <x:f>""</x:f>
        <x:v/>
      </x:c>
      <x:c r="Y1431" t="str">
        <x:f>""</x:f>
        <x:v/>
      </x:c>
      <x:c r="Z1431" t="str">
        <x:f>""</x:f>
        <x:v/>
      </x:c>
      <x:c r="AA1431" t="str">
        <x:f>""</x:f>
        <x:v/>
      </x:c>
      <x:c r="AB1431" t="str">
        <x:f>""</x:f>
        <x:v/>
      </x:c>
      <x:c r="AC1431" t="str">
        <x:f>""</x:f>
        <x:v/>
      </x:c>
      <x:c r="AD1431" t="str">
        <x:f>""</x:f>
        <x:v/>
      </x:c>
      <x:c r="AE1431" t="str">
        <x:f>""</x:f>
        <x:v/>
      </x:c>
      <x:c r="AF1431" t="str">
        <x:f>""</x:f>
        <x:v/>
      </x:c>
      <x:c r="AG1431" t="str">
        <x:f>""</x:f>
        <x:v/>
      </x:c>
    </x:row>
    <x:row r="1432" spans="2:33" x14ac:dyDescent="0.25">
      <x:c r="B1432" t="str">
        <x:f>"RWX US Equity"</x:f>
        <x:v>RWX US Equity</x:v>
      </x:c>
      <x:c r="C1432" t="str">
        <x:f t="shared" si="62"/>
        <x:v>FD447</x:v>
      </x:c>
      <x:c r="D1432" t="str">
        <x:f t="shared" si="63"/>
        <x:v>FUND_FLOW</x:v>
      </x:c>
      <x:c r="E1432" t="str">
        <x:f t="shared" si="64"/>
        <x:v>Dynamic</x:v>
      </x:c>
      <x:c r="F1432">
        <x:f ca="1">_xll.BDH($B$1432,$C$1432,$B$1010,$B$1011,CONCATENATE("Per=",$B$1008),"Dts=H","Dir=H",CONCATENATE("Points=",$B$1009),"Sort=R","Days=A","Fill=B",CONCATENATE("FX=", $B$1007),"cols=14;rows=1")</x:f>
        <x:v>0</x:v>
      </x:c>
      <x:c r="G1432">
        <x:v>-5.0053000000000001</x:v>
      </x:c>
      <x:c r="H1432">
        <x:v>0</x:v>
      </x:c>
      <x:c r="I1432">
        <x:v>-10.321099999999999</x:v>
      </x:c>
      <x:c r="J1432">
        <x:v>-61.785699999999999</x:v>
      </x:c>
      <x:c r="K1432">
        <x:v>0.1129</x:v>
      </x:c>
      <x:c r="L1432">
        <x:v>-26.781600000000001</x:v>
      </x:c>
      <x:c r="M1432">
        <x:v>-15.6614</x:v>
      </x:c>
      <x:c r="N1432">
        <x:v>-2.8268</x:v>
      </x:c>
      <x:c r="O1432">
        <x:v>11.2921</x:v>
      </x:c>
      <x:c r="P1432">
        <x:v>-25.623000000000001</x:v>
      </x:c>
      <x:c r="Q1432">
        <x:v>-10.226100000000001</x:v>
      </x:c>
      <x:c r="R1432">
        <x:v>-11.667999999999999</x:v>
      </x:c>
      <x:c r="S1432">
        <x:v>0</x:v>
      </x:c>
      <x:c r="T1432" t="str">
        <x:f>""</x:f>
        <x:v/>
      </x:c>
      <x:c r="U1432" t="str">
        <x:f>""</x:f>
        <x:v/>
      </x:c>
      <x:c r="V1432" t="str">
        <x:f>""</x:f>
        <x:v/>
      </x:c>
      <x:c r="W1432" t="str">
        <x:f>""</x:f>
        <x:v/>
      </x:c>
      <x:c r="X1432" t="str">
        <x:f>""</x:f>
        <x:v/>
      </x:c>
      <x:c r="Y1432" t="str">
        <x:f>""</x:f>
        <x:v/>
      </x:c>
      <x:c r="Z1432" t="str">
        <x:f>""</x:f>
        <x:v/>
      </x:c>
      <x:c r="AA1432" t="str">
        <x:f>""</x:f>
        <x:v/>
      </x:c>
      <x:c r="AB1432" t="str">
        <x:f>""</x:f>
        <x:v/>
      </x:c>
      <x:c r="AC1432" t="str">
        <x:f>""</x:f>
        <x:v/>
      </x:c>
      <x:c r="AD1432" t="str">
        <x:f>""</x:f>
        <x:v/>
      </x:c>
      <x:c r="AE1432" t="str">
        <x:f>""</x:f>
        <x:v/>
      </x:c>
      <x:c r="AF1432" t="str">
        <x:f>""</x:f>
        <x:v/>
      </x:c>
      <x:c r="AG1432" t="str">
        <x:f>""</x:f>
        <x:v/>
      </x:c>
    </x:row>
    <x:row r="1433" spans="2:33" x14ac:dyDescent="0.25">
      <x:c r="B1433" t="str">
        <x:f>"SCHH US Equity"</x:f>
        <x:v>SCHH US Equity</x:v>
      </x:c>
      <x:c r="C1433" t="str">
        <x:f t="shared" si="62"/>
        <x:v>FD447</x:v>
      </x:c>
      <x:c r="D1433" t="str">
        <x:f t="shared" si="63"/>
        <x:v>FUND_FLOW</x:v>
      </x:c>
      <x:c r="E1433" t="str">
        <x:f t="shared" si="64"/>
        <x:v>Dynamic</x:v>
      </x:c>
      <x:c r="F1433">
        <x:f ca="1">_xll.BDH($B$1433,$C$1433,$B$1010,$B$1011,CONCATENATE("Per=",$B$1008),"Dts=H","Dir=H",CONCATENATE("Points=",$B$1009),"Sort=R","Days=A","Fill=B",CONCATENATE("FX=", $B$1007),"cols=14;rows=1")</x:f>
        <x:v>188.24639999999999</x:v>
      </x:c>
      <x:c r="G1433">
        <x:v>68.134900000000002</x:v>
      </x:c>
      <x:c r="H1433">
        <x:v>6.4908999999999999</x:v>
      </x:c>
      <x:c r="I1433">
        <x:v>38.386200000000002</x:v>
      </x:c>
      <x:c r="J1433">
        <x:v>64.240499999999997</x:v>
      </x:c>
      <x:c r="K1433">
        <x:v>14.700900000000001</x:v>
      </x:c>
      <x:c r="L1433">
        <x:v>11.5694</x:v>
      </x:c>
      <x:c r="M1433">
        <x:v>116.4087</x:v>
      </x:c>
      <x:c r="N1433">
        <x:v>0.15909999999999999</x:v>
      </x:c>
      <x:c r="O1433">
        <x:v>-7.9348000000000001</x:v>
      </x:c>
      <x:c r="P1433">
        <x:v>30.461500000000001</x:v>
      </x:c>
      <x:c r="Q1433">
        <x:v>101.08159999999999</x:v>
      </x:c>
      <x:c r="R1433">
        <x:v>83.968000000000004</x:v>
      </x:c>
      <x:c r="S1433">
        <x:v>60.7483</x:v>
      </x:c>
      <x:c r="T1433" t="str">
        <x:f>""</x:f>
        <x:v/>
      </x:c>
      <x:c r="U1433" t="str">
        <x:f>""</x:f>
        <x:v/>
      </x:c>
      <x:c r="V1433" t="str">
        <x:f>""</x:f>
        <x:v/>
      </x:c>
      <x:c r="W1433" t="str">
        <x:f>""</x:f>
        <x:v/>
      </x:c>
      <x:c r="X1433" t="str">
        <x:f>""</x:f>
        <x:v/>
      </x:c>
      <x:c r="Y1433" t="str">
        <x:f>""</x:f>
        <x:v/>
      </x:c>
      <x:c r="Z1433" t="str">
        <x:f>""</x:f>
        <x:v/>
      </x:c>
      <x:c r="AA1433" t="str">
        <x:f>""</x:f>
        <x:v/>
      </x:c>
      <x:c r="AB1433" t="str">
        <x:f>""</x:f>
        <x:v/>
      </x:c>
      <x:c r="AC1433" t="str">
        <x:f>""</x:f>
        <x:v/>
      </x:c>
      <x:c r="AD1433" t="str">
        <x:f>""</x:f>
        <x:v/>
      </x:c>
      <x:c r="AE1433" t="str">
        <x:f>""</x:f>
        <x:v/>
      </x:c>
      <x:c r="AF1433" t="str">
        <x:f>""</x:f>
        <x:v/>
      </x:c>
      <x:c r="AG1433" t="str">
        <x:f>""</x:f>
        <x:v/>
      </x:c>
    </x:row>
    <x:row r="1434" spans="2:33" x14ac:dyDescent="0.25">
      <x:c r="B1434" t="str">
        <x:f>"ICF US Equity"</x:f>
        <x:v>ICF US Equity</x:v>
      </x:c>
      <x:c r="C1434" t="str">
        <x:f t="shared" si="62"/>
        <x:v>FD447</x:v>
      </x:c>
      <x:c r="D1434" t="str">
        <x:f t="shared" si="63"/>
        <x:v>FUND_FLOW</x:v>
      </x:c>
      <x:c r="E1434" t="str">
        <x:f t="shared" si="64"/>
        <x:v>Dynamic</x:v>
      </x:c>
      <x:c r="F1434">
        <x:f ca="1">_xll.BDH($B$1434,$C$1434,$B$1010,$B$1011,CONCATENATE("Per=",$B$1008),"Dts=H","Dir=H",CONCATENATE("Points=",$B$1009),"Sort=R","Days=A","Fill=B",CONCATENATE("FX=", $B$1007),"cols=14;rows=1")</x:f>
        <x:v>-141.9973</x:v>
      </x:c>
      <x:c r="G1434">
        <x:v>-7.9553000000000003</x:v>
      </x:c>
      <x:c r="H1434">
        <x:v>-11.035399999999999</x:v>
      </x:c>
      <x:c r="I1434">
        <x:v>-16.898099999999999</x:v>
      </x:c>
      <x:c r="J1434">
        <x:v>-13.7538</x:v>
      </x:c>
      <x:c r="K1434">
        <x:v>-18.707799999999999</x:v>
      </x:c>
      <x:c r="L1434">
        <x:v>-11.075699999999999</x:v>
      </x:c>
      <x:c r="M1434">
        <x:v>-5.6082999999999998</x:v>
      </x:c>
      <x:c r="N1434">
        <x:v>-11.487</x:v>
      </x:c>
      <x:c r="O1434">
        <x:v>33.561700000000002</x:v>
      </x:c>
      <x:c r="P1434">
        <x:v>41.768599999999999</x:v>
      </x:c>
      <x:c r="Q1434">
        <x:v>3.0044</x:v>
      </x:c>
      <x:c r="R1434">
        <x:v>-63.127099999999999</x:v>
      </x:c>
      <x:c r="S1434">
        <x:v>-31.901499999999999</x:v>
      </x:c>
      <x:c r="T1434" t="str">
        <x:f>""</x:f>
        <x:v/>
      </x:c>
      <x:c r="U1434" t="str">
        <x:f>""</x:f>
        <x:v/>
      </x:c>
      <x:c r="V1434" t="str">
        <x:f>""</x:f>
        <x:v/>
      </x:c>
      <x:c r="W1434" t="str">
        <x:f>""</x:f>
        <x:v/>
      </x:c>
      <x:c r="X1434" t="str">
        <x:f>""</x:f>
        <x:v/>
      </x:c>
      <x:c r="Y1434" t="str">
        <x:f>""</x:f>
        <x:v/>
      </x:c>
      <x:c r="Z1434" t="str">
        <x:f>""</x:f>
        <x:v/>
      </x:c>
      <x:c r="AA1434" t="str">
        <x:f>""</x:f>
        <x:v/>
      </x:c>
      <x:c r="AB1434" t="str">
        <x:f>""</x:f>
        <x:v/>
      </x:c>
      <x:c r="AC1434" t="str">
        <x:f>""</x:f>
        <x:v/>
      </x:c>
      <x:c r="AD1434" t="str">
        <x:f>""</x:f>
        <x:v/>
      </x:c>
      <x:c r="AE1434" t="str">
        <x:f>""</x:f>
        <x:v/>
      </x:c>
      <x:c r="AF1434" t="str">
        <x:f>""</x:f>
        <x:v/>
      </x:c>
      <x:c r="AG1434" t="str">
        <x:f>""</x:f>
        <x:v/>
      </x:c>
    </x:row>
    <x:row r="1435" spans="2:33" x14ac:dyDescent="0.25">
      <x:c r="B1435" t="str">
        <x:f>"RWR US Equity"</x:f>
        <x:v>RWR US Equity</x:v>
      </x:c>
      <x:c r="C1435" t="str">
        <x:f t="shared" si="62"/>
        <x:v>FD447</x:v>
      </x:c>
      <x:c r="D1435" t="str">
        <x:f t="shared" si="63"/>
        <x:v>FUND_FLOW</x:v>
      </x:c>
      <x:c r="E1435" t="str">
        <x:f t="shared" si="64"/>
        <x:v>Dynamic</x:v>
      </x:c>
      <x:c r="F1435">
        <x:f ca="1">_xll.BDH($B$1435,$C$1435,$B$1010,$B$1011,CONCATENATE("Per=",$B$1008),"Dts=H","Dir=H",CONCATENATE("Points=",$B$1009),"Sort=R","Days=A","Fill=B",CONCATENATE("FX=", $B$1007),"cols=14;rows=1")</x:f>
        <x:v>7.8418999999999999</x:v>
      </x:c>
      <x:c r="G1435">
        <x:v>4.4562999999999997</x:v>
      </x:c>
      <x:c r="H1435">
        <x:v>11.6424</x:v>
      </x:c>
      <x:c r="I1435">
        <x:v>1.2978000000000001</x:v>
      </x:c>
      <x:c r="J1435">
        <x:v>18.482299999999999</x:v>
      </x:c>
      <x:c r="K1435">
        <x:v>-98.6995</x:v>
      </x:c>
      <x:c r="L1435">
        <x:v>-52.950699999999998</x:v>
      </x:c>
      <x:c r="M1435">
        <x:v>-59.197600000000001</x:v>
      </x:c>
      <x:c r="N1435">
        <x:v>6.2012</x:v>
      </x:c>
      <x:c r="O1435">
        <x:v>-26.031600000000001</x:v>
      </x:c>
      <x:c r="P1435">
        <x:v>-6.2683</x:v>
      </x:c>
      <x:c r="Q1435">
        <x:v>-6.2527999999999997</x:v>
      </x:c>
      <x:c r="R1435">
        <x:v>5.1635999999999997</x:v>
      </x:c>
      <x:c r="S1435">
        <x:v>-40.185000000000002</x:v>
      </x:c>
      <x:c r="T1435" t="str">
        <x:f>""</x:f>
        <x:v/>
      </x:c>
      <x:c r="U1435" t="str">
        <x:f>""</x:f>
        <x:v/>
      </x:c>
      <x:c r="V1435" t="str">
        <x:f>""</x:f>
        <x:v/>
      </x:c>
      <x:c r="W1435" t="str">
        <x:f>""</x:f>
        <x:v/>
      </x:c>
      <x:c r="X1435" t="str">
        <x:f>""</x:f>
        <x:v/>
      </x:c>
      <x:c r="Y1435" t="str">
        <x:f>""</x:f>
        <x:v/>
      </x:c>
      <x:c r="Z1435" t="str">
        <x:f>""</x:f>
        <x:v/>
      </x:c>
      <x:c r="AA1435" t="str">
        <x:f>""</x:f>
        <x:v/>
      </x:c>
      <x:c r="AB1435" t="str">
        <x:f>""</x:f>
        <x:v/>
      </x:c>
      <x:c r="AC1435" t="str">
        <x:f>""</x:f>
        <x:v/>
      </x:c>
      <x:c r="AD1435" t="str">
        <x:f>""</x:f>
        <x:v/>
      </x:c>
      <x:c r="AE1435" t="str">
        <x:f>""</x:f>
        <x:v/>
      </x:c>
      <x:c r="AF1435" t="str">
        <x:f>""</x:f>
        <x:v/>
      </x:c>
      <x:c r="AG1435" t="str">
        <x:f>""</x:f>
        <x:v/>
      </x:c>
    </x:row>
    <x:row r="1436" spans="2:33" x14ac:dyDescent="0.25">
      <x:c r="B1436" t="str">
        <x:f>"RWO US Equity"</x:f>
        <x:v>RWO US Equity</x:v>
      </x:c>
      <x:c r="C1436" t="str">
        <x:f t="shared" si="62"/>
        <x:v>FD447</x:v>
      </x:c>
      <x:c r="D1436" t="str">
        <x:f t="shared" si="63"/>
        <x:v>FUND_FLOW</x:v>
      </x:c>
      <x:c r="E1436" t="str">
        <x:f t="shared" si="64"/>
        <x:v>Dynamic</x:v>
      </x:c>
      <x:c r="F1436">
        <x:f ca="1">_xll.BDH($B$1436,$C$1436,$B$1010,$B$1011,CONCATENATE("Per=",$B$1008),"Dts=H","Dir=H",CONCATENATE("Points=",$B$1009),"Sort=R","Days=A","Fill=B",CONCATENATE("FX=", $B$1007),"cols=14;rows=1")</x:f>
        <x:v>3.7124000000000001</x:v>
      </x:c>
      <x:c r="G1436">
        <x:v>-9.6381999999999994</x:v>
      </x:c>
      <x:c r="H1436">
        <x:v>-14.518000000000001</x:v>
      </x:c>
      <x:c r="I1436">
        <x:v>-10.8833</x:v>
      </x:c>
      <x:c r="J1436">
        <x:v>-12.228199999999999</x:v>
      </x:c>
      <x:c r="K1436">
        <x:v>-22.866199999999999</x:v>
      </x:c>
      <x:c r="L1436">
        <x:v>14.3903</x:v>
      </x:c>
      <x:c r="M1436">
        <x:v>2.0217000000000001</x:v>
      </x:c>
      <x:c r="N1436">
        <x:v>20.0245</x:v>
      </x:c>
      <x:c r="O1436">
        <x:v>22.742899999999999</x:v>
      </x:c>
      <x:c r="P1436">
        <x:v>19.0504</x:v>
      </x:c>
      <x:c r="Q1436">
        <x:v>16.154499999999999</x:v>
      </x:c>
      <x:c r="R1436">
        <x:v>34.600099999999998</x:v>
      </x:c>
      <x:c r="S1436">
        <x:v>-6.8174999999999999</x:v>
      </x:c>
      <x:c r="T1436" t="str">
        <x:f>""</x:f>
        <x:v/>
      </x:c>
      <x:c r="U1436" t="str">
        <x:f>""</x:f>
        <x:v/>
      </x:c>
      <x:c r="V1436" t="str">
        <x:f>""</x:f>
        <x:v/>
      </x:c>
      <x:c r="W1436" t="str">
        <x:f>""</x:f>
        <x:v/>
      </x:c>
      <x:c r="X1436" t="str">
        <x:f>""</x:f>
        <x:v/>
      </x:c>
      <x:c r="Y1436" t="str">
        <x:f>""</x:f>
        <x:v/>
      </x:c>
      <x:c r="Z1436" t="str">
        <x:f>""</x:f>
        <x:v/>
      </x:c>
      <x:c r="AA1436" t="str">
        <x:f>""</x:f>
        <x:v/>
      </x:c>
      <x:c r="AB1436" t="str">
        <x:f>""</x:f>
        <x:v/>
      </x:c>
      <x:c r="AC1436" t="str">
        <x:f>""</x:f>
        <x:v/>
      </x:c>
      <x:c r="AD1436" t="str">
        <x:f>""</x:f>
        <x:v/>
      </x:c>
      <x:c r="AE1436" t="str">
        <x:f>""</x:f>
        <x:v/>
      </x:c>
      <x:c r="AF1436" t="str">
        <x:f>""</x:f>
        <x:v/>
      </x:c>
      <x:c r="AG1436" t="str">
        <x:f>""</x:f>
        <x:v/>
      </x:c>
    </x:row>
    <x:row r="1437" spans="2:33" x14ac:dyDescent="0.25">
      <x:c r="B1437" t="str">
        <x:f>"XLRE US Equity"</x:f>
        <x:v>XLRE US Equity</x:v>
      </x:c>
      <x:c r="C1437" t="str">
        <x:f t="shared" si="62"/>
        <x:v>FD447</x:v>
      </x:c>
      <x:c r="D1437" t="str">
        <x:f t="shared" si="63"/>
        <x:v>FUND_FLOW</x:v>
      </x:c>
      <x:c r="E1437" t="str">
        <x:f t="shared" si="64"/>
        <x:v>Dynamic</x:v>
      </x:c>
      <x:c r="F1437">
        <x:f ca="1">_xll.BDH($B$1437,$C$1437,$B$1010,$B$1011,CONCATENATE("Per=",$B$1008),"Dts=H","Dir=H",CONCATENATE("Points=",$B$1009),"Sort=R","Days=A","Fill=B",CONCATENATE("FX=", $B$1007),"cols=14;rows=1")</x:f>
        <x:v>148.94130000000001</x:v>
      </x:c>
      <x:c r="G1437">
        <x:v>-48.212499999999999</x:v>
      </x:c>
      <x:c r="H1437">
        <x:v>-104.7616</x:v>
      </x:c>
      <x:c r="I1437">
        <x:v>36.215699999999998</x:v>
      </x:c>
      <x:c r="J1437">
        <x:v>187.64099999999999</x:v>
      </x:c>
      <x:c r="K1437">
        <x:v>-73.196299999999994</x:v>
      </x:c>
      <x:c r="L1437">
        <x:v>-152.04079999999999</x:v>
      </x:c>
      <x:c r="M1437">
        <x:v>-100.6116</x:v>
      </x:c>
      <x:c r="N1437">
        <x:v>-152.2226</x:v>
      </x:c>
      <x:c r="O1437">
        <x:v>-82.429100000000005</x:v>
      </x:c>
      <x:c r="P1437">
        <x:v>150.54830000000001</x:v>
      </x:c>
      <x:c r="Q1437">
        <x:v>8.0745000000000005</x:v>
      </x:c>
      <x:c r="R1437">
        <x:v>24.9802</x:v>
      </x:c>
      <x:c r="S1437">
        <x:v>177.62440000000001</x:v>
      </x:c>
      <x:c r="T1437" t="str">
        <x:f>""</x:f>
        <x:v/>
      </x:c>
      <x:c r="U1437" t="str">
        <x:f>""</x:f>
        <x:v/>
      </x:c>
      <x:c r="V1437" t="str">
        <x:f>""</x:f>
        <x:v/>
      </x:c>
      <x:c r="W1437" t="str">
        <x:f>""</x:f>
        <x:v/>
      </x:c>
      <x:c r="X1437" t="str">
        <x:f>""</x:f>
        <x:v/>
      </x:c>
      <x:c r="Y1437" t="str">
        <x:f>""</x:f>
        <x:v/>
      </x:c>
      <x:c r="Z1437" t="str">
        <x:f>""</x:f>
        <x:v/>
      </x:c>
      <x:c r="AA1437" t="str">
        <x:f>""</x:f>
        <x:v/>
      </x:c>
      <x:c r="AB1437" t="str">
        <x:f>""</x:f>
        <x:v/>
      </x:c>
      <x:c r="AC1437" t="str">
        <x:f>""</x:f>
        <x:v/>
      </x:c>
      <x:c r="AD1437" t="str">
        <x:f>""</x:f>
        <x:v/>
      </x:c>
      <x:c r="AE1437" t="str">
        <x:f>""</x:f>
        <x:v/>
      </x:c>
      <x:c r="AF1437" t="str">
        <x:f>""</x:f>
        <x:v/>
      </x:c>
      <x:c r="AG1437" t="str">
        <x:f>""</x:f>
        <x:v/>
      </x:c>
    </x:row>
    <x:row r="1438" spans="2:33" x14ac:dyDescent="0.25">
      <x:c r="B1438" t="str">
        <x:f>"RAAX US Equity"</x:f>
        <x:v>RAAX US Equity</x:v>
      </x:c>
      <x:c r="C1438" t="str">
        <x:f t="shared" si="62"/>
        <x:v>FD447</x:v>
      </x:c>
      <x:c r="D1438" t="str">
        <x:f t="shared" si="63"/>
        <x:v>FUND_FLOW</x:v>
      </x:c>
      <x:c r="E1438" t="str">
        <x:f t="shared" si="64"/>
        <x:v>Dynamic</x:v>
      </x:c>
      <x:c r="F1438">
        <x:f ca="1">_xll.BDH($B$1438,$C$1438,$B$1010,$B$1011,CONCATENATE("Per=",$B$1008),"Dts=H","Dir=H",CONCATENATE("Points=",$B$1009),"Sort=R","Days=A","Fill=B",CONCATENATE("FX=", $B$1007),"cols=14;rows=1")</x:f>
        <x:v>1.9087000000000001</x:v>
      </x:c>
      <x:c r="G1438">
        <x:v>1.9434</x:v>
      </x:c>
      <x:c r="H1438">
        <x:v>-2.5954000000000002</x:v>
      </x:c>
      <x:c r="I1438">
        <x:v>-6.9935</x:v>
      </x:c>
      <x:c r="J1438">
        <x:v>-8.0744000000000007</x:v>
      </x:c>
      <x:c r="K1438">
        <x:v>-16.2316</x:v>
      </x:c>
      <x:c r="L1438">
        <x:v>0.65790000000000004</x:v>
      </x:c>
      <x:c r="M1438">
        <x:v>-8.0432000000000006</x:v>
      </x:c>
      <x:c r="N1438">
        <x:v>-2.5436999999999999</x:v>
      </x:c>
      <x:c r="O1438">
        <x:v>-7.8350999999999997</x:v>
      </x:c>
      <x:c r="P1438">
        <x:v>-1.8797999999999999</x:v>
      </x:c>
      <x:c r="Q1438">
        <x:v>1.9256</x:v>
      </x:c>
      <x:c r="R1438">
        <x:v>-4.7398999999999996</x:v>
      </x:c>
      <x:c r="S1438">
        <x:v>-7.6932999999999998</x:v>
      </x:c>
      <x:c r="T1438" t="str">
        <x:f>""</x:f>
        <x:v/>
      </x:c>
      <x:c r="U1438" t="str">
        <x:f>""</x:f>
        <x:v/>
      </x:c>
      <x:c r="V1438" t="str">
        <x:f>""</x:f>
        <x:v/>
      </x:c>
      <x:c r="W1438" t="str">
        <x:f>""</x:f>
        <x:v/>
      </x:c>
      <x:c r="X1438" t="str">
        <x:f>""</x:f>
        <x:v/>
      </x:c>
      <x:c r="Y1438" t="str">
        <x:f>""</x:f>
        <x:v/>
      </x:c>
      <x:c r="Z1438" t="str">
        <x:f>""</x:f>
        <x:v/>
      </x:c>
      <x:c r="AA1438" t="str">
        <x:f>""</x:f>
        <x:v/>
      </x:c>
      <x:c r="AB1438" t="str">
        <x:f>""</x:f>
        <x:v/>
      </x:c>
      <x:c r="AC1438" t="str">
        <x:f>""</x:f>
        <x:v/>
      </x:c>
      <x:c r="AD1438" t="str">
        <x:f>""</x:f>
        <x:v/>
      </x:c>
      <x:c r="AE1438" t="str">
        <x:f>""</x:f>
        <x:v/>
      </x:c>
      <x:c r="AF1438" t="str">
        <x:f>""</x:f>
        <x:v/>
      </x:c>
      <x:c r="AG1438" t="str">
        <x:f>""</x:f>
        <x:v/>
      </x:c>
    </x:row>
    <x:row r="1439" spans="2:33" x14ac:dyDescent="0.25">
      <x:c r="B1439" t="str">
        <x:f>"REM US Equity"</x:f>
        <x:v>REM US Equity</x:v>
      </x:c>
      <x:c r="C1439" t="str">
        <x:f t="shared" si="62"/>
        <x:v>FD447</x:v>
      </x:c>
      <x:c r="D1439" t="str">
        <x:f t="shared" si="63"/>
        <x:v>FUND_FLOW</x:v>
      </x:c>
      <x:c r="E1439" t="str">
        <x:f t="shared" si="64"/>
        <x:v>Dynamic</x:v>
      </x:c>
      <x:c r="F1439">
        <x:f ca="1">_xll.BDH($B$1439,$C$1439,$B$1010,$B$1011,CONCATENATE("Per=",$B$1008),"Dts=H","Dir=H",CONCATENATE("Points=",$B$1009),"Sort=R","Days=A","Fill=B",CONCATENATE("FX=", $B$1007),"cols=14;rows=1")</x:f>
        <x:v>-24.367799999999999</x:v>
      </x:c>
      <x:c r="G1439">
        <x:v>4.4622999999999999</x:v>
      </x:c>
      <x:c r="H1439">
        <x:v>-28.993600000000001</x:v>
      </x:c>
      <x:c r="I1439">
        <x:v>31.656700000000001</x:v>
      </x:c>
      <x:c r="J1439">
        <x:v>14.6408</x:v>
      </x:c>
      <x:c r="K1439">
        <x:v>-3.1573000000000002</x:v>
      </x:c>
      <x:c r="L1439">
        <x:v>-20.6113</x:v>
      </x:c>
      <x:c r="M1439">
        <x:v>-21.321400000000001</x:v>
      </x:c>
      <x:c r="N1439">
        <x:v>25.906500000000001</x:v>
      </x:c>
      <x:c r="O1439">
        <x:v>-6.4259000000000004</x:v>
      </x:c>
      <x:c r="P1439">
        <x:v>3.7648999999999999</x:v>
      </x:c>
      <x:c r="Q1439">
        <x:v>15.305400000000001</x:v>
      </x:c>
      <x:c r="R1439">
        <x:v>6.9718</x:v>
      </x:c>
      <x:c r="S1439">
        <x:v>-41.676699999999997</x:v>
      </x:c>
      <x:c r="T1439" t="str">
        <x:f>""</x:f>
        <x:v/>
      </x:c>
      <x:c r="U1439" t="str">
        <x:f>""</x:f>
        <x:v/>
      </x:c>
      <x:c r="V1439" t="str">
        <x:f>""</x:f>
        <x:v/>
      </x:c>
      <x:c r="W1439" t="str">
        <x:f>""</x:f>
        <x:v/>
      </x:c>
      <x:c r="X1439" t="str">
        <x:f>""</x:f>
        <x:v/>
      </x:c>
      <x:c r="Y1439" t="str">
        <x:f>""</x:f>
        <x:v/>
      </x:c>
      <x:c r="Z1439" t="str">
        <x:f>""</x:f>
        <x:v/>
      </x:c>
      <x:c r="AA1439" t="str">
        <x:f>""</x:f>
        <x:v/>
      </x:c>
      <x:c r="AB1439" t="str">
        <x:f>""</x:f>
        <x:v/>
      </x:c>
      <x:c r="AC1439" t="str">
        <x:f>""</x:f>
        <x:v/>
      </x:c>
      <x:c r="AD1439" t="str">
        <x:f>""</x:f>
        <x:v/>
      </x:c>
      <x:c r="AE1439" t="str">
        <x:f>""</x:f>
        <x:v/>
      </x:c>
      <x:c r="AF1439" t="str">
        <x:f>""</x:f>
        <x:v/>
      </x:c>
      <x:c r="AG1439" t="str">
        <x:f>""</x:f>
        <x:v/>
      </x:c>
    </x:row>
    <x:row r="1440" spans="2:33" x14ac:dyDescent="0.25">
      <x:c r="B1440" t="str">
        <x:f>"IFGL US Equity"</x:f>
        <x:v>IFGL US Equity</x:v>
      </x:c>
      <x:c r="C1440" t="str">
        <x:f t="shared" si="62"/>
        <x:v>FD447</x:v>
      </x:c>
      <x:c r="D1440" t="str">
        <x:f t="shared" si="63"/>
        <x:v>FUND_FLOW</x:v>
      </x:c>
      <x:c r="E1440" t="str">
        <x:f t="shared" si="64"/>
        <x:v>Dynamic</x:v>
      </x:c>
      <x:c r="F1440">
        <x:f ca="1">_xll.BDH($B$1440,$C$1440,$B$1010,$B$1011,CONCATENATE("Per=",$B$1008),"Dts=H","Dir=H",CONCATENATE("Points=",$B$1009),"Sort=R","Days=A","Fill=B",CONCATENATE("FX=", $B$1007),"cols=14;rows=1")</x:f>
        <x:v>0</x:v>
      </x:c>
      <x:c r="G1440">
        <x:v>-5.9916999999999998</x:v>
      </x:c>
      <x:c r="H1440">
        <x:v>-2.0062000000000002</x:v>
      </x:c>
      <x:c r="I1440">
        <x:v>0</x:v>
      </x:c>
      <x:c r="J1440">
        <x:v>-1.9795</x:v>
      </x:c>
      <x:c r="K1440">
        <x:v>-6.2946</x:v>
      </x:c>
      <x:c r="L1440">
        <x:v>0</x:v>
      </x:c>
      <x:c r="M1440">
        <x:v>0</x:v>
      </x:c>
      <x:c r="N1440">
        <x:v>0</x:v>
      </x:c>
      <x:c r="O1440">
        <x:v>0</x:v>
      </x:c>
      <x:c r="P1440">
        <x:v>-25.170200000000001</x:v>
      </x:c>
      <x:c r="Q1440">
        <x:v>0</x:v>
      </x:c>
      <x:c r="R1440">
        <x:v>-1.9366000000000001</x:v>
      </x:c>
      <x:c r="S1440">
        <x:v>-2.1575000000000002</x:v>
      </x:c>
      <x:c r="T1440" t="str">
        <x:f>""</x:f>
        <x:v/>
      </x:c>
      <x:c r="U1440" t="str">
        <x:f>""</x:f>
        <x:v/>
      </x:c>
      <x:c r="V1440" t="str">
        <x:f>""</x:f>
        <x:v/>
      </x:c>
      <x:c r="W1440" t="str">
        <x:f>""</x:f>
        <x:v/>
      </x:c>
      <x:c r="X1440" t="str">
        <x:f>""</x:f>
        <x:v/>
      </x:c>
      <x:c r="Y1440" t="str">
        <x:f>""</x:f>
        <x:v/>
      </x:c>
      <x:c r="Z1440" t="str">
        <x:f>""</x:f>
        <x:v/>
      </x:c>
      <x:c r="AA1440" t="str">
        <x:f>""</x:f>
        <x:v/>
      </x:c>
      <x:c r="AB1440" t="str">
        <x:f>""</x:f>
        <x:v/>
      </x:c>
      <x:c r="AC1440" t="str">
        <x:f>""</x:f>
        <x:v/>
      </x:c>
      <x:c r="AD1440" t="str">
        <x:f>""</x:f>
        <x:v/>
      </x:c>
      <x:c r="AE1440" t="str">
        <x:f>""</x:f>
        <x:v/>
      </x:c>
      <x:c r="AF1440" t="str">
        <x:f>""</x:f>
        <x:v/>
      </x:c>
      <x:c r="AG1440" t="str">
        <x:f>""</x:f>
        <x:v/>
      </x:c>
    </x:row>
    <x:row r="1441" spans="2:33" x14ac:dyDescent="0.25">
      <x:c r="B1441" t="str">
        <x:f>"REZ US Equity"</x:f>
        <x:v>REZ US Equity</x:v>
      </x:c>
      <x:c r="C1441" t="str">
        <x:f t="shared" si="62"/>
        <x:v>FD447</x:v>
      </x:c>
      <x:c r="D1441" t="str">
        <x:f t="shared" si="63"/>
        <x:v>FUND_FLOW</x:v>
      </x:c>
      <x:c r="E1441" t="str">
        <x:f t="shared" si="64"/>
        <x:v>Dynamic</x:v>
      </x:c>
      <x:c r="F1441">
        <x:f ca="1">_xll.BDH($B$1441,$C$1441,$B$1010,$B$1011,CONCATENATE("Per=",$B$1008),"Dts=H","Dir=H",CONCATENATE("Points=",$B$1009),"Sort=R","Days=A","Fill=B",CONCATENATE("FX=", $B$1007),"cols=14;rows=1")</x:f>
        <x:v>-3.7501000000000002</x:v>
      </x:c>
      <x:c r="G1441">
        <x:v>6.6734</x:v>
      </x:c>
      <x:c r="H1441">
        <x:v>-14.095800000000001</x:v>
      </x:c>
      <x:c r="I1441">
        <x:v>-3.6897000000000002</x:v>
      </x:c>
      <x:c r="J1441">
        <x:v>7.226</x:v>
      </x:c>
      <x:c r="K1441">
        <x:v>-3.5236000000000001</x:v>
      </x:c>
      <x:c r="L1441">
        <x:v>1.6799999999999999E-2</x:v>
      </x:c>
      <x:c r="M1441">
        <x:v>-17.263500000000001</x:v>
      </x:c>
      <x:c r="N1441">
        <x:v>-14.8908</x:v>
      </x:c>
      <x:c r="O1441">
        <x:v>-3.4034</x:v>
      </x:c>
      <x:c r="P1441">
        <x:v>-17.0716</x:v>
      </x:c>
      <x:c r="Q1441">
        <x:v>0.3679</x:v>
      </x:c>
      <x:c r="R1441">
        <x:v>-6.5903</x:v>
      </x:c>
      <x:c r="S1441">
        <x:v>-110.87520000000001</x:v>
      </x:c>
      <x:c r="T1441" t="str">
        <x:f>""</x:f>
        <x:v/>
      </x:c>
      <x:c r="U1441" t="str">
        <x:f>""</x:f>
        <x:v/>
      </x:c>
      <x:c r="V1441" t="str">
        <x:f>""</x:f>
        <x:v/>
      </x:c>
      <x:c r="W1441" t="str">
        <x:f>""</x:f>
        <x:v/>
      </x:c>
      <x:c r="X1441" t="str">
        <x:f>""</x:f>
        <x:v/>
      </x:c>
      <x:c r="Y1441" t="str">
        <x:f>""</x:f>
        <x:v/>
      </x:c>
      <x:c r="Z1441" t="str">
        <x:f>""</x:f>
        <x:v/>
      </x:c>
      <x:c r="AA1441" t="str">
        <x:f>""</x:f>
        <x:v/>
      </x:c>
      <x:c r="AB1441" t="str">
        <x:f>""</x:f>
        <x:v/>
      </x:c>
      <x:c r="AC1441" t="str">
        <x:f>""</x:f>
        <x:v/>
      </x:c>
      <x:c r="AD1441" t="str">
        <x:f>""</x:f>
        <x:v/>
      </x:c>
      <x:c r="AE1441" t="str">
        <x:f>""</x:f>
        <x:v/>
      </x:c>
      <x:c r="AF1441" t="str">
        <x:f>""</x:f>
        <x:v/>
      </x:c>
      <x:c r="AG1441" t="str">
        <x:f>""</x:f>
        <x:v/>
      </x:c>
    </x:row>
    <x:row r="1442" spans="2:33" x14ac:dyDescent="0.25">
      <x:c r="B1442" t="str">
        <x:f>"REET US Equity"</x:f>
        <x:v>REET US Equity</x:v>
      </x:c>
      <x:c r="C1442" t="str">
        <x:f t="shared" si="62"/>
        <x:v>FD447</x:v>
      </x:c>
      <x:c r="D1442" t="str">
        <x:f t="shared" si="63"/>
        <x:v>FUND_FLOW</x:v>
      </x:c>
      <x:c r="E1442" t="str">
        <x:f t="shared" si="64"/>
        <x:v>Dynamic</x:v>
      </x:c>
      <x:c r="F1442">
        <x:f ca="1">_xll.BDH($B$1442,$C$1442,$B$1010,$B$1011,CONCATENATE("Per=",$B$1008),"Dts=H","Dir=H",CONCATENATE("Points=",$B$1009),"Sort=R","Days=A","Fill=B",CONCATENATE("FX=", $B$1007),"cols=14;rows=1")</x:f>
        <x:v>68.820700000000002</x:v>
      </x:c>
      <x:c r="G1442">
        <x:v>29.6035</x:v>
      </x:c>
      <x:c r="H1442">
        <x:v>1.5164</x:v>
      </x:c>
      <x:c r="I1442">
        <x:v>49.766399999999997</x:v>
      </x:c>
      <x:c r="J1442">
        <x:v>44.5685</x:v>
      </x:c>
      <x:c r="K1442">
        <x:v>99.504099999999994</x:v>
      </x:c>
      <x:c r="L1442">
        <x:v>-19.4709</x:v>
      </x:c>
      <x:c r="M1442">
        <x:v>5.1996000000000002</x:v>
      </x:c>
      <x:c r="N1442">
        <x:v>-8.2965999999999998</x:v>
      </x:c>
      <x:c r="O1442">
        <x:v>4.8239000000000001</x:v>
      </x:c>
      <x:c r="P1442">
        <x:v>43.871899999999997</x:v>
      </x:c>
      <x:c r="Q1442">
        <x:v>113.18640000000001</x:v>
      </x:c>
      <x:c r="R1442">
        <x:v>77.205500000000001</x:v>
      </x:c>
      <x:c r="S1442">
        <x:v>-3.2126999999999999</x:v>
      </x:c>
      <x:c r="T1442" t="str">
        <x:f>""</x:f>
        <x:v/>
      </x:c>
      <x:c r="U1442" t="str">
        <x:f>""</x:f>
        <x:v/>
      </x:c>
      <x:c r="V1442" t="str">
        <x:f>""</x:f>
        <x:v/>
      </x:c>
      <x:c r="W1442" t="str">
        <x:f>""</x:f>
        <x:v/>
      </x:c>
      <x:c r="X1442" t="str">
        <x:f>""</x:f>
        <x:v/>
      </x:c>
      <x:c r="Y1442" t="str">
        <x:f>""</x:f>
        <x:v/>
      </x:c>
      <x:c r="Z1442" t="str">
        <x:f>""</x:f>
        <x:v/>
      </x:c>
      <x:c r="AA1442" t="str">
        <x:f>""</x:f>
        <x:v/>
      </x:c>
      <x:c r="AB1442" t="str">
        <x:f>""</x:f>
        <x:v/>
      </x:c>
      <x:c r="AC1442" t="str">
        <x:f>""</x:f>
        <x:v/>
      </x:c>
      <x:c r="AD1442" t="str">
        <x:f>""</x:f>
        <x:v/>
      </x:c>
      <x:c r="AE1442" t="str">
        <x:f>""</x:f>
        <x:v/>
      </x:c>
      <x:c r="AF1442" t="str">
        <x:f>""</x:f>
        <x:v/>
      </x:c>
      <x:c r="AG1442" t="str">
        <x:f>""</x:f>
        <x:v/>
      </x:c>
    </x:row>
    <x:row r="1443" spans="2:33" x14ac:dyDescent="0.25">
      <x:c r="B1443" t="str">
        <x:f>"KBWY US Equity"</x:f>
        <x:v>KBWY US Equity</x:v>
      </x:c>
      <x:c r="C1443" t="str">
        <x:f t="shared" si="62"/>
        <x:v>FD447</x:v>
      </x:c>
      <x:c r="D1443" t="str">
        <x:f t="shared" si="63"/>
        <x:v>FUND_FLOW</x:v>
      </x:c>
      <x:c r="E1443" t="str">
        <x:f t="shared" si="64"/>
        <x:v>Dynamic</x:v>
      </x:c>
      <x:c r="F1443">
        <x:f ca="1">_xll.BDH($B$1443,$C$1443,$B$1010,$B$1011,CONCATENATE("Per=",$B$1008),"Dts=H","Dir=H",CONCATENATE("Points=",$B$1009),"Sort=R","Days=A","Fill=B",CONCATENATE("FX=", $B$1007),"cols=14;rows=1")</x:f>
        <x:v>-9.4199000000000002</x:v>
      </x:c>
      <x:c r="G1443">
        <x:v>0</x:v>
      </x:c>
      <x:c r="H1443">
        <x:v>-6.2230999999999996</x:v>
      </x:c>
      <x:c r="I1443">
        <x:v>0</x:v>
      </x:c>
      <x:c r="J1443">
        <x:v>11.9887</x:v>
      </x:c>
      <x:c r="K1443">
        <x:v>-2.3536999999999999</x:v>
      </x:c>
      <x:c r="L1443">
        <x:v>-14.5542</x:v>
      </x:c>
      <x:c r="M1443">
        <x:v>1.6157999999999999</x:v>
      </x:c>
      <x:c r="N1443">
        <x:v>-7.8094000000000001</x:v>
      </x:c>
      <x:c r="O1443">
        <x:v>7.9741999999999997</x:v>
      </x:c>
      <x:c r="P1443">
        <x:v>-1.6014999999999999</x:v>
      </x:c>
      <x:c r="Q1443">
        <x:v>5.7843999999999998</x:v>
      </x:c>
      <x:c r="R1443">
        <x:v>-4.3994</x:v>
      </x:c>
      <x:c r="S1443">
        <x:v>-11.8916</x:v>
      </x:c>
      <x:c r="T1443" t="str">
        <x:f>""</x:f>
        <x:v/>
      </x:c>
      <x:c r="U1443" t="str">
        <x:f>""</x:f>
        <x:v/>
      </x:c>
      <x:c r="V1443" t="str">
        <x:f>""</x:f>
        <x:v/>
      </x:c>
      <x:c r="W1443" t="str">
        <x:f>""</x:f>
        <x:v/>
      </x:c>
      <x:c r="X1443" t="str">
        <x:f>""</x:f>
        <x:v/>
      </x:c>
      <x:c r="Y1443" t="str">
        <x:f>""</x:f>
        <x:v/>
      </x:c>
      <x:c r="Z1443" t="str">
        <x:f>""</x:f>
        <x:v/>
      </x:c>
      <x:c r="AA1443" t="str">
        <x:f>""</x:f>
        <x:v/>
      </x:c>
      <x:c r="AB1443" t="str">
        <x:f>""</x:f>
        <x:v/>
      </x:c>
      <x:c r="AC1443" t="str">
        <x:f>""</x:f>
        <x:v/>
      </x:c>
      <x:c r="AD1443" t="str">
        <x:f>""</x:f>
        <x:v/>
      </x:c>
      <x:c r="AE1443" t="str">
        <x:f>""</x:f>
        <x:v/>
      </x:c>
      <x:c r="AF1443" t="str">
        <x:f>""</x:f>
        <x:v/>
      </x:c>
      <x:c r="AG1443" t="str">
        <x:f>""</x:f>
        <x:v/>
      </x:c>
    </x:row>
    <x:row r="1444" spans="2:33" x14ac:dyDescent="0.25">
      <x:c r="B1444" t="str">
        <x:f>"MORL US Equity"</x:f>
        <x:v>MORL US Equity</x:v>
      </x:c>
      <x:c r="C1444" t="str">
        <x:f t="shared" si="62"/>
        <x:v>FD447</x:v>
      </x:c>
      <x:c r="D1444" t="str">
        <x:f t="shared" si="63"/>
        <x:v>FUND_FLOW</x:v>
      </x:c>
      <x:c r="E1444" t="str">
        <x:f t="shared" si="64"/>
        <x:v>Dynamic</x:v>
      </x:c>
      <x:c r="F1444" t="str">
        <x:f ca="1">_xll.BDH($B$1444,$C$1444,$B$1010,$B$1011,CONCATENATE("Per=",$B$1008),"Dts=H","Dir=H",CONCATENATE("Points=",$B$1009),"Sort=R","Days=A","Fill=B",CONCATENATE("FX=", $B$1007) )</x:f>
        <x:v/>
      </x:c>
      <x:c r="T1444" t="str">
        <x:f>""</x:f>
        <x:v/>
      </x:c>
      <x:c r="U1444" t="str">
        <x:f>""</x:f>
        <x:v/>
      </x:c>
      <x:c r="V1444" t="str">
        <x:f>""</x:f>
        <x:v/>
      </x:c>
      <x:c r="W1444" t="str">
        <x:f>""</x:f>
        <x:v/>
      </x:c>
      <x:c r="X1444" t="str">
        <x:f>""</x:f>
        <x:v/>
      </x:c>
      <x:c r="Y1444" t="str">
        <x:f>""</x:f>
        <x:v/>
      </x:c>
      <x:c r="Z1444" t="str">
        <x:f>""</x:f>
        <x:v/>
      </x:c>
      <x:c r="AA1444" t="str">
        <x:f>""</x:f>
        <x:v/>
      </x:c>
      <x:c r="AB1444" t="str">
        <x:f>""</x:f>
        <x:v/>
      </x:c>
      <x:c r="AC1444" t="str">
        <x:f>""</x:f>
        <x:v/>
      </x:c>
      <x:c r="AD1444" t="str">
        <x:f>""</x:f>
        <x:v/>
      </x:c>
      <x:c r="AE1444" t="str">
        <x:f>""</x:f>
        <x:v/>
      </x:c>
      <x:c r="AF1444" t="str">
        <x:f>""</x:f>
        <x:v/>
      </x:c>
      <x:c r="AG1444" t="str">
        <x:f>""</x:f>
        <x:v/>
      </x:c>
    </x:row>
    <x:row r="1445" spans="2:33" x14ac:dyDescent="0.25">
      <x:c r="B1445" t="str">
        <x:f>"FREL US Equity"</x:f>
        <x:v>FREL US Equity</x:v>
      </x:c>
      <x:c r="C1445" t="str">
        <x:f t="shared" si="62"/>
        <x:v>FD447</x:v>
      </x:c>
      <x:c r="D1445" t="str">
        <x:f t="shared" si="63"/>
        <x:v>FUND_FLOW</x:v>
      </x:c>
      <x:c r="E1445" t="str">
        <x:f t="shared" si="64"/>
        <x:v>Dynamic</x:v>
      </x:c>
      <x:c r="F1445">
        <x:f ca="1">_xll.BDH($B$1445,$C$1445,$B$1010,$B$1011,CONCATENATE("Per=",$B$1008),"Dts=H","Dir=H",CONCATENATE("Points=",$B$1009),"Sort=R","Days=A","Fill=B",CONCATENATE("FX=", $B$1007),"cols=14;rows=1")</x:f>
        <x:v>-5.4870999999999999</x:v>
      </x:c>
      <x:c r="G1445">
        <x:v>-10.5136</x:v>
      </x:c>
      <x:c r="H1445">
        <x:v>-1.2988</x:v>
      </x:c>
      <x:c r="I1445">
        <x:v>-8.9573</x:v>
      </x:c>
      <x:c r="J1445">
        <x:v>-35.9345</x:v>
      </x:c>
      <x:c r="K1445">
        <x:v>-53.405900000000003</x:v>
      </x:c>
      <x:c r="L1445">
        <x:v>-59.2425</x:v>
      </x:c>
      <x:c r="M1445">
        <x:v>-249.99959999999999</x:v>
      </x:c>
      <x:c r="N1445">
        <x:v>-24.244800000000001</x:v>
      </x:c>
      <x:c r="O1445">
        <x:v>-13.0708</x:v>
      </x:c>
      <x:c r="P1445">
        <x:v>-24.311900000000001</x:v>
      </x:c>
      <x:c r="Q1445">
        <x:v>-10.2059</x:v>
      </x:c>
      <x:c r="R1445">
        <x:v>-22.835799999999999</x:v>
      </x:c>
      <x:c r="S1445">
        <x:v>-8.1923999999999992</x:v>
      </x:c>
      <x:c r="T1445" t="str">
        <x:f>""</x:f>
        <x:v/>
      </x:c>
      <x:c r="U1445" t="str">
        <x:f>""</x:f>
        <x:v/>
      </x:c>
      <x:c r="V1445" t="str">
        <x:f>""</x:f>
        <x:v/>
      </x:c>
      <x:c r="W1445" t="str">
        <x:f>""</x:f>
        <x:v/>
      </x:c>
      <x:c r="X1445" t="str">
        <x:f>""</x:f>
        <x:v/>
      </x:c>
      <x:c r="Y1445" t="str">
        <x:f>""</x:f>
        <x:v/>
      </x:c>
      <x:c r="Z1445" t="str">
        <x:f>""</x:f>
        <x:v/>
      </x:c>
      <x:c r="AA1445" t="str">
        <x:f>""</x:f>
        <x:v/>
      </x:c>
      <x:c r="AB1445" t="str">
        <x:f>""</x:f>
        <x:v/>
      </x:c>
      <x:c r="AC1445" t="str">
        <x:f>""</x:f>
        <x:v/>
      </x:c>
      <x:c r="AD1445" t="str">
        <x:f>""</x:f>
        <x:v/>
      </x:c>
      <x:c r="AE1445" t="str">
        <x:f>""</x:f>
        <x:v/>
      </x:c>
      <x:c r="AF1445" t="str">
        <x:f>""</x:f>
        <x:v/>
      </x:c>
      <x:c r="AG1445" t="str">
        <x:f>""</x:f>
        <x:v/>
      </x:c>
    </x:row>
    <x:row r="1446" spans="2:33" x14ac:dyDescent="0.25">
      <x:c r="B1446" t="str">
        <x:f>"GQRE US Equity"</x:f>
        <x:v>GQRE US Equity</x:v>
      </x:c>
      <x:c r="C1446" t="str">
        <x:f t="shared" si="62"/>
        <x:v>FD447</x:v>
      </x:c>
      <x:c r="D1446" t="str">
        <x:f t="shared" si="63"/>
        <x:v>FUND_FLOW</x:v>
      </x:c>
      <x:c r="E1446" t="str">
        <x:f t="shared" si="64"/>
        <x:v>Dynamic</x:v>
      </x:c>
      <x:c r="F1446">
        <x:f ca="1">_xll.BDH($B$1446,$C$1446,$B$1010,$B$1011,CONCATENATE("Per=",$B$1008),"Dts=H","Dir=H",CONCATENATE("Points=",$B$1009),"Sort=R","Days=A","Fill=B",CONCATENATE("FX=", $B$1007),"cols=14;rows=1")</x:f>
        <x:v>-25.6341</x:v>
      </x:c>
      <x:c r="G1446">
        <x:v>0</x:v>
      </x:c>
      <x:c r="H1446">
        <x:v>-5.1803999999999997</x:v>
      </x:c>
      <x:c r="I1446">
        <x:v>0</x:v>
      </x:c>
      <x:c r="J1446">
        <x:v>-5.2253999999999996</x:v>
      </x:c>
      <x:c r="K1446">
        <x:v>-7.8372000000000002</x:v>
      </x:c>
      <x:c r="L1446">
        <x:v>-2.6446999999999998</x:v>
      </x:c>
      <x:c r="M1446">
        <x:v>-8.1283999999999992</x:v>
      </x:c>
      <x:c r="N1446">
        <x:v>5.4600999999999997</x:v>
      </x:c>
      <x:c r="O1446">
        <x:v>-2.8138000000000001</x:v>
      </x:c>
      <x:c r="P1446">
        <x:v>-2.6263999999999998</x:v>
      </x:c>
      <x:c r="Q1446">
        <x:v>1.5900000000000001E-2</x:v>
      </x:c>
      <x:c r="R1446">
        <x:v>-2.4799000000000002</x:v>
      </x:c>
      <x:c r="S1446">
        <x:v>0</x:v>
      </x:c>
      <x:c r="T1446" t="str">
        <x:f>""</x:f>
        <x:v/>
      </x:c>
      <x:c r="U1446" t="str">
        <x:f>""</x:f>
        <x:v/>
      </x:c>
      <x:c r="V1446" t="str">
        <x:f>""</x:f>
        <x:v/>
      </x:c>
      <x:c r="W1446" t="str">
        <x:f>""</x:f>
        <x:v/>
      </x:c>
      <x:c r="X1446" t="str">
        <x:f>""</x:f>
        <x:v/>
      </x:c>
      <x:c r="Y1446" t="str">
        <x:f>""</x:f>
        <x:v/>
      </x:c>
      <x:c r="Z1446" t="str">
        <x:f>""</x:f>
        <x:v/>
      </x:c>
      <x:c r="AA1446" t="str">
        <x:f>""</x:f>
        <x:v/>
      </x:c>
      <x:c r="AB1446" t="str">
        <x:f>""</x:f>
        <x:v/>
      </x:c>
      <x:c r="AC1446" t="str">
        <x:f>""</x:f>
        <x:v/>
      </x:c>
      <x:c r="AD1446" t="str">
        <x:f>""</x:f>
        <x:v/>
      </x:c>
      <x:c r="AE1446" t="str">
        <x:f>""</x:f>
        <x:v/>
      </x:c>
      <x:c r="AF1446" t="str">
        <x:f>""</x:f>
        <x:v/>
      </x:c>
      <x:c r="AG1446" t="str">
        <x:f>""</x:f>
        <x:v/>
      </x:c>
    </x:row>
    <x:row r="1447" spans="2:33" x14ac:dyDescent="0.25">
      <x:c r="B1447" t="str">
        <x:f>"FRI US Equity"</x:f>
        <x:v>FRI US Equity</x:v>
      </x:c>
      <x:c r="C1447" t="str">
        <x:f t="shared" si="62"/>
        <x:v>FD447</x:v>
      </x:c>
      <x:c r="D1447" t="str">
        <x:f t="shared" si="63"/>
        <x:v>FUND_FLOW</x:v>
      </x:c>
      <x:c r="E1447" t="str">
        <x:f t="shared" si="64"/>
        <x:v>Dynamic</x:v>
      </x:c>
      <x:c r="F1447">
        <x:f ca="1">_xll.BDH($B$1447,$C$1447,$B$1010,$B$1011,CONCATENATE("Per=",$B$1008),"Dts=H","Dir=H",CONCATENATE("Points=",$B$1009),"Sort=R","Days=A","Fill=B",CONCATENATE("FX=", $B$1007),"cols=14;rows=1")</x:f>
        <x:v>-3.3938000000000001</x:v>
      </x:c>
      <x:c r="G1447">
        <x:v>-2.3210999999999999</x:v>
      </x:c>
      <x:c r="H1447">
        <x:v>3.7685</x:v>
      </x:c>
      <x:c r="I1447">
        <x:v>3.8085</x:v>
      </x:c>
      <x:c r="J1447">
        <x:v>-3.6724999999999999</x:v>
      </x:c>
      <x:c r="K1447">
        <x:v>-4.8514999999999997</x:v>
      </x:c>
      <x:c r="L1447">
        <x:v>-2.4E-2</x:v>
      </x:c>
      <x:c r="M1447">
        <x:v>0</x:v>
      </x:c>
      <x:c r="N1447">
        <x:v>-1.3045</x:v>
      </x:c>
      <x:c r="O1447">
        <x:v>-8.8230000000000004</x:v>
      </x:c>
      <x:c r="P1447">
        <x:v>-4.7855999999999996</x:v>
      </x:c>
      <x:c r="Q1447">
        <x:v>-7.4913999999999996</x:v>
      </x:c>
      <x:c r="R1447">
        <x:v>-15.3567</x:v>
      </x:c>
      <x:c r="S1447">
        <x:v>-13.798</x:v>
      </x:c>
      <x:c r="T1447" t="str">
        <x:f>""</x:f>
        <x:v/>
      </x:c>
      <x:c r="U1447" t="str">
        <x:f>""</x:f>
        <x:v/>
      </x:c>
      <x:c r="V1447" t="str">
        <x:f>""</x:f>
        <x:v/>
      </x:c>
      <x:c r="W1447" t="str">
        <x:f>""</x:f>
        <x:v/>
      </x:c>
      <x:c r="X1447" t="str">
        <x:f>""</x:f>
        <x:v/>
      </x:c>
      <x:c r="Y1447" t="str">
        <x:f>""</x:f>
        <x:v/>
      </x:c>
      <x:c r="Z1447" t="str">
        <x:f>""</x:f>
        <x:v/>
      </x:c>
      <x:c r="AA1447" t="str">
        <x:f>""</x:f>
        <x:v/>
      </x:c>
      <x:c r="AB1447" t="str">
        <x:f>""</x:f>
        <x:v/>
      </x:c>
      <x:c r="AC1447" t="str">
        <x:f>""</x:f>
        <x:v/>
      </x:c>
      <x:c r="AD1447" t="str">
        <x:f>""</x:f>
        <x:v/>
      </x:c>
      <x:c r="AE1447" t="str">
        <x:f>""</x:f>
        <x:v/>
      </x:c>
      <x:c r="AF1447" t="str">
        <x:f>""</x:f>
        <x:v/>
      </x:c>
      <x:c r="AG1447" t="str">
        <x:f>""</x:f>
        <x:v/>
      </x:c>
    </x:row>
    <x:row r="1448" spans="2:33" x14ac:dyDescent="0.25">
      <x:c r="B1448" t="str">
        <x:f>"URE US Equity"</x:f>
        <x:v>URE US Equity</x:v>
      </x:c>
      <x:c r="C1448" t="str">
        <x:f t="shared" si="62"/>
        <x:v>FD447</x:v>
      </x:c>
      <x:c r="D1448" t="str">
        <x:f t="shared" si="63"/>
        <x:v>FUND_FLOW</x:v>
      </x:c>
      <x:c r="E1448" t="str">
        <x:f t="shared" si="64"/>
        <x:v>Dynamic</x:v>
      </x:c>
      <x:c r="F1448">
        <x:f ca="1">_xll.BDH($B$1448,$C$1448,$B$1010,$B$1011,CONCATENATE("Per=",$B$1008),"Dts=H","Dir=H",CONCATENATE("Points=",$B$1009),"Sort=R","Days=A","Fill=B",CONCATENATE("FX=", $B$1007),"cols=14;rows=1")</x:f>
        <x:v>0</x:v>
      </x:c>
      <x:c r="G1448">
        <x:v>0</x:v>
      </x:c>
      <x:c r="H1448">
        <x:v>0</x:v>
      </x:c>
      <x:c r="I1448">
        <x:v>-1.4577</x:v>
      </x:c>
      <x:c r="J1448">
        <x:v>-1.4533</x:v>
      </x:c>
      <x:c r="K1448">
        <x:v>0</x:v>
      </x:c>
      <x:c r="L1448">
        <x:v>0</x:v>
      </x:c>
      <x:c r="M1448">
        <x:v>-8.4599999999999995E-2</x:v>
      </x:c>
      <x:c r="N1448">
        <x:v>0</x:v>
      </x:c>
      <x:c r="O1448">
        <x:v>-1.6304000000000001</x:v>
      </x:c>
      <x:c r="P1448">
        <x:v>0</x:v>
      </x:c>
      <x:c r="Q1448">
        <x:v>0</x:v>
      </x:c>
      <x:c r="R1448">
        <x:v>-1.3984000000000001</x:v>
      </x:c>
      <x:c r="S1448">
        <x:v>0</x:v>
      </x:c>
      <x:c r="T1448" t="str">
        <x:f>""</x:f>
        <x:v/>
      </x:c>
      <x:c r="U1448" t="str">
        <x:f>""</x:f>
        <x:v/>
      </x:c>
      <x:c r="V1448" t="str">
        <x:f>""</x:f>
        <x:v/>
      </x:c>
      <x:c r="W1448" t="str">
        <x:f>""</x:f>
        <x:v/>
      </x:c>
      <x:c r="X1448" t="str">
        <x:f>""</x:f>
        <x:v/>
      </x:c>
      <x:c r="Y1448" t="str">
        <x:f>""</x:f>
        <x:v/>
      </x:c>
      <x:c r="Z1448" t="str">
        <x:f>""</x:f>
        <x:v/>
      </x:c>
      <x:c r="AA1448" t="str">
        <x:f>""</x:f>
        <x:v/>
      </x:c>
      <x:c r="AB1448" t="str">
        <x:f>""</x:f>
        <x:v/>
      </x:c>
      <x:c r="AC1448" t="str">
        <x:f>""</x:f>
        <x:v/>
      </x:c>
      <x:c r="AD1448" t="str">
        <x:f>""</x:f>
        <x:v/>
      </x:c>
      <x:c r="AE1448" t="str">
        <x:f>""</x:f>
        <x:v/>
      </x:c>
      <x:c r="AF1448" t="str">
        <x:f>""</x:f>
        <x:v/>
      </x:c>
      <x:c r="AG1448" t="str">
        <x:f>""</x:f>
        <x:v/>
      </x:c>
    </x:row>
    <x:row r="1449" spans="2:33" x14ac:dyDescent="0.25">
      <x:c r="B1449" t="str">
        <x:f>"MORT US Equity"</x:f>
        <x:v>MORT US Equity</x:v>
      </x:c>
      <x:c r="C1449" t="str">
        <x:f t="shared" si="62"/>
        <x:v>FD447</x:v>
      </x:c>
      <x:c r="D1449" t="str">
        <x:f t="shared" si="63"/>
        <x:v>FUND_FLOW</x:v>
      </x:c>
      <x:c r="E1449" t="str">
        <x:f t="shared" si="64"/>
        <x:v>Dynamic</x:v>
      </x:c>
      <x:c r="F1449">
        <x:f ca="1">_xll.BDH($B$1449,$C$1449,$B$1010,$B$1011,CONCATENATE("Per=",$B$1008),"Dts=H","Dir=H",CONCATENATE("Points=",$B$1009),"Sort=R","Days=A","Fill=B",CONCATENATE("FX=", $B$1007),"cols=14;rows=1")</x:f>
        <x:v>6.2390999999999996</x:v>
      </x:c>
      <x:c r="G1449">
        <x:v>1.1284000000000001</x:v>
      </x:c>
      <x:c r="H1449">
        <x:v>2.3300000000000001E-2</x:v>
      </x:c>
      <x:c r="I1449">
        <x:v>3.0188000000000001</x:v>
      </x:c>
      <x:c r="J1449">
        <x:v>5.2343999999999999</x:v>
      </x:c>
      <x:c r="K1449">
        <x:v>3.1398000000000001</x:v>
      </x:c>
      <x:c r="L1449">
        <x:v>24.640999999999998</x:v>
      </x:c>
      <x:c r="M1449">
        <x:v>1.012</x:v>
      </x:c>
      <x:c r="N1449">
        <x:v>7.2278000000000002</x:v>
      </x:c>
      <x:c r="O1449">
        <x:v>3.585</x:v>
      </x:c>
      <x:c r="P1449">
        <x:v>5.6349999999999998</x:v>
      </x:c>
      <x:c r="Q1449">
        <x:v>3.7770999999999999</x:v>
      </x:c>
      <x:c r="R1449">
        <x:v>3.8635000000000002</x:v>
      </x:c>
      <x:c r="S1449">
        <x:v>-4.7134</x:v>
      </x:c>
      <x:c r="T1449" t="str">
        <x:f>""</x:f>
        <x:v/>
      </x:c>
      <x:c r="U1449" t="str">
        <x:f>""</x:f>
        <x:v/>
      </x:c>
      <x:c r="V1449" t="str">
        <x:f>""</x:f>
        <x:v/>
      </x:c>
      <x:c r="W1449" t="str">
        <x:f>""</x:f>
        <x:v/>
      </x:c>
      <x:c r="X1449" t="str">
        <x:f>""</x:f>
        <x:v/>
      </x:c>
      <x:c r="Y1449" t="str">
        <x:f>""</x:f>
        <x:v/>
      </x:c>
      <x:c r="Z1449" t="str">
        <x:f>""</x:f>
        <x:v/>
      </x:c>
      <x:c r="AA1449" t="str">
        <x:f>""</x:f>
        <x:v/>
      </x:c>
      <x:c r="AB1449" t="str">
        <x:f>""</x:f>
        <x:v/>
      </x:c>
      <x:c r="AC1449" t="str">
        <x:f>""</x:f>
        <x:v/>
      </x:c>
      <x:c r="AD1449" t="str">
        <x:f>""</x:f>
        <x:v/>
      </x:c>
      <x:c r="AE1449" t="str">
        <x:f>""</x:f>
        <x:v/>
      </x:c>
      <x:c r="AF1449" t="str">
        <x:f>""</x:f>
        <x:v/>
      </x:c>
      <x:c r="AG1449" t="str">
        <x:f>""</x:f>
        <x:v/>
      </x:c>
    </x:row>
    <x:row r="1450" spans="2:33" x14ac:dyDescent="0.25">
      <x:c r="B1450" t="str">
        <x:f>"WPS US Equity"</x:f>
        <x:v>WPS US Equity</x:v>
      </x:c>
      <x:c r="C1450" t="str">
        <x:f t="shared" si="62"/>
        <x:v>FD447</x:v>
      </x:c>
      <x:c r="D1450" t="str">
        <x:f t="shared" si="63"/>
        <x:v>FUND_FLOW</x:v>
      </x:c>
      <x:c r="E1450" t="str">
        <x:f t="shared" si="64"/>
        <x:v>Dynamic</x:v>
      </x:c>
      <x:c r="F1450">
        <x:f ca="1">_xll.BDH($B$1450,$C$1450,$B$1010,$B$1011,CONCATENATE("Per=",$B$1008),"Dts=H","Dir=H",CONCATENATE("Points=",$B$1009),"Sort=R","Days=A","Fill=B",CONCATENATE("FX=", $B$1007),"cols=14;rows=1")</x:f>
        <x:v>0</x:v>
      </x:c>
      <x:c r="G1450">
        <x:v>0</x:v>
      </x:c>
      <x:c r="H1450">
        <x:v>0</x:v>
      </x:c>
      <x:c r="I1450">
        <x:v>-2.6133000000000002</x:v>
      </x:c>
      <x:c r="J1450">
        <x:v>0</x:v>
      </x:c>
      <x:c r="K1450">
        <x:v>0</x:v>
      </x:c>
      <x:c r="L1450">
        <x:v>0</x:v>
      </x:c>
      <x:c r="M1450">
        <x:v>0</x:v>
      </x:c>
      <x:c r="N1450">
        <x:v>0</x:v>
      </x:c>
      <x:c r="O1450">
        <x:v>-2.9533</x:v>
      </x:c>
      <x:c r="P1450">
        <x:v>0</x:v>
      </x:c>
      <x:c r="Q1450">
        <x:v>0</x:v>
      </x:c>
      <x:c r="R1450">
        <x:v>0</x:v>
      </x:c>
      <x:c r="S1450">
        <x:v>0</x:v>
      </x:c>
      <x:c r="T1450" t="str">
        <x:f>""</x:f>
        <x:v/>
      </x:c>
      <x:c r="U1450" t="str">
        <x:f>""</x:f>
        <x:v/>
      </x:c>
      <x:c r="V1450" t="str">
        <x:f>""</x:f>
        <x:v/>
      </x:c>
      <x:c r="W1450" t="str">
        <x:f>""</x:f>
        <x:v/>
      </x:c>
      <x:c r="X1450" t="str">
        <x:f>""</x:f>
        <x:v/>
      </x:c>
      <x:c r="Y1450" t="str">
        <x:f>""</x:f>
        <x:v/>
      </x:c>
      <x:c r="Z1450" t="str">
        <x:f>""</x:f>
        <x:v/>
      </x:c>
      <x:c r="AA1450" t="str">
        <x:f>""</x:f>
        <x:v/>
      </x:c>
      <x:c r="AB1450" t="str">
        <x:f>""</x:f>
        <x:v/>
      </x:c>
      <x:c r="AC1450" t="str">
        <x:f>""</x:f>
        <x:v/>
      </x:c>
      <x:c r="AD1450" t="str">
        <x:f>""</x:f>
        <x:v/>
      </x:c>
      <x:c r="AE1450" t="str">
        <x:f>""</x:f>
        <x:v/>
      </x:c>
      <x:c r="AF1450" t="str">
        <x:f>""</x:f>
        <x:v/>
      </x:c>
      <x:c r="AG1450" t="str">
        <x:f>""</x:f>
        <x:v/>
      </x:c>
    </x:row>
    <x:row r="1451" spans="2:33" x14ac:dyDescent="0.25">
      <x:c r="B1451" t="str">
        <x:f>"USRT US Equity"</x:f>
        <x:v>USRT US Equity</x:v>
      </x:c>
      <x:c r="C1451" t="str">
        <x:f t="shared" si="62"/>
        <x:v>FD447</x:v>
      </x:c>
      <x:c r="D1451" t="str">
        <x:f t="shared" si="63"/>
        <x:v>FUND_FLOW</x:v>
      </x:c>
      <x:c r="E1451" t="str">
        <x:f t="shared" si="64"/>
        <x:v>Dynamic</x:v>
      </x:c>
      <x:c r="F1451">
        <x:f ca="1">_xll.BDH($B$1451,$C$1451,$B$1010,$B$1011,CONCATENATE("Per=",$B$1008),"Dts=H","Dir=H",CONCATENATE("Points=",$B$1009),"Sort=R","Days=A","Fill=B",CONCATENATE("FX=", $B$1007),"cols=14;rows=1")</x:f>
        <x:v>71.858000000000004</x:v>
      </x:c>
      <x:c r="G1451">
        <x:v>22.441199999999998</x:v>
      </x:c>
      <x:c r="H1451">
        <x:v>-91.334900000000005</x:v>
      </x:c>
      <x:c r="I1451">
        <x:v>18.3504</x:v>
      </x:c>
      <x:c r="J1451">
        <x:v>175.9802</x:v>
      </x:c>
      <x:c r="K1451">
        <x:v>-14.9062</x:v>
      </x:c>
      <x:c r="L1451">
        <x:v>-7.4539</x:v>
      </x:c>
      <x:c r="M1451">
        <x:v>-45.281199999999998</x:v>
      </x:c>
      <x:c r="N1451">
        <x:v>30.7593</x:v>
      </x:c>
      <x:c r="O1451">
        <x:v>-33.874899999999997</x:v>
      </x:c>
      <x:c r="P1451">
        <x:v>48.4634</x:v>
      </x:c>
      <x:c r="Q1451">
        <x:v>-28.038</x:v>
      </x:c>
      <x:c r="R1451">
        <x:v>42.805300000000003</x:v>
      </x:c>
      <x:c r="S1451">
        <x:v>30.963799999999999</x:v>
      </x:c>
      <x:c r="T1451" t="str">
        <x:f>""</x:f>
        <x:v/>
      </x:c>
      <x:c r="U1451" t="str">
        <x:f>""</x:f>
        <x:v/>
      </x:c>
      <x:c r="V1451" t="str">
        <x:f>""</x:f>
        <x:v/>
      </x:c>
      <x:c r="W1451" t="str">
        <x:f>""</x:f>
        <x:v/>
      </x:c>
      <x:c r="X1451" t="str">
        <x:f>""</x:f>
        <x:v/>
      </x:c>
      <x:c r="Y1451" t="str">
        <x:f>""</x:f>
        <x:v/>
      </x:c>
      <x:c r="Z1451" t="str">
        <x:f>""</x:f>
        <x:v/>
      </x:c>
      <x:c r="AA1451" t="str">
        <x:f>""</x:f>
        <x:v/>
      </x:c>
      <x:c r="AB1451" t="str">
        <x:f>""</x:f>
        <x:v/>
      </x:c>
      <x:c r="AC1451" t="str">
        <x:f>""</x:f>
        <x:v/>
      </x:c>
      <x:c r="AD1451" t="str">
        <x:f>""</x:f>
        <x:v/>
      </x:c>
      <x:c r="AE1451" t="str">
        <x:f>""</x:f>
        <x:v/>
      </x:c>
      <x:c r="AF1451" t="str">
        <x:f>""</x:f>
        <x:v/>
      </x:c>
      <x:c r="AG1451" t="str">
        <x:f>""</x:f>
        <x:v/>
      </x:c>
    </x:row>
    <x:row r="1452" spans="2:33" x14ac:dyDescent="0.25">
      <x:c r="B1452" t="str">
        <x:f>"ROOF US Equity"</x:f>
        <x:v>ROOF US Equity</x:v>
      </x:c>
      <x:c r="C1452" t="str">
        <x:f t="shared" si="62"/>
        <x:v>FD447</x:v>
      </x:c>
      <x:c r="D1452" t="str">
        <x:f t="shared" si="63"/>
        <x:v>FUND_FLOW</x:v>
      </x:c>
      <x:c r="E1452" t="str">
        <x:f t="shared" si="64"/>
        <x:v>Dynamic</x:v>
      </x:c>
      <x:c r="F1452">
        <x:f ca="1">_xll.BDH($B$1452,$C$1452,$B$1010,$B$1011,CONCATENATE("Per=",$B$1008),"Dts=H","Dir=H",CONCATENATE("Points=",$B$1009),"Sort=R","Days=A","Fill=B",CONCATENATE("FX=", $B$1007),"cols=14;rows=1")</x:f>
        <x:v>-0.86799999999999999</x:v>
      </x:c>
      <x:c r="G1452">
        <x:v>0</x:v>
      </x:c>
      <x:c r="H1452">
        <x:v>-0.4849</x:v>
      </x:c>
      <x:c r="I1452">
        <x:v>0</x:v>
      </x:c>
      <x:c r="J1452">
        <x:v>-2.9266999999999999</x:v>
      </x:c>
      <x:c r="K1452">
        <x:v>0</x:v>
      </x:c>
      <x:c r="L1452">
        <x:v>-0.96679999999999999</x:v>
      </x:c>
      <x:c r="M1452">
        <x:v>-1.8625</x:v>
      </x:c>
      <x:c r="N1452">
        <x:v>-0.98</x:v>
      </x:c>
      <x:c r="O1452">
        <x:v>-1.0287999999999999</x:v>
      </x:c>
      <x:c r="P1452">
        <x:v>0</x:v>
      </x:c>
      <x:c r="Q1452">
        <x:v>0</x:v>
      </x:c>
      <x:c r="R1452">
        <x:v>-1.8093999999999999</x:v>
      </x:c>
      <x:c r="S1452">
        <x:v>-1.1177999999999999</x:v>
      </x:c>
      <x:c r="T1452" t="str">
        <x:f>""</x:f>
        <x:v/>
      </x:c>
      <x:c r="U1452" t="str">
        <x:f>""</x:f>
        <x:v/>
      </x:c>
      <x:c r="V1452" t="str">
        <x:f>""</x:f>
        <x:v/>
      </x:c>
      <x:c r="W1452" t="str">
        <x:f>""</x:f>
        <x:v/>
      </x:c>
      <x:c r="X1452" t="str">
        <x:f>""</x:f>
        <x:v/>
      </x:c>
      <x:c r="Y1452" t="str">
        <x:f>""</x:f>
        <x:v/>
      </x:c>
      <x:c r="Z1452" t="str">
        <x:f>""</x:f>
        <x:v/>
      </x:c>
      <x:c r="AA1452" t="str">
        <x:f>""</x:f>
        <x:v/>
      </x:c>
      <x:c r="AB1452" t="str">
        <x:f>""</x:f>
        <x:v/>
      </x:c>
      <x:c r="AC1452" t="str">
        <x:f>""</x:f>
        <x:v/>
      </x:c>
      <x:c r="AD1452" t="str">
        <x:f>""</x:f>
        <x:v/>
      </x:c>
      <x:c r="AE1452" t="str">
        <x:f>""</x:f>
        <x:v/>
      </x:c>
      <x:c r="AF1452" t="str">
        <x:f>""</x:f>
        <x:v/>
      </x:c>
      <x:c r="AG1452" t="str">
        <x:f>""</x:f>
        <x:v/>
      </x:c>
    </x:row>
    <x:row r="1453" spans="2:33" x14ac:dyDescent="0.25">
      <x:c r="B1453" t="str">
        <x:f>"DRW US Equity"</x:f>
        <x:v>DRW US Equity</x:v>
      </x:c>
      <x:c r="C1453" t="str">
        <x:f t="shared" si="62"/>
        <x:v>FD447</x:v>
      </x:c>
      <x:c r="D1453" t="str">
        <x:f t="shared" si="63"/>
        <x:v>FUND_FLOW</x:v>
      </x:c>
      <x:c r="E1453" t="str">
        <x:f t="shared" si="64"/>
        <x:v>Dynamic</x:v>
      </x:c>
      <x:c r="F1453">
        <x:f ca="1">_xll.BDH($B$1453,$C$1453,$B$1010,$B$1011,CONCATENATE("Per=",$B$1008),"Dts=H","Dir=H",CONCATENATE("Points=",$B$1009),"Sort=R","Days=A","Fill=B",CONCATENATE("FX=", $B$1007),"cols=14;rows=1")</x:f>
        <x:v>-0.73819999999999997</x:v>
      </x:c>
      <x:c r="G1453">
        <x:v>-0.84199999999999997</x:v>
      </x:c>
      <x:c r="H1453">
        <x:v>-0.8589</x:v>
      </x:c>
      <x:c r="I1453">
        <x:v>-0.87360000000000004</x:v>
      </x:c>
      <x:c r="J1453">
        <x:v>0</x:v>
      </x:c>
      <x:c r="K1453">
        <x:v>-1.6465000000000001</x:v>
      </x:c>
      <x:c r="L1453">
        <x:v>0</x:v>
      </x:c>
      <x:c r="M1453">
        <x:v>0</x:v>
      </x:c>
      <x:c r="N1453">
        <x:v>-1.859</x:v>
      </x:c>
      <x:c r="O1453">
        <x:v>-2.7288999999999999</x:v>
      </x:c>
      <x:c r="P1453">
        <x:v>-2.4912999999999998</x:v>
      </x:c>
      <x:c r="Q1453">
        <x:v>-0.79520000000000002</x:v>
      </x:c>
      <x:c r="R1453">
        <x:v>0</x:v>
      </x:c>
      <x:c r="S1453">
        <x:v>-1.7108000000000001</x:v>
      </x:c>
      <x:c r="T1453" t="str">
        <x:f>""</x:f>
        <x:v/>
      </x:c>
      <x:c r="U1453" t="str">
        <x:f>""</x:f>
        <x:v/>
      </x:c>
      <x:c r="V1453" t="str">
        <x:f>""</x:f>
        <x:v/>
      </x:c>
      <x:c r="W1453" t="str">
        <x:f>""</x:f>
        <x:v/>
      </x:c>
      <x:c r="X1453" t="str">
        <x:f>""</x:f>
        <x:v/>
      </x:c>
      <x:c r="Y1453" t="str">
        <x:f>""</x:f>
        <x:v/>
      </x:c>
      <x:c r="Z1453" t="str">
        <x:f>""</x:f>
        <x:v/>
      </x:c>
      <x:c r="AA1453" t="str">
        <x:f>""</x:f>
        <x:v/>
      </x:c>
      <x:c r="AB1453" t="str">
        <x:f>""</x:f>
        <x:v/>
      </x:c>
      <x:c r="AC1453" t="str">
        <x:f>""</x:f>
        <x:v/>
      </x:c>
      <x:c r="AD1453" t="str">
        <x:f>""</x:f>
        <x:v/>
      </x:c>
      <x:c r="AE1453" t="str">
        <x:f>""</x:f>
        <x:v/>
      </x:c>
      <x:c r="AF1453" t="str">
        <x:f>""</x:f>
        <x:v/>
      </x:c>
      <x:c r="AG1453" t="str">
        <x:f>""</x:f>
        <x:v/>
      </x:c>
    </x:row>
    <x:row r="1454" spans="2:33" x14ac:dyDescent="0.25">
      <x:c r="B1454" t="str">
        <x:f>"RDOG US Equity"</x:f>
        <x:v>RDOG US Equity</x:v>
      </x:c>
      <x:c r="C1454" t="str">
        <x:f t="shared" si="62"/>
        <x:v>FD447</x:v>
      </x:c>
      <x:c r="D1454" t="str">
        <x:f t="shared" si="63"/>
        <x:v>FUND_FLOW</x:v>
      </x:c>
      <x:c r="E1454" t="str">
        <x:f t="shared" si="64"/>
        <x:v>Dynamic</x:v>
      </x:c>
      <x:c r="F1454">
        <x:f ca="1">_xll.BDH($B$1454,$C$1454,$B$1010,$B$1011,CONCATENATE("Per=",$B$1008),"Dts=H","Dir=H",CONCATENATE("Points=",$B$1009),"Sort=R","Days=A","Fill=B",CONCATENATE("FX=", $B$1007),"cols=14;rows=1")</x:f>
        <x:v>0</x:v>
      </x:c>
      <x:c r="G1454">
        <x:v>-0.83599999999999997</x:v>
      </x:c>
      <x:c r="H1454">
        <x:v>-0.92549999999999999</x:v>
      </x:c>
      <x:c r="I1454">
        <x:v>-1.8494999999999999</x:v>
      </x:c>
      <x:c r="J1454">
        <x:v>0</x:v>
      </x:c>
      <x:c r="K1454">
        <x:v>0</x:v>
      </x:c>
      <x:c r="L1454">
        <x:v>-1.7642</x:v>
      </x:c>
      <x:c r="M1454">
        <x:v>0</x:v>
      </x:c>
      <x:c r="N1454">
        <x:v>-1.0693999999999999</x:v>
      </x:c>
      <x:c r="O1454">
        <x:v>0</x:v>
      </x:c>
      <x:c r="P1454">
        <x:v>0</x:v>
      </x:c>
      <x:c r="Q1454">
        <x:v>-1.0251999999999999</x:v>
      </x:c>
      <x:c r="R1454">
        <x:v>0</x:v>
      </x:c>
      <x:c r="S1454">
        <x:v>0</x:v>
      </x:c>
      <x:c r="T1454" t="str">
        <x:f>""</x:f>
        <x:v/>
      </x:c>
      <x:c r="U1454" t="str">
        <x:f>""</x:f>
        <x:v/>
      </x:c>
      <x:c r="V1454" t="str">
        <x:f>""</x:f>
        <x:v/>
      </x:c>
      <x:c r="W1454" t="str">
        <x:f>""</x:f>
        <x:v/>
      </x:c>
      <x:c r="X1454" t="str">
        <x:f>""</x:f>
        <x:v/>
      </x:c>
      <x:c r="Y1454" t="str">
        <x:f>""</x:f>
        <x:v/>
      </x:c>
      <x:c r="Z1454" t="str">
        <x:f>""</x:f>
        <x:v/>
      </x:c>
      <x:c r="AA1454" t="str">
        <x:f>""</x:f>
        <x:v/>
      </x:c>
      <x:c r="AB1454" t="str">
        <x:f>""</x:f>
        <x:v/>
      </x:c>
      <x:c r="AC1454" t="str">
        <x:f>""</x:f>
        <x:v/>
      </x:c>
      <x:c r="AD1454" t="str">
        <x:f>""</x:f>
        <x:v/>
      </x:c>
      <x:c r="AE1454" t="str">
        <x:f>""</x:f>
        <x:v/>
      </x:c>
      <x:c r="AF1454" t="str">
        <x:f>""</x:f>
        <x:v/>
      </x:c>
      <x:c r="AG1454" t="str">
        <x:f>""</x:f>
        <x:v/>
      </x:c>
    </x:row>
    <x:row r="1455" spans="2:33" x14ac:dyDescent="0.25">
      <x:c r="B1455" t="str">
        <x:f>"DRN US Equity"</x:f>
        <x:v>DRN US Equity</x:v>
      </x:c>
      <x:c r="C1455" t="str">
        <x:f t="shared" si="62"/>
        <x:v>FD447</x:v>
      </x:c>
      <x:c r="D1455" t="str">
        <x:f t="shared" si="63"/>
        <x:v>FUND_FLOW</x:v>
      </x:c>
      <x:c r="E1455" t="str">
        <x:f t="shared" si="64"/>
        <x:v>Dynamic</x:v>
      </x:c>
      <x:c r="F1455">
        <x:f ca="1">_xll.BDH($B$1455,$C$1455,$B$1010,$B$1011,CONCATENATE("Per=",$B$1008),"Dts=H","Dir=H",CONCATENATE("Points=",$B$1009),"Sort=R","Days=A","Fill=B",CONCATENATE("FX=", $B$1007),"cols=14;rows=1")</x:f>
        <x:v>4.7087000000000003</x:v>
      </x:c>
      <x:c r="G1455">
        <x:v>5.1879</x:v>
      </x:c>
      <x:c r="H1455">
        <x:v>1.2990999999999999</x:v>
      </x:c>
      <x:c r="I1455">
        <x:v>5.0502000000000002</x:v>
      </x:c>
      <x:c r="J1455">
        <x:v>-1.4797</x:v>
      </x:c>
      <x:c r="K1455">
        <x:v>1.7834000000000001</x:v>
      </x:c>
      <x:c r="L1455">
        <x:v>-3.7410999999999999</x:v>
      </x:c>
      <x:c r="M1455">
        <x:v>6.9188999999999998</x:v>
      </x:c>
      <x:c r="N1455">
        <x:v>-0.68289999999999995</x:v>
      </x:c>
      <x:c r="O1455">
        <x:v>1.1951000000000001</x:v>
      </x:c>
      <x:c r="P1455">
        <x:v>-0.15939999999999999</x:v>
      </x:c>
      <x:c r="Q1455">
        <x:v>-2.1095999999999999</x:v>
      </x:c>
      <x:c r="R1455">
        <x:v>7.0294999999999996</x:v>
      </x:c>
      <x:c r="S1455">
        <x:v>4.5042</x:v>
      </x:c>
      <x:c r="T1455" t="str">
        <x:f>""</x:f>
        <x:v/>
      </x:c>
      <x:c r="U1455" t="str">
        <x:f>""</x:f>
        <x:v/>
      </x:c>
      <x:c r="V1455" t="str">
        <x:f>""</x:f>
        <x:v/>
      </x:c>
      <x:c r="W1455" t="str">
        <x:f>""</x:f>
        <x:v/>
      </x:c>
      <x:c r="X1455" t="str">
        <x:f>""</x:f>
        <x:v/>
      </x:c>
      <x:c r="Y1455" t="str">
        <x:f>""</x:f>
        <x:v/>
      </x:c>
      <x:c r="Z1455" t="str">
        <x:f>""</x:f>
        <x:v/>
      </x:c>
      <x:c r="AA1455" t="str">
        <x:f>""</x:f>
        <x:v/>
      </x:c>
      <x:c r="AB1455" t="str">
        <x:f>""</x:f>
        <x:v/>
      </x:c>
      <x:c r="AC1455" t="str">
        <x:f>""</x:f>
        <x:v/>
      </x:c>
      <x:c r="AD1455" t="str">
        <x:f>""</x:f>
        <x:v/>
      </x:c>
      <x:c r="AE1455" t="str">
        <x:f>""</x:f>
        <x:v/>
      </x:c>
      <x:c r="AF1455" t="str">
        <x:f>""</x:f>
        <x:v/>
      </x:c>
      <x:c r="AG1455" t="str">
        <x:f>""</x:f>
        <x:v/>
      </x:c>
    </x:row>
    <x:row r="1456" spans="2:33" x14ac:dyDescent="0.25">
      <x:c r="B1456" t="str">
        <x:f>"FFR US Equity"</x:f>
        <x:v>FFR US Equity</x:v>
      </x:c>
      <x:c r="C1456" t="str">
        <x:f t="shared" si="62"/>
        <x:v>FD447</x:v>
      </x:c>
      <x:c r="D1456" t="str">
        <x:f t="shared" si="63"/>
        <x:v>FUND_FLOW</x:v>
      </x:c>
      <x:c r="E1456" t="str">
        <x:f t="shared" si="64"/>
        <x:v>Dynamic</x:v>
      </x:c>
      <x:c r="F1456">
        <x:f ca="1">_xll.BDH($B$1456,$C$1456,$B$1010,$B$1011,CONCATENATE("Per=",$B$1008),"Dts=H","Dir=H",CONCATENATE("Points=",$B$1009),"Sort=R","Days=A","Fill=B",CONCATENATE("FX=", $B$1007),"cols=14;rows=1")</x:f>
        <x:v>0</x:v>
      </x:c>
      <x:c r="G1456">
        <x:v>0</x:v>
      </x:c>
      <x:c r="H1456">
        <x:v>0</x:v>
      </x:c>
      <x:c r="I1456">
        <x:v>-2.0274999999999999</x:v>
      </x:c>
      <x:c r="J1456">
        <x:v>-1.9664999999999999</x:v>
      </x:c>
      <x:c r="K1456">
        <x:v>0</x:v>
      </x:c>
      <x:c r="L1456">
        <x:v>0</x:v>
      </x:c>
      <x:c r="M1456">
        <x:v>0</x:v>
      </x:c>
      <x:c r="N1456">
        <x:v>0</x:v>
      </x:c>
      <x:c r="O1456">
        <x:v>0</x:v>
      </x:c>
      <x:c r="P1456">
        <x:v>0</x:v>
      </x:c>
      <x:c r="Q1456">
        <x:v>0</x:v>
      </x:c>
      <x:c r="R1456">
        <x:v>0</x:v>
      </x:c>
      <x:c r="S1456">
        <x:v>0</x:v>
      </x:c>
      <x:c r="T1456" t="str">
        <x:f>""</x:f>
        <x:v/>
      </x:c>
      <x:c r="U1456" t="str">
        <x:f>""</x:f>
        <x:v/>
      </x:c>
      <x:c r="V1456" t="str">
        <x:f>""</x:f>
        <x:v/>
      </x:c>
      <x:c r="W1456" t="str">
        <x:f>""</x:f>
        <x:v/>
      </x:c>
      <x:c r="X1456" t="str">
        <x:f>""</x:f>
        <x:v/>
      </x:c>
      <x:c r="Y1456" t="str">
        <x:f>""</x:f>
        <x:v/>
      </x:c>
      <x:c r="Z1456" t="str">
        <x:f>""</x:f>
        <x:v/>
      </x:c>
      <x:c r="AA1456" t="str">
        <x:f>""</x:f>
        <x:v/>
      </x:c>
      <x:c r="AB1456" t="str">
        <x:f>""</x:f>
        <x:v/>
      </x:c>
      <x:c r="AC1456" t="str">
        <x:f>""</x:f>
        <x:v/>
      </x:c>
      <x:c r="AD1456" t="str">
        <x:f>""</x:f>
        <x:v/>
      </x:c>
      <x:c r="AE1456" t="str">
        <x:f>""</x:f>
        <x:v/>
      </x:c>
      <x:c r="AF1456" t="str">
        <x:f>""</x:f>
        <x:v/>
      </x:c>
      <x:c r="AG1456" t="str">
        <x:f>""</x:f>
        <x:v/>
      </x:c>
    </x:row>
    <x:row r="1457" spans="2:33" x14ac:dyDescent="0.25">
      <x:c r="B1457" t="str">
        <x:f>"TAO US Equity"</x:f>
        <x:v>TAO US Equity</x:v>
      </x:c>
      <x:c r="C1457" t="str">
        <x:f t="shared" si="62"/>
        <x:v>FD447</x:v>
      </x:c>
      <x:c r="D1457" t="str">
        <x:f t="shared" si="63"/>
        <x:v>FUND_FLOW</x:v>
      </x:c>
      <x:c r="E1457" t="str">
        <x:f t="shared" si="64"/>
        <x:v>Dynamic</x:v>
      </x:c>
      <x:c r="F1457" t="str">
        <x:f ca="1">_xll.BDH($B$1457,$C$1457,$B$1010,$B$1011,CONCATENATE("Per=",$B$1008),"Dts=H","Dir=H",CONCATENATE("Points=",$B$1009),"Sort=R","Days=A","Fill=B",CONCATENATE("FX=", $B$1007) )</x:f>
        <x:v/>
      </x:c>
      <x:c r="T1457" t="str">
        <x:f>""</x:f>
        <x:v/>
      </x:c>
      <x:c r="U1457" t="str">
        <x:f>""</x:f>
        <x:v/>
      </x:c>
      <x:c r="V1457" t="str">
        <x:f>""</x:f>
        <x:v/>
      </x:c>
      <x:c r="W1457" t="str">
        <x:f>""</x:f>
        <x:v/>
      </x:c>
      <x:c r="X1457" t="str">
        <x:f>""</x:f>
        <x:v/>
      </x:c>
      <x:c r="Y1457" t="str">
        <x:f>""</x:f>
        <x:v/>
      </x:c>
      <x:c r="Z1457" t="str">
        <x:f>""</x:f>
        <x:v/>
      </x:c>
      <x:c r="AA1457" t="str">
        <x:f>""</x:f>
        <x:v/>
      </x:c>
      <x:c r="AB1457" t="str">
        <x:f>""</x:f>
        <x:v/>
      </x:c>
      <x:c r="AC1457" t="str">
        <x:f>""</x:f>
        <x:v/>
      </x:c>
      <x:c r="AD1457" t="str">
        <x:f>""</x:f>
        <x:v/>
      </x:c>
      <x:c r="AE1457" t="str">
        <x:f>""</x:f>
        <x:v/>
      </x:c>
      <x:c r="AF1457" t="str">
        <x:f>""</x:f>
        <x:v/>
      </x:c>
      <x:c r="AG1457" t="str">
        <x:f>""</x:f>
        <x:v/>
      </x:c>
    </x:row>
    <x:row r="1458" spans="2:33" x14ac:dyDescent="0.25">
      <x:c r="B1458" t="str">
        <x:f>"IFEU US Equity"</x:f>
        <x:v>IFEU US Equity</x:v>
      </x:c>
      <x:c r="C1458" t="str">
        <x:f t="shared" si="62"/>
        <x:v>FD447</x:v>
      </x:c>
      <x:c r="D1458" t="str">
        <x:f t="shared" si="63"/>
        <x:v>FUND_FLOW</x:v>
      </x:c>
      <x:c r="E1458" t="str">
        <x:f t="shared" si="64"/>
        <x:v>Dynamic</x:v>
      </x:c>
      <x:c r="F1458" t="str">
        <x:f ca="1">_xll.BDH($B$1458,$C$1458,$B$1010,$B$1011,CONCATENATE("Per=",$B$1008),"Dts=H","Dir=H",CONCATENATE("Points=",$B$1009),"Sort=R","Days=A","Fill=B",CONCATENATE("FX=", $B$1007) )</x:f>
        <x:v/>
      </x:c>
      <x:c r="T1458" t="str">
        <x:f>""</x:f>
        <x:v/>
      </x:c>
      <x:c r="U1458" t="str">
        <x:f>""</x:f>
        <x:v/>
      </x:c>
      <x:c r="V1458" t="str">
        <x:f>""</x:f>
        <x:v/>
      </x:c>
      <x:c r="W1458" t="str">
        <x:f>""</x:f>
        <x:v/>
      </x:c>
      <x:c r="X1458" t="str">
        <x:f>""</x:f>
        <x:v/>
      </x:c>
      <x:c r="Y1458" t="str">
        <x:f>""</x:f>
        <x:v/>
      </x:c>
      <x:c r="Z1458" t="str">
        <x:f>""</x:f>
        <x:v/>
      </x:c>
      <x:c r="AA1458" t="str">
        <x:f>""</x:f>
        <x:v/>
      </x:c>
      <x:c r="AB1458" t="str">
        <x:f>""</x:f>
        <x:v/>
      </x:c>
      <x:c r="AC1458" t="str">
        <x:f>""</x:f>
        <x:v/>
      </x:c>
      <x:c r="AD1458" t="str">
        <x:f>""</x:f>
        <x:v/>
      </x:c>
      <x:c r="AE1458" t="str">
        <x:f>""</x:f>
        <x:v/>
      </x:c>
      <x:c r="AF1458" t="str">
        <x:f>""</x:f>
        <x:v/>
      </x:c>
      <x:c r="AG1458" t="str">
        <x:f>""</x:f>
        <x:v/>
      </x:c>
    </x:row>
    <x:row r="1459" spans="2:33" x14ac:dyDescent="0.25">
      <x:c r="B1459" t="str">
        <x:f>"SRET US Equity"</x:f>
        <x:v>SRET US Equity</x:v>
      </x:c>
      <x:c r="C1459" t="str">
        <x:f t="shared" si="62"/>
        <x:v>FD447</x:v>
      </x:c>
      <x:c r="D1459" t="str">
        <x:f t="shared" si="63"/>
        <x:v>FUND_FLOW</x:v>
      </x:c>
      <x:c r="E1459" t="str">
        <x:f t="shared" si="64"/>
        <x:v>Dynamic</x:v>
      </x:c>
      <x:c r="F1459">
        <x:f ca="1">_xll.BDH($B$1459,$C$1459,$B$1010,$B$1011,CONCATENATE("Per=",$B$1008),"Dts=H","Dir=H",CONCATENATE("Points=",$B$1009),"Sort=R","Days=A","Fill=B",CONCATENATE("FX=", $B$1007),"cols=14;rows=1")</x:f>
        <x:v>4.1445999999999996</x:v>
      </x:c>
      <x:c r="G1459">
        <x:v>0</x:v>
      </x:c>
      <x:c r="H1459">
        <x:v>-6.7084000000000001</x:v>
      </x:c>
      <x:c r="I1459">
        <x:v>-2.3048000000000002</x:v>
      </x:c>
      <x:c r="J1459">
        <x:v>-8.4179999999999993</x:v>
      </x:c>
      <x:c r="K1459">
        <x:v>-3.6360000000000001</x:v>
      </x:c>
      <x:c r="L1459">
        <x:v>-4.3033000000000001</x:v>
      </x:c>
      <x:c r="M1459">
        <x:v>-4.6045999999999996</x:v>
      </x:c>
      <x:c r="N1459">
        <x:v>0</x:v>
      </x:c>
      <x:c r="O1459">
        <x:v>2.4289999999999998</x:v>
      </x:c>
      <x:c r="P1459">
        <x:v>-5.8613999999999997</x:v>
      </x:c>
      <x:c r="Q1459">
        <x:v>-5.2114000000000003</x:v>
      </x:c>
      <x:c r="R1459">
        <x:v>-1.6975</x:v>
      </x:c>
      <x:c r="S1459">
        <x:v>-1.2755000000000001</x:v>
      </x:c>
      <x:c r="T1459" t="str">
        <x:f>""</x:f>
        <x:v/>
      </x:c>
      <x:c r="U1459" t="str">
        <x:f>""</x:f>
        <x:v/>
      </x:c>
      <x:c r="V1459" t="str">
        <x:f>""</x:f>
        <x:v/>
      </x:c>
      <x:c r="W1459" t="str">
        <x:f>""</x:f>
        <x:v/>
      </x:c>
      <x:c r="X1459" t="str">
        <x:f>""</x:f>
        <x:v/>
      </x:c>
      <x:c r="Y1459" t="str">
        <x:f>""</x:f>
        <x:v/>
      </x:c>
      <x:c r="Z1459" t="str">
        <x:f>""</x:f>
        <x:v/>
      </x:c>
      <x:c r="AA1459" t="str">
        <x:f>""</x:f>
        <x:v/>
      </x:c>
      <x:c r="AB1459" t="str">
        <x:f>""</x:f>
        <x:v/>
      </x:c>
      <x:c r="AC1459" t="str">
        <x:f>""</x:f>
        <x:v/>
      </x:c>
      <x:c r="AD1459" t="str">
        <x:f>""</x:f>
        <x:v/>
      </x:c>
      <x:c r="AE1459" t="str">
        <x:f>""</x:f>
        <x:v/>
      </x:c>
      <x:c r="AF1459" t="str">
        <x:f>""</x:f>
        <x:v/>
      </x:c>
      <x:c r="AG1459" t="str">
        <x:f>""</x:f>
        <x:v/>
      </x:c>
    </x:row>
    <x:row r="1460" spans="2:33" x14ac:dyDescent="0.25">
      <x:c r="B1460" t="str">
        <x:f>"SRS US Equity"</x:f>
        <x:v>SRS US Equity</x:v>
      </x:c>
      <x:c r="C1460" t="str">
        <x:f t="shared" si="62"/>
        <x:v>FD447</x:v>
      </x:c>
      <x:c r="D1460" t="str">
        <x:f t="shared" si="63"/>
        <x:v>FUND_FLOW</x:v>
      </x:c>
      <x:c r="E1460" t="str">
        <x:f t="shared" si="64"/>
        <x:v>Dynamic</x:v>
      </x:c>
      <x:c r="F1460">
        <x:f ca="1">_xll.BDH($B$1460,$C$1460,$B$1010,$B$1011,CONCATENATE("Per=",$B$1008),"Dts=H","Dir=H",CONCATENATE("Points=",$B$1009),"Sort=R","Days=A","Fill=B",CONCATENATE("FX=", $B$1007),"cols=14;rows=1")</x:f>
        <x:v>-7.4564000000000004</x:v>
      </x:c>
      <x:c r="G1460">
        <x:v>0</x:v>
      </x:c>
      <x:c r="H1460">
        <x:v>-0.4738</x:v>
      </x:c>
      <x:c r="I1460">
        <x:v>-0.4158</x:v>
      </x:c>
      <x:c r="J1460">
        <x:v>-2.1756000000000002</x:v>
      </x:c>
      <x:c r="K1460">
        <x:v>3.6892999999999998</x:v>
      </x:c>
      <x:c r="L1460">
        <x:v>1.8499999999999999E-2</x:v>
      </x:c>
      <x:c r="M1460">
        <x:v>-3.782</x:v>
      </x:c>
      <x:c r="N1460">
        <x:v>-2.2458</x:v>
      </x:c>
      <x:c r="O1460">
        <x:v>-2.1535000000000002</x:v>
      </x:c>
      <x:c r="P1460">
        <x:v>6.2579000000000002</x:v>
      </x:c>
      <x:c r="Q1460">
        <x:v>-0.96260000000000001</x:v>
      </x:c>
      <x:c r="R1460">
        <x:v>-12.1854</x:v>
      </x:c>
      <x:c r="S1460">
        <x:v>14.123799999999999</x:v>
      </x:c>
      <x:c r="T1460" t="str">
        <x:f>""</x:f>
        <x:v/>
      </x:c>
      <x:c r="U1460" t="str">
        <x:f>""</x:f>
        <x:v/>
      </x:c>
      <x:c r="V1460" t="str">
        <x:f>""</x:f>
        <x:v/>
      </x:c>
      <x:c r="W1460" t="str">
        <x:f>""</x:f>
        <x:v/>
      </x:c>
      <x:c r="X1460" t="str">
        <x:f>""</x:f>
        <x:v/>
      </x:c>
      <x:c r="Y1460" t="str">
        <x:f>""</x:f>
        <x:v/>
      </x:c>
      <x:c r="Z1460" t="str">
        <x:f>""</x:f>
        <x:v/>
      </x:c>
      <x:c r="AA1460" t="str">
        <x:f>""</x:f>
        <x:v/>
      </x:c>
      <x:c r="AB1460" t="str">
        <x:f>""</x:f>
        <x:v/>
      </x:c>
      <x:c r="AC1460" t="str">
        <x:f>""</x:f>
        <x:v/>
      </x:c>
      <x:c r="AD1460" t="str">
        <x:f>""</x:f>
        <x:v/>
      </x:c>
      <x:c r="AE1460" t="str">
        <x:f>""</x:f>
        <x:v/>
      </x:c>
      <x:c r="AF1460" t="str">
        <x:f>""</x:f>
        <x:v/>
      </x:c>
      <x:c r="AG1460" t="str">
        <x:f>""</x:f>
        <x:v/>
      </x:c>
    </x:row>
    <x:row r="1461" spans="2:33" x14ac:dyDescent="0.25">
      <x:c r="B1461" t="str">
        <x:f>"REML US Equity"</x:f>
        <x:v>REML US Equity</x:v>
      </x:c>
      <x:c r="C1461" t="str">
        <x:f t="shared" si="62"/>
        <x:v>FD447</x:v>
      </x:c>
      <x:c r="D1461" t="str">
        <x:f t="shared" si="63"/>
        <x:v>FUND_FLOW</x:v>
      </x:c>
      <x:c r="E1461" t="str">
        <x:f t="shared" si="64"/>
        <x:v>Dynamic</x:v>
      </x:c>
      <x:c r="F1461" t="str">
        <x:f ca="1">_xll.BDH($B$1461,$C$1461,$B$1010,$B$1011,CONCATENATE("Per=",$B$1008),"Dts=H","Dir=H",CONCATENATE("Points=",$B$1009),"Sort=R","Days=A","Fill=B",CONCATENATE("FX=", $B$1007) )</x:f>
        <x:v/>
      </x:c>
      <x:c r="T1461" t="str">
        <x:f>""</x:f>
        <x:v/>
      </x:c>
      <x:c r="U1461" t="str">
        <x:f>""</x:f>
        <x:v/>
      </x:c>
      <x:c r="V1461" t="str">
        <x:f>""</x:f>
        <x:v/>
      </x:c>
      <x:c r="W1461" t="str">
        <x:f>""</x:f>
        <x:v/>
      </x:c>
      <x:c r="X1461" t="str">
        <x:f>""</x:f>
        <x:v/>
      </x:c>
      <x:c r="Y1461" t="str">
        <x:f>""</x:f>
        <x:v/>
      </x:c>
      <x:c r="Z1461" t="str">
        <x:f>""</x:f>
        <x:v/>
      </x:c>
      <x:c r="AA1461" t="str">
        <x:f>""</x:f>
        <x:v/>
      </x:c>
      <x:c r="AB1461" t="str">
        <x:f>""</x:f>
        <x:v/>
      </x:c>
      <x:c r="AC1461" t="str">
        <x:f>""</x:f>
        <x:v/>
      </x:c>
      <x:c r="AD1461" t="str">
        <x:f>""</x:f>
        <x:v/>
      </x:c>
      <x:c r="AE1461" t="str">
        <x:f>""</x:f>
        <x:v/>
      </x:c>
      <x:c r="AF1461" t="str">
        <x:f>""</x:f>
        <x:v/>
      </x:c>
      <x:c r="AG1461" t="str">
        <x:f>""</x:f>
        <x:v/>
      </x:c>
    </x:row>
    <x:row r="1462" spans="2:33" x14ac:dyDescent="0.25">
      <x:c r="B1462" t="str">
        <x:f>"PSR US Equity"</x:f>
        <x:v>PSR US Equity</x:v>
      </x:c>
      <x:c r="C1462" t="str">
        <x:f t="shared" ref="C1462:C1525" si="65">"FD447"</x:f>
        <x:v>FD447</x:v>
      </x:c>
      <x:c r="D1462" t="str">
        <x:f t="shared" ref="D1462:D1525" si="66">"FUND_FLOW"</x:f>
        <x:v>FUND_FLOW</x:v>
      </x:c>
      <x:c r="E1462" t="str">
        <x:f t="shared" ref="E1462:E1525" si="67">"Dynamic"</x:f>
        <x:v>Dynamic</x:v>
      </x:c>
      <x:c r="F1462">
        <x:f ca="1">_xll.BDH($B$1462,$C$1462,$B$1010,$B$1011,CONCATENATE("Per=",$B$1008),"Dts=H","Dir=H",CONCATENATE("Points=",$B$1009),"Sort=R","Days=A","Fill=B",CONCATENATE("FX=", $B$1007),"cols=14;rows=1")</x:f>
        <x:v>-3.7982999999999998</x:v>
      </x:c>
      <x:c r="G1462">
        <x:v>-2.5388999999999999</x:v>
      </x:c>
      <x:c r="H1462">
        <x:v>-5.1494999999999997</x:v>
      </x:c>
      <x:c r="I1462">
        <x:v>-6.1771000000000003</x:v>
      </x:c>
      <x:c r="J1462">
        <x:v>-2.6000999999999999</x:v>
      </x:c>
      <x:c r="K1462">
        <x:v>-2.4222999999999999</x:v>
      </x:c>
      <x:c r="L1462">
        <x:v>-2.6246999999999998</x:v>
      </x:c>
      <x:c r="M1462">
        <x:v>3.4000000000000002E-2</x:v>
      </x:c>
      <x:c r="N1462">
        <x:v>-3.8033000000000001</x:v>
      </x:c>
      <x:c r="O1462">
        <x:v>-16.447700000000001</x:v>
      </x:c>
      <x:c r="P1462">
        <x:v>18.383800000000001</x:v>
      </x:c>
      <x:c r="Q1462">
        <x:v>10.829499999999999</x:v>
      </x:c>
      <x:c r="R1462">
        <x:v>-0.1449</x:v>
      </x:c>
      <x:c r="S1462">
        <x:v>4.1612999999999998</x:v>
      </x:c>
      <x:c r="T1462" t="str">
        <x:f>""</x:f>
        <x:v/>
      </x:c>
      <x:c r="U1462" t="str">
        <x:f>""</x:f>
        <x:v/>
      </x:c>
      <x:c r="V1462" t="str">
        <x:f>""</x:f>
        <x:v/>
      </x:c>
      <x:c r="W1462" t="str">
        <x:f>""</x:f>
        <x:v/>
      </x:c>
      <x:c r="X1462" t="str">
        <x:f>""</x:f>
        <x:v/>
      </x:c>
      <x:c r="Y1462" t="str">
        <x:f>""</x:f>
        <x:v/>
      </x:c>
      <x:c r="Z1462" t="str">
        <x:f>""</x:f>
        <x:v/>
      </x:c>
      <x:c r="AA1462" t="str">
        <x:f>""</x:f>
        <x:v/>
      </x:c>
      <x:c r="AB1462" t="str">
        <x:f>""</x:f>
        <x:v/>
      </x:c>
      <x:c r="AC1462" t="str">
        <x:f>""</x:f>
        <x:v/>
      </x:c>
      <x:c r="AD1462" t="str">
        <x:f>""</x:f>
        <x:v/>
      </x:c>
      <x:c r="AE1462" t="str">
        <x:f>""</x:f>
        <x:v/>
      </x:c>
      <x:c r="AF1462" t="str">
        <x:f>""</x:f>
        <x:v/>
      </x:c>
      <x:c r="AG1462" t="str">
        <x:f>""</x:f>
        <x:v/>
      </x:c>
    </x:row>
    <x:row r="1463" spans="2:33" x14ac:dyDescent="0.25">
      <x:c r="B1463" t="str">
        <x:f>"EWRE US Equity"</x:f>
        <x:v>EWRE US Equity</x:v>
      </x:c>
      <x:c r="C1463" t="str">
        <x:f t="shared" si="65"/>
        <x:v>FD447</x:v>
      </x:c>
      <x:c r="D1463" t="str">
        <x:f t="shared" si="66"/>
        <x:v>FUND_FLOW</x:v>
      </x:c>
      <x:c r="E1463" t="str">
        <x:f t="shared" si="67"/>
        <x:v>Dynamic</x:v>
      </x:c>
      <x:c r="F1463">
        <x:f ca="1">_xll.BDH($B$1463,$C$1463,$B$1010,$B$1011,CONCATENATE("Per=",$B$1008),"Dts=H","Dir=H",CONCATENATE("Points=",$B$1009),"Sort=R","Days=A","Fill=B",CONCATENATE("FX=", $B$1007),"cols=14;rows=1")</x:f>
        <x:v>2.1783999999999999</x:v>
      </x:c>
      <x:c r="G1463">
        <x:v>-11.9969</x:v>
      </x:c>
      <x:c r="H1463">
        <x:v>0.35599999999999998</x:v>
      </x:c>
      <x:c r="I1463">
        <x:v>-5.45E-2</x:v>
      </x:c>
      <x:c r="J1463">
        <x:v>-4.6684999999999999</x:v>
      </x:c>
      <x:c r="T1463" t="str">
        <x:f>""</x:f>
        <x:v/>
      </x:c>
      <x:c r="U1463" t="str">
        <x:f>""</x:f>
        <x:v/>
      </x:c>
      <x:c r="V1463" t="str">
        <x:f>""</x:f>
        <x:v/>
      </x:c>
      <x:c r="W1463" t="str">
        <x:f>""</x:f>
        <x:v/>
      </x:c>
      <x:c r="X1463" t="str">
        <x:f>""</x:f>
        <x:v/>
      </x:c>
      <x:c r="Y1463" t="str">
        <x:f>""</x:f>
        <x:v/>
      </x:c>
      <x:c r="Z1463" t="str">
        <x:f>""</x:f>
        <x:v/>
      </x:c>
      <x:c r="AA1463" t="str">
        <x:f>""</x:f>
        <x:v/>
      </x:c>
      <x:c r="AB1463" t="str">
        <x:f>""</x:f>
        <x:v/>
      </x:c>
      <x:c r="AC1463" t="str">
        <x:f>""</x:f>
        <x:v/>
      </x:c>
      <x:c r="AD1463" t="str">
        <x:f>""</x:f>
        <x:v/>
      </x:c>
      <x:c r="AE1463" t="str">
        <x:f>""</x:f>
        <x:v/>
      </x:c>
      <x:c r="AF1463" t="str">
        <x:f>""</x:f>
        <x:v/>
      </x:c>
      <x:c r="AG1463" t="str">
        <x:f>""</x:f>
        <x:v/>
      </x:c>
    </x:row>
    <x:row r="1464" spans="2:33" x14ac:dyDescent="0.25">
      <x:c r="B1464" t="str">
        <x:f>"WREI US Equity"</x:f>
        <x:v>WREI US Equity</x:v>
      </x:c>
      <x:c r="C1464" t="str">
        <x:f t="shared" si="65"/>
        <x:v>FD447</x:v>
      </x:c>
      <x:c r="D1464" t="str">
        <x:f t="shared" si="66"/>
        <x:v>FUND_FLOW</x:v>
      </x:c>
      <x:c r="E1464" t="str">
        <x:f t="shared" si="67"/>
        <x:v>Dynamic</x:v>
      </x:c>
      <x:c r="F1464" t="str">
        <x:f ca="1">_xll.BDH($B$1464,$C$1464,$B$1010,$B$1011,CONCATENATE("Per=",$B$1008),"Dts=H","Dir=H",CONCATENATE("Points=",$B$1009),"Sort=R","Days=A","Fill=B",CONCATENATE("FX=", $B$1007) )</x:f>
        <x:v/>
      </x:c>
      <x:c r="T1464" t="str">
        <x:f>""</x:f>
        <x:v/>
      </x:c>
      <x:c r="U1464" t="str">
        <x:f>""</x:f>
        <x:v/>
      </x:c>
      <x:c r="V1464" t="str">
        <x:f>""</x:f>
        <x:v/>
      </x:c>
      <x:c r="W1464" t="str">
        <x:f>""</x:f>
        <x:v/>
      </x:c>
      <x:c r="X1464" t="str">
        <x:f>""</x:f>
        <x:v/>
      </x:c>
      <x:c r="Y1464" t="str">
        <x:f>""</x:f>
        <x:v/>
      </x:c>
      <x:c r="Z1464" t="str">
        <x:f>""</x:f>
        <x:v/>
      </x:c>
      <x:c r="AA1464" t="str">
        <x:f>""</x:f>
        <x:v/>
      </x:c>
      <x:c r="AB1464" t="str">
        <x:f>""</x:f>
        <x:v/>
      </x:c>
      <x:c r="AC1464" t="str">
        <x:f>""</x:f>
        <x:v/>
      </x:c>
      <x:c r="AD1464" t="str">
        <x:f>""</x:f>
        <x:v/>
      </x:c>
      <x:c r="AE1464" t="str">
        <x:f>""</x:f>
        <x:v/>
      </x:c>
      <x:c r="AF1464" t="str">
        <x:f>""</x:f>
        <x:v/>
      </x:c>
      <x:c r="AG1464" t="str">
        <x:f>""</x:f>
        <x:v/>
      </x:c>
    </x:row>
    <x:row r="1465" spans="2:33" x14ac:dyDescent="0.25">
      <x:c r="B1465" t="str">
        <x:f>"MRRL US Equity"</x:f>
        <x:v>MRRL US Equity</x:v>
      </x:c>
      <x:c r="C1465" t="str">
        <x:f t="shared" si="65"/>
        <x:v>FD447</x:v>
      </x:c>
      <x:c r="D1465" t="str">
        <x:f t="shared" si="66"/>
        <x:v>FUND_FLOW</x:v>
      </x:c>
      <x:c r="E1465" t="str">
        <x:f t="shared" si="67"/>
        <x:v>Dynamic</x:v>
      </x:c>
      <x:c r="F1465" t="str">
        <x:f ca="1">_xll.BDH($B$1465,$C$1465,$B$1010,$B$1011,CONCATENATE("Per=",$B$1008),"Dts=H","Dir=H",CONCATENATE("Points=",$B$1009),"Sort=R","Days=A","Fill=B",CONCATENATE("FX=", $B$1007) )</x:f>
        <x:v/>
      </x:c>
      <x:c r="T1465" t="str">
        <x:f>""</x:f>
        <x:v/>
      </x:c>
      <x:c r="U1465" t="str">
        <x:f>""</x:f>
        <x:v/>
      </x:c>
      <x:c r="V1465" t="str">
        <x:f>""</x:f>
        <x:v/>
      </x:c>
      <x:c r="W1465" t="str">
        <x:f>""</x:f>
        <x:v/>
      </x:c>
      <x:c r="X1465" t="str">
        <x:f>""</x:f>
        <x:v/>
      </x:c>
      <x:c r="Y1465" t="str">
        <x:f>""</x:f>
        <x:v/>
      </x:c>
      <x:c r="Z1465" t="str">
        <x:f>""</x:f>
        <x:v/>
      </x:c>
      <x:c r="AA1465" t="str">
        <x:f>""</x:f>
        <x:v/>
      </x:c>
      <x:c r="AB1465" t="str">
        <x:f>""</x:f>
        <x:v/>
      </x:c>
      <x:c r="AC1465" t="str">
        <x:f>""</x:f>
        <x:v/>
      </x:c>
      <x:c r="AD1465" t="str">
        <x:f>""</x:f>
        <x:v/>
      </x:c>
      <x:c r="AE1465" t="str">
        <x:f>""</x:f>
        <x:v/>
      </x:c>
      <x:c r="AF1465" t="str">
        <x:f>""</x:f>
        <x:v/>
      </x:c>
      <x:c r="AG1465" t="str">
        <x:f>""</x:f>
        <x:v/>
      </x:c>
    </x:row>
    <x:row r="1466" spans="2:33" x14ac:dyDescent="0.25">
      <x:c r="B1466" t="str">
        <x:f>"DRV US Equity"</x:f>
        <x:v>DRV US Equity</x:v>
      </x:c>
      <x:c r="C1466" t="str">
        <x:f t="shared" si="65"/>
        <x:v>FD447</x:v>
      </x:c>
      <x:c r="D1466" t="str">
        <x:f t="shared" si="66"/>
        <x:v>FUND_FLOW</x:v>
      </x:c>
      <x:c r="E1466" t="str">
        <x:f t="shared" si="67"/>
        <x:v>Dynamic</x:v>
      </x:c>
      <x:c r="F1466">
        <x:f ca="1">_xll.BDH($B$1466,$C$1466,$B$1010,$B$1011,CONCATENATE("Per=",$B$1008),"Dts=H","Dir=H",CONCATENATE("Points=",$B$1009),"Sort=R","Days=A","Fill=B",CONCATENATE("FX=", $B$1007),"cols=14;rows=1")</x:f>
        <x:v>-23.004999999999999</x:v>
      </x:c>
      <x:c r="G1466">
        <x:v>-2.1067999999999998</x:v>
      </x:c>
      <x:c r="H1466">
        <x:v>-6.7385000000000002</x:v>
      </x:c>
      <x:c r="I1466">
        <x:v>-6.6134000000000004</x:v>
      </x:c>
      <x:c r="J1466">
        <x:v>-7.8154000000000003</x:v>
      </x:c>
      <x:c r="K1466">
        <x:v>-24.1553</x:v>
      </x:c>
      <x:c r="L1466">
        <x:v>17.343699999999998</x:v>
      </x:c>
      <x:c r="M1466">
        <x:v>-32.435099999999998</x:v>
      </x:c>
      <x:c r="N1466">
        <x:v>-8.1503999999999994</x:v>
      </x:c>
      <x:c r="O1466">
        <x:v>14.6378</x:v>
      </x:c>
      <x:c r="P1466">
        <x:v>-2.6463999999999999</x:v>
      </x:c>
      <x:c r="Q1466">
        <x:v>19.875599999999999</x:v>
      </x:c>
      <x:c r="R1466">
        <x:v>25.709399999999999</x:v>
      </x:c>
      <x:c r="S1466">
        <x:v>28.464200000000002</x:v>
      </x:c>
      <x:c r="T1466" t="str">
        <x:f>""</x:f>
        <x:v/>
      </x:c>
      <x:c r="U1466" t="str">
        <x:f>""</x:f>
        <x:v/>
      </x:c>
      <x:c r="V1466" t="str">
        <x:f>""</x:f>
        <x:v/>
      </x:c>
      <x:c r="W1466" t="str">
        <x:f>""</x:f>
        <x:v/>
      </x:c>
      <x:c r="X1466" t="str">
        <x:f>""</x:f>
        <x:v/>
      </x:c>
      <x:c r="Y1466" t="str">
        <x:f>""</x:f>
        <x:v/>
      </x:c>
      <x:c r="Z1466" t="str">
        <x:f>""</x:f>
        <x:v/>
      </x:c>
      <x:c r="AA1466" t="str">
        <x:f>""</x:f>
        <x:v/>
      </x:c>
      <x:c r="AB1466" t="str">
        <x:f>""</x:f>
        <x:v/>
      </x:c>
      <x:c r="AC1466" t="str">
        <x:f>""</x:f>
        <x:v/>
      </x:c>
      <x:c r="AD1466" t="str">
        <x:f>""</x:f>
        <x:v/>
      </x:c>
      <x:c r="AE1466" t="str">
        <x:f>""</x:f>
        <x:v/>
      </x:c>
      <x:c r="AF1466" t="str">
        <x:f>""</x:f>
        <x:v/>
      </x:c>
      <x:c r="AG1466" t="str">
        <x:f>""</x:f>
        <x:v/>
      </x:c>
    </x:row>
    <x:row r="1467" spans="2:33" x14ac:dyDescent="0.25">
      <x:c r="B1467" t="str">
        <x:f>"REK US Equity"</x:f>
        <x:v>REK US Equity</x:v>
      </x:c>
      <x:c r="C1467" t="str">
        <x:f t="shared" si="65"/>
        <x:v>FD447</x:v>
      </x:c>
      <x:c r="D1467" t="str">
        <x:f t="shared" si="66"/>
        <x:v>FUND_FLOW</x:v>
      </x:c>
      <x:c r="E1467" t="str">
        <x:f t="shared" si="67"/>
        <x:v>Dynamic</x:v>
      </x:c>
      <x:c r="F1467">
        <x:f ca="1">_xll.BDH($B$1467,$C$1467,$B$1010,$B$1011,CONCATENATE("Per=",$B$1008),"Dts=H","Dir=H",CONCATENATE("Points=",$B$1009),"Sort=R","Days=A","Fill=B",CONCATENATE("FX=", $B$1007),"cols=14;rows=1")</x:f>
        <x:v>4.6395999999999997</x:v>
      </x:c>
      <x:c r="G1467">
        <x:v>1.5724</x:v>
      </x:c>
      <x:c r="H1467">
        <x:v>-1.0314000000000001</x:v>
      </x:c>
      <x:c r="I1467">
        <x:v>-10.2187</x:v>
      </x:c>
      <x:c r="J1467">
        <x:v>-3.0118</x:v>
      </x:c>
      <x:c r="K1467">
        <x:v>9.2164000000000001</x:v>
      </x:c>
      <x:c r="L1467">
        <x:v>-2.0331000000000001</x:v>
      </x:c>
      <x:c r="M1467">
        <x:v>6.1467999999999998</x:v>
      </x:c>
      <x:c r="N1467">
        <x:v>-5.5883000000000003</x:v>
      </x:c>
      <x:c r="O1467">
        <x:v>-17.8962</x:v>
      </x:c>
      <x:c r="P1467">
        <x:v>1.0290999999999999</x:v>
      </x:c>
      <x:c r="Q1467">
        <x:v>-3.1181000000000001</x:v>
      </x:c>
      <x:c r="R1467">
        <x:v>-0.91139999999999999</x:v>
      </x:c>
      <x:c r="S1467">
        <x:v>28.193200000000001</x:v>
      </x:c>
      <x:c r="T1467" t="str">
        <x:f>""</x:f>
        <x:v/>
      </x:c>
      <x:c r="U1467" t="str">
        <x:f>""</x:f>
        <x:v/>
      </x:c>
      <x:c r="V1467" t="str">
        <x:f>""</x:f>
        <x:v/>
      </x:c>
      <x:c r="W1467" t="str">
        <x:f>""</x:f>
        <x:v/>
      </x:c>
      <x:c r="X1467" t="str">
        <x:f>""</x:f>
        <x:v/>
      </x:c>
      <x:c r="Y1467" t="str">
        <x:f>""</x:f>
        <x:v/>
      </x:c>
      <x:c r="Z1467" t="str">
        <x:f>""</x:f>
        <x:v/>
      </x:c>
      <x:c r="AA1467" t="str">
        <x:f>""</x:f>
        <x:v/>
      </x:c>
      <x:c r="AB1467" t="str">
        <x:f>""</x:f>
        <x:v/>
      </x:c>
      <x:c r="AC1467" t="str">
        <x:f>""</x:f>
        <x:v/>
      </x:c>
      <x:c r="AD1467" t="str">
        <x:f>""</x:f>
        <x:v/>
      </x:c>
      <x:c r="AE1467" t="str">
        <x:f>""</x:f>
        <x:v/>
      </x:c>
      <x:c r="AF1467" t="str">
        <x:f>""</x:f>
        <x:v/>
      </x:c>
      <x:c r="AG1467" t="str">
        <x:f>""</x:f>
        <x:v/>
      </x:c>
    </x:row>
    <x:row r="1468" spans="2:33" x14ac:dyDescent="0.25">
      <x:c r="B1468" t="str">
        <x:f>"PFFR US Equity"</x:f>
        <x:v>PFFR US Equity</x:v>
      </x:c>
      <x:c r="C1468" t="str">
        <x:f t="shared" si="65"/>
        <x:v>FD447</x:v>
      </x:c>
      <x:c r="D1468" t="str">
        <x:f t="shared" si="66"/>
        <x:v>FUND_FLOW</x:v>
      </x:c>
      <x:c r="E1468" t="str">
        <x:f t="shared" si="67"/>
        <x:v>Dynamic</x:v>
      </x:c>
      <x:c r="F1468">
        <x:f ca="1">_xll.BDH($B$1468,$C$1468,$B$1010,$B$1011,CONCATENATE("Per=",$B$1008),"Dts=H","Dir=H",CONCATENATE("Points=",$B$1009),"Sort=R","Days=A","Fill=B",CONCATENATE("FX=", $B$1007),"cols=14;rows=1")</x:f>
        <x:v>0</x:v>
      </x:c>
      <x:c r="G1468">
        <x:v>-1.7372000000000001</x:v>
      </x:c>
      <x:c r="H1468">
        <x:v>0.86750000000000005</x:v>
      </x:c>
      <x:c r="I1468">
        <x:v>0</x:v>
      </x:c>
      <x:c r="J1468">
        <x:v>-0.84130000000000005</x:v>
      </x:c>
      <x:c r="K1468">
        <x:v>-0.83389999999999997</x:v>
      </x:c>
      <x:c r="L1468">
        <x:v>-0.86360000000000003</x:v>
      </x:c>
      <x:c r="M1468">
        <x:v>0</x:v>
      </x:c>
      <x:c r="N1468">
        <x:v>4.6070000000000002</x:v>
      </x:c>
      <x:c r="O1468">
        <x:v>1.8562000000000001</x:v>
      </x:c>
      <x:c r="P1468">
        <x:v>-0.82579999999999998</x:v>
      </x:c>
      <x:c r="Q1468">
        <x:v>0.84919999999999995</x:v>
      </x:c>
      <x:c r="R1468">
        <x:v>0</x:v>
      </x:c>
      <x:c r="S1468">
        <x:v>1.4E-2</x:v>
      </x:c>
      <x:c r="T1468" t="str">
        <x:f>""</x:f>
        <x:v/>
      </x:c>
      <x:c r="U1468" t="str">
        <x:f>""</x:f>
        <x:v/>
      </x:c>
      <x:c r="V1468" t="str">
        <x:f>""</x:f>
        <x:v/>
      </x:c>
      <x:c r="W1468" t="str">
        <x:f>""</x:f>
        <x:v/>
      </x:c>
      <x:c r="X1468" t="str">
        <x:f>""</x:f>
        <x:v/>
      </x:c>
      <x:c r="Y1468" t="str">
        <x:f>""</x:f>
        <x:v/>
      </x:c>
      <x:c r="Z1468" t="str">
        <x:f>""</x:f>
        <x:v/>
      </x:c>
      <x:c r="AA1468" t="str">
        <x:f>""</x:f>
        <x:v/>
      </x:c>
      <x:c r="AB1468" t="str">
        <x:f>""</x:f>
        <x:v/>
      </x:c>
      <x:c r="AC1468" t="str">
        <x:f>""</x:f>
        <x:v/>
      </x:c>
      <x:c r="AD1468" t="str">
        <x:f>""</x:f>
        <x:v/>
      </x:c>
      <x:c r="AE1468" t="str">
        <x:f>""</x:f>
        <x:v/>
      </x:c>
      <x:c r="AF1468" t="str">
        <x:f>""</x:f>
        <x:v/>
      </x:c>
      <x:c r="AG1468" t="str">
        <x:f>""</x:f>
        <x:v/>
      </x:c>
    </x:row>
    <x:row r="1469" spans="2:33" x14ac:dyDescent="0.25">
      <x:c r="B1469" t="str">
        <x:f>"RORE US Equity"</x:f>
        <x:v>RORE US Equity</x:v>
      </x:c>
      <x:c r="C1469" t="str">
        <x:f t="shared" si="65"/>
        <x:v>FD447</x:v>
      </x:c>
      <x:c r="D1469" t="str">
        <x:f t="shared" si="66"/>
        <x:v>FUND_FLOW</x:v>
      </x:c>
      <x:c r="E1469" t="str">
        <x:f t="shared" si="67"/>
        <x:v>Dynamic</x:v>
      </x:c>
      <x:c r="F1469" t="str">
        <x:f ca="1">_xll.BDH($B$1469,$C$1469,$B$1010,$B$1011,CONCATENATE("Per=",$B$1008),"Dts=H","Dir=H",CONCATENATE("Points=",$B$1009),"Sort=R","Days=A","Fill=B",CONCATENATE("FX=", $B$1007) )</x:f>
        <x:v/>
      </x:c>
      <x:c r="T1469" t="str">
        <x:f>""</x:f>
        <x:v/>
      </x:c>
      <x:c r="U1469" t="str">
        <x:f>""</x:f>
        <x:v/>
      </x:c>
      <x:c r="V1469" t="str">
        <x:f>""</x:f>
        <x:v/>
      </x:c>
      <x:c r="W1469" t="str">
        <x:f>""</x:f>
        <x:v/>
      </x:c>
      <x:c r="X1469" t="str">
        <x:f>""</x:f>
        <x:v/>
      </x:c>
      <x:c r="Y1469" t="str">
        <x:f>""</x:f>
        <x:v/>
      </x:c>
      <x:c r="Z1469" t="str">
        <x:f>""</x:f>
        <x:v/>
      </x:c>
      <x:c r="AA1469" t="str">
        <x:f>""</x:f>
        <x:v/>
      </x:c>
      <x:c r="AB1469" t="str">
        <x:f>""</x:f>
        <x:v/>
      </x:c>
      <x:c r="AC1469" t="str">
        <x:f>""</x:f>
        <x:v/>
      </x:c>
      <x:c r="AD1469" t="str">
        <x:f>""</x:f>
        <x:v/>
      </x:c>
      <x:c r="AE1469" t="str">
        <x:f>""</x:f>
        <x:v/>
      </x:c>
      <x:c r="AF1469" t="str">
        <x:f>""</x:f>
        <x:v/>
      </x:c>
      <x:c r="AG1469" t="str">
        <x:f>""</x:f>
        <x:v/>
      </x:c>
    </x:row>
    <x:row r="1470" spans="2:33" x14ac:dyDescent="0.25">
      <x:c r="B1470" t="str">
        <x:f>"NURE US Equity"</x:f>
        <x:v>NURE US Equity</x:v>
      </x:c>
      <x:c r="C1470" t="str">
        <x:f t="shared" si="65"/>
        <x:v>FD447</x:v>
      </x:c>
      <x:c r="D1470" t="str">
        <x:f t="shared" si="66"/>
        <x:v>FUND_FLOW</x:v>
      </x:c>
      <x:c r="E1470" t="str">
        <x:f t="shared" si="67"/>
        <x:v>Dynamic</x:v>
      </x:c>
      <x:c r="F1470">
        <x:f ca="1">_xll.BDH($B$1470,$C$1470,$B$1010,$B$1011,CONCATENATE("Per=",$B$1008),"Dts=H","Dir=H",CONCATENATE("Points=",$B$1009),"Sort=R","Days=A","Fill=B",CONCATENATE("FX=", $B$1007),"cols=14;rows=1")</x:f>
        <x:v>-1.3689</x:v>
      </x:c>
      <x:c r="G1470">
        <x:v>-2.8022</x:v>
      </x:c>
      <x:c r="H1470">
        <x:v>2.9405000000000001</x:v>
      </x:c>
      <x:c r="I1470">
        <x:v>0</x:v>
      </x:c>
      <x:c r="J1470">
        <x:v>-3.0150000000000001</x:v>
      </x:c>
      <x:c r="K1470">
        <x:v>2.9258999999999999</x:v>
      </x:c>
      <x:c r="L1470">
        <x:v>-2.9817999999999998</x:v>
      </x:c>
      <x:c r="M1470">
        <x:v>-4.3909000000000002</x:v>
      </x:c>
      <x:c r="N1470">
        <x:v>-1.9800000000000002E-2</x:v>
      </x:c>
      <x:c r="O1470">
        <x:v>-10.7425</x:v>
      </x:c>
      <x:c r="P1470">
        <x:v>-19.353000000000002</x:v>
      </x:c>
      <x:c r="Q1470">
        <x:v>-13.044700000000001</x:v>
      </x:c>
      <x:c r="R1470">
        <x:v>0</x:v>
      </x:c>
      <x:c r="S1470">
        <x:v>1.0365</x:v>
      </x:c>
      <x:c r="T1470" t="str">
        <x:f>""</x:f>
        <x:v/>
      </x:c>
      <x:c r="U1470" t="str">
        <x:f>""</x:f>
        <x:v/>
      </x:c>
      <x:c r="V1470" t="str">
        <x:f>""</x:f>
        <x:v/>
      </x:c>
      <x:c r="W1470" t="str">
        <x:f>""</x:f>
        <x:v/>
      </x:c>
      <x:c r="X1470" t="str">
        <x:f>""</x:f>
        <x:v/>
      </x:c>
      <x:c r="Y1470" t="str">
        <x:f>""</x:f>
        <x:v/>
      </x:c>
      <x:c r="Z1470" t="str">
        <x:f>""</x:f>
        <x:v/>
      </x:c>
      <x:c r="AA1470" t="str">
        <x:f>""</x:f>
        <x:v/>
      </x:c>
      <x:c r="AB1470" t="str">
        <x:f>""</x:f>
        <x:v/>
      </x:c>
      <x:c r="AC1470" t="str">
        <x:f>""</x:f>
        <x:v/>
      </x:c>
      <x:c r="AD1470" t="str">
        <x:f>""</x:f>
        <x:v/>
      </x:c>
      <x:c r="AE1470" t="str">
        <x:f>""</x:f>
        <x:v/>
      </x:c>
      <x:c r="AF1470" t="str">
        <x:f>""</x:f>
        <x:v/>
      </x:c>
      <x:c r="AG1470" t="str">
        <x:f>""</x:f>
        <x:v/>
      </x:c>
    </x:row>
    <x:row r="1471" spans="2:33" x14ac:dyDescent="0.25">
      <x:c r="B1471" t="str">
        <x:f>"DXJR US Equity"</x:f>
        <x:v>DXJR US Equity</x:v>
      </x:c>
      <x:c r="C1471" t="str">
        <x:f t="shared" si="65"/>
        <x:v>FD447</x:v>
      </x:c>
      <x:c r="D1471" t="str">
        <x:f t="shared" si="66"/>
        <x:v>FUND_FLOW</x:v>
      </x:c>
      <x:c r="E1471" t="str">
        <x:f t="shared" si="67"/>
        <x:v>Dynamic</x:v>
      </x:c>
      <x:c r="F1471" t="str">
        <x:f ca="1">_xll.BDH($B$1471,$C$1471,$B$1010,$B$1011,CONCATENATE("Per=",$B$1008),"Dts=H","Dir=H",CONCATENATE("Points=",$B$1009),"Sort=R","Days=A","Fill=B",CONCATENATE("FX=", $B$1007) )</x:f>
        <x:v/>
      </x:c>
      <x:c r="T1471" t="str">
        <x:f>""</x:f>
        <x:v/>
      </x:c>
      <x:c r="U1471" t="str">
        <x:f>""</x:f>
        <x:v/>
      </x:c>
      <x:c r="V1471" t="str">
        <x:f>""</x:f>
        <x:v/>
      </x:c>
      <x:c r="W1471" t="str">
        <x:f>""</x:f>
        <x:v/>
      </x:c>
      <x:c r="X1471" t="str">
        <x:f>""</x:f>
        <x:v/>
      </x:c>
      <x:c r="Y1471" t="str">
        <x:f>""</x:f>
        <x:v/>
      </x:c>
      <x:c r="Z1471" t="str">
        <x:f>""</x:f>
        <x:v/>
      </x:c>
      <x:c r="AA1471" t="str">
        <x:f>""</x:f>
        <x:v/>
      </x:c>
      <x:c r="AB1471" t="str">
        <x:f>""</x:f>
        <x:v/>
      </x:c>
      <x:c r="AC1471" t="str">
        <x:f>""</x:f>
        <x:v/>
      </x:c>
      <x:c r="AD1471" t="str">
        <x:f>""</x:f>
        <x:v/>
      </x:c>
      <x:c r="AE1471" t="str">
        <x:f>""</x:f>
        <x:v/>
      </x:c>
      <x:c r="AF1471" t="str">
        <x:f>""</x:f>
        <x:v/>
      </x:c>
      <x:c r="AG1471" t="str">
        <x:f>""</x:f>
        <x:v/>
      </x:c>
    </x:row>
    <x:row r="1472" spans="2:33" x14ac:dyDescent="0.25">
      <x:c r="B1472" t="str">
        <x:f>"HDRW US Equity"</x:f>
        <x:v>HDRW US Equity</x:v>
      </x:c>
      <x:c r="C1472" t="str">
        <x:f t="shared" si="65"/>
        <x:v>FD447</x:v>
      </x:c>
      <x:c r="D1472" t="str">
        <x:f t="shared" si="66"/>
        <x:v>FUND_FLOW</x:v>
      </x:c>
      <x:c r="E1472" t="str">
        <x:f t="shared" si="67"/>
        <x:v>Dynamic</x:v>
      </x:c>
      <x:c r="F1472" t="str">
        <x:f ca="1">_xll.BDH($B$1472,$C$1472,$B$1010,$B$1011,CONCATENATE("Per=",$B$1008),"Dts=H","Dir=H",CONCATENATE("Points=",$B$1009),"Sort=R","Days=A","Fill=B",CONCATENATE("FX=", $B$1007) )</x:f>
        <x:v/>
      </x:c>
      <x:c r="T1472" t="str">
        <x:f>""</x:f>
        <x:v/>
      </x:c>
      <x:c r="U1472" t="str">
        <x:f>""</x:f>
        <x:v/>
      </x:c>
      <x:c r="V1472" t="str">
        <x:f>""</x:f>
        <x:v/>
      </x:c>
      <x:c r="W1472" t="str">
        <x:f>""</x:f>
        <x:v/>
      </x:c>
      <x:c r="X1472" t="str">
        <x:f>""</x:f>
        <x:v/>
      </x:c>
      <x:c r="Y1472" t="str">
        <x:f>""</x:f>
        <x:v/>
      </x:c>
      <x:c r="Z1472" t="str">
        <x:f>""</x:f>
        <x:v/>
      </x:c>
      <x:c r="AA1472" t="str">
        <x:f>""</x:f>
        <x:v/>
      </x:c>
      <x:c r="AB1472" t="str">
        <x:f>""</x:f>
        <x:v/>
      </x:c>
      <x:c r="AC1472" t="str">
        <x:f>""</x:f>
        <x:v/>
      </x:c>
      <x:c r="AD1472" t="str">
        <x:f>""</x:f>
        <x:v/>
      </x:c>
      <x:c r="AE1472" t="str">
        <x:f>""</x:f>
        <x:v/>
      </x:c>
      <x:c r="AF1472" t="str">
        <x:f>""</x:f>
        <x:v/>
      </x:c>
      <x:c r="AG1472" t="str">
        <x:f>""</x:f>
        <x:v/>
      </x:c>
    </x:row>
    <x:row r="1473" spans="2:33" x14ac:dyDescent="0.25">
      <x:c r="B1473" t="str">
        <x:f>"PRME US Equity"</x:f>
        <x:v>PRME US Equity</x:v>
      </x:c>
      <x:c r="C1473" t="str">
        <x:f t="shared" si="65"/>
        <x:v>FD447</x:v>
      </x:c>
      <x:c r="D1473" t="str">
        <x:f t="shared" si="66"/>
        <x:v>FUND_FLOW</x:v>
      </x:c>
      <x:c r="E1473" t="str">
        <x:f t="shared" si="67"/>
        <x:v>Dynamic</x:v>
      </x:c>
      <x:c r="F1473" t="str">
        <x:f ca="1">_xll.BDH($B$1473,$C$1473,$B$1010,$B$1011,CONCATENATE("Per=",$B$1008),"Dts=H","Dir=H",CONCATENATE("Points=",$B$1009),"Sort=R","Days=A","Fill=B",CONCATENATE("FX=", $B$1007) )</x:f>
        <x:v/>
      </x:c>
      <x:c r="T1473" t="str">
        <x:f>""</x:f>
        <x:v/>
      </x:c>
      <x:c r="U1473" t="str">
        <x:f>""</x:f>
        <x:v/>
      </x:c>
      <x:c r="V1473" t="str">
        <x:f>""</x:f>
        <x:v/>
      </x:c>
      <x:c r="W1473" t="str">
        <x:f>""</x:f>
        <x:v/>
      </x:c>
      <x:c r="X1473" t="str">
        <x:f>""</x:f>
        <x:v/>
      </x:c>
      <x:c r="Y1473" t="str">
        <x:f>""</x:f>
        <x:v/>
      </x:c>
      <x:c r="Z1473" t="str">
        <x:f>""</x:f>
        <x:v/>
      </x:c>
      <x:c r="AA1473" t="str">
        <x:f>""</x:f>
        <x:v/>
      </x:c>
      <x:c r="AB1473" t="str">
        <x:f>""</x:f>
        <x:v/>
      </x:c>
      <x:c r="AC1473" t="str">
        <x:f>""</x:f>
        <x:v/>
      </x:c>
      <x:c r="AD1473" t="str">
        <x:f>""</x:f>
        <x:v/>
      </x:c>
      <x:c r="AE1473" t="str">
        <x:f>""</x:f>
        <x:v/>
      </x:c>
      <x:c r="AF1473" t="str">
        <x:f>""</x:f>
        <x:v/>
      </x:c>
      <x:c r="AG1473" t="str">
        <x:f>""</x:f>
        <x:v/>
      </x:c>
    </x:row>
    <x:row r="1474" spans="2:33" x14ac:dyDescent="0.25">
      <x:c r="B1474" t="str">
        <x:f>"PPTY US Equity"</x:f>
        <x:v>PPTY US Equity</x:v>
      </x:c>
      <x:c r="C1474" t="str">
        <x:f t="shared" si="65"/>
        <x:v>FD447</x:v>
      </x:c>
      <x:c r="D1474" t="str">
        <x:f t="shared" si="66"/>
        <x:v>FUND_FLOW</x:v>
      </x:c>
      <x:c r="E1474" t="str">
        <x:f t="shared" si="67"/>
        <x:v>Dynamic</x:v>
      </x:c>
      <x:c r="F1474">
        <x:f ca="1">_xll.BDH($B$1474,$C$1474,$B$1010,$B$1011,CONCATENATE("Per=",$B$1008),"Dts=H","Dir=H",CONCATENATE("Points=",$B$1009),"Sort=R","Days=A","Fill=B",CONCATENATE("FX=", $B$1007),"cols=14;rows=1")</x:f>
        <x:v>1.3354999999999999</x:v>
      </x:c>
      <x:c r="G1474">
        <x:v>0</x:v>
      </x:c>
      <x:c r="H1474">
        <x:v>0</x:v>
      </x:c>
      <x:c r="I1474">
        <x:v>0</x:v>
      </x:c>
      <x:c r="J1474">
        <x:v>0</x:v>
      </x:c>
      <x:c r="K1474">
        <x:v>0</x:v>
      </x:c>
      <x:c r="L1474">
        <x:v>2.7772999999999999</x:v>
      </x:c>
      <x:c r="M1474">
        <x:v>-9.2299999999999993E-2</x:v>
      </x:c>
      <x:c r="N1474">
        <x:v>0</x:v>
      </x:c>
      <x:c r="O1474">
        <x:v>1.4710000000000001</x:v>
      </x:c>
      <x:c r="P1474">
        <x:v>0</x:v>
      </x:c>
      <x:c r="Q1474">
        <x:v>-1.3892</x:v>
      </x:c>
      <x:c r="R1474">
        <x:v>2.7332999999999998</x:v>
      </x:c>
      <x:c r="S1474">
        <x:v>-1.5980000000000001</x:v>
      </x:c>
      <x:c r="T1474" t="str">
        <x:f>""</x:f>
        <x:v/>
      </x:c>
      <x:c r="U1474" t="str">
        <x:f>""</x:f>
        <x:v/>
      </x:c>
      <x:c r="V1474" t="str">
        <x:f>""</x:f>
        <x:v/>
      </x:c>
      <x:c r="W1474" t="str">
        <x:f>""</x:f>
        <x:v/>
      </x:c>
      <x:c r="X1474" t="str">
        <x:f>""</x:f>
        <x:v/>
      </x:c>
      <x:c r="Y1474" t="str">
        <x:f>""</x:f>
        <x:v/>
      </x:c>
      <x:c r="Z1474" t="str">
        <x:f>""</x:f>
        <x:v/>
      </x:c>
      <x:c r="AA1474" t="str">
        <x:f>""</x:f>
        <x:v/>
      </x:c>
      <x:c r="AB1474" t="str">
        <x:f>""</x:f>
        <x:v/>
      </x:c>
      <x:c r="AC1474" t="str">
        <x:f>""</x:f>
        <x:v/>
      </x:c>
      <x:c r="AD1474" t="str">
        <x:f>""</x:f>
        <x:v/>
      </x:c>
      <x:c r="AE1474" t="str">
        <x:f>""</x:f>
        <x:v/>
      </x:c>
      <x:c r="AF1474" t="str">
        <x:f>""</x:f>
        <x:v/>
      </x:c>
      <x:c r="AG1474" t="str">
        <x:f>""</x:f>
        <x:v/>
      </x:c>
    </x:row>
    <x:row r="1475" spans="2:33" x14ac:dyDescent="0.25">
      <x:c r="B1475" t="str">
        <x:f>"BBRE US Equity"</x:f>
        <x:v>BBRE US Equity</x:v>
      </x:c>
      <x:c r="C1475" t="str">
        <x:f t="shared" si="65"/>
        <x:v>FD447</x:v>
      </x:c>
      <x:c r="D1475" t="str">
        <x:f t="shared" si="66"/>
        <x:v>FUND_FLOW</x:v>
      </x:c>
      <x:c r="E1475" t="str">
        <x:f t="shared" si="67"/>
        <x:v>Dynamic</x:v>
      </x:c>
      <x:c r="F1475">
        <x:f ca="1">_xll.BDH($B$1475,$C$1475,$B$1010,$B$1011,CONCATENATE("Per=",$B$1008),"Dts=H","Dir=H",CONCATENATE("Points=",$B$1009),"Sort=R","Days=A","Fill=B",CONCATENATE("FX=", $B$1007),"cols=14;rows=1")</x:f>
        <x:v>37.745100000000001</x:v>
      </x:c>
      <x:c r="G1475">
        <x:v>37.542000000000002</x:v>
      </x:c>
      <x:c r="H1475">
        <x:v>16.736000000000001</x:v>
      </x:c>
      <x:c r="I1475">
        <x:v>-13.0769</x:v>
      </x:c>
      <x:c r="J1475">
        <x:v>-6.4805999999999999</x:v>
      </x:c>
      <x:c r="K1475">
        <x:v>-8.1938999999999993</x:v>
      </x:c>
      <x:c r="L1475">
        <x:v>-30.867699999999999</x:v>
      </x:c>
      <x:c r="M1475">
        <x:v>59.608400000000003</x:v>
      </x:c>
      <x:c r="N1475">
        <x:v>-156.79730000000001</x:v>
      </x:c>
      <x:c r="O1475">
        <x:v>-0.50729999999999997</x:v>
      </x:c>
      <x:c r="P1475">
        <x:v>-99.022800000000004</x:v>
      </x:c>
      <x:c r="Q1475">
        <x:v>-6.5942999999999996</x:v>
      </x:c>
      <x:c r="R1475">
        <x:v>11.657400000000001</x:v>
      </x:c>
      <x:c r="S1475">
        <x:v>26.2956</x:v>
      </x:c>
      <x:c r="T1475" t="str">
        <x:f>""</x:f>
        <x:v/>
      </x:c>
      <x:c r="U1475" t="str">
        <x:f>""</x:f>
        <x:v/>
      </x:c>
      <x:c r="V1475" t="str">
        <x:f>""</x:f>
        <x:v/>
      </x:c>
      <x:c r="W1475" t="str">
        <x:f>""</x:f>
        <x:v/>
      </x:c>
      <x:c r="X1475" t="str">
        <x:f>""</x:f>
        <x:v/>
      </x:c>
      <x:c r="Y1475" t="str">
        <x:f>""</x:f>
        <x:v/>
      </x:c>
      <x:c r="Z1475" t="str">
        <x:f>""</x:f>
        <x:v/>
      </x:c>
      <x:c r="AA1475" t="str">
        <x:f>""</x:f>
        <x:v/>
      </x:c>
      <x:c r="AB1475" t="str">
        <x:f>""</x:f>
        <x:v/>
      </x:c>
      <x:c r="AC1475" t="str">
        <x:f>""</x:f>
        <x:v/>
      </x:c>
      <x:c r="AD1475" t="str">
        <x:f>""</x:f>
        <x:v/>
      </x:c>
      <x:c r="AE1475" t="str">
        <x:f>""</x:f>
        <x:v/>
      </x:c>
      <x:c r="AF1475" t="str">
        <x:f>""</x:f>
        <x:v/>
      </x:c>
      <x:c r="AG1475" t="str">
        <x:f>""</x:f>
        <x:v/>
      </x:c>
    </x:row>
    <x:row r="1476" spans="2:33" x14ac:dyDescent="0.25">
      <x:c r="B1476" t="str">
        <x:f>"INDS US Equity"</x:f>
        <x:v>INDS US Equity</x:v>
      </x:c>
      <x:c r="C1476" t="str">
        <x:f t="shared" si="65"/>
        <x:v>FD447</x:v>
      </x:c>
      <x:c r="D1476" t="str">
        <x:f t="shared" si="66"/>
        <x:v>FUND_FLOW</x:v>
      </x:c>
      <x:c r="E1476" t="str">
        <x:f t="shared" si="67"/>
        <x:v>Dynamic</x:v>
      </x:c>
      <x:c r="F1476">
        <x:f ca="1">_xll.BDH($B$1476,$C$1476,$B$1010,$B$1011,CONCATENATE("Per=",$B$1008),"Dts=H","Dir=H",CONCATENATE("Points=",$B$1009),"Sort=R","Days=A","Fill=B",CONCATENATE("FX=", $B$1007),"cols=14;rows=1")</x:f>
        <x:v>-1.6335999999999999</x:v>
      </x:c>
      <x:c r="G1476">
        <x:v>0</x:v>
      </x:c>
      <x:c r="H1476">
        <x:v>-7.6791</x:v>
      </x:c>
      <x:c r="I1476">
        <x:v>0</x:v>
      </x:c>
      <x:c r="J1476">
        <x:v>9.9466000000000001</x:v>
      </x:c>
      <x:c r="K1476">
        <x:v>-4.1116999999999999</x:v>
      </x:c>
      <x:c r="L1476">
        <x:v>2.1202000000000001</x:v>
      </x:c>
      <x:c r="M1476">
        <x:v>0</x:v>
      </x:c>
      <x:c r="N1476">
        <x:v>-6.0747999999999998</x:v>
      </x:c>
      <x:c r="O1476">
        <x:v>-9.4216999999999995</x:v>
      </x:c>
      <x:c r="P1476">
        <x:v>-5.7991999999999999</x:v>
      </x:c>
      <x:c r="Q1476">
        <x:v>5.7885</x:v>
      </x:c>
      <x:c r="R1476">
        <x:v>-18.0337</x:v>
      </x:c>
      <x:c r="S1476">
        <x:v>-13.738899999999999</x:v>
      </x:c>
      <x:c r="T1476" t="str">
        <x:f>""</x:f>
        <x:v/>
      </x:c>
      <x:c r="U1476" t="str">
        <x:f>""</x:f>
        <x:v/>
      </x:c>
      <x:c r="V1476" t="str">
        <x:f>""</x:f>
        <x:v/>
      </x:c>
      <x:c r="W1476" t="str">
        <x:f>""</x:f>
        <x:v/>
      </x:c>
      <x:c r="X1476" t="str">
        <x:f>""</x:f>
        <x:v/>
      </x:c>
      <x:c r="Y1476" t="str">
        <x:f>""</x:f>
        <x:v/>
      </x:c>
      <x:c r="Z1476" t="str">
        <x:f>""</x:f>
        <x:v/>
      </x:c>
      <x:c r="AA1476" t="str">
        <x:f>""</x:f>
        <x:v/>
      </x:c>
      <x:c r="AB1476" t="str">
        <x:f>""</x:f>
        <x:v/>
      </x:c>
      <x:c r="AC1476" t="str">
        <x:f>""</x:f>
        <x:v/>
      </x:c>
      <x:c r="AD1476" t="str">
        <x:f>""</x:f>
        <x:v/>
      </x:c>
      <x:c r="AE1476" t="str">
        <x:f>""</x:f>
        <x:v/>
      </x:c>
      <x:c r="AF1476" t="str">
        <x:f>""</x:f>
        <x:v/>
      </x:c>
      <x:c r="AG1476" t="str">
        <x:f>""</x:f>
        <x:v/>
      </x:c>
    </x:row>
    <x:row r="1477" spans="2:33" x14ac:dyDescent="0.25">
      <x:c r="B1477" t="str">
        <x:f>"RTL US Equity"</x:f>
        <x:v>RTL US Equity</x:v>
      </x:c>
      <x:c r="C1477" t="str">
        <x:f t="shared" si="65"/>
        <x:v>FD447</x:v>
      </x:c>
      <x:c r="D1477" t="str">
        <x:f t="shared" si="66"/>
        <x:v>FUND_FLOW</x:v>
      </x:c>
      <x:c r="E1477" t="str">
        <x:f t="shared" si="67"/>
        <x:v>Dynamic</x:v>
      </x:c>
      <x:c r="F1477" t="str">
        <x:f ca="1">_xll.BDH($B$1477,$C$1477,$B$1010,$B$1011,CONCATENATE("Per=",$B$1008),"Dts=H","Dir=H",CONCATENATE("Points=",$B$1009),"Sort=R","Days=A","Fill=B",CONCATENATE("FX=", $B$1007) )</x:f>
        <x:v/>
      </x:c>
      <x:c r="T1477" t="str">
        <x:f>""</x:f>
        <x:v/>
      </x:c>
      <x:c r="U1477" t="str">
        <x:f>""</x:f>
        <x:v/>
      </x:c>
      <x:c r="V1477" t="str">
        <x:f>""</x:f>
        <x:v/>
      </x:c>
      <x:c r="W1477" t="str">
        <x:f>""</x:f>
        <x:v/>
      </x:c>
      <x:c r="X1477" t="str">
        <x:f>""</x:f>
        <x:v/>
      </x:c>
      <x:c r="Y1477" t="str">
        <x:f>""</x:f>
        <x:v/>
      </x:c>
      <x:c r="Z1477" t="str">
        <x:f>""</x:f>
        <x:v/>
      </x:c>
      <x:c r="AA1477" t="str">
        <x:f>""</x:f>
        <x:v/>
      </x:c>
      <x:c r="AB1477" t="str">
        <x:f>""</x:f>
        <x:v/>
      </x:c>
      <x:c r="AC1477" t="str">
        <x:f>""</x:f>
        <x:v/>
      </x:c>
      <x:c r="AD1477" t="str">
        <x:f>""</x:f>
        <x:v/>
      </x:c>
      <x:c r="AE1477" t="str">
        <x:f>""</x:f>
        <x:v/>
      </x:c>
      <x:c r="AF1477" t="str">
        <x:f>""</x:f>
        <x:v/>
      </x:c>
      <x:c r="AG1477" t="str">
        <x:f>""</x:f>
        <x:v/>
      </x:c>
    </x:row>
    <x:row r="1478" spans="2:33" x14ac:dyDescent="0.25">
      <x:c r="B1478" t="str">
        <x:f>"SRVR US Equity"</x:f>
        <x:v>SRVR US Equity</x:v>
      </x:c>
      <x:c r="C1478" t="str">
        <x:f t="shared" si="65"/>
        <x:v>FD447</x:v>
      </x:c>
      <x:c r="D1478" t="str">
        <x:f t="shared" si="66"/>
        <x:v>FUND_FLOW</x:v>
      </x:c>
      <x:c r="E1478" t="str">
        <x:f t="shared" si="67"/>
        <x:v>Dynamic</x:v>
      </x:c>
      <x:c r="F1478">
        <x:f ca="1">_xll.BDH($B$1478,$C$1478,$B$1010,$B$1011,CONCATENATE("Per=",$B$1008),"Dts=H","Dir=H",CONCATENATE("Points=",$B$1009),"Sort=R","Days=A","Fill=B",CONCATENATE("FX=", $B$1007),"cols=14;rows=1")</x:f>
        <x:v>-38.2256</x:v>
      </x:c>
      <x:c r="G1478">
        <x:v>-13.857200000000001</x:v>
      </x:c>
      <x:c r="H1478">
        <x:v>-12.7445</x:v>
      </x:c>
      <x:c r="I1478">
        <x:v>-11.7986</x:v>
      </x:c>
      <x:c r="J1478">
        <x:v>-37.391300000000001</x:v>
      </x:c>
      <x:c r="K1478">
        <x:v>-48.341500000000003</x:v>
      </x:c>
      <x:c r="L1478">
        <x:v>-37.294499999999999</x:v>
      </x:c>
      <x:c r="M1478">
        <x:v>-21.770900000000001</x:v>
      </x:c>
      <x:c r="N1478">
        <x:v>-7.7390999999999996</x:v>
      </x:c>
      <x:c r="O1478">
        <x:v>-117.0292</x:v>
      </x:c>
      <x:c r="P1478">
        <x:v>-40.087699999999998</x:v>
      </x:c>
      <x:c r="Q1478">
        <x:v>-29.3735</x:v>
      </x:c>
      <x:c r="R1478">
        <x:v>-38.325200000000002</x:v>
      </x:c>
      <x:c r="S1478">
        <x:v>-0.29089999999999999</x:v>
      </x:c>
      <x:c r="T1478" t="str">
        <x:f>""</x:f>
        <x:v/>
      </x:c>
      <x:c r="U1478" t="str">
        <x:f>""</x:f>
        <x:v/>
      </x:c>
      <x:c r="V1478" t="str">
        <x:f>""</x:f>
        <x:v/>
      </x:c>
      <x:c r="W1478" t="str">
        <x:f>""</x:f>
        <x:v/>
      </x:c>
      <x:c r="X1478" t="str">
        <x:f>""</x:f>
        <x:v/>
      </x:c>
      <x:c r="Y1478" t="str">
        <x:f>""</x:f>
        <x:v/>
      </x:c>
      <x:c r="Z1478" t="str">
        <x:f>""</x:f>
        <x:v/>
      </x:c>
      <x:c r="AA1478" t="str">
        <x:f>""</x:f>
        <x:v/>
      </x:c>
      <x:c r="AB1478" t="str">
        <x:f>""</x:f>
        <x:v/>
      </x:c>
      <x:c r="AC1478" t="str">
        <x:f>""</x:f>
        <x:v/>
      </x:c>
      <x:c r="AD1478" t="str">
        <x:f>""</x:f>
        <x:v/>
      </x:c>
      <x:c r="AE1478" t="str">
        <x:f>""</x:f>
        <x:v/>
      </x:c>
      <x:c r="AF1478" t="str">
        <x:f>""</x:f>
        <x:v/>
      </x:c>
      <x:c r="AG1478" t="str">
        <x:f>""</x:f>
        <x:v/>
      </x:c>
    </x:row>
    <x:row r="1479" spans="2:33" x14ac:dyDescent="0.25">
      <x:c r="B1479" t="str">
        <x:f>"CHIR US Equity"</x:f>
        <x:v>CHIR US Equity</x:v>
      </x:c>
      <x:c r="C1479" t="str">
        <x:f t="shared" si="65"/>
        <x:v>FD447</x:v>
      </x:c>
      <x:c r="D1479" t="str">
        <x:f t="shared" si="66"/>
        <x:v>FUND_FLOW</x:v>
      </x:c>
      <x:c r="E1479" t="str">
        <x:f t="shared" si="67"/>
        <x:v>Dynamic</x:v>
      </x:c>
      <x:c r="F1479">
        <x:f ca="1">_xll.BDH($B$1479,$C$1479,$B$1010,$B$1011,CONCATENATE("Per=",$B$1008),"Dts=H","Dir=H",CONCATENATE("Points=",$B$1009),"Sort=R","Days=A","Fill=B",CONCATENATE("FX=", $B$1007),"cols=14;rows=1")</x:f>
        <x:v>0.47460000000000002</x:v>
      </x:c>
      <x:c r="G1479">
        <x:v>0.9002</x:v>
      </x:c>
      <x:c r="H1479">
        <x:v>-2.4400000000000002E-2</x:v>
      </x:c>
      <x:c r="I1479">
        <x:v>0.34379999999999999</x:v>
      </x:c>
      <x:c r="J1479">
        <x:v>0.35539999999999999</x:v>
      </x:c>
      <x:c r="K1479">
        <x:v>-0.18790000000000001</x:v>
      </x:c>
      <x:c r="L1479">
        <x:v>0.85019999999999996</x:v>
      </x:c>
      <x:c r="M1479">
        <x:v>0</x:v>
      </x:c>
      <x:c r="N1479">
        <x:v>0</x:v>
      </x:c>
      <x:c r="O1479">
        <x:v>-2.8999999999999998E-3</x:v>
      </x:c>
      <x:c r="P1479">
        <x:v>0.21609999999999999</x:v>
      </x:c>
      <x:c r="Q1479">
        <x:v>0</x:v>
      </x:c>
      <x:c r="R1479">
        <x:v>0</x:v>
      </x:c>
      <x:c r="S1479">
        <x:v>0</x:v>
      </x:c>
      <x:c r="T1479" t="str">
        <x:f>""</x:f>
        <x:v/>
      </x:c>
      <x:c r="U1479" t="str">
        <x:f>""</x:f>
        <x:v/>
      </x:c>
      <x:c r="V1479" t="str">
        <x:f>""</x:f>
        <x:v/>
      </x:c>
      <x:c r="W1479" t="str">
        <x:f>""</x:f>
        <x:v/>
      </x:c>
      <x:c r="X1479" t="str">
        <x:f>""</x:f>
        <x:v/>
      </x:c>
      <x:c r="Y1479" t="str">
        <x:f>""</x:f>
        <x:v/>
      </x:c>
      <x:c r="Z1479" t="str">
        <x:f>""</x:f>
        <x:v/>
      </x:c>
      <x:c r="AA1479" t="str">
        <x:f>""</x:f>
        <x:v/>
      </x:c>
      <x:c r="AB1479" t="str">
        <x:f>""</x:f>
        <x:v/>
      </x:c>
      <x:c r="AC1479" t="str">
        <x:f>""</x:f>
        <x:v/>
      </x:c>
      <x:c r="AD1479" t="str">
        <x:f>""</x:f>
        <x:v/>
      </x:c>
      <x:c r="AE1479" t="str">
        <x:f>""</x:f>
        <x:v/>
      </x:c>
      <x:c r="AF1479" t="str">
        <x:f>""</x:f>
        <x:v/>
      </x:c>
      <x:c r="AG1479" t="str">
        <x:f>""</x:f>
        <x:v/>
      </x:c>
    </x:row>
    <x:row r="1480" spans="2:33" x14ac:dyDescent="0.25">
      <x:c r="B1480" t="str">
        <x:f>"HOMZ US Equity"</x:f>
        <x:v>HOMZ US Equity</x:v>
      </x:c>
      <x:c r="C1480" t="str">
        <x:f t="shared" si="65"/>
        <x:v>FD447</x:v>
      </x:c>
      <x:c r="D1480" t="str">
        <x:f t="shared" si="66"/>
        <x:v>FUND_FLOW</x:v>
      </x:c>
      <x:c r="E1480" t="str">
        <x:f t="shared" si="67"/>
        <x:v>Dynamic</x:v>
      </x:c>
      <x:c r="F1480">
        <x:f ca="1">_xll.BDH($B$1480,$C$1480,$B$1010,$B$1011,CONCATENATE("Per=",$B$1008),"Dts=H","Dir=H",CONCATENATE("Points=",$B$1009),"Sort=R","Days=A","Fill=B",CONCATENATE("FX=", $B$1007),"cols=14;rows=1")</x:f>
        <x:v>0</x:v>
      </x:c>
      <x:c r="G1480">
        <x:v>0</x:v>
      </x:c>
      <x:c r="H1480">
        <x:v>0</x:v>
      </x:c>
      <x:c r="I1480">
        <x:v>0</x:v>
      </x:c>
      <x:c r="J1480">
        <x:v>0</x:v>
      </x:c>
      <x:c r="K1480">
        <x:v>-0.88919999999999999</x:v>
      </x:c>
      <x:c r="L1480">
        <x:v>0</x:v>
      </x:c>
      <x:c r="M1480">
        <x:v>-0.82479999999999998</x:v>
      </x:c>
      <x:c r="N1480">
        <x:v>0</x:v>
      </x:c>
      <x:c r="O1480">
        <x:v>0</x:v>
      </x:c>
      <x:c r="P1480">
        <x:v>-1.6191</x:v>
      </x:c>
      <x:c r="Q1480">
        <x:v>-0.83609999999999995</x:v>
      </x:c>
      <x:c r="R1480">
        <x:v>-0.78669999999999995</x:v>
      </x:c>
      <x:c r="S1480">
        <x:v>-2.5268000000000002</x:v>
      </x:c>
      <x:c r="T1480" t="str">
        <x:f>""</x:f>
        <x:v/>
      </x:c>
      <x:c r="U1480" t="str">
        <x:f>""</x:f>
        <x:v/>
      </x:c>
      <x:c r="V1480" t="str">
        <x:f>""</x:f>
        <x:v/>
      </x:c>
      <x:c r="W1480" t="str">
        <x:f>""</x:f>
        <x:v/>
      </x:c>
      <x:c r="X1480" t="str">
        <x:f>""</x:f>
        <x:v/>
      </x:c>
      <x:c r="Y1480" t="str">
        <x:f>""</x:f>
        <x:v/>
      </x:c>
      <x:c r="Z1480" t="str">
        <x:f>""</x:f>
        <x:v/>
      </x:c>
      <x:c r="AA1480" t="str">
        <x:f>""</x:f>
        <x:v/>
      </x:c>
      <x:c r="AB1480" t="str">
        <x:f>""</x:f>
        <x:v/>
      </x:c>
      <x:c r="AC1480" t="str">
        <x:f>""</x:f>
        <x:v/>
      </x:c>
      <x:c r="AD1480" t="str">
        <x:f>""</x:f>
        <x:v/>
      </x:c>
      <x:c r="AE1480" t="str">
        <x:f>""</x:f>
        <x:v/>
      </x:c>
      <x:c r="AF1480" t="str">
        <x:f>""</x:f>
        <x:v/>
      </x:c>
      <x:c r="AG1480" t="str">
        <x:f>""</x:f>
        <x:v/>
      </x:c>
    </x:row>
    <x:row r="1481" spans="2:33" x14ac:dyDescent="0.25">
      <x:c r="B1481" t="str">
        <x:f>"NETL US Equity"</x:f>
        <x:v>NETL US Equity</x:v>
      </x:c>
      <x:c r="C1481" t="str">
        <x:f t="shared" si="65"/>
        <x:v>FD447</x:v>
      </x:c>
      <x:c r="D1481" t="str">
        <x:f t="shared" si="66"/>
        <x:v>FUND_FLOW</x:v>
      </x:c>
      <x:c r="E1481" t="str">
        <x:f t="shared" si="67"/>
        <x:v>Dynamic</x:v>
      </x:c>
      <x:c r="F1481">
        <x:f ca="1">_xll.BDH($B$1481,$C$1481,$B$1010,$B$1011,CONCATENATE("Per=",$B$1008),"Dts=H","Dir=H",CONCATENATE("Points=",$B$1009),"Sort=R","Days=A","Fill=B",CONCATENATE("FX=", $B$1007),"cols=14;rows=1")</x:f>
        <x:v>-2.0949</x:v>
      </x:c>
      <x:c r="G1481">
        <x:v>-5.2786999999999997</x:v>
      </x:c>
      <x:c r="H1481">
        <x:v>-2.3247</x:v>
      </x:c>
      <x:c r="I1481">
        <x:v>-0.61880000000000002</x:v>
      </x:c>
      <x:c r="J1481">
        <x:v>-5.5372000000000003</x:v>
      </x:c>
      <x:c r="K1481">
        <x:v>-0.60729999999999995</x:v>
      </x:c>
      <x:c r="L1481">
        <x:v>1.2246999999999999</x:v>
      </x:c>
      <x:c r="M1481">
        <x:v>0.54079999999999995</x:v>
      </x:c>
      <x:c r="N1481">
        <x:v>0.64690000000000003</x:v>
      </x:c>
      <x:c r="O1481">
        <x:v>3.9356</x:v>
      </x:c>
      <x:c r="P1481">
        <x:v>-3.2292000000000001</x:v>
      </x:c>
      <x:c r="Q1481">
        <x:v>5.7313000000000001</x:v>
      </x:c>
      <x:c r="R1481">
        <x:v>-11.150600000000001</x:v>
      </x:c>
      <x:c r="S1481">
        <x:v>1.2344999999999999</x:v>
      </x:c>
      <x:c r="T1481" t="str">
        <x:f>""</x:f>
        <x:v/>
      </x:c>
      <x:c r="U1481" t="str">
        <x:f>""</x:f>
        <x:v/>
      </x:c>
      <x:c r="V1481" t="str">
        <x:f>""</x:f>
        <x:v/>
      </x:c>
      <x:c r="W1481" t="str">
        <x:f>""</x:f>
        <x:v/>
      </x:c>
      <x:c r="X1481" t="str">
        <x:f>""</x:f>
        <x:v/>
      </x:c>
      <x:c r="Y1481" t="str">
        <x:f>""</x:f>
        <x:v/>
      </x:c>
      <x:c r="Z1481" t="str">
        <x:f>""</x:f>
        <x:v/>
      </x:c>
      <x:c r="AA1481" t="str">
        <x:f>""</x:f>
        <x:v/>
      </x:c>
      <x:c r="AB1481" t="str">
        <x:f>""</x:f>
        <x:v/>
      </x:c>
      <x:c r="AC1481" t="str">
        <x:f>""</x:f>
        <x:v/>
      </x:c>
      <x:c r="AD1481" t="str">
        <x:f>""</x:f>
        <x:v/>
      </x:c>
      <x:c r="AE1481" t="str">
        <x:f>""</x:f>
        <x:v/>
      </x:c>
      <x:c r="AF1481" t="str">
        <x:f>""</x:f>
        <x:v/>
      </x:c>
      <x:c r="AG1481" t="str">
        <x:f>""</x:f>
        <x:v/>
      </x:c>
    </x:row>
    <x:row r="1482" spans="2:33" x14ac:dyDescent="0.25">
      <x:c r="B1482" t="str">
        <x:f>"VRAI US Equity"</x:f>
        <x:v>VRAI US Equity</x:v>
      </x:c>
      <x:c r="C1482" t="str">
        <x:f t="shared" si="65"/>
        <x:v>FD447</x:v>
      </x:c>
      <x:c r="D1482" t="str">
        <x:f t="shared" si="66"/>
        <x:v>FUND_FLOW</x:v>
      </x:c>
      <x:c r="E1482" t="str">
        <x:f t="shared" si="67"/>
        <x:v>Dynamic</x:v>
      </x:c>
      <x:c r="F1482">
        <x:f ca="1">_xll.BDH($B$1482,$C$1482,$B$1010,$B$1011,CONCATENATE("Per=",$B$1008),"Dts=H","Dir=H",CONCATENATE("Points=",$B$1009),"Sort=R","Days=A","Fill=B",CONCATENATE("FX=", $B$1007),"cols=14;rows=1")</x:f>
        <x:v>0</x:v>
      </x:c>
      <x:c r="G1482">
        <x:v>-1.1294</x:v>
      </x:c>
      <x:c r="H1482">
        <x:v>0</x:v>
      </x:c>
      <x:c r="I1482">
        <x:v>-1.204</x:v>
      </x:c>
      <x:c r="J1482">
        <x:v>-1.1960999999999999</x:v>
      </x:c>
      <x:c r="K1482">
        <x:v>0</x:v>
      </x:c>
      <x:c r="L1482">
        <x:v>-4.7405999999999997</x:v>
      </x:c>
      <x:c r="M1482">
        <x:v>0</x:v>
      </x:c>
      <x:c r="N1482">
        <x:v>-9.5599000000000007</x:v>
      </x:c>
      <x:c r="O1482">
        <x:v>-1.1841999999999999</x:v>
      </x:c>
      <x:c r="P1482">
        <x:v>-6.0288000000000004</x:v>
      </x:c>
      <x:c r="Q1482">
        <x:v>-2.4405999999999999</x:v>
      </x:c>
      <x:c r="R1482">
        <x:v>-78.623999999999995</x:v>
      </x:c>
      <x:c r="S1482">
        <x:v>3.32</x:v>
      </x:c>
      <x:c r="T1482" t="str">
        <x:f>""</x:f>
        <x:v/>
      </x:c>
      <x:c r="U1482" t="str">
        <x:f>""</x:f>
        <x:v/>
      </x:c>
      <x:c r="V1482" t="str">
        <x:f>""</x:f>
        <x:v/>
      </x:c>
      <x:c r="W1482" t="str">
        <x:f>""</x:f>
        <x:v/>
      </x:c>
      <x:c r="X1482" t="str">
        <x:f>""</x:f>
        <x:v/>
      </x:c>
      <x:c r="Y1482" t="str">
        <x:f>""</x:f>
        <x:v/>
      </x:c>
      <x:c r="Z1482" t="str">
        <x:f>""</x:f>
        <x:v/>
      </x:c>
      <x:c r="AA1482" t="str">
        <x:f>""</x:f>
        <x:v/>
      </x:c>
      <x:c r="AB1482" t="str">
        <x:f>""</x:f>
        <x:v/>
      </x:c>
      <x:c r="AC1482" t="str">
        <x:f>""</x:f>
        <x:v/>
      </x:c>
      <x:c r="AD1482" t="str">
        <x:f>""</x:f>
        <x:v/>
      </x:c>
      <x:c r="AE1482" t="str">
        <x:f>""</x:f>
        <x:v/>
      </x:c>
      <x:c r="AF1482" t="str">
        <x:f>""</x:f>
        <x:v/>
      </x:c>
      <x:c r="AG1482" t="str">
        <x:f>""</x:f>
        <x:v/>
      </x:c>
    </x:row>
    <x:row r="1483" spans="2:33" x14ac:dyDescent="0.25">
      <x:c r="B1483" t="str">
        <x:f>"FPRO US Equity"</x:f>
        <x:v>FPRO US Equity</x:v>
      </x:c>
      <x:c r="C1483" t="str">
        <x:f t="shared" si="65"/>
        <x:v>FD447</x:v>
      </x:c>
      <x:c r="D1483" t="str">
        <x:f t="shared" si="66"/>
        <x:v>FUND_FLOW</x:v>
      </x:c>
      <x:c r="E1483" t="str">
        <x:f t="shared" si="67"/>
        <x:v>Dynamic</x:v>
      </x:c>
      <x:c r="F1483">
        <x:f ca="1">_xll.BDH($B$1483,$C$1483,$B$1010,$B$1011,CONCATENATE("Per=",$B$1008),"Dts=H","Dir=H",CONCATENATE("Points=",$B$1009),"Sort=R","Days=A","Fill=B",CONCATENATE("FX=", $B$1007),"cols=14;rows=1")</x:f>
        <x:v>0</x:v>
      </x:c>
      <x:c r="G1483">
        <x:v>0</x:v>
      </x:c>
      <x:c r="H1483">
        <x:v>-0.51190000000000002</x:v>
      </x:c>
      <x:c r="I1483">
        <x:v>0</x:v>
      </x:c>
      <x:c r="J1483">
        <x:v>0</x:v>
      </x:c>
      <x:c r="K1483">
        <x:v>-0.51070000000000004</x:v>
      </x:c>
      <x:c r="L1483">
        <x:v>0</x:v>
      </x:c>
      <x:c r="M1483">
        <x:v>-0.51429999999999998</x:v>
      </x:c>
      <x:c r="N1483">
        <x:v>0</x:v>
      </x:c>
      <x:c r="O1483">
        <x:v>-0.51449999999999996</x:v>
      </x:c>
      <x:c r="P1483">
        <x:v>-0.50760000000000005</x:v>
      </x:c>
      <x:c r="Q1483">
        <x:v>1.77E-2</x:v>
      </x:c>
      <x:c r="R1483">
        <x:v>0</x:v>
      </x:c>
      <x:c r="S1483">
        <x:v>-0.54179999999999995</x:v>
      </x:c>
      <x:c r="T1483" t="str">
        <x:f>""</x:f>
        <x:v/>
      </x:c>
      <x:c r="U1483" t="str">
        <x:f>""</x:f>
        <x:v/>
      </x:c>
      <x:c r="V1483" t="str">
        <x:f>""</x:f>
        <x:v/>
      </x:c>
      <x:c r="W1483" t="str">
        <x:f>""</x:f>
        <x:v/>
      </x:c>
      <x:c r="X1483" t="str">
        <x:f>""</x:f>
        <x:v/>
      </x:c>
      <x:c r="Y1483" t="str">
        <x:f>""</x:f>
        <x:v/>
      </x:c>
      <x:c r="Z1483" t="str">
        <x:f>""</x:f>
        <x:v/>
      </x:c>
      <x:c r="AA1483" t="str">
        <x:f>""</x:f>
        <x:v/>
      </x:c>
      <x:c r="AB1483" t="str">
        <x:f>""</x:f>
        <x:v/>
      </x:c>
      <x:c r="AC1483" t="str">
        <x:f>""</x:f>
        <x:v/>
      </x:c>
      <x:c r="AD1483" t="str">
        <x:f>""</x:f>
        <x:v/>
      </x:c>
      <x:c r="AE1483" t="str">
        <x:f>""</x:f>
        <x:v/>
      </x:c>
      <x:c r="AF1483" t="str">
        <x:f>""</x:f>
        <x:v/>
      </x:c>
      <x:c r="AG1483" t="str">
        <x:f>""</x:f>
        <x:v/>
      </x:c>
    </x:row>
    <x:row r="1484" spans="2:33" x14ac:dyDescent="0.25">
      <x:c r="B1484" t="str">
        <x:f>"JRE US Equity"</x:f>
        <x:v>JRE US Equity</x:v>
      </x:c>
      <x:c r="C1484" t="str">
        <x:f t="shared" si="65"/>
        <x:v>FD447</x:v>
      </x:c>
      <x:c r="D1484" t="str">
        <x:f t="shared" si="66"/>
        <x:v>FUND_FLOW</x:v>
      </x:c>
      <x:c r="E1484" t="str">
        <x:f t="shared" si="67"/>
        <x:v>Dynamic</x:v>
      </x:c>
      <x:c r="F1484">
        <x:f ca="1">_xll.BDH($B$1484,$C$1484,$B$1010,$B$1011,CONCATENATE("Per=",$B$1008),"Dts=H","Dir=H",CONCATENATE("Points=",$B$1009),"Sort=R","Days=A","Fill=B",CONCATENATE("FX=", $B$1007),"cols=14;rows=1")</x:f>
        <x:v>0</x:v>
      </x:c>
      <x:c r="G1484">
        <x:v>0</x:v>
      </x:c>
      <x:c r="H1484">
        <x:v>0</x:v>
      </x:c>
      <x:c r="I1484">
        <x:v>-0.5585</x:v>
      </x:c>
      <x:c r="J1484">
        <x:v>0</x:v>
      </x:c>
      <x:c r="K1484">
        <x:v>0</x:v>
      </x:c>
      <x:c r="L1484">
        <x:v>0</x:v>
      </x:c>
      <x:c r="M1484">
        <x:v>0</x:v>
      </x:c>
      <x:c r="N1484">
        <x:v>0</x:v>
      </x:c>
      <x:c r="O1484">
        <x:v>2.1890000000000001</x:v>
      </x:c>
      <x:c r="P1484">
        <x:v>0</x:v>
      </x:c>
      <x:c r="Q1484">
        <x:v>0</x:v>
      </x:c>
      <x:c r="R1484">
        <x:v>0</x:v>
      </x:c>
      <x:c r="S1484">
        <x:v>-0.61119999999999997</x:v>
      </x:c>
      <x:c r="T1484" t="str">
        <x:f>""</x:f>
        <x:v/>
      </x:c>
      <x:c r="U1484" t="str">
        <x:f>""</x:f>
        <x:v/>
      </x:c>
      <x:c r="V1484" t="str">
        <x:f>""</x:f>
        <x:v/>
      </x:c>
      <x:c r="W1484" t="str">
        <x:f>""</x:f>
        <x:v/>
      </x:c>
      <x:c r="X1484" t="str">
        <x:f>""</x:f>
        <x:v/>
      </x:c>
      <x:c r="Y1484" t="str">
        <x:f>""</x:f>
        <x:v/>
      </x:c>
      <x:c r="Z1484" t="str">
        <x:f>""</x:f>
        <x:v/>
      </x:c>
      <x:c r="AA1484" t="str">
        <x:f>""</x:f>
        <x:v/>
      </x:c>
      <x:c r="AB1484" t="str">
        <x:f>""</x:f>
        <x:v/>
      </x:c>
      <x:c r="AC1484" t="str">
        <x:f>""</x:f>
        <x:v/>
      </x:c>
      <x:c r="AD1484" t="str">
        <x:f>""</x:f>
        <x:v/>
      </x:c>
      <x:c r="AE1484" t="str">
        <x:f>""</x:f>
        <x:v/>
      </x:c>
      <x:c r="AF1484" t="str">
        <x:f>""</x:f>
        <x:v/>
      </x:c>
      <x:c r="AG1484" t="str">
        <x:f>""</x:f>
        <x:v/>
      </x:c>
    </x:row>
    <x:row r="1485" spans="2:33" x14ac:dyDescent="0.25">
      <x:c r="B1485" t="str">
        <x:f>"MVRL US Equity"</x:f>
        <x:v>MVRL US Equity</x:v>
      </x:c>
      <x:c r="C1485" t="str">
        <x:f t="shared" si="65"/>
        <x:v>FD447</x:v>
      </x:c>
      <x:c r="D1485" t="str">
        <x:f t="shared" si="66"/>
        <x:v>FUND_FLOW</x:v>
      </x:c>
      <x:c r="E1485" t="str">
        <x:f t="shared" si="67"/>
        <x:v>Dynamic</x:v>
      </x:c>
      <x:c r="F1485">
        <x:f ca="1">_xll.BDH($B$1485,$C$1485,$B$1010,$B$1011,CONCATENATE("Per=",$B$1008),"Dts=H","Dir=H",CONCATENATE("Points=",$B$1009),"Sort=R","Days=A","Fill=B",CONCATENATE("FX=", $B$1007),"cols=14;rows=1")</x:f>
        <x:v>0</x:v>
      </x:c>
      <x:c r="G1485">
        <x:v>0</x:v>
      </x:c>
      <x:c r="H1485">
        <x:v>0</x:v>
      </x:c>
      <x:c r="I1485">
        <x:v>0</x:v>
      </x:c>
      <x:c r="J1485">
        <x:v>0</x:v>
      </x:c>
      <x:c r="K1485">
        <x:v>0</x:v>
      </x:c>
      <x:c r="L1485">
        <x:v>0</x:v>
      </x:c>
      <x:c r="M1485">
        <x:v>0</x:v>
      </x:c>
      <x:c r="N1485">
        <x:v>0</x:v>
      </x:c>
      <x:c r="O1485">
        <x:v>0</x:v>
      </x:c>
      <x:c r="P1485">
        <x:v>0</x:v>
      </x:c>
      <x:c r="Q1485">
        <x:v>0</x:v>
      </x:c>
      <x:c r="R1485">
        <x:v>0</x:v>
      </x:c>
      <x:c r="S1485">
        <x:v>0</x:v>
      </x:c>
      <x:c r="T1485" t="str">
        <x:f>""</x:f>
        <x:v/>
      </x:c>
      <x:c r="U1485" t="str">
        <x:f>""</x:f>
        <x:v/>
      </x:c>
      <x:c r="V1485" t="str">
        <x:f>""</x:f>
        <x:v/>
      </x:c>
      <x:c r="W1485" t="str">
        <x:f>""</x:f>
        <x:v/>
      </x:c>
      <x:c r="X1485" t="str">
        <x:f>""</x:f>
        <x:v/>
      </x:c>
      <x:c r="Y1485" t="str">
        <x:f>""</x:f>
        <x:v/>
      </x:c>
      <x:c r="Z1485" t="str">
        <x:f>""</x:f>
        <x:v/>
      </x:c>
      <x:c r="AA1485" t="str">
        <x:f>""</x:f>
        <x:v/>
      </x:c>
      <x:c r="AB1485" t="str">
        <x:f>""</x:f>
        <x:v/>
      </x:c>
      <x:c r="AC1485" t="str">
        <x:f>""</x:f>
        <x:v/>
      </x:c>
      <x:c r="AD1485" t="str">
        <x:f>""</x:f>
        <x:v/>
      </x:c>
      <x:c r="AE1485" t="str">
        <x:f>""</x:f>
        <x:v/>
      </x:c>
      <x:c r="AF1485" t="str">
        <x:f>""</x:f>
        <x:v/>
      </x:c>
      <x:c r="AG1485" t="str">
        <x:f>""</x:f>
        <x:v/>
      </x:c>
    </x:row>
    <x:row r="1486" spans="2:33" x14ac:dyDescent="0.25">
      <x:c r="B1486" t="str">
        <x:f>"REC US Equity"</x:f>
        <x:v>REC US Equity</x:v>
      </x:c>
      <x:c r="C1486" t="str">
        <x:f t="shared" si="65"/>
        <x:v>FD447</x:v>
      </x:c>
      <x:c r="D1486" t="str">
        <x:f t="shared" si="66"/>
        <x:v>FUND_FLOW</x:v>
      </x:c>
      <x:c r="E1486" t="str">
        <x:f t="shared" si="67"/>
        <x:v>Dynamic</x:v>
      </x:c>
      <x:c r="F1486" t="str">
        <x:f ca="1">_xll.BDH($B$1486,$C$1486,$B$1010,$B$1011,CONCATENATE("Per=",$B$1008),"Dts=H","Dir=H",CONCATENATE("Points=",$B$1009),"Sort=R","Days=A","Fill=B",CONCATENATE("FX=", $B$1007),"cols=14;rows=1")</x:f>
        <x:v/>
      </x:c>
      <x:c r="R1486">
        <x:v>-2.0548999999999999</x:v>
      </x:c>
      <x:c r="S1486">
        <x:v>0</x:v>
      </x:c>
      <x:c r="T1486" t="str">
        <x:f>""</x:f>
        <x:v/>
      </x:c>
      <x:c r="U1486" t="str">
        <x:f>""</x:f>
        <x:v/>
      </x:c>
      <x:c r="V1486" t="str">
        <x:f>""</x:f>
        <x:v/>
      </x:c>
      <x:c r="W1486" t="str">
        <x:f>""</x:f>
        <x:v/>
      </x:c>
      <x:c r="X1486" t="str">
        <x:f>""</x:f>
        <x:v/>
      </x:c>
      <x:c r="Y1486" t="str">
        <x:f>""</x:f>
        <x:v/>
      </x:c>
      <x:c r="Z1486" t="str">
        <x:f>""</x:f>
        <x:v/>
      </x:c>
      <x:c r="AA1486" t="str">
        <x:f>""</x:f>
        <x:v/>
      </x:c>
      <x:c r="AB1486" t="str">
        <x:f>""</x:f>
        <x:v/>
      </x:c>
      <x:c r="AC1486" t="str">
        <x:f>""</x:f>
        <x:v/>
      </x:c>
      <x:c r="AD1486" t="str">
        <x:f>""</x:f>
        <x:v/>
      </x:c>
      <x:c r="AE1486" t="str">
        <x:f>""</x:f>
        <x:v/>
      </x:c>
      <x:c r="AF1486" t="str">
        <x:f>""</x:f>
        <x:v/>
      </x:c>
      <x:c r="AG1486" t="str">
        <x:f>""</x:f>
        <x:v/>
      </x:c>
    </x:row>
    <x:row r="1487" spans="2:33" x14ac:dyDescent="0.25">
      <x:c r="B1487" t="str">
        <x:f>"REIT US Equity"</x:f>
        <x:v>REIT US Equity</x:v>
      </x:c>
      <x:c r="C1487" t="str">
        <x:f t="shared" si="65"/>
        <x:v>FD447</x:v>
      </x:c>
      <x:c r="D1487" t="str">
        <x:f t="shared" si="66"/>
        <x:v>FUND_FLOW</x:v>
      </x:c>
      <x:c r="E1487" t="str">
        <x:f t="shared" si="67"/>
        <x:v>Dynamic</x:v>
      </x:c>
      <x:c r="F1487">
        <x:f ca="1">_xll.BDH($B$1487,$C$1487,$B$1010,$B$1011,CONCATENATE("Per=",$B$1008),"Dts=H","Dir=H",CONCATENATE("Points=",$B$1009),"Sort=R","Days=A","Fill=B",CONCATENATE("FX=", $B$1007),"cols=14;rows=1")</x:f>
        <x:v>0</x:v>
      </x:c>
      <x:c r="G1487">
        <x:v>0</x:v>
      </x:c>
      <x:c r="H1487">
        <x:v>0.48330000000000001</x:v>
      </x:c>
      <x:c r="I1487">
        <x:v>-0.37780000000000002</x:v>
      </x:c>
      <x:c r="J1487">
        <x:v>-0.24679999999999999</x:v>
      </x:c>
      <x:c r="K1487">
        <x:v>-0.36330000000000001</x:v>
      </x:c>
      <x:c r="L1487">
        <x:v>0</x:v>
      </x:c>
      <x:c r="M1487">
        <x:v>0.61670000000000003</x:v>
      </x:c>
      <x:c r="N1487">
        <x:v>0</x:v>
      </x:c>
      <x:c r="O1487">
        <x:v>0.12740000000000001</x:v>
      </x:c>
      <x:c r="P1487">
        <x:v>0</x:v>
      </x:c>
      <x:c r="Q1487">
        <x:v>0.35410000000000003</x:v>
      </x:c>
      <x:c r="R1487">
        <x:v>-0.11899999999999999</x:v>
      </x:c>
      <x:c r="S1487">
        <x:v>0</x:v>
      </x:c>
      <x:c r="T1487" t="str">
        <x:f>""</x:f>
        <x:v/>
      </x:c>
      <x:c r="U1487" t="str">
        <x:f>""</x:f>
        <x:v/>
      </x:c>
      <x:c r="V1487" t="str">
        <x:f>""</x:f>
        <x:v/>
      </x:c>
      <x:c r="W1487" t="str">
        <x:f>""</x:f>
        <x:v/>
      </x:c>
      <x:c r="X1487" t="str">
        <x:f>""</x:f>
        <x:v/>
      </x:c>
      <x:c r="Y1487" t="str">
        <x:f>""</x:f>
        <x:v/>
      </x:c>
      <x:c r="Z1487" t="str">
        <x:f>""</x:f>
        <x:v/>
      </x:c>
      <x:c r="AA1487" t="str">
        <x:f>""</x:f>
        <x:v/>
      </x:c>
      <x:c r="AB1487" t="str">
        <x:f>""</x:f>
        <x:v/>
      </x:c>
      <x:c r="AC1487" t="str">
        <x:f>""</x:f>
        <x:v/>
      </x:c>
      <x:c r="AD1487" t="str">
        <x:f>""</x:f>
        <x:v/>
      </x:c>
      <x:c r="AE1487" t="str">
        <x:f>""</x:f>
        <x:v/>
      </x:c>
      <x:c r="AF1487" t="str">
        <x:f>""</x:f>
        <x:v/>
      </x:c>
      <x:c r="AG1487" t="str">
        <x:f>""</x:f>
        <x:v/>
      </x:c>
    </x:row>
    <x:row r="1488" spans="2:33" x14ac:dyDescent="0.25">
      <x:c r="B1488" t="str">
        <x:f>"SPRE US Equity"</x:f>
        <x:v>SPRE US Equity</x:v>
      </x:c>
      <x:c r="C1488" t="str">
        <x:f t="shared" si="65"/>
        <x:v>FD447</x:v>
      </x:c>
      <x:c r="D1488" t="str">
        <x:f t="shared" si="66"/>
        <x:v>FUND_FLOW</x:v>
      </x:c>
      <x:c r="E1488" t="str">
        <x:f t="shared" si="67"/>
        <x:v>Dynamic</x:v>
      </x:c>
      <x:c r="F1488">
        <x:f ca="1">_xll.BDH($B$1488,$C$1488,$B$1010,$B$1011,CONCATENATE("Per=",$B$1008),"Dts=H","Dir=H",CONCATENATE("Points=",$B$1009),"Sort=R","Days=A","Fill=B",CONCATENATE("FX=", $B$1007),"cols=14;rows=1")</x:f>
        <x:v>0.88360000000000005</x:v>
      </x:c>
      <x:c r="G1488">
        <x:v>1.8876999999999999</x:v>
      </x:c>
      <x:c r="H1488">
        <x:v>0</x:v>
      </x:c>
      <x:c r="I1488">
        <x:v>-2.9051</x:v>
      </x:c>
      <x:c r="J1488">
        <x:v>19.893599999999999</x:v>
      </x:c>
      <x:c r="K1488">
        <x:v>4.3373999999999997</x:v>
      </x:c>
      <x:c r="L1488">
        <x:v>1.4734</x:v>
      </x:c>
      <x:c r="M1488">
        <x:v>2.9428000000000001</x:v>
      </x:c>
      <x:c r="N1488">
        <x:v>5.7220000000000004</x:v>
      </x:c>
      <x:c r="O1488">
        <x:v>3.0737999999999999</x:v>
      </x:c>
      <x:c r="P1488">
        <x:v>3.0364</x:v>
      </x:c>
      <x:c r="Q1488">
        <x:v>5.7407000000000004</x:v>
      </x:c>
      <x:c r="R1488">
        <x:v>2.7663000000000002</x:v>
      </x:c>
      <x:c r="S1488">
        <x:v>1.1045</x:v>
      </x:c>
      <x:c r="T1488" t="str">
        <x:f>""</x:f>
        <x:v/>
      </x:c>
      <x:c r="U1488" t="str">
        <x:f>""</x:f>
        <x:v/>
      </x:c>
      <x:c r="V1488" t="str">
        <x:f>""</x:f>
        <x:v/>
      </x:c>
      <x:c r="W1488" t="str">
        <x:f>""</x:f>
        <x:v/>
      </x:c>
      <x:c r="X1488" t="str">
        <x:f>""</x:f>
        <x:v/>
      </x:c>
      <x:c r="Y1488" t="str">
        <x:f>""</x:f>
        <x:v/>
      </x:c>
      <x:c r="Z1488" t="str">
        <x:f>""</x:f>
        <x:v/>
      </x:c>
      <x:c r="AA1488" t="str">
        <x:f>""</x:f>
        <x:v/>
      </x:c>
      <x:c r="AB1488" t="str">
        <x:f>""</x:f>
        <x:v/>
      </x:c>
      <x:c r="AC1488" t="str">
        <x:f>""</x:f>
        <x:v/>
      </x:c>
      <x:c r="AD1488" t="str">
        <x:f>""</x:f>
        <x:v/>
      </x:c>
      <x:c r="AE1488" t="str">
        <x:f>""</x:f>
        <x:v/>
      </x:c>
      <x:c r="AF1488" t="str">
        <x:f>""</x:f>
        <x:v/>
      </x:c>
      <x:c r="AG1488" t="str">
        <x:f>""</x:f>
        <x:v/>
      </x:c>
    </x:row>
    <x:row r="1489" spans="2:33" x14ac:dyDescent="0.25">
      <x:c r="B1489" t="str">
        <x:f>"BLDG US Equity"</x:f>
        <x:v>BLDG US Equity</x:v>
      </x:c>
      <x:c r="C1489" t="str">
        <x:f t="shared" si="65"/>
        <x:v>FD447</x:v>
      </x:c>
      <x:c r="D1489" t="str">
        <x:f t="shared" si="66"/>
        <x:v>FUND_FLOW</x:v>
      </x:c>
      <x:c r="E1489" t="str">
        <x:f t="shared" si="67"/>
        <x:v>Dynamic</x:v>
      </x:c>
      <x:c r="F1489">
        <x:f ca="1">_xll.BDH($B$1489,$C$1489,$B$1010,$B$1011,CONCATENATE("Per=",$B$1008),"Dts=H","Dir=H",CONCATENATE("Points=",$B$1009),"Sort=R","Days=A","Fill=B",CONCATENATE("FX=", $B$1007),"cols=14;rows=1")</x:f>
        <x:v>0</x:v>
      </x:c>
      <x:c r="G1489">
        <x:v>0</x:v>
      </x:c>
      <x:c r="H1489">
        <x:v>0</x:v>
      </x:c>
      <x:c r="I1489">
        <x:v>0</x:v>
      </x:c>
      <x:c r="J1489">
        <x:v>-3.7244999999999999</x:v>
      </x:c>
      <x:c r="K1489">
        <x:v>1.1970000000000001</x:v>
      </x:c>
      <x:c r="L1489">
        <x:v>0</x:v>
      </x:c>
      <x:c r="M1489">
        <x:v>1.2585</x:v>
      </x:c>
      <x:c r="N1489">
        <x:v>0</x:v>
      </x:c>
      <x:c r="O1489">
        <x:v>2.6105</x:v>
      </x:c>
      <x:c r="P1489">
        <x:v>2.6</x:v>
      </x:c>
      <x:c r="Q1489">
        <x:v>0</x:v>
      </x:c>
      <x:c r="R1489">
        <x:v>-4.6559999999999997</x:v>
      </x:c>
      <x:c r="S1489">
        <x:v>8.2355</x:v>
      </x:c>
      <x:c r="T1489" t="str">
        <x:f>""</x:f>
        <x:v/>
      </x:c>
      <x:c r="U1489" t="str">
        <x:f>""</x:f>
        <x:v/>
      </x:c>
      <x:c r="V1489" t="str">
        <x:f>""</x:f>
        <x:v/>
      </x:c>
      <x:c r="W1489" t="str">
        <x:f>""</x:f>
        <x:v/>
      </x:c>
      <x:c r="X1489" t="str">
        <x:f>""</x:f>
        <x:v/>
      </x:c>
      <x:c r="Y1489" t="str">
        <x:f>""</x:f>
        <x:v/>
      </x:c>
      <x:c r="Z1489" t="str">
        <x:f>""</x:f>
        <x:v/>
      </x:c>
      <x:c r="AA1489" t="str">
        <x:f>""</x:f>
        <x:v/>
      </x:c>
      <x:c r="AB1489" t="str">
        <x:f>""</x:f>
        <x:v/>
      </x:c>
      <x:c r="AC1489" t="str">
        <x:f>""</x:f>
        <x:v/>
      </x:c>
      <x:c r="AD1489" t="str">
        <x:f>""</x:f>
        <x:v/>
      </x:c>
      <x:c r="AE1489" t="str">
        <x:f>""</x:f>
        <x:v/>
      </x:c>
      <x:c r="AF1489" t="str">
        <x:f>""</x:f>
        <x:v/>
      </x:c>
      <x:c r="AG1489" t="str">
        <x:f>""</x:f>
        <x:v/>
      </x:c>
    </x:row>
    <x:row r="1490" spans="2:33" x14ac:dyDescent="0.25">
      <x:c r="B1490" t="str">
        <x:f>"VPN US Equity"</x:f>
        <x:v>VPN US Equity</x:v>
      </x:c>
      <x:c r="C1490" t="str">
        <x:f t="shared" si="65"/>
        <x:v>FD447</x:v>
      </x:c>
      <x:c r="D1490" t="str">
        <x:f t="shared" si="66"/>
        <x:v>FUND_FLOW</x:v>
      </x:c>
      <x:c r="E1490" t="str">
        <x:f t="shared" si="67"/>
        <x:v>Dynamic</x:v>
      </x:c>
      <x:c r="F1490">
        <x:f ca="1">_xll.BDH($B$1490,$C$1490,$B$1010,$B$1011,CONCATENATE("Per=",$B$1008),"Dts=H","Dir=H",CONCATENATE("Points=",$B$1009),"Sort=R","Days=A","Fill=B",CONCATENATE("FX=", $B$1007),"cols=14;rows=1")</x:f>
        <x:v>0.98</x:v>
      </x:c>
      <x:c r="G1490">
        <x:v>0.91449999999999998</x:v>
      </x:c>
      <x:c r="H1490">
        <x:v>0.51800000000000002</x:v>
      </x:c>
      <x:c r="I1490">
        <x:v>0.14130000000000001</x:v>
      </x:c>
      <x:c r="J1490">
        <x:v>-0.53720000000000001</x:v>
      </x:c>
      <x:c r="K1490">
        <x:v>0</x:v>
      </x:c>
      <x:c r="L1490">
        <x:v>-1.5696000000000001</x:v>
      </x:c>
      <x:c r="M1490">
        <x:v>-13.403</x:v>
      </x:c>
      <x:c r="N1490">
        <x:v>-14.4253</x:v>
      </x:c>
      <x:c r="O1490">
        <x:v>-2.0695999999999999</x:v>
      </x:c>
      <x:c r="P1490">
        <x:v>0</x:v>
      </x:c>
      <x:c r="Q1490">
        <x:v>0</x:v>
      </x:c>
      <x:c r="R1490">
        <x:v>-5.8056999999999999</x:v>
      </x:c>
      <x:c r="S1490">
        <x:v>3.6280000000000001</x:v>
      </x:c>
      <x:c r="T1490" t="str">
        <x:f>""</x:f>
        <x:v/>
      </x:c>
      <x:c r="U1490" t="str">
        <x:f>""</x:f>
        <x:v/>
      </x:c>
      <x:c r="V1490" t="str">
        <x:f>""</x:f>
        <x:v/>
      </x:c>
      <x:c r="W1490" t="str">
        <x:f>""</x:f>
        <x:v/>
      </x:c>
      <x:c r="X1490" t="str">
        <x:f>""</x:f>
        <x:v/>
      </x:c>
      <x:c r="Y1490" t="str">
        <x:f>""</x:f>
        <x:v/>
      </x:c>
      <x:c r="Z1490" t="str">
        <x:f>""</x:f>
        <x:v/>
      </x:c>
      <x:c r="AA1490" t="str">
        <x:f>""</x:f>
        <x:v/>
      </x:c>
      <x:c r="AB1490" t="str">
        <x:f>""</x:f>
        <x:v/>
      </x:c>
      <x:c r="AC1490" t="str">
        <x:f>""</x:f>
        <x:v/>
      </x:c>
      <x:c r="AD1490" t="str">
        <x:f>""</x:f>
        <x:v/>
      </x:c>
      <x:c r="AE1490" t="str">
        <x:f>""</x:f>
        <x:v/>
      </x:c>
      <x:c r="AF1490" t="str">
        <x:f>""</x:f>
        <x:v/>
      </x:c>
      <x:c r="AG1490" t="str">
        <x:f>""</x:f>
        <x:v/>
      </x:c>
    </x:row>
    <x:row r="1491" spans="2:33" x14ac:dyDescent="0.25">
      <x:c r="B1491" t="str">
        <x:f>"HHH US Equity"</x:f>
        <x:v>HHH US Equity</x:v>
      </x:c>
      <x:c r="C1491" t="str">
        <x:f t="shared" si="65"/>
        <x:v>FD447</x:v>
      </x:c>
      <x:c r="D1491" t="str">
        <x:f t="shared" si="66"/>
        <x:v>FUND_FLOW</x:v>
      </x:c>
      <x:c r="E1491" t="str">
        <x:f t="shared" si="67"/>
        <x:v>Dynamic</x:v>
      </x:c>
      <x:c r="F1491" t="str">
        <x:f ca="1">_xll.BDH($B$1491,$C$1491,$B$1010,$B$1011,CONCATENATE("Per=",$B$1008),"Dts=H","Dir=H",CONCATENATE("Points=",$B$1009),"Sort=R","Days=A","Fill=B",CONCATENATE("FX=", $B$1007) )</x:f>
        <x:v/>
      </x:c>
      <x:c r="T1491" t="str">
        <x:f>""</x:f>
        <x:v/>
      </x:c>
      <x:c r="U1491" t="str">
        <x:f>""</x:f>
        <x:v/>
      </x:c>
      <x:c r="V1491" t="str">
        <x:f>""</x:f>
        <x:v/>
      </x:c>
      <x:c r="W1491" t="str">
        <x:f>""</x:f>
        <x:v/>
      </x:c>
      <x:c r="X1491" t="str">
        <x:f>""</x:f>
        <x:v/>
      </x:c>
      <x:c r="Y1491" t="str">
        <x:f>""</x:f>
        <x:v/>
      </x:c>
      <x:c r="Z1491" t="str">
        <x:f>""</x:f>
        <x:v/>
      </x:c>
      <x:c r="AA1491" t="str">
        <x:f>""</x:f>
        <x:v/>
      </x:c>
      <x:c r="AB1491" t="str">
        <x:f>""</x:f>
        <x:v/>
      </x:c>
      <x:c r="AC1491" t="str">
        <x:f>""</x:f>
        <x:v/>
      </x:c>
      <x:c r="AD1491" t="str">
        <x:f>""</x:f>
        <x:v/>
      </x:c>
      <x:c r="AE1491" t="str">
        <x:f>""</x:f>
        <x:v/>
      </x:c>
      <x:c r="AF1491" t="str">
        <x:f>""</x:f>
        <x:v/>
      </x:c>
      <x:c r="AG1491" t="str">
        <x:f>""</x:f>
        <x:v/>
      </x:c>
    </x:row>
    <x:row r="1492" spans="2:33" x14ac:dyDescent="0.25">
      <x:c r="B1492" t="str">
        <x:f>"GREI US Equity"</x:f>
        <x:v>GREI US Equity</x:v>
      </x:c>
      <x:c r="C1492" t="str">
        <x:f t="shared" si="65"/>
        <x:v>FD447</x:v>
      </x:c>
      <x:c r="D1492" t="str">
        <x:f t="shared" si="66"/>
        <x:v>FUND_FLOW</x:v>
      </x:c>
      <x:c r="E1492" t="str">
        <x:f t="shared" si="67"/>
        <x:v>Dynamic</x:v>
      </x:c>
      <x:c r="F1492">
        <x:f ca="1">_xll.BDH($B$1492,$C$1492,$B$1010,$B$1011,CONCATENATE("Per=",$B$1008),"Dts=H","Dir=H",CONCATENATE("Points=",$B$1009),"Sort=R","Days=A","Fill=B",CONCATENATE("FX=", $B$1007),"cols=14;rows=1")</x:f>
        <x:v>-0.74619999999999997</x:v>
      </x:c>
      <x:c r="G1492">
        <x:v>0</x:v>
      </x:c>
      <x:c r="H1492">
        <x:v>0</x:v>
      </x:c>
      <x:c r="I1492">
        <x:v>0</x:v>
      </x:c>
      <x:c r="J1492">
        <x:v>0</x:v>
      </x:c>
      <x:c r="K1492">
        <x:v>0</x:v>
      </x:c>
      <x:c r="L1492">
        <x:v>0</x:v>
      </x:c>
      <x:c r="M1492">
        <x:v>0</x:v>
      </x:c>
      <x:c r="N1492">
        <x:v>0</x:v>
      </x:c>
      <x:c r="O1492">
        <x:v>0</x:v>
      </x:c>
      <x:c r="P1492">
        <x:v>0.82550000000000001</x:v>
      </x:c>
      <x:c r="Q1492">
        <x:v>0.80269999999999997</x:v>
      </x:c>
      <x:c r="R1492">
        <x:v>0</x:v>
      </x:c>
      <x:c r="S1492">
        <x:v>-0.82689999999999997</x:v>
      </x:c>
      <x:c r="T1492" t="str">
        <x:f>""</x:f>
        <x:v/>
      </x:c>
      <x:c r="U1492" t="str">
        <x:f>""</x:f>
        <x:v/>
      </x:c>
      <x:c r="V1492" t="str">
        <x:f>""</x:f>
        <x:v/>
      </x:c>
      <x:c r="W1492" t="str">
        <x:f>""</x:f>
        <x:v/>
      </x:c>
      <x:c r="X1492" t="str">
        <x:f>""</x:f>
        <x:v/>
      </x:c>
      <x:c r="Y1492" t="str">
        <x:f>""</x:f>
        <x:v/>
      </x:c>
      <x:c r="Z1492" t="str">
        <x:f>""</x:f>
        <x:v/>
      </x:c>
      <x:c r="AA1492" t="str">
        <x:f>""</x:f>
        <x:v/>
      </x:c>
      <x:c r="AB1492" t="str">
        <x:f>""</x:f>
        <x:v/>
      </x:c>
      <x:c r="AC1492" t="str">
        <x:f>""</x:f>
        <x:v/>
      </x:c>
      <x:c r="AD1492" t="str">
        <x:f>""</x:f>
        <x:v/>
      </x:c>
      <x:c r="AE1492" t="str">
        <x:f>""</x:f>
        <x:v/>
      </x:c>
      <x:c r="AF1492" t="str">
        <x:f>""</x:f>
        <x:v/>
      </x:c>
      <x:c r="AG1492" t="str">
        <x:f>""</x:f>
        <x:v/>
      </x:c>
    </x:row>
    <x:row r="1493" spans="2:33" x14ac:dyDescent="0.25">
      <x:c r="B1493" t="str">
        <x:f>"DFAR US Equity"</x:f>
        <x:v>DFAR US Equity</x:v>
      </x:c>
      <x:c r="C1493" t="str">
        <x:f t="shared" si="65"/>
        <x:v>FD447</x:v>
      </x:c>
      <x:c r="D1493" t="str">
        <x:f t="shared" si="66"/>
        <x:v>FUND_FLOW</x:v>
      </x:c>
      <x:c r="E1493" t="str">
        <x:f t="shared" si="67"/>
        <x:v>Dynamic</x:v>
      </x:c>
      <x:c r="F1493">
        <x:f ca="1">_xll.BDH($B$1493,$C$1493,$B$1010,$B$1011,CONCATENATE("Per=",$B$1008),"Dts=H","Dir=H",CONCATENATE("Points=",$B$1009),"Sort=R","Days=A","Fill=B",CONCATENATE("FX=", $B$1007),"cols=14;rows=1")</x:f>
        <x:v>21.805800000000001</x:v>
      </x:c>
      <x:c r="G1493">
        <x:v>17.2121</x:v>
      </x:c>
      <x:c r="H1493">
        <x:v>20.113399999999999</x:v>
      </x:c>
      <x:c r="I1493">
        <x:v>24.166</x:v>
      </x:c>
      <x:c r="J1493">
        <x:v>16.916</x:v>
      </x:c>
      <x:c r="K1493">
        <x:v>46.178600000000003</x:v>
      </x:c>
      <x:c r="L1493">
        <x:v>34.977699999999999</x:v>
      </x:c>
      <x:c r="M1493">
        <x:v>13.8012</x:v>
      </x:c>
      <x:c r="N1493">
        <x:v>36.458100000000002</x:v>
      </x:c>
      <x:c r="O1493">
        <x:v>71.006699999999995</x:v>
      </x:c>
      <x:c r="P1493">
        <x:v>105.6889</x:v>
      </x:c>
      <x:c r="Q1493">
        <x:v>59.084600000000002</x:v>
      </x:c>
      <x:c r="R1493">
        <x:v>50.373199999999997</x:v>
      </x:c>
      <x:c r="S1493">
        <x:v>33.743499999999997</x:v>
      </x:c>
      <x:c r="T1493" t="str">
        <x:f>""</x:f>
        <x:v/>
      </x:c>
      <x:c r="U1493" t="str">
        <x:f>""</x:f>
        <x:v/>
      </x:c>
      <x:c r="V1493" t="str">
        <x:f>""</x:f>
        <x:v/>
      </x:c>
      <x:c r="W1493" t="str">
        <x:f>""</x:f>
        <x:v/>
      </x:c>
      <x:c r="X1493" t="str">
        <x:f>""</x:f>
        <x:v/>
      </x:c>
      <x:c r="Y1493" t="str">
        <x:f>""</x:f>
        <x:v/>
      </x:c>
      <x:c r="Z1493" t="str">
        <x:f>""</x:f>
        <x:v/>
      </x:c>
      <x:c r="AA1493" t="str">
        <x:f>""</x:f>
        <x:v/>
      </x:c>
      <x:c r="AB1493" t="str">
        <x:f>""</x:f>
        <x:v/>
      </x:c>
      <x:c r="AC1493" t="str">
        <x:f>""</x:f>
        <x:v/>
      </x:c>
      <x:c r="AD1493" t="str">
        <x:f>""</x:f>
        <x:v/>
      </x:c>
      <x:c r="AE1493" t="str">
        <x:f>""</x:f>
        <x:v/>
      </x:c>
      <x:c r="AF1493" t="str">
        <x:f>""</x:f>
        <x:v/>
      </x:c>
      <x:c r="AG1493" t="str">
        <x:f>""</x:f>
        <x:v/>
      </x:c>
    </x:row>
    <x:row r="1494" spans="2:33" x14ac:dyDescent="0.25">
      <x:c r="B1494" t="str">
        <x:f>"RESI US Equity"</x:f>
        <x:v>RESI US Equity</x:v>
      </x:c>
      <x:c r="C1494" t="str">
        <x:f t="shared" si="65"/>
        <x:v>FD447</x:v>
      </x:c>
      <x:c r="D1494" t="str">
        <x:f t="shared" si="66"/>
        <x:v>FUND_FLOW</x:v>
      </x:c>
      <x:c r="E1494" t="str">
        <x:f t="shared" si="67"/>
        <x:v>Dynamic</x:v>
      </x:c>
      <x:c r="F1494">
        <x:f ca="1">_xll.BDH($B$1494,$C$1494,$B$1010,$B$1011,CONCATENATE("Per=",$B$1008),"Dts=H","Dir=H",CONCATENATE("Points=",$B$1009),"Sort=R","Days=A","Fill=B",CONCATENATE("FX=", $B$1007),"cols=14;rows=1")</x:f>
        <x:v>0</x:v>
      </x:c>
      <x:c r="G1494">
        <x:v>0</x:v>
      </x:c>
      <x:c r="H1494">
        <x:v>0</x:v>
      </x:c>
      <x:c r="I1494">
        <x:v>0.27460000000000001</x:v>
      </x:c>
      <x:c r="J1494">
        <x:v>0</x:v>
      </x:c>
      <x:c r="K1494">
        <x:v>0</x:v>
      </x:c>
      <x:c r="L1494">
        <x:v>0</x:v>
      </x:c>
      <x:c r="M1494">
        <x:v>0</x:v>
      </x:c>
      <x:c r="N1494">
        <x:v>0</x:v>
      </x:c>
      <x:c r="O1494">
        <x:v>0.2712</x:v>
      </x:c>
      <x:c r="P1494">
        <x:v>0</x:v>
      </x:c>
      <x:c r="Q1494">
        <x:v>0</x:v>
      </x:c>
      <x:c r="R1494">
        <x:v>0</x:v>
      </x:c>
      <x:c r="S1494">
        <x:v>0</x:v>
      </x:c>
      <x:c r="T1494" t="str">
        <x:f>""</x:f>
        <x:v/>
      </x:c>
      <x:c r="U1494" t="str">
        <x:f>""</x:f>
        <x:v/>
      </x:c>
      <x:c r="V1494" t="str">
        <x:f>""</x:f>
        <x:v/>
      </x:c>
      <x:c r="W1494" t="str">
        <x:f>""</x:f>
        <x:v/>
      </x:c>
      <x:c r="X1494" t="str">
        <x:f>""</x:f>
        <x:v/>
      </x:c>
      <x:c r="Y1494" t="str">
        <x:f>""</x:f>
        <x:v/>
      </x:c>
      <x:c r="Z1494" t="str">
        <x:f>""</x:f>
        <x:v/>
      </x:c>
      <x:c r="AA1494" t="str">
        <x:f>""</x:f>
        <x:v/>
      </x:c>
      <x:c r="AB1494" t="str">
        <x:f>""</x:f>
        <x:v/>
      </x:c>
      <x:c r="AC1494" t="str">
        <x:f>""</x:f>
        <x:v/>
      </x:c>
      <x:c r="AD1494" t="str">
        <x:f>""</x:f>
        <x:v/>
      </x:c>
      <x:c r="AE1494" t="str">
        <x:f>""</x:f>
        <x:v/>
      </x:c>
      <x:c r="AF1494" t="str">
        <x:f>""</x:f>
        <x:v/>
      </x:c>
      <x:c r="AG1494" t="str">
        <x:f>""</x:f>
        <x:v/>
      </x:c>
    </x:row>
    <x:row r="1495" spans="2:33" x14ac:dyDescent="0.25">
      <x:c r="B1495" t="str">
        <x:f>"HAUS US Equity"</x:f>
        <x:v>HAUS US Equity</x:v>
      </x:c>
      <x:c r="C1495" t="str">
        <x:f t="shared" si="65"/>
        <x:v>FD447</x:v>
      </x:c>
      <x:c r="D1495" t="str">
        <x:f t="shared" si="66"/>
        <x:v>FUND_FLOW</x:v>
      </x:c>
      <x:c r="E1495" t="str">
        <x:f t="shared" si="67"/>
        <x:v>Dynamic</x:v>
      </x:c>
      <x:c r="F1495">
        <x:f ca="1">_xll.BDH($B$1495,$C$1495,$B$1010,$B$1011,CONCATENATE("Per=",$B$1008),"Dts=H","Dir=H",CONCATENATE("Points=",$B$1009),"Sort=R","Days=A","Fill=B",CONCATENATE("FX=", $B$1007),"cols=14;rows=1")</x:f>
        <x:v>-1.3444</x:v>
      </x:c>
      <x:c r="G1495">
        <x:v>0</x:v>
      </x:c>
      <x:c r="H1495">
        <x:v>0</x:v>
      </x:c>
      <x:c r="I1495">
        <x:v>0</x:v>
      </x:c>
      <x:c r="J1495">
        <x:v>0.3256</x:v>
      </x:c>
      <x:c r="K1495">
        <x:v>-0.46479999999999999</x:v>
      </x:c>
      <x:c r="L1495">
        <x:v>0</x:v>
      </x:c>
      <x:c r="M1495">
        <x:v>0.64710000000000001</x:v>
      </x:c>
      <x:c r="N1495">
        <x:v>0</x:v>
      </x:c>
      <x:c r="O1495">
        <x:v>0</x:v>
      </x:c>
      <x:c r="P1495">
        <x:v>0</x:v>
      </x:c>
      <x:c r="Q1495">
        <x:v>0</x:v>
      </x:c>
      <x:c r="R1495">
        <x:v>0.76700000000000002</x:v>
      </x:c>
      <x:c r="S1495">
        <x:v>0.82499999999999996</x:v>
      </x:c>
      <x:c r="T1495" t="str">
        <x:f>""</x:f>
        <x:v/>
      </x:c>
      <x:c r="U1495" t="str">
        <x:f>""</x:f>
        <x:v/>
      </x:c>
      <x:c r="V1495" t="str">
        <x:f>""</x:f>
        <x:v/>
      </x:c>
      <x:c r="W1495" t="str">
        <x:f>""</x:f>
        <x:v/>
      </x:c>
      <x:c r="X1495" t="str">
        <x:f>""</x:f>
        <x:v/>
      </x:c>
      <x:c r="Y1495" t="str">
        <x:f>""</x:f>
        <x:v/>
      </x:c>
      <x:c r="Z1495" t="str">
        <x:f>""</x:f>
        <x:v/>
      </x:c>
      <x:c r="AA1495" t="str">
        <x:f>""</x:f>
        <x:v/>
      </x:c>
      <x:c r="AB1495" t="str">
        <x:f>""</x:f>
        <x:v/>
      </x:c>
      <x:c r="AC1495" t="str">
        <x:f>""</x:f>
        <x:v/>
      </x:c>
      <x:c r="AD1495" t="str">
        <x:f>""</x:f>
        <x:v/>
      </x:c>
      <x:c r="AE1495" t="str">
        <x:f>""</x:f>
        <x:v/>
      </x:c>
      <x:c r="AF1495" t="str">
        <x:f>""</x:f>
        <x:v/>
      </x:c>
      <x:c r="AG1495" t="str">
        <x:f>""</x:f>
        <x:v/>
      </x:c>
    </x:row>
    <x:row r="1496" spans="2:33" x14ac:dyDescent="0.25">
      <x:c r="B1496" t="str">
        <x:f>"BYRE US Equity"</x:f>
        <x:v>BYRE US Equity</x:v>
      </x:c>
      <x:c r="C1496" t="str">
        <x:f t="shared" si="65"/>
        <x:v>FD447</x:v>
      </x:c>
      <x:c r="D1496" t="str">
        <x:f t="shared" si="66"/>
        <x:v>FUND_FLOW</x:v>
      </x:c>
      <x:c r="E1496" t="str">
        <x:f t="shared" si="67"/>
        <x:v>Dynamic</x:v>
      </x:c>
      <x:c r="F1496">
        <x:f ca="1">_xll.BDH($B$1496,$C$1496,$B$1010,$B$1011,CONCATENATE("Per=",$B$1008),"Dts=H","Dir=H",CONCATENATE("Points=",$B$1009),"Sort=R","Days=A","Fill=B",CONCATENATE("FX=", $B$1007),"cols=14;rows=1")</x:f>
        <x:v>2.8807999999999998</x:v>
      </x:c>
      <x:c r="G1496">
        <x:v>0</x:v>
      </x:c>
      <x:c r="H1496">
        <x:v>0</x:v>
      </x:c>
      <x:c r="I1496">
        <x:v>0</x:v>
      </x:c>
      <x:c r="J1496">
        <x:v>0</x:v>
      </x:c>
      <x:c r="K1496">
        <x:v>0.43680000000000002</x:v>
      </x:c>
      <x:c r="L1496">
        <x:v>0</x:v>
      </x:c>
      <x:c r="M1496">
        <x:v>0</x:v>
      </x:c>
      <x:c r="N1496">
        <x:v>0</x:v>
      </x:c>
      <x:c r="O1496">
        <x:v>0</x:v>
      </x:c>
      <x:c r="P1496">
        <x:v>0</x:v>
      </x:c>
      <x:c r="Q1496">
        <x:v>0</x:v>
      </x:c>
      <x:c r="R1496">
        <x:v>0</x:v>
      </x:c>
      <x:c r="S1496">
        <x:v>0</x:v>
      </x:c>
      <x:c r="T1496" t="str">
        <x:f>""</x:f>
        <x:v/>
      </x:c>
      <x:c r="U1496" t="str">
        <x:f>""</x:f>
        <x:v/>
      </x:c>
      <x:c r="V1496" t="str">
        <x:f>""</x:f>
        <x:v/>
      </x:c>
      <x:c r="W1496" t="str">
        <x:f>""</x:f>
        <x:v/>
      </x:c>
      <x:c r="X1496" t="str">
        <x:f>""</x:f>
        <x:v/>
      </x:c>
      <x:c r="Y1496" t="str">
        <x:f>""</x:f>
        <x:v/>
      </x:c>
      <x:c r="Z1496" t="str">
        <x:f>""</x:f>
        <x:v/>
      </x:c>
      <x:c r="AA1496" t="str">
        <x:f>""</x:f>
        <x:v/>
      </x:c>
      <x:c r="AB1496" t="str">
        <x:f>""</x:f>
        <x:v/>
      </x:c>
      <x:c r="AC1496" t="str">
        <x:f>""</x:f>
        <x:v/>
      </x:c>
      <x:c r="AD1496" t="str">
        <x:f>""</x:f>
        <x:v/>
      </x:c>
      <x:c r="AE1496" t="str">
        <x:f>""</x:f>
        <x:v/>
      </x:c>
      <x:c r="AF1496" t="str">
        <x:f>""</x:f>
        <x:v/>
      </x:c>
      <x:c r="AG1496" t="str">
        <x:f>""</x:f>
        <x:v/>
      </x:c>
    </x:row>
    <x:row r="1497" spans="2:33" x14ac:dyDescent="0.25">
      <x:c r="B1497" t="str">
        <x:f>"DFGR US Equity"</x:f>
        <x:v>DFGR US Equity</x:v>
      </x:c>
      <x:c r="C1497" t="str">
        <x:f t="shared" si="65"/>
        <x:v>FD447</x:v>
      </x:c>
      <x:c r="D1497" t="str">
        <x:f t="shared" si="66"/>
        <x:v>FUND_FLOW</x:v>
      </x:c>
      <x:c r="E1497" t="str">
        <x:f t="shared" si="67"/>
        <x:v>Dynamic</x:v>
      </x:c>
      <x:c r="F1497">
        <x:f ca="1">_xll.BDH($B$1497,$C$1497,$B$1010,$B$1011,CONCATENATE("Per=",$B$1008),"Dts=H","Dir=H",CONCATENATE("Points=",$B$1009),"Sort=R","Days=A","Fill=B",CONCATENATE("FX=", $B$1007),"cols=14;rows=1")</x:f>
        <x:v>151.06950000000001</x:v>
      </x:c>
      <x:c r="G1497">
        <x:v>72.861099999999993</x:v>
      </x:c>
      <x:c r="H1497">
        <x:v>93.098100000000002</x:v>
      </x:c>
      <x:c r="I1497">
        <x:v>76.263099999999994</x:v>
      </x:c>
      <x:c r="J1497">
        <x:v>201.7056</x:v>
      </x:c>
      <x:c r="K1497">
        <x:v>63.0901</x:v>
      </x:c>
      <x:c r="L1497">
        <x:v>53.948300000000003</x:v>
      </x:c>
      <x:c r="M1497">
        <x:v>77.985699999999994</x:v>
      </x:c>
      <x:c r="N1497">
        <x:v>35.431800000000003</x:v>
      </x:c>
      <x:c r="O1497">
        <x:v>45.084299999999999</x:v>
      </x:c>
      <x:c r="P1497">
        <x:v>203.51439999999999</x:v>
      </x:c>
      <x:c r="T1497" t="str">
        <x:f>""</x:f>
        <x:v/>
      </x:c>
      <x:c r="U1497" t="str">
        <x:f>""</x:f>
        <x:v/>
      </x:c>
      <x:c r="V1497" t="str">
        <x:f>""</x:f>
        <x:v/>
      </x:c>
      <x:c r="W1497" t="str">
        <x:f>""</x:f>
        <x:v/>
      </x:c>
      <x:c r="X1497" t="str">
        <x:f>""</x:f>
        <x:v/>
      </x:c>
      <x:c r="Y1497" t="str">
        <x:f>""</x:f>
        <x:v/>
      </x:c>
      <x:c r="Z1497" t="str">
        <x:f>""</x:f>
        <x:v/>
      </x:c>
      <x:c r="AA1497" t="str">
        <x:f>""</x:f>
        <x:v/>
      </x:c>
      <x:c r="AB1497" t="str">
        <x:f>""</x:f>
        <x:v/>
      </x:c>
      <x:c r="AC1497" t="str">
        <x:f>""</x:f>
        <x:v/>
      </x:c>
      <x:c r="AD1497" t="str">
        <x:f>""</x:f>
        <x:v/>
      </x:c>
      <x:c r="AE1497" t="str">
        <x:f>""</x:f>
        <x:v/>
      </x:c>
      <x:c r="AF1497" t="str">
        <x:f>""</x:f>
        <x:v/>
      </x:c>
      <x:c r="AG1497" t="str">
        <x:f>""</x:f>
        <x:v/>
      </x:c>
    </x:row>
    <x:row r="1498" spans="2:33" x14ac:dyDescent="0.25">
      <x:c r="B1498" t="str">
        <x:f>"ERET US Equity"</x:f>
        <x:v>ERET US Equity</x:v>
      </x:c>
      <x:c r="C1498" t="str">
        <x:f t="shared" si="65"/>
        <x:v>FD447</x:v>
      </x:c>
      <x:c r="D1498" t="str">
        <x:f t="shared" si="66"/>
        <x:v>FUND_FLOW</x:v>
      </x:c>
      <x:c r="E1498" t="str">
        <x:f t="shared" si="67"/>
        <x:v>Dynamic</x:v>
      </x:c>
      <x:c r="F1498">
        <x:f ca="1">_xll.BDH($B$1498,$C$1498,$B$1010,$B$1011,CONCATENATE("Per=",$B$1008),"Dts=H","Dir=H",CONCATENATE("Points=",$B$1009),"Sort=R","Days=A","Fill=B",CONCATENATE("FX=", $B$1007),"cols=14;rows=1")</x:f>
        <x:v>0</x:v>
      </x:c>
      <x:c r="G1498">
        <x:v>0</x:v>
      </x:c>
      <x:c r="H1498">
        <x:v>0</x:v>
      </x:c>
      <x:c r="I1498">
        <x:v>0</x:v>
      </x:c>
      <x:c r="J1498">
        <x:v>0</x:v>
      </x:c>
      <x:c r="K1498">
        <x:v>0</x:v>
      </x:c>
      <x:c r="L1498">
        <x:v>0</x:v>
      </x:c>
      <x:c r="M1498">
        <x:v>0</x:v>
      </x:c>
      <x:c r="N1498">
        <x:v>0</x:v>
      </x:c>
      <x:c r="O1498">
        <x:v>0</x:v>
      </x:c>
      <x:c r="P1498">
        <x:v>0</x:v>
      </x:c>
      <x:c r="Q1498">
        <x:v>0</x:v>
      </x:c>
      <x:c r="T1498" t="str">
        <x:f>""</x:f>
        <x:v/>
      </x:c>
      <x:c r="U1498" t="str">
        <x:f>""</x:f>
        <x:v/>
      </x:c>
      <x:c r="V1498" t="str">
        <x:f>""</x:f>
        <x:v/>
      </x:c>
      <x:c r="W1498" t="str">
        <x:f>""</x:f>
        <x:v/>
      </x:c>
      <x:c r="X1498" t="str">
        <x:f>""</x:f>
        <x:v/>
      </x:c>
      <x:c r="Y1498" t="str">
        <x:f>""</x:f>
        <x:v/>
      </x:c>
      <x:c r="Z1498" t="str">
        <x:f>""</x:f>
        <x:v/>
      </x:c>
      <x:c r="AA1498" t="str">
        <x:f>""</x:f>
        <x:v/>
      </x:c>
      <x:c r="AB1498" t="str">
        <x:f>""</x:f>
        <x:v/>
      </x:c>
      <x:c r="AC1498" t="str">
        <x:f>""</x:f>
        <x:v/>
      </x:c>
      <x:c r="AD1498" t="str">
        <x:f>""</x:f>
        <x:v/>
      </x:c>
      <x:c r="AE1498" t="str">
        <x:f>""</x:f>
        <x:v/>
      </x:c>
      <x:c r="AF1498" t="str">
        <x:f>""</x:f>
        <x:v/>
      </x:c>
      <x:c r="AG1498" t="str">
        <x:f>""</x:f>
        <x:v/>
      </x:c>
    </x:row>
    <x:row r="1499" spans="2:33" x14ac:dyDescent="0.25">
      <x:c r="B1499" t="str">
        <x:f>"JPRE US Equity"</x:f>
        <x:v>JPRE US Equity</x:v>
      </x:c>
      <x:c r="C1499" t="str">
        <x:f t="shared" si="65"/>
        <x:v>FD447</x:v>
      </x:c>
      <x:c r="D1499" t="str">
        <x:f t="shared" si="66"/>
        <x:v>FUND_FLOW</x:v>
      </x:c>
      <x:c r="E1499" t="str">
        <x:f t="shared" si="67"/>
        <x:v>Dynamic</x:v>
      </x:c>
      <x:c r="F1499">
        <x:f ca="1">_xll.BDH($B$1499,$C$1499,$B$1010,$B$1011,CONCATENATE("Per=",$B$1008),"Dts=H","Dir=H",CONCATENATE("Points=",$B$1009),"Sort=R","Days=A","Fill=B",CONCATENATE("FX=", $B$1007),"cols=14;rows=1")</x:f>
        <x:v>4.7324999999999999</x:v>
      </x:c>
      <x:c r="G1499">
        <x:v>-0.96870000000000001</x:v>
      </x:c>
      <x:c r="H1499">
        <x:v>-1.0558000000000001</x:v>
      </x:c>
      <x:c r="I1499">
        <x:v>-60.297800000000002</x:v>
      </x:c>
      <x:c r="J1499">
        <x:v>-30.1966</x:v>
      </x:c>
      <x:c r="K1499">
        <x:v>-11.5244</x:v>
      </x:c>
      <x:c r="L1499">
        <x:v>-56.664000000000001</x:v>
      </x:c>
      <x:c r="M1499">
        <x:v>-1.0548</x:v>
      </x:c>
      <x:c r="N1499">
        <x:v>-189.67599999999999</x:v>
      </x:c>
      <x:c r="O1499">
        <x:v>5.4817999999999998</x:v>
      </x:c>
      <x:c r="P1499">
        <x:v>-91.748800000000003</x:v>
      </x:c>
      <x:c r="Q1499">
        <x:v>-21.532900000000001</x:v>
      </x:c>
      <x:c r="R1499">
        <x:v>-40.038200000000003</x:v>
      </x:c>
      <x:c r="S1499">
        <x:v>16.0136</x:v>
      </x:c>
      <x:c r="T1499" t="str">
        <x:f>""</x:f>
        <x:v/>
      </x:c>
      <x:c r="U1499" t="str">
        <x:f>""</x:f>
        <x:v/>
      </x:c>
      <x:c r="V1499" t="str">
        <x:f>""</x:f>
        <x:v/>
      </x:c>
      <x:c r="W1499" t="str">
        <x:f>""</x:f>
        <x:v/>
      </x:c>
      <x:c r="X1499" t="str">
        <x:f>""</x:f>
        <x:v/>
      </x:c>
      <x:c r="Y1499" t="str">
        <x:f>""</x:f>
        <x:v/>
      </x:c>
      <x:c r="Z1499" t="str">
        <x:f>""</x:f>
        <x:v/>
      </x:c>
      <x:c r="AA1499" t="str">
        <x:f>""</x:f>
        <x:v/>
      </x:c>
      <x:c r="AB1499" t="str">
        <x:f>""</x:f>
        <x:v/>
      </x:c>
      <x:c r="AC1499" t="str">
        <x:f>""</x:f>
        <x:v/>
      </x:c>
      <x:c r="AD1499" t="str">
        <x:f>""</x:f>
        <x:v/>
      </x:c>
      <x:c r="AE1499" t="str">
        <x:f>""</x:f>
        <x:v/>
      </x:c>
      <x:c r="AF1499" t="str">
        <x:f>""</x:f>
        <x:v/>
      </x:c>
      <x:c r="AG1499" t="str">
        <x:f>""</x:f>
        <x:v/>
      </x:c>
    </x:row>
    <x:row r="1500" spans="2:33" x14ac:dyDescent="0.25">
      <x:c r="B1500" t="str">
        <x:f>"XLK US Equity"</x:f>
        <x:v>XLK US Equity</x:v>
      </x:c>
      <x:c r="C1500" t="str">
        <x:f t="shared" si="65"/>
        <x:v>FD447</x:v>
      </x:c>
      <x:c r="D1500" t="str">
        <x:f t="shared" si="66"/>
        <x:v>FUND_FLOW</x:v>
      </x:c>
      <x:c r="E1500" t="str">
        <x:f t="shared" si="67"/>
        <x:v>Dynamic</x:v>
      </x:c>
      <x:c r="F1500">
        <x:f ca="1">_xll.BDH($B$1500,$C$1500,$B$1010,$B$1011,CONCATENATE("Per=",$B$1008),"Dts=H","Dir=H",CONCATENATE("Points=",$B$1009),"Sort=R","Days=A","Fill=B",CONCATENATE("FX=", $B$1007),"cols=14;rows=1")</x:f>
        <x:v>-311.9427</x:v>
      </x:c>
      <x:c r="G1500">
        <x:v>27.3066</x:v>
      </x:c>
      <x:c r="H1500">
        <x:v>286.64940000000001</x:v>
      </x:c>
      <x:c r="I1500">
        <x:v>227.41749999999999</x:v>
      </x:c>
      <x:c r="J1500">
        <x:v>88.138499999999993</x:v>
      </x:c>
      <x:c r="K1500">
        <x:v>22.059699999999999</x:v>
      </x:c>
      <x:c r="L1500">
        <x:v>-243.8646</x:v>
      </x:c>
      <x:c r="M1500">
        <x:v>-722.94889999999998</x:v>
      </x:c>
      <x:c r="N1500">
        <x:v>-806.6798</x:v>
      </x:c>
      <x:c r="O1500">
        <x:v>-892.26750000000004</x:v>
      </x:c>
      <x:c r="P1500">
        <x:v>324.33730000000003</x:v>
      </x:c>
      <x:c r="Q1500">
        <x:v>215.72319999999999</x:v>
      </x:c>
      <x:c r="R1500">
        <x:v>196.40260000000001</x:v>
      </x:c>
      <x:c r="S1500">
        <x:v>-243.81049999999999</x:v>
      </x:c>
      <x:c r="T1500" t="str">
        <x:f>""</x:f>
        <x:v/>
      </x:c>
      <x:c r="U1500" t="str">
        <x:f>""</x:f>
        <x:v/>
      </x:c>
      <x:c r="V1500" t="str">
        <x:f>""</x:f>
        <x:v/>
      </x:c>
      <x:c r="W1500" t="str">
        <x:f>""</x:f>
        <x:v/>
      </x:c>
      <x:c r="X1500" t="str">
        <x:f>""</x:f>
        <x:v/>
      </x:c>
      <x:c r="Y1500" t="str">
        <x:f>""</x:f>
        <x:v/>
      </x:c>
      <x:c r="Z1500" t="str">
        <x:f>""</x:f>
        <x:v/>
      </x:c>
      <x:c r="AA1500" t="str">
        <x:f>""</x:f>
        <x:v/>
      </x:c>
      <x:c r="AB1500" t="str">
        <x:f>""</x:f>
        <x:v/>
      </x:c>
      <x:c r="AC1500" t="str">
        <x:f>""</x:f>
        <x:v/>
      </x:c>
      <x:c r="AD1500" t="str">
        <x:f>""</x:f>
        <x:v/>
      </x:c>
      <x:c r="AE1500" t="str">
        <x:f>""</x:f>
        <x:v/>
      </x:c>
      <x:c r="AF1500" t="str">
        <x:f>""</x:f>
        <x:v/>
      </x:c>
      <x:c r="AG1500" t="str">
        <x:f>""</x:f>
        <x:v/>
      </x:c>
    </x:row>
    <x:row r="1501" spans="2:33" x14ac:dyDescent="0.25">
      <x:c r="B1501" t="str">
        <x:f>"VGT US Equity"</x:f>
        <x:v>VGT US Equity</x:v>
      </x:c>
      <x:c r="C1501" t="str">
        <x:f t="shared" si="65"/>
        <x:v>FD447</x:v>
      </x:c>
      <x:c r="D1501" t="str">
        <x:f t="shared" si="66"/>
        <x:v>FUND_FLOW</x:v>
      </x:c>
      <x:c r="E1501" t="str">
        <x:f t="shared" si="67"/>
        <x:v>Dynamic</x:v>
      </x:c>
      <x:c r="F1501">
        <x:f ca="1">_xll.BDH($B$1501,$C$1501,$B$1010,$B$1011,CONCATENATE("Per=",$B$1008),"Dts=H","Dir=H",CONCATENATE("Points=",$B$1009),"Sort=R","Days=A","Fill=B",CONCATENATE("FX=", $B$1007),"cols=14;rows=1")</x:f>
        <x:v>-88.496499999999997</x:v>
      </x:c>
      <x:c r="G1501">
        <x:v>-2541.7703999999999</x:v>
      </x:c>
      <x:c r="H1501">
        <x:v>2908.8389000000002</x:v>
      </x:c>
      <x:c r="I1501">
        <x:v>-803.59529999999995</x:v>
      </x:c>
      <x:c r="J1501">
        <x:v>-6741.4647999999997</x:v>
      </x:c>
      <x:c r="K1501">
        <x:v>7201.9255000000003</x:v>
      </x:c>
      <x:c r="L1501">
        <x:v>-802.34889999999996</x:v>
      </x:c>
      <x:c r="M1501">
        <x:v>225.8409</x:v>
      </x:c>
      <x:c r="N1501">
        <x:v>-125.3135</x:v>
      </x:c>
      <x:c r="O1501">
        <x:v>-538.43989999999997</x:v>
      </x:c>
      <x:c r="P1501">
        <x:v>-1.2408999999999999</x:v>
      </x:c>
      <x:c r="Q1501">
        <x:v>674.05269999999996</x:v>
      </x:c>
      <x:c r="R1501">
        <x:v>40.835099999999997</x:v>
      </x:c>
      <x:c r="S1501">
        <x:v>-2272.1581999999999</x:v>
      </x:c>
      <x:c r="T1501" t="str">
        <x:f>""</x:f>
        <x:v/>
      </x:c>
      <x:c r="U1501" t="str">
        <x:f>""</x:f>
        <x:v/>
      </x:c>
      <x:c r="V1501" t="str">
        <x:f>""</x:f>
        <x:v/>
      </x:c>
      <x:c r="W1501" t="str">
        <x:f>""</x:f>
        <x:v/>
      </x:c>
      <x:c r="X1501" t="str">
        <x:f>""</x:f>
        <x:v/>
      </x:c>
      <x:c r="Y1501" t="str">
        <x:f>""</x:f>
        <x:v/>
      </x:c>
      <x:c r="Z1501" t="str">
        <x:f>""</x:f>
        <x:v/>
      </x:c>
      <x:c r="AA1501" t="str">
        <x:f>""</x:f>
        <x:v/>
      </x:c>
      <x:c r="AB1501" t="str">
        <x:f>""</x:f>
        <x:v/>
      </x:c>
      <x:c r="AC1501" t="str">
        <x:f>""</x:f>
        <x:v/>
      </x:c>
      <x:c r="AD1501" t="str">
        <x:f>""</x:f>
        <x:v/>
      </x:c>
      <x:c r="AE1501" t="str">
        <x:f>""</x:f>
        <x:v/>
      </x:c>
      <x:c r="AF1501" t="str">
        <x:f>""</x:f>
        <x:v/>
      </x:c>
      <x:c r="AG1501" t="str">
        <x:f>""</x:f>
        <x:v/>
      </x:c>
    </x:row>
    <x:row r="1502" spans="2:33" x14ac:dyDescent="0.25">
      <x:c r="B1502" t="str">
        <x:f>"IYW US Equity"</x:f>
        <x:v>IYW US Equity</x:v>
      </x:c>
      <x:c r="C1502" t="str">
        <x:f t="shared" si="65"/>
        <x:v>FD447</x:v>
      </x:c>
      <x:c r="D1502" t="str">
        <x:f t="shared" si="66"/>
        <x:v>FUND_FLOW</x:v>
      </x:c>
      <x:c r="E1502" t="str">
        <x:f t="shared" si="67"/>
        <x:v>Dynamic</x:v>
      </x:c>
      <x:c r="F1502">
        <x:f ca="1">_xll.BDH($B$1502,$C$1502,$B$1010,$B$1011,CONCATENATE("Per=",$B$1008),"Dts=H","Dir=H",CONCATENATE("Points=",$B$1009),"Sort=R","Days=A","Fill=B",CONCATENATE("FX=", $B$1007),"cols=14;rows=1")</x:f>
        <x:v>870.56</x:v>
      </x:c>
      <x:c r="G1502">
        <x:v>12.4374</x:v>
      </x:c>
      <x:c r="H1502">
        <x:v>-24.1678</x:v>
      </x:c>
      <x:c r="I1502">
        <x:v>-1620.0341000000001</x:v>
      </x:c>
      <x:c r="J1502">
        <x:v>76.074200000000005</x:v>
      </x:c>
      <x:c r="K1502">
        <x:v>312.22329999999999</x:v>
      </x:c>
      <x:c r="L1502">
        <x:v>22.8888</x:v>
      </x:c>
      <x:c r="M1502">
        <x:v>644.7681</x:v>
      </x:c>
      <x:c r="N1502">
        <x:v>1.0634999999999999</x:v>
      </x:c>
      <x:c r="O1502">
        <x:v>65.410799999999995</x:v>
      </x:c>
      <x:c r="P1502">
        <x:v>-51.885899999999999</x:v>
      </x:c>
      <x:c r="Q1502">
        <x:v>53.887700000000002</x:v>
      </x:c>
      <x:c r="R1502">
        <x:v>2025.2698</x:v>
      </x:c>
      <x:c r="S1502">
        <x:v>-196.62029999999999</x:v>
      </x:c>
      <x:c r="T1502" t="str">
        <x:f>""</x:f>
        <x:v/>
      </x:c>
      <x:c r="U1502" t="str">
        <x:f>""</x:f>
        <x:v/>
      </x:c>
      <x:c r="V1502" t="str">
        <x:f>""</x:f>
        <x:v/>
      </x:c>
      <x:c r="W1502" t="str">
        <x:f>""</x:f>
        <x:v/>
      </x:c>
      <x:c r="X1502" t="str">
        <x:f>""</x:f>
        <x:v/>
      </x:c>
      <x:c r="Y1502" t="str">
        <x:f>""</x:f>
        <x:v/>
      </x:c>
      <x:c r="Z1502" t="str">
        <x:f>""</x:f>
        <x:v/>
      </x:c>
      <x:c r="AA1502" t="str">
        <x:f>""</x:f>
        <x:v/>
      </x:c>
      <x:c r="AB1502" t="str">
        <x:f>""</x:f>
        <x:v/>
      </x:c>
      <x:c r="AC1502" t="str">
        <x:f>""</x:f>
        <x:v/>
      </x:c>
      <x:c r="AD1502" t="str">
        <x:f>""</x:f>
        <x:v/>
      </x:c>
      <x:c r="AE1502" t="str">
        <x:f>""</x:f>
        <x:v/>
      </x:c>
      <x:c r="AF1502" t="str">
        <x:f>""</x:f>
        <x:v/>
      </x:c>
      <x:c r="AG1502" t="str">
        <x:f>""</x:f>
        <x:v/>
      </x:c>
    </x:row>
    <x:row r="1503" spans="2:33" x14ac:dyDescent="0.25">
      <x:c r="B1503" t="str">
        <x:f>"QTEC US Equity"</x:f>
        <x:v>QTEC US Equity</x:v>
      </x:c>
      <x:c r="C1503" t="str">
        <x:f t="shared" si="65"/>
        <x:v>FD447</x:v>
      </x:c>
      <x:c r="D1503" t="str">
        <x:f t="shared" si="66"/>
        <x:v>FUND_FLOW</x:v>
      </x:c>
      <x:c r="E1503" t="str">
        <x:f t="shared" si="67"/>
        <x:v>Dynamic</x:v>
      </x:c>
      <x:c r="F1503">
        <x:f ca="1">_xll.BDH($B$1503,$C$1503,$B$1010,$B$1011,CONCATENATE("Per=",$B$1008),"Dts=H","Dir=H",CONCATENATE("Points=",$B$1009),"Sort=R","Days=A","Fill=B",CONCATENATE("FX=", $B$1007),"cols=14;rows=1")</x:f>
        <x:v>44.674399999999999</x:v>
      </x:c>
      <x:c r="G1503">
        <x:v>954.77620000000002</x:v>
      </x:c>
      <x:c r="H1503">
        <x:v>-7.4725999999999999</x:v>
      </x:c>
      <x:c r="I1503">
        <x:v>0.108</x:v>
      </x:c>
      <x:c r="J1503">
        <x:v>51.174500000000002</x:v>
      </x:c>
      <x:c r="K1503">
        <x:v>34.307499999999997</x:v>
      </x:c>
      <x:c r="L1503">
        <x:v>3.2500000000000001E-2</x:v>
      </x:c>
      <x:c r="M1503">
        <x:v>-18.405000000000001</x:v>
      </x:c>
      <x:c r="N1503">
        <x:v>7.5499999999999998E-2</x:v>
      </x:c>
      <x:c r="O1503">
        <x:v>-22.117000000000001</x:v>
      </x:c>
      <x:c r="P1503">
        <x:v>-47.729300000000002</x:v>
      </x:c>
      <x:c r="Q1503">
        <x:v>4.9626999999999999</x:v>
      </x:c>
      <x:c r="R1503">
        <x:v>-31.4849</x:v>
      </x:c>
      <x:c r="S1503">
        <x:v>-44.131100000000004</x:v>
      </x:c>
      <x:c r="T1503" t="str">
        <x:f>""</x:f>
        <x:v/>
      </x:c>
      <x:c r="U1503" t="str">
        <x:f>""</x:f>
        <x:v/>
      </x:c>
      <x:c r="V1503" t="str">
        <x:f>""</x:f>
        <x:v/>
      </x:c>
      <x:c r="W1503" t="str">
        <x:f>""</x:f>
        <x:v/>
      </x:c>
      <x:c r="X1503" t="str">
        <x:f>""</x:f>
        <x:v/>
      </x:c>
      <x:c r="Y1503" t="str">
        <x:f>""</x:f>
        <x:v/>
      </x:c>
      <x:c r="Z1503" t="str">
        <x:f>""</x:f>
        <x:v/>
      </x:c>
      <x:c r="AA1503" t="str">
        <x:f>""</x:f>
        <x:v/>
      </x:c>
      <x:c r="AB1503" t="str">
        <x:f>""</x:f>
        <x:v/>
      </x:c>
      <x:c r="AC1503" t="str">
        <x:f>""</x:f>
        <x:v/>
      </x:c>
      <x:c r="AD1503" t="str">
        <x:f>""</x:f>
        <x:v/>
      </x:c>
      <x:c r="AE1503" t="str">
        <x:f>""</x:f>
        <x:v/>
      </x:c>
      <x:c r="AF1503" t="str">
        <x:f>""</x:f>
        <x:v/>
      </x:c>
      <x:c r="AG1503" t="str">
        <x:f>""</x:f>
        <x:v/>
      </x:c>
    </x:row>
    <x:row r="1504" spans="2:33" x14ac:dyDescent="0.25">
      <x:c r="B1504" t="str">
        <x:f>"RYT US Equity"</x:f>
        <x:v>RYT US Equity</x:v>
      </x:c>
      <x:c r="C1504" t="str">
        <x:f t="shared" si="65"/>
        <x:v>FD447</x:v>
      </x:c>
      <x:c r="D1504" t="str">
        <x:f t="shared" si="66"/>
        <x:v>FUND_FLOW</x:v>
      </x:c>
      <x:c r="E1504" t="str">
        <x:f t="shared" si="67"/>
        <x:v>Dynamic</x:v>
      </x:c>
      <x:c r="F1504">
        <x:f ca="1">_xll.BDH($B$1504,$C$1504,$B$1010,$B$1011,CONCATENATE("Per=",$B$1008),"Dts=H","Dir=H",CONCATENATE("Points=",$B$1009),"Sort=R","Days=A","Fill=B",CONCATENATE("FX=", $B$1007),"cols=14;rows=1")</x:f>
        <x:v>4.7024999999999997</x:v>
      </x:c>
      <x:c r="G1504">
        <x:v>116.5501</x:v>
      </x:c>
      <x:c r="H1504">
        <x:v>-27.3018</x:v>
      </x:c>
      <x:c r="I1504">
        <x:v>9.4756</x:v>
      </x:c>
      <x:c r="J1504">
        <x:v>16.853300000000001</x:v>
      </x:c>
      <x:c r="K1504">
        <x:v>225.81780000000001</x:v>
      </x:c>
      <x:c r="L1504">
        <x:v>13.5276</x:v>
      </x:c>
      <x:c r="M1504">
        <x:v>5.0385</x:v>
      </x:c>
      <x:c r="N1504">
        <x:v>183.76349999999999</x:v>
      </x:c>
      <x:c r="O1504">
        <x:v>97.378500000000003</x:v>
      </x:c>
      <x:c r="P1504">
        <x:v>44.480499999999999</x:v>
      </x:c>
      <x:c r="Q1504">
        <x:v>24.3977</x:v>
      </x:c>
      <x:c r="R1504">
        <x:v>51.215600000000002</x:v>
      </x:c>
      <x:c r="S1504">
        <x:v>-7.5861999999999998</x:v>
      </x:c>
      <x:c r="T1504" t="str">
        <x:f>""</x:f>
        <x:v/>
      </x:c>
      <x:c r="U1504" t="str">
        <x:f>""</x:f>
        <x:v/>
      </x:c>
      <x:c r="V1504" t="str">
        <x:f>""</x:f>
        <x:v/>
      </x:c>
      <x:c r="W1504" t="str">
        <x:f>""</x:f>
        <x:v/>
      </x:c>
      <x:c r="X1504" t="str">
        <x:f>""</x:f>
        <x:v/>
      </x:c>
      <x:c r="Y1504" t="str">
        <x:f>""</x:f>
        <x:v/>
      </x:c>
      <x:c r="Z1504" t="str">
        <x:f>""</x:f>
        <x:v/>
      </x:c>
      <x:c r="AA1504" t="str">
        <x:f>""</x:f>
        <x:v/>
      </x:c>
      <x:c r="AB1504" t="str">
        <x:f>""</x:f>
        <x:v/>
      </x:c>
      <x:c r="AC1504" t="str">
        <x:f>""</x:f>
        <x:v/>
      </x:c>
      <x:c r="AD1504" t="str">
        <x:f>""</x:f>
        <x:v/>
      </x:c>
      <x:c r="AE1504" t="str">
        <x:f>""</x:f>
        <x:v/>
      </x:c>
      <x:c r="AF1504" t="str">
        <x:f>""</x:f>
        <x:v/>
      </x:c>
      <x:c r="AG1504" t="str">
        <x:f>""</x:f>
        <x:v/>
      </x:c>
    </x:row>
    <x:row r="1505" spans="2:33" x14ac:dyDescent="0.25">
      <x:c r="B1505" t="str">
        <x:f>"IGM US Equity"</x:f>
        <x:v>IGM US Equity</x:v>
      </x:c>
      <x:c r="C1505" t="str">
        <x:f t="shared" si="65"/>
        <x:v>FD447</x:v>
      </x:c>
      <x:c r="D1505" t="str">
        <x:f t="shared" si="66"/>
        <x:v>FUND_FLOW</x:v>
      </x:c>
      <x:c r="E1505" t="str">
        <x:f t="shared" si="67"/>
        <x:v>Dynamic</x:v>
      </x:c>
      <x:c r="F1505">
        <x:f ca="1">_xll.BDH($B$1505,$C$1505,$B$1010,$B$1011,CONCATENATE("Per=",$B$1008),"Dts=H","Dir=H",CONCATENATE("Points=",$B$1009),"Sort=R","Days=A","Fill=B",CONCATENATE("FX=", $B$1007),"cols=14;rows=1")</x:f>
        <x:v>19.331499999999998</x:v>
      </x:c>
      <x:c r="G1505">
        <x:v>0</x:v>
      </x:c>
      <x:c r="H1505">
        <x:v>0.25569999999999998</x:v>
      </x:c>
      <x:c r="I1505">
        <x:v>20.550999999999998</x:v>
      </x:c>
      <x:c r="J1505">
        <x:v>-96.624300000000005</x:v>
      </x:c>
      <x:c r="K1505">
        <x:v>35.289299999999997</x:v>
      </x:c>
      <x:c r="L1505">
        <x:v>0.26860000000000001</x:v>
      </x:c>
      <x:c r="M1505">
        <x:v>63.005499999999998</x:v>
      </x:c>
      <x:c r="N1505">
        <x:v>-0.31859999999999999</x:v>
      </x:c>
      <x:c r="O1505">
        <x:v>-43.634</x:v>
      </x:c>
      <x:c r="P1505">
        <x:v>-100.6935</x:v>
      </x:c>
      <x:c r="Q1505">
        <x:v>-410.12389999999999</x:v>
      </x:c>
      <x:c r="R1505">
        <x:v>-14.1136</x:v>
      </x:c>
      <x:c r="S1505">
        <x:v>-426.40050000000002</x:v>
      </x:c>
      <x:c r="T1505" t="str">
        <x:f>""</x:f>
        <x:v/>
      </x:c>
      <x:c r="U1505" t="str">
        <x:f>""</x:f>
        <x:v/>
      </x:c>
      <x:c r="V1505" t="str">
        <x:f>""</x:f>
        <x:v/>
      </x:c>
      <x:c r="W1505" t="str">
        <x:f>""</x:f>
        <x:v/>
      </x:c>
      <x:c r="X1505" t="str">
        <x:f>""</x:f>
        <x:v/>
      </x:c>
      <x:c r="Y1505" t="str">
        <x:f>""</x:f>
        <x:v/>
      </x:c>
      <x:c r="Z1505" t="str">
        <x:f>""</x:f>
        <x:v/>
      </x:c>
      <x:c r="AA1505" t="str">
        <x:f>""</x:f>
        <x:v/>
      </x:c>
      <x:c r="AB1505" t="str">
        <x:f>""</x:f>
        <x:v/>
      </x:c>
      <x:c r="AC1505" t="str">
        <x:f>""</x:f>
        <x:v/>
      </x:c>
      <x:c r="AD1505" t="str">
        <x:f>""</x:f>
        <x:v/>
      </x:c>
      <x:c r="AE1505" t="str">
        <x:f>""</x:f>
        <x:v/>
      </x:c>
      <x:c r="AF1505" t="str">
        <x:f>""</x:f>
        <x:v/>
      </x:c>
      <x:c r="AG1505" t="str">
        <x:f>""</x:f>
        <x:v/>
      </x:c>
    </x:row>
    <x:row r="1506" spans="2:33" x14ac:dyDescent="0.25">
      <x:c r="B1506" t="str">
        <x:f>"IXN US Equity"</x:f>
        <x:v>IXN US Equity</x:v>
      </x:c>
      <x:c r="C1506" t="str">
        <x:f t="shared" si="65"/>
        <x:v>FD447</x:v>
      </x:c>
      <x:c r="D1506" t="str">
        <x:f t="shared" si="66"/>
        <x:v>FUND_FLOW</x:v>
      </x:c>
      <x:c r="E1506" t="str">
        <x:f t="shared" si="67"/>
        <x:v>Dynamic</x:v>
      </x:c>
      <x:c r="F1506">
        <x:f ca="1">_xll.BDH($B$1506,$C$1506,$B$1010,$B$1011,CONCATENATE("Per=",$B$1008),"Dts=H","Dir=H",CONCATENATE("Points=",$B$1009),"Sort=R","Days=A","Fill=B",CONCATENATE("FX=", $B$1007),"cols=14;rows=1")</x:f>
        <x:v>-8.5452999999999992</x:v>
      </x:c>
      <x:c r="G1506">
        <x:v>8.9892000000000003</x:v>
      </x:c>
      <x:c r="H1506">
        <x:v>-49.183599999999998</x:v>
      </x:c>
      <x:c r="I1506">
        <x:v>-6.0694999999999997</x:v>
      </x:c>
      <x:c r="J1506">
        <x:v>109.125</x:v>
      </x:c>
      <x:c r="K1506">
        <x:v>-5.4614000000000003</x:v>
      </x:c>
      <x:c r="L1506">
        <x:v>-29.02</x:v>
      </x:c>
      <x:c r="M1506">
        <x:v>0.28660000000000002</x:v>
      </x:c>
      <x:c r="N1506">
        <x:v>-14.9237</x:v>
      </x:c>
      <x:c r="O1506">
        <x:v>-78.062200000000004</x:v>
      </x:c>
      <x:c r="P1506">
        <x:v>-26.733799999999999</x:v>
      </x:c>
      <x:c r="Q1506">
        <x:v>-23.187799999999999</x:v>
      </x:c>
      <x:c r="R1506">
        <x:v>-183.66569999999999</x:v>
      </x:c>
      <x:c r="S1506">
        <x:v>-21.5899</x:v>
      </x:c>
      <x:c r="T1506" t="str">
        <x:f>""</x:f>
        <x:v/>
      </x:c>
      <x:c r="U1506" t="str">
        <x:f>""</x:f>
        <x:v/>
      </x:c>
      <x:c r="V1506" t="str">
        <x:f>""</x:f>
        <x:v/>
      </x:c>
      <x:c r="W1506" t="str">
        <x:f>""</x:f>
        <x:v/>
      </x:c>
      <x:c r="X1506" t="str">
        <x:f>""</x:f>
        <x:v/>
      </x:c>
      <x:c r="Y1506" t="str">
        <x:f>""</x:f>
        <x:v/>
      </x:c>
      <x:c r="Z1506" t="str">
        <x:f>""</x:f>
        <x:v/>
      </x:c>
      <x:c r="AA1506" t="str">
        <x:f>""</x:f>
        <x:v/>
      </x:c>
      <x:c r="AB1506" t="str">
        <x:f>""</x:f>
        <x:v/>
      </x:c>
      <x:c r="AC1506" t="str">
        <x:f>""</x:f>
        <x:v/>
      </x:c>
      <x:c r="AD1506" t="str">
        <x:f>""</x:f>
        <x:v/>
      </x:c>
      <x:c r="AE1506" t="str">
        <x:f>""</x:f>
        <x:v/>
      </x:c>
      <x:c r="AF1506" t="str">
        <x:f>""</x:f>
        <x:v/>
      </x:c>
      <x:c r="AG1506" t="str">
        <x:f>""</x:f>
        <x:v/>
      </x:c>
    </x:row>
    <x:row r="1507" spans="2:33" x14ac:dyDescent="0.25">
      <x:c r="B1507" t="str">
        <x:f>"IGV US Equity"</x:f>
        <x:v>IGV US Equity</x:v>
      </x:c>
      <x:c r="C1507" t="str">
        <x:f t="shared" si="65"/>
        <x:v>FD447</x:v>
      </x:c>
      <x:c r="D1507" t="str">
        <x:f t="shared" si="66"/>
        <x:v>FUND_FLOW</x:v>
      </x:c>
      <x:c r="E1507" t="str">
        <x:f t="shared" si="67"/>
        <x:v>Dynamic</x:v>
      </x:c>
      <x:c r="F1507">
        <x:f ca="1">_xll.BDH($B$1507,$C$1507,$B$1010,$B$1011,CONCATENATE("Per=",$B$1008),"Dts=H","Dir=H",CONCATENATE("Points=",$B$1009),"Sort=R","Days=A","Fill=B",CONCATENATE("FX=", $B$1007),"cols=14;rows=1")</x:f>
        <x:v>-452.54419999999999</x:v>
      </x:c>
      <x:c r="G1507">
        <x:v>2.3187000000000002</x:v>
      </x:c>
      <x:c r="H1507">
        <x:v>-103.9983</x:v>
      </x:c>
      <x:c r="I1507">
        <x:v>167.3648</x:v>
      </x:c>
      <x:c r="J1507">
        <x:v>-109.6942</x:v>
      </x:c>
      <x:c r="K1507">
        <x:v>440.99340000000001</x:v>
      </x:c>
      <x:c r="L1507">
        <x:v>-103.08880000000001</x:v>
      </x:c>
      <x:c r="M1507">
        <x:v>213.9479</x:v>
      </x:c>
      <x:c r="N1507">
        <x:v>79.713200000000001</x:v>
      </x:c>
      <x:c r="O1507">
        <x:v>-91.506299999999996</x:v>
      </x:c>
      <x:c r="P1507">
        <x:v>-237.25219999999999</x:v>
      </x:c>
      <x:c r="Q1507">
        <x:v>-463.51920000000001</x:v>
      </x:c>
      <x:c r="R1507">
        <x:v>409.13799999999998</x:v>
      </x:c>
      <x:c r="S1507">
        <x:v>1016.1905</x:v>
      </x:c>
      <x:c r="T1507" t="str">
        <x:f>""</x:f>
        <x:v/>
      </x:c>
      <x:c r="U1507" t="str">
        <x:f>""</x:f>
        <x:v/>
      </x:c>
      <x:c r="V1507" t="str">
        <x:f>""</x:f>
        <x:v/>
      </x:c>
      <x:c r="W1507" t="str">
        <x:f>""</x:f>
        <x:v/>
      </x:c>
      <x:c r="X1507" t="str">
        <x:f>""</x:f>
        <x:v/>
      </x:c>
      <x:c r="Y1507" t="str">
        <x:f>""</x:f>
        <x:v/>
      </x:c>
      <x:c r="Z1507" t="str">
        <x:f>""</x:f>
        <x:v/>
      </x:c>
      <x:c r="AA1507" t="str">
        <x:f>""</x:f>
        <x:v/>
      </x:c>
      <x:c r="AB1507" t="str">
        <x:f>""</x:f>
        <x:v/>
      </x:c>
      <x:c r="AC1507" t="str">
        <x:f>""</x:f>
        <x:v/>
      </x:c>
      <x:c r="AD1507" t="str">
        <x:f>""</x:f>
        <x:v/>
      </x:c>
      <x:c r="AE1507" t="str">
        <x:f>""</x:f>
        <x:v/>
      </x:c>
      <x:c r="AF1507" t="str">
        <x:f>""</x:f>
        <x:v/>
      </x:c>
      <x:c r="AG1507" t="str">
        <x:f>""</x:f>
        <x:v/>
      </x:c>
    </x:row>
    <x:row r="1508" spans="2:33" x14ac:dyDescent="0.25">
      <x:c r="B1508" t="str">
        <x:f>"FTEC US Equity"</x:f>
        <x:v>FTEC US Equity</x:v>
      </x:c>
      <x:c r="C1508" t="str">
        <x:f t="shared" si="65"/>
        <x:v>FD447</x:v>
      </x:c>
      <x:c r="D1508" t="str">
        <x:f t="shared" si="66"/>
        <x:v>FUND_FLOW</x:v>
      </x:c>
      <x:c r="E1508" t="str">
        <x:f t="shared" si="67"/>
        <x:v>Dynamic</x:v>
      </x:c>
      <x:c r="F1508">
        <x:f ca="1">_xll.BDH($B$1508,$C$1508,$B$1010,$B$1011,CONCATENATE("Per=",$B$1008),"Dts=H","Dir=H",CONCATENATE("Points=",$B$1009),"Sort=R","Days=A","Fill=B",CONCATENATE("FX=", $B$1007),"cols=14;rows=1")</x:f>
        <x:v>31.373899999999999</x:v>
      </x:c>
      <x:c r="G1508">
        <x:v>25.818300000000001</x:v>
      </x:c>
      <x:c r="H1508">
        <x:v>1.3424</x:v>
      </x:c>
      <x:c r="I1508">
        <x:v>73.105500000000006</x:v>
      </x:c>
      <x:c r="J1508">
        <x:v>171.0882</x:v>
      </x:c>
      <x:c r="K1508">
        <x:v>107.1011</x:v>
      </x:c>
      <x:c r="L1508">
        <x:v>5.7443</x:v>
      </x:c>
      <x:c r="M1508">
        <x:v>-24.8385</x:v>
      </x:c>
      <x:c r="N1508">
        <x:v>79.9452</x:v>
      </x:c>
      <x:c r="O1508">
        <x:v>39.089199999999998</x:v>
      </x:c>
      <x:c r="P1508">
        <x:v>-14.3689</x:v>
      </x:c>
      <x:c r="Q1508">
        <x:v>-5.1497999999999999</x:v>
      </x:c>
      <x:c r="R1508">
        <x:v>0.67569999999999997</x:v>
      </x:c>
      <x:c r="S1508">
        <x:v>-4.7972000000000001</x:v>
      </x:c>
      <x:c r="T1508" t="str">
        <x:f>""</x:f>
        <x:v/>
      </x:c>
      <x:c r="U1508" t="str">
        <x:f>""</x:f>
        <x:v/>
      </x:c>
      <x:c r="V1508" t="str">
        <x:f>""</x:f>
        <x:v/>
      </x:c>
      <x:c r="W1508" t="str">
        <x:f>""</x:f>
        <x:v/>
      </x:c>
      <x:c r="X1508" t="str">
        <x:f>""</x:f>
        <x:v/>
      </x:c>
      <x:c r="Y1508" t="str">
        <x:f>""</x:f>
        <x:v/>
      </x:c>
      <x:c r="Z1508" t="str">
        <x:f>""</x:f>
        <x:v/>
      </x:c>
      <x:c r="AA1508" t="str">
        <x:f>""</x:f>
        <x:v/>
      </x:c>
      <x:c r="AB1508" t="str">
        <x:f>""</x:f>
        <x:v/>
      </x:c>
      <x:c r="AC1508" t="str">
        <x:f>""</x:f>
        <x:v/>
      </x:c>
      <x:c r="AD1508" t="str">
        <x:f>""</x:f>
        <x:v/>
      </x:c>
      <x:c r="AE1508" t="str">
        <x:f>""</x:f>
        <x:v/>
      </x:c>
      <x:c r="AF1508" t="str">
        <x:f>""</x:f>
        <x:v/>
      </x:c>
      <x:c r="AG1508" t="str">
        <x:f>""</x:f>
        <x:v/>
      </x:c>
    </x:row>
    <x:row r="1509" spans="2:33" x14ac:dyDescent="0.25">
      <x:c r="B1509" t="str">
        <x:f>"TDIV US Equity"</x:f>
        <x:v>TDIV US Equity</x:v>
      </x:c>
      <x:c r="C1509" t="str">
        <x:f t="shared" si="65"/>
        <x:v>FD447</x:v>
      </x:c>
      <x:c r="D1509" t="str">
        <x:f t="shared" si="66"/>
        <x:v>FUND_FLOW</x:v>
      </x:c>
      <x:c r="E1509" t="str">
        <x:f t="shared" si="67"/>
        <x:v>Dynamic</x:v>
      </x:c>
      <x:c r="F1509">
        <x:f ca="1">_xll.BDH($B$1509,$C$1509,$B$1010,$B$1011,CONCATENATE("Per=",$B$1008),"Dts=H","Dir=H",CONCATENATE("Points=",$B$1009),"Sort=R","Days=A","Fill=B",CONCATENATE("FX=", $B$1007),"cols=14;rows=1")</x:f>
        <x:v>5.5804999999999998</x:v>
      </x:c>
      <x:c r="G1509">
        <x:v>26.234200000000001</x:v>
      </x:c>
      <x:c r="H1509">
        <x:v>6.0922000000000001</x:v>
      </x:c>
      <x:c r="I1509">
        <x:v>26.471499999999999</x:v>
      </x:c>
      <x:c r="J1509">
        <x:v>17.325700000000001</x:v>
      </x:c>
      <x:c r="K1509">
        <x:v>8.2813999999999997</x:v>
      </x:c>
      <x:c r="L1509">
        <x:v>58.841900000000003</x:v>
      </x:c>
      <x:c r="M1509">
        <x:v>21.282699999999998</x:v>
      </x:c>
      <x:c r="N1509">
        <x:v>-7.7299999999999994E-2</x:v>
      </x:c>
      <x:c r="O1509">
        <x:v>-11.6868</x:v>
      </x:c>
      <x:c r="P1509">
        <x:v>-17.988700000000001</x:v>
      </x:c>
      <x:c r="Q1509">
        <x:v>-7.0796999999999999</x:v>
      </x:c>
      <x:c r="R1509">
        <x:v>-15.9358</x:v>
      </x:c>
      <x:c r="S1509">
        <x:v>-13.666700000000001</x:v>
      </x:c>
      <x:c r="T1509" t="str">
        <x:f>""</x:f>
        <x:v/>
      </x:c>
      <x:c r="U1509" t="str">
        <x:f>""</x:f>
        <x:v/>
      </x:c>
      <x:c r="V1509" t="str">
        <x:f>""</x:f>
        <x:v/>
      </x:c>
      <x:c r="W1509" t="str">
        <x:f>""</x:f>
        <x:v/>
      </x:c>
      <x:c r="X1509" t="str">
        <x:f>""</x:f>
        <x:v/>
      </x:c>
      <x:c r="Y1509" t="str">
        <x:f>""</x:f>
        <x:v/>
      </x:c>
      <x:c r="Z1509" t="str">
        <x:f>""</x:f>
        <x:v/>
      </x:c>
      <x:c r="AA1509" t="str">
        <x:f>""</x:f>
        <x:v/>
      </x:c>
      <x:c r="AB1509" t="str">
        <x:f>""</x:f>
        <x:v/>
      </x:c>
      <x:c r="AC1509" t="str">
        <x:f>""</x:f>
        <x:v/>
      </x:c>
      <x:c r="AD1509" t="str">
        <x:f>""</x:f>
        <x:v/>
      </x:c>
      <x:c r="AE1509" t="str">
        <x:f>""</x:f>
        <x:v/>
      </x:c>
      <x:c r="AF1509" t="str">
        <x:f>""</x:f>
        <x:v/>
      </x:c>
      <x:c r="AG1509" t="str">
        <x:f>""</x:f>
        <x:v/>
      </x:c>
    </x:row>
    <x:row r="1510" spans="2:33" x14ac:dyDescent="0.25">
      <x:c r="B1510" t="str">
        <x:f>"XNTK US Equity"</x:f>
        <x:v>XNTK US Equity</x:v>
      </x:c>
      <x:c r="C1510" t="str">
        <x:f t="shared" si="65"/>
        <x:v>FD447</x:v>
      </x:c>
      <x:c r="D1510" t="str">
        <x:f t="shared" si="66"/>
        <x:v>FUND_FLOW</x:v>
      </x:c>
      <x:c r="E1510" t="str">
        <x:f t="shared" si="67"/>
        <x:v>Dynamic</x:v>
      </x:c>
      <x:c r="F1510">
        <x:f ca="1">_xll.BDH($B$1510,$C$1510,$B$1010,$B$1011,CONCATENATE("Per=",$B$1008),"Dts=H","Dir=H",CONCATENATE("Points=",$B$1009),"Sort=R","Days=A","Fill=B",CONCATENATE("FX=", $B$1007),"cols=14;rows=1")</x:f>
        <x:v>-2.6554000000000002</x:v>
      </x:c>
      <x:c r="G1510">
        <x:v>-9.8588000000000005</x:v>
      </x:c>
      <x:c r="H1510">
        <x:v>21.243500000000001</x:v>
      </x:c>
      <x:c r="I1510">
        <x:v>4.3647</x:v>
      </x:c>
      <x:c r="J1510">
        <x:v>16.39</x:v>
      </x:c>
      <x:c r="K1510">
        <x:v>3.7473000000000001</x:v>
      </x:c>
      <x:c r="L1510">
        <x:v>-7.0820999999999996</x:v>
      </x:c>
      <x:c r="M1510">
        <x:v>3.4129</x:v>
      </x:c>
      <x:c r="N1510">
        <x:v>-6.9954000000000001</x:v>
      </x:c>
      <x:c r="O1510">
        <x:v>-4.1773999999999996</x:v>
      </x:c>
      <x:c r="P1510">
        <x:v>-2.0226000000000002</x:v>
      </x:c>
      <x:c r="Q1510">
        <x:v>-0.28270000000000001</x:v>
      </x:c>
      <x:c r="R1510">
        <x:v>7.0019</x:v>
      </x:c>
      <x:c r="S1510">
        <x:v>0</x:v>
      </x:c>
      <x:c r="T1510" t="str">
        <x:f>""</x:f>
        <x:v/>
      </x:c>
      <x:c r="U1510" t="str">
        <x:f>""</x:f>
        <x:v/>
      </x:c>
      <x:c r="V1510" t="str">
        <x:f>""</x:f>
        <x:v/>
      </x:c>
      <x:c r="W1510" t="str">
        <x:f>""</x:f>
        <x:v/>
      </x:c>
      <x:c r="X1510" t="str">
        <x:f>""</x:f>
        <x:v/>
      </x:c>
      <x:c r="Y1510" t="str">
        <x:f>""</x:f>
        <x:v/>
      </x:c>
      <x:c r="Z1510" t="str">
        <x:f>""</x:f>
        <x:v/>
      </x:c>
      <x:c r="AA1510" t="str">
        <x:f>""</x:f>
        <x:v/>
      </x:c>
      <x:c r="AB1510" t="str">
        <x:f>""</x:f>
        <x:v/>
      </x:c>
      <x:c r="AC1510" t="str">
        <x:f>""</x:f>
        <x:v/>
      </x:c>
      <x:c r="AD1510" t="str">
        <x:f>""</x:f>
        <x:v/>
      </x:c>
      <x:c r="AE1510" t="str">
        <x:f>""</x:f>
        <x:v/>
      </x:c>
      <x:c r="AF1510" t="str">
        <x:f>""</x:f>
        <x:v/>
      </x:c>
      <x:c r="AG1510" t="str">
        <x:f>""</x:f>
        <x:v/>
      </x:c>
    </x:row>
    <x:row r="1511" spans="2:33" x14ac:dyDescent="0.25">
      <x:c r="B1511" t="str">
        <x:f>"FXL US Equity"</x:f>
        <x:v>FXL US Equity</x:v>
      </x:c>
      <x:c r="C1511" t="str">
        <x:f t="shared" si="65"/>
        <x:v>FD447</x:v>
      </x:c>
      <x:c r="D1511" t="str">
        <x:f t="shared" si="66"/>
        <x:v>FUND_FLOW</x:v>
      </x:c>
      <x:c r="E1511" t="str">
        <x:f t="shared" si="67"/>
        <x:v>Dynamic</x:v>
      </x:c>
      <x:c r="F1511">
        <x:f ca="1">_xll.BDH($B$1511,$C$1511,$B$1010,$B$1011,CONCATENATE("Per=",$B$1008),"Dts=H","Dir=H",CONCATENATE("Points=",$B$1009),"Sort=R","Days=A","Fill=B",CONCATENATE("FX=", $B$1007),"cols=14;rows=1")</x:f>
        <x:v>-11.164899999999999</x:v>
      </x:c>
      <x:c r="G1511">
        <x:v>-5.4888000000000003</x:v>
      </x:c>
      <x:c r="H1511">
        <x:v>17.234999999999999</x:v>
      </x:c>
      <x:c r="I1511">
        <x:v>0</x:v>
      </x:c>
      <x:c r="J1511">
        <x:v>-5.3959999999999999</x:v>
      </x:c>
      <x:c r="K1511">
        <x:v>-0.47899999999999998</x:v>
      </x:c>
      <x:c r="L1511">
        <x:v>15.7645</x:v>
      </x:c>
      <x:c r="M1511">
        <x:v>0.23899999999999999</x:v>
      </x:c>
      <x:c r="N1511">
        <x:v>-15.701000000000001</x:v>
      </x:c>
      <x:c r="O1511">
        <x:v>-24.015000000000001</x:v>
      </x:c>
      <x:c r="P1511">
        <x:v>-18.696400000000001</x:v>
      </x:c>
      <x:c r="Q1511">
        <x:v>-18.044699999999999</x:v>
      </x:c>
      <x:c r="R1511">
        <x:v>12.8725</x:v>
      </x:c>
      <x:c r="S1511">
        <x:v>-9.4703999999999997</x:v>
      </x:c>
      <x:c r="T1511" t="str">
        <x:f>""</x:f>
        <x:v/>
      </x:c>
      <x:c r="U1511" t="str">
        <x:f>""</x:f>
        <x:v/>
      </x:c>
      <x:c r="V1511" t="str">
        <x:f>""</x:f>
        <x:v/>
      </x:c>
      <x:c r="W1511" t="str">
        <x:f>""</x:f>
        <x:v/>
      </x:c>
      <x:c r="X1511" t="str">
        <x:f>""</x:f>
        <x:v/>
      </x:c>
      <x:c r="Y1511" t="str">
        <x:f>""</x:f>
        <x:v/>
      </x:c>
      <x:c r="Z1511" t="str">
        <x:f>""</x:f>
        <x:v/>
      </x:c>
      <x:c r="AA1511" t="str">
        <x:f>""</x:f>
        <x:v/>
      </x:c>
      <x:c r="AB1511" t="str">
        <x:f>""</x:f>
        <x:v/>
      </x:c>
      <x:c r="AC1511" t="str">
        <x:f>""</x:f>
        <x:v/>
      </x:c>
      <x:c r="AD1511" t="str">
        <x:f>""</x:f>
        <x:v/>
      </x:c>
      <x:c r="AE1511" t="str">
        <x:f>""</x:f>
        <x:v/>
      </x:c>
      <x:c r="AF1511" t="str">
        <x:f>""</x:f>
        <x:v/>
      </x:c>
      <x:c r="AG1511" t="str">
        <x:f>""</x:f>
        <x:v/>
      </x:c>
    </x:row>
    <x:row r="1512" spans="2:33" x14ac:dyDescent="0.25">
      <x:c r="B1512" t="str">
        <x:f>"PSCT US Equity"</x:f>
        <x:v>PSCT US Equity</x:v>
      </x:c>
      <x:c r="C1512" t="str">
        <x:f t="shared" si="65"/>
        <x:v>FD447</x:v>
      </x:c>
      <x:c r="D1512" t="str">
        <x:f t="shared" si="66"/>
        <x:v>FUND_FLOW</x:v>
      </x:c>
      <x:c r="E1512" t="str">
        <x:f t="shared" si="67"/>
        <x:v>Dynamic</x:v>
      </x:c>
      <x:c r="F1512">
        <x:f ca="1">_xll.BDH($B$1512,$C$1512,$B$1010,$B$1011,CONCATENATE("Per=",$B$1008),"Dts=H","Dir=H",CONCATENATE("Points=",$B$1009),"Sort=R","Days=A","Fill=B",CONCATENATE("FX=", $B$1007),"cols=14;rows=1")</x:f>
        <x:v>-4.2561999999999998</x:v>
      </x:c>
      <x:c r="G1512">
        <x:v>-0.87390000000000001</x:v>
      </x:c>
      <x:c r="H1512">
        <x:v>1.8E-3</x:v>
      </x:c>
      <x:c r="I1512">
        <x:v>0</x:v>
      </x:c>
      <x:c r="J1512">
        <x:v>0</x:v>
      </x:c>
      <x:c r="K1512">
        <x:v>-3.7865000000000002</x:v>
      </x:c>
      <x:c r="L1512">
        <x:v>-2.4889999999999999</x:v>
      </x:c>
      <x:c r="M1512">
        <x:v>1.2242</x:v>
      </x:c>
      <x:c r="N1512">
        <x:v>-2.6494</x:v>
      </x:c>
      <x:c r="O1512">
        <x:v>-2.5745</x:v>
      </x:c>
      <x:c r="P1512">
        <x:v>-2.4538000000000002</x:v>
      </x:c>
      <x:c r="Q1512">
        <x:v>-1.2583</x:v>
      </x:c>
      <x:c r="R1512">
        <x:v>-76.856099999999998</x:v>
      </x:c>
      <x:c r="S1512">
        <x:v>1.5587</x:v>
      </x:c>
      <x:c r="T1512" t="str">
        <x:f>""</x:f>
        <x:v/>
      </x:c>
      <x:c r="U1512" t="str">
        <x:f>""</x:f>
        <x:v/>
      </x:c>
      <x:c r="V1512" t="str">
        <x:f>""</x:f>
        <x:v/>
      </x:c>
      <x:c r="W1512" t="str">
        <x:f>""</x:f>
        <x:v/>
      </x:c>
      <x:c r="X1512" t="str">
        <x:f>""</x:f>
        <x:v/>
      </x:c>
      <x:c r="Y1512" t="str">
        <x:f>""</x:f>
        <x:v/>
      </x:c>
      <x:c r="Z1512" t="str">
        <x:f>""</x:f>
        <x:v/>
      </x:c>
      <x:c r="AA1512" t="str">
        <x:f>""</x:f>
        <x:v/>
      </x:c>
      <x:c r="AB1512" t="str">
        <x:f>""</x:f>
        <x:v/>
      </x:c>
      <x:c r="AC1512" t="str">
        <x:f>""</x:f>
        <x:v/>
      </x:c>
      <x:c r="AD1512" t="str">
        <x:f>""</x:f>
        <x:v/>
      </x:c>
      <x:c r="AE1512" t="str">
        <x:f>""</x:f>
        <x:v/>
      </x:c>
      <x:c r="AF1512" t="str">
        <x:f>""</x:f>
        <x:v/>
      </x:c>
      <x:c r="AG1512" t="str">
        <x:f>""</x:f>
        <x:v/>
      </x:c>
    </x:row>
    <x:row r="1513" spans="2:33" x14ac:dyDescent="0.25">
      <x:c r="B1513" t="str">
        <x:f>"TECL US Equity"</x:f>
        <x:v>TECL US Equity</x:v>
      </x:c>
      <x:c r="C1513" t="str">
        <x:f t="shared" si="65"/>
        <x:v>FD447</x:v>
      </x:c>
      <x:c r="D1513" t="str">
        <x:f t="shared" si="66"/>
        <x:v>FUND_FLOW</x:v>
      </x:c>
      <x:c r="E1513" t="str">
        <x:f t="shared" si="67"/>
        <x:v>Dynamic</x:v>
      </x:c>
      <x:c r="F1513">
        <x:f ca="1">_xll.BDH($B$1513,$C$1513,$B$1010,$B$1011,CONCATENATE("Per=",$B$1008),"Dts=H","Dir=H",CONCATENATE("Points=",$B$1009),"Sort=R","Days=A","Fill=B",CONCATENATE("FX=", $B$1007),"cols=14;rows=1")</x:f>
        <x:v>-9.3710000000000004</x:v>
      </x:c>
      <x:c r="G1513">
        <x:v>45.634900000000002</x:v>
      </x:c>
      <x:c r="H1513">
        <x:v>-23.680199999999999</x:v>
      </x:c>
      <x:c r="I1513">
        <x:v>-31.574100000000001</x:v>
      </x:c>
      <x:c r="J1513">
        <x:v>-7.1566999999999998</x:v>
      </x:c>
      <x:c r="K1513">
        <x:v>-67.492500000000007</x:v>
      </x:c>
      <x:c r="L1513">
        <x:v>-12.4436</x:v>
      </x:c>
      <x:c r="M1513">
        <x:v>-18.354199999999999</x:v>
      </x:c>
      <x:c r="N1513">
        <x:v>-44.1432</x:v>
      </x:c>
      <x:c r="O1513">
        <x:v>-22.5246</x:v>
      </x:c>
      <x:c r="P1513">
        <x:v>-15.9542</x:v>
      </x:c>
      <x:c r="Q1513">
        <x:v>11.2202</x:v>
      </x:c>
      <x:c r="R1513">
        <x:v>78.190100000000001</x:v>
      </x:c>
      <x:c r="S1513">
        <x:v>75.975200000000001</x:v>
      </x:c>
      <x:c r="T1513" t="str">
        <x:f>""</x:f>
        <x:v/>
      </x:c>
      <x:c r="U1513" t="str">
        <x:f>""</x:f>
        <x:v/>
      </x:c>
      <x:c r="V1513" t="str">
        <x:f>""</x:f>
        <x:v/>
      </x:c>
      <x:c r="W1513" t="str">
        <x:f>""</x:f>
        <x:v/>
      </x:c>
      <x:c r="X1513" t="str">
        <x:f>""</x:f>
        <x:v/>
      </x:c>
      <x:c r="Y1513" t="str">
        <x:f>""</x:f>
        <x:v/>
      </x:c>
      <x:c r="Z1513" t="str">
        <x:f>""</x:f>
        <x:v/>
      </x:c>
      <x:c r="AA1513" t="str">
        <x:f>""</x:f>
        <x:v/>
      </x:c>
      <x:c r="AB1513" t="str">
        <x:f>""</x:f>
        <x:v/>
      </x:c>
      <x:c r="AC1513" t="str">
        <x:f>""</x:f>
        <x:v/>
      </x:c>
      <x:c r="AD1513" t="str">
        <x:f>""</x:f>
        <x:v/>
      </x:c>
      <x:c r="AE1513" t="str">
        <x:f>""</x:f>
        <x:v/>
      </x:c>
      <x:c r="AF1513" t="str">
        <x:f>""</x:f>
        <x:v/>
      </x:c>
      <x:c r="AG1513" t="str">
        <x:f>""</x:f>
        <x:v/>
      </x:c>
    </x:row>
    <x:row r="1514" spans="2:33" x14ac:dyDescent="0.25">
      <x:c r="B1514" t="str">
        <x:f>"ROM US Equity"</x:f>
        <x:v>ROM US Equity</x:v>
      </x:c>
      <x:c r="C1514" t="str">
        <x:f t="shared" si="65"/>
        <x:v>FD447</x:v>
      </x:c>
      <x:c r="D1514" t="str">
        <x:f t="shared" si="66"/>
        <x:v>FUND_FLOW</x:v>
      </x:c>
      <x:c r="E1514" t="str">
        <x:f t="shared" si="67"/>
        <x:v>Dynamic</x:v>
      </x:c>
      <x:c r="F1514">
        <x:f ca="1">_xll.BDH($B$1514,$C$1514,$B$1010,$B$1011,CONCATENATE("Per=",$B$1008),"Dts=H","Dir=H",CONCATENATE("Points=",$B$1009),"Sort=R","Days=A","Fill=B",CONCATENATE("FX=", $B$1007),"cols=14;rows=1")</x:f>
        <x:v>-45.341299999999997</x:v>
      </x:c>
      <x:c r="G1514">
        <x:v>-4.4055999999999997</x:v>
      </x:c>
      <x:c r="H1514">
        <x:v>-6.1967999999999996</x:v>
      </x:c>
      <x:c r="I1514">
        <x:v>-8.4234000000000009</x:v>
      </x:c>
      <x:c r="J1514">
        <x:v>-34.334400000000002</x:v>
      </x:c>
      <x:c r="K1514">
        <x:v>25.078600000000002</x:v>
      </x:c>
      <x:c r="L1514">
        <x:v>25.133099999999999</x:v>
      </x:c>
      <x:c r="M1514">
        <x:v>21.8474</x:v>
      </x:c>
      <x:c r="N1514">
        <x:v>4.9017999999999997</x:v>
      </x:c>
      <x:c r="O1514">
        <x:v>-5.4729999999999999</x:v>
      </x:c>
      <x:c r="P1514">
        <x:v>-4.6866000000000003</x:v>
      </x:c>
      <x:c r="Q1514">
        <x:v>-8.6007999999999996</x:v>
      </x:c>
      <x:c r="R1514">
        <x:v>-13.574199999999999</x:v>
      </x:c>
      <x:c r="S1514">
        <x:v>-36.298999999999999</x:v>
      </x:c>
      <x:c r="T1514" t="str">
        <x:f>""</x:f>
        <x:v/>
      </x:c>
      <x:c r="U1514" t="str">
        <x:f>""</x:f>
        <x:v/>
      </x:c>
      <x:c r="V1514" t="str">
        <x:f>""</x:f>
        <x:v/>
      </x:c>
      <x:c r="W1514" t="str">
        <x:f>""</x:f>
        <x:v/>
      </x:c>
      <x:c r="X1514" t="str">
        <x:f>""</x:f>
        <x:v/>
      </x:c>
      <x:c r="Y1514" t="str">
        <x:f>""</x:f>
        <x:v/>
      </x:c>
      <x:c r="Z1514" t="str">
        <x:f>""</x:f>
        <x:v/>
      </x:c>
      <x:c r="AA1514" t="str">
        <x:f>""</x:f>
        <x:v/>
      </x:c>
      <x:c r="AB1514" t="str">
        <x:f>""</x:f>
        <x:v/>
      </x:c>
      <x:c r="AC1514" t="str">
        <x:f>""</x:f>
        <x:v/>
      </x:c>
      <x:c r="AD1514" t="str">
        <x:f>""</x:f>
        <x:v/>
      </x:c>
      <x:c r="AE1514" t="str">
        <x:f>""</x:f>
        <x:v/>
      </x:c>
      <x:c r="AF1514" t="str">
        <x:f>""</x:f>
        <x:v/>
      </x:c>
      <x:c r="AG1514" t="str">
        <x:f>""</x:f>
        <x:v/>
      </x:c>
    </x:row>
    <x:row r="1515" spans="2:33" x14ac:dyDescent="0.25">
      <x:c r="B1515" t="str">
        <x:f>"PTF US Equity"</x:f>
        <x:v>PTF US Equity</x:v>
      </x:c>
      <x:c r="C1515" t="str">
        <x:f t="shared" si="65"/>
        <x:v>FD447</x:v>
      </x:c>
      <x:c r="D1515" t="str">
        <x:f t="shared" si="66"/>
        <x:v>FUND_FLOW</x:v>
      </x:c>
      <x:c r="E1515" t="str">
        <x:f t="shared" si="67"/>
        <x:v>Dynamic</x:v>
      </x:c>
      <x:c r="F1515">
        <x:f ca="1">_xll.BDH($B$1515,$C$1515,$B$1010,$B$1011,CONCATENATE("Per=",$B$1008),"Dts=H","Dir=H",CONCATENATE("Points=",$B$1009),"Sort=R","Days=A","Fill=B",CONCATENATE("FX=", $B$1007),"cols=14;rows=1")</x:f>
        <x:v>-1.7397</x:v>
      </x:c>
      <x:c r="G1515">
        <x:v>-1.8314999999999999</x:v>
      </x:c>
      <x:c r="H1515">
        <x:v>49.2453</x:v>
      </x:c>
      <x:c r="I1515">
        <x:v>11.572699999999999</x:v>
      </x:c>
      <x:c r="J1515">
        <x:v>2.7759999999999998</x:v>
      </x:c>
      <x:c r="K1515">
        <x:v>-4.0411000000000001</x:v>
      </x:c>
      <x:c r="L1515">
        <x:v>29.376899999999999</x:v>
      </x:c>
      <x:c r="M1515">
        <x:v>-7.5179</x:v>
      </x:c>
      <x:c r="N1515">
        <x:v>-2.4984000000000002</x:v>
      </x:c>
      <x:c r="O1515">
        <x:v>-1.1812</x:v>
      </x:c>
      <x:c r="P1515">
        <x:v>-2.2989000000000002</x:v>
      </x:c>
      <x:c r="Q1515">
        <x:v>3.6930999999999998</x:v>
      </x:c>
      <x:c r="R1515">
        <x:v>12.745900000000001</x:v>
      </x:c>
      <x:c r="S1515">
        <x:v>-2.2991999999999999</x:v>
      </x:c>
      <x:c r="T1515" t="str">
        <x:f>""</x:f>
        <x:v/>
      </x:c>
      <x:c r="U1515" t="str">
        <x:f>""</x:f>
        <x:v/>
      </x:c>
      <x:c r="V1515" t="str">
        <x:f>""</x:f>
        <x:v/>
      </x:c>
      <x:c r="W1515" t="str">
        <x:f>""</x:f>
        <x:v/>
      </x:c>
      <x:c r="X1515" t="str">
        <x:f>""</x:f>
        <x:v/>
      </x:c>
      <x:c r="Y1515" t="str">
        <x:f>""</x:f>
        <x:v/>
      </x:c>
      <x:c r="Z1515" t="str">
        <x:f>""</x:f>
        <x:v/>
      </x:c>
      <x:c r="AA1515" t="str">
        <x:f>""</x:f>
        <x:v/>
      </x:c>
      <x:c r="AB1515" t="str">
        <x:f>""</x:f>
        <x:v/>
      </x:c>
      <x:c r="AC1515" t="str">
        <x:f>""</x:f>
        <x:v/>
      </x:c>
      <x:c r="AD1515" t="str">
        <x:f>""</x:f>
        <x:v/>
      </x:c>
      <x:c r="AE1515" t="str">
        <x:f>""</x:f>
        <x:v/>
      </x:c>
      <x:c r="AF1515" t="str">
        <x:f>""</x:f>
        <x:v/>
      </x:c>
      <x:c r="AG1515" t="str">
        <x:f>""</x:f>
        <x:v/>
      </x:c>
    </x:row>
    <x:row r="1516" spans="2:33" x14ac:dyDescent="0.25">
      <x:c r="B1516" t="str">
        <x:f>"PSJ US Equity"</x:f>
        <x:v>PSJ US Equity</x:v>
      </x:c>
      <x:c r="C1516" t="str">
        <x:f t="shared" si="65"/>
        <x:v>FD447</x:v>
      </x:c>
      <x:c r="D1516" t="str">
        <x:f t="shared" si="66"/>
        <x:v>FUND_FLOW</x:v>
      </x:c>
      <x:c r="E1516" t="str">
        <x:f t="shared" si="67"/>
        <x:v>Dynamic</x:v>
      </x:c>
      <x:c r="F1516">
        <x:f ca="1">_xll.BDH($B$1516,$C$1516,$B$1010,$B$1011,CONCATENATE("Per=",$B$1008),"Dts=H","Dir=H",CONCATENATE("Points=",$B$1009),"Sort=R","Days=A","Fill=B",CONCATENATE("FX=", $B$1007),"cols=14;rows=1")</x:f>
        <x:v>-3.7296</x:v>
      </x:c>
      <x:c r="G1516">
        <x:v>-4.3540000000000001</x:v>
      </x:c>
      <x:c r="H1516">
        <x:v>-1.9767999999999999</x:v>
      </x:c>
      <x:c r="T1516" t="str">
        <x:f>""</x:f>
        <x:v/>
      </x:c>
      <x:c r="U1516" t="str">
        <x:f>""</x:f>
        <x:v/>
      </x:c>
      <x:c r="V1516" t="str">
        <x:f>""</x:f>
        <x:v/>
      </x:c>
      <x:c r="W1516" t="str">
        <x:f>""</x:f>
        <x:v/>
      </x:c>
      <x:c r="X1516" t="str">
        <x:f>""</x:f>
        <x:v/>
      </x:c>
      <x:c r="Y1516" t="str">
        <x:f>""</x:f>
        <x:v/>
      </x:c>
      <x:c r="Z1516" t="str">
        <x:f>""</x:f>
        <x:v/>
      </x:c>
      <x:c r="AA1516" t="str">
        <x:f>""</x:f>
        <x:v/>
      </x:c>
      <x:c r="AB1516" t="str">
        <x:f>""</x:f>
        <x:v/>
      </x:c>
      <x:c r="AC1516" t="str">
        <x:f>""</x:f>
        <x:v/>
      </x:c>
      <x:c r="AD1516" t="str">
        <x:f>""</x:f>
        <x:v/>
      </x:c>
      <x:c r="AE1516" t="str">
        <x:f>""</x:f>
        <x:v/>
      </x:c>
      <x:c r="AF1516" t="str">
        <x:f>""</x:f>
        <x:v/>
      </x:c>
      <x:c r="AG1516" t="str">
        <x:f>""</x:f>
        <x:v/>
      </x:c>
    </x:row>
    <x:row r="1517" spans="2:33" x14ac:dyDescent="0.25">
      <x:c r="B1517" t="str">
        <x:f>"CQQQ US Equity"</x:f>
        <x:v>CQQQ US Equity</x:v>
      </x:c>
      <x:c r="C1517" t="str">
        <x:f t="shared" si="65"/>
        <x:v>FD447</x:v>
      </x:c>
      <x:c r="D1517" t="str">
        <x:f t="shared" si="66"/>
        <x:v>FUND_FLOW</x:v>
      </x:c>
      <x:c r="E1517" t="str">
        <x:f t="shared" si="67"/>
        <x:v>Dynamic</x:v>
      </x:c>
      <x:c r="F1517">
        <x:f ca="1">_xll.BDH($B$1517,$C$1517,$B$1010,$B$1011,CONCATENATE("Per=",$B$1008),"Dts=H","Dir=H",CONCATENATE("Points=",$B$1009),"Sort=R","Days=A","Fill=B",CONCATENATE("FX=", $B$1007),"cols=14;rows=1")</x:f>
        <x:v>-26.066500000000001</x:v>
      </x:c>
      <x:c r="G1517">
        <x:v>-7.3886000000000003</x:v>
      </x:c>
      <x:c r="H1517">
        <x:v>-5.73</x:v>
      </x:c>
      <x:c r="I1517">
        <x:v>0</x:v>
      </x:c>
      <x:c r="J1517">
        <x:v>0</x:v>
      </x:c>
      <x:c r="K1517">
        <x:v>-2.0760000000000001</x:v>
      </x:c>
      <x:c r="L1517">
        <x:v>-9.2598000000000003</x:v>
      </x:c>
      <x:c r="M1517">
        <x:v>-35.156500000000001</x:v>
      </x:c>
      <x:c r="N1517">
        <x:v>-9.4685000000000006</x:v>
      </x:c>
      <x:c r="O1517">
        <x:v>46.578299999999999</x:v>
      </x:c>
      <x:c r="P1517">
        <x:v>24.0669</x:v>
      </x:c>
      <x:c r="Q1517">
        <x:v>-51.572600000000001</x:v>
      </x:c>
      <x:c r="R1517">
        <x:v>-20.2835</x:v>
      </x:c>
      <x:c r="S1517">
        <x:v>-7.7248999999999999</x:v>
      </x:c>
      <x:c r="T1517" t="str">
        <x:f>""</x:f>
        <x:v/>
      </x:c>
      <x:c r="U1517" t="str">
        <x:f>""</x:f>
        <x:v/>
      </x:c>
      <x:c r="V1517" t="str">
        <x:f>""</x:f>
        <x:v/>
      </x:c>
      <x:c r="W1517" t="str">
        <x:f>""</x:f>
        <x:v/>
      </x:c>
      <x:c r="X1517" t="str">
        <x:f>""</x:f>
        <x:v/>
      </x:c>
      <x:c r="Y1517" t="str">
        <x:f>""</x:f>
        <x:v/>
      </x:c>
      <x:c r="Z1517" t="str">
        <x:f>""</x:f>
        <x:v/>
      </x:c>
      <x:c r="AA1517" t="str">
        <x:f>""</x:f>
        <x:v/>
      </x:c>
      <x:c r="AB1517" t="str">
        <x:f>""</x:f>
        <x:v/>
      </x:c>
      <x:c r="AC1517" t="str">
        <x:f>""</x:f>
        <x:v/>
      </x:c>
      <x:c r="AD1517" t="str">
        <x:f>""</x:f>
        <x:v/>
      </x:c>
      <x:c r="AE1517" t="str">
        <x:f>""</x:f>
        <x:v/>
      </x:c>
      <x:c r="AF1517" t="str">
        <x:f>""</x:f>
        <x:v/>
      </x:c>
      <x:c r="AG1517" t="str">
        <x:f>""</x:f>
        <x:v/>
      </x:c>
    </x:row>
    <x:row r="1518" spans="2:33" x14ac:dyDescent="0.25">
      <x:c r="B1518" t="str">
        <x:f>"IGN US Equity"</x:f>
        <x:v>IGN US Equity</x:v>
      </x:c>
      <x:c r="C1518" t="str">
        <x:f t="shared" si="65"/>
        <x:v>FD447</x:v>
      </x:c>
      <x:c r="D1518" t="str">
        <x:f t="shared" si="66"/>
        <x:v>FUND_FLOW</x:v>
      </x:c>
      <x:c r="E1518" t="str">
        <x:f t="shared" si="67"/>
        <x:v>Dynamic</x:v>
      </x:c>
      <x:c r="F1518">
        <x:f ca="1">_xll.BDH($B$1518,$C$1518,$B$1010,$B$1011,CONCATENATE("Per=",$B$1008),"Dts=H","Dir=H",CONCATENATE("Points=",$B$1009),"Sort=R","Days=A","Fill=B",CONCATENATE("FX=", $B$1007),"cols=14;rows=1")</x:f>
        <x:v>-2.9588000000000001</x:v>
      </x:c>
      <x:c r="G1518">
        <x:v>0</x:v>
      </x:c>
      <x:c r="H1518">
        <x:v>-6.6608999999999998</x:v>
      </x:c>
      <x:c r="I1518">
        <x:v>-3.4904000000000002</x:v>
      </x:c>
      <x:c r="J1518">
        <x:v>-20.432099999999998</x:v>
      </x:c>
      <x:c r="K1518">
        <x:v>-6.3465999999999996</x:v>
      </x:c>
      <x:c r="L1518">
        <x:v>-6.4108000000000001</x:v>
      </x:c>
      <x:c r="M1518">
        <x:v>-3.4971000000000001</x:v>
      </x:c>
      <x:c r="N1518">
        <x:v>-6.9539999999999997</x:v>
      </x:c>
      <x:c r="O1518">
        <x:v>0</x:v>
      </x:c>
      <x:c r="P1518">
        <x:v>0</x:v>
      </x:c>
      <x:c r="Q1518">
        <x:v>10.480700000000001</x:v>
      </x:c>
      <x:c r="R1518">
        <x:v>-3.2888999999999999</x:v>
      </x:c>
      <x:c r="S1518">
        <x:v>-6.8250999999999999</x:v>
      </x:c>
      <x:c r="T1518" t="str">
        <x:f>""</x:f>
        <x:v/>
      </x:c>
      <x:c r="U1518" t="str">
        <x:f>""</x:f>
        <x:v/>
      </x:c>
      <x:c r="V1518" t="str">
        <x:f>""</x:f>
        <x:v/>
      </x:c>
      <x:c r="W1518" t="str">
        <x:f>""</x:f>
        <x:v/>
      </x:c>
      <x:c r="X1518" t="str">
        <x:f>""</x:f>
        <x:v/>
      </x:c>
      <x:c r="Y1518" t="str">
        <x:f>""</x:f>
        <x:v/>
      </x:c>
      <x:c r="Z1518" t="str">
        <x:f>""</x:f>
        <x:v/>
      </x:c>
      <x:c r="AA1518" t="str">
        <x:f>""</x:f>
        <x:v/>
      </x:c>
      <x:c r="AB1518" t="str">
        <x:f>""</x:f>
        <x:v/>
      </x:c>
      <x:c r="AC1518" t="str">
        <x:f>""</x:f>
        <x:v/>
      </x:c>
      <x:c r="AD1518" t="str">
        <x:f>""</x:f>
        <x:v/>
      </x:c>
      <x:c r="AE1518" t="str">
        <x:f>""</x:f>
        <x:v/>
      </x:c>
      <x:c r="AF1518" t="str">
        <x:f>""</x:f>
        <x:v/>
      </x:c>
      <x:c r="AG1518" t="str">
        <x:f>""</x:f>
        <x:v/>
      </x:c>
    </x:row>
    <x:row r="1519" spans="2:33" x14ac:dyDescent="0.25">
      <x:c r="B1519" t="str">
        <x:f>"XSW US Equity"</x:f>
        <x:v>XSW US Equity</x:v>
      </x:c>
      <x:c r="C1519" t="str">
        <x:f t="shared" si="65"/>
        <x:v>FD447</x:v>
      </x:c>
      <x:c r="D1519" t="str">
        <x:f t="shared" si="66"/>
        <x:v>FUND_FLOW</x:v>
      </x:c>
      <x:c r="E1519" t="str">
        <x:f t="shared" si="67"/>
        <x:v>Dynamic</x:v>
      </x:c>
      <x:c r="F1519">
        <x:f ca="1">_xll.BDH($B$1519,$C$1519,$B$1010,$B$1011,CONCATENATE("Per=",$B$1008),"Dts=H","Dir=H",CONCATENATE("Points=",$B$1009),"Sort=R","Days=A","Fill=B",CONCATENATE("FX=", $B$1007),"cols=14;rows=1")</x:f>
        <x:v>-2.29</x:v>
      </x:c>
      <x:c r="G1519">
        <x:v>-2.1854</x:v>
      </x:c>
      <x:c r="H1519">
        <x:v>-0.89859999999999995</x:v>
      </x:c>
      <x:c r="I1519">
        <x:v>5.5189000000000004</x:v>
      </x:c>
      <x:c r="J1519">
        <x:v>49.285200000000003</x:v>
      </x:c>
      <x:c r="K1519">
        <x:v>5.9900000000000002E-2</x:v>
      </x:c>
      <x:c r="L1519">
        <x:v>-4.5679999999999996</x:v>
      </x:c>
      <x:c r="M1519">
        <x:v>10.8262</x:v>
      </x:c>
      <x:c r="N1519">
        <x:v>2.6154999999999999</x:v>
      </x:c>
      <x:c r="O1519">
        <x:v>0</x:v>
      </x:c>
      <x:c r="P1519">
        <x:v>6.5917000000000003</x:v>
      </x:c>
      <x:c r="Q1519">
        <x:v>-6.45</x:v>
      </x:c>
      <x:c r="R1519">
        <x:v>1.1528</x:v>
      </x:c>
      <x:c r="S1519">
        <x:v>-2.1621999999999999</x:v>
      </x:c>
      <x:c r="T1519" t="str">
        <x:f>""</x:f>
        <x:v/>
      </x:c>
      <x:c r="U1519" t="str">
        <x:f>""</x:f>
        <x:v/>
      </x:c>
      <x:c r="V1519" t="str">
        <x:f>""</x:f>
        <x:v/>
      </x:c>
      <x:c r="W1519" t="str">
        <x:f>""</x:f>
        <x:v/>
      </x:c>
      <x:c r="X1519" t="str">
        <x:f>""</x:f>
        <x:v/>
      </x:c>
      <x:c r="Y1519" t="str">
        <x:f>""</x:f>
        <x:v/>
      </x:c>
      <x:c r="Z1519" t="str">
        <x:f>""</x:f>
        <x:v/>
      </x:c>
      <x:c r="AA1519" t="str">
        <x:f>""</x:f>
        <x:v/>
      </x:c>
      <x:c r="AB1519" t="str">
        <x:f>""</x:f>
        <x:v/>
      </x:c>
      <x:c r="AC1519" t="str">
        <x:f>""</x:f>
        <x:v/>
      </x:c>
      <x:c r="AD1519" t="str">
        <x:f>""</x:f>
        <x:v/>
      </x:c>
      <x:c r="AE1519" t="str">
        <x:f>""</x:f>
        <x:v/>
      </x:c>
      <x:c r="AF1519" t="str">
        <x:f>""</x:f>
        <x:v/>
      </x:c>
      <x:c r="AG1519" t="str">
        <x:f>""</x:f>
        <x:v/>
      </x:c>
    </x:row>
    <x:row r="1520" spans="2:33" x14ac:dyDescent="0.25">
      <x:c r="B1520" t="str">
        <x:f>"IPK US Equity"</x:f>
        <x:v>IPK US Equity</x:v>
      </x:c>
      <x:c r="C1520" t="str">
        <x:f t="shared" si="65"/>
        <x:v>FD447</x:v>
      </x:c>
      <x:c r="D1520" t="str">
        <x:f t="shared" si="66"/>
        <x:v>FUND_FLOW</x:v>
      </x:c>
      <x:c r="E1520" t="str">
        <x:f t="shared" si="67"/>
        <x:v>Dynamic</x:v>
      </x:c>
      <x:c r="F1520" t="str">
        <x:f ca="1">_xll.BDH($B$1520,$C$1520,$B$1010,$B$1011,CONCATENATE("Per=",$B$1008),"Dts=H","Dir=H",CONCATENATE("Points=",$B$1009),"Sort=R","Days=A","Fill=B",CONCATENATE("FX=", $B$1007) )</x:f>
        <x:v/>
      </x:c>
      <x:c r="T1520" t="str">
        <x:f>""</x:f>
        <x:v/>
      </x:c>
      <x:c r="U1520" t="str">
        <x:f>""</x:f>
        <x:v/>
      </x:c>
      <x:c r="V1520" t="str">
        <x:f>""</x:f>
        <x:v/>
      </x:c>
      <x:c r="W1520" t="str">
        <x:f>""</x:f>
        <x:v/>
      </x:c>
      <x:c r="X1520" t="str">
        <x:f>""</x:f>
        <x:v/>
      </x:c>
      <x:c r="Y1520" t="str">
        <x:f>""</x:f>
        <x:v/>
      </x:c>
      <x:c r="Z1520" t="str">
        <x:f>""</x:f>
        <x:v/>
      </x:c>
      <x:c r="AA1520" t="str">
        <x:f>""</x:f>
        <x:v/>
      </x:c>
      <x:c r="AB1520" t="str">
        <x:f>""</x:f>
        <x:v/>
      </x:c>
      <x:c r="AC1520" t="str">
        <x:f>""</x:f>
        <x:v/>
      </x:c>
      <x:c r="AD1520" t="str">
        <x:f>""</x:f>
        <x:v/>
      </x:c>
      <x:c r="AE1520" t="str">
        <x:f>""</x:f>
        <x:v/>
      </x:c>
      <x:c r="AF1520" t="str">
        <x:f>""</x:f>
        <x:v/>
      </x:c>
      <x:c r="AG1520" t="str">
        <x:f>""</x:f>
        <x:v/>
      </x:c>
    </x:row>
    <x:row r="1521" spans="2:33" x14ac:dyDescent="0.25">
      <x:c r="B1521" t="str">
        <x:f>"JHMT US Equity"</x:f>
        <x:v>JHMT US Equity</x:v>
      </x:c>
      <x:c r="C1521" t="str">
        <x:f t="shared" si="65"/>
        <x:v>FD447</x:v>
      </x:c>
      <x:c r="D1521" t="str">
        <x:f t="shared" si="66"/>
        <x:v>FUND_FLOW</x:v>
      </x:c>
      <x:c r="E1521" t="str">
        <x:f t="shared" si="67"/>
        <x:v>Dynamic</x:v>
      </x:c>
      <x:c r="F1521" t="str">
        <x:f ca="1">_xll.BDH($B$1521,$C$1521,$B$1010,$B$1011,CONCATENATE("Per=",$B$1008),"Dts=H","Dir=H",CONCATENATE("Points=",$B$1009),"Sort=R","Days=A","Fill=B",CONCATENATE("FX=", $B$1007),"cols=14;rows=1")</x:f>
        <x:v/>
      </x:c>
      <x:c r="R1521">
        <x:v>-18.831399999999999</x:v>
      </x:c>
      <x:c r="S1521">
        <x:v>-0.60680000000000001</x:v>
      </x:c>
      <x:c r="T1521" t="str">
        <x:f>""</x:f>
        <x:v/>
      </x:c>
      <x:c r="U1521" t="str">
        <x:f>""</x:f>
        <x:v/>
      </x:c>
      <x:c r="V1521" t="str">
        <x:f>""</x:f>
        <x:v/>
      </x:c>
      <x:c r="W1521" t="str">
        <x:f>""</x:f>
        <x:v/>
      </x:c>
      <x:c r="X1521" t="str">
        <x:f>""</x:f>
        <x:v/>
      </x:c>
      <x:c r="Y1521" t="str">
        <x:f>""</x:f>
        <x:v/>
      </x:c>
      <x:c r="Z1521" t="str">
        <x:f>""</x:f>
        <x:v/>
      </x:c>
      <x:c r="AA1521" t="str">
        <x:f>""</x:f>
        <x:v/>
      </x:c>
      <x:c r="AB1521" t="str">
        <x:f>""</x:f>
        <x:v/>
      </x:c>
      <x:c r="AC1521" t="str">
        <x:f>""</x:f>
        <x:v/>
      </x:c>
      <x:c r="AD1521" t="str">
        <x:f>""</x:f>
        <x:v/>
      </x:c>
      <x:c r="AE1521" t="str">
        <x:f>""</x:f>
        <x:v/>
      </x:c>
      <x:c r="AF1521" t="str">
        <x:f>""</x:f>
        <x:v/>
      </x:c>
      <x:c r="AG1521" t="str">
        <x:f>""</x:f>
        <x:v/>
      </x:c>
    </x:row>
    <x:row r="1522" spans="2:33" x14ac:dyDescent="0.25">
      <x:c r="B1522" t="str">
        <x:f>"ITEQ US Equity"</x:f>
        <x:v>ITEQ US Equity</x:v>
      </x:c>
      <x:c r="C1522" t="str">
        <x:f t="shared" si="65"/>
        <x:v>FD447</x:v>
      </x:c>
      <x:c r="D1522" t="str">
        <x:f t="shared" si="66"/>
        <x:v>FUND_FLOW</x:v>
      </x:c>
      <x:c r="E1522" t="str">
        <x:f t="shared" si="67"/>
        <x:v>Dynamic</x:v>
      </x:c>
      <x:c r="F1522">
        <x:f ca="1">_xll.BDH($B$1522,$C$1522,$B$1010,$B$1011,CONCATENATE("Per=",$B$1008),"Dts=H","Dir=H",CONCATENATE("Points=",$B$1009),"Sort=R","Days=A","Fill=B",CONCATENATE("FX=", $B$1007),"cols=14;rows=1")</x:f>
        <x:v>-5.6765999999999996</x:v>
      </x:c>
      <x:c r="G1522">
        <x:v>0</x:v>
      </x:c>
      <x:c r="H1522">
        <x:v>0</x:v>
      </x:c>
      <x:c r="I1522">
        <x:v>0</x:v>
      </x:c>
      <x:c r="J1522">
        <x:v>-2.3853</x:v>
      </x:c>
      <x:c r="K1522">
        <x:v>-2.246</x:v>
      </x:c>
      <x:c r="L1522">
        <x:v>0</x:v>
      </x:c>
      <x:c r="M1522">
        <x:v>-6.8571</x:v>
      </x:c>
      <x:c r="N1522">
        <x:v>0</x:v>
      </x:c>
      <x:c r="O1522">
        <x:v>-4.5643000000000002</x:v>
      </x:c>
      <x:c r="P1522">
        <x:v>-4.5045000000000002</x:v>
      </x:c>
      <x:c r="Q1522">
        <x:v>0</x:v>
      </x:c>
      <x:c r="R1522">
        <x:v>-2.1524000000000001</x:v>
      </x:c>
      <x:c r="S1522">
        <x:v>0</x:v>
      </x:c>
      <x:c r="T1522" t="str">
        <x:f>""</x:f>
        <x:v/>
      </x:c>
      <x:c r="U1522" t="str">
        <x:f>""</x:f>
        <x:v/>
      </x:c>
      <x:c r="V1522" t="str">
        <x:f>""</x:f>
        <x:v/>
      </x:c>
      <x:c r="W1522" t="str">
        <x:f>""</x:f>
        <x:v/>
      </x:c>
      <x:c r="X1522" t="str">
        <x:f>""</x:f>
        <x:v/>
      </x:c>
      <x:c r="Y1522" t="str">
        <x:f>""</x:f>
        <x:v/>
      </x:c>
      <x:c r="Z1522" t="str">
        <x:f>""</x:f>
        <x:v/>
      </x:c>
      <x:c r="AA1522" t="str">
        <x:f>""</x:f>
        <x:v/>
      </x:c>
      <x:c r="AB1522" t="str">
        <x:f>""</x:f>
        <x:v/>
      </x:c>
      <x:c r="AC1522" t="str">
        <x:f>""</x:f>
        <x:v/>
      </x:c>
      <x:c r="AD1522" t="str">
        <x:f>""</x:f>
        <x:v/>
      </x:c>
      <x:c r="AE1522" t="str">
        <x:f>""</x:f>
        <x:v/>
      </x:c>
      <x:c r="AF1522" t="str">
        <x:f>""</x:f>
        <x:v/>
      </x:c>
      <x:c r="AG1522" t="str">
        <x:f>""</x:f>
        <x:v/>
      </x:c>
    </x:row>
    <x:row r="1523" spans="2:33" x14ac:dyDescent="0.25">
      <x:c r="B1523" t="str">
        <x:f>"TECS US Equity"</x:f>
        <x:v>TECS US Equity</x:v>
      </x:c>
      <x:c r="C1523" t="str">
        <x:f t="shared" si="65"/>
        <x:v>FD447</x:v>
      </x:c>
      <x:c r="D1523" t="str">
        <x:f t="shared" si="66"/>
        <x:v>FUND_FLOW</x:v>
      </x:c>
      <x:c r="E1523" t="str">
        <x:f t="shared" si="67"/>
        <x:v>Dynamic</x:v>
      </x:c>
      <x:c r="F1523">
        <x:f ca="1">_xll.BDH($B$1523,$C$1523,$B$1010,$B$1011,CONCATENATE("Per=",$B$1008),"Dts=H","Dir=H",CONCATENATE("Points=",$B$1009),"Sort=R","Days=A","Fill=B",CONCATENATE("FX=", $B$1007),"cols=14;rows=1")</x:f>
        <x:v>-32.722299999999997</x:v>
      </x:c>
      <x:c r="G1523">
        <x:v>-36.654400000000003</x:v>
      </x:c>
      <x:c r="H1523">
        <x:v>40.9739</x:v>
      </x:c>
      <x:c r="I1523">
        <x:v>0.1762</x:v>
      </x:c>
      <x:c r="J1523">
        <x:v>11.7363</x:v>
      </x:c>
      <x:c r="K1523">
        <x:v>21.6676</x:v>
      </x:c>
      <x:c r="L1523">
        <x:v>16.866800000000001</x:v>
      </x:c>
      <x:c r="M1523">
        <x:v>-10.350099999999999</x:v>
      </x:c>
      <x:c r="N1523">
        <x:v>28.668600000000001</x:v>
      </x:c>
      <x:c r="O1523">
        <x:v>33.6706</x:v>
      </x:c>
      <x:c r="P1523">
        <x:v>-14.3505</x:v>
      </x:c>
      <x:c r="Q1523">
        <x:v>34.723500000000001</x:v>
      </x:c>
      <x:c r="R1523">
        <x:v>-38.854799999999997</x:v>
      </x:c>
      <x:c r="S1523">
        <x:v>-67.461500000000001</x:v>
      </x:c>
      <x:c r="T1523" t="str">
        <x:f>""</x:f>
        <x:v/>
      </x:c>
      <x:c r="U1523" t="str">
        <x:f>""</x:f>
        <x:v/>
      </x:c>
      <x:c r="V1523" t="str">
        <x:f>""</x:f>
        <x:v/>
      </x:c>
      <x:c r="W1523" t="str">
        <x:f>""</x:f>
        <x:v/>
      </x:c>
      <x:c r="X1523" t="str">
        <x:f>""</x:f>
        <x:v/>
      </x:c>
      <x:c r="Y1523" t="str">
        <x:f>""</x:f>
        <x:v/>
      </x:c>
      <x:c r="Z1523" t="str">
        <x:f>""</x:f>
        <x:v/>
      </x:c>
      <x:c r="AA1523" t="str">
        <x:f>""</x:f>
        <x:v/>
      </x:c>
      <x:c r="AB1523" t="str">
        <x:f>""</x:f>
        <x:v/>
      </x:c>
      <x:c r="AC1523" t="str">
        <x:f>""</x:f>
        <x:v/>
      </x:c>
      <x:c r="AD1523" t="str">
        <x:f>""</x:f>
        <x:v/>
      </x:c>
      <x:c r="AE1523" t="str">
        <x:f>""</x:f>
        <x:v/>
      </x:c>
      <x:c r="AF1523" t="str">
        <x:f>""</x:f>
        <x:v/>
      </x:c>
      <x:c r="AG1523" t="str">
        <x:f>""</x:f>
        <x:v/>
      </x:c>
    </x:row>
    <x:row r="1524" spans="2:33" x14ac:dyDescent="0.25">
      <x:c r="B1524" t="str">
        <x:f>"TCHF US Equity"</x:f>
        <x:v>TCHF US Equity</x:v>
      </x:c>
      <x:c r="C1524" t="str">
        <x:f t="shared" si="65"/>
        <x:v>FD447</x:v>
      </x:c>
      <x:c r="D1524" t="str">
        <x:f t="shared" si="66"/>
        <x:v>FUND_FLOW</x:v>
      </x:c>
      <x:c r="E1524" t="str">
        <x:f t="shared" si="67"/>
        <x:v>Dynamic</x:v>
      </x:c>
      <x:c r="F1524" t="str">
        <x:f ca="1">_xll.BDH($B$1524,$C$1524,$B$1010,$B$1011,CONCATENATE("Per=",$B$1008),"Dts=H","Dir=H",CONCATENATE("Points=",$B$1009),"Sort=R","Days=A","Fill=B",CONCATENATE("FX=", $B$1007) )</x:f>
        <x:v/>
      </x:c>
      <x:c r="T1524" t="str">
        <x:f>""</x:f>
        <x:v/>
      </x:c>
      <x:c r="U1524" t="str">
        <x:f>""</x:f>
        <x:v/>
      </x:c>
      <x:c r="V1524" t="str">
        <x:f>""</x:f>
        <x:v/>
      </x:c>
      <x:c r="W1524" t="str">
        <x:f>""</x:f>
        <x:v/>
      </x:c>
      <x:c r="X1524" t="str">
        <x:f>""</x:f>
        <x:v/>
      </x:c>
      <x:c r="Y1524" t="str">
        <x:f>""</x:f>
        <x:v/>
      </x:c>
      <x:c r="Z1524" t="str">
        <x:f>""</x:f>
        <x:v/>
      </x:c>
      <x:c r="AA1524" t="str">
        <x:f>""</x:f>
        <x:v/>
      </x:c>
      <x:c r="AB1524" t="str">
        <x:f>""</x:f>
        <x:v/>
      </x:c>
      <x:c r="AC1524" t="str">
        <x:f>""</x:f>
        <x:v/>
      </x:c>
      <x:c r="AD1524" t="str">
        <x:f>""</x:f>
        <x:v/>
      </x:c>
      <x:c r="AE1524" t="str">
        <x:f>""</x:f>
        <x:v/>
      </x:c>
      <x:c r="AF1524" t="str">
        <x:f>""</x:f>
        <x:v/>
      </x:c>
      <x:c r="AG1524" t="str">
        <x:f>""</x:f>
        <x:v/>
      </x:c>
    </x:row>
    <x:row r="1525" spans="2:33" x14ac:dyDescent="0.25">
      <x:c r="B1525" t="str">
        <x:f>"BIGD US Equity"</x:f>
        <x:v>BIGD US Equity</x:v>
      </x:c>
      <x:c r="C1525" t="str">
        <x:f t="shared" si="65"/>
        <x:v>FD447</x:v>
      </x:c>
      <x:c r="D1525" t="str">
        <x:f t="shared" si="66"/>
        <x:v>FUND_FLOW</x:v>
      </x:c>
      <x:c r="E1525" t="str">
        <x:f t="shared" si="67"/>
        <x:v>Dynamic</x:v>
      </x:c>
      <x:c r="F1525" t="str">
        <x:f ca="1">_xll.BDH($B$1525,$C$1525,$B$1010,$B$1011,CONCATENATE("Per=",$B$1008),"Dts=H","Dir=H",CONCATENATE("Points=",$B$1009),"Sort=R","Days=A","Fill=B",CONCATENATE("FX=", $B$1007) )</x:f>
        <x:v/>
      </x:c>
      <x:c r="T1525" t="str">
        <x:f>""</x:f>
        <x:v/>
      </x:c>
      <x:c r="U1525" t="str">
        <x:f>""</x:f>
        <x:v/>
      </x:c>
      <x:c r="V1525" t="str">
        <x:f>""</x:f>
        <x:v/>
      </x:c>
      <x:c r="W1525" t="str">
        <x:f>""</x:f>
        <x:v/>
      </x:c>
      <x:c r="X1525" t="str">
        <x:f>""</x:f>
        <x:v/>
      </x:c>
      <x:c r="Y1525" t="str">
        <x:f>""</x:f>
        <x:v/>
      </x:c>
      <x:c r="Z1525" t="str">
        <x:f>""</x:f>
        <x:v/>
      </x:c>
      <x:c r="AA1525" t="str">
        <x:f>""</x:f>
        <x:v/>
      </x:c>
      <x:c r="AB1525" t="str">
        <x:f>""</x:f>
        <x:v/>
      </x:c>
      <x:c r="AC1525" t="str">
        <x:f>""</x:f>
        <x:v/>
      </x:c>
      <x:c r="AD1525" t="str">
        <x:f>""</x:f>
        <x:v/>
      </x:c>
      <x:c r="AE1525" t="str">
        <x:f>""</x:f>
        <x:v/>
      </x:c>
      <x:c r="AF1525" t="str">
        <x:f>""</x:f>
        <x:v/>
      </x:c>
      <x:c r="AG1525" t="str">
        <x:f>""</x:f>
        <x:v/>
      </x:c>
    </x:row>
    <x:row r="1526" spans="2:33" x14ac:dyDescent="0.25">
      <x:c r="B1526" t="str">
        <x:f>"REW US Equity"</x:f>
        <x:v>REW US Equity</x:v>
      </x:c>
      <x:c r="C1526" t="str">
        <x:f t="shared" ref="C1526:C1589" si="68">"FD447"</x:f>
        <x:v>FD447</x:v>
      </x:c>
      <x:c r="D1526" t="str">
        <x:f t="shared" ref="D1526:D1589" si="69">"FUND_FLOW"</x:f>
        <x:v>FUND_FLOW</x:v>
      </x:c>
      <x:c r="E1526" t="str">
        <x:f t="shared" ref="E1526:E1589" si="70">"Dynamic"</x:f>
        <x:v>Dynamic</x:v>
      </x:c>
      <x:c r="F1526">
        <x:f ca="1">_xll.BDH($B$1526,$C$1526,$B$1010,$B$1011,CONCATENATE("Per=",$B$1008),"Dts=H","Dir=H",CONCATENATE("Points=",$B$1009),"Sort=R","Days=A","Fill=B",CONCATENATE("FX=", $B$1007),"cols=14;rows=1")</x:f>
        <x:v>-0.35099999999999998</x:v>
      </x:c>
      <x:c r="G1526">
        <x:v>1.1497999999999999</x:v>
      </x:c>
      <x:c r="H1526">
        <x:v>-1.5848</x:v>
      </x:c>
      <x:c r="I1526">
        <x:v>1.4799</x:v>
      </x:c>
      <x:c r="J1526">
        <x:v>-0.74550000000000005</x:v>
      </x:c>
      <x:c r="K1526">
        <x:v>6.0000000000000001E-3</x:v>
      </x:c>
      <x:c r="L1526">
        <x:v>4.3E-3</x:v>
      </x:c>
      <x:c r="M1526">
        <x:v>-6.1999999999999998E-3</x:v>
      </x:c>
      <x:c r="N1526">
        <x:v>-0.77680000000000005</x:v>
      </x:c>
      <x:c r="O1526">
        <x:v>-2.6903000000000001</x:v>
      </x:c>
      <x:c r="P1526">
        <x:v>0.1681</x:v>
      </x:c>
      <x:c r="Q1526">
        <x:v>3.4977</x:v>
      </x:c>
      <x:c r="R1526">
        <x:v>-5.0195999999999996</x:v>
      </x:c>
      <x:c r="S1526">
        <x:v>-4.0171000000000001</x:v>
      </x:c>
      <x:c r="T1526" t="str">
        <x:f>""</x:f>
        <x:v/>
      </x:c>
      <x:c r="U1526" t="str">
        <x:f>""</x:f>
        <x:v/>
      </x:c>
      <x:c r="V1526" t="str">
        <x:f>""</x:f>
        <x:v/>
      </x:c>
      <x:c r="W1526" t="str">
        <x:f>""</x:f>
        <x:v/>
      </x:c>
      <x:c r="X1526" t="str">
        <x:f>""</x:f>
        <x:v/>
      </x:c>
      <x:c r="Y1526" t="str">
        <x:f>""</x:f>
        <x:v/>
      </x:c>
      <x:c r="Z1526" t="str">
        <x:f>""</x:f>
        <x:v/>
      </x:c>
      <x:c r="AA1526" t="str">
        <x:f>""</x:f>
        <x:v/>
      </x:c>
      <x:c r="AB1526" t="str">
        <x:f>""</x:f>
        <x:v/>
      </x:c>
      <x:c r="AC1526" t="str">
        <x:f>""</x:f>
        <x:v/>
      </x:c>
      <x:c r="AD1526" t="str">
        <x:f>""</x:f>
        <x:v/>
      </x:c>
      <x:c r="AE1526" t="str">
        <x:f>""</x:f>
        <x:v/>
      </x:c>
      <x:c r="AF1526" t="str">
        <x:f>""</x:f>
        <x:v/>
      </x:c>
      <x:c r="AG1526" t="str">
        <x:f>""</x:f>
        <x:v/>
      </x:c>
    </x:row>
    <x:row r="1527" spans="2:33" x14ac:dyDescent="0.25">
      <x:c r="B1527" t="str">
        <x:f>"ARVR US Equity"</x:f>
        <x:v>ARVR US Equity</x:v>
      </x:c>
      <x:c r="C1527" t="str">
        <x:f t="shared" si="68"/>
        <x:v>FD447</x:v>
      </x:c>
      <x:c r="D1527" t="str">
        <x:f t="shared" si="69"/>
        <x:v>FUND_FLOW</x:v>
      </x:c>
      <x:c r="E1527" t="str">
        <x:f t="shared" si="70"/>
        <x:v>Dynamic</x:v>
      </x:c>
      <x:c r="F1527">
        <x:f ca="1">_xll.BDH($B$1527,$C$1527,$B$1010,$B$1011,CONCATENATE("Per=",$B$1008),"Dts=H","Dir=H",CONCATENATE("Points=",$B$1009),"Sort=R","Days=A","Fill=B",CONCATENATE("FX=", $B$1007),"cols=14;rows=1")</x:f>
        <x:v>0</x:v>
      </x:c>
      <x:c r="G1527">
        <x:v>0</x:v>
      </x:c>
      <x:c r="H1527">
        <x:v>0</x:v>
      </x:c>
      <x:c r="I1527">
        <x:v>0</x:v>
      </x:c>
      <x:c r="J1527">
        <x:v>0</x:v>
      </x:c>
      <x:c r="K1527">
        <x:v>0</x:v>
      </x:c>
      <x:c r="L1527">
        <x:v>0</x:v>
      </x:c>
      <x:c r="M1527">
        <x:v>0</x:v>
      </x:c>
      <x:c r="N1527">
        <x:v>0</x:v>
      </x:c>
      <x:c r="O1527">
        <x:v>0</x:v>
      </x:c>
      <x:c r="P1527">
        <x:v>0</x:v>
      </x:c>
      <x:c r="Q1527">
        <x:v>0</x:v>
      </x:c>
      <x:c r="R1527">
        <x:v>0</x:v>
      </x:c>
      <x:c r="S1527">
        <x:v>-1.2676000000000001</x:v>
      </x:c>
      <x:c r="T1527" t="str">
        <x:f>""</x:f>
        <x:v/>
      </x:c>
      <x:c r="U1527" t="str">
        <x:f>""</x:f>
        <x:v/>
      </x:c>
      <x:c r="V1527" t="str">
        <x:f>""</x:f>
        <x:v/>
      </x:c>
      <x:c r="W1527" t="str">
        <x:f>""</x:f>
        <x:v/>
      </x:c>
      <x:c r="X1527" t="str">
        <x:f>""</x:f>
        <x:v/>
      </x:c>
      <x:c r="Y1527" t="str">
        <x:f>""</x:f>
        <x:v/>
      </x:c>
      <x:c r="Z1527" t="str">
        <x:f>""</x:f>
        <x:v/>
      </x:c>
      <x:c r="AA1527" t="str">
        <x:f>""</x:f>
        <x:v/>
      </x:c>
      <x:c r="AB1527" t="str">
        <x:f>""</x:f>
        <x:v/>
      </x:c>
      <x:c r="AC1527" t="str">
        <x:f>""</x:f>
        <x:v/>
      </x:c>
      <x:c r="AD1527" t="str">
        <x:f>""</x:f>
        <x:v/>
      </x:c>
      <x:c r="AE1527" t="str">
        <x:f>""</x:f>
        <x:v/>
      </x:c>
      <x:c r="AF1527" t="str">
        <x:f>""</x:f>
        <x:v/>
      </x:c>
      <x:c r="AG1527" t="str">
        <x:f>""</x:f>
        <x:v/>
      </x:c>
    </x:row>
    <x:row r="1528" spans="2:33" x14ac:dyDescent="0.25">
      <x:c r="B1528" t="str">
        <x:f>"XK US Equity"</x:f>
        <x:v>XK US Equity</x:v>
      </x:c>
      <x:c r="C1528" t="str">
        <x:f t="shared" si="68"/>
        <x:v>FD447</x:v>
      </x:c>
      <x:c r="D1528" t="str">
        <x:f t="shared" si="69"/>
        <x:v>FUND_FLOW</x:v>
      </x:c>
      <x:c r="E1528" t="str">
        <x:f t="shared" si="70"/>
        <x:v>Dynamic</x:v>
      </x:c>
      <x:c r="F1528" t="str">
        <x:f ca="1">_xll.BDH($B$1528,$C$1528,$B$1010,$B$1011,CONCATENATE("Per=",$B$1008),"Dts=H","Dir=H",CONCATENATE("Points=",$B$1009),"Sort=R","Days=A","Fill=B",CONCATENATE("FX=", $B$1007) )</x:f>
        <x:v/>
      </x:c>
      <x:c r="T1528" t="str">
        <x:f>""</x:f>
        <x:v/>
      </x:c>
      <x:c r="U1528" t="str">
        <x:f>""</x:f>
        <x:v/>
      </x:c>
      <x:c r="V1528" t="str">
        <x:f>""</x:f>
        <x:v/>
      </x:c>
      <x:c r="W1528" t="str">
        <x:f>""</x:f>
        <x:v/>
      </x:c>
      <x:c r="X1528" t="str">
        <x:f>""</x:f>
        <x:v/>
      </x:c>
      <x:c r="Y1528" t="str">
        <x:f>""</x:f>
        <x:v/>
      </x:c>
      <x:c r="Z1528" t="str">
        <x:f>""</x:f>
        <x:v/>
      </x:c>
      <x:c r="AA1528" t="str">
        <x:f>""</x:f>
        <x:v/>
      </x:c>
      <x:c r="AB1528" t="str">
        <x:f>""</x:f>
        <x:v/>
      </x:c>
      <x:c r="AC1528" t="str">
        <x:f>""</x:f>
        <x:v/>
      </x:c>
      <x:c r="AD1528" t="str">
        <x:f>""</x:f>
        <x:v/>
      </x:c>
      <x:c r="AE1528" t="str">
        <x:f>""</x:f>
        <x:v/>
      </x:c>
      <x:c r="AF1528" t="str">
        <x:f>""</x:f>
        <x:v/>
      </x:c>
      <x:c r="AG1528" t="str">
        <x:f>""</x:f>
        <x:v/>
      </x:c>
    </x:row>
    <x:row r="1529" spans="2:33" x14ac:dyDescent="0.25">
      <x:c r="B1529" t="str">
        <x:f>"TECZ US Equity"</x:f>
        <x:v>TECZ US Equity</x:v>
      </x:c>
      <x:c r="C1529" t="str">
        <x:f t="shared" si="68"/>
        <x:v>FD447</x:v>
      </x:c>
      <x:c r="D1529" t="str">
        <x:f t="shared" si="69"/>
        <x:v>FUND_FLOW</x:v>
      </x:c>
      <x:c r="E1529" t="str">
        <x:f t="shared" si="70"/>
        <x:v>Dynamic</x:v>
      </x:c>
      <x:c r="F1529" t="str">
        <x:f ca="1">_xll.BDH($B$1529,$C$1529,$B$1010,$B$1011,CONCATENATE("Per=",$B$1008),"Dts=H","Dir=H",CONCATENATE("Points=",$B$1009),"Sort=R","Days=A","Fill=B",CONCATENATE("FX=", $B$1007) )</x:f>
        <x:v/>
      </x:c>
      <x:c r="T1529" t="str">
        <x:f>""</x:f>
        <x:v/>
      </x:c>
      <x:c r="U1529" t="str">
        <x:f>""</x:f>
        <x:v/>
      </x:c>
      <x:c r="V1529" t="str">
        <x:f>""</x:f>
        <x:v/>
      </x:c>
      <x:c r="W1529" t="str">
        <x:f>""</x:f>
        <x:v/>
      </x:c>
      <x:c r="X1529" t="str">
        <x:f>""</x:f>
        <x:v/>
      </x:c>
      <x:c r="Y1529" t="str">
        <x:f>""</x:f>
        <x:v/>
      </x:c>
      <x:c r="Z1529" t="str">
        <x:f>""</x:f>
        <x:v/>
      </x:c>
      <x:c r="AA1529" t="str">
        <x:f>""</x:f>
        <x:v/>
      </x:c>
      <x:c r="AB1529" t="str">
        <x:f>""</x:f>
        <x:v/>
      </x:c>
      <x:c r="AC1529" t="str">
        <x:f>""</x:f>
        <x:v/>
      </x:c>
      <x:c r="AD1529" t="str">
        <x:f>""</x:f>
        <x:v/>
      </x:c>
      <x:c r="AE1529" t="str">
        <x:f>""</x:f>
        <x:v/>
      </x:c>
      <x:c r="AF1529" t="str">
        <x:f>""</x:f>
        <x:v/>
      </x:c>
      <x:c r="AG1529" t="str">
        <x:f>""</x:f>
        <x:v/>
      </x:c>
    </x:row>
    <x:row r="1530" spans="2:33" x14ac:dyDescent="0.25">
      <x:c r="B1530" t="str">
        <x:f>"KEMQ US Equity"</x:f>
        <x:v>KEMQ US Equity</x:v>
      </x:c>
      <x:c r="C1530" t="str">
        <x:f t="shared" si="68"/>
        <x:v>FD447</x:v>
      </x:c>
      <x:c r="D1530" t="str">
        <x:f t="shared" si="69"/>
        <x:v>FUND_FLOW</x:v>
      </x:c>
      <x:c r="E1530" t="str">
        <x:f t="shared" si="70"/>
        <x:v>Dynamic</x:v>
      </x:c>
      <x:c r="F1530">
        <x:f ca="1">_xll.BDH($B$1530,$C$1530,$B$1010,$B$1011,CONCATENATE("Per=",$B$1008),"Dts=H","Dir=H",CONCATENATE("Points=",$B$1009),"Sort=R","Days=A","Fill=B",CONCATENATE("FX=", $B$1007),"cols=14;rows=1")</x:f>
        <x:v>0</x:v>
      </x:c>
      <x:c r="G1530">
        <x:v>0</x:v>
      </x:c>
      <x:c r="H1530">
        <x:v>0</x:v>
      </x:c>
      <x:c r="I1530">
        <x:v>-1.597</x:v>
      </x:c>
      <x:c r="J1530">
        <x:v>0</x:v>
      </x:c>
      <x:c r="K1530">
        <x:v>-16.061</x:v>
      </x:c>
      <x:c r="L1530">
        <x:v>0</x:v>
      </x:c>
      <x:c r="M1530">
        <x:v>0</x:v>
      </x:c>
      <x:c r="N1530">
        <x:v>0</x:v>
      </x:c>
      <x:c r="O1530">
        <x:v>-1.591</x:v>
      </x:c>
      <x:c r="P1530">
        <x:v>-2.2334999999999998</x:v>
      </x:c>
      <x:c r="Q1530">
        <x:v>-0.61399999999999999</x:v>
      </x:c>
      <x:c r="R1530">
        <x:v>0</x:v>
      </x:c>
      <x:c r="S1530">
        <x:v>-5.3419999999999996</x:v>
      </x:c>
      <x:c r="T1530" t="str">
        <x:f>""</x:f>
        <x:v/>
      </x:c>
      <x:c r="U1530" t="str">
        <x:f>""</x:f>
        <x:v/>
      </x:c>
      <x:c r="V1530" t="str">
        <x:f>""</x:f>
        <x:v/>
      </x:c>
      <x:c r="W1530" t="str">
        <x:f>""</x:f>
        <x:v/>
      </x:c>
      <x:c r="X1530" t="str">
        <x:f>""</x:f>
        <x:v/>
      </x:c>
      <x:c r="Y1530" t="str">
        <x:f>""</x:f>
        <x:v/>
      </x:c>
      <x:c r="Z1530" t="str">
        <x:f>""</x:f>
        <x:v/>
      </x:c>
      <x:c r="AA1530" t="str">
        <x:f>""</x:f>
        <x:v/>
      </x:c>
      <x:c r="AB1530" t="str">
        <x:f>""</x:f>
        <x:v/>
      </x:c>
      <x:c r="AC1530" t="str">
        <x:f>""</x:f>
        <x:v/>
      </x:c>
      <x:c r="AD1530" t="str">
        <x:f>""</x:f>
        <x:v/>
      </x:c>
      <x:c r="AE1530" t="str">
        <x:f>""</x:f>
        <x:v/>
      </x:c>
      <x:c r="AF1530" t="str">
        <x:f>""</x:f>
        <x:v/>
      </x:c>
      <x:c r="AG1530" t="str">
        <x:f>""</x:f>
        <x:v/>
      </x:c>
    </x:row>
    <x:row r="1531" spans="2:33" x14ac:dyDescent="0.25">
      <x:c r="B1531" t="str">
        <x:f>"IETC US Equity"</x:f>
        <x:v>IETC US Equity</x:v>
      </x:c>
      <x:c r="C1531" t="str">
        <x:f t="shared" si="68"/>
        <x:v>FD447</x:v>
      </x:c>
      <x:c r="D1531" t="str">
        <x:f t="shared" si="69"/>
        <x:v>FUND_FLOW</x:v>
      </x:c>
      <x:c r="E1531" t="str">
        <x:f t="shared" si="70"/>
        <x:v>Dynamic</x:v>
      </x:c>
      <x:c r="F1531">
        <x:f ca="1">_xll.BDH($B$1531,$C$1531,$B$1010,$B$1011,CONCATENATE("Per=",$B$1008),"Dts=H","Dir=H",CONCATENATE("Points=",$B$1009),"Sort=R","Days=A","Fill=B",CONCATENATE("FX=", $B$1007),"cols=14;rows=1")</x:f>
        <x:v>2.6764000000000001</x:v>
      </x:c>
      <x:c r="G1531">
        <x:v>-2.8031000000000001</x:v>
      </x:c>
      <x:c r="H1531">
        <x:v>2.7267000000000001</x:v>
      </x:c>
      <x:c r="I1531">
        <x:v>0</x:v>
      </x:c>
      <x:c r="J1531">
        <x:v>2.5979000000000001</x:v>
      </x:c>
      <x:c r="K1531">
        <x:v>0</x:v>
      </x:c>
      <x:c r="L1531">
        <x:v>0</x:v>
      </x:c>
      <x:c r="M1531">
        <x:v>0</x:v>
      </x:c>
      <x:c r="N1531">
        <x:v>-2.2663000000000002</x:v>
      </x:c>
      <x:c r="O1531">
        <x:v>0</x:v>
      </x:c>
      <x:c r="P1531">
        <x:v>-15.3644</x:v>
      </x:c>
      <x:c r="Q1531">
        <x:v>36.430500000000002</x:v>
      </x:c>
      <x:c r="R1531">
        <x:v>-5.9203999999999999</x:v>
      </x:c>
      <x:c r="S1531">
        <x:v>0</x:v>
      </x:c>
      <x:c r="T1531" t="str">
        <x:f>""</x:f>
        <x:v/>
      </x:c>
      <x:c r="U1531" t="str">
        <x:f>""</x:f>
        <x:v/>
      </x:c>
      <x:c r="V1531" t="str">
        <x:f>""</x:f>
        <x:v/>
      </x:c>
      <x:c r="W1531" t="str">
        <x:f>""</x:f>
        <x:v/>
      </x:c>
      <x:c r="X1531" t="str">
        <x:f>""</x:f>
        <x:v/>
      </x:c>
      <x:c r="Y1531" t="str">
        <x:f>""</x:f>
        <x:v/>
      </x:c>
      <x:c r="Z1531" t="str">
        <x:f>""</x:f>
        <x:v/>
      </x:c>
      <x:c r="AA1531" t="str">
        <x:f>""</x:f>
        <x:v/>
      </x:c>
      <x:c r="AB1531" t="str">
        <x:f>""</x:f>
        <x:v/>
      </x:c>
      <x:c r="AC1531" t="str">
        <x:f>""</x:f>
        <x:v/>
      </x:c>
      <x:c r="AD1531" t="str">
        <x:f>""</x:f>
        <x:v/>
      </x:c>
      <x:c r="AE1531" t="str">
        <x:f>""</x:f>
        <x:v/>
      </x:c>
      <x:c r="AF1531" t="str">
        <x:f>""</x:f>
        <x:v/>
      </x:c>
      <x:c r="AG1531" t="str">
        <x:f>""</x:f>
        <x:v/>
      </x:c>
    </x:row>
    <x:row r="1532" spans="2:33" x14ac:dyDescent="0.25">
      <x:c r="B1532" t="str">
        <x:f>"FNGU US Equity"</x:f>
        <x:v>FNGU US Equity</x:v>
      </x:c>
      <x:c r="C1532" t="str">
        <x:f t="shared" si="68"/>
        <x:v>FD447</x:v>
      </x:c>
      <x:c r="D1532" t="str">
        <x:f t="shared" si="69"/>
        <x:v>FUND_FLOW</x:v>
      </x:c>
      <x:c r="E1532" t="str">
        <x:f t="shared" si="70"/>
        <x:v>Dynamic</x:v>
      </x:c>
      <x:c r="F1532">
        <x:f ca="1">_xll.BDH($B$1532,$C$1532,$B$1010,$B$1011,CONCATENATE("Per=",$B$1008),"Dts=H","Dir=H",CONCATENATE("Points=",$B$1009),"Sort=R","Days=A","Fill=B",CONCATENATE("FX=", $B$1007),"cols=14;rows=1")</x:f>
        <x:v>0</x:v>
      </x:c>
      <x:c r="G1532">
        <x:v>0</x:v>
      </x:c>
      <x:c r="H1532">
        <x:v>0</x:v>
      </x:c>
      <x:c r="I1532">
        <x:v>0</x:v>
      </x:c>
      <x:c r="J1532">
        <x:v>0</x:v>
      </x:c>
      <x:c r="K1532">
        <x:v>0</x:v>
      </x:c>
      <x:c r="L1532">
        <x:v>0</x:v>
      </x:c>
      <x:c r="M1532">
        <x:v>0</x:v>
      </x:c>
      <x:c r="N1532">
        <x:v>0</x:v>
      </x:c>
      <x:c r="O1532">
        <x:v>49.917299999999997</x:v>
      </x:c>
      <x:c r="P1532">
        <x:v>0</x:v>
      </x:c>
      <x:c r="Q1532">
        <x:v>79.4251</x:v>
      </x:c>
      <x:c r="R1532">
        <x:v>56.804400000000001</x:v>
      </x:c>
      <x:c r="S1532">
        <x:v>63.205800000000004</x:v>
      </x:c>
      <x:c r="T1532" t="str">
        <x:f>""</x:f>
        <x:v/>
      </x:c>
      <x:c r="U1532" t="str">
        <x:f>""</x:f>
        <x:v/>
      </x:c>
      <x:c r="V1532" t="str">
        <x:f>""</x:f>
        <x:v/>
      </x:c>
      <x:c r="W1532" t="str">
        <x:f>""</x:f>
        <x:v/>
      </x:c>
      <x:c r="X1532" t="str">
        <x:f>""</x:f>
        <x:v/>
      </x:c>
      <x:c r="Y1532" t="str">
        <x:f>""</x:f>
        <x:v/>
      </x:c>
      <x:c r="Z1532" t="str">
        <x:f>""</x:f>
        <x:v/>
      </x:c>
      <x:c r="AA1532" t="str">
        <x:f>""</x:f>
        <x:v/>
      </x:c>
      <x:c r="AB1532" t="str">
        <x:f>""</x:f>
        <x:v/>
      </x:c>
      <x:c r="AC1532" t="str">
        <x:f>""</x:f>
        <x:v/>
      </x:c>
      <x:c r="AD1532" t="str">
        <x:f>""</x:f>
        <x:v/>
      </x:c>
      <x:c r="AE1532" t="str">
        <x:f>""</x:f>
        <x:v/>
      </x:c>
      <x:c r="AF1532" t="str">
        <x:f>""</x:f>
        <x:v/>
      </x:c>
      <x:c r="AG1532" t="str">
        <x:f>""</x:f>
        <x:v/>
      </x:c>
    </x:row>
    <x:row r="1533" spans="2:33" x14ac:dyDescent="0.25">
      <x:c r="B1533" t="str">
        <x:f>"FNGD US Equity"</x:f>
        <x:v>FNGD US Equity</x:v>
      </x:c>
      <x:c r="C1533" t="str">
        <x:f t="shared" si="68"/>
        <x:v>FD447</x:v>
      </x:c>
      <x:c r="D1533" t="str">
        <x:f t="shared" si="69"/>
        <x:v>FUND_FLOW</x:v>
      </x:c>
      <x:c r="E1533" t="str">
        <x:f t="shared" si="70"/>
        <x:v>Dynamic</x:v>
      </x:c>
      <x:c r="F1533">
        <x:f ca="1">_xll.BDH($B$1533,$C$1533,$B$1010,$B$1011,CONCATENATE("Per=",$B$1008),"Dts=H","Dir=H",CONCATENATE("Points=",$B$1009),"Sort=R","Days=A","Fill=B",CONCATENATE("FX=", $B$1007),"cols=14;rows=1")</x:f>
        <x:v>0</x:v>
      </x:c>
      <x:c r="G1533">
        <x:v>0</x:v>
      </x:c>
      <x:c r="H1533">
        <x:v>0</x:v>
      </x:c>
      <x:c r="I1533">
        <x:v>36.812800000000003</x:v>
      </x:c>
      <x:c r="J1533">
        <x:v>68.453199999999995</x:v>
      </x:c>
      <x:c r="K1533">
        <x:v>71.547899999999998</x:v>
      </x:c>
      <x:c r="L1533">
        <x:v>58.0017</x:v>
      </x:c>
      <x:c r="M1533">
        <x:v>0</x:v>
      </x:c>
      <x:c r="N1533">
        <x:v>71.877300000000005</x:v>
      </x:c>
      <x:c r="O1533">
        <x:v>17.7927</x:v>
      </x:c>
      <x:c r="P1533">
        <x:v>0</x:v>
      </x:c>
      <x:c r="Q1533">
        <x:v>0</x:v>
      </x:c>
      <x:c r="R1533">
        <x:v>0</x:v>
      </x:c>
      <x:c r="S1533">
        <x:v>0</x:v>
      </x:c>
      <x:c r="T1533" t="str">
        <x:f>""</x:f>
        <x:v/>
      </x:c>
      <x:c r="U1533" t="str">
        <x:f>""</x:f>
        <x:v/>
      </x:c>
      <x:c r="V1533" t="str">
        <x:f>""</x:f>
        <x:v/>
      </x:c>
      <x:c r="W1533" t="str">
        <x:f>""</x:f>
        <x:v/>
      </x:c>
      <x:c r="X1533" t="str">
        <x:f>""</x:f>
        <x:v/>
      </x:c>
      <x:c r="Y1533" t="str">
        <x:f>""</x:f>
        <x:v/>
      </x:c>
      <x:c r="Z1533" t="str">
        <x:f>""</x:f>
        <x:v/>
      </x:c>
      <x:c r="AA1533" t="str">
        <x:f>""</x:f>
        <x:v/>
      </x:c>
      <x:c r="AB1533" t="str">
        <x:f>""</x:f>
        <x:v/>
      </x:c>
      <x:c r="AC1533" t="str">
        <x:f>""</x:f>
        <x:v/>
      </x:c>
      <x:c r="AD1533" t="str">
        <x:f>""</x:f>
        <x:v/>
      </x:c>
      <x:c r="AE1533" t="str">
        <x:f>""</x:f>
        <x:v/>
      </x:c>
      <x:c r="AF1533" t="str">
        <x:f>""</x:f>
        <x:v/>
      </x:c>
      <x:c r="AG1533" t="str">
        <x:f>""</x:f>
        <x:v/>
      </x:c>
    </x:row>
    <x:row r="1534" spans="2:33" x14ac:dyDescent="0.25">
      <x:c r="B1534" t="str">
        <x:f>"FNGO US Equity"</x:f>
        <x:v>FNGO US Equity</x:v>
      </x:c>
      <x:c r="C1534" t="str">
        <x:f t="shared" si="68"/>
        <x:v>FD447</x:v>
      </x:c>
      <x:c r="D1534" t="str">
        <x:f t="shared" si="69"/>
        <x:v>FUND_FLOW</x:v>
      </x:c>
      <x:c r="E1534" t="str">
        <x:f t="shared" si="70"/>
        <x:v>Dynamic</x:v>
      </x:c>
      <x:c r="F1534">
        <x:f ca="1">_xll.BDH($B$1534,$C$1534,$B$1010,$B$1011,CONCATENATE("Per=",$B$1008),"Dts=H","Dir=H",CONCATENATE("Points=",$B$1009),"Sort=R","Days=A","Fill=B",CONCATENATE("FX=", $B$1007),"cols=14;rows=1")</x:f>
        <x:v>0</x:v>
      </x:c>
      <x:c r="G1534">
        <x:v>0</x:v>
      </x:c>
      <x:c r="H1534">
        <x:v>0</x:v>
      </x:c>
      <x:c r="I1534">
        <x:v>0</x:v>
      </x:c>
      <x:c r="J1534">
        <x:v>0</x:v>
      </x:c>
      <x:c r="K1534">
        <x:v>0</x:v>
      </x:c>
      <x:c r="L1534">
        <x:v>0</x:v>
      </x:c>
      <x:c r="M1534">
        <x:v>0</x:v>
      </x:c>
      <x:c r="N1534">
        <x:v>0</x:v>
      </x:c>
      <x:c r="O1534">
        <x:v>0</x:v>
      </x:c>
      <x:c r="P1534">
        <x:v>0</x:v>
      </x:c>
      <x:c r="Q1534">
        <x:v>0</x:v>
      </x:c>
      <x:c r="R1534">
        <x:v>0</x:v>
      </x:c>
      <x:c r="S1534">
        <x:v>0</x:v>
      </x:c>
      <x:c r="T1534" t="str">
        <x:f>""</x:f>
        <x:v/>
      </x:c>
      <x:c r="U1534" t="str">
        <x:f>""</x:f>
        <x:v/>
      </x:c>
      <x:c r="V1534" t="str">
        <x:f>""</x:f>
        <x:v/>
      </x:c>
      <x:c r="W1534" t="str">
        <x:f>""</x:f>
        <x:v/>
      </x:c>
      <x:c r="X1534" t="str">
        <x:f>""</x:f>
        <x:v/>
      </x:c>
      <x:c r="Y1534" t="str">
        <x:f>""</x:f>
        <x:v/>
      </x:c>
      <x:c r="Z1534" t="str">
        <x:f>""</x:f>
        <x:v/>
      </x:c>
      <x:c r="AA1534" t="str">
        <x:f>""</x:f>
        <x:v/>
      </x:c>
      <x:c r="AB1534" t="str">
        <x:f>""</x:f>
        <x:v/>
      </x:c>
      <x:c r="AC1534" t="str">
        <x:f>""</x:f>
        <x:v/>
      </x:c>
      <x:c r="AD1534" t="str">
        <x:f>""</x:f>
        <x:v/>
      </x:c>
      <x:c r="AE1534" t="str">
        <x:f>""</x:f>
        <x:v/>
      </x:c>
      <x:c r="AF1534" t="str">
        <x:f>""</x:f>
        <x:v/>
      </x:c>
      <x:c r="AG1534" t="str">
        <x:f>""</x:f>
        <x:v/>
      </x:c>
    </x:row>
    <x:row r="1535" spans="2:33" x14ac:dyDescent="0.25">
      <x:c r="B1535" t="str">
        <x:f>"FNGZ US Equity"</x:f>
        <x:v>FNGZ US Equity</x:v>
      </x:c>
      <x:c r="C1535" t="str">
        <x:f t="shared" si="68"/>
        <x:v>FD447</x:v>
      </x:c>
      <x:c r="D1535" t="str">
        <x:f t="shared" si="69"/>
        <x:v>FUND_FLOW</x:v>
      </x:c>
      <x:c r="E1535" t="str">
        <x:f t="shared" si="70"/>
        <x:v>Dynamic</x:v>
      </x:c>
      <x:c r="F1535" t="str">
        <x:f ca="1">_xll.BDH($B$1535,$C$1535,$B$1010,$B$1011,CONCATENATE("Per=",$B$1008),"Dts=H","Dir=H",CONCATENATE("Points=",$B$1009),"Sort=R","Days=A","Fill=B",CONCATENATE("FX=", $B$1007) )</x:f>
        <x:v/>
      </x:c>
      <x:c r="T1535" t="str">
        <x:f>""</x:f>
        <x:v/>
      </x:c>
      <x:c r="U1535" t="str">
        <x:f>""</x:f>
        <x:v/>
      </x:c>
      <x:c r="V1535" t="str">
        <x:f>""</x:f>
        <x:v/>
      </x:c>
      <x:c r="W1535" t="str">
        <x:f>""</x:f>
        <x:v/>
      </x:c>
      <x:c r="X1535" t="str">
        <x:f>""</x:f>
        <x:v/>
      </x:c>
      <x:c r="Y1535" t="str">
        <x:f>""</x:f>
        <x:v/>
      </x:c>
      <x:c r="Z1535" t="str">
        <x:f>""</x:f>
        <x:v/>
      </x:c>
      <x:c r="AA1535" t="str">
        <x:f>""</x:f>
        <x:v/>
      </x:c>
      <x:c r="AB1535" t="str">
        <x:f>""</x:f>
        <x:v/>
      </x:c>
      <x:c r="AC1535" t="str">
        <x:f>""</x:f>
        <x:v/>
      </x:c>
      <x:c r="AD1535" t="str">
        <x:f>""</x:f>
        <x:v/>
      </x:c>
      <x:c r="AE1535" t="str">
        <x:f>""</x:f>
        <x:v/>
      </x:c>
      <x:c r="AF1535" t="str">
        <x:f>""</x:f>
        <x:v/>
      </x:c>
      <x:c r="AG1535" t="str">
        <x:f>""</x:f>
        <x:v/>
      </x:c>
    </x:row>
    <x:row r="1536" spans="2:33" x14ac:dyDescent="0.25">
      <x:c r="B1536" t="str">
        <x:f>"GNAF US Equity"</x:f>
        <x:v>GNAF US Equity</x:v>
      </x:c>
      <x:c r="C1536" t="str">
        <x:f t="shared" si="68"/>
        <x:v>FD447</x:v>
      </x:c>
      <x:c r="D1536" t="str">
        <x:f t="shared" si="69"/>
        <x:v>FUND_FLOW</x:v>
      </x:c>
      <x:c r="E1536" t="str">
        <x:f t="shared" si="70"/>
        <x:v>Dynamic</x:v>
      </x:c>
      <x:c r="F1536" t="str">
        <x:f ca="1">_xll.BDH($B$1536,$C$1536,$B$1010,$B$1011,CONCATENATE("Per=",$B$1008),"Dts=H","Dir=H",CONCATENATE("Points=",$B$1009),"Sort=R","Days=A","Fill=B",CONCATENATE("FX=", $B$1007) )</x:f>
        <x:v/>
      </x:c>
      <x:c r="T1536" t="str">
        <x:f>""</x:f>
        <x:v/>
      </x:c>
      <x:c r="U1536" t="str">
        <x:f>""</x:f>
        <x:v/>
      </x:c>
      <x:c r="V1536" t="str">
        <x:f>""</x:f>
        <x:v/>
      </x:c>
      <x:c r="W1536" t="str">
        <x:f>""</x:f>
        <x:v/>
      </x:c>
      <x:c r="X1536" t="str">
        <x:f>""</x:f>
        <x:v/>
      </x:c>
      <x:c r="Y1536" t="str">
        <x:f>""</x:f>
        <x:v/>
      </x:c>
      <x:c r="Z1536" t="str">
        <x:f>""</x:f>
        <x:v/>
      </x:c>
      <x:c r="AA1536" t="str">
        <x:f>""</x:f>
        <x:v/>
      </x:c>
      <x:c r="AB1536" t="str">
        <x:f>""</x:f>
        <x:v/>
      </x:c>
      <x:c r="AC1536" t="str">
        <x:f>""</x:f>
        <x:v/>
      </x:c>
      <x:c r="AD1536" t="str">
        <x:f>""</x:f>
        <x:v/>
      </x:c>
      <x:c r="AE1536" t="str">
        <x:f>""</x:f>
        <x:v/>
      </x:c>
      <x:c r="AF1536" t="str">
        <x:f>""</x:f>
        <x:v/>
      </x:c>
      <x:c r="AG1536" t="str">
        <x:f>""</x:f>
        <x:v/>
      </x:c>
    </x:row>
    <x:row r="1537" spans="2:33" x14ac:dyDescent="0.25">
      <x:c r="B1537" t="str">
        <x:f>"TDV US Equity"</x:f>
        <x:v>TDV US Equity</x:v>
      </x:c>
      <x:c r="C1537" t="str">
        <x:f t="shared" si="68"/>
        <x:v>FD447</x:v>
      </x:c>
      <x:c r="D1537" t="str">
        <x:f t="shared" si="69"/>
        <x:v>FUND_FLOW</x:v>
      </x:c>
      <x:c r="E1537" t="str">
        <x:f t="shared" si="70"/>
        <x:v>Dynamic</x:v>
      </x:c>
      <x:c r="F1537">
        <x:f ca="1">_xll.BDH($B$1537,$C$1537,$B$1010,$B$1011,CONCATENATE("Per=",$B$1008),"Dts=H","Dir=H",CONCATENATE("Points=",$B$1009),"Sort=R","Days=A","Fill=B",CONCATENATE("FX=", $B$1007),"cols=14;rows=1")</x:f>
        <x:v>7.4142999999999999</x:v>
      </x:c>
      <x:c r="G1537">
        <x:v>2.5844999999999998</x:v>
      </x:c>
      <x:c r="H1537">
        <x:v>14.4373</x:v>
      </x:c>
      <x:c r="I1537">
        <x:v>12.0951</x:v>
      </x:c>
      <x:c r="J1537">
        <x:v>2.6739999999999999</x:v>
      </x:c>
      <x:c r="K1537">
        <x:v>16.367699999999999</x:v>
      </x:c>
      <x:c r="L1537">
        <x:v>16.186199999999999</x:v>
      </x:c>
      <x:c r="M1537">
        <x:v>7.5766</x:v>
      </x:c>
      <x:c r="N1537">
        <x:v>6.5948000000000002</x:v>
      </x:c>
      <x:c r="O1537">
        <x:v>2.3357999999999999</x:v>
      </x:c>
      <x:c r="P1537">
        <x:v>-5.9512</x:v>
      </x:c>
      <x:c r="Q1537">
        <x:v>2.2673000000000001</x:v>
      </x:c>
      <x:c r="R1537">
        <x:v>4.6840999999999999</x:v>
      </x:c>
      <x:c r="S1537">
        <x:v>2.4937999999999998</x:v>
      </x:c>
      <x:c r="T1537" t="str">
        <x:f>""</x:f>
        <x:v/>
      </x:c>
      <x:c r="U1537" t="str">
        <x:f>""</x:f>
        <x:v/>
      </x:c>
      <x:c r="V1537" t="str">
        <x:f>""</x:f>
        <x:v/>
      </x:c>
      <x:c r="W1537" t="str">
        <x:f>""</x:f>
        <x:v/>
      </x:c>
      <x:c r="X1537" t="str">
        <x:f>""</x:f>
        <x:v/>
      </x:c>
      <x:c r="Y1537" t="str">
        <x:f>""</x:f>
        <x:v/>
      </x:c>
      <x:c r="Z1537" t="str">
        <x:f>""</x:f>
        <x:v/>
      </x:c>
      <x:c r="AA1537" t="str">
        <x:f>""</x:f>
        <x:v/>
      </x:c>
      <x:c r="AB1537" t="str">
        <x:f>""</x:f>
        <x:v/>
      </x:c>
      <x:c r="AC1537" t="str">
        <x:f>""</x:f>
        <x:v/>
      </x:c>
      <x:c r="AD1537" t="str">
        <x:f>""</x:f>
        <x:v/>
      </x:c>
      <x:c r="AE1537" t="str">
        <x:f>""</x:f>
        <x:v/>
      </x:c>
      <x:c r="AF1537" t="str">
        <x:f>""</x:f>
        <x:v/>
      </x:c>
      <x:c r="AG1537" t="str">
        <x:f>""</x:f>
        <x:v/>
      </x:c>
    </x:row>
    <x:row r="1538" spans="2:33" x14ac:dyDescent="0.25">
      <x:c r="B1538" t="str">
        <x:f>"PLAT US Equity"</x:f>
        <x:v>PLAT US Equity</x:v>
      </x:c>
      <x:c r="C1538" t="str">
        <x:f t="shared" si="68"/>
        <x:v>FD447</x:v>
      </x:c>
      <x:c r="D1538" t="str">
        <x:f t="shared" si="69"/>
        <x:v>FUND_FLOW</x:v>
      </x:c>
      <x:c r="E1538" t="str">
        <x:f t="shared" si="70"/>
        <x:v>Dynamic</x:v>
      </x:c>
      <x:c r="F1538">
        <x:f ca="1">_xll.BDH($B$1538,$C$1538,$B$1010,$B$1011,CONCATENATE("Per=",$B$1008),"Dts=H","Dir=H",CONCATENATE("Points=",$B$1009),"Sort=R","Days=A","Fill=B",CONCATENATE("FX=", $B$1007),"cols=14;rows=1")</x:f>
        <x:v>-2.1903000000000001</x:v>
      </x:c>
      <x:c r="G1538">
        <x:v>-1.3224</x:v>
      </x:c>
      <x:c r="H1538">
        <x:v>0</x:v>
      </x:c>
      <x:c r="I1538">
        <x:v>0</x:v>
      </x:c>
      <x:c r="J1538">
        <x:v>0</x:v>
      </x:c>
      <x:c r="K1538">
        <x:v>0</x:v>
      </x:c>
      <x:c r="L1538">
        <x:v>0</x:v>
      </x:c>
      <x:c r="M1538">
        <x:v>0</x:v>
      </x:c>
      <x:c r="N1538">
        <x:v>0.81359999999999999</x:v>
      </x:c>
      <x:c r="O1538">
        <x:v>0</x:v>
      </x:c>
      <x:c r="P1538">
        <x:v>-0.98199999999999998</x:v>
      </x:c>
      <x:c r="Q1538">
        <x:v>0</x:v>
      </x:c>
      <x:c r="R1538">
        <x:v>0</x:v>
      </x:c>
      <x:c r="S1538">
        <x:v>0</x:v>
      </x:c>
      <x:c r="T1538" t="str">
        <x:f>""</x:f>
        <x:v/>
      </x:c>
      <x:c r="U1538" t="str">
        <x:f>""</x:f>
        <x:v/>
      </x:c>
      <x:c r="V1538" t="str">
        <x:f>""</x:f>
        <x:v/>
      </x:c>
      <x:c r="W1538" t="str">
        <x:f>""</x:f>
        <x:v/>
      </x:c>
      <x:c r="X1538" t="str">
        <x:f>""</x:f>
        <x:v/>
      </x:c>
      <x:c r="Y1538" t="str">
        <x:f>""</x:f>
        <x:v/>
      </x:c>
      <x:c r="Z1538" t="str">
        <x:f>""</x:f>
        <x:v/>
      </x:c>
      <x:c r="AA1538" t="str">
        <x:f>""</x:f>
        <x:v/>
      </x:c>
      <x:c r="AB1538" t="str">
        <x:f>""</x:f>
        <x:v/>
      </x:c>
      <x:c r="AC1538" t="str">
        <x:f>""</x:f>
        <x:v/>
      </x:c>
      <x:c r="AD1538" t="str">
        <x:f>""</x:f>
        <x:v/>
      </x:c>
      <x:c r="AE1538" t="str">
        <x:f>""</x:f>
        <x:v/>
      </x:c>
      <x:c r="AF1538" t="str">
        <x:f>""</x:f>
        <x:v/>
      </x:c>
      <x:c r="AG1538" t="str">
        <x:f>""</x:f>
        <x:v/>
      </x:c>
    </x:row>
    <x:row r="1539" spans="2:33" x14ac:dyDescent="0.25">
      <x:c r="B1539" t="str">
        <x:f>"TECB US Equity"</x:f>
        <x:v>TECB US Equity</x:v>
      </x:c>
      <x:c r="C1539" t="str">
        <x:f t="shared" si="68"/>
        <x:v>FD447</x:v>
      </x:c>
      <x:c r="D1539" t="str">
        <x:f t="shared" si="69"/>
        <x:v>FUND_FLOW</x:v>
      </x:c>
      <x:c r="E1539" t="str">
        <x:f t="shared" si="70"/>
        <x:v>Dynamic</x:v>
      </x:c>
      <x:c r="F1539">
        <x:f ca="1">_xll.BDH($B$1539,$C$1539,$B$1010,$B$1011,CONCATENATE("Per=",$B$1008),"Dts=H","Dir=H",CONCATENATE("Points=",$B$1009),"Sort=R","Days=A","Fill=B",CONCATENATE("FX=", $B$1007),"cols=14;rows=1")</x:f>
        <x:v>-3.6692999999999998</x:v>
      </x:c>
      <x:c r="G1539">
        <x:v>0</x:v>
      </x:c>
      <x:c r="H1539">
        <x:v>1.8869</x:v>
      </x:c>
      <x:c r="I1539">
        <x:v>-90.692599999999999</x:v>
      </x:c>
      <x:c r="J1539">
        <x:v>5.3154000000000003</x:v>
      </x:c>
      <x:c r="K1539">
        <x:v>-20.386099999999999</x:v>
      </x:c>
      <x:c r="L1539">
        <x:v>0</x:v>
      </x:c>
      <x:c r="M1539">
        <x:v>-4.7342000000000004</x:v>
      </x:c>
      <x:c r="N1539">
        <x:v>0</x:v>
      </x:c>
      <x:c r="O1539">
        <x:v>-1.5125999999999999</x:v>
      </x:c>
      <x:c r="P1539">
        <x:v>-1.4621</x:v>
      </x:c>
      <x:c r="Q1539">
        <x:v>0</x:v>
      </x:c>
      <x:c r="R1539">
        <x:v>-2.625</x:v>
      </x:c>
      <x:c r="S1539">
        <x:v>0</x:v>
      </x:c>
      <x:c r="T1539" t="str">
        <x:f>""</x:f>
        <x:v/>
      </x:c>
      <x:c r="U1539" t="str">
        <x:f>""</x:f>
        <x:v/>
      </x:c>
      <x:c r="V1539" t="str">
        <x:f>""</x:f>
        <x:v/>
      </x:c>
      <x:c r="W1539" t="str">
        <x:f>""</x:f>
        <x:v/>
      </x:c>
      <x:c r="X1539" t="str">
        <x:f>""</x:f>
        <x:v/>
      </x:c>
      <x:c r="Y1539" t="str">
        <x:f>""</x:f>
        <x:v/>
      </x:c>
      <x:c r="Z1539" t="str">
        <x:f>""</x:f>
        <x:v/>
      </x:c>
      <x:c r="AA1539" t="str">
        <x:f>""</x:f>
        <x:v/>
      </x:c>
      <x:c r="AB1539" t="str">
        <x:f>""</x:f>
        <x:v/>
      </x:c>
      <x:c r="AC1539" t="str">
        <x:f>""</x:f>
        <x:v/>
      </x:c>
      <x:c r="AD1539" t="str">
        <x:f>""</x:f>
        <x:v/>
      </x:c>
      <x:c r="AE1539" t="str">
        <x:f>""</x:f>
        <x:v/>
      </x:c>
      <x:c r="AF1539" t="str">
        <x:f>""</x:f>
        <x:v/>
      </x:c>
      <x:c r="AG1539" t="str">
        <x:f>""</x:f>
        <x:v/>
      </x:c>
    </x:row>
    <x:row r="1540" spans="2:33" x14ac:dyDescent="0.25">
      <x:c r="B1540" t="str">
        <x:f>"FNGS US Equity"</x:f>
        <x:v>FNGS US Equity</x:v>
      </x:c>
      <x:c r="C1540" t="str">
        <x:f t="shared" si="68"/>
        <x:v>FD447</x:v>
      </x:c>
      <x:c r="D1540" t="str">
        <x:f t="shared" si="69"/>
        <x:v>FUND_FLOW</x:v>
      </x:c>
      <x:c r="E1540" t="str">
        <x:f t="shared" si="70"/>
        <x:v>Dynamic</x:v>
      </x:c>
      <x:c r="F1540">
        <x:f ca="1">_xll.BDH($B$1540,$C$1540,$B$1010,$B$1011,CONCATENATE("Per=",$B$1008),"Dts=H","Dir=H",CONCATENATE("Points=",$B$1009),"Sort=R","Days=A","Fill=B",CONCATENATE("FX=", $B$1007),"cols=14;rows=1")</x:f>
        <x:v>0</x:v>
      </x:c>
      <x:c r="G1540">
        <x:v>0</x:v>
      </x:c>
      <x:c r="H1540">
        <x:v>0</x:v>
      </x:c>
      <x:c r="I1540">
        <x:v>0</x:v>
      </x:c>
      <x:c r="J1540">
        <x:v>52.668999999999997</x:v>
      </x:c>
      <x:c r="K1540">
        <x:v>0</x:v>
      </x:c>
      <x:c r="L1540">
        <x:v>0</x:v>
      </x:c>
      <x:c r="M1540">
        <x:v>0</x:v>
      </x:c>
      <x:c r="N1540">
        <x:v>0</x:v>
      </x:c>
      <x:c r="O1540">
        <x:v>0</x:v>
      </x:c>
      <x:c r="P1540">
        <x:v>0</x:v>
      </x:c>
      <x:c r="Q1540">
        <x:v>0</x:v>
      </x:c>
      <x:c r="R1540">
        <x:v>0</x:v>
      </x:c>
      <x:c r="S1540">
        <x:v>0</x:v>
      </x:c>
      <x:c r="T1540" t="str">
        <x:f>""</x:f>
        <x:v/>
      </x:c>
      <x:c r="U1540" t="str">
        <x:f>""</x:f>
        <x:v/>
      </x:c>
      <x:c r="V1540" t="str">
        <x:f>""</x:f>
        <x:v/>
      </x:c>
      <x:c r="W1540" t="str">
        <x:f>""</x:f>
        <x:v/>
      </x:c>
      <x:c r="X1540" t="str">
        <x:f>""</x:f>
        <x:v/>
      </x:c>
      <x:c r="Y1540" t="str">
        <x:f>""</x:f>
        <x:v/>
      </x:c>
      <x:c r="Z1540" t="str">
        <x:f>""</x:f>
        <x:v/>
      </x:c>
      <x:c r="AA1540" t="str">
        <x:f>""</x:f>
        <x:v/>
      </x:c>
      <x:c r="AB1540" t="str">
        <x:f>""</x:f>
        <x:v/>
      </x:c>
      <x:c r="AC1540" t="str">
        <x:f>""</x:f>
        <x:v/>
      </x:c>
      <x:c r="AD1540" t="str">
        <x:f>""</x:f>
        <x:v/>
      </x:c>
      <x:c r="AE1540" t="str">
        <x:f>""</x:f>
        <x:v/>
      </x:c>
      <x:c r="AF1540" t="str">
        <x:f>""</x:f>
        <x:v/>
      </x:c>
      <x:c r="AG1540" t="str">
        <x:f>""</x:f>
        <x:v/>
      </x:c>
    </x:row>
    <x:row r="1541" spans="2:33" x14ac:dyDescent="0.25">
      <x:c r="B1541" t="str">
        <x:f>"XPND US Equity"</x:f>
        <x:v>XPND US Equity</x:v>
      </x:c>
      <x:c r="C1541" t="str">
        <x:f t="shared" si="68"/>
        <x:v>FD447</x:v>
      </x:c>
      <x:c r="D1541" t="str">
        <x:f t="shared" si="69"/>
        <x:v>FUND_FLOW</x:v>
      </x:c>
      <x:c r="E1541" t="str">
        <x:f t="shared" si="70"/>
        <x:v>Dynamic</x:v>
      </x:c>
      <x:c r="F1541">
        <x:f ca="1">_xll.BDH($B$1541,$C$1541,$B$1010,$B$1011,CONCATENATE("Per=",$B$1008),"Dts=H","Dir=H",CONCATENATE("Points=",$B$1009),"Sort=R","Days=A","Fill=B",CONCATENATE("FX=", $B$1007),"cols=14;rows=1")</x:f>
        <x:v>0</x:v>
      </x:c>
      <x:c r="G1541">
        <x:v>0</x:v>
      </x:c>
      <x:c r="H1541">
        <x:v>0</x:v>
      </x:c>
      <x:c r="I1541">
        <x:v>0</x:v>
      </x:c>
      <x:c r="J1541">
        <x:v>-2.0234999999999999</x:v>
      </x:c>
      <x:c r="K1541">
        <x:v>0.98499999999999999</x:v>
      </x:c>
      <x:c r="L1541">
        <x:v>0</x:v>
      </x:c>
      <x:c r="M1541">
        <x:v>0</x:v>
      </x:c>
      <x:c r="N1541">
        <x:v>0</x:v>
      </x:c>
      <x:c r="O1541">
        <x:v>-11.323</x:v>
      </x:c>
      <x:c r="P1541">
        <x:v>-0.80359999999999998</x:v>
      </x:c>
      <x:c r="Q1541">
        <x:v>0</x:v>
      </x:c>
      <x:c r="R1541">
        <x:v>2.3462000000000001</x:v>
      </x:c>
      <x:c r="S1541">
        <x:v>0</x:v>
      </x:c>
      <x:c r="T1541" t="str">
        <x:f>""</x:f>
        <x:v/>
      </x:c>
      <x:c r="U1541" t="str">
        <x:f>""</x:f>
        <x:v/>
      </x:c>
      <x:c r="V1541" t="str">
        <x:f>""</x:f>
        <x:v/>
      </x:c>
      <x:c r="W1541" t="str">
        <x:f>""</x:f>
        <x:v/>
      </x:c>
      <x:c r="X1541" t="str">
        <x:f>""</x:f>
        <x:v/>
      </x:c>
      <x:c r="Y1541" t="str">
        <x:f>""</x:f>
        <x:v/>
      </x:c>
      <x:c r="Z1541" t="str">
        <x:f>""</x:f>
        <x:v/>
      </x:c>
      <x:c r="AA1541" t="str">
        <x:f>""</x:f>
        <x:v/>
      </x:c>
      <x:c r="AB1541" t="str">
        <x:f>""</x:f>
        <x:v/>
      </x:c>
      <x:c r="AC1541" t="str">
        <x:f>""</x:f>
        <x:v/>
      </x:c>
      <x:c r="AD1541" t="str">
        <x:f>""</x:f>
        <x:v/>
      </x:c>
      <x:c r="AE1541" t="str">
        <x:f>""</x:f>
        <x:v/>
      </x:c>
      <x:c r="AF1541" t="str">
        <x:f>""</x:f>
        <x:v/>
      </x:c>
      <x:c r="AG1541" t="str">
        <x:f>""</x:f>
        <x:v/>
      </x:c>
    </x:row>
    <x:row r="1542" spans="2:33" x14ac:dyDescent="0.25">
      <x:c r="B1542" t="str">
        <x:f>"KTEC US Equity"</x:f>
        <x:v>KTEC US Equity</x:v>
      </x:c>
      <x:c r="C1542" t="str">
        <x:f t="shared" si="68"/>
        <x:v>FD447</x:v>
      </x:c>
      <x:c r="D1542" t="str">
        <x:f t="shared" si="69"/>
        <x:v>FUND_FLOW</x:v>
      </x:c>
      <x:c r="E1542" t="str">
        <x:f t="shared" si="70"/>
        <x:v>Dynamic</x:v>
      </x:c>
      <x:c r="F1542">
        <x:f ca="1">_xll.BDH($B$1542,$C$1542,$B$1010,$B$1011,CONCATENATE("Per=",$B$1008),"Dts=H","Dir=H",CONCATENATE("Points=",$B$1009),"Sort=R","Days=A","Fill=B",CONCATENATE("FX=", $B$1007),"cols=14;rows=1")</x:f>
        <x:v>-0.59</x:v>
      </x:c>
      <x:c r="G1542">
        <x:v>0</x:v>
      </x:c>
      <x:c r="H1542">
        <x:v>0</x:v>
      </x:c>
      <x:c r="I1542">
        <x:v>0</x:v>
      </x:c>
      <x:c r="J1542">
        <x:v>0</x:v>
      </x:c>
      <x:c r="K1542">
        <x:v>0</x:v>
      </x:c>
      <x:c r="L1542">
        <x:v>0</x:v>
      </x:c>
      <x:c r="M1542">
        <x:v>0</x:v>
      </x:c>
      <x:c r="N1542">
        <x:v>0</x:v>
      </x:c>
      <x:c r="O1542">
        <x:v>0</x:v>
      </x:c>
      <x:c r="P1542">
        <x:v>0</x:v>
      </x:c>
      <x:c r="Q1542">
        <x:v>-2.0489999999999999</x:v>
      </x:c>
      <x:c r="R1542">
        <x:v>-1.9419999999999999</x:v>
      </x:c>
      <x:c r="S1542">
        <x:v>0</x:v>
      </x:c>
      <x:c r="T1542" t="str">
        <x:f>""</x:f>
        <x:v/>
      </x:c>
      <x:c r="U1542" t="str">
        <x:f>""</x:f>
        <x:v/>
      </x:c>
      <x:c r="V1542" t="str">
        <x:f>""</x:f>
        <x:v/>
      </x:c>
      <x:c r="W1542" t="str">
        <x:f>""</x:f>
        <x:v/>
      </x:c>
      <x:c r="X1542" t="str">
        <x:f>""</x:f>
        <x:v/>
      </x:c>
      <x:c r="Y1542" t="str">
        <x:f>""</x:f>
        <x:v/>
      </x:c>
      <x:c r="Z1542" t="str">
        <x:f>""</x:f>
        <x:v/>
      </x:c>
      <x:c r="AA1542" t="str">
        <x:f>""</x:f>
        <x:v/>
      </x:c>
      <x:c r="AB1542" t="str">
        <x:f>""</x:f>
        <x:v/>
      </x:c>
      <x:c r="AC1542" t="str">
        <x:f>""</x:f>
        <x:v/>
      </x:c>
      <x:c r="AD1542" t="str">
        <x:f>""</x:f>
        <x:v/>
      </x:c>
      <x:c r="AE1542" t="str">
        <x:f>""</x:f>
        <x:v/>
      </x:c>
      <x:c r="AF1542" t="str">
        <x:f>""</x:f>
        <x:v/>
      </x:c>
      <x:c r="AG1542" t="str">
        <x:f>""</x:f>
        <x:v/>
      </x:c>
    </x:row>
    <x:row r="1543" spans="2:33" x14ac:dyDescent="0.25">
      <x:c r="B1543" t="str">
        <x:f>"QCLR US Equity"</x:f>
        <x:v>QCLR US Equity</x:v>
      </x:c>
      <x:c r="C1543" t="str">
        <x:f t="shared" si="68"/>
        <x:v>FD447</x:v>
      </x:c>
      <x:c r="D1543" t="str">
        <x:f t="shared" si="69"/>
        <x:v>FUND_FLOW</x:v>
      </x:c>
      <x:c r="E1543" t="str">
        <x:f t="shared" si="70"/>
        <x:v>Dynamic</x:v>
      </x:c>
      <x:c r="F1543">
        <x:f ca="1">_xll.BDH($B$1543,$C$1543,$B$1010,$B$1011,CONCATENATE("Per=",$B$1008),"Dts=H","Dir=H",CONCATENATE("Points=",$B$1009),"Sort=R","Days=A","Fill=B",CONCATENATE("FX=", $B$1007),"cols=14;rows=1")</x:f>
        <x:v>-0.23949999999999999</x:v>
      </x:c>
      <x:c r="G1543">
        <x:v>0</x:v>
      </x:c>
      <x:c r="H1543">
        <x:v>0</x:v>
      </x:c>
      <x:c r="I1543">
        <x:v>-0.4924</x:v>
      </x:c>
      <x:c r="J1543">
        <x:v>0</x:v>
      </x:c>
      <x:c r="K1543">
        <x:v>0</x:v>
      </x:c>
      <x:c r="L1543">
        <x:v>0</x:v>
      </x:c>
      <x:c r="M1543">
        <x:v>-0.44819999999999999</x:v>
      </x:c>
      <x:c r="N1543">
        <x:v>0</x:v>
      </x:c>
      <x:c r="O1543">
        <x:v>0</x:v>
      </x:c>
      <x:c r="P1543">
        <x:v>0</x:v>
      </x:c>
      <x:c r="Q1543">
        <x:v>0</x:v>
      </x:c>
      <x:c r="R1543">
        <x:v>-0.87480000000000002</x:v>
      </x:c>
      <x:c r="S1543">
        <x:v>0</x:v>
      </x:c>
      <x:c r="T1543" t="str">
        <x:f>""</x:f>
        <x:v/>
      </x:c>
      <x:c r="U1543" t="str">
        <x:f>""</x:f>
        <x:v/>
      </x:c>
      <x:c r="V1543" t="str">
        <x:f>""</x:f>
        <x:v/>
      </x:c>
      <x:c r="W1543" t="str">
        <x:f>""</x:f>
        <x:v/>
      </x:c>
      <x:c r="X1543" t="str">
        <x:f>""</x:f>
        <x:v/>
      </x:c>
      <x:c r="Y1543" t="str">
        <x:f>""</x:f>
        <x:v/>
      </x:c>
      <x:c r="Z1543" t="str">
        <x:f>""</x:f>
        <x:v/>
      </x:c>
      <x:c r="AA1543" t="str">
        <x:f>""</x:f>
        <x:v/>
      </x:c>
      <x:c r="AB1543" t="str">
        <x:f>""</x:f>
        <x:v/>
      </x:c>
      <x:c r="AC1543" t="str">
        <x:f>""</x:f>
        <x:v/>
      </x:c>
      <x:c r="AD1543" t="str">
        <x:f>""</x:f>
        <x:v/>
      </x:c>
      <x:c r="AE1543" t="str">
        <x:f>""</x:f>
        <x:v/>
      </x:c>
      <x:c r="AF1543" t="str">
        <x:f>""</x:f>
        <x:v/>
      </x:c>
      <x:c r="AG1543" t="str">
        <x:f>""</x:f>
        <x:v/>
      </x:c>
    </x:row>
    <x:row r="1544" spans="2:33" x14ac:dyDescent="0.25">
      <x:c r="B1544" t="str">
        <x:f>"FNGS US Equity"</x:f>
        <x:v>FNGS US Equity</x:v>
      </x:c>
      <x:c r="C1544" t="str">
        <x:f t="shared" si="68"/>
        <x:v>FD447</x:v>
      </x:c>
      <x:c r="D1544" t="str">
        <x:f t="shared" si="69"/>
        <x:v>FUND_FLOW</x:v>
      </x:c>
      <x:c r="E1544" t="str">
        <x:f t="shared" si="70"/>
        <x:v>Dynamic</x:v>
      </x:c>
      <x:c r="F1544">
        <x:f ca="1">_xll.BDH($B$1544,$C$1544,$B$1010,$B$1011,CONCATENATE("Per=",$B$1008),"Dts=H","Dir=H",CONCATENATE("Points=",$B$1009),"Sort=R","Days=A","Fill=B",CONCATENATE("FX=", $B$1007),"cols=14;rows=1")</x:f>
        <x:v>0</x:v>
      </x:c>
      <x:c r="G1544">
        <x:v>0</x:v>
      </x:c>
      <x:c r="H1544">
        <x:v>0</x:v>
      </x:c>
      <x:c r="I1544">
        <x:v>0</x:v>
      </x:c>
      <x:c r="J1544">
        <x:v>52.668999999999997</x:v>
      </x:c>
      <x:c r="K1544">
        <x:v>0</x:v>
      </x:c>
      <x:c r="L1544">
        <x:v>0</x:v>
      </x:c>
      <x:c r="M1544">
        <x:v>0</x:v>
      </x:c>
      <x:c r="N1544">
        <x:v>0</x:v>
      </x:c>
      <x:c r="O1544">
        <x:v>0</x:v>
      </x:c>
      <x:c r="P1544">
        <x:v>0</x:v>
      </x:c>
      <x:c r="Q1544">
        <x:v>0</x:v>
      </x:c>
      <x:c r="R1544">
        <x:v>0</x:v>
      </x:c>
      <x:c r="S1544">
        <x:v>0</x:v>
      </x:c>
      <x:c r="T1544" t="str">
        <x:f>""</x:f>
        <x:v/>
      </x:c>
      <x:c r="U1544" t="str">
        <x:f>""</x:f>
        <x:v/>
      </x:c>
      <x:c r="V1544" t="str">
        <x:f>""</x:f>
        <x:v/>
      </x:c>
      <x:c r="W1544" t="str">
        <x:f>""</x:f>
        <x:v/>
      </x:c>
      <x:c r="X1544" t="str">
        <x:f>""</x:f>
        <x:v/>
      </x:c>
      <x:c r="Y1544" t="str">
        <x:f>""</x:f>
        <x:v/>
      </x:c>
      <x:c r="Z1544" t="str">
        <x:f>""</x:f>
        <x:v/>
      </x:c>
      <x:c r="AA1544" t="str">
        <x:f>""</x:f>
        <x:v/>
      </x:c>
      <x:c r="AB1544" t="str">
        <x:f>""</x:f>
        <x:v/>
      </x:c>
      <x:c r="AC1544" t="str">
        <x:f>""</x:f>
        <x:v/>
      </x:c>
      <x:c r="AD1544" t="str">
        <x:f>""</x:f>
        <x:v/>
      </x:c>
      <x:c r="AE1544" t="str">
        <x:f>""</x:f>
        <x:v/>
      </x:c>
      <x:c r="AF1544" t="str">
        <x:f>""</x:f>
        <x:v/>
      </x:c>
      <x:c r="AG1544" t="str">
        <x:f>""</x:f>
        <x:v/>
      </x:c>
    </x:row>
    <x:row r="1545" spans="2:33" x14ac:dyDescent="0.25">
      <x:c r="B1545" t="str">
        <x:f>"QRMI US Equity"</x:f>
        <x:v>QRMI US Equity</x:v>
      </x:c>
      <x:c r="C1545" t="str">
        <x:f t="shared" si="68"/>
        <x:v>FD447</x:v>
      </x:c>
      <x:c r="D1545" t="str">
        <x:f t="shared" si="69"/>
        <x:v>FUND_FLOW</x:v>
      </x:c>
      <x:c r="E1545" t="str">
        <x:f t="shared" si="70"/>
        <x:v>Dynamic</x:v>
      </x:c>
      <x:c r="F1545">
        <x:f ca="1">_xll.BDH($B$1545,$C$1545,$B$1010,$B$1011,CONCATENATE("Per=",$B$1008),"Dts=H","Dir=H",CONCATENATE("Points=",$B$1009),"Sort=R","Days=A","Fill=B",CONCATENATE("FX=", $B$1007),"cols=14;rows=1")</x:f>
        <x:v>1.2052</x:v>
      </x:c>
      <x:c r="G1545">
        <x:v>0</x:v>
      </x:c>
      <x:c r="H1545">
        <x:v>0.71060000000000001</x:v>
      </x:c>
      <x:c r="I1545">
        <x:v>0.54910000000000003</x:v>
      </x:c>
      <x:c r="J1545">
        <x:v>0.72540000000000004</x:v>
      </x:c>
      <x:c r="K1545">
        <x:v>0.36230000000000001</x:v>
      </x:c>
      <x:c r="L1545">
        <x:v>0.3609</x:v>
      </x:c>
      <x:c r="M1545">
        <x:v>0</x:v>
      </x:c>
      <x:c r="N1545">
        <x:v>0</x:v>
      </x:c>
      <x:c r="O1545">
        <x:v>-0.1729</x:v>
      </x:c>
      <x:c r="P1545">
        <x:v>-1.0575000000000001</x:v>
      </x:c>
      <x:c r="Q1545">
        <x:v>-0.5373</x:v>
      </x:c>
      <x:c r="R1545">
        <x:v>1.46</x:v>
      </x:c>
      <x:c r="S1545">
        <x:v>0.18779999999999999</x:v>
      </x:c>
      <x:c r="T1545" t="str">
        <x:f>""</x:f>
        <x:v/>
      </x:c>
      <x:c r="U1545" t="str">
        <x:f>""</x:f>
        <x:v/>
      </x:c>
      <x:c r="V1545" t="str">
        <x:f>""</x:f>
        <x:v/>
      </x:c>
      <x:c r="W1545" t="str">
        <x:f>""</x:f>
        <x:v/>
      </x:c>
      <x:c r="X1545" t="str">
        <x:f>""</x:f>
        <x:v/>
      </x:c>
      <x:c r="Y1545" t="str">
        <x:f>""</x:f>
        <x:v/>
      </x:c>
      <x:c r="Z1545" t="str">
        <x:f>""</x:f>
        <x:v/>
      </x:c>
      <x:c r="AA1545" t="str">
        <x:f>""</x:f>
        <x:v/>
      </x:c>
      <x:c r="AB1545" t="str">
        <x:f>""</x:f>
        <x:v/>
      </x:c>
      <x:c r="AC1545" t="str">
        <x:f>""</x:f>
        <x:v/>
      </x:c>
      <x:c r="AD1545" t="str">
        <x:f>""</x:f>
        <x:v/>
      </x:c>
      <x:c r="AE1545" t="str">
        <x:f>""</x:f>
        <x:v/>
      </x:c>
      <x:c r="AF1545" t="str">
        <x:f>""</x:f>
        <x:v/>
      </x:c>
      <x:c r="AG1545" t="str">
        <x:f>""</x:f>
        <x:v/>
      </x:c>
    </x:row>
    <x:row r="1546" spans="2:33" x14ac:dyDescent="0.25">
      <x:c r="B1546" t="str">
        <x:f>"BULD US Equity"</x:f>
        <x:v>BULD US Equity</x:v>
      </x:c>
      <x:c r="C1546" t="str">
        <x:f t="shared" si="68"/>
        <x:v>FD447</x:v>
      </x:c>
      <x:c r="D1546" t="str">
        <x:f t="shared" si="69"/>
        <x:v>FUND_FLOW</x:v>
      </x:c>
      <x:c r="E1546" t="str">
        <x:f t="shared" si="70"/>
        <x:v>Dynamic</x:v>
      </x:c>
      <x:c r="F1546">
        <x:f ca="1">_xll.BDH($B$1546,$C$1546,$B$1010,$B$1011,CONCATENATE("Per=",$B$1008),"Dts=H","Dir=H",CONCATENATE("Points=",$B$1009),"Sort=R","Days=A","Fill=B",CONCATENATE("FX=", $B$1007),"cols=14;rows=1")</x:f>
        <x:v>0</x:v>
      </x:c>
      <x:c r="G1546">
        <x:v>0</x:v>
      </x:c>
      <x:c r="H1546">
        <x:v>0</x:v>
      </x:c>
      <x:c r="I1546">
        <x:v>0</x:v>
      </x:c>
      <x:c r="J1546">
        <x:v>0</x:v>
      </x:c>
      <x:c r="K1546">
        <x:v>0</x:v>
      </x:c>
      <x:c r="L1546">
        <x:v>0</x:v>
      </x:c>
      <x:c r="M1546">
        <x:v>0</x:v>
      </x:c>
      <x:c r="N1546">
        <x:v>0</x:v>
      </x:c>
      <x:c r="O1546">
        <x:v>0</x:v>
      </x:c>
      <x:c r="P1546">
        <x:v>0</x:v>
      </x:c>
      <x:c r="Q1546">
        <x:v>0</x:v>
      </x:c>
      <x:c r="R1546">
        <x:v>0</x:v>
      </x:c>
      <x:c r="S1546">
        <x:v>0.35849999999999999</x:v>
      </x:c>
      <x:c r="T1546" t="str">
        <x:f>""</x:f>
        <x:v/>
      </x:c>
      <x:c r="U1546" t="str">
        <x:f>""</x:f>
        <x:v/>
      </x:c>
      <x:c r="V1546" t="str">
        <x:f>""</x:f>
        <x:v/>
      </x:c>
      <x:c r="W1546" t="str">
        <x:f>""</x:f>
        <x:v/>
      </x:c>
      <x:c r="X1546" t="str">
        <x:f>""</x:f>
        <x:v/>
      </x:c>
      <x:c r="Y1546" t="str">
        <x:f>""</x:f>
        <x:v/>
      </x:c>
      <x:c r="Z1546" t="str">
        <x:f>""</x:f>
        <x:v/>
      </x:c>
      <x:c r="AA1546" t="str">
        <x:f>""</x:f>
        <x:v/>
      </x:c>
      <x:c r="AB1546" t="str">
        <x:f>""</x:f>
        <x:v/>
      </x:c>
      <x:c r="AC1546" t="str">
        <x:f>""</x:f>
        <x:v/>
      </x:c>
      <x:c r="AD1546" t="str">
        <x:f>""</x:f>
        <x:v/>
      </x:c>
      <x:c r="AE1546" t="str">
        <x:f>""</x:f>
        <x:v/>
      </x:c>
      <x:c r="AF1546" t="str">
        <x:f>""</x:f>
        <x:v/>
      </x:c>
      <x:c r="AG1546" t="str">
        <x:f>""</x:f>
        <x:v/>
      </x:c>
    </x:row>
    <x:row r="1547" spans="2:33" x14ac:dyDescent="0.25">
      <x:c r="B1547" t="str">
        <x:f>"BWEB US Equity"</x:f>
        <x:v>BWEB US Equity</x:v>
      </x:c>
      <x:c r="C1547" t="str">
        <x:f t="shared" si="68"/>
        <x:v>FD447</x:v>
      </x:c>
      <x:c r="D1547" t="str">
        <x:f t="shared" si="69"/>
        <x:v>FUND_FLOW</x:v>
      </x:c>
      <x:c r="E1547" t="str">
        <x:f t="shared" si="70"/>
        <x:v>Dynamic</x:v>
      </x:c>
      <x:c r="F1547">
        <x:f ca="1">_xll.BDH($B$1547,$C$1547,$B$1010,$B$1011,CONCATENATE("Per=",$B$1008),"Dts=H","Dir=H",CONCATENATE("Points=",$B$1009),"Sort=R","Days=A","Fill=B",CONCATENATE("FX=", $B$1007),"cols=14;rows=1")</x:f>
        <x:v>0</x:v>
      </x:c>
      <x:c r="G1547">
        <x:v>0</x:v>
      </x:c>
      <x:c r="H1547">
        <x:v>0</x:v>
      </x:c>
      <x:c r="I1547">
        <x:v>0</x:v>
      </x:c>
      <x:c r="J1547">
        <x:v>-4.8999999999999998E-3</x:v>
      </x:c>
      <x:c r="K1547">
        <x:v>0</x:v>
      </x:c>
      <x:c r="L1547">
        <x:v>0</x:v>
      </x:c>
      <x:c r="M1547">
        <x:v>0</x:v>
      </x:c>
      <x:c r="N1547">
        <x:v>-1.2310000000000001</x:v>
      </x:c>
      <x:c r="O1547">
        <x:v>0</x:v>
      </x:c>
      <x:c r="P1547">
        <x:v>-6.1000000000000004E-3</x:v>
      </x:c>
      <x:c r="Q1547">
        <x:v>0</x:v>
      </x:c>
      <x:c r="R1547">
        <x:v>0</x:v>
      </x:c>
      <x:c r="T1547" t="str">
        <x:f>""</x:f>
        <x:v/>
      </x:c>
      <x:c r="U1547" t="str">
        <x:f>""</x:f>
        <x:v/>
      </x:c>
      <x:c r="V1547" t="str">
        <x:f>""</x:f>
        <x:v/>
      </x:c>
      <x:c r="W1547" t="str">
        <x:f>""</x:f>
        <x:v/>
      </x:c>
      <x:c r="X1547" t="str">
        <x:f>""</x:f>
        <x:v/>
      </x:c>
      <x:c r="Y1547" t="str">
        <x:f>""</x:f>
        <x:v/>
      </x:c>
      <x:c r="Z1547" t="str">
        <x:f>""</x:f>
        <x:v/>
      </x:c>
      <x:c r="AA1547" t="str">
        <x:f>""</x:f>
        <x:v/>
      </x:c>
      <x:c r="AB1547" t="str">
        <x:f>""</x:f>
        <x:v/>
      </x:c>
      <x:c r="AC1547" t="str">
        <x:f>""</x:f>
        <x:v/>
      </x:c>
      <x:c r="AD1547" t="str">
        <x:f>""</x:f>
        <x:v/>
      </x:c>
      <x:c r="AE1547" t="str">
        <x:f>""</x:f>
        <x:v/>
      </x:c>
      <x:c r="AF1547" t="str">
        <x:f>""</x:f>
        <x:v/>
      </x:c>
      <x:c r="AG1547" t="str">
        <x:f>""</x:f>
        <x:v/>
      </x:c>
    </x:row>
    <x:row r="1548" spans="2:33" x14ac:dyDescent="0.25">
      <x:c r="B1548" t="str">
        <x:f>"INQQ US Equity"</x:f>
        <x:v>INQQ US Equity</x:v>
      </x:c>
      <x:c r="C1548" t="str">
        <x:f t="shared" si="68"/>
        <x:v>FD447</x:v>
      </x:c>
      <x:c r="D1548" t="str">
        <x:f t="shared" si="69"/>
        <x:v>FUND_FLOW</x:v>
      </x:c>
      <x:c r="E1548" t="str">
        <x:f t="shared" si="70"/>
        <x:v>Dynamic</x:v>
      </x:c>
      <x:c r="F1548">
        <x:f ca="1">_xll.BDH($B$1548,$C$1548,$B$1010,$B$1011,CONCATENATE("Per=",$B$1008),"Dts=H","Dir=H",CONCATENATE("Points=",$B$1009),"Sort=R","Days=A","Fill=B",CONCATENATE("FX=", $B$1007),"cols=14;rows=1")</x:f>
        <x:v>0</x:v>
      </x:c>
      <x:c r="G1548">
        <x:v>1.3866000000000001</x:v>
      </x:c>
      <x:c r="H1548">
        <x:v>1.6134999999999999</x:v>
      </x:c>
      <x:c r="I1548">
        <x:v>1.327</x:v>
      </x:c>
      <x:c r="J1548">
        <x:v>2.6389999999999998</x:v>
      </x:c>
      <x:c r="K1548">
        <x:v>0.30809999999999998</x:v>
      </x:c>
      <x:c r="L1548">
        <x:v>0.20100000000000001</x:v>
      </x:c>
      <x:c r="M1548">
        <x:v>0</x:v>
      </x:c>
      <x:c r="N1548">
        <x:v>0.20699999999999999</x:v>
      </x:c>
      <x:c r="O1548">
        <x:v>0</x:v>
      </x:c>
      <x:c r="P1548">
        <x:v>0.55620000000000003</x:v>
      </x:c>
      <x:c r="Q1548">
        <x:v>0</x:v>
      </x:c>
      <x:c r="R1548">
        <x:v>0</x:v>
      </x:c>
      <x:c r="S1548">
        <x:v>0</x:v>
      </x:c>
      <x:c r="T1548" t="str">
        <x:f>""</x:f>
        <x:v/>
      </x:c>
      <x:c r="U1548" t="str">
        <x:f>""</x:f>
        <x:v/>
      </x:c>
      <x:c r="V1548" t="str">
        <x:f>""</x:f>
        <x:v/>
      </x:c>
      <x:c r="W1548" t="str">
        <x:f>""</x:f>
        <x:v/>
      </x:c>
      <x:c r="X1548" t="str">
        <x:f>""</x:f>
        <x:v/>
      </x:c>
      <x:c r="Y1548" t="str">
        <x:f>""</x:f>
        <x:v/>
      </x:c>
      <x:c r="Z1548" t="str">
        <x:f>""</x:f>
        <x:v/>
      </x:c>
      <x:c r="AA1548" t="str">
        <x:f>""</x:f>
        <x:v/>
      </x:c>
      <x:c r="AB1548" t="str">
        <x:f>""</x:f>
        <x:v/>
      </x:c>
      <x:c r="AC1548" t="str">
        <x:f>""</x:f>
        <x:v/>
      </x:c>
      <x:c r="AD1548" t="str">
        <x:f>""</x:f>
        <x:v/>
      </x:c>
      <x:c r="AE1548" t="str">
        <x:f>""</x:f>
        <x:v/>
      </x:c>
      <x:c r="AF1548" t="str">
        <x:f>""</x:f>
        <x:v/>
      </x:c>
      <x:c r="AG1548" t="str">
        <x:f>""</x:f>
        <x:v/>
      </x:c>
    </x:row>
    <x:row r="1549" spans="2:33" x14ac:dyDescent="0.25">
      <x:c r="B1549" t="str">
        <x:f>"SWEB US Equity"</x:f>
        <x:v>SWEB US Equity</x:v>
      </x:c>
      <x:c r="C1549" t="str">
        <x:f t="shared" si="68"/>
        <x:v>FD447</x:v>
      </x:c>
      <x:c r="D1549" t="str">
        <x:f t="shared" si="69"/>
        <x:v>FUND_FLOW</x:v>
      </x:c>
      <x:c r="E1549" t="str">
        <x:f t="shared" si="70"/>
        <x:v>Dynamic</x:v>
      </x:c>
      <x:c r="F1549" t="str">
        <x:f ca="1">_xll.BDH($B$1549,$C$1549,$B$1010,$B$1011,CONCATENATE("Per=",$B$1008),"Dts=H","Dir=H",CONCATENATE("Points=",$B$1009),"Sort=R","Days=A","Fill=B",CONCATENATE("FX=", $B$1007),"cols=14;rows=1")</x:f>
        <x:v/>
      </x:c>
      <x:c r="J1549">
        <x:v>0</x:v>
      </x:c>
      <x:c r="K1549">
        <x:v>0.31030000000000002</x:v>
      </x:c>
      <x:c r="L1549">
        <x:v>0</x:v>
      </x:c>
      <x:c r="M1549">
        <x:v>0</x:v>
      </x:c>
      <x:c r="N1549">
        <x:v>9.3100000000000002E-2</x:v>
      </x:c>
      <x:c r="O1549">
        <x:v>-0.76629999999999998</x:v>
      </x:c>
      <x:c r="P1549">
        <x:v>0</x:v>
      </x:c>
      <x:c r="Q1549">
        <x:v>0</x:v>
      </x:c>
      <x:c r="R1549">
        <x:v>0</x:v>
      </x:c>
      <x:c r="S1549">
        <x:v>0</x:v>
      </x:c>
      <x:c r="T1549" t="str">
        <x:f>""</x:f>
        <x:v/>
      </x:c>
      <x:c r="U1549" t="str">
        <x:f>""</x:f>
        <x:v/>
      </x:c>
      <x:c r="V1549" t="str">
        <x:f>""</x:f>
        <x:v/>
      </x:c>
      <x:c r="W1549" t="str">
        <x:f>""</x:f>
        <x:v/>
      </x:c>
      <x:c r="X1549" t="str">
        <x:f>""</x:f>
        <x:v/>
      </x:c>
      <x:c r="Y1549" t="str">
        <x:f>""</x:f>
        <x:v/>
      </x:c>
      <x:c r="Z1549" t="str">
        <x:f>""</x:f>
        <x:v/>
      </x:c>
      <x:c r="AA1549" t="str">
        <x:f>""</x:f>
        <x:v/>
      </x:c>
      <x:c r="AB1549" t="str">
        <x:f>""</x:f>
        <x:v/>
      </x:c>
      <x:c r="AC1549" t="str">
        <x:f>""</x:f>
        <x:v/>
      </x:c>
      <x:c r="AD1549" t="str">
        <x:f>""</x:f>
        <x:v/>
      </x:c>
      <x:c r="AE1549" t="str">
        <x:f>""</x:f>
        <x:v/>
      </x:c>
      <x:c r="AF1549" t="str">
        <x:f>""</x:f>
        <x:v/>
      </x:c>
      <x:c r="AG1549" t="str">
        <x:f>""</x:f>
        <x:v/>
      </x:c>
    </x:row>
    <x:row r="1550" spans="2:33" x14ac:dyDescent="0.25">
      <x:c r="B1550" t="str">
        <x:f>"TWEB US Equity"</x:f>
        <x:v>TWEB US Equity</x:v>
      </x:c>
      <x:c r="C1550" t="str">
        <x:f t="shared" si="68"/>
        <x:v>FD447</x:v>
      </x:c>
      <x:c r="D1550" t="str">
        <x:f t="shared" si="69"/>
        <x:v>FUND_FLOW</x:v>
      </x:c>
      <x:c r="E1550" t="str">
        <x:f t="shared" si="70"/>
        <x:v>Dynamic</x:v>
      </x:c>
      <x:c r="F1550">
        <x:f ca="1">_xll.BDH($B$1550,$C$1550,$B$1010,$B$1011,CONCATENATE("Per=",$B$1008),"Dts=H","Dir=H",CONCATENATE("Points=",$B$1009),"Sort=R","Days=A","Fill=B",CONCATENATE("FX=", $B$1007),"cols=14;rows=1")</x:f>
        <x:v>0</x:v>
      </x:c>
      <x:c r="G1550">
        <x:v>0.36449999999999999</x:v>
      </x:c>
      <x:c r="H1550">
        <x:v>0</x:v>
      </x:c>
      <x:c r="I1550">
        <x:v>-1.12E-2</x:v>
      </x:c>
      <x:c r="J1550">
        <x:v>0</x:v>
      </x:c>
      <x:c r="K1550">
        <x:v>0</x:v>
      </x:c>
      <x:c r="L1550">
        <x:v>0.40129999999999999</x:v>
      </x:c>
      <x:c r="M1550">
        <x:v>0</x:v>
      </x:c>
      <x:c r="N1550">
        <x:v>0</x:v>
      </x:c>
      <x:c r="O1550">
        <x:v>0</x:v>
      </x:c>
      <x:c r="P1550">
        <x:v>0</x:v>
      </x:c>
      <x:c r="Q1550">
        <x:v>0</x:v>
      </x:c>
      <x:c r="R1550">
        <x:v>-6.0218999999999996</x:v>
      </x:c>
      <x:c r="S1550">
        <x:v>6.2983000000000002</x:v>
      </x:c>
      <x:c r="T1550" t="str">
        <x:f>""</x:f>
        <x:v/>
      </x:c>
      <x:c r="U1550" t="str">
        <x:f>""</x:f>
        <x:v/>
      </x:c>
      <x:c r="V1550" t="str">
        <x:f>""</x:f>
        <x:v/>
      </x:c>
      <x:c r="W1550" t="str">
        <x:f>""</x:f>
        <x:v/>
      </x:c>
      <x:c r="X1550" t="str">
        <x:f>""</x:f>
        <x:v/>
      </x:c>
      <x:c r="Y1550" t="str">
        <x:f>""</x:f>
        <x:v/>
      </x:c>
      <x:c r="Z1550" t="str">
        <x:f>""</x:f>
        <x:v/>
      </x:c>
      <x:c r="AA1550" t="str">
        <x:f>""</x:f>
        <x:v/>
      </x:c>
      <x:c r="AB1550" t="str">
        <x:f>""</x:f>
        <x:v/>
      </x:c>
      <x:c r="AC1550" t="str">
        <x:f>""</x:f>
        <x:v/>
      </x:c>
      <x:c r="AD1550" t="str">
        <x:f>""</x:f>
        <x:v/>
      </x:c>
      <x:c r="AE1550" t="str">
        <x:f>""</x:f>
        <x:v/>
      </x:c>
      <x:c r="AF1550" t="str">
        <x:f>""</x:f>
        <x:v/>
      </x:c>
      <x:c r="AG1550" t="str">
        <x:f>""</x:f>
        <x:v/>
      </x:c>
    </x:row>
    <x:row r="1551" spans="2:33" x14ac:dyDescent="0.25">
      <x:c r="B1551" t="str">
        <x:f>"TYLG US Equity"</x:f>
        <x:v>TYLG US Equity</x:v>
      </x:c>
      <x:c r="C1551" t="str">
        <x:f t="shared" si="68"/>
        <x:v>FD447</x:v>
      </x:c>
      <x:c r="D1551" t="str">
        <x:f t="shared" si="69"/>
        <x:v>FUND_FLOW</x:v>
      </x:c>
      <x:c r="E1551" t="str">
        <x:f t="shared" si="70"/>
        <x:v>Dynamic</x:v>
      </x:c>
      <x:c r="F1551">
        <x:f ca="1">_xll.BDH($B$1551,$C$1551,$B$1010,$B$1011,CONCATENATE("Per=",$B$1008),"Dts=H","Dir=H",CONCATENATE("Points=",$B$1009),"Sort=R","Days=A","Fill=B",CONCATENATE("FX=", $B$1007),"cols=14;rows=1")</x:f>
        <x:v>0</x:v>
      </x:c>
      <x:c r="G1551">
        <x:v>0</x:v>
      </x:c>
      <x:c r="H1551">
        <x:v>0</x:v>
      </x:c>
      <x:c r="I1551">
        <x:v>0.30830000000000002</x:v>
      </x:c>
      <x:c r="J1551">
        <x:v>0.29470000000000002</x:v>
      </x:c>
      <x:c r="K1551">
        <x:v>0</x:v>
      </x:c>
      <x:c r="L1551">
        <x:v>0</x:v>
      </x:c>
      <x:c r="M1551">
        <x:v>0</x:v>
      </x:c>
      <x:c r="N1551">
        <x:v>0</x:v>
      </x:c>
      <x:c r="O1551">
        <x:v>0</x:v>
      </x:c>
      <x:c r="P1551">
        <x:v>0</x:v>
      </x:c>
      <x:c r="Q1551">
        <x:v>0</x:v>
      </x:c>
      <x:c r="T1551" t="str">
        <x:f>""</x:f>
        <x:v/>
      </x:c>
      <x:c r="U1551" t="str">
        <x:f>""</x:f>
        <x:v/>
      </x:c>
      <x:c r="V1551" t="str">
        <x:f>""</x:f>
        <x:v/>
      </x:c>
      <x:c r="W1551" t="str">
        <x:f>""</x:f>
        <x:v/>
      </x:c>
      <x:c r="X1551" t="str">
        <x:f>""</x:f>
        <x:v/>
      </x:c>
      <x:c r="Y1551" t="str">
        <x:f>""</x:f>
        <x:v/>
      </x:c>
      <x:c r="Z1551" t="str">
        <x:f>""</x:f>
        <x:v/>
      </x:c>
      <x:c r="AA1551" t="str">
        <x:f>""</x:f>
        <x:v/>
      </x:c>
      <x:c r="AB1551" t="str">
        <x:f>""</x:f>
        <x:v/>
      </x:c>
      <x:c r="AC1551" t="str">
        <x:f>""</x:f>
        <x:v/>
      </x:c>
      <x:c r="AD1551" t="str">
        <x:f>""</x:f>
        <x:v/>
      </x:c>
      <x:c r="AE1551" t="str">
        <x:f>""</x:f>
        <x:v/>
      </x:c>
      <x:c r="AF1551" t="str">
        <x:f>""</x:f>
        <x:v/>
      </x:c>
      <x:c r="AG1551" t="str">
        <x:f>""</x:f>
        <x:v/>
      </x:c>
    </x:row>
    <x:row r="1552" spans="2:33" x14ac:dyDescent="0.25">
      <x:c r="B1552" t="str">
        <x:f>"USD US Equity"</x:f>
        <x:v>USD US Equity</x:v>
      </x:c>
      <x:c r="C1552" t="str">
        <x:f t="shared" si="68"/>
        <x:v>FD447</x:v>
      </x:c>
      <x:c r="D1552" t="str">
        <x:f t="shared" si="69"/>
        <x:v>FUND_FLOW</x:v>
      </x:c>
      <x:c r="E1552" t="str">
        <x:f t="shared" si="70"/>
        <x:v>Dynamic</x:v>
      </x:c>
      <x:c r="F1552">
        <x:f ca="1">_xll.BDH($B$1552,$C$1552,$B$1010,$B$1011,CONCATENATE("Per=",$B$1008),"Dts=H","Dir=H",CONCATENATE("Points=",$B$1009),"Sort=R","Days=A","Fill=B",CONCATENATE("FX=", $B$1007),"cols=14;rows=1")</x:f>
        <x:v>-3.8140000000000001</x:v>
      </x:c>
      <x:c r="G1552">
        <x:v>19.378399999999999</x:v>
      </x:c>
      <x:c r="H1552">
        <x:v>4.7206999999999999</x:v>
      </x:c>
      <x:c r="I1552">
        <x:v>-5.4313000000000002</x:v>
      </x:c>
      <x:c r="J1552">
        <x:v>0.41949999999999998</x:v>
      </x:c>
      <x:c r="K1552">
        <x:v>-6.4802999999999997</x:v>
      </x:c>
      <x:c r="L1552">
        <x:v>-6.2214999999999998</x:v>
      </x:c>
      <x:c r="M1552">
        <x:v>-0.86650000000000005</x:v>
      </x:c>
      <x:c r="N1552">
        <x:v>-1.4651000000000001</x:v>
      </x:c>
      <x:c r="O1552">
        <x:v>1.375</x:v>
      </x:c>
      <x:c r="P1552">
        <x:v>-2.2538</x:v>
      </x:c>
      <x:c r="Q1552">
        <x:v>-5.0839999999999996</x:v>
      </x:c>
      <x:c r="R1552">
        <x:v>1.0324</x:v>
      </x:c>
      <x:c r="S1552">
        <x:v>1.2806</x:v>
      </x:c>
      <x:c r="T1552" t="str">
        <x:f>""</x:f>
        <x:v/>
      </x:c>
      <x:c r="U1552" t="str">
        <x:f>""</x:f>
        <x:v/>
      </x:c>
      <x:c r="V1552" t="str">
        <x:f>""</x:f>
        <x:v/>
      </x:c>
      <x:c r="W1552" t="str">
        <x:f>""</x:f>
        <x:v/>
      </x:c>
      <x:c r="X1552" t="str">
        <x:f>""</x:f>
        <x:v/>
      </x:c>
      <x:c r="Y1552" t="str">
        <x:f>""</x:f>
        <x:v/>
      </x:c>
      <x:c r="Z1552" t="str">
        <x:f>""</x:f>
        <x:v/>
      </x:c>
      <x:c r="AA1552" t="str">
        <x:f>""</x:f>
        <x:v/>
      </x:c>
      <x:c r="AB1552" t="str">
        <x:f>""</x:f>
        <x:v/>
      </x:c>
      <x:c r="AC1552" t="str">
        <x:f>""</x:f>
        <x:v/>
      </x:c>
      <x:c r="AD1552" t="str">
        <x:f>""</x:f>
        <x:v/>
      </x:c>
      <x:c r="AE1552" t="str">
        <x:f>""</x:f>
        <x:v/>
      </x:c>
      <x:c r="AF1552" t="str">
        <x:f>""</x:f>
        <x:v/>
      </x:c>
      <x:c r="AG1552" t="str">
        <x:f>""</x:f>
        <x:v/>
      </x:c>
    </x:row>
    <x:row r="1553" spans="2:33" x14ac:dyDescent="0.25">
      <x:c r="B1553" t="str">
        <x:f>"FTXL US Equity"</x:f>
        <x:v>FTXL US Equity</x:v>
      </x:c>
      <x:c r="C1553" t="str">
        <x:f t="shared" si="68"/>
        <x:v>FD447</x:v>
      </x:c>
      <x:c r="D1553" t="str">
        <x:f t="shared" si="69"/>
        <x:v>FUND_FLOW</x:v>
      </x:c>
      <x:c r="E1553" t="str">
        <x:f t="shared" si="70"/>
        <x:v>Dynamic</x:v>
      </x:c>
      <x:c r="F1553">
        <x:f ca="1">_xll.BDH($B$1553,$C$1553,$B$1010,$B$1011,CONCATENATE("Per=",$B$1008),"Dts=H","Dir=H",CONCATENATE("Points=",$B$1009),"Sort=R","Days=A","Fill=B",CONCATENATE("FX=", $B$1007),"cols=14;rows=1")</x:f>
        <x:v>-67.528800000000004</x:v>
      </x:c>
      <x:c r="G1553">
        <x:v>-34.476799999999997</x:v>
      </x:c>
      <x:c r="H1553">
        <x:v>37.996000000000002</x:v>
      </x:c>
      <x:c r="I1553">
        <x:v>22.100999999999999</x:v>
      </x:c>
      <x:c r="J1553">
        <x:v>34.984000000000002</x:v>
      </x:c>
      <x:c r="K1553">
        <x:v>19.1372</x:v>
      </x:c>
      <x:c r="L1553">
        <x:v>25.702200000000001</x:v>
      </x:c>
      <x:c r="M1553">
        <x:v>840.42610000000002</x:v>
      </x:c>
      <x:c r="N1553">
        <x:v>14.9039</x:v>
      </x:c>
      <x:c r="O1553">
        <x:v>-2.9988000000000001</x:v>
      </x:c>
      <x:c r="P1553">
        <x:v>2.6610999999999998</x:v>
      </x:c>
      <x:c r="Q1553">
        <x:v>2.7681</x:v>
      </x:c>
      <x:c r="R1553">
        <x:v>2.3996</x:v>
      </x:c>
      <x:c r="S1553">
        <x:v>-2.6993</x:v>
      </x:c>
      <x:c r="T1553" t="str">
        <x:f>""</x:f>
        <x:v/>
      </x:c>
      <x:c r="U1553" t="str">
        <x:f>""</x:f>
        <x:v/>
      </x:c>
      <x:c r="V1553" t="str">
        <x:f>""</x:f>
        <x:v/>
      </x:c>
      <x:c r="W1553" t="str">
        <x:f>""</x:f>
        <x:v/>
      </x:c>
      <x:c r="X1553" t="str">
        <x:f>""</x:f>
        <x:v/>
      </x:c>
      <x:c r="Y1553" t="str">
        <x:f>""</x:f>
        <x:v/>
      </x:c>
      <x:c r="Z1553" t="str">
        <x:f>""</x:f>
        <x:v/>
      </x:c>
      <x:c r="AA1553" t="str">
        <x:f>""</x:f>
        <x:v/>
      </x:c>
      <x:c r="AB1553" t="str">
        <x:f>""</x:f>
        <x:v/>
      </x:c>
      <x:c r="AC1553" t="str">
        <x:f>""</x:f>
        <x:v/>
      </x:c>
      <x:c r="AD1553" t="str">
        <x:f>""</x:f>
        <x:v/>
      </x:c>
      <x:c r="AE1553" t="str">
        <x:f>""</x:f>
        <x:v/>
      </x:c>
      <x:c r="AF1553" t="str">
        <x:f>""</x:f>
        <x:v/>
      </x:c>
      <x:c r="AG1553" t="str">
        <x:f>""</x:f>
        <x:v/>
      </x:c>
    </x:row>
    <x:row r="1554" spans="2:33" x14ac:dyDescent="0.25">
      <x:c r="B1554" t="str">
        <x:f>"SOXX US Equity"</x:f>
        <x:v>SOXX US Equity</x:v>
      </x:c>
      <x:c r="C1554" t="str">
        <x:f t="shared" si="68"/>
        <x:v>FD447</x:v>
      </x:c>
      <x:c r="D1554" t="str">
        <x:f t="shared" si="69"/>
        <x:v>FUND_FLOW</x:v>
      </x:c>
      <x:c r="E1554" t="str">
        <x:f t="shared" si="70"/>
        <x:v>Dynamic</x:v>
      </x:c>
      <x:c r="F1554">
        <x:f ca="1">_xll.BDH($B$1554,$C$1554,$B$1010,$B$1011,CONCATENATE("Per=",$B$1008),"Dts=H","Dir=H",CONCATENATE("Points=",$B$1009),"Sort=R","Days=A","Fill=B",CONCATENATE("FX=", $B$1007),"cols=14;rows=1")</x:f>
        <x:v>60.009700000000002</x:v>
      </x:c>
      <x:c r="G1554">
        <x:v>-200.30189999999999</x:v>
      </x:c>
      <x:c r="H1554">
        <x:v>512.78740000000005</x:v>
      </x:c>
      <x:c r="I1554">
        <x:v>-180.25810000000001</x:v>
      </x:c>
      <x:c r="J1554">
        <x:v>120.7702</x:v>
      </x:c>
      <x:c r="K1554">
        <x:v>-173.4068</x:v>
      </x:c>
      <x:c r="L1554">
        <x:v>28.333100000000002</x:v>
      </x:c>
      <x:c r="M1554">
        <x:v>255.71729999999999</x:v>
      </x:c>
      <x:c r="N1554">
        <x:v>-43.566000000000003</x:v>
      </x:c>
      <x:c r="O1554">
        <x:v>63.960700000000003</x:v>
      </x:c>
      <x:c r="P1554">
        <x:v>-13.122299999999999</x:v>
      </x:c>
      <x:c r="Q1554">
        <x:v>-116.9778</x:v>
      </x:c>
      <x:c r="R1554">
        <x:v>-42.034199999999998</x:v>
      </x:c>
      <x:c r="S1554">
        <x:v>100.39360000000001</x:v>
      </x:c>
      <x:c r="T1554" t="str">
        <x:f>""</x:f>
        <x:v/>
      </x:c>
      <x:c r="U1554" t="str">
        <x:f>""</x:f>
        <x:v/>
      </x:c>
      <x:c r="V1554" t="str">
        <x:f>""</x:f>
        <x:v/>
      </x:c>
      <x:c r="W1554" t="str">
        <x:f>""</x:f>
        <x:v/>
      </x:c>
      <x:c r="X1554" t="str">
        <x:f>""</x:f>
        <x:v/>
      </x:c>
      <x:c r="Y1554" t="str">
        <x:f>""</x:f>
        <x:v/>
      </x:c>
      <x:c r="Z1554" t="str">
        <x:f>""</x:f>
        <x:v/>
      </x:c>
      <x:c r="AA1554" t="str">
        <x:f>""</x:f>
        <x:v/>
      </x:c>
      <x:c r="AB1554" t="str">
        <x:f>""</x:f>
        <x:v/>
      </x:c>
      <x:c r="AC1554" t="str">
        <x:f>""</x:f>
        <x:v/>
      </x:c>
      <x:c r="AD1554" t="str">
        <x:f>""</x:f>
        <x:v/>
      </x:c>
      <x:c r="AE1554" t="str">
        <x:f>""</x:f>
        <x:v/>
      </x:c>
      <x:c r="AF1554" t="str">
        <x:f>""</x:f>
        <x:v/>
      </x:c>
      <x:c r="AG1554" t="str">
        <x:f>""</x:f>
        <x:v/>
      </x:c>
    </x:row>
    <x:row r="1555" spans="2:33" x14ac:dyDescent="0.25">
      <x:c r="B1555" t="str">
        <x:f>"SMH US Equity"</x:f>
        <x:v>SMH US Equity</x:v>
      </x:c>
      <x:c r="C1555" t="str">
        <x:f t="shared" si="68"/>
        <x:v>FD447</x:v>
      </x:c>
      <x:c r="D1555" t="str">
        <x:f t="shared" si="69"/>
        <x:v>FUND_FLOW</x:v>
      </x:c>
      <x:c r="E1555" t="str">
        <x:f t="shared" si="70"/>
        <x:v>Dynamic</x:v>
      </x:c>
      <x:c r="F1555">
        <x:f ca="1">_xll.BDH($B$1555,$C$1555,$B$1010,$B$1011,CONCATENATE("Per=",$B$1008),"Dts=H","Dir=H",CONCATENATE("Points=",$B$1009),"Sort=R","Days=A","Fill=B",CONCATENATE("FX=", $B$1007),"cols=14;rows=1")</x:f>
        <x:v>300.8793</x:v>
      </x:c>
      <x:c r="G1555">
        <x:v>-73.989500000000007</x:v>
      </x:c>
      <x:c r="H1555">
        <x:v>-119.10429999999999</x:v>
      </x:c>
      <x:c r="I1555">
        <x:v>889.67229999999995</x:v>
      </x:c>
      <x:c r="J1555">
        <x:v>-488.85309999999998</x:v>
      </x:c>
      <x:c r="K1555">
        <x:v>818.05859999999996</x:v>
      </x:c>
      <x:c r="L1555">
        <x:v>-399.19869999999997</x:v>
      </x:c>
      <x:c r="M1555">
        <x:v>-22.5501</x:v>
      </x:c>
      <x:c r="N1555">
        <x:v>122.39619999999999</x:v>
      </x:c>
      <x:c r="O1555">
        <x:v>-121.2869</x:v>
      </x:c>
      <x:c r="P1555">
        <x:v>-552.9357</x:v>
      </x:c>
      <x:c r="Q1555">
        <x:v>-69.275800000000004</x:v>
      </x:c>
      <x:c r="R1555">
        <x:v>541.73410000000001</x:v>
      </x:c>
      <x:c r="S1555">
        <x:v>13.825799999999999</x:v>
      </x:c>
      <x:c r="T1555" t="str">
        <x:f>""</x:f>
        <x:v/>
      </x:c>
      <x:c r="U1555" t="str">
        <x:f>""</x:f>
        <x:v/>
      </x:c>
      <x:c r="V1555" t="str">
        <x:f>""</x:f>
        <x:v/>
      </x:c>
      <x:c r="W1555" t="str">
        <x:f>""</x:f>
        <x:v/>
      </x:c>
      <x:c r="X1555" t="str">
        <x:f>""</x:f>
        <x:v/>
      </x:c>
      <x:c r="Y1555" t="str">
        <x:f>""</x:f>
        <x:v/>
      </x:c>
      <x:c r="Z1555" t="str">
        <x:f>""</x:f>
        <x:v/>
      </x:c>
      <x:c r="AA1555" t="str">
        <x:f>""</x:f>
        <x:v/>
      </x:c>
      <x:c r="AB1555" t="str">
        <x:f>""</x:f>
        <x:v/>
      </x:c>
      <x:c r="AC1555" t="str">
        <x:f>""</x:f>
        <x:v/>
      </x:c>
      <x:c r="AD1555" t="str">
        <x:f>""</x:f>
        <x:v/>
      </x:c>
      <x:c r="AE1555" t="str">
        <x:f>""</x:f>
        <x:v/>
      </x:c>
      <x:c r="AF1555" t="str">
        <x:f>""</x:f>
        <x:v/>
      </x:c>
      <x:c r="AG1555" t="str">
        <x:f>""</x:f>
        <x:v/>
      </x:c>
    </x:row>
    <x:row r="1556" spans="2:33" x14ac:dyDescent="0.25">
      <x:c r="B1556" t="str">
        <x:f>"SOXL US Equity"</x:f>
        <x:v>SOXL US Equity</x:v>
      </x:c>
      <x:c r="C1556" t="str">
        <x:f t="shared" si="68"/>
        <x:v>FD447</x:v>
      </x:c>
      <x:c r="D1556" t="str">
        <x:f t="shared" si="69"/>
        <x:v>FUND_FLOW</x:v>
      </x:c>
      <x:c r="E1556" t="str">
        <x:f t="shared" si="70"/>
        <x:v>Dynamic</x:v>
      </x:c>
      <x:c r="F1556">
        <x:f ca="1">_xll.BDH($B$1556,$C$1556,$B$1010,$B$1011,CONCATENATE("Per=",$B$1008),"Dts=H","Dir=H",CONCATENATE("Points=",$B$1009),"Sort=R","Days=A","Fill=B",CONCATENATE("FX=", $B$1007),"cols=14;rows=1")</x:f>
        <x:v>516.2681</x:v>
      </x:c>
      <x:c r="G1556">
        <x:v>685.29380000000003</x:v>
      </x:c>
      <x:c r="H1556">
        <x:v>491.50200000000001</x:v>
      </x:c>
      <x:c r="I1556">
        <x:v>-286.21800000000002</x:v>
      </x:c>
      <x:c r="J1556">
        <x:v>-374.02449999999999</x:v>
      </x:c>
      <x:c r="K1556">
        <x:v>-965.45740000000001</x:v>
      </x:c>
      <x:c r="L1556">
        <x:v>616.92089999999996</x:v>
      </x:c>
      <x:c r="M1556">
        <x:v>-390.375</x:v>
      </x:c>
      <x:c r="N1556">
        <x:v>-120.07769999999999</x:v>
      </x:c>
      <x:c r="O1556">
        <x:v>-601.84659999999997</x:v>
      </x:c>
      <x:c r="P1556">
        <x:v>93.059100000000001</x:v>
      </x:c>
      <x:c r="Q1556">
        <x:v>-292.04730000000001</x:v>
      </x:c>
      <x:c r="R1556">
        <x:v>82.352999999999994</x:v>
      </x:c>
      <x:c r="S1556">
        <x:v>973.76239999999996</x:v>
      </x:c>
      <x:c r="T1556" t="str">
        <x:f>""</x:f>
        <x:v/>
      </x:c>
      <x:c r="U1556" t="str">
        <x:f>""</x:f>
        <x:v/>
      </x:c>
      <x:c r="V1556" t="str">
        <x:f>""</x:f>
        <x:v/>
      </x:c>
      <x:c r="W1556" t="str">
        <x:f>""</x:f>
        <x:v/>
      </x:c>
      <x:c r="X1556" t="str">
        <x:f>""</x:f>
        <x:v/>
      </x:c>
      <x:c r="Y1556" t="str">
        <x:f>""</x:f>
        <x:v/>
      </x:c>
      <x:c r="Z1556" t="str">
        <x:f>""</x:f>
        <x:v/>
      </x:c>
      <x:c r="AA1556" t="str">
        <x:f>""</x:f>
        <x:v/>
      </x:c>
      <x:c r="AB1556" t="str">
        <x:f>""</x:f>
        <x:v/>
      </x:c>
      <x:c r="AC1556" t="str">
        <x:f>""</x:f>
        <x:v/>
      </x:c>
      <x:c r="AD1556" t="str">
        <x:f>""</x:f>
        <x:v/>
      </x:c>
      <x:c r="AE1556" t="str">
        <x:f>""</x:f>
        <x:v/>
      </x:c>
      <x:c r="AF1556" t="str">
        <x:f>""</x:f>
        <x:v/>
      </x:c>
      <x:c r="AG1556" t="str">
        <x:f>""</x:f>
        <x:v/>
      </x:c>
    </x:row>
    <x:row r="1557" spans="2:33" x14ac:dyDescent="0.25">
      <x:c r="B1557" t="str">
        <x:f>"XSD US Equity"</x:f>
        <x:v>XSD US Equity</x:v>
      </x:c>
      <x:c r="C1557" t="str">
        <x:f t="shared" si="68"/>
        <x:v>FD447</x:v>
      </x:c>
      <x:c r="D1557" t="str">
        <x:f t="shared" si="69"/>
        <x:v>FUND_FLOW</x:v>
      </x:c>
      <x:c r="E1557" t="str">
        <x:f t="shared" si="70"/>
        <x:v>Dynamic</x:v>
      </x:c>
      <x:c r="F1557">
        <x:f ca="1">_xll.BDH($B$1557,$C$1557,$B$1010,$B$1011,CONCATENATE("Per=",$B$1008),"Dts=H","Dir=H",CONCATENATE("Points=",$B$1009),"Sort=R","Days=A","Fill=B",CONCATENATE("FX=", $B$1007),"cols=14;rows=1")</x:f>
        <x:v>-24.103300000000001</x:v>
      </x:c>
      <x:c r="G1557">
        <x:v>-49.779299999999999</x:v>
      </x:c>
      <x:c r="H1557">
        <x:v>5.7942</x:v>
      </x:c>
      <x:c r="I1557">
        <x:v>22.063500000000001</x:v>
      </x:c>
      <x:c r="J1557">
        <x:v>2.5255000000000001</x:v>
      </x:c>
      <x:c r="K1557">
        <x:v>-87.414699999999996</x:v>
      </x:c>
      <x:c r="L1557">
        <x:v>104.895</x:v>
      </x:c>
      <x:c r="M1557">
        <x:v>104.4482</x:v>
      </x:c>
      <x:c r="N1557">
        <x:v>72.438599999999994</x:v>
      </x:c>
      <x:c r="O1557">
        <x:v>18.807400000000001</x:v>
      </x:c>
      <x:c r="P1557">
        <x:v>18.026</x:v>
      </x:c>
      <x:c r="Q1557">
        <x:v>-0.13350000000000001</x:v>
      </x:c>
      <x:c r="R1557">
        <x:v>-41.1738</x:v>
      </x:c>
      <x:c r="S1557">
        <x:v>4.109</x:v>
      </x:c>
      <x:c r="T1557" t="str">
        <x:f>""</x:f>
        <x:v/>
      </x:c>
      <x:c r="U1557" t="str">
        <x:f>""</x:f>
        <x:v/>
      </x:c>
      <x:c r="V1557" t="str">
        <x:f>""</x:f>
        <x:v/>
      </x:c>
      <x:c r="W1557" t="str">
        <x:f>""</x:f>
        <x:v/>
      </x:c>
      <x:c r="X1557" t="str">
        <x:f>""</x:f>
        <x:v/>
      </x:c>
      <x:c r="Y1557" t="str">
        <x:f>""</x:f>
        <x:v/>
      </x:c>
      <x:c r="Z1557" t="str">
        <x:f>""</x:f>
        <x:v/>
      </x:c>
      <x:c r="AA1557" t="str">
        <x:f>""</x:f>
        <x:v/>
      </x:c>
      <x:c r="AB1557" t="str">
        <x:f>""</x:f>
        <x:v/>
      </x:c>
      <x:c r="AC1557" t="str">
        <x:f>""</x:f>
        <x:v/>
      </x:c>
      <x:c r="AD1557" t="str">
        <x:f>""</x:f>
        <x:v/>
      </x:c>
      <x:c r="AE1557" t="str">
        <x:f>""</x:f>
        <x:v/>
      </x:c>
      <x:c r="AF1557" t="str">
        <x:f>""</x:f>
        <x:v/>
      </x:c>
      <x:c r="AG1557" t="str">
        <x:f>""</x:f>
        <x:v/>
      </x:c>
    </x:row>
    <x:row r="1558" spans="2:33" x14ac:dyDescent="0.25">
      <x:c r="B1558" t="str">
        <x:f>"SSG US Equity"</x:f>
        <x:v>SSG US Equity</x:v>
      </x:c>
      <x:c r="C1558" t="str">
        <x:f t="shared" si="68"/>
        <x:v>FD447</x:v>
      </x:c>
      <x:c r="D1558" t="str">
        <x:f t="shared" si="69"/>
        <x:v>FUND_FLOW</x:v>
      </x:c>
      <x:c r="E1558" t="str">
        <x:f t="shared" si="70"/>
        <x:v>Dynamic</x:v>
      </x:c>
      <x:c r="F1558">
        <x:f ca="1">_xll.BDH($B$1558,$C$1558,$B$1010,$B$1011,CONCATENATE("Per=",$B$1008),"Dts=H","Dir=H",CONCATENATE("Points=",$B$1009),"Sort=R","Days=A","Fill=B",CONCATENATE("FX=", $B$1007),"cols=14;rows=1")</x:f>
        <x:v>-0.56779999999999997</x:v>
      </x:c>
      <x:c r="G1558">
        <x:v>1.4631000000000001</x:v>
      </x:c>
      <x:c r="H1558">
        <x:v>0.69410000000000005</x:v>
      </x:c>
      <x:c r="I1558">
        <x:v>0</x:v>
      </x:c>
      <x:c r="J1558">
        <x:v>1.1294</x:v>
      </x:c>
      <x:c r="K1558">
        <x:v>-0.34620000000000001</x:v>
      </x:c>
      <x:c r="L1558">
        <x:v>3.0785</x:v>
      </x:c>
      <x:c r="M1558">
        <x:v>1.8492</x:v>
      </x:c>
      <x:c r="N1558">
        <x:v>1.2762</x:v>
      </x:c>
      <x:c r="O1558">
        <x:v>-2.6962999999999999</x:v>
      </x:c>
      <x:c r="P1558">
        <x:v>2.8788</x:v>
      </x:c>
      <x:c r="Q1558">
        <x:v>-5.8900000000000001E-2</x:v>
      </x:c>
      <x:c r="R1558">
        <x:v>4.0220000000000002</x:v>
      </x:c>
      <x:c r="S1558">
        <x:v>0.11550000000000001</x:v>
      </x:c>
      <x:c r="T1558" t="str">
        <x:f>""</x:f>
        <x:v/>
      </x:c>
      <x:c r="U1558" t="str">
        <x:f>""</x:f>
        <x:v/>
      </x:c>
      <x:c r="V1558" t="str">
        <x:f>""</x:f>
        <x:v/>
      </x:c>
      <x:c r="W1558" t="str">
        <x:f>""</x:f>
        <x:v/>
      </x:c>
      <x:c r="X1558" t="str">
        <x:f>""</x:f>
        <x:v/>
      </x:c>
      <x:c r="Y1558" t="str">
        <x:f>""</x:f>
        <x:v/>
      </x:c>
      <x:c r="Z1558" t="str">
        <x:f>""</x:f>
        <x:v/>
      </x:c>
      <x:c r="AA1558" t="str">
        <x:f>""</x:f>
        <x:v/>
      </x:c>
      <x:c r="AB1558" t="str">
        <x:f>""</x:f>
        <x:v/>
      </x:c>
      <x:c r="AC1558" t="str">
        <x:f>""</x:f>
        <x:v/>
      </x:c>
      <x:c r="AD1558" t="str">
        <x:f>""</x:f>
        <x:v/>
      </x:c>
      <x:c r="AE1558" t="str">
        <x:f>""</x:f>
        <x:v/>
      </x:c>
      <x:c r="AF1558" t="str">
        <x:f>""</x:f>
        <x:v/>
      </x:c>
      <x:c r="AG1558" t="str">
        <x:f>""</x:f>
        <x:v/>
      </x:c>
    </x:row>
    <x:row r="1559" spans="2:33" x14ac:dyDescent="0.25">
      <x:c r="B1559" t="str">
        <x:f>"SOXS US Equity"</x:f>
        <x:v>SOXS US Equity</x:v>
      </x:c>
      <x:c r="C1559" t="str">
        <x:f t="shared" si="68"/>
        <x:v>FD447</x:v>
      </x:c>
      <x:c r="D1559" t="str">
        <x:f t="shared" si="69"/>
        <x:v>FUND_FLOW</x:v>
      </x:c>
      <x:c r="E1559" t="str">
        <x:f t="shared" si="70"/>
        <x:v>Dynamic</x:v>
      </x:c>
      <x:c r="F1559">
        <x:f ca="1">_xll.BDH($B$1559,$C$1559,$B$1010,$B$1011,CONCATENATE("Per=",$B$1008),"Dts=H","Dir=H",CONCATENATE("Points=",$B$1009),"Sort=R","Days=A","Fill=B",CONCATENATE("FX=", $B$1007),"cols=14;rows=1")</x:f>
        <x:v>-375.8972</x:v>
      </x:c>
      <x:c r="G1559">
        <x:v>-369.03219999999999</x:v>
      </x:c>
      <x:c r="H1559">
        <x:v>-108.0762</x:v>
      </x:c>
      <x:c r="I1559">
        <x:v>88.948899999999995</x:v>
      </x:c>
      <x:c r="J1559">
        <x:v>115.9277</x:v>
      </x:c>
      <x:c r="K1559">
        <x:v>649.17280000000005</x:v>
      </x:c>
      <x:c r="L1559">
        <x:v>-462.57670000000002</x:v>
      </x:c>
      <x:c r="M1559">
        <x:v>-9.3453999999999997</x:v>
      </x:c>
      <x:c r="N1559">
        <x:v>122.3661</x:v>
      </x:c>
      <x:c r="O1559">
        <x:v>1170.4574</x:v>
      </x:c>
      <x:c r="P1559">
        <x:v>-50.8401</x:v>
      </x:c>
      <x:c r="Q1559">
        <x:v>693.03430000000003</x:v>
      </x:c>
      <x:c r="R1559">
        <x:v>-6.9907000000000004</x:v>
      </x:c>
      <x:c r="S1559">
        <x:v>-290.17619999999999</x:v>
      </x:c>
      <x:c r="T1559" t="str">
        <x:f>""</x:f>
        <x:v/>
      </x:c>
      <x:c r="U1559" t="str">
        <x:f>""</x:f>
        <x:v/>
      </x:c>
      <x:c r="V1559" t="str">
        <x:f>""</x:f>
        <x:v/>
      </x:c>
      <x:c r="W1559" t="str">
        <x:f>""</x:f>
        <x:v/>
      </x:c>
      <x:c r="X1559" t="str">
        <x:f>""</x:f>
        <x:v/>
      </x:c>
      <x:c r="Y1559" t="str">
        <x:f>""</x:f>
        <x:v/>
      </x:c>
      <x:c r="Z1559" t="str">
        <x:f>""</x:f>
        <x:v/>
      </x:c>
      <x:c r="AA1559" t="str">
        <x:f>""</x:f>
        <x:v/>
      </x:c>
      <x:c r="AB1559" t="str">
        <x:f>""</x:f>
        <x:v/>
      </x:c>
      <x:c r="AC1559" t="str">
        <x:f>""</x:f>
        <x:v/>
      </x:c>
      <x:c r="AD1559" t="str">
        <x:f>""</x:f>
        <x:v/>
      </x:c>
      <x:c r="AE1559" t="str">
        <x:f>""</x:f>
        <x:v/>
      </x:c>
      <x:c r="AF1559" t="str">
        <x:f>""</x:f>
        <x:v/>
      </x:c>
      <x:c r="AG1559" t="str">
        <x:f>""</x:f>
        <x:v/>
      </x:c>
    </x:row>
    <x:row r="1560" spans="2:33" x14ac:dyDescent="0.25">
      <x:c r="B1560" t="str">
        <x:f>"PSI US Equity"</x:f>
        <x:v>PSI US Equity</x:v>
      </x:c>
      <x:c r="C1560" t="str">
        <x:f t="shared" si="68"/>
        <x:v>FD447</x:v>
      </x:c>
      <x:c r="D1560" t="str">
        <x:f t="shared" si="69"/>
        <x:v>FUND_FLOW</x:v>
      </x:c>
      <x:c r="E1560" t="str">
        <x:f t="shared" si="70"/>
        <x:v>Dynamic</x:v>
      </x:c>
      <x:c r="F1560">
        <x:f ca="1">_xll.BDH($B$1560,$C$1560,$B$1010,$B$1011,CONCATENATE("Per=",$B$1008),"Dts=H","Dir=H",CONCATENATE("Points=",$B$1009),"Sort=R","Days=A","Fill=B",CONCATENATE("FX=", $B$1007),"cols=14;rows=1")</x:f>
        <x:v>-8.8399000000000001</x:v>
      </x:c>
      <x:c r="G1560">
        <x:v>-2.7696999999999998</x:v>
      </x:c>
      <x:c r="H1560">
        <x:v>1.4207000000000001</x:v>
      </x:c>
      <x:c r="I1560">
        <x:v>7.1364999999999998</x:v>
      </x:c>
      <x:c r="J1560">
        <x:v>0.1474</x:v>
      </x:c>
      <x:c r="K1560">
        <x:v>21.618400000000001</x:v>
      </x:c>
      <x:c r="L1560">
        <x:v>4.6707999999999998</x:v>
      </x:c>
      <x:c r="M1560">
        <x:v>-16.3919</x:v>
      </x:c>
      <x:c r="N1560">
        <x:v>19.456900000000001</x:v>
      </x:c>
      <x:c r="O1560">
        <x:v>-13.020099999999999</x:v>
      </x:c>
      <x:c r="P1560">
        <x:v>1.1422000000000001</x:v>
      </x:c>
      <x:c r="Q1560">
        <x:v>-11.5009</x:v>
      </x:c>
      <x:c r="R1560">
        <x:v>-11.510899999999999</x:v>
      </x:c>
      <x:c r="S1560">
        <x:v>-11.553699999999999</x:v>
      </x:c>
      <x:c r="T1560" t="str">
        <x:f>""</x:f>
        <x:v/>
      </x:c>
      <x:c r="U1560" t="str">
        <x:f>""</x:f>
        <x:v/>
      </x:c>
      <x:c r="V1560" t="str">
        <x:f>""</x:f>
        <x:v/>
      </x:c>
      <x:c r="W1560" t="str">
        <x:f>""</x:f>
        <x:v/>
      </x:c>
      <x:c r="X1560" t="str">
        <x:f>""</x:f>
        <x:v/>
      </x:c>
      <x:c r="Y1560" t="str">
        <x:f>""</x:f>
        <x:v/>
      </x:c>
      <x:c r="Z1560" t="str">
        <x:f>""</x:f>
        <x:v/>
      </x:c>
      <x:c r="AA1560" t="str">
        <x:f>""</x:f>
        <x:v/>
      </x:c>
      <x:c r="AB1560" t="str">
        <x:f>""</x:f>
        <x:v/>
      </x:c>
      <x:c r="AC1560" t="str">
        <x:f>""</x:f>
        <x:v/>
      </x:c>
      <x:c r="AD1560" t="str">
        <x:f>""</x:f>
        <x:v/>
      </x:c>
      <x:c r="AE1560" t="str">
        <x:f>""</x:f>
        <x:v/>
      </x:c>
      <x:c r="AF1560" t="str">
        <x:f>""</x:f>
        <x:v/>
      </x:c>
      <x:c r="AG1560" t="str">
        <x:f>""</x:f>
        <x:v/>
      </x:c>
    </x:row>
    <x:row r="1561" spans="2:33" x14ac:dyDescent="0.25">
      <x:c r="B1561" t="str">
        <x:f>"SOXQ US Equity"</x:f>
        <x:v>SOXQ US Equity</x:v>
      </x:c>
      <x:c r="C1561" t="str">
        <x:f t="shared" si="68"/>
        <x:v>FD447</x:v>
      </x:c>
      <x:c r="D1561" t="str">
        <x:f t="shared" si="69"/>
        <x:v>FUND_FLOW</x:v>
      </x:c>
      <x:c r="E1561" t="str">
        <x:f t="shared" si="70"/>
        <x:v>Dynamic</x:v>
      </x:c>
      <x:c r="F1561">
        <x:f ca="1">_xll.BDH($B$1561,$C$1561,$B$1010,$B$1011,CONCATENATE("Per=",$B$1008),"Dts=H","Dir=H",CONCATENATE("Points=",$B$1009),"Sort=R","Days=A","Fill=B",CONCATENATE("FX=", $B$1007),"cols=14;rows=1")</x:f>
        <x:v>6.8776000000000002</x:v>
      </x:c>
      <x:c r="G1561">
        <x:v>2.7869000000000002</x:v>
      </x:c>
      <x:c r="H1561">
        <x:v>9.1854999999999993</x:v>
      </x:c>
      <x:c r="I1561">
        <x:v>7.1200999999999999</x:v>
      </x:c>
      <x:c r="J1561">
        <x:v>-7.9406999999999996</x:v>
      </x:c>
      <x:c r="K1561">
        <x:v>17.2194</x:v>
      </x:c>
      <x:c r="L1561">
        <x:v>2.4815</x:v>
      </x:c>
      <x:c r="M1561">
        <x:v>-3.7631999999999999</x:v>
      </x:c>
      <x:c r="N1561">
        <x:v>0.4738</x:v>
      </x:c>
      <x:c r="O1561">
        <x:v>7.0359999999999996</x:v>
      </x:c>
      <x:c r="P1561">
        <x:v>3.1286999999999998</x:v>
      </x:c>
      <x:c r="Q1561">
        <x:v>10.1624</x:v>
      </x:c>
      <x:c r="R1561">
        <x:v>5.4076000000000004</x:v>
      </x:c>
      <x:c r="S1561">
        <x:v>1.1651</x:v>
      </x:c>
      <x:c r="T1561" t="str">
        <x:f>""</x:f>
        <x:v/>
      </x:c>
      <x:c r="U1561" t="str">
        <x:f>""</x:f>
        <x:v/>
      </x:c>
      <x:c r="V1561" t="str">
        <x:f>""</x:f>
        <x:v/>
      </x:c>
      <x:c r="W1561" t="str">
        <x:f>""</x:f>
        <x:v/>
      </x:c>
      <x:c r="X1561" t="str">
        <x:f>""</x:f>
        <x:v/>
      </x:c>
      <x:c r="Y1561" t="str">
        <x:f>""</x:f>
        <x:v/>
      </x:c>
      <x:c r="Z1561" t="str">
        <x:f>""</x:f>
        <x:v/>
      </x:c>
      <x:c r="AA1561" t="str">
        <x:f>""</x:f>
        <x:v/>
      </x:c>
      <x:c r="AB1561" t="str">
        <x:f>""</x:f>
        <x:v/>
      </x:c>
      <x:c r="AC1561" t="str">
        <x:f>""</x:f>
        <x:v/>
      </x:c>
      <x:c r="AD1561" t="str">
        <x:f>""</x:f>
        <x:v/>
      </x:c>
      <x:c r="AE1561" t="str">
        <x:f>""</x:f>
        <x:v/>
      </x:c>
      <x:c r="AF1561" t="str">
        <x:f>""</x:f>
        <x:v/>
      </x:c>
      <x:c r="AG1561" t="str">
        <x:f>""</x:f>
        <x:v/>
      </x:c>
    </x:row>
    <x:row r="1562" spans="2:33" x14ac:dyDescent="0.25">
      <x:c r="B1562" t="str">
        <x:f>"SHOC US Equity"</x:f>
        <x:v>SHOC US Equity</x:v>
      </x:c>
      <x:c r="C1562" t="str">
        <x:f t="shared" si="68"/>
        <x:v>FD447</x:v>
      </x:c>
      <x:c r="D1562" t="str">
        <x:f t="shared" si="69"/>
        <x:v>FUND_FLOW</x:v>
      </x:c>
      <x:c r="E1562" t="str">
        <x:f t="shared" si="70"/>
        <x:v>Dynamic</x:v>
      </x:c>
      <x:c r="F1562">
        <x:f ca="1">_xll.BDH($B$1562,$C$1562,$B$1010,$B$1011,CONCATENATE("Per=",$B$1008),"Dts=H","Dir=H",CONCATENATE("Points=",$B$1009),"Sort=R","Days=A","Fill=B",CONCATENATE("FX=", $B$1007),"cols=14;rows=1")</x:f>
        <x:v>0.64790000000000003</x:v>
      </x:c>
      <x:c r="G1562">
        <x:v>0.32390000000000002</x:v>
      </x:c>
      <x:c r="H1562">
        <x:v>3.1223999999999998</x:v>
      </x:c>
      <x:c r="I1562">
        <x:v>2.1231</x:v>
      </x:c>
      <x:c r="J1562">
        <x:v>3.0562999999999998</x:v>
      </x:c>
      <x:c r="K1562">
        <x:v>1.2144999999999999</x:v>
      </x:c>
      <x:c r="L1562">
        <x:v>1.7397</x:v>
      </x:c>
      <x:c r="M1562">
        <x:v>2.3188</x:v>
      </x:c>
      <x:c r="N1562">
        <x:v>1.1434</x:v>
      </x:c>
      <x:c r="O1562">
        <x:v>1.6443000000000001</x:v>
      </x:c>
      <x:c r="P1562">
        <x:v>3.8883000000000001</x:v>
      </x:c>
      <x:c r="Q1562">
        <x:v>3.4472</x:v>
      </x:c>
      <x:c r="R1562">
        <x:v>5.8567</x:v>
      </x:c>
      <x:c r="T1562" t="str">
        <x:f>""</x:f>
        <x:v/>
      </x:c>
      <x:c r="U1562" t="str">
        <x:f>""</x:f>
        <x:v/>
      </x:c>
      <x:c r="V1562" t="str">
        <x:f>""</x:f>
        <x:v/>
      </x:c>
      <x:c r="W1562" t="str">
        <x:f>""</x:f>
        <x:v/>
      </x:c>
      <x:c r="X1562" t="str">
        <x:f>""</x:f>
        <x:v/>
      </x:c>
      <x:c r="Y1562" t="str">
        <x:f>""</x:f>
        <x:v/>
      </x:c>
      <x:c r="Z1562" t="str">
        <x:f>""</x:f>
        <x:v/>
      </x:c>
      <x:c r="AA1562" t="str">
        <x:f>""</x:f>
        <x:v/>
      </x:c>
      <x:c r="AB1562" t="str">
        <x:f>""</x:f>
        <x:v/>
      </x:c>
      <x:c r="AC1562" t="str">
        <x:f>""</x:f>
        <x:v/>
      </x:c>
      <x:c r="AD1562" t="str">
        <x:f>""</x:f>
        <x:v/>
      </x:c>
      <x:c r="AE1562" t="str">
        <x:f>""</x:f>
        <x:v/>
      </x:c>
      <x:c r="AF1562" t="str">
        <x:f>""</x:f>
        <x:v/>
      </x:c>
      <x:c r="AG1562" t="str">
        <x:f>""</x:f>
        <x:v/>
      </x:c>
    </x:row>
    <x:row r="1563" spans="2:33" x14ac:dyDescent="0.25">
      <x:c r="B1563" t="str">
        <x:f>"XLU US Equity"</x:f>
        <x:v>XLU US Equity</x:v>
      </x:c>
      <x:c r="C1563" t="str">
        <x:f t="shared" si="68"/>
        <x:v>FD447</x:v>
      </x:c>
      <x:c r="D1563" t="str">
        <x:f t="shared" si="69"/>
        <x:v>FUND_FLOW</x:v>
      </x:c>
      <x:c r="E1563" t="str">
        <x:f t="shared" si="70"/>
        <x:v>Dynamic</x:v>
      </x:c>
      <x:c r="F1563">
        <x:f ca="1">_xll.BDH($B$1563,$C$1563,$B$1010,$B$1011,CONCATENATE("Per=",$B$1008),"Dts=H","Dir=H",CONCATENATE("Points=",$B$1009),"Sort=R","Days=A","Fill=B",CONCATENATE("FX=", $B$1007),"cols=14;rows=1")</x:f>
        <x:v>-84.544499999999999</x:v>
      </x:c>
      <x:c r="G1563">
        <x:v>-372.02589999999998</x:v>
      </x:c>
      <x:c r="H1563">
        <x:v>-47.042400000000001</x:v>
      </x:c>
      <x:c r="I1563">
        <x:v>-221.24209999999999</x:v>
      </x:c>
      <x:c r="J1563">
        <x:v>-488.51850000000002</x:v>
      </x:c>
      <x:c r="K1563">
        <x:v>470.0693</x:v>
      </x:c>
      <x:c r="L1563">
        <x:v>414.21870000000001</x:v>
      </x:c>
      <x:c r="M1563">
        <x:v>586.07839999999999</x:v>
      </x:c>
      <x:c r="N1563">
        <x:v>-662.5498</x:v>
      </x:c>
      <x:c r="O1563">
        <x:v>-85.840199999999996</x:v>
      </x:c>
      <x:c r="P1563">
        <x:v>-586.57489999999996</x:v>
      </x:c>
      <x:c r="Q1563">
        <x:v>538.40710000000001</x:v>
      </x:c>
      <x:c r="R1563">
        <x:v>-972.83969999999999</x:v>
      </x:c>
      <x:c r="S1563">
        <x:v>739.65880000000004</x:v>
      </x:c>
      <x:c r="T1563" t="str">
        <x:f>""</x:f>
        <x:v/>
      </x:c>
      <x:c r="U1563" t="str">
        <x:f>""</x:f>
        <x:v/>
      </x:c>
      <x:c r="V1563" t="str">
        <x:f>""</x:f>
        <x:v/>
      </x:c>
      <x:c r="W1563" t="str">
        <x:f>""</x:f>
        <x:v/>
      </x:c>
      <x:c r="X1563" t="str">
        <x:f>""</x:f>
        <x:v/>
      </x:c>
      <x:c r="Y1563" t="str">
        <x:f>""</x:f>
        <x:v/>
      </x:c>
      <x:c r="Z1563" t="str">
        <x:f>""</x:f>
        <x:v/>
      </x:c>
      <x:c r="AA1563" t="str">
        <x:f>""</x:f>
        <x:v/>
      </x:c>
      <x:c r="AB1563" t="str">
        <x:f>""</x:f>
        <x:v/>
      </x:c>
      <x:c r="AC1563" t="str">
        <x:f>""</x:f>
        <x:v/>
      </x:c>
      <x:c r="AD1563" t="str">
        <x:f>""</x:f>
        <x:v/>
      </x:c>
      <x:c r="AE1563" t="str">
        <x:f>""</x:f>
        <x:v/>
      </x:c>
      <x:c r="AF1563" t="str">
        <x:f>""</x:f>
        <x:v/>
      </x:c>
      <x:c r="AG1563" t="str">
        <x:f>""</x:f>
        <x:v/>
      </x:c>
    </x:row>
    <x:row r="1564" spans="2:33" x14ac:dyDescent="0.25">
      <x:c r="B1564" t="str">
        <x:f>"VPU US Equity"</x:f>
        <x:v>VPU US Equity</x:v>
      </x:c>
      <x:c r="C1564" t="str">
        <x:f t="shared" si="68"/>
        <x:v>FD447</x:v>
      </x:c>
      <x:c r="D1564" t="str">
        <x:f t="shared" si="69"/>
        <x:v>FUND_FLOW</x:v>
      </x:c>
      <x:c r="E1564" t="str">
        <x:f t="shared" si="70"/>
        <x:v>Dynamic</x:v>
      </x:c>
      <x:c r="F1564">
        <x:f ca="1">_xll.BDH($B$1564,$C$1564,$B$1010,$B$1011,CONCATENATE("Per=",$B$1008),"Dts=H","Dir=H",CONCATENATE("Points=",$B$1009),"Sort=R","Days=A","Fill=B",CONCATENATE("FX=", $B$1007),"cols=14;rows=1")</x:f>
        <x:v>-195.66569999999999</x:v>
      </x:c>
      <x:c r="G1564">
        <x:v>-28.375</x:v>
      </x:c>
      <x:c r="H1564">
        <x:v>-68.847200000000001</x:v>
      </x:c>
      <x:c r="I1564">
        <x:v>236.11349999999999</x:v>
      </x:c>
      <x:c r="J1564">
        <x:v>0.29749999999999999</x:v>
      </x:c>
      <x:c r="K1564">
        <x:v>-14.2019</x:v>
      </x:c>
      <x:c r="L1564">
        <x:v>-26.369499999999999</x:v>
      </x:c>
      <x:c r="M1564">
        <x:v>-60.001300000000001</x:v>
      </x:c>
      <x:c r="N1564">
        <x:v>-97.030199999999994</x:v>
      </x:c>
      <x:c r="O1564">
        <x:v>42.284999999999997</x:v>
      </x:c>
      <x:c r="P1564">
        <x:v>46.938200000000002</x:v>
      </x:c>
      <x:c r="Q1564">
        <x:v>-66.511499999999998</x:v>
      </x:c>
      <x:c r="R1564">
        <x:v>-66.3018</x:v>
      </x:c>
      <x:c r="S1564">
        <x:v>56.5548</x:v>
      </x:c>
      <x:c r="T1564" t="str">
        <x:f>""</x:f>
        <x:v/>
      </x:c>
      <x:c r="U1564" t="str">
        <x:f>""</x:f>
        <x:v/>
      </x:c>
      <x:c r="V1564" t="str">
        <x:f>""</x:f>
        <x:v/>
      </x:c>
      <x:c r="W1564" t="str">
        <x:f>""</x:f>
        <x:v/>
      </x:c>
      <x:c r="X1564" t="str">
        <x:f>""</x:f>
        <x:v/>
      </x:c>
      <x:c r="Y1564" t="str">
        <x:f>""</x:f>
        <x:v/>
      </x:c>
      <x:c r="Z1564" t="str">
        <x:f>""</x:f>
        <x:v/>
      </x:c>
      <x:c r="AA1564" t="str">
        <x:f>""</x:f>
        <x:v/>
      </x:c>
      <x:c r="AB1564" t="str">
        <x:f>""</x:f>
        <x:v/>
      </x:c>
      <x:c r="AC1564" t="str">
        <x:f>""</x:f>
        <x:v/>
      </x:c>
      <x:c r="AD1564" t="str">
        <x:f>""</x:f>
        <x:v/>
      </x:c>
      <x:c r="AE1564" t="str">
        <x:f>""</x:f>
        <x:v/>
      </x:c>
      <x:c r="AF1564" t="str">
        <x:f>""</x:f>
        <x:v/>
      </x:c>
      <x:c r="AG1564" t="str">
        <x:f>""</x:f>
        <x:v/>
      </x:c>
    </x:row>
    <x:row r="1565" spans="2:33" x14ac:dyDescent="0.25">
      <x:c r="B1565" t="str">
        <x:f>"FXU US Equity"</x:f>
        <x:v>FXU US Equity</x:v>
      </x:c>
      <x:c r="C1565" t="str">
        <x:f t="shared" si="68"/>
        <x:v>FD447</x:v>
      </x:c>
      <x:c r="D1565" t="str">
        <x:f t="shared" si="69"/>
        <x:v>FUND_FLOW</x:v>
      </x:c>
      <x:c r="E1565" t="str">
        <x:f t="shared" si="70"/>
        <x:v>Dynamic</x:v>
      </x:c>
      <x:c r="F1565">
        <x:f ca="1">_xll.BDH($B$1565,$C$1565,$B$1010,$B$1011,CONCATENATE("Per=",$B$1008),"Dts=H","Dir=H",CONCATENATE("Points=",$B$1009),"Sort=R","Days=A","Fill=B",CONCATENATE("FX=", $B$1007),"cols=14;rows=1")</x:f>
        <x:v>8.4512999999999998</x:v>
      </x:c>
      <x:c r="G1565">
        <x:v>-11.476800000000001</x:v>
      </x:c>
      <x:c r="H1565">
        <x:v>-44.674599999999998</x:v>
      </x:c>
      <x:c r="I1565">
        <x:v>-25.979500000000002</x:v>
      </x:c>
      <x:c r="J1565">
        <x:v>9.8574999999999999</x:v>
      </x:c>
      <x:c r="K1565">
        <x:v>11.0985</x:v>
      </x:c>
      <x:c r="L1565">
        <x:v>-14.778499999999999</x:v>
      </x:c>
      <x:c r="M1565">
        <x:v>-7.899</x:v>
      </x:c>
      <x:c r="N1565">
        <x:v>-30.033000000000001</x:v>
      </x:c>
      <x:c r="O1565">
        <x:v>-1.673</x:v>
      </x:c>
      <x:c r="P1565">
        <x:v>3.3273000000000001</x:v>
      </x:c>
      <x:c r="Q1565">
        <x:v>-78.849100000000007</x:v>
      </x:c>
      <x:c r="R1565">
        <x:v>-8.8102</x:v>
      </x:c>
      <x:c r="S1565">
        <x:v>20.8459</x:v>
      </x:c>
      <x:c r="T1565" t="str">
        <x:f>""</x:f>
        <x:v/>
      </x:c>
      <x:c r="U1565" t="str">
        <x:f>""</x:f>
        <x:v/>
      </x:c>
      <x:c r="V1565" t="str">
        <x:f>""</x:f>
        <x:v/>
      </x:c>
      <x:c r="W1565" t="str">
        <x:f>""</x:f>
        <x:v/>
      </x:c>
      <x:c r="X1565" t="str">
        <x:f>""</x:f>
        <x:v/>
      </x:c>
      <x:c r="Y1565" t="str">
        <x:f>""</x:f>
        <x:v/>
      </x:c>
      <x:c r="Z1565" t="str">
        <x:f>""</x:f>
        <x:v/>
      </x:c>
      <x:c r="AA1565" t="str">
        <x:f>""</x:f>
        <x:v/>
      </x:c>
      <x:c r="AB1565" t="str">
        <x:f>""</x:f>
        <x:v/>
      </x:c>
      <x:c r="AC1565" t="str">
        <x:f>""</x:f>
        <x:v/>
      </x:c>
      <x:c r="AD1565" t="str">
        <x:f>""</x:f>
        <x:v/>
      </x:c>
      <x:c r="AE1565" t="str">
        <x:f>""</x:f>
        <x:v/>
      </x:c>
      <x:c r="AF1565" t="str">
        <x:f>""</x:f>
        <x:v/>
      </x:c>
      <x:c r="AG1565" t="str">
        <x:f>""</x:f>
        <x:v/>
      </x:c>
    </x:row>
    <x:row r="1566" spans="2:33" x14ac:dyDescent="0.25">
      <x:c r="B1566" t="str">
        <x:f>"IDU US Equity"</x:f>
        <x:v>IDU US Equity</x:v>
      </x:c>
      <x:c r="C1566" t="str">
        <x:f t="shared" si="68"/>
        <x:v>FD447</x:v>
      </x:c>
      <x:c r="D1566" t="str">
        <x:f t="shared" si="69"/>
        <x:v>FUND_FLOW</x:v>
      </x:c>
      <x:c r="E1566" t="str">
        <x:f t="shared" si="70"/>
        <x:v>Dynamic</x:v>
      </x:c>
      <x:c r="F1566">
        <x:f ca="1">_xll.BDH($B$1566,$C$1566,$B$1010,$B$1011,CONCATENATE("Per=",$B$1008),"Dts=H","Dir=H",CONCATENATE("Points=",$B$1009),"Sort=R","Days=A","Fill=B",CONCATENATE("FX=", $B$1007),"cols=14;rows=1")</x:f>
        <x:v>13.7784</x:v>
      </x:c>
      <x:c r="G1566">
        <x:v>-11.5808</x:v>
      </x:c>
      <x:c r="H1566">
        <x:v>-24.242599999999999</x:v>
      </x:c>
      <x:c r="I1566">
        <x:v>-12.333600000000001</x:v>
      </x:c>
      <x:c r="J1566">
        <x:v>-65.337599999999995</x:v>
      </x:c>
      <x:c r="K1566">
        <x:v>-3.8439000000000001</x:v>
      </x:c>
      <x:c r="L1566">
        <x:v>-8.4986999999999995</x:v>
      </x:c>
      <x:c r="M1566">
        <x:v>20.717400000000001</x:v>
      </x:c>
      <x:c r="N1566">
        <x:v>12.3123</x:v>
      </x:c>
      <x:c r="O1566">
        <x:v>-30.3443</x:v>
      </x:c>
      <x:c r="P1566">
        <x:v>-13.055199999999999</x:v>
      </x:c>
      <x:c r="Q1566">
        <x:v>-0.26519999999999999</x:v>
      </x:c>
      <x:c r="R1566">
        <x:v>7.7119</x:v>
      </x:c>
      <x:c r="S1566">
        <x:v>44.674300000000002</x:v>
      </x:c>
      <x:c r="T1566" t="str">
        <x:f>""</x:f>
        <x:v/>
      </x:c>
      <x:c r="U1566" t="str">
        <x:f>""</x:f>
        <x:v/>
      </x:c>
      <x:c r="V1566" t="str">
        <x:f>""</x:f>
        <x:v/>
      </x:c>
      <x:c r="W1566" t="str">
        <x:f>""</x:f>
        <x:v/>
      </x:c>
      <x:c r="X1566" t="str">
        <x:f>""</x:f>
        <x:v/>
      </x:c>
      <x:c r="Y1566" t="str">
        <x:f>""</x:f>
        <x:v/>
      </x:c>
      <x:c r="Z1566" t="str">
        <x:f>""</x:f>
        <x:v/>
      </x:c>
      <x:c r="AA1566" t="str">
        <x:f>""</x:f>
        <x:v/>
      </x:c>
      <x:c r="AB1566" t="str">
        <x:f>""</x:f>
        <x:v/>
      </x:c>
      <x:c r="AC1566" t="str">
        <x:f>""</x:f>
        <x:v/>
      </x:c>
      <x:c r="AD1566" t="str">
        <x:f>""</x:f>
        <x:v/>
      </x:c>
      <x:c r="AE1566" t="str">
        <x:f>""</x:f>
        <x:v/>
      </x:c>
      <x:c r="AF1566" t="str">
        <x:f>""</x:f>
        <x:v/>
      </x:c>
      <x:c r="AG1566" t="str">
        <x:f>""</x:f>
        <x:v/>
      </x:c>
    </x:row>
    <x:row r="1567" spans="2:33" x14ac:dyDescent="0.25">
      <x:c r="B1567" t="str">
        <x:f>"FUTY US Equity"</x:f>
        <x:v>FUTY US Equity</x:v>
      </x:c>
      <x:c r="C1567" t="str">
        <x:f t="shared" si="68"/>
        <x:v>FD447</x:v>
      </x:c>
      <x:c r="D1567" t="str">
        <x:f t="shared" si="69"/>
        <x:v>FUND_FLOW</x:v>
      </x:c>
      <x:c r="E1567" t="str">
        <x:f t="shared" si="70"/>
        <x:v>Dynamic</x:v>
      </x:c>
      <x:c r="F1567">
        <x:f ca="1">_xll.BDH($B$1567,$C$1567,$B$1010,$B$1011,CONCATENATE("Per=",$B$1008),"Dts=H","Dir=H",CONCATENATE("Points=",$B$1009),"Sort=R","Days=A","Fill=B",CONCATENATE("FX=", $B$1007),"cols=14;rows=1")</x:f>
        <x:v>-290.51209999999998</x:v>
      </x:c>
      <x:c r="G1567">
        <x:v>-50.262599999999999</x:v>
      </x:c>
      <x:c r="H1567">
        <x:v>-16.552099999999999</x:v>
      </x:c>
      <x:c r="I1567">
        <x:v>-155.82210000000001</x:v>
      </x:c>
      <x:c r="J1567">
        <x:v>36.370699999999999</x:v>
      </x:c>
      <x:c r="K1567">
        <x:v>-16.985199999999999</x:v>
      </x:c>
      <x:c r="L1567">
        <x:v>-69.889499999999998</x:v>
      </x:c>
      <x:c r="M1567">
        <x:v>-67.793999999999997</x:v>
      </x:c>
      <x:c r="N1567">
        <x:v>-8.6646999999999998</x:v>
      </x:c>
      <x:c r="O1567">
        <x:v>188.9879</x:v>
      </x:c>
      <x:c r="P1567">
        <x:v>20.5854</x:v>
      </x:c>
      <x:c r="Q1567">
        <x:v>-25.956900000000001</x:v>
      </x:c>
      <x:c r="R1567">
        <x:v>-16.368300000000001</x:v>
      </x:c>
      <x:c r="S1567">
        <x:v>3.4683000000000002</x:v>
      </x:c>
      <x:c r="T1567" t="str">
        <x:f>""</x:f>
        <x:v/>
      </x:c>
      <x:c r="U1567" t="str">
        <x:f>""</x:f>
        <x:v/>
      </x:c>
      <x:c r="V1567" t="str">
        <x:f>""</x:f>
        <x:v/>
      </x:c>
      <x:c r="W1567" t="str">
        <x:f>""</x:f>
        <x:v/>
      </x:c>
      <x:c r="X1567" t="str">
        <x:f>""</x:f>
        <x:v/>
      </x:c>
      <x:c r="Y1567" t="str">
        <x:f>""</x:f>
        <x:v/>
      </x:c>
      <x:c r="Z1567" t="str">
        <x:f>""</x:f>
        <x:v/>
      </x:c>
      <x:c r="AA1567" t="str">
        <x:f>""</x:f>
        <x:v/>
      </x:c>
      <x:c r="AB1567" t="str">
        <x:f>""</x:f>
        <x:v/>
      </x:c>
      <x:c r="AC1567" t="str">
        <x:f>""</x:f>
        <x:v/>
      </x:c>
      <x:c r="AD1567" t="str">
        <x:f>""</x:f>
        <x:v/>
      </x:c>
      <x:c r="AE1567" t="str">
        <x:f>""</x:f>
        <x:v/>
      </x:c>
      <x:c r="AF1567" t="str">
        <x:f>""</x:f>
        <x:v/>
      </x:c>
      <x:c r="AG1567" t="str">
        <x:f>""</x:f>
        <x:v/>
      </x:c>
    </x:row>
    <x:row r="1568" spans="2:33" x14ac:dyDescent="0.25">
      <x:c r="B1568" t="str">
        <x:f>"RYU US Equity"</x:f>
        <x:v>RYU US Equity</x:v>
      </x:c>
      <x:c r="C1568" t="str">
        <x:f t="shared" si="68"/>
        <x:v>FD447</x:v>
      </x:c>
      <x:c r="D1568" t="str">
        <x:f t="shared" si="69"/>
        <x:v>FUND_FLOW</x:v>
      </x:c>
      <x:c r="E1568" t="str">
        <x:f t="shared" si="70"/>
        <x:v>Dynamic</x:v>
      </x:c>
      <x:c r="F1568">
        <x:f ca="1">_xll.BDH($B$1568,$C$1568,$B$1010,$B$1011,CONCATENATE("Per=",$B$1008),"Dts=H","Dir=H",CONCATENATE("Points=",$B$1009),"Sort=R","Days=A","Fill=B",CONCATENATE("FX=", $B$1007),"cols=14;rows=1")</x:f>
        <x:v>-31.5946</x:v>
      </x:c>
      <x:c r="G1568">
        <x:v>-8.4939999999999998</x:v>
      </x:c>
      <x:c r="H1568">
        <x:v>-9.8703000000000003</x:v>
      </x:c>
      <x:c r="I1568">
        <x:v>-17.534600000000001</x:v>
      </x:c>
      <x:c r="J1568">
        <x:v>-25.642399999999999</x:v>
      </x:c>
      <x:c r="T1568" t="str">
        <x:f>""</x:f>
        <x:v/>
      </x:c>
      <x:c r="U1568" t="str">
        <x:f>""</x:f>
        <x:v/>
      </x:c>
      <x:c r="V1568" t="str">
        <x:f>""</x:f>
        <x:v/>
      </x:c>
      <x:c r="W1568" t="str">
        <x:f>""</x:f>
        <x:v/>
      </x:c>
      <x:c r="X1568" t="str">
        <x:f>""</x:f>
        <x:v/>
      </x:c>
      <x:c r="Y1568" t="str">
        <x:f>""</x:f>
        <x:v/>
      </x:c>
      <x:c r="Z1568" t="str">
        <x:f>""</x:f>
        <x:v/>
      </x:c>
      <x:c r="AA1568" t="str">
        <x:f>""</x:f>
        <x:v/>
      </x:c>
      <x:c r="AB1568" t="str">
        <x:f>""</x:f>
        <x:v/>
      </x:c>
      <x:c r="AC1568" t="str">
        <x:f>""</x:f>
        <x:v/>
      </x:c>
      <x:c r="AD1568" t="str">
        <x:f>""</x:f>
        <x:v/>
      </x:c>
      <x:c r="AE1568" t="str">
        <x:f>""</x:f>
        <x:v/>
      </x:c>
      <x:c r="AF1568" t="str">
        <x:f>""</x:f>
        <x:v/>
      </x:c>
      <x:c r="AG1568" t="str">
        <x:f>""</x:f>
        <x:v/>
      </x:c>
    </x:row>
    <x:row r="1569" spans="2:33" x14ac:dyDescent="0.25">
      <x:c r="B1569" t="str">
        <x:f>"JXI US Equity"</x:f>
        <x:v>JXI US Equity</x:v>
      </x:c>
      <x:c r="C1569" t="str">
        <x:f t="shared" si="68"/>
        <x:v>FD447</x:v>
      </x:c>
      <x:c r="D1569" t="str">
        <x:f t="shared" si="69"/>
        <x:v>FUND_FLOW</x:v>
      </x:c>
      <x:c r="E1569" t="str">
        <x:f t="shared" si="70"/>
        <x:v>Dynamic</x:v>
      </x:c>
      <x:c r="F1569">
        <x:f ca="1">_xll.BDH($B$1569,$C$1569,$B$1010,$B$1011,CONCATENATE("Per=",$B$1008),"Dts=H","Dir=H",CONCATENATE("Points=",$B$1009),"Sort=R","Days=A","Fill=B",CONCATENATE("FX=", $B$1007),"cols=14;rows=1")</x:f>
        <x:v>-8.1435999999999993</x:v>
      </x:c>
      <x:c r="G1569">
        <x:v>5.8475999999999999</x:v>
      </x:c>
      <x:c r="H1569">
        <x:v>-5.8461999999999996</x:v>
      </x:c>
      <x:c r="I1569">
        <x:v>-3.0541999999999998</x:v>
      </x:c>
      <x:c r="J1569">
        <x:v>5.9032999999999998</x:v>
      </x:c>
      <x:c r="K1569">
        <x:v>3.0949</x:v>
      </x:c>
      <x:c r="L1569">
        <x:v>0</x:v>
      </x:c>
      <x:c r="M1569">
        <x:v>-2.9175</x:v>
      </x:c>
      <x:c r="N1569">
        <x:v>-5.9119999999999999</x:v>
      </x:c>
      <x:c r="O1569">
        <x:v>-3.0741999999999998</x:v>
      </x:c>
      <x:c r="P1569">
        <x:v>0</x:v>
      </x:c>
      <x:c r="Q1569">
        <x:v>0</x:v>
      </x:c>
      <x:c r="R1569">
        <x:v>-10.7706</x:v>
      </x:c>
      <x:c r="S1569">
        <x:v>-20.304400000000001</x:v>
      </x:c>
      <x:c r="T1569" t="str">
        <x:f>""</x:f>
        <x:v/>
      </x:c>
      <x:c r="U1569" t="str">
        <x:f>""</x:f>
        <x:v/>
      </x:c>
      <x:c r="V1569" t="str">
        <x:f>""</x:f>
        <x:v/>
      </x:c>
      <x:c r="W1569" t="str">
        <x:f>""</x:f>
        <x:v/>
      </x:c>
      <x:c r="X1569" t="str">
        <x:f>""</x:f>
        <x:v/>
      </x:c>
      <x:c r="Y1569" t="str">
        <x:f>""</x:f>
        <x:v/>
      </x:c>
      <x:c r="Z1569" t="str">
        <x:f>""</x:f>
        <x:v/>
      </x:c>
      <x:c r="AA1569" t="str">
        <x:f>""</x:f>
        <x:v/>
      </x:c>
      <x:c r="AB1569" t="str">
        <x:f>""</x:f>
        <x:v/>
      </x:c>
      <x:c r="AC1569" t="str">
        <x:f>""</x:f>
        <x:v/>
      </x:c>
      <x:c r="AD1569" t="str">
        <x:f>""</x:f>
        <x:v/>
      </x:c>
      <x:c r="AE1569" t="str">
        <x:f>""</x:f>
        <x:v/>
      </x:c>
      <x:c r="AF1569" t="str">
        <x:f>""</x:f>
        <x:v/>
      </x:c>
      <x:c r="AG1569" t="str">
        <x:f>""</x:f>
        <x:v/>
      </x:c>
    </x:row>
    <x:row r="1570" spans="2:33" x14ac:dyDescent="0.25">
      <x:c r="B1570" t="str">
        <x:f>"PUI US Equity"</x:f>
        <x:v>PUI US Equity</x:v>
      </x:c>
      <x:c r="C1570" t="str">
        <x:f t="shared" si="68"/>
        <x:v>FD447</x:v>
      </x:c>
      <x:c r="D1570" t="str">
        <x:f t="shared" si="69"/>
        <x:v>FUND_FLOW</x:v>
      </x:c>
      <x:c r="E1570" t="str">
        <x:f t="shared" si="70"/>
        <x:v>Dynamic</x:v>
      </x:c>
      <x:c r="F1570">
        <x:f ca="1">_xll.BDH($B$1570,$C$1570,$B$1010,$B$1011,CONCATENATE("Per=",$B$1008),"Dts=H","Dir=H",CONCATENATE("Points=",$B$1009),"Sort=R","Days=A","Fill=B",CONCATENATE("FX=", $B$1007),"cols=14;rows=1")</x:f>
        <x:v>-0.3044</x:v>
      </x:c>
      <x:c r="G1570">
        <x:v>-0.62849999999999995</x:v>
      </x:c>
      <x:c r="H1570">
        <x:v>-0.31759999999999999</x:v>
      </x:c>
      <x:c r="I1570">
        <x:v>-0.98419999999999996</x:v>
      </x:c>
      <x:c r="J1570">
        <x:v>-1.6358999999999999</x:v>
      </x:c>
      <x:c r="K1570">
        <x:v>-0.63759999999999994</x:v>
      </x:c>
      <x:c r="L1570">
        <x:v>-0.33040000000000003</x:v>
      </x:c>
      <x:c r="M1570">
        <x:v>-0.95179999999999998</x:v>
      </x:c>
      <x:c r="N1570">
        <x:v>-0.99990000000000001</x:v>
      </x:c>
      <x:c r="O1570">
        <x:v>0</x:v>
      </x:c>
      <x:c r="P1570">
        <x:v>-4.883</x:v>
      </x:c>
      <x:c r="Q1570">
        <x:v>-25.8506</x:v>
      </x:c>
      <x:c r="R1570">
        <x:v>-2.2684000000000002</x:v>
      </x:c>
      <x:c r="S1570">
        <x:v>-2.2332999999999998</x:v>
      </x:c>
      <x:c r="T1570" t="str">
        <x:f>""</x:f>
        <x:v/>
      </x:c>
      <x:c r="U1570" t="str">
        <x:f>""</x:f>
        <x:v/>
      </x:c>
      <x:c r="V1570" t="str">
        <x:f>""</x:f>
        <x:v/>
      </x:c>
      <x:c r="W1570" t="str">
        <x:f>""</x:f>
        <x:v/>
      </x:c>
      <x:c r="X1570" t="str">
        <x:f>""</x:f>
        <x:v/>
      </x:c>
      <x:c r="Y1570" t="str">
        <x:f>""</x:f>
        <x:v/>
      </x:c>
      <x:c r="Z1570" t="str">
        <x:f>""</x:f>
        <x:v/>
      </x:c>
      <x:c r="AA1570" t="str">
        <x:f>""</x:f>
        <x:v/>
      </x:c>
      <x:c r="AB1570" t="str">
        <x:f>""</x:f>
        <x:v/>
      </x:c>
      <x:c r="AC1570" t="str">
        <x:f>""</x:f>
        <x:v/>
      </x:c>
      <x:c r="AD1570" t="str">
        <x:f>""</x:f>
        <x:v/>
      </x:c>
      <x:c r="AE1570" t="str">
        <x:f>""</x:f>
        <x:v/>
      </x:c>
      <x:c r="AF1570" t="str">
        <x:f>""</x:f>
        <x:v/>
      </x:c>
      <x:c r="AG1570" t="str">
        <x:f>""</x:f>
        <x:v/>
      </x:c>
    </x:row>
    <x:row r="1571" spans="2:33" x14ac:dyDescent="0.25">
      <x:c r="B1571" t="str">
        <x:f>"PSCU US Equity"</x:f>
        <x:v>PSCU US Equity</x:v>
      </x:c>
      <x:c r="C1571" t="str">
        <x:f t="shared" si="68"/>
        <x:v>FD447</x:v>
      </x:c>
      <x:c r="D1571" t="str">
        <x:f t="shared" si="69"/>
        <x:v>FUND_FLOW</x:v>
      </x:c>
      <x:c r="E1571" t="str">
        <x:f t="shared" si="70"/>
        <x:v>Dynamic</x:v>
      </x:c>
      <x:c r="F1571">
        <x:f ca="1">_xll.BDH($B$1571,$C$1571,$B$1010,$B$1011,CONCATENATE("Per=",$B$1008),"Dts=H","Dir=H",CONCATENATE("Points=",$B$1009),"Sort=R","Days=A","Fill=B",CONCATENATE("FX=", $B$1007),"cols=14;rows=1")</x:f>
        <x:v>0</x:v>
      </x:c>
      <x:c r="G1571">
        <x:v>-0.50849999999999995</x:v>
      </x:c>
      <x:c r="H1571">
        <x:v>-0.54430000000000001</x:v>
      </x:c>
      <x:c r="I1571">
        <x:v>0</x:v>
      </x:c>
      <x:c r="J1571">
        <x:v>0</x:v>
      </x:c>
      <x:c r="K1571">
        <x:v>0</x:v>
      </x:c>
      <x:c r="L1571">
        <x:v>0</x:v>
      </x:c>
      <x:c r="M1571">
        <x:v>0</x:v>
      </x:c>
      <x:c r="N1571">
        <x:v>-2.3891</x:v>
      </x:c>
      <x:c r="O1571">
        <x:v>2.2978999999999998</x:v>
      </x:c>
      <x:c r="P1571">
        <x:v>0</x:v>
      </x:c>
      <x:c r="Q1571">
        <x:v>0</x:v>
      </x:c>
      <x:c r="R1571">
        <x:v>-0.53920000000000001</x:v>
      </x:c>
      <x:c r="S1571">
        <x:v>-0.5756</x:v>
      </x:c>
      <x:c r="T1571" t="str">
        <x:f>""</x:f>
        <x:v/>
      </x:c>
      <x:c r="U1571" t="str">
        <x:f>""</x:f>
        <x:v/>
      </x:c>
      <x:c r="V1571" t="str">
        <x:f>""</x:f>
        <x:v/>
      </x:c>
      <x:c r="W1571" t="str">
        <x:f>""</x:f>
        <x:v/>
      </x:c>
      <x:c r="X1571" t="str">
        <x:f>""</x:f>
        <x:v/>
      </x:c>
      <x:c r="Y1571" t="str">
        <x:f>""</x:f>
        <x:v/>
      </x:c>
      <x:c r="Z1571" t="str">
        <x:f>""</x:f>
        <x:v/>
      </x:c>
      <x:c r="AA1571" t="str">
        <x:f>""</x:f>
        <x:v/>
      </x:c>
      <x:c r="AB1571" t="str">
        <x:f>""</x:f>
        <x:v/>
      </x:c>
      <x:c r="AC1571" t="str">
        <x:f>""</x:f>
        <x:v/>
      </x:c>
      <x:c r="AD1571" t="str">
        <x:f>""</x:f>
        <x:v/>
      </x:c>
      <x:c r="AE1571" t="str">
        <x:f>""</x:f>
        <x:v/>
      </x:c>
      <x:c r="AF1571" t="str">
        <x:f>""</x:f>
        <x:v/>
      </x:c>
      <x:c r="AG1571" t="str">
        <x:f>""</x:f>
        <x:v/>
      </x:c>
    </x:row>
    <x:row r="1572" spans="2:33" x14ac:dyDescent="0.25">
      <x:c r="B1572" t="str">
        <x:f>"IPU US Equity"</x:f>
        <x:v>IPU US Equity</x:v>
      </x:c>
      <x:c r="C1572" t="str">
        <x:f t="shared" si="68"/>
        <x:v>FD447</x:v>
      </x:c>
      <x:c r="D1572" t="str">
        <x:f t="shared" si="69"/>
        <x:v>FUND_FLOW</x:v>
      </x:c>
      <x:c r="E1572" t="str">
        <x:f t="shared" si="70"/>
        <x:v>Dynamic</x:v>
      </x:c>
      <x:c r="F1572" t="str">
        <x:f ca="1">_xll.BDH($B$1572,$C$1572,$B$1010,$B$1011,CONCATENATE("Per=",$B$1008),"Dts=H","Dir=H",CONCATENATE("Points=",$B$1009),"Sort=R","Days=A","Fill=B",CONCATENATE("FX=", $B$1007) )</x:f>
        <x:v/>
      </x:c>
      <x:c r="T1572" t="str">
        <x:f>""</x:f>
        <x:v/>
      </x:c>
      <x:c r="U1572" t="str">
        <x:f>""</x:f>
        <x:v/>
      </x:c>
      <x:c r="V1572" t="str">
        <x:f>""</x:f>
        <x:v/>
      </x:c>
      <x:c r="W1572" t="str">
        <x:f>""</x:f>
        <x:v/>
      </x:c>
      <x:c r="X1572" t="str">
        <x:f>""</x:f>
        <x:v/>
      </x:c>
      <x:c r="Y1572" t="str">
        <x:f>""</x:f>
        <x:v/>
      </x:c>
      <x:c r="Z1572" t="str">
        <x:f>""</x:f>
        <x:v/>
      </x:c>
      <x:c r="AA1572" t="str">
        <x:f>""</x:f>
        <x:v/>
      </x:c>
      <x:c r="AB1572" t="str">
        <x:f>""</x:f>
        <x:v/>
      </x:c>
      <x:c r="AC1572" t="str">
        <x:f>""</x:f>
        <x:v/>
      </x:c>
      <x:c r="AD1572" t="str">
        <x:f>""</x:f>
        <x:v/>
      </x:c>
      <x:c r="AE1572" t="str">
        <x:f>""</x:f>
        <x:v/>
      </x:c>
      <x:c r="AF1572" t="str">
        <x:f>""</x:f>
        <x:v/>
      </x:c>
      <x:c r="AG1572" t="str">
        <x:f>""</x:f>
        <x:v/>
      </x:c>
    </x:row>
    <x:row r="1573" spans="2:33" x14ac:dyDescent="0.25">
      <x:c r="B1573" t="str">
        <x:f>"JHMU US Equity"</x:f>
        <x:v>JHMU US Equity</x:v>
      </x:c>
      <x:c r="C1573" t="str">
        <x:f t="shared" si="68"/>
        <x:v>FD447</x:v>
      </x:c>
      <x:c r="D1573" t="str">
        <x:f t="shared" si="69"/>
        <x:v>FUND_FLOW</x:v>
      </x:c>
      <x:c r="E1573" t="str">
        <x:f t="shared" si="70"/>
        <x:v>Dynamic</x:v>
      </x:c>
      <x:c r="F1573" t="str">
        <x:f ca="1">_xll.BDH($B$1573,$C$1573,$B$1010,$B$1011,CONCATENATE("Per=",$B$1008),"Dts=H","Dir=H",CONCATENATE("Points=",$B$1009),"Sort=R","Days=A","Fill=B",CONCATENATE("FX=", $B$1007),"cols=14;rows=1")</x:f>
        <x:v/>
      </x:c>
      <x:c r="R1573">
        <x:v>-0.63060000000000005</x:v>
      </x:c>
      <x:c r="S1573">
        <x:v>8.7599999999999997E-2</x:v>
      </x:c>
      <x:c r="T1573" t="str">
        <x:f>""</x:f>
        <x:v/>
      </x:c>
      <x:c r="U1573" t="str">
        <x:f>""</x:f>
        <x:v/>
      </x:c>
      <x:c r="V1573" t="str">
        <x:f>""</x:f>
        <x:v/>
      </x:c>
      <x:c r="W1573" t="str">
        <x:f>""</x:f>
        <x:v/>
      </x:c>
      <x:c r="X1573" t="str">
        <x:f>""</x:f>
        <x:v/>
      </x:c>
      <x:c r="Y1573" t="str">
        <x:f>""</x:f>
        <x:v/>
      </x:c>
      <x:c r="Z1573" t="str">
        <x:f>""</x:f>
        <x:v/>
      </x:c>
      <x:c r="AA1573" t="str">
        <x:f>""</x:f>
        <x:v/>
      </x:c>
      <x:c r="AB1573" t="str">
        <x:f>""</x:f>
        <x:v/>
      </x:c>
      <x:c r="AC1573" t="str">
        <x:f>""</x:f>
        <x:v/>
      </x:c>
      <x:c r="AD1573" t="str">
        <x:f>""</x:f>
        <x:v/>
      </x:c>
      <x:c r="AE1573" t="str">
        <x:f>""</x:f>
        <x:v/>
      </x:c>
      <x:c r="AF1573" t="str">
        <x:f>""</x:f>
        <x:v/>
      </x:c>
      <x:c r="AG1573" t="str">
        <x:f>""</x:f>
        <x:v/>
      </x:c>
    </x:row>
    <x:row r="1574" spans="2:33" x14ac:dyDescent="0.25">
      <x:c r="B1574" t="str">
        <x:f>"UPW US Equity"</x:f>
        <x:v>UPW US Equity</x:v>
      </x:c>
      <x:c r="C1574" t="str">
        <x:f t="shared" si="68"/>
        <x:v>FD447</x:v>
      </x:c>
      <x:c r="D1574" t="str">
        <x:f t="shared" si="69"/>
        <x:v>FUND_FLOW</x:v>
      </x:c>
      <x:c r="E1574" t="str">
        <x:f t="shared" si="70"/>
        <x:v>Dynamic</x:v>
      </x:c>
      <x:c r="F1574">
        <x:f ca="1">_xll.BDH($B$1574,$C$1574,$B$1010,$B$1011,CONCATENATE("Per=",$B$1008),"Dts=H","Dir=H",CONCATENATE("Points=",$B$1009),"Sort=R","Days=A","Fill=B",CONCATENATE("FX=", $B$1007),"cols=14;rows=1")</x:f>
        <x:v>0.43259999999999998</x:v>
      </x:c>
      <x:c r="G1574">
        <x:v>0</x:v>
      </x:c>
      <x:c r="H1574">
        <x:v>-1.6763999999999999</x:v>
      </x:c>
      <x:c r="I1574">
        <x:v>1.9078999999999999</x:v>
      </x:c>
      <x:c r="J1574">
        <x:v>-0.58330000000000004</x:v>
      </x:c>
      <x:c r="K1574">
        <x:v>-0.96299999999999997</x:v>
      </x:c>
      <x:c r="L1574">
        <x:v>1.3110999999999999</x:v>
      </x:c>
      <x:c r="M1574">
        <x:v>0</x:v>
      </x:c>
      <x:c r="N1574">
        <x:v>-3.7528999999999999</x:v>
      </x:c>
      <x:c r="O1574">
        <x:v>2.0318999999999998</x:v>
      </x:c>
      <x:c r="P1574">
        <x:v>-2.1217000000000001</x:v>
      </x:c>
      <x:c r="Q1574">
        <x:v>0</x:v>
      </x:c>
      <x:c r="R1574">
        <x:v>-1.4436</x:v>
      </x:c>
      <x:c r="S1574">
        <x:v>0</x:v>
      </x:c>
      <x:c r="T1574" t="str">
        <x:f>""</x:f>
        <x:v/>
      </x:c>
      <x:c r="U1574" t="str">
        <x:f>""</x:f>
        <x:v/>
      </x:c>
      <x:c r="V1574" t="str">
        <x:f>""</x:f>
        <x:v/>
      </x:c>
      <x:c r="W1574" t="str">
        <x:f>""</x:f>
        <x:v/>
      </x:c>
      <x:c r="X1574" t="str">
        <x:f>""</x:f>
        <x:v/>
      </x:c>
      <x:c r="Y1574" t="str">
        <x:f>""</x:f>
        <x:v/>
      </x:c>
      <x:c r="Z1574" t="str">
        <x:f>""</x:f>
        <x:v/>
      </x:c>
      <x:c r="AA1574" t="str">
        <x:f>""</x:f>
        <x:v/>
      </x:c>
      <x:c r="AB1574" t="str">
        <x:f>""</x:f>
        <x:v/>
      </x:c>
      <x:c r="AC1574" t="str">
        <x:f>""</x:f>
        <x:v/>
      </x:c>
      <x:c r="AD1574" t="str">
        <x:f>""</x:f>
        <x:v/>
      </x:c>
      <x:c r="AE1574" t="str">
        <x:f>""</x:f>
        <x:v/>
      </x:c>
      <x:c r="AF1574" t="str">
        <x:f>""</x:f>
        <x:v/>
      </x:c>
      <x:c r="AG1574" t="str">
        <x:f>""</x:f>
        <x:v/>
      </x:c>
    </x:row>
    <x:row r="1575" spans="2:33" x14ac:dyDescent="0.25">
      <x:c r="B1575" t="str">
        <x:f>"UTES US Equity"</x:f>
        <x:v>UTES US Equity</x:v>
      </x:c>
      <x:c r="C1575" t="str">
        <x:f t="shared" si="68"/>
        <x:v>FD447</x:v>
      </x:c>
      <x:c r="D1575" t="str">
        <x:f t="shared" si="69"/>
        <x:v>FUND_FLOW</x:v>
      </x:c>
      <x:c r="E1575" t="str">
        <x:f t="shared" si="70"/>
        <x:v>Dynamic</x:v>
      </x:c>
      <x:c r="F1575">
        <x:f ca="1">_xll.BDH($B$1575,$C$1575,$B$1010,$B$1011,CONCATENATE("Per=",$B$1008),"Dts=H","Dir=H",CONCATENATE("Points=",$B$1009),"Sort=R","Days=A","Fill=B",CONCATENATE("FX=", $B$1007),"cols=14;rows=1")</x:f>
        <x:v>0</x:v>
      </x:c>
      <x:c r="G1575">
        <x:v>2.2382</x:v>
      </x:c>
      <x:c r="H1575">
        <x:v>0</x:v>
      </x:c>
      <x:c r="I1575">
        <x:v>0</x:v>
      </x:c>
      <x:c r="J1575">
        <x:v>0</x:v>
      </x:c>
      <x:c r="K1575">
        <x:v>0</x:v>
      </x:c>
      <x:c r="L1575">
        <x:v>0</x:v>
      </x:c>
      <x:c r="M1575">
        <x:v>0</x:v>
      </x:c>
      <x:c r="N1575">
        <x:v>0</x:v>
      </x:c>
      <x:c r="O1575">
        <x:v>0</x:v>
      </x:c>
      <x:c r="P1575">
        <x:v>0</x:v>
      </x:c>
      <x:c r="Q1575">
        <x:v>0</x:v>
      </x:c>
      <x:c r="R1575">
        <x:v>-2.1827999999999999</x:v>
      </x:c>
      <x:c r="S1575">
        <x:v>-2.3460000000000001</x:v>
      </x:c>
      <x:c r="T1575" t="str">
        <x:f>""</x:f>
        <x:v/>
      </x:c>
      <x:c r="U1575" t="str">
        <x:f>""</x:f>
        <x:v/>
      </x:c>
      <x:c r="V1575" t="str">
        <x:f>""</x:f>
        <x:v/>
      </x:c>
      <x:c r="W1575" t="str">
        <x:f>""</x:f>
        <x:v/>
      </x:c>
      <x:c r="X1575" t="str">
        <x:f>""</x:f>
        <x:v/>
      </x:c>
      <x:c r="Y1575" t="str">
        <x:f>""</x:f>
        <x:v/>
      </x:c>
      <x:c r="Z1575" t="str">
        <x:f>""</x:f>
        <x:v/>
      </x:c>
      <x:c r="AA1575" t="str">
        <x:f>""</x:f>
        <x:v/>
      </x:c>
      <x:c r="AB1575" t="str">
        <x:f>""</x:f>
        <x:v/>
      </x:c>
      <x:c r="AC1575" t="str">
        <x:f>""</x:f>
        <x:v/>
      </x:c>
      <x:c r="AD1575" t="str">
        <x:f>""</x:f>
        <x:v/>
      </x:c>
      <x:c r="AE1575" t="str">
        <x:f>""</x:f>
        <x:v/>
      </x:c>
      <x:c r="AF1575" t="str">
        <x:f>""</x:f>
        <x:v/>
      </x:c>
      <x:c r="AG1575" t="str">
        <x:f>""</x:f>
        <x:v/>
      </x:c>
    </x:row>
    <x:row r="1576" spans="2:33" x14ac:dyDescent="0.25">
      <x:c r="B1576" t="str">
        <x:f>"SDP US Equity"</x:f>
        <x:v>SDP US Equity</x:v>
      </x:c>
      <x:c r="C1576" t="str">
        <x:f t="shared" si="68"/>
        <x:v>FD447</x:v>
      </x:c>
      <x:c r="D1576" t="str">
        <x:f t="shared" si="69"/>
        <x:v>FUND_FLOW</x:v>
      </x:c>
      <x:c r="E1576" t="str">
        <x:f t="shared" si="70"/>
        <x:v>Dynamic</x:v>
      </x:c>
      <x:c r="F1576">
        <x:f ca="1">_xll.BDH($B$1576,$C$1576,$B$1010,$B$1011,CONCATENATE("Per=",$B$1008),"Dts=H","Dir=H",CONCATENATE("Points=",$B$1009),"Sort=R","Days=A","Fill=B",CONCATENATE("FX=", $B$1007),"cols=14;rows=1")</x:f>
        <x:v>-1.4426000000000001</x:v>
      </x:c>
      <x:c r="G1576">
        <x:v>0.66890000000000005</x:v>
      </x:c>
      <x:c r="H1576">
        <x:v>1.2963</x:v>
      </x:c>
      <x:c r="I1576">
        <x:v>0.1111</x:v>
      </x:c>
      <x:c r="J1576">
        <x:v>0</x:v>
      </x:c>
      <x:c r="K1576">
        <x:v>-0.318</x:v>
      </x:c>
      <x:c r="L1576">
        <x:v>-1.4063000000000001</x:v>
      </x:c>
      <x:c r="M1576">
        <x:v>1.8200000000000001E-2</x:v>
      </x:c>
      <x:c r="N1576">
        <x:v>-0.5847</x:v>
      </x:c>
      <x:c r="O1576">
        <x:v>1.3845000000000001</x:v>
      </x:c>
      <x:c r="P1576">
        <x:v>-1.0993999999999999</x:v>
      </x:c>
      <x:c r="Q1576">
        <x:v>-0.55030000000000001</x:v>
      </x:c>
      <x:c r="R1576">
        <x:v>-0.75560000000000005</x:v>
      </x:c>
      <x:c r="S1576">
        <x:v>0</x:v>
      </x:c>
      <x:c r="T1576" t="str">
        <x:f>""</x:f>
        <x:v/>
      </x:c>
      <x:c r="U1576" t="str">
        <x:f>""</x:f>
        <x:v/>
      </x:c>
      <x:c r="V1576" t="str">
        <x:f>""</x:f>
        <x:v/>
      </x:c>
      <x:c r="W1576" t="str">
        <x:f>""</x:f>
        <x:v/>
      </x:c>
      <x:c r="X1576" t="str">
        <x:f>""</x:f>
        <x:v/>
      </x:c>
      <x:c r="Y1576" t="str">
        <x:f>""</x:f>
        <x:v/>
      </x:c>
      <x:c r="Z1576" t="str">
        <x:f>""</x:f>
        <x:v/>
      </x:c>
      <x:c r="AA1576" t="str">
        <x:f>""</x:f>
        <x:v/>
      </x:c>
      <x:c r="AB1576" t="str">
        <x:f>""</x:f>
        <x:v/>
      </x:c>
      <x:c r="AC1576" t="str">
        <x:f>""</x:f>
        <x:v/>
      </x:c>
      <x:c r="AD1576" t="str">
        <x:f>""</x:f>
        <x:v/>
      </x:c>
      <x:c r="AE1576" t="str">
        <x:f>""</x:f>
        <x:v/>
      </x:c>
      <x:c r="AF1576" t="str">
        <x:f>""</x:f>
        <x:v/>
      </x:c>
      <x:c r="AG1576" t="str">
        <x:f>""</x:f>
        <x:v/>
      </x:c>
    </x:row>
    <x:row r="1577" spans="2:33" x14ac:dyDescent="0.25">
      <x:c r="B1577" t="str">
        <x:f>"UTLF US Equity"</x:f>
        <x:v>UTLF US Equity</x:v>
      </x:c>
      <x:c r="C1577" t="str">
        <x:f t="shared" si="68"/>
        <x:v>FD447</x:v>
      </x:c>
      <x:c r="D1577" t="str">
        <x:f t="shared" si="69"/>
        <x:v>FUND_FLOW</x:v>
      </x:c>
      <x:c r="E1577" t="str">
        <x:f t="shared" si="70"/>
        <x:v>Dynamic</x:v>
      </x:c>
      <x:c r="F1577" t="str">
        <x:f ca="1">_xll.BDH($B$1577,$C$1577,$B$1010,$B$1011,CONCATENATE("Per=",$B$1008),"Dts=H","Dir=H",CONCATENATE("Points=",$B$1009),"Sort=R","Days=A","Fill=B",CONCATENATE("FX=", $B$1007) )</x:f>
        <x:v/>
      </x:c>
      <x:c r="T1577" t="str">
        <x:f>""</x:f>
        <x:v/>
      </x:c>
      <x:c r="U1577" t="str">
        <x:f>""</x:f>
        <x:v/>
      </x:c>
      <x:c r="V1577" t="str">
        <x:f>""</x:f>
        <x:v/>
      </x:c>
      <x:c r="W1577" t="str">
        <x:f>""</x:f>
        <x:v/>
      </x:c>
      <x:c r="X1577" t="str">
        <x:f>""</x:f>
        <x:v/>
      </x:c>
      <x:c r="Y1577" t="str">
        <x:f>""</x:f>
        <x:v/>
      </x:c>
      <x:c r="Z1577" t="str">
        <x:f>""</x:f>
        <x:v/>
      </x:c>
      <x:c r="AA1577" t="str">
        <x:f>""</x:f>
        <x:v/>
      </x:c>
      <x:c r="AB1577" t="str">
        <x:f>""</x:f>
        <x:v/>
      </x:c>
      <x:c r="AC1577" t="str">
        <x:f>""</x:f>
        <x:v/>
      </x:c>
      <x:c r="AD1577" t="str">
        <x:f>""</x:f>
        <x:v/>
      </x:c>
      <x:c r="AE1577" t="str">
        <x:f>""</x:f>
        <x:v/>
      </x:c>
      <x:c r="AF1577" t="str">
        <x:f>""</x:f>
        <x:v/>
      </x:c>
      <x:c r="AG1577" t="str">
        <x:f>""</x:f>
        <x:v/>
      </x:c>
    </x:row>
    <x:row r="1578" spans="2:33" x14ac:dyDescent="0.25">
      <x:c r="B1578" t="str">
        <x:f>"UTSL US Equity"</x:f>
        <x:v>UTSL US Equity</x:v>
      </x:c>
      <x:c r="C1578" t="str">
        <x:f t="shared" si="68"/>
        <x:v>FD447</x:v>
      </x:c>
      <x:c r="D1578" t="str">
        <x:f t="shared" si="69"/>
        <x:v>FUND_FLOW</x:v>
      </x:c>
      <x:c r="E1578" t="str">
        <x:f t="shared" si="70"/>
        <x:v>Dynamic</x:v>
      </x:c>
      <x:c r="F1578">
        <x:f ca="1">_xll.BDH($B$1578,$C$1578,$B$1010,$B$1011,CONCATENATE("Per=",$B$1008),"Dts=H","Dir=H",CONCATENATE("Points=",$B$1009),"Sort=R","Days=A","Fill=B",CONCATENATE("FX=", $B$1007),"cols=14;rows=1")</x:f>
        <x:v>7.8128000000000002</x:v>
      </x:c>
      <x:c r="G1578">
        <x:v>0.92600000000000005</x:v>
      </x:c>
      <x:c r="H1578">
        <x:v>10.574199999999999</x:v>
      </x:c>
      <x:c r="I1578">
        <x:v>-0.1095</x:v>
      </x:c>
      <x:c r="J1578">
        <x:v>3.8828999999999998</x:v>
      </x:c>
      <x:c r="K1578">
        <x:v>8.5693000000000001</x:v>
      </x:c>
      <x:c r="L1578">
        <x:v>-1.4990000000000001</x:v>
      </x:c>
      <x:c r="M1578">
        <x:v>4.9066000000000001</x:v>
      </x:c>
      <x:c r="N1578">
        <x:v>0</x:v>
      </x:c>
      <x:c r="O1578">
        <x:v>-1.6073</x:v>
      </x:c>
      <x:c r="P1578">
        <x:v>-5.0651999999999999</x:v>
      </x:c>
      <x:c r="Q1578">
        <x:v>-2.9931000000000001</x:v>
      </x:c>
      <x:c r="R1578">
        <x:v>9.0144000000000002</x:v>
      </x:c>
      <x:c r="S1578">
        <x:v>0</x:v>
      </x:c>
      <x:c r="T1578" t="str">
        <x:f>""</x:f>
        <x:v/>
      </x:c>
      <x:c r="U1578" t="str">
        <x:f>""</x:f>
        <x:v/>
      </x:c>
      <x:c r="V1578" t="str">
        <x:f>""</x:f>
        <x:v/>
      </x:c>
      <x:c r="W1578" t="str">
        <x:f>""</x:f>
        <x:v/>
      </x:c>
      <x:c r="X1578" t="str">
        <x:f>""</x:f>
        <x:v/>
      </x:c>
      <x:c r="Y1578" t="str">
        <x:f>""</x:f>
        <x:v/>
      </x:c>
      <x:c r="Z1578" t="str">
        <x:f>""</x:f>
        <x:v/>
      </x:c>
      <x:c r="AA1578" t="str">
        <x:f>""</x:f>
        <x:v/>
      </x:c>
      <x:c r="AB1578" t="str">
        <x:f>""</x:f>
        <x:v/>
      </x:c>
      <x:c r="AC1578" t="str">
        <x:f>""</x:f>
        <x:v/>
      </x:c>
      <x:c r="AD1578" t="str">
        <x:f>""</x:f>
        <x:v/>
      </x:c>
      <x:c r="AE1578" t="str">
        <x:f>""</x:f>
        <x:v/>
      </x:c>
      <x:c r="AF1578" t="str">
        <x:f>""</x:f>
        <x:v/>
      </x:c>
      <x:c r="AG1578" t="str">
        <x:f>""</x:f>
        <x:v/>
      </x:c>
    </x:row>
    <x:row r="1579" spans="2:33" x14ac:dyDescent="0.25">
      <x:c r="B1579" t="str">
        <x:f>"UTLZ US Equity"</x:f>
        <x:v>UTLZ US Equity</x:v>
      </x:c>
      <x:c r="C1579" t="str">
        <x:f t="shared" si="68"/>
        <x:v>FD447</x:v>
      </x:c>
      <x:c r="D1579" t="str">
        <x:f t="shared" si="69"/>
        <x:v>FUND_FLOW</x:v>
      </x:c>
      <x:c r="E1579" t="str">
        <x:f t="shared" si="70"/>
        <x:v>Dynamic</x:v>
      </x:c>
      <x:c r="F1579" t="str">
        <x:f ca="1">_xll.BDH($B$1579,$C$1579,$B$1010,$B$1011,CONCATENATE("Per=",$B$1008),"Dts=H","Dir=H",CONCATENATE("Points=",$B$1009),"Sort=R","Days=A","Fill=B",CONCATENATE("FX=", $B$1007) )</x:f>
        <x:v/>
      </x:c>
      <x:c r="T1579" t="str">
        <x:f>""</x:f>
        <x:v/>
      </x:c>
      <x:c r="U1579" t="str">
        <x:f>""</x:f>
        <x:v/>
      </x:c>
      <x:c r="V1579" t="str">
        <x:f>""</x:f>
        <x:v/>
      </x:c>
      <x:c r="W1579" t="str">
        <x:f>""</x:f>
        <x:v/>
      </x:c>
      <x:c r="X1579" t="str">
        <x:f>""</x:f>
        <x:v/>
      </x:c>
      <x:c r="Y1579" t="str">
        <x:f>""</x:f>
        <x:v/>
      </x:c>
      <x:c r="Z1579" t="str">
        <x:f>""</x:f>
        <x:v/>
      </x:c>
      <x:c r="AA1579" t="str">
        <x:f>""</x:f>
        <x:v/>
      </x:c>
      <x:c r="AB1579" t="str">
        <x:f>""</x:f>
        <x:v/>
      </x:c>
      <x:c r="AC1579" t="str">
        <x:f>""</x:f>
        <x:v/>
      </x:c>
      <x:c r="AD1579" t="str">
        <x:f>""</x:f>
        <x:v/>
      </x:c>
      <x:c r="AE1579" t="str">
        <x:f>""</x:f>
        <x:v/>
      </x:c>
      <x:c r="AF1579" t="str">
        <x:f>""</x:f>
        <x:v/>
      </x:c>
      <x:c r="AG1579" t="str">
        <x:f>""</x:f>
        <x:v/>
      </x:c>
    </x:row>
    <x:row r="1580" spans="2:33" x14ac:dyDescent="0.25">
      <x:c r="B1580" t="str">
        <x:f>"XU US Equity"</x:f>
        <x:v>XU US Equity</x:v>
      </x:c>
      <x:c r="C1580" t="str">
        <x:f t="shared" si="68"/>
        <x:v>FD447</x:v>
      </x:c>
      <x:c r="D1580" t="str">
        <x:f t="shared" si="69"/>
        <x:v>FUND_FLOW</x:v>
      </x:c>
      <x:c r="E1580" t="str">
        <x:f t="shared" si="70"/>
        <x:v>Dynamic</x:v>
      </x:c>
      <x:c r="F1580" t="str">
        <x:f ca="1">_xll.BDH($B$1580,$C$1580,$B$1010,$B$1011,CONCATENATE("Per=",$B$1008),"Dts=H","Dir=H",CONCATENATE("Points=",$B$1009),"Sort=R","Days=A","Fill=B",CONCATENATE("FX=", $B$1007) )</x:f>
        <x:v/>
      </x:c>
      <x:c r="T1580" t="str">
        <x:f>""</x:f>
        <x:v/>
      </x:c>
      <x:c r="U1580" t="str">
        <x:f>""</x:f>
        <x:v/>
      </x:c>
      <x:c r="V1580" t="str">
        <x:f>""</x:f>
        <x:v/>
      </x:c>
      <x:c r="W1580" t="str">
        <x:f>""</x:f>
        <x:v/>
      </x:c>
      <x:c r="X1580" t="str">
        <x:f>""</x:f>
        <x:v/>
      </x:c>
      <x:c r="Y1580" t="str">
        <x:f>""</x:f>
        <x:v/>
      </x:c>
      <x:c r="Z1580" t="str">
        <x:f>""</x:f>
        <x:v/>
      </x:c>
      <x:c r="AA1580" t="str">
        <x:f>""</x:f>
        <x:v/>
      </x:c>
      <x:c r="AB1580" t="str">
        <x:f>""</x:f>
        <x:v/>
      </x:c>
      <x:c r="AC1580" t="str">
        <x:f>""</x:f>
        <x:v/>
      </x:c>
      <x:c r="AD1580" t="str">
        <x:f>""</x:f>
        <x:v/>
      </x:c>
      <x:c r="AE1580" t="str">
        <x:f>""</x:f>
        <x:v/>
      </x:c>
      <x:c r="AF1580" t="str">
        <x:f>""</x:f>
        <x:v/>
      </x:c>
      <x:c r="AG1580" t="str">
        <x:f>""</x:f>
        <x:v/>
      </x:c>
    </x:row>
    <x:row r="1581" spans="2:33" x14ac:dyDescent="0.25">
      <x:c r="B1581" t="str">
        <x:f>"FXJP US Equity"</x:f>
        <x:v>FXJP US Equity</x:v>
      </x:c>
      <x:c r="C1581" t="str">
        <x:f t="shared" si="68"/>
        <x:v>FD447</x:v>
      </x:c>
      <x:c r="D1581" t="str">
        <x:f t="shared" si="69"/>
        <x:v>FUND_FLOW</x:v>
      </x:c>
      <x:c r="E1581" t="str">
        <x:f t="shared" si="70"/>
        <x:v>Dynamic</x:v>
      </x:c>
      <x:c r="F1581" t="str">
        <x:f ca="1">_xll.BDH($B$1581,$C$1581,$B$1010,$B$1011,CONCATENATE("Per=",$B$1008),"Dts=H","Dir=H",CONCATENATE("Points=",$B$1009),"Sort=R","Days=A","Fill=B",CONCATENATE("FX=", $B$1007) )</x:f>
        <x:v/>
      </x:c>
      <x:c r="T1581" t="str">
        <x:f>""</x:f>
        <x:v/>
      </x:c>
      <x:c r="U1581" t="str">
        <x:f>""</x:f>
        <x:v/>
      </x:c>
      <x:c r="V1581" t="str">
        <x:f>""</x:f>
        <x:v/>
      </x:c>
      <x:c r="W1581" t="str">
        <x:f>""</x:f>
        <x:v/>
      </x:c>
      <x:c r="X1581" t="str">
        <x:f>""</x:f>
        <x:v/>
      </x:c>
      <x:c r="Y1581" t="str">
        <x:f>""</x:f>
        <x:v/>
      </x:c>
      <x:c r="Z1581" t="str">
        <x:f>""</x:f>
        <x:v/>
      </x:c>
      <x:c r="AA1581" t="str">
        <x:f>""</x:f>
        <x:v/>
      </x:c>
      <x:c r="AB1581" t="str">
        <x:f>""</x:f>
        <x:v/>
      </x:c>
      <x:c r="AC1581" t="str">
        <x:f>""</x:f>
        <x:v/>
      </x:c>
      <x:c r="AD1581" t="str">
        <x:f>""</x:f>
        <x:v/>
      </x:c>
      <x:c r="AE1581" t="str">
        <x:f>""</x:f>
        <x:v/>
      </x:c>
      <x:c r="AF1581" t="str">
        <x:f>""</x:f>
        <x:v/>
      </x:c>
      <x:c r="AG1581" t="str">
        <x:f>""</x:f>
        <x:v/>
      </x:c>
    </x:row>
    <x:row r="1582" spans="2:33" x14ac:dyDescent="0.25">
      <x:c r="B1582" t="str">
        <x:f>"CHIU US Equity"</x:f>
        <x:v>CHIU US Equity</x:v>
      </x:c>
      <x:c r="C1582" t="str">
        <x:f t="shared" si="68"/>
        <x:v>FD447</x:v>
      </x:c>
      <x:c r="D1582" t="str">
        <x:f t="shared" si="69"/>
        <x:v>FUND_FLOW</x:v>
      </x:c>
      <x:c r="E1582" t="str">
        <x:f t="shared" si="70"/>
        <x:v>Dynamic</x:v>
      </x:c>
      <x:c r="F1582">
        <x:f ca="1">_xll.BDH($B$1582,$C$1582,$B$1010,$B$1011,CONCATENATE("Per=",$B$1008),"Dts=H","Dir=H",CONCATENATE("Points=",$B$1009),"Sort=R","Days=A","Fill=B",CONCATENATE("FX=", $B$1007),"cols=14;rows=1")</x:f>
        <x:v>0</x:v>
      </x:c>
      <x:c r="G1582">
        <x:v>0</x:v>
      </x:c>
      <x:c r="H1582">
        <x:v>0</x:v>
      </x:c>
      <x:c r="I1582">
        <x:v>0</x:v>
      </x:c>
      <x:c r="J1582">
        <x:v>0</x:v>
      </x:c>
      <x:c r="K1582">
        <x:v>0</x:v>
      </x:c>
      <x:c r="L1582">
        <x:v>0</x:v>
      </x:c>
      <x:c r="M1582">
        <x:v>0</x:v>
      </x:c>
      <x:c r="N1582">
        <x:v>-0.29920000000000002</x:v>
      </x:c>
      <x:c r="O1582">
        <x:v>0</x:v>
      </x:c>
      <x:c r="P1582">
        <x:v>0</x:v>
      </x:c>
      <x:c r="Q1582">
        <x:v>-0.27079999999999999</x:v>
      </x:c>
      <x:c r="R1582">
        <x:v>0</x:v>
      </x:c>
      <x:c r="S1582">
        <x:v>0</x:v>
      </x:c>
      <x:c r="T1582" t="str">
        <x:f>""</x:f>
        <x:v/>
      </x:c>
      <x:c r="U1582" t="str">
        <x:f>""</x:f>
        <x:v/>
      </x:c>
      <x:c r="V1582" t="str">
        <x:f>""</x:f>
        <x:v/>
      </x:c>
      <x:c r="W1582" t="str">
        <x:f>""</x:f>
        <x:v/>
      </x:c>
      <x:c r="X1582" t="str">
        <x:f>""</x:f>
        <x:v/>
      </x:c>
      <x:c r="Y1582" t="str">
        <x:f>""</x:f>
        <x:v/>
      </x:c>
      <x:c r="Z1582" t="str">
        <x:f>""</x:f>
        <x:v/>
      </x:c>
      <x:c r="AA1582" t="str">
        <x:f>""</x:f>
        <x:v/>
      </x:c>
      <x:c r="AB1582" t="str">
        <x:f>""</x:f>
        <x:v/>
      </x:c>
      <x:c r="AC1582" t="str">
        <x:f>""</x:f>
        <x:v/>
      </x:c>
      <x:c r="AD1582" t="str">
        <x:f>""</x:f>
        <x:v/>
      </x:c>
      <x:c r="AE1582" t="str">
        <x:f>""</x:f>
        <x:v/>
      </x:c>
      <x:c r="AF1582" t="str">
        <x:f>""</x:f>
        <x:v/>
      </x:c>
      <x:c r="AG1582" t="str">
        <x:f>""</x:f>
        <x:v/>
      </x:c>
    </x:row>
    <x:row r="1583" spans="2:33" x14ac:dyDescent="0.25">
      <x:c r="B1583" t="str">
        <x:f>"XLUY US Equity"</x:f>
        <x:v>XLUY US Equity</x:v>
      </x:c>
      <x:c r="C1583" t="str">
        <x:f t="shared" si="68"/>
        <x:v>FD447</x:v>
      </x:c>
      <x:c r="D1583" t="str">
        <x:f t="shared" si="69"/>
        <x:v>FUND_FLOW</x:v>
      </x:c>
      <x:c r="E1583" t="str">
        <x:f t="shared" si="70"/>
        <x:v>Dynamic</x:v>
      </x:c>
      <x:c r="F1583" t="str">
        <x:f ca="1">_xll.BDH($B$1583,$C$1583,$B$1010,$B$1011,CONCATENATE("Per=",$B$1008),"Dts=H","Dir=H",CONCATENATE("Points=",$B$1009),"Sort=R","Days=A","Fill=B",CONCATENATE("FX=", $B$1007) )</x:f>
        <x:v/>
      </x:c>
      <x:c r="T1583" t="str">
        <x:f>""</x:f>
        <x:v/>
      </x:c>
      <x:c r="U1583" t="str">
        <x:f>""</x:f>
        <x:v/>
      </x:c>
      <x:c r="V1583" t="str">
        <x:f>""</x:f>
        <x:v/>
      </x:c>
      <x:c r="W1583" t="str">
        <x:f>""</x:f>
        <x:v/>
      </x:c>
      <x:c r="X1583" t="str">
        <x:f>""</x:f>
        <x:v/>
      </x:c>
      <x:c r="Y1583" t="str">
        <x:f>""</x:f>
        <x:v/>
      </x:c>
      <x:c r="Z1583" t="str">
        <x:f>""</x:f>
        <x:v/>
      </x:c>
      <x:c r="AA1583" t="str">
        <x:f>""</x:f>
        <x:v/>
      </x:c>
      <x:c r="AB1583" t="str">
        <x:f>""</x:f>
        <x:v/>
      </x:c>
      <x:c r="AC1583" t="str">
        <x:f>""</x:f>
        <x:v/>
      </x:c>
      <x:c r="AD1583" t="str">
        <x:f>""</x:f>
        <x:v/>
      </x:c>
      <x:c r="AE1583" t="str">
        <x:f>""</x:f>
        <x:v/>
      </x:c>
      <x:c r="AF1583" t="str">
        <x:f>""</x:f>
        <x:v/>
      </x:c>
      <x:c r="AG1583" t="str">
        <x:f>""</x:f>
        <x:v/>
      </x:c>
    </x:row>
    <x:row r="1584" spans="2:33" x14ac:dyDescent="0.25">
      <x:c r="B1584" t="str">
        <x:f>"ARKK US Equity"</x:f>
        <x:v>ARKK US Equity</x:v>
      </x:c>
      <x:c r="C1584" t="str">
        <x:f t="shared" si="68"/>
        <x:v>FD447</x:v>
      </x:c>
      <x:c r="D1584" t="str">
        <x:f t="shared" si="69"/>
        <x:v>FUND_FLOW</x:v>
      </x:c>
      <x:c r="E1584" t="str">
        <x:f t="shared" si="70"/>
        <x:v>Dynamic</x:v>
      </x:c>
      <x:c r="F1584">
        <x:f ca="1">_xll.BDH($B$1584,$C$1584,$B$1010,$B$1011,CONCATENATE("Per=",$B$1008),"Dts=H","Dir=H",CONCATENATE("Points=",$B$1009),"Sort=R","Days=A","Fill=B",CONCATENATE("FX=", $B$1007),"cols=14;rows=1")</x:f>
        <x:v>13.6721</x:v>
      </x:c>
      <x:c r="G1584">
        <x:v>-388.89699999999999</x:v>
      </x:c>
      <x:c r="H1584">
        <x:v>-162.0556</x:v>
      </x:c>
      <x:c r="I1584">
        <x:v>223.80199999999999</x:v>
      </x:c>
      <x:c r="J1584">
        <x:v>-455.01639999999998</x:v>
      </x:c>
      <x:c r="K1584">
        <x:v>133.68</x:v>
      </x:c>
      <x:c r="L1584">
        <x:v>-399.35860000000002</x:v>
      </x:c>
      <x:c r="M1584">
        <x:v>182.74770000000001</x:v>
      </x:c>
      <x:c r="N1584">
        <x:v>17.2149</x:v>
      </x:c>
      <x:c r="O1584">
        <x:v>-0.80700000000000005</x:v>
      </x:c>
      <x:c r="P1584">
        <x:v>-292.99560000000002</x:v>
      </x:c>
      <x:c r="Q1584">
        <x:v>69.312700000000007</x:v>
      </x:c>
      <x:c r="R1584">
        <x:v>-57.107799999999997</x:v>
      </x:c>
      <x:c r="S1584">
        <x:v>452.51100000000002</x:v>
      </x:c>
      <x:c r="T1584" t="str">
        <x:f>""</x:f>
        <x:v/>
      </x:c>
      <x:c r="U1584" t="str">
        <x:f>""</x:f>
        <x:v/>
      </x:c>
      <x:c r="V1584" t="str">
        <x:f>""</x:f>
        <x:v/>
      </x:c>
      <x:c r="W1584" t="str">
        <x:f>""</x:f>
        <x:v/>
      </x:c>
      <x:c r="X1584" t="str">
        <x:f>""</x:f>
        <x:v/>
      </x:c>
      <x:c r="Y1584" t="str">
        <x:f>""</x:f>
        <x:v/>
      </x:c>
      <x:c r="Z1584" t="str">
        <x:f>""</x:f>
        <x:v/>
      </x:c>
      <x:c r="AA1584" t="str">
        <x:f>""</x:f>
        <x:v/>
      </x:c>
      <x:c r="AB1584" t="str">
        <x:f>""</x:f>
        <x:v/>
      </x:c>
      <x:c r="AC1584" t="str">
        <x:f>""</x:f>
        <x:v/>
      </x:c>
      <x:c r="AD1584" t="str">
        <x:f>""</x:f>
        <x:v/>
      </x:c>
      <x:c r="AE1584" t="str">
        <x:f>""</x:f>
        <x:v/>
      </x:c>
      <x:c r="AF1584" t="str">
        <x:f>""</x:f>
        <x:v/>
      </x:c>
      <x:c r="AG1584" t="str">
        <x:f>""</x:f>
        <x:v/>
      </x:c>
    </x:row>
    <x:row r="1585" spans="2:33" x14ac:dyDescent="0.25">
      <x:c r="B1585" t="str">
        <x:f>"XT US Equity"</x:f>
        <x:v>XT US Equity</x:v>
      </x:c>
      <x:c r="C1585" t="str">
        <x:f t="shared" si="68"/>
        <x:v>FD447</x:v>
      </x:c>
      <x:c r="D1585" t="str">
        <x:f t="shared" si="69"/>
        <x:v>FUND_FLOW</x:v>
      </x:c>
      <x:c r="E1585" t="str">
        <x:f t="shared" si="70"/>
        <x:v>Dynamic</x:v>
      </x:c>
      <x:c r="F1585">
        <x:f ca="1">_xll.BDH($B$1585,$C$1585,$B$1010,$B$1011,CONCATENATE("Per=",$B$1008),"Dts=H","Dir=H",CONCATENATE("Points=",$B$1009),"Sort=R","Days=A","Fill=B",CONCATENATE("FX=", $B$1007),"cols=14;rows=1")</x:f>
        <x:v>-30.837299999999999</x:v>
      </x:c>
      <x:c r="G1585">
        <x:v>16.1416</x:v>
      </x:c>
      <x:c r="H1585">
        <x:v>0</x:v>
      </x:c>
      <x:c r="I1585">
        <x:v>-31.2271</x:v>
      </x:c>
      <x:c r="J1585">
        <x:v>-35.247500000000002</x:v>
      </x:c>
      <x:c r="K1585">
        <x:v>0</x:v>
      </x:c>
      <x:c r="L1585">
        <x:v>0</x:v>
      </x:c>
      <x:c r="M1585">
        <x:v>-22.802900000000001</x:v>
      </x:c>
      <x:c r="N1585">
        <x:v>-5.1256000000000004</x:v>
      </x:c>
      <x:c r="O1585">
        <x:v>25.950500000000002</x:v>
      </x:c>
      <x:c r="P1585">
        <x:v>7.6219000000000001</x:v>
      </x:c>
      <x:c r="Q1585">
        <x:v>39.690800000000003</x:v>
      </x:c>
      <x:c r="R1585">
        <x:v>-4.8761000000000001</x:v>
      </x:c>
      <x:c r="S1585">
        <x:v>-14.466900000000001</x:v>
      </x:c>
      <x:c r="T1585" t="str">
        <x:f>""</x:f>
        <x:v/>
      </x:c>
      <x:c r="U1585" t="str">
        <x:f>""</x:f>
        <x:v/>
      </x:c>
      <x:c r="V1585" t="str">
        <x:f>""</x:f>
        <x:v/>
      </x:c>
      <x:c r="W1585" t="str">
        <x:f>""</x:f>
        <x:v/>
      </x:c>
      <x:c r="X1585" t="str">
        <x:f>""</x:f>
        <x:v/>
      </x:c>
      <x:c r="Y1585" t="str">
        <x:f>""</x:f>
        <x:v/>
      </x:c>
      <x:c r="Z1585" t="str">
        <x:f>""</x:f>
        <x:v/>
      </x:c>
      <x:c r="AA1585" t="str">
        <x:f>""</x:f>
        <x:v/>
      </x:c>
      <x:c r="AB1585" t="str">
        <x:f>""</x:f>
        <x:v/>
      </x:c>
      <x:c r="AC1585" t="str">
        <x:f>""</x:f>
        <x:v/>
      </x:c>
      <x:c r="AD1585" t="str">
        <x:f>""</x:f>
        <x:v/>
      </x:c>
      <x:c r="AE1585" t="str">
        <x:f>""</x:f>
        <x:v/>
      </x:c>
      <x:c r="AF1585" t="str">
        <x:f>""</x:f>
        <x:v/>
      </x:c>
      <x:c r="AG1585" t="str">
        <x:f>""</x:f>
        <x:v/>
      </x:c>
    </x:row>
    <x:row r="1586" spans="2:33" x14ac:dyDescent="0.25">
      <x:c r="B1586" t="str">
        <x:f>"KOMP US Equity"</x:f>
        <x:v>KOMP US Equity</x:v>
      </x:c>
      <x:c r="C1586" t="str">
        <x:f t="shared" si="68"/>
        <x:v>FD447</x:v>
      </x:c>
      <x:c r="D1586" t="str">
        <x:f t="shared" si="69"/>
        <x:v>FUND_FLOW</x:v>
      </x:c>
      <x:c r="E1586" t="str">
        <x:f t="shared" si="70"/>
        <x:v>Dynamic</x:v>
      </x:c>
      <x:c r="F1586">
        <x:f ca="1">_xll.BDH($B$1586,$C$1586,$B$1010,$B$1011,CONCATENATE("Per=",$B$1008),"Dts=H","Dir=H",CONCATENATE("Points=",$B$1009),"Sort=R","Days=A","Fill=B",CONCATENATE("FX=", $B$1007),"cols=14;rows=1")</x:f>
        <x:v>2.2936000000000001</x:v>
      </x:c>
      <x:c r="G1586">
        <x:v>17.883199999999999</x:v>
      </x:c>
      <x:c r="H1586">
        <x:v>5.8704000000000001</x:v>
      </x:c>
      <x:c r="I1586">
        <x:v>-2.7715000000000001</x:v>
      </x:c>
      <x:c r="J1586">
        <x:v>12.215199999999999</x:v>
      </x:c>
      <x:c r="K1586">
        <x:v>19.1343</x:v>
      </x:c>
      <x:c r="L1586">
        <x:v>5.8300999999999998</x:v>
      </x:c>
      <x:c r="M1586">
        <x:v>7.9878</x:v>
      </x:c>
      <x:c r="N1586">
        <x:v>5.5448000000000004</x:v>
      </x:c>
      <x:c r="O1586">
        <x:v>25.486599999999999</x:v>
      </x:c>
      <x:c r="P1586">
        <x:v>-36.916499999999999</x:v>
      </x:c>
      <x:c r="Q1586">
        <x:v>3.4775999999999998</x:v>
      </x:c>
      <x:c r="R1586">
        <x:v>18.007899999999999</x:v>
      </x:c>
      <x:c r="S1586">
        <x:v>3.1781999999999999</x:v>
      </x:c>
      <x:c r="T1586" t="str">
        <x:f>""</x:f>
        <x:v/>
      </x:c>
      <x:c r="U1586" t="str">
        <x:f>""</x:f>
        <x:v/>
      </x:c>
      <x:c r="V1586" t="str">
        <x:f>""</x:f>
        <x:v/>
      </x:c>
      <x:c r="W1586" t="str">
        <x:f>""</x:f>
        <x:v/>
      </x:c>
      <x:c r="X1586" t="str">
        <x:f>""</x:f>
        <x:v/>
      </x:c>
      <x:c r="Y1586" t="str">
        <x:f>""</x:f>
        <x:v/>
      </x:c>
      <x:c r="Z1586" t="str">
        <x:f>""</x:f>
        <x:v/>
      </x:c>
      <x:c r="AA1586" t="str">
        <x:f>""</x:f>
        <x:v/>
      </x:c>
      <x:c r="AB1586" t="str">
        <x:f>""</x:f>
        <x:v/>
      </x:c>
      <x:c r="AC1586" t="str">
        <x:f>""</x:f>
        <x:v/>
      </x:c>
      <x:c r="AD1586" t="str">
        <x:f>""</x:f>
        <x:v/>
      </x:c>
      <x:c r="AE1586" t="str">
        <x:f>""</x:f>
        <x:v/>
      </x:c>
      <x:c r="AF1586" t="str">
        <x:f>""</x:f>
        <x:v/>
      </x:c>
      <x:c r="AG1586" t="str">
        <x:f>""</x:f>
        <x:v/>
      </x:c>
    </x:row>
    <x:row r="1587" spans="2:33" x14ac:dyDescent="0.25">
      <x:c r="B1587" t="str">
        <x:f>"GXTG US Equity"</x:f>
        <x:v>GXTG US Equity</x:v>
      </x:c>
      <x:c r="C1587" t="str">
        <x:f t="shared" si="68"/>
        <x:v>FD447</x:v>
      </x:c>
      <x:c r="D1587" t="str">
        <x:f t="shared" si="69"/>
        <x:v>FUND_FLOW</x:v>
      </x:c>
      <x:c r="E1587" t="str">
        <x:f t="shared" si="70"/>
        <x:v>Dynamic</x:v>
      </x:c>
      <x:c r="F1587">
        <x:f ca="1">_xll.BDH($B$1587,$C$1587,$B$1010,$B$1011,CONCATENATE("Per=",$B$1008),"Dts=H","Dir=H",CONCATENATE("Points=",$B$1009),"Sort=R","Days=A","Fill=B",CONCATENATE("FX=", $B$1007),"cols=14;rows=1")</x:f>
        <x:v>1.1445000000000001</x:v>
      </x:c>
      <x:c r="G1587">
        <x:v>-0.23430000000000001</x:v>
      </x:c>
      <x:c r="H1587">
        <x:v>0.49340000000000001</x:v>
      </x:c>
      <x:c r="I1587">
        <x:v>-2.5823999999999998</x:v>
      </x:c>
      <x:c r="J1587">
        <x:v>-2.5590000000000002</x:v>
      </x:c>
      <x:c r="K1587">
        <x:v>-1.4936</x:v>
      </x:c>
      <x:c r="L1587">
        <x:v>0</x:v>
      </x:c>
      <x:c r="M1587">
        <x:v>-1.7059</x:v>
      </x:c>
      <x:c r="N1587">
        <x:v>-4.4025999999999996</x:v>
      </x:c>
      <x:c r="O1587">
        <x:v>1.0761000000000001</x:v>
      </x:c>
      <x:c r="P1587">
        <x:v>-0.2928</x:v>
      </x:c>
      <x:c r="Q1587">
        <x:v>-3.3929999999999998</x:v>
      </x:c>
      <x:c r="R1587">
        <x:v>-3.3948999999999998</x:v>
      </x:c>
      <x:c r="S1587">
        <x:v>1.3945000000000001</x:v>
      </x:c>
      <x:c r="T1587" t="str">
        <x:f>""</x:f>
        <x:v/>
      </x:c>
      <x:c r="U1587" t="str">
        <x:f>""</x:f>
        <x:v/>
      </x:c>
      <x:c r="V1587" t="str">
        <x:f>""</x:f>
        <x:v/>
      </x:c>
      <x:c r="W1587" t="str">
        <x:f>""</x:f>
        <x:v/>
      </x:c>
      <x:c r="X1587" t="str">
        <x:f>""</x:f>
        <x:v/>
      </x:c>
      <x:c r="Y1587" t="str">
        <x:f>""</x:f>
        <x:v/>
      </x:c>
      <x:c r="Z1587" t="str">
        <x:f>""</x:f>
        <x:v/>
      </x:c>
      <x:c r="AA1587" t="str">
        <x:f>""</x:f>
        <x:v/>
      </x:c>
      <x:c r="AB1587" t="str">
        <x:f>""</x:f>
        <x:v/>
      </x:c>
      <x:c r="AC1587" t="str">
        <x:f>""</x:f>
        <x:v/>
      </x:c>
      <x:c r="AD1587" t="str">
        <x:f>""</x:f>
        <x:v/>
      </x:c>
      <x:c r="AE1587" t="str">
        <x:f>""</x:f>
        <x:v/>
      </x:c>
      <x:c r="AF1587" t="str">
        <x:f>""</x:f>
        <x:v/>
      </x:c>
      <x:c r="AG1587" t="str">
        <x:f>""</x:f>
        <x:v/>
      </x:c>
    </x:row>
    <x:row r="1588" spans="2:33" x14ac:dyDescent="0.25">
      <x:c r="B1588" t="str">
        <x:f>"DTEC US Equity"</x:f>
        <x:v>DTEC US Equity</x:v>
      </x:c>
      <x:c r="C1588" t="str">
        <x:f t="shared" si="68"/>
        <x:v>FD447</x:v>
      </x:c>
      <x:c r="D1588" t="str">
        <x:f t="shared" si="69"/>
        <x:v>FUND_FLOW</x:v>
      </x:c>
      <x:c r="E1588" t="str">
        <x:f t="shared" si="70"/>
        <x:v>Dynamic</x:v>
      </x:c>
      <x:c r="F1588">
        <x:f ca="1">_xll.BDH($B$1588,$C$1588,$B$1010,$B$1011,CONCATENATE("Per=",$B$1008),"Dts=H","Dir=H",CONCATENATE("Points=",$B$1009),"Sort=R","Days=A","Fill=B",CONCATENATE("FX=", $B$1007),"cols=14;rows=1")</x:f>
        <x:v>0</x:v>
      </x:c>
      <x:c r="G1588">
        <x:v>-1.7723</x:v>
      </x:c>
      <x:c r="H1588">
        <x:v>-2.8071999999999999</x:v>
      </x:c>
      <x:c r="I1588">
        <x:v>0</x:v>
      </x:c>
      <x:c r="J1588">
        <x:v>-9.5197000000000003</x:v>
      </x:c>
      <x:c r="K1588">
        <x:v>-1.8240000000000001</x:v>
      </x:c>
      <x:c r="L1588">
        <x:v>-2.7254</x:v>
      </x:c>
      <x:c r="M1588">
        <x:v>-0.89239999999999997</x:v>
      </x:c>
      <x:c r="N1588">
        <x:v>0</x:v>
      </x:c>
      <x:c r="O1588">
        <x:v>-0.90510000000000002</x:v>
      </x:c>
      <x:c r="P1588">
        <x:v>-9.4121000000000006</x:v>
      </x:c>
      <x:c r="Q1588">
        <x:v>0</x:v>
      </x:c>
      <x:c r="R1588">
        <x:v>-3.2307999999999999</x:v>
      </x:c>
      <x:c r="S1588">
        <x:v>0</x:v>
      </x:c>
      <x:c r="T1588" t="str">
        <x:f>""</x:f>
        <x:v/>
      </x:c>
      <x:c r="U1588" t="str">
        <x:f>""</x:f>
        <x:v/>
      </x:c>
      <x:c r="V1588" t="str">
        <x:f>""</x:f>
        <x:v/>
      </x:c>
      <x:c r="W1588" t="str">
        <x:f>""</x:f>
        <x:v/>
      </x:c>
      <x:c r="X1588" t="str">
        <x:f>""</x:f>
        <x:v/>
      </x:c>
      <x:c r="Y1588" t="str">
        <x:f>""</x:f>
        <x:v/>
      </x:c>
      <x:c r="Z1588" t="str">
        <x:f>""</x:f>
        <x:v/>
      </x:c>
      <x:c r="AA1588" t="str">
        <x:f>""</x:f>
        <x:v/>
      </x:c>
      <x:c r="AB1588" t="str">
        <x:f>""</x:f>
        <x:v/>
      </x:c>
      <x:c r="AC1588" t="str">
        <x:f>""</x:f>
        <x:v/>
      </x:c>
      <x:c r="AD1588" t="str">
        <x:f>""</x:f>
        <x:v/>
      </x:c>
      <x:c r="AE1588" t="str">
        <x:f>""</x:f>
        <x:v/>
      </x:c>
      <x:c r="AF1588" t="str">
        <x:f>""</x:f>
        <x:v/>
      </x:c>
      <x:c r="AG1588" t="str">
        <x:f>""</x:f>
        <x:v/>
      </x:c>
    </x:row>
    <x:row r="1589" spans="2:33" x14ac:dyDescent="0.25">
      <x:c r="B1589" t="str">
        <x:f>"ANEW US Equity"</x:f>
        <x:v>ANEW US Equity</x:v>
      </x:c>
      <x:c r="C1589" t="str">
        <x:f t="shared" si="68"/>
        <x:v>FD447</x:v>
      </x:c>
      <x:c r="D1589" t="str">
        <x:f t="shared" si="69"/>
        <x:v>FUND_FLOW</x:v>
      </x:c>
      <x:c r="E1589" t="str">
        <x:f t="shared" si="70"/>
        <x:v>Dynamic</x:v>
      </x:c>
      <x:c r="F1589">
        <x:f ca="1">_xll.BDH($B$1589,$C$1589,$B$1010,$B$1011,CONCATENATE("Per=",$B$1008),"Dts=H","Dir=H",CONCATENATE("Points=",$B$1009),"Sort=R","Days=A","Fill=B",CONCATENATE("FX=", $B$1007),"cols=14;rows=1")</x:f>
        <x:v>0</x:v>
      </x:c>
      <x:c r="G1589">
        <x:v>0</x:v>
      </x:c>
      <x:c r="H1589">
        <x:v>0</x:v>
      </x:c>
      <x:c r="I1589">
        <x:v>-0.9516</x:v>
      </x:c>
      <x:c r="J1589">
        <x:v>-1.8248</x:v>
      </x:c>
      <x:c r="K1589">
        <x:v>-3.4632000000000001</x:v>
      </x:c>
      <x:c r="L1589">
        <x:v>-0.873</x:v>
      </x:c>
      <x:c r="M1589">
        <x:v>0</x:v>
      </x:c>
      <x:c r="N1589">
        <x:v>0</x:v>
      </x:c>
      <x:c r="O1589">
        <x:v>0</x:v>
      </x:c>
      <x:c r="P1589">
        <x:v>-3.2315</x:v>
      </x:c>
      <x:c r="Q1589">
        <x:v>-7.2027999999999999</x:v>
      </x:c>
      <x:c r="R1589">
        <x:v>0</x:v>
      </x:c>
      <x:c r="S1589">
        <x:v>0</x:v>
      </x:c>
      <x:c r="T1589" t="str">
        <x:f>""</x:f>
        <x:v/>
      </x:c>
      <x:c r="U1589" t="str">
        <x:f>""</x:f>
        <x:v/>
      </x:c>
      <x:c r="V1589" t="str">
        <x:f>""</x:f>
        <x:v/>
      </x:c>
      <x:c r="W1589" t="str">
        <x:f>""</x:f>
        <x:v/>
      </x:c>
      <x:c r="X1589" t="str">
        <x:f>""</x:f>
        <x:v/>
      </x:c>
      <x:c r="Y1589" t="str">
        <x:f>""</x:f>
        <x:v/>
      </x:c>
      <x:c r="Z1589" t="str">
        <x:f>""</x:f>
        <x:v/>
      </x:c>
      <x:c r="AA1589" t="str">
        <x:f>""</x:f>
        <x:v/>
      </x:c>
      <x:c r="AB1589" t="str">
        <x:f>""</x:f>
        <x:v/>
      </x:c>
      <x:c r="AC1589" t="str">
        <x:f>""</x:f>
        <x:v/>
      </x:c>
      <x:c r="AD1589" t="str">
        <x:f>""</x:f>
        <x:v/>
      </x:c>
      <x:c r="AE1589" t="str">
        <x:f>""</x:f>
        <x:v/>
      </x:c>
      <x:c r="AF1589" t="str">
        <x:f>""</x:f>
        <x:v/>
      </x:c>
      <x:c r="AG1589" t="str">
        <x:f>""</x:f>
        <x:v/>
      </x:c>
    </x:row>
    <x:row r="1590" spans="2:33" x14ac:dyDescent="0.25">
      <x:c r="B1590" t="str">
        <x:f>"GINN US Equity"</x:f>
        <x:v>GINN US Equity</x:v>
      </x:c>
      <x:c r="C1590" t="str">
        <x:f t="shared" ref="C1590:C1653" si="71">"FD447"</x:f>
        <x:v>FD447</x:v>
      </x:c>
      <x:c r="D1590" t="str">
        <x:f t="shared" ref="D1590:D1653" si="72">"FUND_FLOW"</x:f>
        <x:v>FUND_FLOW</x:v>
      </x:c>
      <x:c r="E1590" t="str">
        <x:f t="shared" ref="E1590:E1653" si="73">"Dynamic"</x:f>
        <x:v>Dynamic</x:v>
      </x:c>
      <x:c r="F1590">
        <x:f ca="1">_xll.BDH($B$1590,$C$1590,$B$1010,$B$1011,CONCATENATE("Per=",$B$1008),"Dts=H","Dir=H",CONCATENATE("Points=",$B$1009),"Sort=R","Days=A","Fill=B",CONCATENATE("FX=", $B$1007),"cols=14;rows=1")</x:f>
        <x:v>0</x:v>
      </x:c>
      <x:c r="G1590">
        <x:v>0</x:v>
      </x:c>
      <x:c r="H1590">
        <x:v>-2.6358999999999999</x:v>
      </x:c>
      <x:c r="I1590">
        <x:v>-2.5796999999999999</x:v>
      </x:c>
      <x:c r="J1590">
        <x:v>-4.8106</x:v>
      </x:c>
      <x:c r="K1590">
        <x:v>0</x:v>
      </x:c>
      <x:c r="L1590">
        <x:v>-2.2909999999999999</x:v>
      </x:c>
      <x:c r="M1590">
        <x:v>-4.3166000000000002</x:v>
      </x:c>
      <x:c r="N1590">
        <x:v>-9.0714000000000006</x:v>
      </x:c>
      <x:c r="O1590">
        <x:v>0.11509999999999999</x:v>
      </x:c>
      <x:c r="P1590">
        <x:v>-18.171399999999998</x:v>
      </x:c>
      <x:c r="Q1590">
        <x:v>14.9565</x:v>
      </x:c>
      <x:c r="R1590">
        <x:v>-1.978</x:v>
      </x:c>
      <x:c r="S1590">
        <x:v>0</x:v>
      </x:c>
      <x:c r="T1590" t="str">
        <x:f>""</x:f>
        <x:v/>
      </x:c>
      <x:c r="U1590" t="str">
        <x:f>""</x:f>
        <x:v/>
      </x:c>
      <x:c r="V1590" t="str">
        <x:f>""</x:f>
        <x:v/>
      </x:c>
      <x:c r="W1590" t="str">
        <x:f>""</x:f>
        <x:v/>
      </x:c>
      <x:c r="X1590" t="str">
        <x:f>""</x:f>
        <x:v/>
      </x:c>
      <x:c r="Y1590" t="str">
        <x:f>""</x:f>
        <x:v/>
      </x:c>
      <x:c r="Z1590" t="str">
        <x:f>""</x:f>
        <x:v/>
      </x:c>
      <x:c r="AA1590" t="str">
        <x:f>""</x:f>
        <x:v/>
      </x:c>
      <x:c r="AB1590" t="str">
        <x:f>""</x:f>
        <x:v/>
      </x:c>
      <x:c r="AC1590" t="str">
        <x:f>""</x:f>
        <x:v/>
      </x:c>
      <x:c r="AD1590" t="str">
        <x:f>""</x:f>
        <x:v/>
      </x:c>
      <x:c r="AE1590" t="str">
        <x:f>""</x:f>
        <x:v/>
      </x:c>
      <x:c r="AF1590" t="str">
        <x:f>""</x:f>
        <x:v/>
      </x:c>
      <x:c r="AG1590" t="str">
        <x:f>""</x:f>
        <x:v/>
      </x:c>
    </x:row>
    <x:row r="1591" spans="2:33" x14ac:dyDescent="0.25">
      <x:c r="B1591" t="str">
        <x:f>"MOON US Equity"</x:f>
        <x:v>MOON US Equity</x:v>
      </x:c>
      <x:c r="C1591" t="str">
        <x:f t="shared" si="71"/>
        <x:v>FD447</x:v>
      </x:c>
      <x:c r="D1591" t="str">
        <x:f t="shared" si="72"/>
        <x:v>FUND_FLOW</x:v>
      </x:c>
      <x:c r="E1591" t="str">
        <x:f t="shared" si="73"/>
        <x:v>Dynamic</x:v>
      </x:c>
      <x:c r="F1591">
        <x:f ca="1">_xll.BDH($B$1591,$C$1591,$B$1010,$B$1011,CONCATENATE("Per=",$B$1008),"Dts=H","Dir=H",CONCATENATE("Points=",$B$1009),"Sort=R","Days=A","Fill=B",CONCATENATE("FX=", $B$1007),"cols=14;rows=1")</x:f>
        <x:v>0.19059999999999999</x:v>
      </x:c>
      <x:c r="G1591">
        <x:v>0</x:v>
      </x:c>
      <x:c r="H1591">
        <x:v>-0.376</x:v>
      </x:c>
      <x:c r="I1591">
        <x:v>-0.57679999999999998</x:v>
      </x:c>
      <x:c r="J1591">
        <x:v>-0.33639999999999998</x:v>
      </x:c>
      <x:c r="K1591">
        <x:v>0</x:v>
      </x:c>
      <x:c r="L1591">
        <x:v>0.25519999999999998</x:v>
      </x:c>
      <x:c r="M1591">
        <x:v>-1.1438999999999999</x:v>
      </x:c>
      <x:c r="N1591">
        <x:v>-6.2629000000000001</x:v>
      </x:c>
      <x:c r="O1591">
        <x:v>7.6558999999999999</x:v>
      </x:c>
      <x:c r="P1591">
        <x:v>-0.2666</x:v>
      </x:c>
      <x:c r="Q1591">
        <x:v>-0.63570000000000004</x:v>
      </x:c>
      <x:c r="R1591">
        <x:v>-1.8996</x:v>
      </x:c>
      <x:c r="S1591">
        <x:v>-0.6573</x:v>
      </x:c>
      <x:c r="T1591" t="str">
        <x:f>""</x:f>
        <x:v/>
      </x:c>
      <x:c r="U1591" t="str">
        <x:f>""</x:f>
        <x:v/>
      </x:c>
      <x:c r="V1591" t="str">
        <x:f>""</x:f>
        <x:v/>
      </x:c>
      <x:c r="W1591" t="str">
        <x:f>""</x:f>
        <x:v/>
      </x:c>
      <x:c r="X1591" t="str">
        <x:f>""</x:f>
        <x:v/>
      </x:c>
      <x:c r="Y1591" t="str">
        <x:f>""</x:f>
        <x:v/>
      </x:c>
      <x:c r="Z1591" t="str">
        <x:f>""</x:f>
        <x:v/>
      </x:c>
      <x:c r="AA1591" t="str">
        <x:f>""</x:f>
        <x:v/>
      </x:c>
      <x:c r="AB1591" t="str">
        <x:f>""</x:f>
        <x:v/>
      </x:c>
      <x:c r="AC1591" t="str">
        <x:f>""</x:f>
        <x:v/>
      </x:c>
      <x:c r="AD1591" t="str">
        <x:f>""</x:f>
        <x:v/>
      </x:c>
      <x:c r="AE1591" t="str">
        <x:f>""</x:f>
        <x:v/>
      </x:c>
      <x:c r="AF1591" t="str">
        <x:f>""</x:f>
        <x:v/>
      </x:c>
      <x:c r="AG1591" t="str">
        <x:f>""</x:f>
        <x:v/>
      </x:c>
    </x:row>
    <x:row r="1592" spans="2:33" x14ac:dyDescent="0.25">
      <x:c r="B1592" t="str">
        <x:f>"TMAT US Equity"</x:f>
        <x:v>TMAT US Equity</x:v>
      </x:c>
      <x:c r="C1592" t="str">
        <x:f t="shared" si="71"/>
        <x:v>FD447</x:v>
      </x:c>
      <x:c r="D1592" t="str">
        <x:f t="shared" si="72"/>
        <x:v>FUND_FLOW</x:v>
      </x:c>
      <x:c r="E1592" t="str">
        <x:f t="shared" si="73"/>
        <x:v>Dynamic</x:v>
      </x:c>
      <x:c r="F1592">
        <x:f ca="1">_xll.BDH($B$1592,$C$1592,$B$1010,$B$1011,CONCATENATE("Per=",$B$1008),"Dts=H","Dir=H",CONCATENATE("Points=",$B$1009),"Sort=R","Days=A","Fill=B",CONCATENATE("FX=", $B$1007),"cols=14;rows=1")</x:f>
        <x:v>-0.41399999999999998</x:v>
      </x:c>
      <x:c r="G1592">
        <x:v>1.2811999999999999</x:v>
      </x:c>
      <x:c r="H1592">
        <x:v>1.1653</x:v>
      </x:c>
      <x:c r="I1592">
        <x:v>1.2873000000000001</x:v>
      </x:c>
      <x:c r="J1592">
        <x:v>2.7544</x:v>
      </x:c>
      <x:c r="K1592">
        <x:v>2.1627999999999998</x:v>
      </x:c>
      <x:c r="L1592">
        <x:v>2.2161</x:v>
      </x:c>
      <x:c r="M1592">
        <x:v>1.3461000000000001</x:v>
      </x:c>
      <x:c r="N1592">
        <x:v>3.6212</x:v>
      </x:c>
      <x:c r="O1592">
        <x:v>10.0532</x:v>
      </x:c>
      <x:c r="P1592">
        <x:v>9.5494000000000003</x:v>
      </x:c>
      <x:c r="Q1592">
        <x:v>-4.9732000000000003</x:v>
      </x:c>
      <x:c r="R1592">
        <x:v>-2.3996</x:v>
      </x:c>
      <x:c r="S1592">
        <x:v>0.85609999999999997</x:v>
      </x:c>
      <x:c r="T1592" t="str">
        <x:f>""</x:f>
        <x:v/>
      </x:c>
      <x:c r="U1592" t="str">
        <x:f>""</x:f>
        <x:v/>
      </x:c>
      <x:c r="V1592" t="str">
        <x:f>""</x:f>
        <x:v/>
      </x:c>
      <x:c r="W1592" t="str">
        <x:f>""</x:f>
        <x:v/>
      </x:c>
      <x:c r="X1592" t="str">
        <x:f>""</x:f>
        <x:v/>
      </x:c>
      <x:c r="Y1592" t="str">
        <x:f>""</x:f>
        <x:v/>
      </x:c>
      <x:c r="Z1592" t="str">
        <x:f>""</x:f>
        <x:v/>
      </x:c>
      <x:c r="AA1592" t="str">
        <x:f>""</x:f>
        <x:v/>
      </x:c>
      <x:c r="AB1592" t="str">
        <x:f>""</x:f>
        <x:v/>
      </x:c>
      <x:c r="AC1592" t="str">
        <x:f>""</x:f>
        <x:v/>
      </x:c>
      <x:c r="AD1592" t="str">
        <x:f>""</x:f>
        <x:v/>
      </x:c>
      <x:c r="AE1592" t="str">
        <x:f>""</x:f>
        <x:v/>
      </x:c>
      <x:c r="AF1592" t="str">
        <x:f>""</x:f>
        <x:v/>
      </x:c>
      <x:c r="AG1592" t="str">
        <x:f>""</x:f>
        <x:v/>
      </x:c>
    </x:row>
    <x:row r="1593" spans="2:33" x14ac:dyDescent="0.25">
      <x:c r="B1593" t="str">
        <x:f>"BFTR US Equity"</x:f>
        <x:v>BFTR US Equity</x:v>
      </x:c>
      <x:c r="C1593" t="str">
        <x:f t="shared" si="71"/>
        <x:v>FD447</x:v>
      </x:c>
      <x:c r="D1593" t="str">
        <x:f t="shared" si="72"/>
        <x:v>FUND_FLOW</x:v>
      </x:c>
      <x:c r="E1593" t="str">
        <x:f t="shared" si="73"/>
        <x:v>Dynamic</x:v>
      </x:c>
      <x:c r="F1593">
        <x:f ca="1">_xll.BDH($B$1593,$C$1593,$B$1010,$B$1011,CONCATENATE("Per=",$B$1008),"Dts=H","Dir=H",CONCATENATE("Points=",$B$1009),"Sort=R","Days=A","Fill=B",CONCATENATE("FX=", $B$1007),"cols=14;rows=1")</x:f>
        <x:v>0</x:v>
      </x:c>
      <x:c r="G1593">
        <x:v>0</x:v>
      </x:c>
      <x:c r="H1593">
        <x:v>0</x:v>
      </x:c>
      <x:c r="I1593">
        <x:v>0</x:v>
      </x:c>
      <x:c r="J1593">
        <x:v>0</x:v>
      </x:c>
      <x:c r="K1593">
        <x:v>0</x:v>
      </x:c>
      <x:c r="L1593">
        <x:v>-0.80059999999999998</x:v>
      </x:c>
      <x:c r="M1593">
        <x:v>0</x:v>
      </x:c>
      <x:c r="N1593">
        <x:v>0</x:v>
      </x:c>
      <x:c r="O1593">
        <x:v>-0.78969999999999996</x:v>
      </x:c>
      <x:c r="P1593">
        <x:v>0</x:v>
      </x:c>
      <x:c r="Q1593">
        <x:v>0.5101</x:v>
      </x:c>
      <x:c r="R1593">
        <x:v>0</x:v>
      </x:c>
      <x:c r="S1593">
        <x:v>0</x:v>
      </x:c>
      <x:c r="T1593" t="str">
        <x:f>""</x:f>
        <x:v/>
      </x:c>
      <x:c r="U1593" t="str">
        <x:f>""</x:f>
        <x:v/>
      </x:c>
      <x:c r="V1593" t="str">
        <x:f>""</x:f>
        <x:v/>
      </x:c>
      <x:c r="W1593" t="str">
        <x:f>""</x:f>
        <x:v/>
      </x:c>
      <x:c r="X1593" t="str">
        <x:f>""</x:f>
        <x:v/>
      </x:c>
      <x:c r="Y1593" t="str">
        <x:f>""</x:f>
        <x:v/>
      </x:c>
      <x:c r="Z1593" t="str">
        <x:f>""</x:f>
        <x:v/>
      </x:c>
      <x:c r="AA1593" t="str">
        <x:f>""</x:f>
        <x:v/>
      </x:c>
      <x:c r="AB1593" t="str">
        <x:f>""</x:f>
        <x:v/>
      </x:c>
      <x:c r="AC1593" t="str">
        <x:f>""</x:f>
        <x:v/>
      </x:c>
      <x:c r="AD1593" t="str">
        <x:f>""</x:f>
        <x:v/>
      </x:c>
      <x:c r="AE1593" t="str">
        <x:f>""</x:f>
        <x:v/>
      </x:c>
      <x:c r="AF1593" t="str">
        <x:f>""</x:f>
        <x:v/>
      </x:c>
      <x:c r="AG1593" t="str">
        <x:f>""</x:f>
        <x:v/>
      </x:c>
    </x:row>
    <x:row r="1594" spans="2:33" x14ac:dyDescent="0.25">
      <x:c r="B1594" t="str">
        <x:f>"JFWD US Equity"</x:f>
        <x:v>JFWD US Equity</x:v>
      </x:c>
      <x:c r="C1594" t="str">
        <x:f t="shared" si="71"/>
        <x:v>FD447</x:v>
      </x:c>
      <x:c r="D1594" t="str">
        <x:f t="shared" si="72"/>
        <x:v>FUND_FLOW</x:v>
      </x:c>
      <x:c r="E1594" t="str">
        <x:f t="shared" si="73"/>
        <x:v>Dynamic</x:v>
      </x:c>
      <x:c r="F1594">
        <x:f ca="1">_xll.BDH($B$1594,$C$1594,$B$1010,$B$1011,CONCATENATE("Per=",$B$1008),"Dts=H","Dir=H",CONCATENATE("Points=",$B$1009),"Sort=R","Days=A","Fill=B",CONCATENATE("FX=", $B$1007),"cols=14;rows=1")</x:f>
        <x:v>-0.22009999999999999</x:v>
      </x:c>
      <x:c r="G1594">
        <x:v>0</x:v>
      </x:c>
      <x:c r="H1594">
        <x:v>0</x:v>
      </x:c>
      <x:c r="I1594">
        <x:v>0</x:v>
      </x:c>
      <x:c r="J1594">
        <x:v>0</x:v>
      </x:c>
      <x:c r="K1594">
        <x:v>-0.17349999999999999</x:v>
      </x:c>
      <x:c r="L1594">
        <x:v>0</x:v>
      </x:c>
      <x:c r="M1594">
        <x:v>8.8999999999999999E-3</x:v>
      </x:c>
      <x:c r="N1594">
        <x:v>0</x:v>
      </x:c>
      <x:c r="O1594">
        <x:v>0</x:v>
      </x:c>
      <x:c r="P1594">
        <x:v>-0.16919999999999999</x:v>
      </x:c>
      <x:c r="Q1594">
        <x:v>0</x:v>
      </x:c>
      <x:c r="R1594">
        <x:v>0</x:v>
      </x:c>
      <x:c r="S1594">
        <x:v>0</x:v>
      </x:c>
      <x:c r="T1594" t="str">
        <x:f>""</x:f>
        <x:v/>
      </x:c>
      <x:c r="U1594" t="str">
        <x:f>""</x:f>
        <x:v/>
      </x:c>
      <x:c r="V1594" t="str">
        <x:f>""</x:f>
        <x:v/>
      </x:c>
      <x:c r="W1594" t="str">
        <x:f>""</x:f>
        <x:v/>
      </x:c>
      <x:c r="X1594" t="str">
        <x:f>""</x:f>
        <x:v/>
      </x:c>
      <x:c r="Y1594" t="str">
        <x:f>""</x:f>
        <x:v/>
      </x:c>
      <x:c r="Z1594" t="str">
        <x:f>""</x:f>
        <x:v/>
      </x:c>
      <x:c r="AA1594" t="str">
        <x:f>""</x:f>
        <x:v/>
      </x:c>
      <x:c r="AB1594" t="str">
        <x:f>""</x:f>
        <x:v/>
      </x:c>
      <x:c r="AC1594" t="str">
        <x:f>""</x:f>
        <x:v/>
      </x:c>
      <x:c r="AD1594" t="str">
        <x:f>""</x:f>
        <x:v/>
      </x:c>
      <x:c r="AE1594" t="str">
        <x:f>""</x:f>
        <x:v/>
      </x:c>
      <x:c r="AF1594" t="str">
        <x:f>""</x:f>
        <x:v/>
      </x:c>
      <x:c r="AG1594" t="str">
        <x:f>""</x:f>
        <x:v/>
      </x:c>
    </x:row>
    <x:row r="1595" spans="2:33" x14ac:dyDescent="0.25">
      <x:c r="B1595" t="str">
        <x:f>"KEJI US Equity"</x:f>
        <x:v>KEJI US Equity</x:v>
      </x:c>
      <x:c r="C1595" t="str">
        <x:f t="shared" si="71"/>
        <x:v>FD447</x:v>
      </x:c>
      <x:c r="D1595" t="str">
        <x:f t="shared" si="72"/>
        <x:v>FUND_FLOW</x:v>
      </x:c>
      <x:c r="E1595" t="str">
        <x:f t="shared" si="73"/>
        <x:v>Dynamic</x:v>
      </x:c>
      <x:c r="F1595">
        <x:f ca="1">_xll.BDH($B$1595,$C$1595,$B$1010,$B$1011,CONCATENATE("Per=",$B$1008),"Dts=H","Dir=H",CONCATENATE("Points=",$B$1009),"Sort=R","Days=A","Fill=B",CONCATENATE("FX=", $B$1007),"cols=14;rows=1")</x:f>
        <x:v>0</x:v>
      </x:c>
      <x:c r="G1595">
        <x:v>-0.76300000000000001</x:v>
      </x:c>
      <x:c r="H1595">
        <x:v>0</x:v>
      </x:c>
      <x:c r="I1595">
        <x:v>0</x:v>
      </x:c>
      <x:c r="J1595">
        <x:v>0</x:v>
      </x:c>
      <x:c r="K1595">
        <x:v>0</x:v>
      </x:c>
      <x:c r="L1595">
        <x:v>0</x:v>
      </x:c>
      <x:c r="M1595">
        <x:v>0</x:v>
      </x:c>
      <x:c r="N1595">
        <x:v>0</x:v>
      </x:c>
      <x:c r="O1595">
        <x:v>0</x:v>
      </x:c>
      <x:c r="P1595">
        <x:v>0</x:v>
      </x:c>
      <x:c r="Q1595">
        <x:v>0</x:v>
      </x:c>
      <x:c r="R1595">
        <x:v>0</x:v>
      </x:c>
      <x:c r="S1595">
        <x:v>0</x:v>
      </x:c>
      <x:c r="T1595" t="str">
        <x:f>""</x:f>
        <x:v/>
      </x:c>
      <x:c r="U1595" t="str">
        <x:f>""</x:f>
        <x:v/>
      </x:c>
      <x:c r="V1595" t="str">
        <x:f>""</x:f>
        <x:v/>
      </x:c>
      <x:c r="W1595" t="str">
        <x:f>""</x:f>
        <x:v/>
      </x:c>
      <x:c r="X1595" t="str">
        <x:f>""</x:f>
        <x:v/>
      </x:c>
      <x:c r="Y1595" t="str">
        <x:f>""</x:f>
        <x:v/>
      </x:c>
      <x:c r="Z1595" t="str">
        <x:f>""</x:f>
        <x:v/>
      </x:c>
      <x:c r="AA1595" t="str">
        <x:f>""</x:f>
        <x:v/>
      </x:c>
      <x:c r="AB1595" t="str">
        <x:f>""</x:f>
        <x:v/>
      </x:c>
      <x:c r="AC1595" t="str">
        <x:f>""</x:f>
        <x:v/>
      </x:c>
      <x:c r="AD1595" t="str">
        <x:f>""</x:f>
        <x:v/>
      </x:c>
      <x:c r="AE1595" t="str">
        <x:f>""</x:f>
        <x:v/>
      </x:c>
      <x:c r="AF1595" t="str">
        <x:f>""</x:f>
        <x:v/>
      </x:c>
      <x:c r="AG1595" t="str">
        <x:f>""</x:f>
        <x:v/>
      </x:c>
    </x:row>
    <x:row r="1596" spans="2:33" x14ac:dyDescent="0.25">
      <x:c r="B1596" t="str">
        <x:f>"BERZ US Equity"</x:f>
        <x:v>BERZ US Equity</x:v>
      </x:c>
      <x:c r="C1596" t="str">
        <x:f t="shared" si="71"/>
        <x:v>FD447</x:v>
      </x:c>
      <x:c r="D1596" t="str">
        <x:f t="shared" si="72"/>
        <x:v>FUND_FLOW</x:v>
      </x:c>
      <x:c r="E1596" t="str">
        <x:f t="shared" si="73"/>
        <x:v>Dynamic</x:v>
      </x:c>
      <x:c r="F1596">
        <x:f ca="1">_xll.BDH($B$1596,$C$1596,$B$1010,$B$1011,CONCATENATE("Per=",$B$1008),"Dts=H","Dir=H",CONCATENATE("Points=",$B$1009),"Sort=R","Days=A","Fill=B",CONCATENATE("FX=", $B$1007),"cols=14;rows=1")</x:f>
        <x:v>0</x:v>
      </x:c>
      <x:c r="G1596">
        <x:v>0</x:v>
      </x:c>
      <x:c r="H1596">
        <x:v>0</x:v>
      </x:c>
      <x:c r="I1596">
        <x:v>0</x:v>
      </x:c>
      <x:c r="J1596">
        <x:v>12.1822</x:v>
      </x:c>
      <x:c r="K1596">
        <x:v>0</x:v>
      </x:c>
      <x:c r="L1596">
        <x:v>0</x:v>
      </x:c>
      <x:c r="M1596">
        <x:v>0</x:v>
      </x:c>
      <x:c r="N1596">
        <x:v>0</x:v>
      </x:c>
      <x:c r="O1596">
        <x:v>10.5755</x:v>
      </x:c>
      <x:c r="P1596">
        <x:v>0</x:v>
      </x:c>
      <x:c r="Q1596">
        <x:v>0</x:v>
      </x:c>
      <x:c r="R1596">
        <x:v>0</x:v>
      </x:c>
      <x:c r="S1596">
        <x:v>0</x:v>
      </x:c>
      <x:c r="T1596" t="str">
        <x:f>""</x:f>
        <x:v/>
      </x:c>
      <x:c r="U1596" t="str">
        <x:f>""</x:f>
        <x:v/>
      </x:c>
      <x:c r="V1596" t="str">
        <x:f>""</x:f>
        <x:v/>
      </x:c>
      <x:c r="W1596" t="str">
        <x:f>""</x:f>
        <x:v/>
      </x:c>
      <x:c r="X1596" t="str">
        <x:f>""</x:f>
        <x:v/>
      </x:c>
      <x:c r="Y1596" t="str">
        <x:f>""</x:f>
        <x:v/>
      </x:c>
      <x:c r="Z1596" t="str">
        <x:f>""</x:f>
        <x:v/>
      </x:c>
      <x:c r="AA1596" t="str">
        <x:f>""</x:f>
        <x:v/>
      </x:c>
      <x:c r="AB1596" t="str">
        <x:f>""</x:f>
        <x:v/>
      </x:c>
      <x:c r="AC1596" t="str">
        <x:f>""</x:f>
        <x:v/>
      </x:c>
      <x:c r="AD1596" t="str">
        <x:f>""</x:f>
        <x:v/>
      </x:c>
      <x:c r="AE1596" t="str">
        <x:f>""</x:f>
        <x:v/>
      </x:c>
      <x:c r="AF1596" t="str">
        <x:f>""</x:f>
        <x:v/>
      </x:c>
      <x:c r="AG1596" t="str">
        <x:f>""</x:f>
        <x:v/>
      </x:c>
    </x:row>
    <x:row r="1597" spans="2:33" x14ac:dyDescent="0.25">
      <x:c r="B1597" t="str">
        <x:f>"BULZ US Equity"</x:f>
        <x:v>BULZ US Equity</x:v>
      </x:c>
      <x:c r="C1597" t="str">
        <x:f t="shared" si="71"/>
        <x:v>FD447</x:v>
      </x:c>
      <x:c r="D1597" t="str">
        <x:f t="shared" si="72"/>
        <x:v>FUND_FLOW</x:v>
      </x:c>
      <x:c r="E1597" t="str">
        <x:f t="shared" si="73"/>
        <x:v>Dynamic</x:v>
      </x:c>
      <x:c r="F1597">
        <x:f ca="1">_xll.BDH($B$1597,$C$1597,$B$1010,$B$1011,CONCATENATE("Per=",$B$1008),"Dts=H","Dir=H",CONCATENATE("Points=",$B$1009),"Sort=R","Days=A","Fill=B",CONCATENATE("FX=", $B$1007),"cols=14;rows=1")</x:f>
        <x:v>0</x:v>
      </x:c>
      <x:c r="G1597">
        <x:v>0</x:v>
      </x:c>
      <x:c r="H1597">
        <x:v>0</x:v>
      </x:c>
      <x:c r="I1597">
        <x:v>0</x:v>
      </x:c>
      <x:c r="J1597">
        <x:v>0</x:v>
      </x:c>
      <x:c r="K1597">
        <x:v>0</x:v>
      </x:c>
      <x:c r="L1597">
        <x:v>0</x:v>
      </x:c>
      <x:c r="M1597">
        <x:v>0</x:v>
      </x:c>
      <x:c r="N1597">
        <x:v>0</x:v>
      </x:c>
      <x:c r="O1597">
        <x:v>0</x:v>
      </x:c>
      <x:c r="P1597">
        <x:v>0</x:v>
      </x:c>
      <x:c r="Q1597">
        <x:v>0</x:v>
      </x:c>
      <x:c r="R1597">
        <x:v>15.3224</x:v>
      </x:c>
      <x:c r="S1597">
        <x:v>69.725200000000001</x:v>
      </x:c>
      <x:c r="T1597" t="str">
        <x:f>""</x:f>
        <x:v/>
      </x:c>
      <x:c r="U1597" t="str">
        <x:f>""</x:f>
        <x:v/>
      </x:c>
      <x:c r="V1597" t="str">
        <x:f>""</x:f>
        <x:v/>
      </x:c>
      <x:c r="W1597" t="str">
        <x:f>""</x:f>
        <x:v/>
      </x:c>
      <x:c r="X1597" t="str">
        <x:f>""</x:f>
        <x:v/>
      </x:c>
      <x:c r="Y1597" t="str">
        <x:f>""</x:f>
        <x:v/>
      </x:c>
      <x:c r="Z1597" t="str">
        <x:f>""</x:f>
        <x:v/>
      </x:c>
      <x:c r="AA1597" t="str">
        <x:f>""</x:f>
        <x:v/>
      </x:c>
      <x:c r="AB1597" t="str">
        <x:f>""</x:f>
        <x:v/>
      </x:c>
      <x:c r="AC1597" t="str">
        <x:f>""</x:f>
        <x:v/>
      </x:c>
      <x:c r="AD1597" t="str">
        <x:f>""</x:f>
        <x:v/>
      </x:c>
      <x:c r="AE1597" t="str">
        <x:f>""</x:f>
        <x:v/>
      </x:c>
      <x:c r="AF1597" t="str">
        <x:f>""</x:f>
        <x:v/>
      </x:c>
      <x:c r="AG1597" t="str">
        <x:f>""</x:f>
        <x:v/>
      </x:c>
    </x:row>
    <x:row r="1598" spans="2:33" x14ac:dyDescent="0.25">
      <x:c r="B1598" t="str">
        <x:f>"GTEK US Equity"</x:f>
        <x:v>GTEK US Equity</x:v>
      </x:c>
      <x:c r="C1598" t="str">
        <x:f t="shared" si="71"/>
        <x:v>FD447</x:v>
      </x:c>
      <x:c r="D1598" t="str">
        <x:f t="shared" si="72"/>
        <x:v>FUND_FLOW</x:v>
      </x:c>
      <x:c r="E1598" t="str">
        <x:f t="shared" si="73"/>
        <x:v>Dynamic</x:v>
      </x:c>
      <x:c r="F1598">
        <x:f ca="1">_xll.BDH($B$1598,$C$1598,$B$1010,$B$1011,CONCATENATE("Per=",$B$1008),"Dts=H","Dir=H",CONCATENATE("Points=",$B$1009),"Sort=R","Days=A","Fill=B",CONCATENATE("FX=", $B$1007),"cols=14;rows=1")</x:f>
        <x:v>10.826700000000001</x:v>
      </x:c>
      <x:c r="G1598">
        <x:v>0</x:v>
      </x:c>
      <x:c r="H1598">
        <x:v>0</x:v>
      </x:c>
      <x:c r="I1598">
        <x:v>-5.2248999999999999</x:v>
      </x:c>
      <x:c r="J1598">
        <x:v>0</x:v>
      </x:c>
      <x:c r="K1598">
        <x:v>0</x:v>
      </x:c>
      <x:c r="L1598">
        <x:v>-2.7875000000000001</x:v>
      </x:c>
      <x:c r="M1598">
        <x:v>2.8563000000000001</x:v>
      </x:c>
      <x:c r="N1598">
        <x:v>-0.60589999999999999</x:v>
      </x:c>
      <x:c r="O1598">
        <x:v>-4.7435</x:v>
      </x:c>
      <x:c r="P1598">
        <x:v>14.090199999999999</x:v>
      </x:c>
      <x:c r="Q1598">
        <x:v>-0.55700000000000005</x:v>
      </x:c>
      <x:c r="R1598">
        <x:v>-1.0485</x:v>
      </x:c>
      <x:c r="S1598">
        <x:v>-0.60799999999999998</x:v>
      </x:c>
      <x:c r="T1598" t="str">
        <x:f>""</x:f>
        <x:v/>
      </x:c>
      <x:c r="U1598" t="str">
        <x:f>""</x:f>
        <x:v/>
      </x:c>
      <x:c r="V1598" t="str">
        <x:f>""</x:f>
        <x:v/>
      </x:c>
      <x:c r="W1598" t="str">
        <x:f>""</x:f>
        <x:v/>
      </x:c>
      <x:c r="X1598" t="str">
        <x:f>""</x:f>
        <x:v/>
      </x:c>
      <x:c r="Y1598" t="str">
        <x:f>""</x:f>
        <x:v/>
      </x:c>
      <x:c r="Z1598" t="str">
        <x:f>""</x:f>
        <x:v/>
      </x:c>
      <x:c r="AA1598" t="str">
        <x:f>""</x:f>
        <x:v/>
      </x:c>
      <x:c r="AB1598" t="str">
        <x:f>""</x:f>
        <x:v/>
      </x:c>
      <x:c r="AC1598" t="str">
        <x:f>""</x:f>
        <x:v/>
      </x:c>
      <x:c r="AD1598" t="str">
        <x:f>""</x:f>
        <x:v/>
      </x:c>
      <x:c r="AE1598" t="str">
        <x:f>""</x:f>
        <x:v/>
      </x:c>
      <x:c r="AF1598" t="str">
        <x:f>""</x:f>
        <x:v/>
      </x:c>
      <x:c r="AG1598" t="str">
        <x:f>""</x:f>
        <x:v/>
      </x:c>
    </x:row>
    <x:row r="1599" spans="2:33" x14ac:dyDescent="0.25">
      <x:c r="B1599" t="str">
        <x:f>"KGRO US Equity"</x:f>
        <x:v>KGRO US Equity</x:v>
      </x:c>
      <x:c r="C1599" t="str">
        <x:f t="shared" si="71"/>
        <x:v>FD447</x:v>
      </x:c>
      <x:c r="D1599" t="str">
        <x:f t="shared" si="72"/>
        <x:v>FUND_FLOW</x:v>
      </x:c>
      <x:c r="E1599" t="str">
        <x:f t="shared" si="73"/>
        <x:v>Dynamic</x:v>
      </x:c>
      <x:c r="F1599">
        <x:f ca="1">_xll.BDH($B$1599,$C$1599,$B$1010,$B$1011,CONCATENATE("Per=",$B$1008),"Dts=H","Dir=H",CONCATENATE("Points=",$B$1009),"Sort=R","Days=A","Fill=B",CONCATENATE("FX=", $B$1007),"cols=14;rows=1")</x:f>
        <x:v>0</x:v>
      </x:c>
      <x:c r="G1599">
        <x:v>0</x:v>
      </x:c>
      <x:c r="H1599">
        <x:v>0</x:v>
      </x:c>
      <x:c r="I1599">
        <x:v>0</x:v>
      </x:c>
      <x:c r="J1599">
        <x:v>0</x:v>
      </x:c>
      <x:c r="K1599">
        <x:v>0</x:v>
      </x:c>
      <x:c r="L1599">
        <x:v>0</x:v>
      </x:c>
      <x:c r="M1599">
        <x:v>0</x:v>
      </x:c>
      <x:c r="N1599">
        <x:v>0</x:v>
      </x:c>
      <x:c r="O1599">
        <x:v>0</x:v>
      </x:c>
      <x:c r="P1599">
        <x:v>0</x:v>
      </x:c>
      <x:c r="Q1599">
        <x:v>0</x:v>
      </x:c>
      <x:c r="R1599">
        <x:v>0</x:v>
      </x:c>
      <x:c r="S1599">
        <x:v>0</x:v>
      </x:c>
      <x:c r="T1599" t="str">
        <x:f>""</x:f>
        <x:v/>
      </x:c>
      <x:c r="U1599" t="str">
        <x:f>""</x:f>
        <x:v/>
      </x:c>
      <x:c r="V1599" t="str">
        <x:f>""</x:f>
        <x:v/>
      </x:c>
      <x:c r="W1599" t="str">
        <x:f>""</x:f>
        <x:v/>
      </x:c>
      <x:c r="X1599" t="str">
        <x:f>""</x:f>
        <x:v/>
      </x:c>
      <x:c r="Y1599" t="str">
        <x:f>""</x:f>
        <x:v/>
      </x:c>
      <x:c r="Z1599" t="str">
        <x:f>""</x:f>
        <x:v/>
      </x:c>
      <x:c r="AA1599" t="str">
        <x:f>""</x:f>
        <x:v/>
      </x:c>
      <x:c r="AB1599" t="str">
        <x:f>""</x:f>
        <x:v/>
      </x:c>
      <x:c r="AC1599" t="str">
        <x:f>""</x:f>
        <x:v/>
      </x:c>
      <x:c r="AD1599" t="str">
        <x:f>""</x:f>
        <x:v/>
      </x:c>
      <x:c r="AE1599" t="str">
        <x:f>""</x:f>
        <x:v/>
      </x:c>
      <x:c r="AF1599" t="str">
        <x:f>""</x:f>
        <x:v/>
      </x:c>
      <x:c r="AG1599" t="str">
        <x:f>""</x:f>
        <x:v/>
      </x:c>
    </x:row>
    <x:row r="1600" spans="2:33" x14ac:dyDescent="0.25">
      <x:c r="B1600" t="str">
        <x:f>"INNO US Equity"</x:f>
        <x:v>INNO US Equity</x:v>
      </x:c>
      <x:c r="C1600" t="str">
        <x:f t="shared" si="71"/>
        <x:v>FD447</x:v>
      </x:c>
      <x:c r="D1600" t="str">
        <x:f t="shared" si="72"/>
        <x:v>FUND_FLOW</x:v>
      </x:c>
      <x:c r="E1600" t="str">
        <x:f t="shared" si="73"/>
        <x:v>Dynamic</x:v>
      </x:c>
      <x:c r="F1600">
        <x:f ca="1">_xll.BDH($B$1600,$C$1600,$B$1010,$B$1011,CONCATENATE("Per=",$B$1008),"Dts=H","Dir=H",CONCATENATE("Points=",$B$1009),"Sort=R","Days=A","Fill=B",CONCATENATE("FX=", $B$1007),"cols=14;rows=1")</x:f>
        <x:v>-0.58740000000000003</x:v>
      </x:c>
      <x:c r="G1600">
        <x:v>0</x:v>
      </x:c>
      <x:c r="H1600">
        <x:v>0</x:v>
      </x:c>
      <x:c r="I1600">
        <x:v>0.3387</x:v>
      </x:c>
      <x:c r="J1600">
        <x:v>0</x:v>
      </x:c>
      <x:c r="K1600">
        <x:v>0</x:v>
      </x:c>
      <x:c r="L1600">
        <x:v>1.2551000000000001</x:v>
      </x:c>
      <x:c r="M1600">
        <x:v>16.9617</x:v>
      </x:c>
      <x:c r="N1600">
        <x:v>0.3175</x:v>
      </x:c>
      <x:c r="O1600">
        <x:v>1.1605000000000001</x:v>
      </x:c>
      <x:c r="P1600">
        <x:v>0</x:v>
      </x:c>
      <x:c r="Q1600">
        <x:v>0</x:v>
      </x:c>
      <x:c r="R1600">
        <x:v>0</x:v>
      </x:c>
      <x:c r="S1600">
        <x:v>0.32229999999999998</x:v>
      </x:c>
      <x:c r="T1600" t="str">
        <x:f>""</x:f>
        <x:v/>
      </x:c>
      <x:c r="U1600" t="str">
        <x:f>""</x:f>
        <x:v/>
      </x:c>
      <x:c r="V1600" t="str">
        <x:f>""</x:f>
        <x:v/>
      </x:c>
      <x:c r="W1600" t="str">
        <x:f>""</x:f>
        <x:v/>
      </x:c>
      <x:c r="X1600" t="str">
        <x:f>""</x:f>
        <x:v/>
      </x:c>
      <x:c r="Y1600" t="str">
        <x:f>""</x:f>
        <x:v/>
      </x:c>
      <x:c r="Z1600" t="str">
        <x:f>""</x:f>
        <x:v/>
      </x:c>
      <x:c r="AA1600" t="str">
        <x:f>""</x:f>
        <x:v/>
      </x:c>
      <x:c r="AB1600" t="str">
        <x:f>""</x:f>
        <x:v/>
      </x:c>
      <x:c r="AC1600" t="str">
        <x:f>""</x:f>
        <x:v/>
      </x:c>
      <x:c r="AD1600" t="str">
        <x:f>""</x:f>
        <x:v/>
      </x:c>
      <x:c r="AE1600" t="str">
        <x:f>""</x:f>
        <x:v/>
      </x:c>
      <x:c r="AF1600" t="str">
        <x:f>""</x:f>
        <x:v/>
      </x:c>
      <x:c r="AG1600" t="str">
        <x:f>""</x:f>
        <x:v/>
      </x:c>
    </x:row>
    <x:row r="1601" spans="2:33" x14ac:dyDescent="0.25">
      <x:c r="B1601" t="str">
        <x:f>"NBDS US Equity"</x:f>
        <x:v>NBDS US Equity</x:v>
      </x:c>
      <x:c r="C1601" t="str">
        <x:f t="shared" si="71"/>
        <x:v>FD447</x:v>
      </x:c>
      <x:c r="D1601" t="str">
        <x:f t="shared" si="72"/>
        <x:v>FUND_FLOW</x:v>
      </x:c>
      <x:c r="E1601" t="str">
        <x:f t="shared" si="73"/>
        <x:v>Dynamic</x:v>
      </x:c>
      <x:c r="F1601">
        <x:f ca="1">_xll.BDH($B$1601,$C$1601,$B$1010,$B$1011,CONCATENATE("Per=",$B$1008),"Dts=H","Dir=H",CONCATENATE("Points=",$B$1009),"Sort=R","Days=A","Fill=B",CONCATENATE("FX=", $B$1007),"cols=14;rows=1")</x:f>
        <x:v>0</x:v>
      </x:c>
      <x:c r="G1601">
        <x:v>0</x:v>
      </x:c>
      <x:c r="H1601">
        <x:v>0.58169999999999999</x:v>
      </x:c>
      <x:c r="I1601">
        <x:v>1.1748000000000001</x:v>
      </x:c>
      <x:c r="J1601">
        <x:v>1.7132000000000001</x:v>
      </x:c>
      <x:c r="K1601">
        <x:v>-1.0565</x:v>
      </x:c>
      <x:c r="L1601">
        <x:v>-2.0488</x:v>
      </x:c>
      <x:c r="M1601">
        <x:v>-2.0017999999999998</x:v>
      </x:c>
      <x:c r="N1601">
        <x:v>-3.0192000000000001</x:v>
      </x:c>
      <x:c r="O1601">
        <x:v>-0.54990000000000006</x:v>
      </x:c>
      <x:c r="P1601">
        <x:v>8.5624000000000002</x:v>
      </x:c>
      <x:c r="Q1601">
        <x:v>0</x:v>
      </x:c>
      <x:c r="R1601">
        <x:v>0</x:v>
      </x:c>
      <x:c r="S1601">
        <x:v>0</x:v>
      </x:c>
      <x:c r="T1601" t="str">
        <x:f>""</x:f>
        <x:v/>
      </x:c>
      <x:c r="U1601" t="str">
        <x:f>""</x:f>
        <x:v/>
      </x:c>
      <x:c r="V1601" t="str">
        <x:f>""</x:f>
        <x:v/>
      </x:c>
      <x:c r="W1601" t="str">
        <x:f>""</x:f>
        <x:v/>
      </x:c>
      <x:c r="X1601" t="str">
        <x:f>""</x:f>
        <x:v/>
      </x:c>
      <x:c r="Y1601" t="str">
        <x:f>""</x:f>
        <x:v/>
      </x:c>
      <x:c r="Z1601" t="str">
        <x:f>""</x:f>
        <x:v/>
      </x:c>
      <x:c r="AA1601" t="str">
        <x:f>""</x:f>
        <x:v/>
      </x:c>
      <x:c r="AB1601" t="str">
        <x:f>""</x:f>
        <x:v/>
      </x:c>
      <x:c r="AC1601" t="str">
        <x:f>""</x:f>
        <x:v/>
      </x:c>
      <x:c r="AD1601" t="str">
        <x:f>""</x:f>
        <x:v/>
      </x:c>
      <x:c r="AE1601" t="str">
        <x:f>""</x:f>
        <x:v/>
      </x:c>
      <x:c r="AF1601" t="str">
        <x:f>""</x:f>
        <x:v/>
      </x:c>
      <x:c r="AG1601" t="str">
        <x:f>""</x:f>
        <x:v/>
      </x:c>
    </x:row>
    <x:row r="1602" spans="2:33" x14ac:dyDescent="0.25">
      <x:c r="B1602" t="str">
        <x:f>"OARK US Equity"</x:f>
        <x:v>OARK US Equity</x:v>
      </x:c>
      <x:c r="C1602" t="str">
        <x:f t="shared" si="71"/>
        <x:v>FD447</x:v>
      </x:c>
      <x:c r="D1602" t="str">
        <x:f t="shared" si="72"/>
        <x:v>FUND_FLOW</x:v>
      </x:c>
      <x:c r="E1602" t="str">
        <x:f t="shared" si="73"/>
        <x:v>Dynamic</x:v>
      </x:c>
      <x:c r="F1602">
        <x:f ca="1">_xll.BDH($B$1602,$C$1602,$B$1010,$B$1011,CONCATENATE("Per=",$B$1008),"Dts=H","Dir=H",CONCATENATE("Points=",$B$1009),"Sort=R","Days=A","Fill=B",CONCATENATE("FX=", $B$1007),"cols=14;rows=1")</x:f>
        <x:v>-2.3755999999999999</x:v>
      </x:c>
      <x:c r="G1602">
        <x:v>10.781700000000001</x:v>
      </x:c>
      <x:c r="H1602">
        <x:v>26.350999999999999</x:v>
      </x:c>
      <x:c r="I1602">
        <x:v>25.357099999999999</x:v>
      </x:c>
      <x:c r="J1602">
        <x:v>11.053100000000001</x:v>
      </x:c>
      <x:c r="K1602">
        <x:v>2.9763999999999999</x:v>
      </x:c>
      <x:c r="L1602">
        <x:v>3.8416999999999999</x:v>
      </x:c>
      <x:c r="M1602">
        <x:v>9.1277000000000008</x:v>
      </x:c>
      <x:c r="N1602">
        <x:v>0.91500000000000004</x:v>
      </x:c>
      <x:c r="O1602">
        <x:v>0</x:v>
      </x:c>
      <x:c r="P1602">
        <x:v>0</x:v>
      </x:c>
      <x:c r="Q1602">
        <x:v>0</x:v>
      </x:c>
      <x:c r="T1602" t="str">
        <x:f>""</x:f>
        <x:v/>
      </x:c>
      <x:c r="U1602" t="str">
        <x:f>""</x:f>
        <x:v/>
      </x:c>
      <x:c r="V1602" t="str">
        <x:f>""</x:f>
        <x:v/>
      </x:c>
      <x:c r="W1602" t="str">
        <x:f>""</x:f>
        <x:v/>
      </x:c>
      <x:c r="X1602" t="str">
        <x:f>""</x:f>
        <x:v/>
      </x:c>
      <x:c r="Y1602" t="str">
        <x:f>""</x:f>
        <x:v/>
      </x:c>
      <x:c r="Z1602" t="str">
        <x:f>""</x:f>
        <x:v/>
      </x:c>
      <x:c r="AA1602" t="str">
        <x:f>""</x:f>
        <x:v/>
      </x:c>
      <x:c r="AB1602" t="str">
        <x:f>""</x:f>
        <x:v/>
      </x:c>
      <x:c r="AC1602" t="str">
        <x:f>""</x:f>
        <x:v/>
      </x:c>
      <x:c r="AD1602" t="str">
        <x:f>""</x:f>
        <x:v/>
      </x:c>
      <x:c r="AE1602" t="str">
        <x:f>""</x:f>
        <x:v/>
      </x:c>
      <x:c r="AF1602" t="str">
        <x:f>""</x:f>
        <x:v/>
      </x:c>
      <x:c r="AG1602" t="str">
        <x:f>""</x:f>
        <x:v/>
      </x:c>
    </x:row>
    <x:row r="1603" spans="2:33" x14ac:dyDescent="0.25">
      <x:c r="B1603" t="str">
        <x:f>"QQQS US Equity"</x:f>
        <x:v>QQQS US Equity</x:v>
      </x:c>
      <x:c r="C1603" t="str">
        <x:f t="shared" si="71"/>
        <x:v>FD447</x:v>
      </x:c>
      <x:c r="D1603" t="str">
        <x:f t="shared" si="72"/>
        <x:v>FUND_FLOW</x:v>
      </x:c>
      <x:c r="E1603" t="str">
        <x:f t="shared" si="73"/>
        <x:v>Dynamic</x:v>
      </x:c>
      <x:c r="F1603">
        <x:f ca="1">_xll.BDH($B$1603,$C$1603,$B$1010,$B$1011,CONCATENATE("Per=",$B$1008),"Dts=H","Dir=H",CONCATENATE("Points=",$B$1009),"Sort=R","Days=A","Fill=B",CONCATENATE("FX=", $B$1007),"cols=14;rows=1")</x:f>
        <x:v>0</x:v>
      </x:c>
      <x:c r="G1603">
        <x:v>0</x:v>
      </x:c>
      <x:c r="H1603">
        <x:v>0</x:v>
      </x:c>
      <x:c r="I1603">
        <x:v>0.2964</x:v>
      </x:c>
      <x:c r="J1603">
        <x:v>1.1833</x:v>
      </x:c>
      <x:c r="K1603">
        <x:v>0.27800000000000002</x:v>
      </x:c>
      <x:c r="L1603">
        <x:v>0</x:v>
      </x:c>
      <x:c r="M1603">
        <x:v>0.28210000000000002</x:v>
      </x:c>
      <x:c r="N1603">
        <x:v>0.30890000000000001</x:v>
      </x:c>
      <x:c r="O1603">
        <x:v>0</x:v>
      </x:c>
      <x:c r="P1603">
        <x:v>2.7199999999999998E-2</x:v>
      </x:c>
      <x:c r="Q1603">
        <x:v>0.82450000000000001</x:v>
      </x:c>
      <x:c r="R1603">
        <x:v>1.0349999999999999</x:v>
      </x:c>
      <x:c r="T1603" t="str">
        <x:f>""</x:f>
        <x:v/>
      </x:c>
      <x:c r="U1603" t="str">
        <x:f>""</x:f>
        <x:v/>
      </x:c>
      <x:c r="V1603" t="str">
        <x:f>""</x:f>
        <x:v/>
      </x:c>
      <x:c r="W1603" t="str">
        <x:f>""</x:f>
        <x:v/>
      </x:c>
      <x:c r="X1603" t="str">
        <x:f>""</x:f>
        <x:v/>
      </x:c>
      <x:c r="Y1603" t="str">
        <x:f>""</x:f>
        <x:v/>
      </x:c>
      <x:c r="Z1603" t="str">
        <x:f>""</x:f>
        <x:v/>
      </x:c>
      <x:c r="AA1603" t="str">
        <x:f>""</x:f>
        <x:v/>
      </x:c>
      <x:c r="AB1603" t="str">
        <x:f>""</x:f>
        <x:v/>
      </x:c>
      <x:c r="AC1603" t="str">
        <x:f>""</x:f>
        <x:v/>
      </x:c>
      <x:c r="AD1603" t="str">
        <x:f>""</x:f>
        <x:v/>
      </x:c>
      <x:c r="AE1603" t="str">
        <x:f>""</x:f>
        <x:v/>
      </x:c>
      <x:c r="AF1603" t="str">
        <x:f>""</x:f>
        <x:v/>
      </x:c>
      <x:c r="AG1603" t="str">
        <x:f>""</x:f>
        <x:v/>
      </x:c>
    </x:row>
    <x:row r="1604" spans="2:33" x14ac:dyDescent="0.25">
      <x:c r="B1604" t="str">
        <x:f>"TARK US Equity"</x:f>
        <x:v>TARK US Equity</x:v>
      </x:c>
      <x:c r="C1604" t="str">
        <x:f t="shared" si="71"/>
        <x:v>FD447</x:v>
      </x:c>
      <x:c r="D1604" t="str">
        <x:f t="shared" si="72"/>
        <x:v>FUND_FLOW</x:v>
      </x:c>
      <x:c r="E1604" t="str">
        <x:f t="shared" si="73"/>
        <x:v>Dynamic</x:v>
      </x:c>
      <x:c r="F1604">
        <x:f ca="1">_xll.BDH($B$1604,$C$1604,$B$1010,$B$1011,CONCATENATE("Per=",$B$1008),"Dts=H","Dir=H",CONCATENATE("Points=",$B$1009),"Sort=R","Days=A","Fill=B",CONCATENATE("FX=", $B$1007),"cols=14;rows=1")</x:f>
        <x:v>13.075799999999999</x:v>
      </x:c>
      <x:c r="G1604">
        <x:v>0.19389999999999999</x:v>
      </x:c>
      <x:c r="H1604">
        <x:v>16.018599999999999</x:v>
      </x:c>
      <x:c r="I1604">
        <x:v>-10.103999999999999</x:v>
      </x:c>
      <x:c r="J1604">
        <x:v>-6.8851000000000004</x:v>
      </x:c>
      <x:c r="K1604">
        <x:v>-1.0678000000000001</x:v>
      </x:c>
      <x:c r="L1604">
        <x:v>5.0491999999999999</x:v>
      </x:c>
      <x:c r="M1604">
        <x:v>8.3643000000000001</x:v>
      </x:c>
      <x:c r="N1604">
        <x:v>-4.2390999999999996</x:v>
      </x:c>
      <x:c r="O1604">
        <x:v>-29.695900000000002</x:v>
      </x:c>
      <x:c r="P1604">
        <x:v>19.354800000000001</x:v>
      </x:c>
      <x:c r="Q1604">
        <x:v>4.0327999999999999</x:v>
      </x:c>
      <x:c r="R1604">
        <x:v>-2.0545</x:v>
      </x:c>
      <x:c r="S1604">
        <x:v>15.630699999999999</x:v>
      </x:c>
      <x:c r="T1604" t="str">
        <x:f>""</x:f>
        <x:v/>
      </x:c>
      <x:c r="U1604" t="str">
        <x:f>""</x:f>
        <x:v/>
      </x:c>
      <x:c r="V1604" t="str">
        <x:f>""</x:f>
        <x:v/>
      </x:c>
      <x:c r="W1604" t="str">
        <x:f>""</x:f>
        <x:v/>
      </x:c>
      <x:c r="X1604" t="str">
        <x:f>""</x:f>
        <x:v/>
      </x:c>
      <x:c r="Y1604" t="str">
        <x:f>""</x:f>
        <x:v/>
      </x:c>
      <x:c r="Z1604" t="str">
        <x:f>""</x:f>
        <x:v/>
      </x:c>
      <x:c r="AA1604" t="str">
        <x:f>""</x:f>
        <x:v/>
      </x:c>
      <x:c r="AB1604" t="str">
        <x:f>""</x:f>
        <x:v/>
      </x:c>
      <x:c r="AC1604" t="str">
        <x:f>""</x:f>
        <x:v/>
      </x:c>
      <x:c r="AD1604" t="str">
        <x:f>""</x:f>
        <x:v/>
      </x:c>
      <x:c r="AE1604" t="str">
        <x:f>""</x:f>
        <x:v/>
      </x:c>
      <x:c r="AF1604" t="str">
        <x:f>""</x:f>
        <x:v/>
      </x:c>
      <x:c r="AG1604" t="str">
        <x:f>""</x:f>
        <x:v/>
      </x:c>
    </x:row>
    <x:row r="1605" spans="2:33" x14ac:dyDescent="0.25">
      <x:c r="B1605" t="str">
        <x:f>"TRFM US Equity"</x:f>
        <x:v>TRFM US Equity</x:v>
      </x:c>
      <x:c r="C1605" t="str">
        <x:f t="shared" si="71"/>
        <x:v>FD447</x:v>
      </x:c>
      <x:c r="D1605" t="str">
        <x:f t="shared" si="72"/>
        <x:v>FUND_FLOW</x:v>
      </x:c>
      <x:c r="E1605" t="str">
        <x:f t="shared" si="73"/>
        <x:v>Dynamic</x:v>
      </x:c>
      <x:c r="F1605">
        <x:f ca="1">_xll.BDH($B$1605,$C$1605,$B$1010,$B$1011,CONCATENATE("Per=",$B$1008),"Dts=H","Dir=H",CONCATENATE("Points=",$B$1009),"Sort=R","Days=A","Fill=B",CONCATENATE("FX=", $B$1007),"cols=14;rows=1")</x:f>
        <x:v>1.2877000000000001</x:v>
      </x:c>
      <x:c r="G1605">
        <x:v>0.73119999999999996</x:v>
      </x:c>
      <x:c r="H1605">
        <x:v>0.69889999999999997</x:v>
      </x:c>
      <x:c r="I1605">
        <x:v>2.1467000000000001</x:v>
      </x:c>
      <x:c r="J1605">
        <x:v>3.5855999999999999</x:v>
      </x:c>
      <x:c r="K1605">
        <x:v>0</x:v>
      </x:c>
      <x:c r="L1605">
        <x:v>0</x:v>
      </x:c>
      <x:c r="M1605">
        <x:v>0.62919999999999998</x:v>
      </x:c>
      <x:c r="N1605">
        <x:v>0</x:v>
      </x:c>
      <x:c r="O1605">
        <x:v>4.8221999999999996</x:v>
      </x:c>
      <x:c r="P1605">
        <x:v>-0.53639999999999999</x:v>
      </x:c>
      <x:c r="Q1605">
        <x:v>2.4260000000000002</x:v>
      </x:c>
      <x:c r="R1605">
        <x:v>0</x:v>
      </x:c>
      <x:c r="S1605">
        <x:v>-0.64139999999999997</x:v>
      </x:c>
      <x:c r="T1605" t="str">
        <x:f>""</x:f>
        <x:v/>
      </x:c>
      <x:c r="U1605" t="str">
        <x:f>""</x:f>
        <x:v/>
      </x:c>
      <x:c r="V1605" t="str">
        <x:f>""</x:f>
        <x:v/>
      </x:c>
      <x:c r="W1605" t="str">
        <x:f>""</x:f>
        <x:v/>
      </x:c>
      <x:c r="X1605" t="str">
        <x:f>""</x:f>
        <x:v/>
      </x:c>
      <x:c r="Y1605" t="str">
        <x:f>""</x:f>
        <x:v/>
      </x:c>
      <x:c r="Z1605" t="str">
        <x:f>""</x:f>
        <x:v/>
      </x:c>
      <x:c r="AA1605" t="str">
        <x:f>""</x:f>
        <x:v/>
      </x:c>
      <x:c r="AB1605" t="str">
        <x:f>""</x:f>
        <x:v/>
      </x:c>
      <x:c r="AC1605" t="str">
        <x:f>""</x:f>
        <x:v/>
      </x:c>
      <x:c r="AD1605" t="str">
        <x:f>""</x:f>
        <x:v/>
      </x:c>
      <x:c r="AE1605" t="str">
        <x:f>""</x:f>
        <x:v/>
      </x:c>
      <x:c r="AF1605" t="str">
        <x:f>""</x:f>
        <x:v/>
      </x:c>
      <x:c r="AG1605" t="str">
        <x:f>""</x:f>
        <x:v/>
      </x:c>
    </x:row>
    <x:row r="1606" spans="2:33" x14ac:dyDescent="0.25">
      <x:c r="B1606" t="str">
        <x:f>"TECB US Equity"</x:f>
        <x:v>TECB US Equity</x:v>
      </x:c>
      <x:c r="C1606" t="str">
        <x:f t="shared" si="71"/>
        <x:v>FD447</x:v>
      </x:c>
      <x:c r="D1606" t="str">
        <x:f t="shared" si="72"/>
        <x:v>FUND_FLOW</x:v>
      </x:c>
      <x:c r="E1606" t="str">
        <x:f t="shared" si="73"/>
        <x:v>Dynamic</x:v>
      </x:c>
      <x:c r="F1606">
        <x:f ca="1">_xll.BDH($B$1606,$C$1606,$B$1010,$B$1011,CONCATENATE("Per=",$B$1008),"Dts=H","Dir=H",CONCATENATE("Points=",$B$1009),"Sort=R","Days=A","Fill=B",CONCATENATE("FX=", $B$1007),"cols=14;rows=1")</x:f>
        <x:v>-3.6692999999999998</x:v>
      </x:c>
      <x:c r="G1606">
        <x:v>0</x:v>
      </x:c>
      <x:c r="H1606">
        <x:v>1.8869</x:v>
      </x:c>
      <x:c r="I1606">
        <x:v>-90.692599999999999</x:v>
      </x:c>
      <x:c r="J1606">
        <x:v>5.3154000000000003</x:v>
      </x:c>
      <x:c r="K1606">
        <x:v>-20.386099999999999</x:v>
      </x:c>
      <x:c r="L1606">
        <x:v>0</x:v>
      </x:c>
      <x:c r="M1606">
        <x:v>-4.7342000000000004</x:v>
      </x:c>
      <x:c r="N1606">
        <x:v>0</x:v>
      </x:c>
      <x:c r="O1606">
        <x:v>-1.5125999999999999</x:v>
      </x:c>
      <x:c r="P1606">
        <x:v>-1.4621</x:v>
      </x:c>
      <x:c r="Q1606">
        <x:v>0</x:v>
      </x:c>
      <x:c r="R1606">
        <x:v>-2.625</x:v>
      </x:c>
      <x:c r="S1606">
        <x:v>0</x:v>
      </x:c>
      <x:c r="T1606" t="str">
        <x:f>""</x:f>
        <x:v/>
      </x:c>
      <x:c r="U1606" t="str">
        <x:f>""</x:f>
        <x:v/>
      </x:c>
      <x:c r="V1606" t="str">
        <x:f>""</x:f>
        <x:v/>
      </x:c>
      <x:c r="W1606" t="str">
        <x:f>""</x:f>
        <x:v/>
      </x:c>
      <x:c r="X1606" t="str">
        <x:f>""</x:f>
        <x:v/>
      </x:c>
      <x:c r="Y1606" t="str">
        <x:f>""</x:f>
        <x:v/>
      </x:c>
      <x:c r="Z1606" t="str">
        <x:f>""</x:f>
        <x:v/>
      </x:c>
      <x:c r="AA1606" t="str">
        <x:f>""</x:f>
        <x:v/>
      </x:c>
      <x:c r="AB1606" t="str">
        <x:f>""</x:f>
        <x:v/>
      </x:c>
      <x:c r="AC1606" t="str">
        <x:f>""</x:f>
        <x:v/>
      </x:c>
      <x:c r="AD1606" t="str">
        <x:f>""</x:f>
        <x:v/>
      </x:c>
      <x:c r="AE1606" t="str">
        <x:f>""</x:f>
        <x:v/>
      </x:c>
      <x:c r="AF1606" t="str">
        <x:f>""</x:f>
        <x:v/>
      </x:c>
      <x:c r="AG1606" t="str">
        <x:f>""</x:f>
        <x:v/>
      </x:c>
    </x:row>
    <x:row r="1607" spans="2:33" x14ac:dyDescent="0.25">
      <x:c r="B1607" t="str">
        <x:f>"BTHM US Equity"</x:f>
        <x:v>BTHM US Equity</x:v>
      </x:c>
      <x:c r="C1607" t="str">
        <x:f t="shared" si="71"/>
        <x:v>FD447</x:v>
      </x:c>
      <x:c r="D1607" t="str">
        <x:f t="shared" si="72"/>
        <x:v>FUND_FLOW</x:v>
      </x:c>
      <x:c r="E1607" t="str">
        <x:f t="shared" si="73"/>
        <x:v>Dynamic</x:v>
      </x:c>
      <x:c r="F1607">
        <x:f ca="1">_xll.BDH($B$1607,$C$1607,$B$1010,$B$1011,CONCATENATE("Per=",$B$1008),"Dts=H","Dir=H",CONCATENATE("Points=",$B$1009),"Sort=R","Days=A","Fill=B",CONCATENATE("FX=", $B$1007),"cols=14;rows=1")</x:f>
        <x:v>0</x:v>
      </x:c>
      <x:c r="G1607">
        <x:v>0</x:v>
      </x:c>
      <x:c r="H1607">
        <x:v>0</x:v>
      </x:c>
      <x:c r="I1607">
        <x:v>0</x:v>
      </x:c>
      <x:c r="J1607">
        <x:v>0</x:v>
      </x:c>
      <x:c r="K1607">
        <x:v>0</x:v>
      </x:c>
      <x:c r="L1607">
        <x:v>0</x:v>
      </x:c>
      <x:c r="M1607">
        <x:v>0</x:v>
      </x:c>
      <x:c r="N1607">
        <x:v>0</x:v>
      </x:c>
      <x:c r="O1607">
        <x:v>0</x:v>
      </x:c>
      <x:c r="P1607">
        <x:v>0</x:v>
      </x:c>
      <x:c r="Q1607">
        <x:v>0</x:v>
      </x:c>
      <x:c r="R1607">
        <x:v>0</x:v>
      </x:c>
      <x:c r="S1607">
        <x:v>0</x:v>
      </x:c>
      <x:c r="T1607" t="str">
        <x:f>""</x:f>
        <x:v/>
      </x:c>
      <x:c r="U1607" t="str">
        <x:f>""</x:f>
        <x:v/>
      </x:c>
      <x:c r="V1607" t="str">
        <x:f>""</x:f>
        <x:v/>
      </x:c>
      <x:c r="W1607" t="str">
        <x:f>""</x:f>
        <x:v/>
      </x:c>
      <x:c r="X1607" t="str">
        <x:f>""</x:f>
        <x:v/>
      </x:c>
      <x:c r="Y1607" t="str">
        <x:f>""</x:f>
        <x:v/>
      </x:c>
      <x:c r="Z1607" t="str">
        <x:f>""</x:f>
        <x:v/>
      </x:c>
      <x:c r="AA1607" t="str">
        <x:f>""</x:f>
        <x:v/>
      </x:c>
      <x:c r="AB1607" t="str">
        <x:f>""</x:f>
        <x:v/>
      </x:c>
      <x:c r="AC1607" t="str">
        <x:f>""</x:f>
        <x:v/>
      </x:c>
      <x:c r="AD1607" t="str">
        <x:f>""</x:f>
        <x:v/>
      </x:c>
      <x:c r="AE1607" t="str">
        <x:f>""</x:f>
        <x:v/>
      </x:c>
      <x:c r="AF1607" t="str">
        <x:f>""</x:f>
        <x:v/>
      </x:c>
      <x:c r="AG1607" t="str">
        <x:f>""</x:f>
        <x:v/>
      </x:c>
    </x:row>
    <x:row r="1608" spans="2:33" x14ac:dyDescent="0.25">
      <x:c r="B1608" t="str">
        <x:f>"XTH US Equity"</x:f>
        <x:v>XTH US Equity</x:v>
      </x:c>
      <x:c r="C1608" t="str">
        <x:f t="shared" si="71"/>
        <x:v>FD447</x:v>
      </x:c>
      <x:c r="D1608" t="str">
        <x:f t="shared" si="72"/>
        <x:v>FUND_FLOW</x:v>
      </x:c>
      <x:c r="E1608" t="str">
        <x:f t="shared" si="73"/>
        <x:v>Dynamic</x:v>
      </x:c>
      <x:c r="F1608" t="str">
        <x:f ca="1">_xll.BDH($B$1608,$C$1608,$B$1010,$B$1011,CONCATENATE("Per=",$B$1008),"Dts=H","Dir=H",CONCATENATE("Points=",$B$1009),"Sort=R","Days=A","Fill=B",CONCATENATE("FX=", $B$1007) )</x:f>
        <x:v/>
      </x:c>
      <x:c r="T1608" t="str">
        <x:f>""</x:f>
        <x:v/>
      </x:c>
      <x:c r="U1608" t="str">
        <x:f>""</x:f>
        <x:v/>
      </x:c>
      <x:c r="V1608" t="str">
        <x:f>""</x:f>
        <x:v/>
      </x:c>
      <x:c r="W1608" t="str">
        <x:f>""</x:f>
        <x:v/>
      </x:c>
      <x:c r="X1608" t="str">
        <x:f>""</x:f>
        <x:v/>
      </x:c>
      <x:c r="Y1608" t="str">
        <x:f>""</x:f>
        <x:v/>
      </x:c>
      <x:c r="Z1608" t="str">
        <x:f>""</x:f>
        <x:v/>
      </x:c>
      <x:c r="AA1608" t="str">
        <x:f>""</x:f>
        <x:v/>
      </x:c>
      <x:c r="AB1608" t="str">
        <x:f>""</x:f>
        <x:v/>
      </x:c>
      <x:c r="AC1608" t="str">
        <x:f>""</x:f>
        <x:v/>
      </x:c>
      <x:c r="AD1608" t="str">
        <x:f>""</x:f>
        <x:v/>
      </x:c>
      <x:c r="AE1608" t="str">
        <x:f>""</x:f>
        <x:v/>
      </x:c>
      <x:c r="AF1608" t="str">
        <x:f>""</x:f>
        <x:v/>
      </x:c>
      <x:c r="AG1608" t="str">
        <x:f>""</x:f>
        <x:v/>
      </x:c>
    </x:row>
    <x:row r="1609" spans="2:33" x14ac:dyDescent="0.25">
      <x:c r="B1609" t="str">
        <x:f>"SOCL US Equity"</x:f>
        <x:v>SOCL US Equity</x:v>
      </x:c>
      <x:c r="C1609" t="str">
        <x:f t="shared" si="71"/>
        <x:v>FD447</x:v>
      </x:c>
      <x:c r="D1609" t="str">
        <x:f t="shared" si="72"/>
        <x:v>FUND_FLOW</x:v>
      </x:c>
      <x:c r="E1609" t="str">
        <x:f t="shared" si="73"/>
        <x:v>Dynamic</x:v>
      </x:c>
      <x:c r="F1609">
        <x:f ca="1">_xll.BDH($B$1609,$C$1609,$B$1010,$B$1011,CONCATENATE("Per=",$B$1008),"Dts=H","Dir=H",CONCATENATE("Points=",$B$1009),"Sort=R","Days=A","Fill=B",CONCATENATE("FX=", $B$1007),"cols=14;rows=1")</x:f>
        <x:v>7.1760000000000002</x:v>
      </x:c>
      <x:c r="G1609">
        <x:v>9.6745000000000001</x:v>
      </x:c>
      <x:c r="H1609">
        <x:v>-3.5061</x:v>
      </x:c>
      <x:c r="I1609">
        <x:v>0</x:v>
      </x:c>
      <x:c r="J1609">
        <x:v>-11.884399999999999</x:v>
      </x:c>
      <x:c r="K1609">
        <x:v>-0.28889999999999999</x:v>
      </x:c>
      <x:c r="L1609">
        <x:v>0</x:v>
      </x:c>
      <x:c r="M1609">
        <x:v>-4.5895999999999999</x:v>
      </x:c>
      <x:c r="N1609">
        <x:v>5.7663000000000002</x:v>
      </x:c>
      <x:c r="O1609">
        <x:v>0.16350000000000001</x:v>
      </x:c>
      <x:c r="P1609">
        <x:v>-4.9889000000000001</x:v>
      </x:c>
      <x:c r="Q1609">
        <x:v>-1.1299999999999999</x:v>
      </x:c>
      <x:c r="R1609">
        <x:v>-16.589700000000001</x:v>
      </x:c>
      <x:c r="S1609">
        <x:v>-3.121</x:v>
      </x:c>
      <x:c r="T1609" t="str">
        <x:f>""</x:f>
        <x:v/>
      </x:c>
      <x:c r="U1609" t="str">
        <x:f>""</x:f>
        <x:v/>
      </x:c>
      <x:c r="V1609" t="str">
        <x:f>""</x:f>
        <x:v/>
      </x:c>
      <x:c r="W1609" t="str">
        <x:f>""</x:f>
        <x:v/>
      </x:c>
      <x:c r="X1609" t="str">
        <x:f>""</x:f>
        <x:v/>
      </x:c>
      <x:c r="Y1609" t="str">
        <x:f>""</x:f>
        <x:v/>
      </x:c>
      <x:c r="Z1609" t="str">
        <x:f>""</x:f>
        <x:v/>
      </x:c>
      <x:c r="AA1609" t="str">
        <x:f>""</x:f>
        <x:v/>
      </x:c>
      <x:c r="AB1609" t="str">
        <x:f>""</x:f>
        <x:v/>
      </x:c>
      <x:c r="AC1609" t="str">
        <x:f>""</x:f>
        <x:v/>
      </x:c>
      <x:c r="AD1609" t="str">
        <x:f>""</x:f>
        <x:v/>
      </x:c>
      <x:c r="AE1609" t="str">
        <x:f>""</x:f>
        <x:v/>
      </x:c>
      <x:c r="AF1609" t="str">
        <x:f>""</x:f>
        <x:v/>
      </x:c>
      <x:c r="AG1609" t="str">
        <x:f>""</x:f>
        <x:v/>
      </x:c>
    </x:row>
    <x:row r="1610" spans="2:33" x14ac:dyDescent="0.25">
      <x:c r="B1610" t="str">
        <x:f>"ARKW US Equity"</x:f>
        <x:v>ARKW US Equity</x:v>
      </x:c>
      <x:c r="C1610" t="str">
        <x:f t="shared" si="71"/>
        <x:v>FD447</x:v>
      </x:c>
      <x:c r="D1610" t="str">
        <x:f t="shared" si="72"/>
        <x:v>FUND_FLOW</x:v>
      </x:c>
      <x:c r="E1610" t="str">
        <x:f t="shared" si="73"/>
        <x:v>Dynamic</x:v>
      </x:c>
      <x:c r="F1610">
        <x:f ca="1">_xll.BDH($B$1610,$C$1610,$B$1010,$B$1011,CONCATENATE("Per=",$B$1008),"Dts=H","Dir=H",CONCATENATE("Points=",$B$1009),"Sort=R","Days=A","Fill=B",CONCATENATE("FX=", $B$1007),"cols=14;rows=1")</x:f>
        <x:v>-39.868699999999997</x:v>
      </x:c>
      <x:c r="G1610">
        <x:v>-13.9656</x:v>
      </x:c>
      <x:c r="H1610">
        <x:v>-58.793700000000001</x:v>
      </x:c>
      <x:c r="I1610">
        <x:v>32.5289</x:v>
      </x:c>
      <x:c r="J1610">
        <x:v>13.901999999999999</x:v>
      </x:c>
      <x:c r="K1610">
        <x:v>-6.5937999999999999</x:v>
      </x:c>
      <x:c r="L1610">
        <x:v>-10.023899999999999</x:v>
      </x:c>
      <x:c r="M1610">
        <x:v>-14.624000000000001</x:v>
      </x:c>
      <x:c r="N1610">
        <x:v>-30.986799999999999</x:v>
      </x:c>
      <x:c r="O1610">
        <x:v>12.9245</x:v>
      </x:c>
      <x:c r="P1610">
        <x:v>-49.521700000000003</x:v>
      </x:c>
      <x:c r="Q1610">
        <x:v>-20.483799999999999</x:v>
      </x:c>
      <x:c r="R1610">
        <x:v>20.738099999999999</x:v>
      </x:c>
      <x:c r="S1610">
        <x:v>-11.9831</x:v>
      </x:c>
      <x:c r="T1610" t="str">
        <x:f>""</x:f>
        <x:v/>
      </x:c>
      <x:c r="U1610" t="str">
        <x:f>""</x:f>
        <x:v/>
      </x:c>
      <x:c r="V1610" t="str">
        <x:f>""</x:f>
        <x:v/>
      </x:c>
      <x:c r="W1610" t="str">
        <x:f>""</x:f>
        <x:v/>
      </x:c>
      <x:c r="X1610" t="str">
        <x:f>""</x:f>
        <x:v/>
      </x:c>
      <x:c r="Y1610" t="str">
        <x:f>""</x:f>
        <x:v/>
      </x:c>
      <x:c r="Z1610" t="str">
        <x:f>""</x:f>
        <x:v/>
      </x:c>
      <x:c r="AA1610" t="str">
        <x:f>""</x:f>
        <x:v/>
      </x:c>
      <x:c r="AB1610" t="str">
        <x:f>""</x:f>
        <x:v/>
      </x:c>
      <x:c r="AC1610" t="str">
        <x:f>""</x:f>
        <x:v/>
      </x:c>
      <x:c r="AD1610" t="str">
        <x:f>""</x:f>
        <x:v/>
      </x:c>
      <x:c r="AE1610" t="str">
        <x:f>""</x:f>
        <x:v/>
      </x:c>
      <x:c r="AF1610" t="str">
        <x:f>""</x:f>
        <x:v/>
      </x:c>
      <x:c r="AG1610" t="str">
        <x:f>""</x:f>
        <x:v/>
      </x:c>
    </x:row>
    <x:row r="1611" spans="2:33" x14ac:dyDescent="0.25">
      <x:c r="B1611" t="str">
        <x:f>"SNSR US Equity"</x:f>
        <x:v>SNSR US Equity</x:v>
      </x:c>
      <x:c r="C1611" t="str">
        <x:f t="shared" si="71"/>
        <x:v>FD447</x:v>
      </x:c>
      <x:c r="D1611" t="str">
        <x:f t="shared" si="72"/>
        <x:v>FUND_FLOW</x:v>
      </x:c>
      <x:c r="E1611" t="str">
        <x:f t="shared" si="73"/>
        <x:v>Dynamic</x:v>
      </x:c>
      <x:c r="F1611">
        <x:f ca="1">_xll.BDH($B$1611,$C$1611,$B$1010,$B$1011,CONCATENATE("Per=",$B$1008),"Dts=H","Dir=H",CONCATENATE("Points=",$B$1009),"Sort=R","Days=A","Fill=B",CONCATENATE("FX=", $B$1007),"cols=14;rows=1")</x:f>
        <x:v>-6.3503999999999996</x:v>
      </x:c>
      <x:c r="G1611">
        <x:v>-1.5225</x:v>
      </x:c>
      <x:c r="H1611">
        <x:v>-28.688099999999999</x:v>
      </x:c>
      <x:c r="I1611">
        <x:v>-8.7779000000000007</x:v>
      </x:c>
      <x:c r="J1611">
        <x:v>20.648499999999999</x:v>
      </x:c>
      <x:c r="K1611">
        <x:v>-30.119</x:v>
      </x:c>
      <x:c r="L1611">
        <x:v>22.731999999999999</x:v>
      </x:c>
      <x:c r="M1611">
        <x:v>-34.764400000000002</x:v>
      </x:c>
      <x:c r="N1611">
        <x:v>34.432299999999998</x:v>
      </x:c>
      <x:c r="O1611">
        <x:v>0</x:v>
      </x:c>
      <x:c r="P1611">
        <x:v>-0.88019999999999998</x:v>
      </x:c>
      <x:c r="Q1611">
        <x:v>-4.7695999999999996</x:v>
      </x:c>
      <x:c r="R1611">
        <x:v>-9.5936000000000003</x:v>
      </x:c>
      <x:c r="S1611">
        <x:v>-8.9360999999999997</x:v>
      </x:c>
      <x:c r="T1611" t="str">
        <x:f>""</x:f>
        <x:v/>
      </x:c>
      <x:c r="U1611" t="str">
        <x:f>""</x:f>
        <x:v/>
      </x:c>
      <x:c r="V1611" t="str">
        <x:f>""</x:f>
        <x:v/>
      </x:c>
      <x:c r="W1611" t="str">
        <x:f>""</x:f>
        <x:v/>
      </x:c>
      <x:c r="X1611" t="str">
        <x:f>""</x:f>
        <x:v/>
      </x:c>
      <x:c r="Y1611" t="str">
        <x:f>""</x:f>
        <x:v/>
      </x:c>
      <x:c r="Z1611" t="str">
        <x:f>""</x:f>
        <x:v/>
      </x:c>
      <x:c r="AA1611" t="str">
        <x:f>""</x:f>
        <x:v/>
      </x:c>
      <x:c r="AB1611" t="str">
        <x:f>""</x:f>
        <x:v/>
      </x:c>
      <x:c r="AC1611" t="str">
        <x:f>""</x:f>
        <x:v/>
      </x:c>
      <x:c r="AD1611" t="str">
        <x:f>""</x:f>
        <x:v/>
      </x:c>
      <x:c r="AE1611" t="str">
        <x:f>""</x:f>
        <x:v/>
      </x:c>
      <x:c r="AF1611" t="str">
        <x:f>""</x:f>
        <x:v/>
      </x:c>
      <x:c r="AG1611" t="str">
        <x:f>""</x:f>
        <x:v/>
      </x:c>
    </x:row>
    <x:row r="1612" spans="2:33" x14ac:dyDescent="0.25">
      <x:c r="B1612" t="str">
        <x:f>"XWEB US Equity"</x:f>
        <x:v>XWEB US Equity</x:v>
      </x:c>
      <x:c r="C1612" t="str">
        <x:f t="shared" si="71"/>
        <x:v>FD447</x:v>
      </x:c>
      <x:c r="D1612" t="str">
        <x:f t="shared" si="72"/>
        <x:v>FUND_FLOW</x:v>
      </x:c>
      <x:c r="E1612" t="str">
        <x:f t="shared" si="73"/>
        <x:v>Dynamic</x:v>
      </x:c>
      <x:c r="F1612">
        <x:f ca="1">_xll.BDH($B$1612,$C$1612,$B$1010,$B$1011,CONCATENATE("Per=",$B$1008),"Dts=H","Dir=H",CONCATENATE("Points=",$B$1009),"Sort=R","Days=A","Fill=B",CONCATENATE("FX=", $B$1007),"cols=14;rows=1")</x:f>
        <x:v>0</x:v>
      </x:c>
      <x:c r="G1612">
        <x:v>0</x:v>
      </x:c>
      <x:c r="H1612">
        <x:v>-0.83350000000000002</x:v>
      </x:c>
      <x:c r="I1612">
        <x:v>0</x:v>
      </x:c>
      <x:c r="J1612">
        <x:v>0.78369999999999995</x:v>
      </x:c>
      <x:c r="K1612">
        <x:v>-0.65869999999999995</x:v>
      </x:c>
      <x:c r="L1612">
        <x:v>-0.69299999999999995</x:v>
      </x:c>
      <x:c r="M1612">
        <x:v>0</x:v>
      </x:c>
      <x:c r="N1612">
        <x:v>0</x:v>
      </x:c>
      <x:c r="O1612">
        <x:v>-1.3593</x:v>
      </x:c>
      <x:c r="P1612">
        <x:v>-0.6754</x:v>
      </x:c>
      <x:c r="Q1612">
        <x:v>-0.66100000000000003</x:v>
      </x:c>
      <x:c r="R1612">
        <x:v>1.9710000000000001</x:v>
      </x:c>
      <x:c r="S1612">
        <x:v>-1.5137</x:v>
      </x:c>
      <x:c r="T1612" t="str">
        <x:f>""</x:f>
        <x:v/>
      </x:c>
      <x:c r="U1612" t="str">
        <x:f>""</x:f>
        <x:v/>
      </x:c>
      <x:c r="V1612" t="str">
        <x:f>""</x:f>
        <x:v/>
      </x:c>
      <x:c r="W1612" t="str">
        <x:f>""</x:f>
        <x:v/>
      </x:c>
      <x:c r="X1612" t="str">
        <x:f>""</x:f>
        <x:v/>
      </x:c>
      <x:c r="Y1612" t="str">
        <x:f>""</x:f>
        <x:v/>
      </x:c>
      <x:c r="Z1612" t="str">
        <x:f>""</x:f>
        <x:v/>
      </x:c>
      <x:c r="AA1612" t="str">
        <x:f>""</x:f>
        <x:v/>
      </x:c>
      <x:c r="AB1612" t="str">
        <x:f>""</x:f>
        <x:v/>
      </x:c>
      <x:c r="AC1612" t="str">
        <x:f>""</x:f>
        <x:v/>
      </x:c>
      <x:c r="AD1612" t="str">
        <x:f>""</x:f>
        <x:v/>
      </x:c>
      <x:c r="AE1612" t="str">
        <x:f>""</x:f>
        <x:v/>
      </x:c>
      <x:c r="AF1612" t="str">
        <x:f>""</x:f>
        <x:v/>
      </x:c>
      <x:c r="AG1612" t="str">
        <x:f>""</x:f>
        <x:v/>
      </x:c>
    </x:row>
    <x:row r="1613" spans="2:33" x14ac:dyDescent="0.25">
      <x:c r="B1613" t="str">
        <x:f>"OGIG US Equity"</x:f>
        <x:v>OGIG US Equity</x:v>
      </x:c>
      <x:c r="C1613" t="str">
        <x:f t="shared" si="71"/>
        <x:v>FD447</x:v>
      </x:c>
      <x:c r="D1613" t="str">
        <x:f t="shared" si="72"/>
        <x:v>FUND_FLOW</x:v>
      </x:c>
      <x:c r="E1613" t="str">
        <x:f t="shared" si="73"/>
        <x:v>Dynamic</x:v>
      </x:c>
      <x:c r="F1613">
        <x:f ca="1">_xll.BDH($B$1613,$C$1613,$B$1010,$B$1011,CONCATENATE("Per=",$B$1008),"Dts=H","Dir=H",CONCATENATE("Points=",$B$1009),"Sort=R","Days=A","Fill=B",CONCATENATE("FX=", $B$1007),"cols=14;rows=1")</x:f>
        <x:v>-1.5815999999999999</x:v>
      </x:c>
      <x:c r="G1613">
        <x:v>-8.5350000000000001</x:v>
      </x:c>
      <x:c r="H1613">
        <x:v>-3.1181000000000001</x:v>
      </x:c>
      <x:c r="I1613">
        <x:v>0</x:v>
      </x:c>
      <x:c r="J1613">
        <x:v>-6.4058000000000002</x:v>
      </x:c>
      <x:c r="K1613">
        <x:v>-2.8344999999999998</x:v>
      </x:c>
      <x:c r="L1613">
        <x:v>-1.4035</x:v>
      </x:c>
      <x:c r="M1613">
        <x:v>-7.3623000000000003</x:v>
      </x:c>
      <x:c r="N1613">
        <x:v>-1.4046000000000001</x:v>
      </x:c>
      <x:c r="O1613">
        <x:v>-14.0449</x:v>
      </x:c>
      <x:c r="P1613">
        <x:v>-8.6319999999999997</x:v>
      </x:c>
      <x:c r="Q1613">
        <x:v>-14.2971</x:v>
      </x:c>
      <x:c r="R1613">
        <x:v>-6.2460000000000004</x:v>
      </x:c>
      <x:c r="S1613">
        <x:v>-14.122199999999999</x:v>
      </x:c>
      <x:c r="T1613" t="str">
        <x:f>""</x:f>
        <x:v/>
      </x:c>
      <x:c r="U1613" t="str">
        <x:f>""</x:f>
        <x:v/>
      </x:c>
      <x:c r="V1613" t="str">
        <x:f>""</x:f>
        <x:v/>
      </x:c>
      <x:c r="W1613" t="str">
        <x:f>""</x:f>
        <x:v/>
      </x:c>
      <x:c r="X1613" t="str">
        <x:f>""</x:f>
        <x:v/>
      </x:c>
      <x:c r="Y1613" t="str">
        <x:f>""</x:f>
        <x:v/>
      </x:c>
      <x:c r="Z1613" t="str">
        <x:f>""</x:f>
        <x:v/>
      </x:c>
      <x:c r="AA1613" t="str">
        <x:f>""</x:f>
        <x:v/>
      </x:c>
      <x:c r="AB1613" t="str">
        <x:f>""</x:f>
        <x:v/>
      </x:c>
      <x:c r="AC1613" t="str">
        <x:f>""</x:f>
        <x:v/>
      </x:c>
      <x:c r="AD1613" t="str">
        <x:f>""</x:f>
        <x:v/>
      </x:c>
      <x:c r="AE1613" t="str">
        <x:f>""</x:f>
        <x:v/>
      </x:c>
      <x:c r="AF1613" t="str">
        <x:f>""</x:f>
        <x:v/>
      </x:c>
      <x:c r="AG1613" t="str">
        <x:f>""</x:f>
        <x:v/>
      </x:c>
    </x:row>
    <x:row r="1614" spans="2:33" x14ac:dyDescent="0.25">
      <x:c r="B1614" t="str">
        <x:f>"FNG US Equity"</x:f>
        <x:v>FNG US Equity</x:v>
      </x:c>
      <x:c r="C1614" t="str">
        <x:f t="shared" si="71"/>
        <x:v>FD447</x:v>
      </x:c>
      <x:c r="D1614" t="str">
        <x:f t="shared" si="72"/>
        <x:v>FUND_FLOW</x:v>
      </x:c>
      <x:c r="E1614" t="str">
        <x:f t="shared" si="73"/>
        <x:v>Dynamic</x:v>
      </x:c>
      <x:c r="F1614" t="str">
        <x:f ca="1">_xll.BDH($B$1614,$C$1614,$B$1010,$B$1011,CONCATENATE("Per=",$B$1008),"Dts=H","Dir=H",CONCATENATE("Points=",$B$1009),"Sort=R","Days=A","Fill=B",CONCATENATE("FX=", $B$1007) )</x:f>
        <x:v/>
      </x:c>
      <x:c r="T1614" t="str">
        <x:f>""</x:f>
        <x:v/>
      </x:c>
      <x:c r="U1614" t="str">
        <x:f>""</x:f>
        <x:v/>
      </x:c>
      <x:c r="V1614" t="str">
        <x:f>""</x:f>
        <x:v/>
      </x:c>
      <x:c r="W1614" t="str">
        <x:f>""</x:f>
        <x:v/>
      </x:c>
      <x:c r="X1614" t="str">
        <x:f>""</x:f>
        <x:v/>
      </x:c>
      <x:c r="Y1614" t="str">
        <x:f>""</x:f>
        <x:v/>
      </x:c>
      <x:c r="Z1614" t="str">
        <x:f>""</x:f>
        <x:v/>
      </x:c>
      <x:c r="AA1614" t="str">
        <x:f>""</x:f>
        <x:v/>
      </x:c>
      <x:c r="AB1614" t="str">
        <x:f>""</x:f>
        <x:v/>
      </x:c>
      <x:c r="AC1614" t="str">
        <x:f>""</x:f>
        <x:v/>
      </x:c>
      <x:c r="AD1614" t="str">
        <x:f>""</x:f>
        <x:v/>
      </x:c>
      <x:c r="AE1614" t="str">
        <x:f>""</x:f>
        <x:v/>
      </x:c>
      <x:c r="AF1614" t="str">
        <x:f>""</x:f>
        <x:v/>
      </x:c>
      <x:c r="AG1614" t="str">
        <x:f>""</x:f>
        <x:v/>
      </x:c>
    </x:row>
    <x:row r="1615" spans="2:33" x14ac:dyDescent="0.25">
      <x:c r="B1615" t="str">
        <x:f>"PXQ US Equity"</x:f>
        <x:v>PXQ US Equity</x:v>
      </x:c>
      <x:c r="C1615" t="str">
        <x:f t="shared" si="71"/>
        <x:v>FD447</x:v>
      </x:c>
      <x:c r="D1615" t="str">
        <x:f t="shared" si="72"/>
        <x:v>FUND_FLOW</x:v>
      </x:c>
      <x:c r="E1615" t="str">
        <x:f t="shared" si="73"/>
        <x:v>Dynamic</x:v>
      </x:c>
      <x:c r="F1615">
        <x:f ca="1">_xll.BDH($B$1615,$C$1615,$B$1010,$B$1011,CONCATENATE("Per=",$B$1008),"Dts=H","Dir=H",CONCATENATE("Points=",$B$1009),"Sort=R","Days=A","Fill=B",CONCATENATE("FX=", $B$1007),"cols=14;rows=1")</x:f>
        <x:v>0</x:v>
      </x:c>
      <x:c r="G1615">
        <x:v>-0.79459999999999997</x:v>
      </x:c>
      <x:c r="H1615">
        <x:v>-2.3481000000000001</x:v>
      </x:c>
      <x:c r="T1615" t="str">
        <x:f>""</x:f>
        <x:v/>
      </x:c>
      <x:c r="U1615" t="str">
        <x:f>""</x:f>
        <x:v/>
      </x:c>
      <x:c r="V1615" t="str">
        <x:f>""</x:f>
        <x:v/>
      </x:c>
      <x:c r="W1615" t="str">
        <x:f>""</x:f>
        <x:v/>
      </x:c>
      <x:c r="X1615" t="str">
        <x:f>""</x:f>
        <x:v/>
      </x:c>
      <x:c r="Y1615" t="str">
        <x:f>""</x:f>
        <x:v/>
      </x:c>
      <x:c r="Z1615" t="str">
        <x:f>""</x:f>
        <x:v/>
      </x:c>
      <x:c r="AA1615" t="str">
        <x:f>""</x:f>
        <x:v/>
      </x:c>
      <x:c r="AB1615" t="str">
        <x:f>""</x:f>
        <x:v/>
      </x:c>
      <x:c r="AC1615" t="str">
        <x:f>""</x:f>
        <x:v/>
      </x:c>
      <x:c r="AD1615" t="str">
        <x:f>""</x:f>
        <x:v/>
      </x:c>
      <x:c r="AE1615" t="str">
        <x:f>""</x:f>
        <x:v/>
      </x:c>
      <x:c r="AF1615" t="str">
        <x:f>""</x:f>
        <x:v/>
      </x:c>
      <x:c r="AG1615" t="str">
        <x:f>""</x:f>
        <x:v/>
      </x:c>
    </x:row>
    <x:row r="1616" spans="2:33" x14ac:dyDescent="0.25">
      <x:c r="B1616" t="str">
        <x:f>"LOUP US Equity"</x:f>
        <x:v>LOUP US Equity</x:v>
      </x:c>
      <x:c r="C1616" t="str">
        <x:f t="shared" si="71"/>
        <x:v>FD447</x:v>
      </x:c>
      <x:c r="D1616" t="str">
        <x:f t="shared" si="72"/>
        <x:v>FUND_FLOW</x:v>
      </x:c>
      <x:c r="E1616" t="str">
        <x:f t="shared" si="73"/>
        <x:v>Dynamic</x:v>
      </x:c>
      <x:c r="F1616">
        <x:f ca="1">_xll.BDH($B$1616,$C$1616,$B$1010,$B$1011,CONCATENATE("Per=",$B$1008),"Dts=H","Dir=H",CONCATENATE("Points=",$B$1009),"Sort=R","Days=A","Fill=B",CONCATENATE("FX=", $B$1007),"cols=14;rows=1")</x:f>
        <x:v>0</x:v>
      </x:c>
      <x:c r="G1616">
        <x:v>0</x:v>
      </x:c>
      <x:c r="H1616">
        <x:v>-1.9182999999999999</x:v>
      </x:c>
      <x:c r="I1616">
        <x:v>0</x:v>
      </x:c>
      <x:c r="J1616">
        <x:v>0</x:v>
      </x:c>
      <x:c r="K1616">
        <x:v>0</x:v>
      </x:c>
      <x:c r="L1616">
        <x:v>0</x:v>
      </x:c>
      <x:c r="M1616">
        <x:v>-1.6658999999999999</x:v>
      </x:c>
      <x:c r="N1616">
        <x:v>1.6879999999999999</x:v>
      </x:c>
      <x:c r="O1616">
        <x:v>-1.6172</x:v>
      </x:c>
      <x:c r="P1616">
        <x:v>0</x:v>
      </x:c>
      <x:c r="Q1616">
        <x:v>0</x:v>
      </x:c>
      <x:c r="R1616">
        <x:v>-4.1741999999999999</x:v>
      </x:c>
      <x:c r="S1616">
        <x:v>-1.5363</x:v>
      </x:c>
      <x:c r="T1616" t="str">
        <x:f>""</x:f>
        <x:v/>
      </x:c>
      <x:c r="U1616" t="str">
        <x:f>""</x:f>
        <x:v/>
      </x:c>
      <x:c r="V1616" t="str">
        <x:f>""</x:f>
        <x:v/>
      </x:c>
      <x:c r="W1616" t="str">
        <x:f>""</x:f>
        <x:v/>
      </x:c>
      <x:c r="X1616" t="str">
        <x:f>""</x:f>
        <x:v/>
      </x:c>
      <x:c r="Y1616" t="str">
        <x:f>""</x:f>
        <x:v/>
      </x:c>
      <x:c r="Z1616" t="str">
        <x:f>""</x:f>
        <x:v/>
      </x:c>
      <x:c r="AA1616" t="str">
        <x:f>""</x:f>
        <x:v/>
      </x:c>
      <x:c r="AB1616" t="str">
        <x:f>""</x:f>
        <x:v/>
      </x:c>
      <x:c r="AC1616" t="str">
        <x:f>""</x:f>
        <x:v/>
      </x:c>
      <x:c r="AD1616" t="str">
        <x:f>""</x:f>
        <x:v/>
      </x:c>
      <x:c r="AE1616" t="str">
        <x:f>""</x:f>
        <x:v/>
      </x:c>
      <x:c r="AF1616" t="str">
        <x:f>""</x:f>
        <x:v/>
      </x:c>
      <x:c r="AG1616" t="str">
        <x:f>""</x:f>
        <x:v/>
      </x:c>
    </x:row>
    <x:row r="1617" spans="2:33" x14ac:dyDescent="0.25">
      <x:c r="B1617" t="str">
        <x:f>"QTUM US Equity"</x:f>
        <x:v>QTUM US Equity</x:v>
      </x:c>
      <x:c r="C1617" t="str">
        <x:f t="shared" si="71"/>
        <x:v>FD447</x:v>
      </x:c>
      <x:c r="D1617" t="str">
        <x:f t="shared" si="72"/>
        <x:v>FUND_FLOW</x:v>
      </x:c>
      <x:c r="E1617" t="str">
        <x:f t="shared" si="73"/>
        <x:v>Dynamic</x:v>
      </x:c>
      <x:c r="F1617">
        <x:f ca="1">_xll.BDH($B$1617,$C$1617,$B$1010,$B$1011,CONCATENATE("Per=",$B$1008),"Dts=H","Dir=H",CONCATENATE("Points=",$B$1009),"Sort=R","Days=A","Fill=B",CONCATENATE("FX=", $B$1007),"cols=14;rows=1")</x:f>
        <x:v>0</x:v>
      </x:c>
      <x:c r="G1617">
        <x:v>7.2950999999999997</x:v>
      </x:c>
      <x:c r="H1617">
        <x:v>7.2636000000000003</x:v>
      </x:c>
      <x:c r="I1617">
        <x:v>0</x:v>
      </x:c>
      <x:c r="J1617">
        <x:v>22.3215</x:v>
      </x:c>
      <x:c r="K1617">
        <x:v>11.8941</x:v>
      </x:c>
      <x:c r="L1617">
        <x:v>2.2174</x:v>
      </x:c>
      <x:c r="M1617">
        <x:v>4.3441000000000001</x:v>
      </x:c>
      <x:c r="N1617">
        <x:v>2.2879</x:v>
      </x:c>
      <x:c r="O1617">
        <x:v>-6.3752000000000004</x:v>
      </x:c>
      <x:c r="P1617">
        <x:v>-2.04</x:v>
      </x:c>
      <x:c r="Q1617">
        <x:v>-4.0674000000000001</x:v>
      </x:c>
      <x:c r="R1617">
        <x:v>0.1024</x:v>
      </x:c>
      <x:c r="S1617">
        <x:v>-4.0152000000000001</x:v>
      </x:c>
      <x:c r="T1617" t="str">
        <x:f>""</x:f>
        <x:v/>
      </x:c>
      <x:c r="U1617" t="str">
        <x:f>""</x:f>
        <x:v/>
      </x:c>
      <x:c r="V1617" t="str">
        <x:f>""</x:f>
        <x:v/>
      </x:c>
      <x:c r="W1617" t="str">
        <x:f>""</x:f>
        <x:v/>
      </x:c>
      <x:c r="X1617" t="str">
        <x:f>""</x:f>
        <x:v/>
      </x:c>
      <x:c r="Y1617" t="str">
        <x:f>""</x:f>
        <x:v/>
      </x:c>
      <x:c r="Z1617" t="str">
        <x:f>""</x:f>
        <x:v/>
      </x:c>
      <x:c r="AA1617" t="str">
        <x:f>""</x:f>
        <x:v/>
      </x:c>
      <x:c r="AB1617" t="str">
        <x:f>""</x:f>
        <x:v/>
      </x:c>
      <x:c r="AC1617" t="str">
        <x:f>""</x:f>
        <x:v/>
      </x:c>
      <x:c r="AD1617" t="str">
        <x:f>""</x:f>
        <x:v/>
      </x:c>
      <x:c r="AE1617" t="str">
        <x:f>""</x:f>
        <x:v/>
      </x:c>
      <x:c r="AF1617" t="str">
        <x:f>""</x:f>
        <x:v/>
      </x:c>
      <x:c r="AG1617" t="str">
        <x:f>""</x:f>
        <x:v/>
      </x:c>
    </x:row>
    <x:row r="1618" spans="2:33" x14ac:dyDescent="0.25">
      <x:c r="B1618" t="str">
        <x:f>"XITK US Equity"</x:f>
        <x:v>XITK US Equity</x:v>
      </x:c>
      <x:c r="C1618" t="str">
        <x:f t="shared" si="71"/>
        <x:v>FD447</x:v>
      </x:c>
      <x:c r="D1618" t="str">
        <x:f t="shared" si="72"/>
        <x:v>FUND_FLOW</x:v>
      </x:c>
      <x:c r="E1618" t="str">
        <x:f t="shared" si="73"/>
        <x:v>Dynamic</x:v>
      </x:c>
      <x:c r="F1618">
        <x:f ca="1">_xll.BDH($B$1618,$C$1618,$B$1010,$B$1011,CONCATENATE("Per=",$B$1008),"Dts=H","Dir=H",CONCATENATE("Points=",$B$1009),"Sort=R","Days=A","Fill=B",CONCATENATE("FX=", $B$1007),"cols=14;rows=1")</x:f>
        <x:v>-3.5735999999999999</x:v>
      </x:c>
      <x:c r="G1618">
        <x:v>4.8300000000000003E-2</x:v>
      </x:c>
      <x:c r="H1618">
        <x:v>1.2791999999999999</x:v>
      </x:c>
      <x:c r="I1618">
        <x:v>-4.2042999999999999</x:v>
      </x:c>
      <x:c r="J1618">
        <x:v>5.2998000000000003</x:v>
      </x:c>
      <x:c r="K1618">
        <x:v>-1.1100000000000001</x:v>
      </x:c>
      <x:c r="L1618">
        <x:v>-20.2196</x:v>
      </x:c>
      <x:c r="M1618">
        <x:v>-2.2513000000000001</x:v>
      </x:c>
      <x:c r="N1618">
        <x:v>-3.6612</x:v>
      </x:c>
      <x:c r="O1618">
        <x:v>-2.3363</x:v>
      </x:c>
      <x:c r="P1618">
        <x:v>-1.0434000000000001</x:v>
      </x:c>
      <x:c r="Q1618">
        <x:v>-5.8089000000000004</x:v>
      </x:c>
      <x:c r="R1618">
        <x:v>1.1209</x:v>
      </x:c>
      <x:c r="S1618">
        <x:v>1.9311</x:v>
      </x:c>
      <x:c r="T1618" t="str">
        <x:f>""</x:f>
        <x:v/>
      </x:c>
      <x:c r="U1618" t="str">
        <x:f>""</x:f>
        <x:v/>
      </x:c>
      <x:c r="V1618" t="str">
        <x:f>""</x:f>
        <x:v/>
      </x:c>
      <x:c r="W1618" t="str">
        <x:f>""</x:f>
        <x:v/>
      </x:c>
      <x:c r="X1618" t="str">
        <x:f>""</x:f>
        <x:v/>
      </x:c>
      <x:c r="Y1618" t="str">
        <x:f>""</x:f>
        <x:v/>
      </x:c>
      <x:c r="Z1618" t="str">
        <x:f>""</x:f>
        <x:v/>
      </x:c>
      <x:c r="AA1618" t="str">
        <x:f>""</x:f>
        <x:v/>
      </x:c>
      <x:c r="AB1618" t="str">
        <x:f>""</x:f>
        <x:v/>
      </x:c>
      <x:c r="AC1618" t="str">
        <x:f>""</x:f>
        <x:v/>
      </x:c>
      <x:c r="AD1618" t="str">
        <x:f>""</x:f>
        <x:v/>
      </x:c>
      <x:c r="AE1618" t="str">
        <x:f>""</x:f>
        <x:v/>
      </x:c>
      <x:c r="AF1618" t="str">
        <x:f>""</x:f>
        <x:v/>
      </x:c>
      <x:c r="AG1618" t="str">
        <x:f>""</x:f>
        <x:v/>
      </x:c>
    </x:row>
    <x:row r="1619" spans="2:33" x14ac:dyDescent="0.25">
      <x:c r="B1619" t="str">
        <x:f>"FDN US Equity"</x:f>
        <x:v>FDN US Equity</x:v>
      </x:c>
      <x:c r="C1619" t="str">
        <x:f t="shared" si="71"/>
        <x:v>FD447</x:v>
      </x:c>
      <x:c r="D1619" t="str">
        <x:f t="shared" si="72"/>
        <x:v>FUND_FLOW</x:v>
      </x:c>
      <x:c r="E1619" t="str">
        <x:f t="shared" si="73"/>
        <x:v>Dynamic</x:v>
      </x:c>
      <x:c r="F1619">
        <x:f ca="1">_xll.BDH($B$1619,$C$1619,$B$1010,$B$1011,CONCATENATE("Per=",$B$1008),"Dts=H","Dir=H",CONCATENATE("Points=",$B$1009),"Sort=R","Days=A","Fill=B",CONCATENATE("FX=", $B$1007),"cols=14;rows=1")</x:f>
        <x:v>-506.42290000000003</x:v>
      </x:c>
      <x:c r="G1619">
        <x:v>-33.197899999999997</x:v>
      </x:c>
      <x:c r="H1619">
        <x:v>16.7456</x:v>
      </x:c>
      <x:c r="I1619">
        <x:v>368.3535</x:v>
      </x:c>
      <x:c r="J1619">
        <x:v>885.52700000000004</x:v>
      </x:c>
      <x:c r="K1619">
        <x:v>-28.202000000000002</x:v>
      </x:c>
      <x:c r="L1619">
        <x:v>12.910500000000001</x:v>
      </x:c>
      <x:c r="M1619">
        <x:v>-142.8845</x:v>
      </x:c>
      <x:c r="N1619">
        <x:v>-11.63</x:v>
      </x:c>
      <x:c r="O1619">
        <x:v>-26.668299999999999</x:v>
      </x:c>
      <x:c r="P1619">
        <x:v>-243.13829999999999</x:v>
      </x:c>
      <x:c r="Q1619">
        <x:v>-145.25040000000001</x:v>
      </x:c>
      <x:c r="R1619">
        <x:v>235.98699999999999</x:v>
      </x:c>
      <x:c r="S1619">
        <x:v>86.226600000000005</x:v>
      </x:c>
      <x:c r="T1619" t="str">
        <x:f>""</x:f>
        <x:v/>
      </x:c>
      <x:c r="U1619" t="str">
        <x:f>""</x:f>
        <x:v/>
      </x:c>
      <x:c r="V1619" t="str">
        <x:f>""</x:f>
        <x:v/>
      </x:c>
      <x:c r="W1619" t="str">
        <x:f>""</x:f>
        <x:v/>
      </x:c>
      <x:c r="X1619" t="str">
        <x:f>""</x:f>
        <x:v/>
      </x:c>
      <x:c r="Y1619" t="str">
        <x:f>""</x:f>
        <x:v/>
      </x:c>
      <x:c r="Z1619" t="str">
        <x:f>""</x:f>
        <x:v/>
      </x:c>
      <x:c r="AA1619" t="str">
        <x:f>""</x:f>
        <x:v/>
      </x:c>
      <x:c r="AB1619" t="str">
        <x:f>""</x:f>
        <x:v/>
      </x:c>
      <x:c r="AC1619" t="str">
        <x:f>""</x:f>
        <x:v/>
      </x:c>
      <x:c r="AD1619" t="str">
        <x:f>""</x:f>
        <x:v/>
      </x:c>
      <x:c r="AE1619" t="str">
        <x:f>""</x:f>
        <x:v/>
      </x:c>
      <x:c r="AF1619" t="str">
        <x:f>""</x:f>
        <x:v/>
      </x:c>
      <x:c r="AG1619" t="str">
        <x:f>""</x:f>
        <x:v/>
      </x:c>
    </x:row>
    <x:row r="1620" spans="2:33" x14ac:dyDescent="0.25">
      <x:c r="B1620" t="str">
        <x:f>"FDNI US Equity"</x:f>
        <x:v>FDNI US Equity</x:v>
      </x:c>
      <x:c r="C1620" t="str">
        <x:f t="shared" si="71"/>
        <x:v>FD447</x:v>
      </x:c>
      <x:c r="D1620" t="str">
        <x:f t="shared" si="72"/>
        <x:v>FUND_FLOW</x:v>
      </x:c>
      <x:c r="E1620" t="str">
        <x:f t="shared" si="73"/>
        <x:v>Dynamic</x:v>
      </x:c>
      <x:c r="F1620">
        <x:f ca="1">_xll.BDH($B$1620,$C$1620,$B$1010,$B$1011,CONCATENATE("Per=",$B$1008),"Dts=H","Dir=H",CONCATENATE("Points=",$B$1009),"Sort=R","Days=A","Fill=B",CONCATENATE("FX=", $B$1007),"cols=14;rows=1")</x:f>
        <x:v>0</x:v>
      </x:c>
      <x:c r="G1620">
        <x:v>0</x:v>
      </x:c>
      <x:c r="H1620">
        <x:v>-1.2135</x:v>
      </x:c>
      <x:c r="I1620">
        <x:v>0</x:v>
      </x:c>
      <x:c r="J1620">
        <x:v>0</x:v>
      </x:c>
      <x:c r="K1620">
        <x:v>-1.1234999999999999</x:v>
      </x:c>
      <x:c r="L1620">
        <x:v>0</x:v>
      </x:c>
      <x:c r="M1620">
        <x:v>-2.2149999999999999</x:v>
      </x:c>
      <x:c r="N1620">
        <x:v>3.8245</x:v>
      </x:c>
      <x:c r="O1620">
        <x:v>-2.4239999999999999</x:v>
      </x:c>
      <x:c r="P1620">
        <x:v>-1.0952</x:v>
      </x:c>
      <x:c r="Q1620">
        <x:v>0</x:v>
      </x:c>
      <x:c r="R1620">
        <x:v>-1.0421</x:v>
      </x:c>
      <x:c r="S1620">
        <x:v>-2.2010999999999998</x:v>
      </x:c>
      <x:c r="T1620" t="str">
        <x:f>""</x:f>
        <x:v/>
      </x:c>
      <x:c r="U1620" t="str">
        <x:f>""</x:f>
        <x:v/>
      </x:c>
      <x:c r="V1620" t="str">
        <x:f>""</x:f>
        <x:v/>
      </x:c>
      <x:c r="W1620" t="str">
        <x:f>""</x:f>
        <x:v/>
      </x:c>
      <x:c r="X1620" t="str">
        <x:f>""</x:f>
        <x:v/>
      </x:c>
      <x:c r="Y1620" t="str">
        <x:f>""</x:f>
        <x:v/>
      </x:c>
      <x:c r="Z1620" t="str">
        <x:f>""</x:f>
        <x:v/>
      </x:c>
      <x:c r="AA1620" t="str">
        <x:f>""</x:f>
        <x:v/>
      </x:c>
      <x:c r="AB1620" t="str">
        <x:f>""</x:f>
        <x:v/>
      </x:c>
      <x:c r="AC1620" t="str">
        <x:f>""</x:f>
        <x:v/>
      </x:c>
      <x:c r="AD1620" t="str">
        <x:f>""</x:f>
        <x:v/>
      </x:c>
      <x:c r="AE1620" t="str">
        <x:f>""</x:f>
        <x:v/>
      </x:c>
      <x:c r="AF1620" t="str">
        <x:f>""</x:f>
        <x:v/>
      </x:c>
      <x:c r="AG1620" t="str">
        <x:f>""</x:f>
        <x:v/>
      </x:c>
    </x:row>
    <x:row r="1621" spans="2:33" x14ac:dyDescent="0.25">
      <x:c r="B1621" t="str">
        <x:f>"PNQI US Equity"</x:f>
        <x:v>PNQI US Equity</x:v>
      </x:c>
      <x:c r="C1621" t="str">
        <x:f t="shared" si="71"/>
        <x:v>FD447</x:v>
      </x:c>
      <x:c r="D1621" t="str">
        <x:f t="shared" si="72"/>
        <x:v>FUND_FLOW</x:v>
      </x:c>
      <x:c r="E1621" t="str">
        <x:f t="shared" si="73"/>
        <x:v>Dynamic</x:v>
      </x:c>
      <x:c r="F1621">
        <x:f ca="1">_xll.BDH($B$1621,$C$1621,$B$1010,$B$1011,CONCATENATE("Per=",$B$1008),"Dts=H","Dir=H",CONCATENATE("Points=",$B$1009),"Sort=R","Days=A","Fill=B",CONCATENATE("FX=", $B$1007),"cols=14;rows=1")</x:f>
        <x:v>0.88849999999999996</x:v>
      </x:c>
      <x:c r="G1621">
        <x:v>-1.6186</x:v>
      </x:c>
      <x:c r="H1621">
        <x:v>-7.2495000000000003</x:v>
      </x:c>
      <x:c r="I1621">
        <x:v>-5.6722000000000001</x:v>
      </x:c>
      <x:c r="J1621">
        <x:v>1.538</x:v>
      </x:c>
      <x:c r="K1621">
        <x:v>-10.2455</x:v>
      </x:c>
      <x:c r="L1621">
        <x:v>-4.0922999999999998</x:v>
      </x:c>
      <x:c r="M1621">
        <x:v>5.2796000000000003</x:v>
      </x:c>
      <x:c r="N1621">
        <x:v>-4.2202999999999999</x:v>
      </x:c>
      <x:c r="O1621">
        <x:v>-3.4369999999999998</x:v>
      </x:c>
      <x:c r="P1621">
        <x:v>4.5510999999999999</x:v>
      </x:c>
      <x:c r="Q1621">
        <x:v>7.5178000000000003</x:v>
      </x:c>
      <x:c r="R1621">
        <x:v>-4.7361000000000004</x:v>
      </x:c>
      <x:c r="S1621">
        <x:v>-5.5271999999999997</x:v>
      </x:c>
      <x:c r="T1621" t="str">
        <x:f>""</x:f>
        <x:v/>
      </x:c>
      <x:c r="U1621" t="str">
        <x:f>""</x:f>
        <x:v/>
      </x:c>
      <x:c r="V1621" t="str">
        <x:f>""</x:f>
        <x:v/>
      </x:c>
      <x:c r="W1621" t="str">
        <x:f>""</x:f>
        <x:v/>
      </x:c>
      <x:c r="X1621" t="str">
        <x:f>""</x:f>
        <x:v/>
      </x:c>
      <x:c r="Y1621" t="str">
        <x:f>""</x:f>
        <x:v/>
      </x:c>
      <x:c r="Z1621" t="str">
        <x:f>""</x:f>
        <x:v/>
      </x:c>
      <x:c r="AA1621" t="str">
        <x:f>""</x:f>
        <x:v/>
      </x:c>
      <x:c r="AB1621" t="str">
        <x:f>""</x:f>
        <x:v/>
      </x:c>
      <x:c r="AC1621" t="str">
        <x:f>""</x:f>
        <x:v/>
      </x:c>
      <x:c r="AD1621" t="str">
        <x:f>""</x:f>
        <x:v/>
      </x:c>
      <x:c r="AE1621" t="str">
        <x:f>""</x:f>
        <x:v/>
      </x:c>
      <x:c r="AF1621" t="str">
        <x:f>""</x:f>
        <x:v/>
      </x:c>
      <x:c r="AG1621" t="str">
        <x:f>""</x:f>
        <x:v/>
      </x:c>
    </x:row>
    <x:row r="1622" spans="2:33" x14ac:dyDescent="0.25">
      <x:c r="B1622" t="str">
        <x:f>"GDAT US Equity"</x:f>
        <x:v>GDAT US Equity</x:v>
      </x:c>
      <x:c r="C1622" t="str">
        <x:f t="shared" si="71"/>
        <x:v>FD447</x:v>
      </x:c>
      <x:c r="D1622" t="str">
        <x:f t="shared" si="72"/>
        <x:v>FUND_FLOW</x:v>
      </x:c>
      <x:c r="E1622" t="str">
        <x:f t="shared" si="73"/>
        <x:v>Dynamic</x:v>
      </x:c>
      <x:c r="F1622" t="str">
        <x:f ca="1">_xll.BDH($B$1622,$C$1622,$B$1010,$B$1011,CONCATENATE("Per=",$B$1008),"Dts=H","Dir=H",CONCATENATE("Points=",$B$1009),"Sort=R","Days=A","Fill=B",CONCATENATE("FX=", $B$1007) )</x:f>
        <x:v/>
      </x:c>
      <x:c r="T1622" t="str">
        <x:f>""</x:f>
        <x:v/>
      </x:c>
      <x:c r="U1622" t="str">
        <x:f>""</x:f>
        <x:v/>
      </x:c>
      <x:c r="V1622" t="str">
        <x:f>""</x:f>
        <x:v/>
      </x:c>
      <x:c r="W1622" t="str">
        <x:f>""</x:f>
        <x:v/>
      </x:c>
      <x:c r="X1622" t="str">
        <x:f>""</x:f>
        <x:v/>
      </x:c>
      <x:c r="Y1622" t="str">
        <x:f>""</x:f>
        <x:v/>
      </x:c>
      <x:c r="Z1622" t="str">
        <x:f>""</x:f>
        <x:v/>
      </x:c>
      <x:c r="AA1622" t="str">
        <x:f>""</x:f>
        <x:v/>
      </x:c>
      <x:c r="AB1622" t="str">
        <x:f>""</x:f>
        <x:v/>
      </x:c>
      <x:c r="AC1622" t="str">
        <x:f>""</x:f>
        <x:v/>
      </x:c>
      <x:c r="AD1622" t="str">
        <x:f>""</x:f>
        <x:v/>
      </x:c>
      <x:c r="AE1622" t="str">
        <x:f>""</x:f>
        <x:v/>
      </x:c>
      <x:c r="AF1622" t="str">
        <x:f>""</x:f>
        <x:v/>
      </x:c>
      <x:c r="AG1622" t="str">
        <x:f>""</x:f>
        <x:v/>
      </x:c>
    </x:row>
    <x:row r="1623" spans="2:33" x14ac:dyDescent="0.25">
      <x:c r="B1623" t="str">
        <x:f>"WEBL US Equity"</x:f>
        <x:v>WEBL US Equity</x:v>
      </x:c>
      <x:c r="C1623" t="str">
        <x:f t="shared" si="71"/>
        <x:v>FD447</x:v>
      </x:c>
      <x:c r="D1623" t="str">
        <x:f t="shared" si="72"/>
        <x:v>FUND_FLOW</x:v>
      </x:c>
      <x:c r="E1623" t="str">
        <x:f t="shared" si="73"/>
        <x:v>Dynamic</x:v>
      </x:c>
      <x:c r="F1623">
        <x:f ca="1">_xll.BDH($B$1623,$C$1623,$B$1010,$B$1011,CONCATENATE("Per=",$B$1008),"Dts=H","Dir=H",CONCATENATE("Points=",$B$1009),"Sort=R","Days=A","Fill=B",CONCATENATE("FX=", $B$1007),"cols=14;rows=1")</x:f>
        <x:v>3.8148</x:v>
      </x:c>
      <x:c r="G1623">
        <x:v>-3.5741999999999998</x:v>
      </x:c>
      <x:c r="H1623">
        <x:v>-6.0602999999999998</x:v>
      </x:c>
      <x:c r="I1623">
        <x:v>3.6200999999999999</x:v>
      </x:c>
      <x:c r="J1623">
        <x:v>-9.3818999999999999</x:v>
      </x:c>
      <x:c r="K1623">
        <x:v>-13.713800000000001</x:v>
      </x:c>
      <x:c r="L1623">
        <x:v>-3.3677999999999999</x:v>
      </x:c>
      <x:c r="M1623">
        <x:v>2.7254</x:v>
      </x:c>
      <x:c r="N1623">
        <x:v>-1.2759</x:v>
      </x:c>
      <x:c r="O1623">
        <x:v>-19.5471</x:v>
      </x:c>
      <x:c r="P1623">
        <x:v>2.6686000000000001</x:v>
      </x:c>
      <x:c r="Q1623">
        <x:v>25.321100000000001</x:v>
      </x:c>
      <x:c r="R1623">
        <x:v>9.8816000000000006</x:v>
      </x:c>
      <x:c r="S1623">
        <x:v>6.7980999999999998</x:v>
      </x:c>
      <x:c r="T1623" t="str">
        <x:f>""</x:f>
        <x:v/>
      </x:c>
      <x:c r="U1623" t="str">
        <x:f>""</x:f>
        <x:v/>
      </x:c>
      <x:c r="V1623" t="str">
        <x:f>""</x:f>
        <x:v/>
      </x:c>
      <x:c r="W1623" t="str">
        <x:f>""</x:f>
        <x:v/>
      </x:c>
      <x:c r="X1623" t="str">
        <x:f>""</x:f>
        <x:v/>
      </x:c>
      <x:c r="Y1623" t="str">
        <x:f>""</x:f>
        <x:v/>
      </x:c>
      <x:c r="Z1623" t="str">
        <x:f>""</x:f>
        <x:v/>
      </x:c>
      <x:c r="AA1623" t="str">
        <x:f>""</x:f>
        <x:v/>
      </x:c>
      <x:c r="AB1623" t="str">
        <x:f>""</x:f>
        <x:v/>
      </x:c>
      <x:c r="AC1623" t="str">
        <x:f>""</x:f>
        <x:v/>
      </x:c>
      <x:c r="AD1623" t="str">
        <x:f>""</x:f>
        <x:v/>
      </x:c>
      <x:c r="AE1623" t="str">
        <x:f>""</x:f>
        <x:v/>
      </x:c>
      <x:c r="AF1623" t="str">
        <x:f>""</x:f>
        <x:v/>
      </x:c>
      <x:c r="AG1623" t="str">
        <x:f>""</x:f>
        <x:v/>
      </x:c>
    </x:row>
    <x:row r="1624" spans="2:33" x14ac:dyDescent="0.25">
      <x:c r="B1624" t="str">
        <x:f>"WEBS US Equity"</x:f>
        <x:v>WEBS US Equity</x:v>
      </x:c>
      <x:c r="C1624" t="str">
        <x:f t="shared" si="71"/>
        <x:v>FD447</x:v>
      </x:c>
      <x:c r="D1624" t="str">
        <x:f t="shared" si="72"/>
        <x:v>FUND_FLOW</x:v>
      </x:c>
      <x:c r="E1624" t="str">
        <x:f t="shared" si="73"/>
        <x:v>Dynamic</x:v>
      </x:c>
      <x:c r="F1624">
        <x:f ca="1">_xll.BDH($B$1624,$C$1624,$B$1010,$B$1011,CONCATENATE("Per=",$B$1008),"Dts=H","Dir=H",CONCATENATE("Points=",$B$1009),"Sort=R","Days=A","Fill=B",CONCATENATE("FX=", $B$1007),"cols=14;rows=1")</x:f>
        <x:v>-2.9066000000000001</x:v>
      </x:c>
      <x:c r="G1624">
        <x:v>-1.6899</x:v>
      </x:c>
      <x:c r="H1624">
        <x:v>-2.5350000000000001</x:v>
      </x:c>
      <x:c r="I1624">
        <x:v>3.4701</x:v>
      </x:c>
      <x:c r="J1624">
        <x:v>0.82709999999999995</x:v>
      </x:c>
      <x:c r="K1624">
        <x:v>4.9240000000000004</x:v>
      </x:c>
      <x:c r="L1624">
        <x:v>5.9321000000000002</x:v>
      </x:c>
      <x:c r="M1624">
        <x:v>-12.045999999999999</x:v>
      </x:c>
      <x:c r="N1624">
        <x:v>4.5773999999999999</x:v>
      </x:c>
      <x:c r="O1624">
        <x:v>25.1418</x:v>
      </x:c>
      <x:c r="P1624">
        <x:v>-14.6706</x:v>
      </x:c>
      <x:c r="Q1624">
        <x:v>-0.46929999999999999</x:v>
      </x:c>
      <x:c r="R1624">
        <x:v>-6.149</x:v>
      </x:c>
      <x:c r="S1624">
        <x:v>-16.5427</x:v>
      </x:c>
      <x:c r="T1624" t="str">
        <x:f>""</x:f>
        <x:v/>
      </x:c>
      <x:c r="U1624" t="str">
        <x:f>""</x:f>
        <x:v/>
      </x:c>
      <x:c r="V1624" t="str">
        <x:f>""</x:f>
        <x:v/>
      </x:c>
      <x:c r="W1624" t="str">
        <x:f>""</x:f>
        <x:v/>
      </x:c>
      <x:c r="X1624" t="str">
        <x:f>""</x:f>
        <x:v/>
      </x:c>
      <x:c r="Y1624" t="str">
        <x:f>""</x:f>
        <x:v/>
      </x:c>
      <x:c r="Z1624" t="str">
        <x:f>""</x:f>
        <x:v/>
      </x:c>
      <x:c r="AA1624" t="str">
        <x:f>""</x:f>
        <x:v/>
      </x:c>
      <x:c r="AB1624" t="str">
        <x:f>""</x:f>
        <x:v/>
      </x:c>
      <x:c r="AC1624" t="str">
        <x:f>""</x:f>
        <x:v/>
      </x:c>
      <x:c r="AD1624" t="str">
        <x:f>""</x:f>
        <x:v/>
      </x:c>
      <x:c r="AE1624" t="str">
        <x:f>""</x:f>
        <x:v/>
      </x:c>
      <x:c r="AF1624" t="str">
        <x:f>""</x:f>
        <x:v/>
      </x:c>
      <x:c r="AG1624" t="str">
        <x:f>""</x:f>
        <x:v/>
      </x:c>
    </x:row>
    <x:row r="1625" spans="2:33" x14ac:dyDescent="0.25">
      <x:c r="B1625" t="str">
        <x:f>"BTEK US Equity"</x:f>
        <x:v>BTEK US Equity</x:v>
      </x:c>
      <x:c r="C1625" t="str">
        <x:f t="shared" si="71"/>
        <x:v>FD447</x:v>
      </x:c>
      <x:c r="D1625" t="str">
        <x:f t="shared" si="72"/>
        <x:v>FUND_FLOW</x:v>
      </x:c>
      <x:c r="E1625" t="str">
        <x:f t="shared" si="73"/>
        <x:v>Dynamic</x:v>
      </x:c>
      <x:c r="F1625">
        <x:f ca="1">_xll.BDH($B$1625,$C$1625,$B$1010,$B$1011,CONCATENATE("Per=",$B$1008),"Dts=H","Dir=H",CONCATENATE("Points=",$B$1009),"Sort=R","Days=A","Fill=B",CONCATENATE("FX=", $B$1007),"cols=14;rows=1")</x:f>
        <x:v>0</x:v>
      </x:c>
      <x:c r="G1625">
        <x:v>0</x:v>
      </x:c>
      <x:c r="H1625">
        <x:v>0</x:v>
      </x:c>
      <x:c r="I1625">
        <x:v>0</x:v>
      </x:c>
      <x:c r="J1625">
        <x:v>0</x:v>
      </x:c>
      <x:c r="K1625">
        <x:v>0.73829999999999996</x:v>
      </x:c>
      <x:c r="L1625">
        <x:v>0</x:v>
      </x:c>
      <x:c r="M1625">
        <x:v>0</x:v>
      </x:c>
      <x:c r="N1625">
        <x:v>0</x:v>
      </x:c>
      <x:c r="O1625">
        <x:v>0</x:v>
      </x:c>
      <x:c r="P1625">
        <x:v>0</x:v>
      </x:c>
      <x:c r="Q1625">
        <x:v>0</x:v>
      </x:c>
      <x:c r="R1625">
        <x:v>0</x:v>
      </x:c>
      <x:c r="S1625">
        <x:v>0</x:v>
      </x:c>
      <x:c r="T1625" t="str">
        <x:f>""</x:f>
        <x:v/>
      </x:c>
      <x:c r="U1625" t="str">
        <x:f>""</x:f>
        <x:v/>
      </x:c>
      <x:c r="V1625" t="str">
        <x:f>""</x:f>
        <x:v/>
      </x:c>
      <x:c r="W1625" t="str">
        <x:f>""</x:f>
        <x:v/>
      </x:c>
      <x:c r="X1625" t="str">
        <x:f>""</x:f>
        <x:v/>
      </x:c>
      <x:c r="Y1625" t="str">
        <x:f>""</x:f>
        <x:v/>
      </x:c>
      <x:c r="Z1625" t="str">
        <x:f>""</x:f>
        <x:v/>
      </x:c>
      <x:c r="AA1625" t="str">
        <x:f>""</x:f>
        <x:v/>
      </x:c>
      <x:c r="AB1625" t="str">
        <x:f>""</x:f>
        <x:v/>
      </x:c>
      <x:c r="AC1625" t="str">
        <x:f>""</x:f>
        <x:v/>
      </x:c>
      <x:c r="AD1625" t="str">
        <x:f>""</x:f>
        <x:v/>
      </x:c>
      <x:c r="AE1625" t="str">
        <x:f>""</x:f>
        <x:v/>
      </x:c>
      <x:c r="AF1625" t="str">
        <x:f>""</x:f>
        <x:v/>
      </x:c>
      <x:c r="AG1625" t="str">
        <x:f>""</x:f>
        <x:v/>
      </x:c>
    </x:row>
    <x:row r="1626" spans="2:33" x14ac:dyDescent="0.25">
      <x:c r="B1626" t="str">
        <x:f>"MRAD US Equity"</x:f>
        <x:v>MRAD US Equity</x:v>
      </x:c>
      <x:c r="C1626" t="str">
        <x:f t="shared" si="71"/>
        <x:v>FD447</x:v>
      </x:c>
      <x:c r="D1626" t="str">
        <x:f t="shared" si="72"/>
        <x:v>FUND_FLOW</x:v>
      </x:c>
      <x:c r="E1626" t="str">
        <x:f t="shared" si="73"/>
        <x:v>Dynamic</x:v>
      </x:c>
      <x:c r="F1626">
        <x:f ca="1">_xll.BDH($B$1626,$C$1626,$B$1010,$B$1011,CONCATENATE("Per=",$B$1008),"Dts=H","Dir=H",CONCATENATE("Points=",$B$1009),"Sort=R","Days=A","Fill=B",CONCATENATE("FX=", $B$1007),"cols=14;rows=1")</x:f>
        <x:v>0</x:v>
      </x:c>
      <x:c r="G1626">
        <x:v>0</x:v>
      </x:c>
      <x:c r="H1626">
        <x:v>0</x:v>
      </x:c>
      <x:c r="I1626">
        <x:v>0</x:v>
      </x:c>
      <x:c r="J1626">
        <x:v>0</x:v>
      </x:c>
      <x:c r="K1626">
        <x:v>0</x:v>
      </x:c>
      <x:c r="L1626">
        <x:v>0</x:v>
      </x:c>
      <x:c r="M1626">
        <x:v>0</x:v>
      </x:c>
      <x:c r="N1626">
        <x:v>-0.14280000000000001</x:v>
      </x:c>
      <x:c r="O1626">
        <x:v>0</x:v>
      </x:c>
      <x:c r="P1626">
        <x:v>0</x:v>
      </x:c>
      <x:c r="Q1626">
        <x:v>-0.75509999999999999</x:v>
      </x:c>
      <x:c r="R1626">
        <x:v>0.67190000000000005</x:v>
      </x:c>
      <x:c r="S1626">
        <x:v>0</x:v>
      </x:c>
      <x:c r="T1626" t="str">
        <x:f>""</x:f>
        <x:v/>
      </x:c>
      <x:c r="U1626" t="str">
        <x:f>""</x:f>
        <x:v/>
      </x:c>
      <x:c r="V1626" t="str">
        <x:f>""</x:f>
        <x:v/>
      </x:c>
      <x:c r="W1626" t="str">
        <x:f>""</x:f>
        <x:v/>
      </x:c>
      <x:c r="X1626" t="str">
        <x:f>""</x:f>
        <x:v/>
      </x:c>
      <x:c r="Y1626" t="str">
        <x:f>""</x:f>
        <x:v/>
      </x:c>
      <x:c r="Z1626" t="str">
        <x:f>""</x:f>
        <x:v/>
      </x:c>
      <x:c r="AA1626" t="str">
        <x:f>""</x:f>
        <x:v/>
      </x:c>
      <x:c r="AB1626" t="str">
        <x:f>""</x:f>
        <x:v/>
      </x:c>
      <x:c r="AC1626" t="str">
        <x:f>""</x:f>
        <x:v/>
      </x:c>
      <x:c r="AD1626" t="str">
        <x:f>""</x:f>
        <x:v/>
      </x:c>
      <x:c r="AE1626" t="str">
        <x:f>""</x:f>
        <x:v/>
      </x:c>
      <x:c r="AF1626" t="str">
        <x:f>""</x:f>
        <x:v/>
      </x:c>
      <x:c r="AG1626" t="str">
        <x:f>""</x:f>
        <x:v/>
      </x:c>
    </x:row>
    <x:row r="1627" spans="2:33" x14ac:dyDescent="0.25">
      <x:c r="B1627" t="str">
        <x:f>"XDAT US Equity"</x:f>
        <x:v>XDAT US Equity</x:v>
      </x:c>
      <x:c r="C1627" t="str">
        <x:f t="shared" si="71"/>
        <x:v>FD447</x:v>
      </x:c>
      <x:c r="D1627" t="str">
        <x:f t="shared" si="72"/>
        <x:v>FUND_FLOW</x:v>
      </x:c>
      <x:c r="E1627" t="str">
        <x:f t="shared" si="73"/>
        <x:v>Dynamic</x:v>
      </x:c>
      <x:c r="F1627">
        <x:f ca="1">_xll.BDH($B$1627,$C$1627,$B$1010,$B$1011,CONCATENATE("Per=",$B$1008),"Dts=H","Dir=H",CONCATENATE("Points=",$B$1009),"Sort=R","Days=A","Fill=B",CONCATENATE("FX=", $B$1007),"cols=14;rows=1")</x:f>
        <x:v>0</x:v>
      </x:c>
      <x:c r="G1627">
        <x:v>0</x:v>
      </x:c>
      <x:c r="H1627">
        <x:v>0</x:v>
      </x:c>
      <x:c r="I1627">
        <x:v>0</x:v>
      </x:c>
      <x:c r="J1627">
        <x:v>0</x:v>
      </x:c>
      <x:c r="K1627">
        <x:v>0</x:v>
      </x:c>
      <x:c r="L1627">
        <x:v>0</x:v>
      </x:c>
      <x:c r="M1627">
        <x:v>0</x:v>
      </x:c>
      <x:c r="N1627">
        <x:v>0.80010000000000003</x:v>
      </x:c>
      <x:c r="O1627">
        <x:v>0</x:v>
      </x:c>
      <x:c r="P1627">
        <x:v>0</x:v>
      </x:c>
      <x:c r="Q1627">
        <x:v>0</x:v>
      </x:c>
      <x:c r="R1627">
        <x:v>0</x:v>
      </x:c>
      <x:c r="S1627">
        <x:v>0</x:v>
      </x:c>
      <x:c r="T1627" t="str">
        <x:f>""</x:f>
        <x:v/>
      </x:c>
      <x:c r="U1627" t="str">
        <x:f>""</x:f>
        <x:v/>
      </x:c>
      <x:c r="V1627" t="str">
        <x:f>""</x:f>
        <x:v/>
      </x:c>
      <x:c r="W1627" t="str">
        <x:f>""</x:f>
        <x:v/>
      </x:c>
      <x:c r="X1627" t="str">
        <x:f>""</x:f>
        <x:v/>
      </x:c>
      <x:c r="Y1627" t="str">
        <x:f>""</x:f>
        <x:v/>
      </x:c>
      <x:c r="Z1627" t="str">
        <x:f>""</x:f>
        <x:v/>
      </x:c>
      <x:c r="AA1627" t="str">
        <x:f>""</x:f>
        <x:v/>
      </x:c>
      <x:c r="AB1627" t="str">
        <x:f>""</x:f>
        <x:v/>
      </x:c>
      <x:c r="AC1627" t="str">
        <x:f>""</x:f>
        <x:v/>
      </x:c>
      <x:c r="AD1627" t="str">
        <x:f>""</x:f>
        <x:v/>
      </x:c>
      <x:c r="AE1627" t="str">
        <x:f>""</x:f>
        <x:v/>
      </x:c>
      <x:c r="AF1627" t="str">
        <x:f>""</x:f>
        <x:v/>
      </x:c>
      <x:c r="AG1627" t="str">
        <x:f>""</x:f>
        <x:v/>
      </x:c>
    </x:row>
    <x:row r="1628" spans="2:33" x14ac:dyDescent="0.25">
      <x:c r="B1628" t="str">
        <x:f>"SUBZ US Equity"</x:f>
        <x:v>SUBZ US Equity</x:v>
      </x:c>
      <x:c r="C1628" t="str">
        <x:f t="shared" si="71"/>
        <x:v>FD447</x:v>
      </x:c>
      <x:c r="D1628" t="str">
        <x:f t="shared" si="72"/>
        <x:v>FUND_FLOW</x:v>
      </x:c>
      <x:c r="E1628" t="str">
        <x:f t="shared" si="73"/>
        <x:v>Dynamic</x:v>
      </x:c>
      <x:c r="F1628" t="str">
        <x:f ca="1">_xll.BDH($B$1628,$C$1628,$B$1010,$B$1011,CONCATENATE("Per=",$B$1008),"Dts=H","Dir=H",CONCATENATE("Points=",$B$1009),"Sort=R","Days=A","Fill=B",CONCATENATE("FX=", $B$1007) )</x:f>
        <x:v/>
      </x:c>
      <x:c r="T1628" t="str">
        <x:f>""</x:f>
        <x:v/>
      </x:c>
      <x:c r="U1628" t="str">
        <x:f>""</x:f>
        <x:v/>
      </x:c>
      <x:c r="V1628" t="str">
        <x:f>""</x:f>
        <x:v/>
      </x:c>
      <x:c r="W1628" t="str">
        <x:f>""</x:f>
        <x:v/>
      </x:c>
      <x:c r="X1628" t="str">
        <x:f>""</x:f>
        <x:v/>
      </x:c>
      <x:c r="Y1628" t="str">
        <x:f>""</x:f>
        <x:v/>
      </x:c>
      <x:c r="Z1628" t="str">
        <x:f>""</x:f>
        <x:v/>
      </x:c>
      <x:c r="AA1628" t="str">
        <x:f>""</x:f>
        <x:v/>
      </x:c>
      <x:c r="AB1628" t="str">
        <x:f>""</x:f>
        <x:v/>
      </x:c>
      <x:c r="AC1628" t="str">
        <x:f>""</x:f>
        <x:v/>
      </x:c>
      <x:c r="AD1628" t="str">
        <x:f>""</x:f>
        <x:v/>
      </x:c>
      <x:c r="AE1628" t="str">
        <x:f>""</x:f>
        <x:v/>
      </x:c>
      <x:c r="AF1628" t="str">
        <x:f>""</x:f>
        <x:v/>
      </x:c>
      <x:c r="AG1628" t="str">
        <x:f>""</x:f>
        <x:v/>
      </x:c>
    </x:row>
    <x:row r="1629" spans="2:33" x14ac:dyDescent="0.25">
      <x:c r="B1629" t="str">
        <x:f>"BYTE US Equity"</x:f>
        <x:v>BYTE US Equity</x:v>
      </x:c>
      <x:c r="C1629" t="str">
        <x:f t="shared" si="71"/>
        <x:v>FD447</x:v>
      </x:c>
      <x:c r="D1629" t="str">
        <x:f t="shared" si="72"/>
        <x:v>FUND_FLOW</x:v>
      </x:c>
      <x:c r="E1629" t="str">
        <x:f t="shared" si="73"/>
        <x:v>Dynamic</x:v>
      </x:c>
      <x:c r="F1629">
        <x:f ca="1">_xll.BDH($B$1629,$C$1629,$B$1010,$B$1011,CONCATENATE("Per=",$B$1008),"Dts=H","Dir=H",CONCATENATE("Points=",$B$1009),"Sort=R","Days=A","Fill=B",CONCATENATE("FX=", $B$1007),"cols=14;rows=1")</x:f>
        <x:v>0</x:v>
      </x:c>
      <x:c r="G1629">
        <x:v>0</x:v>
      </x:c>
      <x:c r="H1629">
        <x:v>-1.6661999999999999</x:v>
      </x:c>
      <x:c r="I1629">
        <x:v>0</x:v>
      </x:c>
      <x:c r="J1629">
        <x:v>0</x:v>
      </x:c>
      <x:c r="K1629">
        <x:v>0</x:v>
      </x:c>
      <x:c r="L1629">
        <x:v>0</x:v>
      </x:c>
      <x:c r="M1629">
        <x:v>0</x:v>
      </x:c>
      <x:c r="N1629">
        <x:v>0</x:v>
      </x:c>
      <x:c r="O1629">
        <x:v>0</x:v>
      </x:c>
      <x:c r="P1629">
        <x:v>0</x:v>
      </x:c>
      <x:c r="Q1629">
        <x:v>1.1739999999999999</x:v>
      </x:c>
      <x:c r="R1629">
        <x:v>0</x:v>
      </x:c>
      <x:c r="S1629">
        <x:v>0</x:v>
      </x:c>
      <x:c r="T1629" t="str">
        <x:f>""</x:f>
        <x:v/>
      </x:c>
      <x:c r="U1629" t="str">
        <x:f>""</x:f>
        <x:v/>
      </x:c>
      <x:c r="V1629" t="str">
        <x:f>""</x:f>
        <x:v/>
      </x:c>
      <x:c r="W1629" t="str">
        <x:f>""</x:f>
        <x:v/>
      </x:c>
      <x:c r="X1629" t="str">
        <x:f>""</x:f>
        <x:v/>
      </x:c>
      <x:c r="Y1629" t="str">
        <x:f>""</x:f>
        <x:v/>
      </x:c>
      <x:c r="Z1629" t="str">
        <x:f>""</x:f>
        <x:v/>
      </x:c>
      <x:c r="AA1629" t="str">
        <x:f>""</x:f>
        <x:v/>
      </x:c>
      <x:c r="AB1629" t="str">
        <x:f>""</x:f>
        <x:v/>
      </x:c>
      <x:c r="AC1629" t="str">
        <x:f>""</x:f>
        <x:v/>
      </x:c>
      <x:c r="AD1629" t="str">
        <x:f>""</x:f>
        <x:v/>
      </x:c>
      <x:c r="AE1629" t="str">
        <x:f>""</x:f>
        <x:v/>
      </x:c>
      <x:c r="AF1629" t="str">
        <x:f>""</x:f>
        <x:v/>
      </x:c>
      <x:c r="AG1629" t="str">
        <x:f>""</x:f>
        <x:v/>
      </x:c>
    </x:row>
    <x:row r="1630" spans="2:33" x14ac:dyDescent="0.25">
      <x:c r="B1630" t="str">
        <x:f>"SUBS US Equity"</x:f>
        <x:v>SUBS US Equity</x:v>
      </x:c>
      <x:c r="C1630" t="str">
        <x:f t="shared" si="71"/>
        <x:v>FD447</x:v>
      </x:c>
      <x:c r="D1630" t="str">
        <x:f t="shared" si="72"/>
        <x:v>FUND_FLOW</x:v>
      </x:c>
      <x:c r="E1630" t="str">
        <x:f t="shared" si="73"/>
        <x:v>Dynamic</x:v>
      </x:c>
      <x:c r="F1630" t="str">
        <x:f ca="1">_xll.BDH($B$1630,$C$1630,$B$1010,$B$1011,CONCATENATE("Per=",$B$1008),"Dts=H","Dir=H",CONCATENATE("Points=",$B$1009),"Sort=R","Days=A","Fill=B",CONCATENATE("FX=", $B$1007),"cols=14;rows=1")</x:f>
        <x:v/>
      </x:c>
      <x:c r="K1630">
        <x:v>0</x:v>
      </x:c>
      <x:c r="L1630">
        <x:v>-0.46939999999999998</x:v>
      </x:c>
      <x:c r="M1630">
        <x:v>0</x:v>
      </x:c>
      <x:c r="N1630">
        <x:v>0</x:v>
      </x:c>
      <x:c r="O1630">
        <x:v>0</x:v>
      </x:c>
      <x:c r="P1630">
        <x:v>0</x:v>
      </x:c>
      <x:c r="Q1630">
        <x:v>0</x:v>
      </x:c>
      <x:c r="R1630">
        <x:v>0</x:v>
      </x:c>
      <x:c r="S1630">
        <x:v>0</x:v>
      </x:c>
      <x:c r="T1630" t="str">
        <x:f>""</x:f>
        <x:v/>
      </x:c>
      <x:c r="U1630" t="str">
        <x:f>""</x:f>
        <x:v/>
      </x:c>
      <x:c r="V1630" t="str">
        <x:f>""</x:f>
        <x:v/>
      </x:c>
      <x:c r="W1630" t="str">
        <x:f>""</x:f>
        <x:v/>
      </x:c>
      <x:c r="X1630" t="str">
        <x:f>""</x:f>
        <x:v/>
      </x:c>
      <x:c r="Y1630" t="str">
        <x:f>""</x:f>
        <x:v/>
      </x:c>
      <x:c r="Z1630" t="str">
        <x:f>""</x:f>
        <x:v/>
      </x:c>
      <x:c r="AA1630" t="str">
        <x:f>""</x:f>
        <x:v/>
      </x:c>
      <x:c r="AB1630" t="str">
        <x:f>""</x:f>
        <x:v/>
      </x:c>
      <x:c r="AC1630" t="str">
        <x:f>""</x:f>
        <x:v/>
      </x:c>
      <x:c r="AD1630" t="str">
        <x:f>""</x:f>
        <x:v/>
      </x:c>
      <x:c r="AE1630" t="str">
        <x:f>""</x:f>
        <x:v/>
      </x:c>
      <x:c r="AF1630" t="str">
        <x:f>""</x:f>
        <x:v/>
      </x:c>
      <x:c r="AG1630" t="str">
        <x:f>""</x:f>
        <x:v/>
      </x:c>
    </x:row>
    <x:row r="1631" spans="2:33" x14ac:dyDescent="0.25">
      <x:c r="B1631" t="str">
        <x:f>"DAT US Equity"</x:f>
        <x:v>DAT US Equity</x:v>
      </x:c>
      <x:c r="C1631" t="str">
        <x:f t="shared" si="71"/>
        <x:v>FD447</x:v>
      </x:c>
      <x:c r="D1631" t="str">
        <x:f t="shared" si="72"/>
        <x:v>FUND_FLOW</x:v>
      </x:c>
      <x:c r="E1631" t="str">
        <x:f t="shared" si="73"/>
        <x:v>Dynamic</x:v>
      </x:c>
      <x:c r="F1631">
        <x:f ca="1">_xll.BDH($B$1631,$C$1631,$B$1010,$B$1011,CONCATENATE("Per=",$B$1008),"Dts=H","Dir=H",CONCATENATE("Points=",$B$1009),"Sort=R","Days=A","Fill=B",CONCATENATE("FX=", $B$1007),"cols=14;rows=1")</x:f>
        <x:v>0</x:v>
      </x:c>
      <x:c r="G1631">
        <x:v>0</x:v>
      </x:c>
      <x:c r="H1631">
        <x:v>0</x:v>
      </x:c>
      <x:c r="I1631">
        <x:v>0</x:v>
      </x:c>
      <x:c r="J1631">
        <x:v>0.71589999999999998</x:v>
      </x:c>
      <x:c r="K1631">
        <x:v>0</x:v>
      </x:c>
      <x:c r="L1631">
        <x:v>0.60609999999999997</x:v>
      </x:c>
      <x:c r="M1631">
        <x:v>0</x:v>
      </x:c>
      <x:c r="N1631">
        <x:v>0</x:v>
      </x:c>
      <x:c r="O1631">
        <x:v>0</x:v>
      </x:c>
      <x:c r="P1631">
        <x:v>0</x:v>
      </x:c>
      <x:c r="Q1631">
        <x:v>0</x:v>
      </x:c>
      <x:c r="R1631">
        <x:v>0</x:v>
      </x:c>
      <x:c r="S1631">
        <x:v>0</x:v>
      </x:c>
      <x:c r="T1631" t="str">
        <x:f>""</x:f>
        <x:v/>
      </x:c>
      <x:c r="U1631" t="str">
        <x:f>""</x:f>
        <x:v/>
      </x:c>
      <x:c r="V1631" t="str">
        <x:f>""</x:f>
        <x:v/>
      </x:c>
      <x:c r="W1631" t="str">
        <x:f>""</x:f>
        <x:v/>
      </x:c>
      <x:c r="X1631" t="str">
        <x:f>""</x:f>
        <x:v/>
      </x:c>
      <x:c r="Y1631" t="str">
        <x:f>""</x:f>
        <x:v/>
      </x:c>
      <x:c r="Z1631" t="str">
        <x:f>""</x:f>
        <x:v/>
      </x:c>
      <x:c r="AA1631" t="str">
        <x:f>""</x:f>
        <x:v/>
      </x:c>
      <x:c r="AB1631" t="str">
        <x:f>""</x:f>
        <x:v/>
      </x:c>
      <x:c r="AC1631" t="str">
        <x:f>""</x:f>
        <x:v/>
      </x:c>
      <x:c r="AD1631" t="str">
        <x:f>""</x:f>
        <x:v/>
      </x:c>
      <x:c r="AE1631" t="str">
        <x:f>""</x:f>
        <x:v/>
      </x:c>
      <x:c r="AF1631" t="str">
        <x:f>""</x:f>
        <x:v/>
      </x:c>
      <x:c r="AG1631" t="str">
        <x:f>""</x:f>
        <x:v/>
      </x:c>
    </x:row>
    <x:row r="1632" spans="2:33" x14ac:dyDescent="0.25">
      <x:c r="B1632" t="str">
        <x:f>"TINY US Equity"</x:f>
        <x:v>TINY US Equity</x:v>
      </x:c>
      <x:c r="C1632" t="str">
        <x:f t="shared" si="71"/>
        <x:v>FD447</x:v>
      </x:c>
      <x:c r="D1632" t="str">
        <x:f t="shared" si="72"/>
        <x:v>FUND_FLOW</x:v>
      </x:c>
      <x:c r="E1632" t="str">
        <x:f t="shared" si="73"/>
        <x:v>Dynamic</x:v>
      </x:c>
      <x:c r="F1632">
        <x:f ca="1">_xll.BDH($B$1632,$C$1632,$B$1010,$B$1011,CONCATENATE("Per=",$B$1008),"Dts=H","Dir=H",CONCATENATE("Points=",$B$1009),"Sort=R","Days=A","Fill=B",CONCATENATE("FX=", $B$1007),"cols=14;rows=1")</x:f>
        <x:v>0</x:v>
      </x:c>
      <x:c r="G1632">
        <x:v>0</x:v>
      </x:c>
      <x:c r="H1632">
        <x:v>0</x:v>
      </x:c>
      <x:c r="I1632">
        <x:v>0</x:v>
      </x:c>
      <x:c r="J1632">
        <x:v>0</x:v>
      </x:c>
      <x:c r="K1632">
        <x:v>0</x:v>
      </x:c>
      <x:c r="L1632">
        <x:v>0</x:v>
      </x:c>
      <x:c r="M1632">
        <x:v>0</x:v>
      </x:c>
      <x:c r="N1632">
        <x:v>0</x:v>
      </x:c>
      <x:c r="O1632">
        <x:v>0</x:v>
      </x:c>
      <x:c r="P1632">
        <x:v>0</x:v>
      </x:c>
      <x:c r="Q1632">
        <x:v>0</x:v>
      </x:c>
      <x:c r="R1632">
        <x:v>0</x:v>
      </x:c>
      <x:c r="S1632">
        <x:v>0</x:v>
      </x:c>
      <x:c r="T1632" t="str">
        <x:f>""</x:f>
        <x:v/>
      </x:c>
      <x:c r="U1632" t="str">
        <x:f>""</x:f>
        <x:v/>
      </x:c>
      <x:c r="V1632" t="str">
        <x:f>""</x:f>
        <x:v/>
      </x:c>
      <x:c r="W1632" t="str">
        <x:f>""</x:f>
        <x:v/>
      </x:c>
      <x:c r="X1632" t="str">
        <x:f>""</x:f>
        <x:v/>
      </x:c>
      <x:c r="Y1632" t="str">
        <x:f>""</x:f>
        <x:v/>
      </x:c>
      <x:c r="Z1632" t="str">
        <x:f>""</x:f>
        <x:v/>
      </x:c>
      <x:c r="AA1632" t="str">
        <x:f>""</x:f>
        <x:v/>
      </x:c>
      <x:c r="AB1632" t="str">
        <x:f>""</x:f>
        <x:v/>
      </x:c>
      <x:c r="AC1632" t="str">
        <x:f>""</x:f>
        <x:v/>
      </x:c>
      <x:c r="AD1632" t="str">
        <x:f>""</x:f>
        <x:v/>
      </x:c>
      <x:c r="AE1632" t="str">
        <x:f>""</x:f>
        <x:v/>
      </x:c>
      <x:c r="AF1632" t="str">
        <x:f>""</x:f>
        <x:v/>
      </x:c>
      <x:c r="AG1632" t="str">
        <x:f>""</x:f>
        <x:v/>
      </x:c>
    </x:row>
    <x:row r="1633" spans="2:33" x14ac:dyDescent="0.25">
      <x:c r="B1633" t="str">
        <x:f>"TRFK US Equity"</x:f>
        <x:v>TRFK US Equity</x:v>
      </x:c>
      <x:c r="C1633" t="str">
        <x:f t="shared" si="71"/>
        <x:v>FD447</x:v>
      </x:c>
      <x:c r="D1633" t="str">
        <x:f t="shared" si="72"/>
        <x:v>FUND_FLOW</x:v>
      </x:c>
      <x:c r="E1633" t="str">
        <x:f t="shared" si="73"/>
        <x:v>Dynamic</x:v>
      </x:c>
      <x:c r="F1633">
        <x:f ca="1">_xll.BDH($B$1633,$C$1633,$B$1010,$B$1011,CONCATENATE("Per=",$B$1008),"Dts=H","Dir=H",CONCATENATE("Points=",$B$1009),"Sort=R","Days=A","Fill=B",CONCATENATE("FX=", $B$1007),"cols=14;rows=1")</x:f>
        <x:v>0</x:v>
      </x:c>
      <x:c r="G1633">
        <x:v>0</x:v>
      </x:c>
      <x:c r="H1633">
        <x:v>1.2364999999999999</x:v>
      </x:c>
      <x:c r="I1633">
        <x:v>0.62</x:v>
      </x:c>
      <x:c r="J1633">
        <x:v>1.7892999999999999</x:v>
      </x:c>
      <x:c r="K1633">
        <x:v>-2.5999999999999999E-3</x:v>
      </x:c>
      <x:c r="L1633">
        <x:v>0</x:v>
      </x:c>
      <x:c r="M1633">
        <x:v>0</x:v>
      </x:c>
      <x:c r="N1633">
        <x:v>0</x:v>
      </x:c>
      <x:c r="O1633">
        <x:v>0</x:v>
      </x:c>
      <x:c r="P1633">
        <x:v>0</x:v>
      </x:c>
      <x:c r="Q1633">
        <x:v>0</x:v>
      </x:c>
      <x:c r="R1633">
        <x:v>0</x:v>
      </x:c>
      <x:c r="S1633">
        <x:v>0</x:v>
      </x:c>
      <x:c r="T1633" t="str">
        <x:f>""</x:f>
        <x:v/>
      </x:c>
      <x:c r="U1633" t="str">
        <x:f>""</x:f>
        <x:v/>
      </x:c>
      <x:c r="V1633" t="str">
        <x:f>""</x:f>
        <x:v/>
      </x:c>
      <x:c r="W1633" t="str">
        <x:f>""</x:f>
        <x:v/>
      </x:c>
      <x:c r="X1633" t="str">
        <x:f>""</x:f>
        <x:v/>
      </x:c>
      <x:c r="Y1633" t="str">
        <x:f>""</x:f>
        <x:v/>
      </x:c>
      <x:c r="Z1633" t="str">
        <x:f>""</x:f>
        <x:v/>
      </x:c>
      <x:c r="AA1633" t="str">
        <x:f>""</x:f>
        <x:v/>
      </x:c>
      <x:c r="AB1633" t="str">
        <x:f>""</x:f>
        <x:v/>
      </x:c>
      <x:c r="AC1633" t="str">
        <x:f>""</x:f>
        <x:v/>
      </x:c>
      <x:c r="AD1633" t="str">
        <x:f>""</x:f>
        <x:v/>
      </x:c>
      <x:c r="AE1633" t="str">
        <x:f>""</x:f>
        <x:v/>
      </x:c>
      <x:c r="AF1633" t="str">
        <x:f>""</x:f>
        <x:v/>
      </x:c>
      <x:c r="AG1633" t="str">
        <x:f>""</x:f>
        <x:v/>
      </x:c>
    </x:row>
    <x:row r="1634" spans="2:33" x14ac:dyDescent="0.25">
      <x:c r="B1634" t="str">
        <x:f>"CNCR US Equity"</x:f>
        <x:v>CNCR US Equity</x:v>
      </x:c>
      <x:c r="C1634" t="str">
        <x:f t="shared" si="71"/>
        <x:v>FD447</x:v>
      </x:c>
      <x:c r="D1634" t="str">
        <x:f t="shared" si="72"/>
        <x:v>FUND_FLOW</x:v>
      </x:c>
      <x:c r="E1634" t="str">
        <x:f t="shared" si="73"/>
        <x:v>Dynamic</x:v>
      </x:c>
      <x:c r="F1634">
        <x:f ca="1">_xll.BDH($B$1634,$C$1634,$B$1010,$B$1011,CONCATENATE("Per=",$B$1008),"Dts=H","Dir=H",CONCATENATE("Points=",$B$1009),"Sort=R","Days=A","Fill=B",CONCATENATE("FX=", $B$1007),"cols=14;rows=1")</x:f>
        <x:v>2.766</x:v>
      </x:c>
      <x:c r="G1634">
        <x:v>0</x:v>
      </x:c>
      <x:c r="H1634">
        <x:v>-0.62649999999999995</x:v>
      </x:c>
      <x:c r="I1634">
        <x:v>-0.65469999999999995</x:v>
      </x:c>
      <x:c r="J1634">
        <x:v>-1.4194</x:v>
      </x:c>
      <x:c r="K1634">
        <x:v>-3.3607999999999998</x:v>
      </x:c>
      <x:c r="L1634">
        <x:v>-2.4819</x:v>
      </x:c>
      <x:c r="M1634">
        <x:v>0</x:v>
      </x:c>
      <x:c r="N1634">
        <x:v>-0.75049999999999994</x:v>
      </x:c>
      <x:c r="O1634">
        <x:v>0</x:v>
      </x:c>
      <x:c r="P1634">
        <x:v>0</x:v>
      </x:c>
      <x:c r="Q1634">
        <x:v>0</x:v>
      </x:c>
      <x:c r="R1634">
        <x:v>1.5515000000000001</x:v>
      </x:c>
      <x:c r="S1634">
        <x:v>-1.5026999999999999</x:v>
      </x:c>
      <x:c r="T1634" t="str">
        <x:f>""</x:f>
        <x:v/>
      </x:c>
      <x:c r="U1634" t="str">
        <x:f>""</x:f>
        <x:v/>
      </x:c>
      <x:c r="V1634" t="str">
        <x:f>""</x:f>
        <x:v/>
      </x:c>
      <x:c r="W1634" t="str">
        <x:f>""</x:f>
        <x:v/>
      </x:c>
      <x:c r="X1634" t="str">
        <x:f>""</x:f>
        <x:v/>
      </x:c>
      <x:c r="Y1634" t="str">
        <x:f>""</x:f>
        <x:v/>
      </x:c>
      <x:c r="Z1634" t="str">
        <x:f>""</x:f>
        <x:v/>
      </x:c>
      <x:c r="AA1634" t="str">
        <x:f>""</x:f>
        <x:v/>
      </x:c>
      <x:c r="AB1634" t="str">
        <x:f>""</x:f>
        <x:v/>
      </x:c>
      <x:c r="AC1634" t="str">
        <x:f>""</x:f>
        <x:v/>
      </x:c>
      <x:c r="AD1634" t="str">
        <x:f>""</x:f>
        <x:v/>
      </x:c>
      <x:c r="AE1634" t="str">
        <x:f>""</x:f>
        <x:v/>
      </x:c>
      <x:c r="AF1634" t="str">
        <x:f>""</x:f>
        <x:v/>
      </x:c>
      <x:c r="AG1634" t="str">
        <x:f>""</x:f>
        <x:v/>
      </x:c>
    </x:row>
    <x:row r="1635" spans="2:33" x14ac:dyDescent="0.25">
      <x:c r="B1635" t="str">
        <x:f>"ARKG US Equity"</x:f>
        <x:v>ARKG US Equity</x:v>
      </x:c>
      <x:c r="C1635" t="str">
        <x:f t="shared" si="71"/>
        <x:v>FD447</x:v>
      </x:c>
      <x:c r="D1635" t="str">
        <x:f t="shared" si="72"/>
        <x:v>FUND_FLOW</x:v>
      </x:c>
      <x:c r="E1635" t="str">
        <x:f t="shared" si="73"/>
        <x:v>Dynamic</x:v>
      </x:c>
      <x:c r="F1635">
        <x:f ca="1">_xll.BDH($B$1635,$C$1635,$B$1010,$B$1011,CONCATENATE("Per=",$B$1008),"Dts=H","Dir=H",CONCATENATE("Points=",$B$1009),"Sort=R","Days=A","Fill=B",CONCATENATE("FX=", $B$1007),"cols=14;rows=1")</x:f>
        <x:v>-18.9909</x:v>
      </x:c>
      <x:c r="G1635">
        <x:v>-51.327800000000003</x:v>
      </x:c>
      <x:c r="H1635">
        <x:v>-39.6783</x:v>
      </x:c>
      <x:c r="I1635">
        <x:v>96.979900000000001</x:v>
      </x:c>
      <x:c r="J1635">
        <x:v>-17.137699999999999</x:v>
      </x:c>
      <x:c r="K1635">
        <x:v>-22.7683</x:v>
      </x:c>
      <x:c r="L1635">
        <x:v>-39.911999999999999</x:v>
      </x:c>
      <x:c r="M1635">
        <x:v>16.308499999999999</x:v>
      </x:c>
      <x:c r="N1635">
        <x:v>-42.948500000000003</x:v>
      </x:c>
      <x:c r="O1635">
        <x:v>-4.7187999999999999</x:v>
      </x:c>
      <x:c r="P1635">
        <x:v>-66.272300000000001</x:v>
      </x:c>
      <x:c r="Q1635">
        <x:v>-17.2622</x:v>
      </x:c>
      <x:c r="R1635">
        <x:v>-78.2898</x:v>
      </x:c>
      <x:c r="S1635">
        <x:v>-54.274000000000001</x:v>
      </x:c>
      <x:c r="T1635" t="str">
        <x:f>""</x:f>
        <x:v/>
      </x:c>
      <x:c r="U1635" t="str">
        <x:f>""</x:f>
        <x:v/>
      </x:c>
      <x:c r="V1635" t="str">
        <x:f>""</x:f>
        <x:v/>
      </x:c>
      <x:c r="W1635" t="str">
        <x:f>""</x:f>
        <x:v/>
      </x:c>
      <x:c r="X1635" t="str">
        <x:f>""</x:f>
        <x:v/>
      </x:c>
      <x:c r="Y1635" t="str">
        <x:f>""</x:f>
        <x:v/>
      </x:c>
      <x:c r="Z1635" t="str">
        <x:f>""</x:f>
        <x:v/>
      </x:c>
      <x:c r="AA1635" t="str">
        <x:f>""</x:f>
        <x:v/>
      </x:c>
      <x:c r="AB1635" t="str">
        <x:f>""</x:f>
        <x:v/>
      </x:c>
      <x:c r="AC1635" t="str">
        <x:f>""</x:f>
        <x:v/>
      </x:c>
      <x:c r="AD1635" t="str">
        <x:f>""</x:f>
        <x:v/>
      </x:c>
      <x:c r="AE1635" t="str">
        <x:f>""</x:f>
        <x:v/>
      </x:c>
      <x:c r="AF1635" t="str">
        <x:f>""</x:f>
        <x:v/>
      </x:c>
      <x:c r="AG1635" t="str">
        <x:f>""</x:f>
        <x:v/>
      </x:c>
    </x:row>
    <x:row r="1636" spans="2:33" x14ac:dyDescent="0.25">
      <x:c r="B1636" t="str">
        <x:f>"LNGR US Equity"</x:f>
        <x:v>LNGR US Equity</x:v>
      </x:c>
      <x:c r="C1636" t="str">
        <x:f t="shared" si="71"/>
        <x:v>FD447</x:v>
      </x:c>
      <x:c r="D1636" t="str">
        <x:f t="shared" si="72"/>
        <x:v>FUND_FLOW</x:v>
      </x:c>
      <x:c r="E1636" t="str">
        <x:f t="shared" si="73"/>
        <x:v>Dynamic</x:v>
      </x:c>
      <x:c r="F1636">
        <x:f ca="1">_xll.BDH($B$1636,$C$1636,$B$1010,$B$1011,CONCATENATE("Per=",$B$1008),"Dts=H","Dir=H",CONCATENATE("Points=",$B$1009),"Sort=R","Days=A","Fill=B",CONCATENATE("FX=", $B$1007),"cols=14;rows=1")</x:f>
        <x:v>2.5489999999999999</x:v>
      </x:c>
      <x:c r="G1636">
        <x:v>-1.8988</x:v>
      </x:c>
      <x:c r="H1636">
        <x:v>9.8658000000000001</x:v>
      </x:c>
      <x:c r="I1636">
        <x:v>0</x:v>
      </x:c>
      <x:c r="J1636">
        <x:v>-3.3311999999999999</x:v>
      </x:c>
      <x:c r="K1636">
        <x:v>-15.398099999999999</x:v>
      </x:c>
      <x:c r="L1636">
        <x:v>-0.84179999999999999</x:v>
      </x:c>
      <x:c r="M1636">
        <x:v>-0.26119999999999999</x:v>
      </x:c>
      <x:c r="N1636">
        <x:v>0</x:v>
      </x:c>
      <x:c r="O1636">
        <x:v>20.765000000000001</x:v>
      </x:c>
      <x:c r="P1636">
        <x:v>0</x:v>
      </x:c>
      <x:c r="Q1636">
        <x:v>0</x:v>
      </x:c>
      <x:c r="R1636">
        <x:v>0</x:v>
      </x:c>
      <x:c r="S1636">
        <x:v>-6.9463999999999997</x:v>
      </x:c>
      <x:c r="T1636" t="str">
        <x:f>""</x:f>
        <x:v/>
      </x:c>
      <x:c r="U1636" t="str">
        <x:f>""</x:f>
        <x:v/>
      </x:c>
      <x:c r="V1636" t="str">
        <x:f>""</x:f>
        <x:v/>
      </x:c>
      <x:c r="W1636" t="str">
        <x:f>""</x:f>
        <x:v/>
      </x:c>
      <x:c r="X1636" t="str">
        <x:f>""</x:f>
        <x:v/>
      </x:c>
      <x:c r="Y1636" t="str">
        <x:f>""</x:f>
        <x:v/>
      </x:c>
      <x:c r="Z1636" t="str">
        <x:f>""</x:f>
        <x:v/>
      </x:c>
      <x:c r="AA1636" t="str">
        <x:f>""</x:f>
        <x:v/>
      </x:c>
      <x:c r="AB1636" t="str">
        <x:f>""</x:f>
        <x:v/>
      </x:c>
      <x:c r="AC1636" t="str">
        <x:f>""</x:f>
        <x:v/>
      </x:c>
      <x:c r="AD1636" t="str">
        <x:f>""</x:f>
        <x:v/>
      </x:c>
      <x:c r="AE1636" t="str">
        <x:f>""</x:f>
        <x:v/>
      </x:c>
      <x:c r="AF1636" t="str">
        <x:f>""</x:f>
        <x:v/>
      </x:c>
      <x:c r="AG1636" t="str">
        <x:f>""</x:f>
        <x:v/>
      </x:c>
    </x:row>
    <x:row r="1637" spans="2:33" x14ac:dyDescent="0.25">
      <x:c r="B1637" t="str">
        <x:f>"GDNA US Equity"</x:f>
        <x:v>GDNA US Equity</x:v>
      </x:c>
      <x:c r="C1637" t="str">
        <x:f t="shared" si="71"/>
        <x:v>FD447</x:v>
      </x:c>
      <x:c r="D1637" t="str">
        <x:f t="shared" si="72"/>
        <x:v>FUND_FLOW</x:v>
      </x:c>
      <x:c r="E1637" t="str">
        <x:f t="shared" si="73"/>
        <x:v>Dynamic</x:v>
      </x:c>
      <x:c r="F1637" t="str">
        <x:f ca="1">_xll.BDH($B$1637,$C$1637,$B$1010,$B$1011,CONCATENATE("Per=",$B$1008),"Dts=H","Dir=H",CONCATENATE("Points=",$B$1009),"Sort=R","Days=A","Fill=B",CONCATENATE("FX=", $B$1007) )</x:f>
        <x:v/>
      </x:c>
      <x:c r="T1637" t="str">
        <x:f>""</x:f>
        <x:v/>
      </x:c>
      <x:c r="U1637" t="str">
        <x:f>""</x:f>
        <x:v/>
      </x:c>
      <x:c r="V1637" t="str">
        <x:f>""</x:f>
        <x:v/>
      </x:c>
      <x:c r="W1637" t="str">
        <x:f>""</x:f>
        <x:v/>
      </x:c>
      <x:c r="X1637" t="str">
        <x:f>""</x:f>
        <x:v/>
      </x:c>
      <x:c r="Y1637" t="str">
        <x:f>""</x:f>
        <x:v/>
      </x:c>
      <x:c r="Z1637" t="str">
        <x:f>""</x:f>
        <x:v/>
      </x:c>
      <x:c r="AA1637" t="str">
        <x:f>""</x:f>
        <x:v/>
      </x:c>
      <x:c r="AB1637" t="str">
        <x:f>""</x:f>
        <x:v/>
      </x:c>
      <x:c r="AC1637" t="str">
        <x:f>""</x:f>
        <x:v/>
      </x:c>
      <x:c r="AD1637" t="str">
        <x:f>""</x:f>
        <x:v/>
      </x:c>
      <x:c r="AE1637" t="str">
        <x:f>""</x:f>
        <x:v/>
      </x:c>
      <x:c r="AF1637" t="str">
        <x:f>""</x:f>
        <x:v/>
      </x:c>
      <x:c r="AG1637" t="str">
        <x:f>""</x:f>
        <x:v/>
      </x:c>
    </x:row>
    <x:row r="1638" spans="2:33" x14ac:dyDescent="0.25">
      <x:c r="B1638" t="str">
        <x:f>"GNOM US Equity"</x:f>
        <x:v>GNOM US Equity</x:v>
      </x:c>
      <x:c r="C1638" t="str">
        <x:f t="shared" si="71"/>
        <x:v>FD447</x:v>
      </x:c>
      <x:c r="D1638" t="str">
        <x:f t="shared" si="72"/>
        <x:v>FUND_FLOW</x:v>
      </x:c>
      <x:c r="E1638" t="str">
        <x:f t="shared" si="73"/>
        <x:v>Dynamic</x:v>
      </x:c>
      <x:c r="F1638">
        <x:f ca="1">_xll.BDH($B$1638,$C$1638,$B$1010,$B$1011,CONCATENATE("Per=",$B$1008),"Dts=H","Dir=H",CONCATENATE("Points=",$B$1009),"Sort=R","Days=A","Fill=B",CONCATENATE("FX=", $B$1007),"cols=14;rows=1")</x:f>
        <x:v>-74.867500000000007</x:v>
      </x:c>
      <x:c r="G1638">
        <x:v>46.187800000000003</x:v>
      </x:c>
      <x:c r="H1638">
        <x:v>-39.461799999999997</x:v>
      </x:c>
      <x:c r="I1638">
        <x:v>6.0076000000000001</x:v>
      </x:c>
      <x:c r="J1638">
        <x:v>0.63700000000000001</x:v>
      </x:c>
      <x:c r="K1638">
        <x:v>1.3814</x:v>
      </x:c>
      <x:c r="L1638">
        <x:v>-11.5777</x:v>
      </x:c>
      <x:c r="M1638">
        <x:v>0.94310000000000005</x:v>
      </x:c>
      <x:c r="N1638">
        <x:v>-1.1857</x:v>
      </x:c>
      <x:c r="O1638">
        <x:v>1.7063999999999999</x:v>
      </x:c>
      <x:c r="P1638">
        <x:v>14.3284</x:v>
      </x:c>
      <x:c r="Q1638">
        <x:v>-3.1533000000000002</x:v>
      </x:c>
      <x:c r="R1638">
        <x:v>-7.9795999999999996</x:v>
      </x:c>
      <x:c r="S1638">
        <x:v>-3.3847</x:v>
      </x:c>
      <x:c r="T1638" t="str">
        <x:f>""</x:f>
        <x:v/>
      </x:c>
      <x:c r="U1638" t="str">
        <x:f>""</x:f>
        <x:v/>
      </x:c>
      <x:c r="V1638" t="str">
        <x:f>""</x:f>
        <x:v/>
      </x:c>
      <x:c r="W1638" t="str">
        <x:f>""</x:f>
        <x:v/>
      </x:c>
      <x:c r="X1638" t="str">
        <x:f>""</x:f>
        <x:v/>
      </x:c>
      <x:c r="Y1638" t="str">
        <x:f>""</x:f>
        <x:v/>
      </x:c>
      <x:c r="Z1638" t="str">
        <x:f>""</x:f>
        <x:v/>
      </x:c>
      <x:c r="AA1638" t="str">
        <x:f>""</x:f>
        <x:v/>
      </x:c>
      <x:c r="AB1638" t="str">
        <x:f>""</x:f>
        <x:v/>
      </x:c>
      <x:c r="AC1638" t="str">
        <x:f>""</x:f>
        <x:v/>
      </x:c>
      <x:c r="AD1638" t="str">
        <x:f>""</x:f>
        <x:v/>
      </x:c>
      <x:c r="AE1638" t="str">
        <x:f>""</x:f>
        <x:v/>
      </x:c>
      <x:c r="AF1638" t="str">
        <x:f>""</x:f>
        <x:v/>
      </x:c>
      <x:c r="AG1638" t="str">
        <x:f>""</x:f>
        <x:v/>
      </x:c>
    </x:row>
    <x:row r="1639" spans="2:33" x14ac:dyDescent="0.25">
      <x:c r="B1639" t="str">
        <x:f>"GERM US Equity"</x:f>
        <x:v>GERM US Equity</x:v>
      </x:c>
      <x:c r="C1639" t="str">
        <x:f t="shared" si="71"/>
        <x:v>FD447</x:v>
      </x:c>
      <x:c r="D1639" t="str">
        <x:f t="shared" si="72"/>
        <x:v>FUND_FLOW</x:v>
      </x:c>
      <x:c r="E1639" t="str">
        <x:f t="shared" si="73"/>
        <x:v>Dynamic</x:v>
      </x:c>
      <x:c r="F1639">
        <x:f ca="1">_xll.BDH($B$1639,$C$1639,$B$1010,$B$1011,CONCATENATE("Per=",$B$1008),"Dts=H","Dir=H",CONCATENATE("Points=",$B$1009),"Sort=R","Days=A","Fill=B",CONCATENATE("FX=", $B$1007),"cols=14;rows=1")</x:f>
        <x:v>0</x:v>
      </x:c>
      <x:c r="G1639">
        <x:v>0</x:v>
      </x:c>
      <x:c r="H1639">
        <x:v>-1.0005999999999999</x:v>
      </x:c>
      <x:c r="I1639">
        <x:v>-1.0347</x:v>
      </x:c>
      <x:c r="J1639">
        <x:v>0</x:v>
      </x:c>
      <x:c r="K1639">
        <x:v>-1.0545</x:v>
      </x:c>
      <x:c r="L1639">
        <x:v>0</x:v>
      </x:c>
      <x:c r="M1639">
        <x:v>-1.0671999999999999</x:v>
      </x:c>
      <x:c r="N1639">
        <x:v>0</x:v>
      </x:c>
      <x:c r="O1639">
        <x:v>-2.4241000000000001</x:v>
      </x:c>
      <x:c r="P1639">
        <x:v>0</x:v>
      </x:c>
      <x:c r="Q1639">
        <x:v>0</x:v>
      </x:c>
      <x:c r="R1639">
        <x:v>0</x:v>
      </x:c>
      <x:c r="S1639">
        <x:v>0</x:v>
      </x:c>
      <x:c r="T1639" t="str">
        <x:f>""</x:f>
        <x:v/>
      </x:c>
      <x:c r="U1639" t="str">
        <x:f>""</x:f>
        <x:v/>
      </x:c>
      <x:c r="V1639" t="str">
        <x:f>""</x:f>
        <x:v/>
      </x:c>
      <x:c r="W1639" t="str">
        <x:f>""</x:f>
        <x:v/>
      </x:c>
      <x:c r="X1639" t="str">
        <x:f>""</x:f>
        <x:v/>
      </x:c>
      <x:c r="Y1639" t="str">
        <x:f>""</x:f>
        <x:v/>
      </x:c>
      <x:c r="Z1639" t="str">
        <x:f>""</x:f>
        <x:v/>
      </x:c>
      <x:c r="AA1639" t="str">
        <x:f>""</x:f>
        <x:v/>
      </x:c>
      <x:c r="AB1639" t="str">
        <x:f>""</x:f>
        <x:v/>
      </x:c>
      <x:c r="AC1639" t="str">
        <x:f>""</x:f>
        <x:v/>
      </x:c>
      <x:c r="AD1639" t="str">
        <x:f>""</x:f>
        <x:v/>
      </x:c>
      <x:c r="AE1639" t="str">
        <x:f>""</x:f>
        <x:v/>
      </x:c>
      <x:c r="AF1639" t="str">
        <x:f>""</x:f>
        <x:v/>
      </x:c>
      <x:c r="AG1639" t="str">
        <x:f>""</x:f>
        <x:v/>
      </x:c>
    </x:row>
    <x:row r="1640" spans="2:33" x14ac:dyDescent="0.25">
      <x:c r="B1640" t="str">
        <x:f>"HELX US Equity"</x:f>
        <x:v>HELX US Equity</x:v>
      </x:c>
      <x:c r="C1640" t="str">
        <x:f t="shared" si="71"/>
        <x:v>FD447</x:v>
      </x:c>
      <x:c r="D1640" t="str">
        <x:f t="shared" si="72"/>
        <x:v>FUND_FLOW</x:v>
      </x:c>
      <x:c r="E1640" t="str">
        <x:f t="shared" si="73"/>
        <x:v>Dynamic</x:v>
      </x:c>
      <x:c r="F1640">
        <x:f ca="1">_xll.BDH($B$1640,$C$1640,$B$1010,$B$1011,CONCATENATE("Per=",$B$1008),"Dts=H","Dir=H",CONCATENATE("Points=",$B$1009),"Sort=R","Days=A","Fill=B",CONCATENATE("FX=", $B$1007),"cols=14;rows=1")</x:f>
        <x:v>0</x:v>
      </x:c>
      <x:c r="G1640">
        <x:v>0</x:v>
      </x:c>
      <x:c r="H1640">
        <x:v>-1.5165</x:v>
      </x:c>
      <x:c r="I1640">
        <x:v>0</x:v>
      </x:c>
      <x:c r="J1640">
        <x:v>0</x:v>
      </x:c>
      <x:c r="K1640">
        <x:v>0</x:v>
      </x:c>
      <x:c r="L1640">
        <x:v>0</x:v>
      </x:c>
      <x:c r="M1640">
        <x:v>0</x:v>
      </x:c>
      <x:c r="N1640">
        <x:v>0</x:v>
      </x:c>
      <x:c r="O1640">
        <x:v>0</x:v>
      </x:c>
      <x:c r="P1640">
        <x:v>0</x:v>
      </x:c>
      <x:c r="Q1640">
        <x:v>0</x:v>
      </x:c>
      <x:c r="R1640">
        <x:v>0</x:v>
      </x:c>
      <x:c r="S1640">
        <x:v>0</x:v>
      </x:c>
      <x:c r="T1640" t="str">
        <x:f>""</x:f>
        <x:v/>
      </x:c>
      <x:c r="U1640" t="str">
        <x:f>""</x:f>
        <x:v/>
      </x:c>
      <x:c r="V1640" t="str">
        <x:f>""</x:f>
        <x:v/>
      </x:c>
      <x:c r="W1640" t="str">
        <x:f>""</x:f>
        <x:v/>
      </x:c>
      <x:c r="X1640" t="str">
        <x:f>""</x:f>
        <x:v/>
      </x:c>
      <x:c r="Y1640" t="str">
        <x:f>""</x:f>
        <x:v/>
      </x:c>
      <x:c r="Z1640" t="str">
        <x:f>""</x:f>
        <x:v/>
      </x:c>
      <x:c r="AA1640" t="str">
        <x:f>""</x:f>
        <x:v/>
      </x:c>
      <x:c r="AB1640" t="str">
        <x:f>""</x:f>
        <x:v/>
      </x:c>
      <x:c r="AC1640" t="str">
        <x:f>""</x:f>
        <x:v/>
      </x:c>
      <x:c r="AD1640" t="str">
        <x:f>""</x:f>
        <x:v/>
      </x:c>
      <x:c r="AE1640" t="str">
        <x:f>""</x:f>
        <x:v/>
      </x:c>
      <x:c r="AF1640" t="str">
        <x:f>""</x:f>
        <x:v/>
      </x:c>
      <x:c r="AG1640" t="str">
        <x:f>""</x:f>
        <x:v/>
      </x:c>
    </x:row>
    <x:row r="1641" spans="2:33" x14ac:dyDescent="0.25">
      <x:c r="B1641" t="str">
        <x:f>"EDOC US Equity"</x:f>
        <x:v>EDOC US Equity</x:v>
      </x:c>
      <x:c r="C1641" t="str">
        <x:f t="shared" si="71"/>
        <x:v>FD447</x:v>
      </x:c>
      <x:c r="D1641" t="str">
        <x:f t="shared" si="72"/>
        <x:v>FUND_FLOW</x:v>
      </x:c>
      <x:c r="E1641" t="str">
        <x:f t="shared" si="73"/>
        <x:v>Dynamic</x:v>
      </x:c>
      <x:c r="F1641">
        <x:f ca="1">_xll.BDH($B$1641,$C$1641,$B$1010,$B$1011,CONCATENATE("Per=",$B$1008),"Dts=H","Dir=H",CONCATENATE("Points=",$B$1009),"Sort=R","Days=A","Fill=B",CONCATENATE("FX=", $B$1007),"cols=14;rows=1")</x:f>
        <x:v>-10.6797</x:v>
      </x:c>
      <x:c r="G1641">
        <x:v>-2.5373999999999999</x:v>
      </x:c>
      <x:c r="H1641">
        <x:v>-3.2385000000000002</x:v>
      </x:c>
      <x:c r="I1641">
        <x:v>-2.5032000000000001</x:v>
      </x:c>
      <x:c r="J1641">
        <x:v>-3.2458</x:v>
      </x:c>
      <x:c r="K1641">
        <x:v>-1.8522000000000001</x:v>
      </x:c>
      <x:c r="L1641">
        <x:v>-4.9523999999999999</x:v>
      </x:c>
      <x:c r="M1641">
        <x:v>-5.1760000000000002</x:v>
      </x:c>
      <x:c r="N1641">
        <x:v>-3.7368000000000001</x:v>
      </x:c>
      <x:c r="O1641">
        <x:v>-5.7846000000000002</x:v>
      </x:c>
      <x:c r="P1641">
        <x:v>0.80779999999999996</x:v>
      </x:c>
      <x:c r="Q1641">
        <x:v>-10.494300000000001</x:v>
      </x:c>
      <x:c r="R1641">
        <x:v>-2.3372999999999999</x:v>
      </x:c>
      <x:c r="S1641">
        <x:v>-2.7770000000000001</x:v>
      </x:c>
      <x:c r="T1641" t="str">
        <x:f>""</x:f>
        <x:v/>
      </x:c>
      <x:c r="U1641" t="str">
        <x:f>""</x:f>
        <x:v/>
      </x:c>
      <x:c r="V1641" t="str">
        <x:f>""</x:f>
        <x:v/>
      </x:c>
      <x:c r="W1641" t="str">
        <x:f>""</x:f>
        <x:v/>
      </x:c>
      <x:c r="X1641" t="str">
        <x:f>""</x:f>
        <x:v/>
      </x:c>
      <x:c r="Y1641" t="str">
        <x:f>""</x:f>
        <x:v/>
      </x:c>
      <x:c r="Z1641" t="str">
        <x:f>""</x:f>
        <x:v/>
      </x:c>
      <x:c r="AA1641" t="str">
        <x:f>""</x:f>
        <x:v/>
      </x:c>
      <x:c r="AB1641" t="str">
        <x:f>""</x:f>
        <x:v/>
      </x:c>
      <x:c r="AC1641" t="str">
        <x:f>""</x:f>
        <x:v/>
      </x:c>
      <x:c r="AD1641" t="str">
        <x:f>""</x:f>
        <x:v/>
      </x:c>
      <x:c r="AE1641" t="str">
        <x:f>""</x:f>
        <x:v/>
      </x:c>
      <x:c r="AF1641" t="str">
        <x:f>""</x:f>
        <x:v/>
      </x:c>
      <x:c r="AG1641" t="str">
        <x:f>""</x:f>
        <x:v/>
      </x:c>
    </x:row>
    <x:row r="1642" spans="2:33" x14ac:dyDescent="0.25">
      <x:c r="B1642" t="str">
        <x:f>"BMED US Equity"</x:f>
        <x:v>BMED US Equity</x:v>
      </x:c>
      <x:c r="C1642" t="str">
        <x:f t="shared" si="71"/>
        <x:v>FD447</x:v>
      </x:c>
      <x:c r="D1642" t="str">
        <x:f t="shared" si="72"/>
        <x:v>FUND_FLOW</x:v>
      </x:c>
      <x:c r="E1642" t="str">
        <x:f t="shared" si="73"/>
        <x:v>Dynamic</x:v>
      </x:c>
      <x:c r="F1642">
        <x:f ca="1">_xll.BDH($B$1642,$C$1642,$B$1010,$B$1011,CONCATENATE("Per=",$B$1008),"Dts=H","Dir=H",CONCATENATE("Points=",$B$1009),"Sort=R","Days=A","Fill=B",CONCATENATE("FX=", $B$1007),"cols=14;rows=1")</x:f>
        <x:v>0</x:v>
      </x:c>
      <x:c r="G1642">
        <x:v>0</x:v>
      </x:c>
      <x:c r="H1642">
        <x:v>-1.9091</x:v>
      </x:c>
      <x:c r="I1642">
        <x:v>0</x:v>
      </x:c>
      <x:c r="J1642">
        <x:v>0</x:v>
      </x:c>
      <x:c r="K1642">
        <x:v>0</x:v>
      </x:c>
      <x:c r="L1642">
        <x:v>0</x:v>
      </x:c>
      <x:c r="M1642">
        <x:v>0</x:v>
      </x:c>
      <x:c r="N1642">
        <x:v>0</x:v>
      </x:c>
      <x:c r="O1642">
        <x:v>0</x:v>
      </x:c>
      <x:c r="P1642">
        <x:v>0</x:v>
      </x:c>
      <x:c r="Q1642">
        <x:v>0</x:v>
      </x:c>
      <x:c r="R1642">
        <x:v>-0.85409999999999997</x:v>
      </x:c>
      <x:c r="S1642">
        <x:v>-0.89859999999999995</x:v>
      </x:c>
      <x:c r="T1642" t="str">
        <x:f>""</x:f>
        <x:v/>
      </x:c>
      <x:c r="U1642" t="str">
        <x:f>""</x:f>
        <x:v/>
      </x:c>
      <x:c r="V1642" t="str">
        <x:f>""</x:f>
        <x:v/>
      </x:c>
      <x:c r="W1642" t="str">
        <x:f>""</x:f>
        <x:v/>
      </x:c>
      <x:c r="X1642" t="str">
        <x:f>""</x:f>
        <x:v/>
      </x:c>
      <x:c r="Y1642" t="str">
        <x:f>""</x:f>
        <x:v/>
      </x:c>
      <x:c r="Z1642" t="str">
        <x:f>""</x:f>
        <x:v/>
      </x:c>
      <x:c r="AA1642" t="str">
        <x:f>""</x:f>
        <x:v/>
      </x:c>
      <x:c r="AB1642" t="str">
        <x:f>""</x:f>
        <x:v/>
      </x:c>
      <x:c r="AC1642" t="str">
        <x:f>""</x:f>
        <x:v/>
      </x:c>
      <x:c r="AD1642" t="str">
        <x:f>""</x:f>
        <x:v/>
      </x:c>
      <x:c r="AE1642" t="str">
        <x:f>""</x:f>
        <x:v/>
      </x:c>
      <x:c r="AF1642" t="str">
        <x:f>""</x:f>
        <x:v/>
      </x:c>
      <x:c r="AG1642" t="str">
        <x:f>""</x:f>
        <x:v/>
      </x:c>
    </x:row>
    <x:row r="1643" spans="2:33" x14ac:dyDescent="0.25">
      <x:c r="B1643" t="str">
        <x:f>"HART US Equity"</x:f>
        <x:v>HART US Equity</x:v>
      </x:c>
      <x:c r="C1643" t="str">
        <x:f t="shared" si="71"/>
        <x:v>FD447</x:v>
      </x:c>
      <x:c r="D1643" t="str">
        <x:f t="shared" si="72"/>
        <x:v>FUND_FLOW</x:v>
      </x:c>
      <x:c r="E1643" t="str">
        <x:f t="shared" si="73"/>
        <x:v>Dynamic</x:v>
      </x:c>
      <x:c r="F1643">
        <x:f ca="1">_xll.BDH($B$1643,$C$1643,$B$1010,$B$1011,CONCATENATE("Per=",$B$1008),"Dts=H","Dir=H",CONCATENATE("Points=",$B$1009),"Sort=R","Days=A","Fill=B",CONCATENATE("FX=", $B$1007),"cols=14;rows=1")</x:f>
        <x:v>0</x:v>
      </x:c>
      <x:c r="G1643">
        <x:v>0</x:v>
      </x:c>
      <x:c r="H1643">
        <x:v>0</x:v>
      </x:c>
      <x:c r="I1643">
        <x:v>0</x:v>
      </x:c>
      <x:c r="J1643">
        <x:v>0</x:v>
      </x:c>
      <x:c r="K1643">
        <x:v>0</x:v>
      </x:c>
      <x:c r="L1643">
        <x:v>0</x:v>
      </x:c>
      <x:c r="M1643">
        <x:v>0</x:v>
      </x:c>
      <x:c r="N1643">
        <x:v>0</x:v>
      </x:c>
      <x:c r="O1643">
        <x:v>0</x:v>
      </x:c>
      <x:c r="P1643">
        <x:v>0</x:v>
      </x:c>
      <x:c r="Q1643">
        <x:v>0</x:v>
      </x:c>
      <x:c r="R1643">
        <x:v>0</x:v>
      </x:c>
      <x:c r="S1643">
        <x:v>1.2698</x:v>
      </x:c>
      <x:c r="T1643" t="str">
        <x:f>""</x:f>
        <x:v/>
      </x:c>
      <x:c r="U1643" t="str">
        <x:f>""</x:f>
        <x:v/>
      </x:c>
      <x:c r="V1643" t="str">
        <x:f>""</x:f>
        <x:v/>
      </x:c>
      <x:c r="W1643" t="str">
        <x:f>""</x:f>
        <x:v/>
      </x:c>
      <x:c r="X1643" t="str">
        <x:f>""</x:f>
        <x:v/>
      </x:c>
      <x:c r="Y1643" t="str">
        <x:f>""</x:f>
        <x:v/>
      </x:c>
      <x:c r="Z1643" t="str">
        <x:f>""</x:f>
        <x:v/>
      </x:c>
      <x:c r="AA1643" t="str">
        <x:f>""</x:f>
        <x:v/>
      </x:c>
      <x:c r="AB1643" t="str">
        <x:f>""</x:f>
        <x:v/>
      </x:c>
      <x:c r="AC1643" t="str">
        <x:f>""</x:f>
        <x:v/>
      </x:c>
      <x:c r="AD1643" t="str">
        <x:f>""</x:f>
        <x:v/>
      </x:c>
      <x:c r="AE1643" t="str">
        <x:f>""</x:f>
        <x:v/>
      </x:c>
      <x:c r="AF1643" t="str">
        <x:f>""</x:f>
        <x:v/>
      </x:c>
      <x:c r="AG1643" t="str">
        <x:f>""</x:f>
        <x:v/>
      </x:c>
    </x:row>
    <x:row r="1644" spans="2:33" x14ac:dyDescent="0.25">
      <x:c r="B1644" t="str">
        <x:f>"AGNG US Equity"</x:f>
        <x:v>AGNG US Equity</x:v>
      </x:c>
      <x:c r="C1644" t="str">
        <x:f t="shared" si="71"/>
        <x:v>FD447</x:v>
      </x:c>
      <x:c r="D1644" t="str">
        <x:f t="shared" si="72"/>
        <x:v>FUND_FLOW</x:v>
      </x:c>
      <x:c r="E1644" t="str">
        <x:f t="shared" si="73"/>
        <x:v>Dynamic</x:v>
      </x:c>
      <x:c r="F1644">
        <x:f ca="1">_xll.BDH($B$1644,$C$1644,$B$1010,$B$1011,CONCATENATE("Per=",$B$1008),"Dts=H","Dir=H",CONCATENATE("Points=",$B$1009),"Sort=R","Days=A","Fill=B",CONCATENATE("FX=", $B$1007),"cols=14;rows=1")</x:f>
        <x:v>2.5489999999999999</x:v>
      </x:c>
      <x:c r="G1644">
        <x:v>-1.8988</x:v>
      </x:c>
      <x:c r="H1644">
        <x:v>9.8658000000000001</x:v>
      </x:c>
      <x:c r="I1644">
        <x:v>0</x:v>
      </x:c>
      <x:c r="J1644">
        <x:v>-3.3311999999999999</x:v>
      </x:c>
      <x:c r="K1644">
        <x:v>-15.398099999999999</x:v>
      </x:c>
      <x:c r="L1644">
        <x:v>-0.84179999999999999</x:v>
      </x:c>
      <x:c r="M1644">
        <x:v>-0.26119999999999999</x:v>
      </x:c>
      <x:c r="N1644">
        <x:v>0</x:v>
      </x:c>
      <x:c r="O1644">
        <x:v>20.765000000000001</x:v>
      </x:c>
      <x:c r="P1644">
        <x:v>0</x:v>
      </x:c>
      <x:c r="Q1644">
        <x:v>0</x:v>
      </x:c>
      <x:c r="R1644">
        <x:v>0</x:v>
      </x:c>
      <x:c r="S1644">
        <x:v>-6.9463999999999997</x:v>
      </x:c>
      <x:c r="T1644" t="str">
        <x:f>""</x:f>
        <x:v/>
      </x:c>
      <x:c r="U1644" t="str">
        <x:f>""</x:f>
        <x:v/>
      </x:c>
      <x:c r="V1644" t="str">
        <x:f>""</x:f>
        <x:v/>
      </x:c>
      <x:c r="W1644" t="str">
        <x:f>""</x:f>
        <x:v/>
      </x:c>
      <x:c r="X1644" t="str">
        <x:f>""</x:f>
        <x:v/>
      </x:c>
      <x:c r="Y1644" t="str">
        <x:f>""</x:f>
        <x:v/>
      </x:c>
      <x:c r="Z1644" t="str">
        <x:f>""</x:f>
        <x:v/>
      </x:c>
      <x:c r="AA1644" t="str">
        <x:f>""</x:f>
        <x:v/>
      </x:c>
      <x:c r="AB1644" t="str">
        <x:f>""</x:f>
        <x:v/>
      </x:c>
      <x:c r="AC1644" t="str">
        <x:f>""</x:f>
        <x:v/>
      </x:c>
      <x:c r="AD1644" t="str">
        <x:f>""</x:f>
        <x:v/>
      </x:c>
      <x:c r="AE1644" t="str">
        <x:f>""</x:f>
        <x:v/>
      </x:c>
      <x:c r="AF1644" t="str">
        <x:f>""</x:f>
        <x:v/>
      </x:c>
      <x:c r="AG1644" t="str">
        <x:f>""</x:f>
        <x:v/>
      </x:c>
    </x:row>
    <x:row r="1645" spans="2:33" x14ac:dyDescent="0.25">
      <x:c r="B1645" t="str">
        <x:f>"HLGE US Equity"</x:f>
        <x:v>HLGE US Equity</x:v>
      </x:c>
      <x:c r="C1645" t="str">
        <x:f t="shared" si="71"/>
        <x:v>FD447</x:v>
      </x:c>
      <x:c r="D1645" t="str">
        <x:f t="shared" si="72"/>
        <x:v>FUND_FLOW</x:v>
      </x:c>
      <x:c r="E1645" t="str">
        <x:f t="shared" si="73"/>
        <x:v>Dynamic</x:v>
      </x:c>
      <x:c r="F1645">
        <x:f ca="1">_xll.BDH($B$1645,$C$1645,$B$1010,$B$1011,CONCATENATE("Per=",$B$1008),"Dts=H","Dir=H",CONCATENATE("Points=",$B$1009),"Sort=R","Days=A","Fill=B",CONCATENATE("FX=", $B$1007),"cols=14;rows=1")</x:f>
        <x:v>0</x:v>
      </x:c>
      <x:c r="G1645">
        <x:v>0</x:v>
      </x:c>
      <x:c r="H1645">
        <x:v>0</x:v>
      </x:c>
      <x:c r="I1645">
        <x:v>0</x:v>
      </x:c>
      <x:c r="J1645">
        <x:v>0</x:v>
      </x:c>
      <x:c r="K1645">
        <x:v>0</x:v>
      </x:c>
      <x:c r="L1645">
        <x:v>0</x:v>
      </x:c>
      <x:c r="M1645">
        <x:v>0</x:v>
      </x:c>
      <x:c r="N1645">
        <x:v>0</x:v>
      </x:c>
      <x:c r="O1645">
        <x:v>1.2125999999999999</x:v>
      </x:c>
      <x:c r="P1645">
        <x:v>0</x:v>
      </x:c>
      <x:c r="Q1645">
        <x:v>-15.401899999999999</x:v>
      </x:c>
      <x:c r="R1645">
        <x:v>0</x:v>
      </x:c>
      <x:c r="S1645">
        <x:v>0</x:v>
      </x:c>
      <x:c r="T1645" t="str">
        <x:f>""</x:f>
        <x:v/>
      </x:c>
      <x:c r="U1645" t="str">
        <x:f>""</x:f>
        <x:v/>
      </x:c>
      <x:c r="V1645" t="str">
        <x:f>""</x:f>
        <x:v/>
      </x:c>
      <x:c r="W1645" t="str">
        <x:f>""</x:f>
        <x:v/>
      </x:c>
      <x:c r="X1645" t="str">
        <x:f>""</x:f>
        <x:v/>
      </x:c>
      <x:c r="Y1645" t="str">
        <x:f>""</x:f>
        <x:v/>
      </x:c>
      <x:c r="Z1645" t="str">
        <x:f>""</x:f>
        <x:v/>
      </x:c>
      <x:c r="AA1645" t="str">
        <x:f>""</x:f>
        <x:v/>
      </x:c>
      <x:c r="AB1645" t="str">
        <x:f>""</x:f>
        <x:v/>
      </x:c>
      <x:c r="AC1645" t="str">
        <x:f>""</x:f>
        <x:v/>
      </x:c>
      <x:c r="AD1645" t="str">
        <x:f>""</x:f>
        <x:v/>
      </x:c>
      <x:c r="AE1645" t="str">
        <x:f>""</x:f>
        <x:v/>
      </x:c>
      <x:c r="AF1645" t="str">
        <x:f>""</x:f>
        <x:v/>
      </x:c>
      <x:c r="AG1645" t="str">
        <x:f>""</x:f>
        <x:v/>
      </x:c>
    </x:row>
    <x:row r="1646" spans="2:33" x14ac:dyDescent="0.25">
      <x:c r="B1646" t="str">
        <x:f>"CHB US Equity"</x:f>
        <x:v>CHB US Equity</x:v>
      </x:c>
      <x:c r="C1646" t="str">
        <x:f t="shared" si="71"/>
        <x:v>FD447</x:v>
      </x:c>
      <x:c r="D1646" t="str">
        <x:f t="shared" si="72"/>
        <x:v>FUND_FLOW</x:v>
      </x:c>
      <x:c r="E1646" t="str">
        <x:f t="shared" si="73"/>
        <x:v>Dynamic</x:v>
      </x:c>
      <x:c r="F1646">
        <x:f ca="1">_xll.BDH($B$1646,$C$1646,$B$1010,$B$1011,CONCATENATE("Per=",$B$1008),"Dts=H","Dir=H",CONCATENATE("Points=",$B$1009),"Sort=R","Days=A","Fill=B",CONCATENATE("FX=", $B$1007),"cols=14;rows=1")</x:f>
        <x:v>0</x:v>
      </x:c>
      <x:c r="G1646">
        <x:v>0</x:v>
      </x:c>
      <x:c r="H1646">
        <x:v>0</x:v>
      </x:c>
      <x:c r="I1646">
        <x:v>0</x:v>
      </x:c>
      <x:c r="J1646">
        <x:v>0</x:v>
      </x:c>
      <x:c r="K1646">
        <x:v>0</x:v>
      </x:c>
      <x:c r="L1646">
        <x:v>0</x:v>
      </x:c>
      <x:c r="M1646">
        <x:v>0</x:v>
      </x:c>
      <x:c r="N1646">
        <x:v>0</x:v>
      </x:c>
      <x:c r="O1646">
        <x:v>0</x:v>
      </x:c>
      <x:c r="P1646">
        <x:v>0</x:v>
      </x:c>
      <x:c r="Q1646">
        <x:v>0</x:v>
      </x:c>
      <x:c r="R1646">
        <x:v>0</x:v>
      </x:c>
      <x:c r="S1646">
        <x:v>0</x:v>
      </x:c>
      <x:c r="T1646" t="str">
        <x:f>""</x:f>
        <x:v/>
      </x:c>
      <x:c r="U1646" t="str">
        <x:f>""</x:f>
        <x:v/>
      </x:c>
      <x:c r="V1646" t="str">
        <x:f>""</x:f>
        <x:v/>
      </x:c>
      <x:c r="W1646" t="str">
        <x:f>""</x:f>
        <x:v/>
      </x:c>
      <x:c r="X1646" t="str">
        <x:f>""</x:f>
        <x:v/>
      </x:c>
      <x:c r="Y1646" t="str">
        <x:f>""</x:f>
        <x:v/>
      </x:c>
      <x:c r="Z1646" t="str">
        <x:f>""</x:f>
        <x:v/>
      </x:c>
      <x:c r="AA1646" t="str">
        <x:f>""</x:f>
        <x:v/>
      </x:c>
      <x:c r="AB1646" t="str">
        <x:f>""</x:f>
        <x:v/>
      </x:c>
      <x:c r="AC1646" t="str">
        <x:f>""</x:f>
        <x:v/>
      </x:c>
      <x:c r="AD1646" t="str">
        <x:f>""</x:f>
        <x:v/>
      </x:c>
      <x:c r="AE1646" t="str">
        <x:f>""</x:f>
        <x:v/>
      </x:c>
      <x:c r="AF1646" t="str">
        <x:f>""</x:f>
        <x:v/>
      </x:c>
      <x:c r="AG1646" t="str">
        <x:f>""</x:f>
        <x:v/>
      </x:c>
    </x:row>
    <x:row r="1647" spans="2:33" x14ac:dyDescent="0.25">
      <x:c r="B1647" t="str">
        <x:f>"MDEV US Equity"</x:f>
        <x:v>MDEV US Equity</x:v>
      </x:c>
      <x:c r="C1647" t="str">
        <x:f t="shared" si="71"/>
        <x:v>FD447</x:v>
      </x:c>
      <x:c r="D1647" t="str">
        <x:f t="shared" si="72"/>
        <x:v>FUND_FLOW</x:v>
      </x:c>
      <x:c r="E1647" t="str">
        <x:f t="shared" si="73"/>
        <x:v>Dynamic</x:v>
      </x:c>
      <x:c r="F1647">
        <x:f ca="1">_xll.BDH($B$1647,$C$1647,$B$1010,$B$1011,CONCATENATE("Per=",$B$1008),"Dts=H","Dir=H",CONCATENATE("Points=",$B$1009),"Sort=R","Days=A","Fill=B",CONCATENATE("FX=", $B$1007),"cols=14;rows=1")</x:f>
        <x:v>0</x:v>
      </x:c>
      <x:c r="G1647">
        <x:v>0</x:v>
      </x:c>
      <x:c r="H1647">
        <x:v>0</x:v>
      </x:c>
      <x:c r="I1647">
        <x:v>0</x:v>
      </x:c>
      <x:c r="J1647">
        <x:v>0</x:v>
      </x:c>
      <x:c r="K1647">
        <x:v>0</x:v>
      </x:c>
      <x:c r="L1647">
        <x:v>0</x:v>
      </x:c>
      <x:c r="M1647">
        <x:v>0</x:v>
      </x:c>
      <x:c r="N1647">
        <x:v>0</x:v>
      </x:c>
      <x:c r="O1647">
        <x:v>0</x:v>
      </x:c>
      <x:c r="P1647">
        <x:v>0</x:v>
      </x:c>
      <x:c r="Q1647">
        <x:v>0</x:v>
      </x:c>
      <x:c r="R1647">
        <x:v>0</x:v>
      </x:c>
      <x:c r="S1647">
        <x:v>0</x:v>
      </x:c>
      <x:c r="T1647" t="str">
        <x:f>""</x:f>
        <x:v/>
      </x:c>
      <x:c r="U1647" t="str">
        <x:f>""</x:f>
        <x:v/>
      </x:c>
      <x:c r="V1647" t="str">
        <x:f>""</x:f>
        <x:v/>
      </x:c>
      <x:c r="W1647" t="str">
        <x:f>""</x:f>
        <x:v/>
      </x:c>
      <x:c r="X1647" t="str">
        <x:f>""</x:f>
        <x:v/>
      </x:c>
      <x:c r="Y1647" t="str">
        <x:f>""</x:f>
        <x:v/>
      </x:c>
      <x:c r="Z1647" t="str">
        <x:f>""</x:f>
        <x:v/>
      </x:c>
      <x:c r="AA1647" t="str">
        <x:f>""</x:f>
        <x:v/>
      </x:c>
      <x:c r="AB1647" t="str">
        <x:f>""</x:f>
        <x:v/>
      </x:c>
      <x:c r="AC1647" t="str">
        <x:f>""</x:f>
        <x:v/>
      </x:c>
      <x:c r="AD1647" t="str">
        <x:f>""</x:f>
        <x:v/>
      </x:c>
      <x:c r="AE1647" t="str">
        <x:f>""</x:f>
        <x:v/>
      </x:c>
      <x:c r="AF1647" t="str">
        <x:f>""</x:f>
        <x:v/>
      </x:c>
      <x:c r="AG1647" t="str">
        <x:f>""</x:f>
        <x:v/>
      </x:c>
    </x:row>
    <x:row r="1648" spans="2:33" x14ac:dyDescent="0.25">
      <x:c r="B1648" t="str">
        <x:f>"WDNA US Equity"</x:f>
        <x:v>WDNA US Equity</x:v>
      </x:c>
      <x:c r="C1648" t="str">
        <x:f t="shared" si="71"/>
        <x:v>FD447</x:v>
      </x:c>
      <x:c r="D1648" t="str">
        <x:f t="shared" si="72"/>
        <x:v>FUND_FLOW</x:v>
      </x:c>
      <x:c r="E1648" t="str">
        <x:f t="shared" si="73"/>
        <x:v>Dynamic</x:v>
      </x:c>
      <x:c r="F1648">
        <x:f ca="1">_xll.BDH($B$1648,$C$1648,$B$1010,$B$1011,CONCATENATE("Per=",$B$1008),"Dts=H","Dir=H",CONCATENATE("Points=",$B$1009),"Sort=R","Days=A","Fill=B",CONCATENATE("FX=", $B$1007),"cols=14;rows=1")</x:f>
        <x:v>0</x:v>
      </x:c>
      <x:c r="G1648">
        <x:v>0</x:v>
      </x:c>
      <x:c r="H1648">
        <x:v>0</x:v>
      </x:c>
      <x:c r="I1648">
        <x:v>0</x:v>
      </x:c>
      <x:c r="J1648">
        <x:v>0</x:v>
      </x:c>
      <x:c r="K1648">
        <x:v>0</x:v>
      </x:c>
      <x:c r="L1648">
        <x:v>0</x:v>
      </x:c>
      <x:c r="M1648">
        <x:v>0</x:v>
      </x:c>
      <x:c r="N1648">
        <x:v>0</x:v>
      </x:c>
      <x:c r="O1648">
        <x:v>-1.4646999999999999</x:v>
      </x:c>
      <x:c r="P1648">
        <x:v>0</x:v>
      </x:c>
      <x:c r="Q1648">
        <x:v>-0.53920000000000001</x:v>
      </x:c>
      <x:c r="R1648">
        <x:v>0</x:v>
      </x:c>
      <x:c r="S1648">
        <x:v>0</x:v>
      </x:c>
      <x:c r="T1648" t="str">
        <x:f>""</x:f>
        <x:v/>
      </x:c>
      <x:c r="U1648" t="str">
        <x:f>""</x:f>
        <x:v/>
      </x:c>
      <x:c r="V1648" t="str">
        <x:f>""</x:f>
        <x:v/>
      </x:c>
      <x:c r="W1648" t="str">
        <x:f>""</x:f>
        <x:v/>
      </x:c>
      <x:c r="X1648" t="str">
        <x:f>""</x:f>
        <x:v/>
      </x:c>
      <x:c r="Y1648" t="str">
        <x:f>""</x:f>
        <x:v/>
      </x:c>
      <x:c r="Z1648" t="str">
        <x:f>""</x:f>
        <x:v/>
      </x:c>
      <x:c r="AA1648" t="str">
        <x:f>""</x:f>
        <x:v/>
      </x:c>
      <x:c r="AB1648" t="str">
        <x:f>""</x:f>
        <x:v/>
      </x:c>
      <x:c r="AC1648" t="str">
        <x:f>""</x:f>
        <x:v/>
      </x:c>
      <x:c r="AD1648" t="str">
        <x:f>""</x:f>
        <x:v/>
      </x:c>
      <x:c r="AE1648" t="str">
        <x:f>""</x:f>
        <x:v/>
      </x:c>
      <x:c r="AF1648" t="str">
        <x:f>""</x:f>
        <x:v/>
      </x:c>
      <x:c r="AG1648" t="str">
        <x:f>""</x:f>
        <x:v/>
      </x:c>
    </x:row>
    <x:row r="1649" spans="2:33" x14ac:dyDescent="0.25">
      <x:c r="B1649" t="str">
        <x:f>"APXH US Equity"</x:f>
        <x:v>APXH US Equity</x:v>
      </x:c>
      <x:c r="C1649" t="str">
        <x:f t="shared" si="71"/>
        <x:v>FD447</x:v>
      </x:c>
      <x:c r="D1649" t="str">
        <x:f t="shared" si="72"/>
        <x:v>FUND_FLOW</x:v>
      </x:c>
      <x:c r="E1649" t="str">
        <x:f t="shared" si="73"/>
        <x:v>Dynamic</x:v>
      </x:c>
      <x:c r="F1649" t="str">
        <x:f ca="1">_xll.BDH($B$1649,$C$1649,$B$1010,$B$1011,CONCATENATE("Per=",$B$1008),"Dts=H","Dir=H",CONCATENATE("Points=",$B$1009),"Sort=R","Days=A","Fill=B",CONCATENATE("FX=", $B$1007),"cols=14;rows=1")</x:f>
        <x:v/>
      </x:c>
      <x:c r="O1649">
        <x:v>0</x:v>
      </x:c>
      <x:c r="P1649">
        <x:v>0</x:v>
      </x:c>
      <x:c r="Q1649">
        <x:v>-2.8534999999999999</x:v>
      </x:c>
      <x:c r="R1649">
        <x:v>0</x:v>
      </x:c>
      <x:c r="S1649">
        <x:v>0</x:v>
      </x:c>
      <x:c r="T1649" t="str">
        <x:f>""</x:f>
        <x:v/>
      </x:c>
      <x:c r="U1649" t="str">
        <x:f>""</x:f>
        <x:v/>
      </x:c>
      <x:c r="V1649" t="str">
        <x:f>""</x:f>
        <x:v/>
      </x:c>
      <x:c r="W1649" t="str">
        <x:f>""</x:f>
        <x:v/>
      </x:c>
      <x:c r="X1649" t="str">
        <x:f>""</x:f>
        <x:v/>
      </x:c>
      <x:c r="Y1649" t="str">
        <x:f>""</x:f>
        <x:v/>
      </x:c>
      <x:c r="Z1649" t="str">
        <x:f>""</x:f>
        <x:v/>
      </x:c>
      <x:c r="AA1649" t="str">
        <x:f>""</x:f>
        <x:v/>
      </x:c>
      <x:c r="AB1649" t="str">
        <x:f>""</x:f>
        <x:v/>
      </x:c>
      <x:c r="AC1649" t="str">
        <x:f>""</x:f>
        <x:v/>
      </x:c>
      <x:c r="AD1649" t="str">
        <x:f>""</x:f>
        <x:v/>
      </x:c>
      <x:c r="AE1649" t="str">
        <x:f>""</x:f>
        <x:v/>
      </x:c>
      <x:c r="AF1649" t="str">
        <x:f>""</x:f>
        <x:v/>
      </x:c>
      <x:c r="AG1649" t="str">
        <x:f>""</x:f>
        <x:v/>
      </x:c>
    </x:row>
    <x:row r="1650" spans="2:33" x14ac:dyDescent="0.25">
      <x:c r="B1650" t="str">
        <x:f>"GDOC US Equity"</x:f>
        <x:v>GDOC US Equity</x:v>
      </x:c>
      <x:c r="C1650" t="str">
        <x:f t="shared" si="71"/>
        <x:v>FD447</x:v>
      </x:c>
      <x:c r="D1650" t="str">
        <x:f t="shared" si="72"/>
        <x:v>FUND_FLOW</x:v>
      </x:c>
      <x:c r="E1650" t="str">
        <x:f t="shared" si="73"/>
        <x:v>Dynamic</x:v>
      </x:c>
      <x:c r="F1650">
        <x:f ca="1">_xll.BDH($B$1650,$C$1650,$B$1010,$B$1011,CONCATENATE("Per=",$B$1008),"Dts=H","Dir=H",CONCATENATE("Points=",$B$1009),"Sort=R","Days=A","Fill=B",CONCATENATE("FX=", $B$1007),"cols=14;rows=1")</x:f>
        <x:v>-2.1896</x:v>
      </x:c>
      <x:c r="G1650">
        <x:v>0</x:v>
      </x:c>
      <x:c r="H1650">
        <x:v>0</x:v>
      </x:c>
      <x:c r="I1650">
        <x:v>1.6645000000000001</x:v>
      </x:c>
      <x:c r="J1650">
        <x:v>2.5013000000000001</x:v>
      </x:c>
      <x:c r="K1650">
        <x:v>0</x:v>
      </x:c>
      <x:c r="L1650">
        <x:v>0</x:v>
      </x:c>
      <x:c r="M1650">
        <x:v>0</x:v>
      </x:c>
      <x:c r="N1650">
        <x:v>0</x:v>
      </x:c>
      <x:c r="O1650">
        <x:v>1.5953999999999999</x:v>
      </x:c>
      <x:c r="P1650">
        <x:v>-3.8976000000000002</x:v>
      </x:c>
      <x:c r="Q1650">
        <x:v>0</x:v>
      </x:c>
      <x:c r="R1650">
        <x:v>0</x:v>
      </x:c>
      <x:c r="S1650">
        <x:v>0</x:v>
      </x:c>
      <x:c r="T1650" t="str">
        <x:f>""</x:f>
        <x:v/>
      </x:c>
      <x:c r="U1650" t="str">
        <x:f>""</x:f>
        <x:v/>
      </x:c>
      <x:c r="V1650" t="str">
        <x:f>""</x:f>
        <x:v/>
      </x:c>
      <x:c r="W1650" t="str">
        <x:f>""</x:f>
        <x:v/>
      </x:c>
      <x:c r="X1650" t="str">
        <x:f>""</x:f>
        <x:v/>
      </x:c>
      <x:c r="Y1650" t="str">
        <x:f>""</x:f>
        <x:v/>
      </x:c>
      <x:c r="Z1650" t="str">
        <x:f>""</x:f>
        <x:v/>
      </x:c>
      <x:c r="AA1650" t="str">
        <x:f>""</x:f>
        <x:v/>
      </x:c>
      <x:c r="AB1650" t="str">
        <x:f>""</x:f>
        <x:v/>
      </x:c>
      <x:c r="AC1650" t="str">
        <x:f>""</x:f>
        <x:v/>
      </x:c>
      <x:c r="AD1650" t="str">
        <x:f>""</x:f>
        <x:v/>
      </x:c>
      <x:c r="AE1650" t="str">
        <x:f>""</x:f>
        <x:v/>
      </x:c>
      <x:c r="AF1650" t="str">
        <x:f>""</x:f>
        <x:v/>
      </x:c>
      <x:c r="AG1650" t="str">
        <x:f>""</x:f>
        <x:v/>
      </x:c>
    </x:row>
    <x:row r="1651" spans="2:33" x14ac:dyDescent="0.25">
      <x:c r="B1651" t="str">
        <x:f>"PINK US Equity"</x:f>
        <x:v>PINK US Equity</x:v>
      </x:c>
      <x:c r="C1651" t="str">
        <x:f t="shared" si="71"/>
        <x:v>FD447</x:v>
      </x:c>
      <x:c r="D1651" t="str">
        <x:f t="shared" si="72"/>
        <x:v>FUND_FLOW</x:v>
      </x:c>
      <x:c r="E1651" t="str">
        <x:f t="shared" si="73"/>
        <x:v>Dynamic</x:v>
      </x:c>
      <x:c r="F1651">
        <x:f ca="1">_xll.BDH($B$1651,$C$1651,$B$1010,$B$1011,CONCATENATE("Per=",$B$1008),"Dts=H","Dir=H",CONCATENATE("Points=",$B$1009),"Sort=R","Days=A","Fill=B",CONCATENATE("FX=", $B$1007),"cols=14;rows=1")</x:f>
        <x:v>-1.8671</x:v>
      </x:c>
      <x:c r="G1651">
        <x:v>-17.905999999999999</x:v>
      </x:c>
      <x:c r="H1651">
        <x:v>5.9259000000000004</x:v>
      </x:c>
      <x:c r="I1651">
        <x:v>11.734999999999999</x:v>
      </x:c>
      <x:c r="J1651">
        <x:v>-2.4220999999999999</x:v>
      </x:c>
      <x:c r="K1651">
        <x:v>9.2387999999999995</x:v>
      </x:c>
      <x:c r="L1651">
        <x:v>7.7723000000000004</x:v>
      </x:c>
      <x:c r="M1651">
        <x:v>-0.61299999999999999</x:v>
      </x:c>
      <x:c r="N1651">
        <x:v>-9.0992999999999995</x:v>
      </x:c>
      <x:c r="O1651">
        <x:v>-3.1692</x:v>
      </x:c>
      <x:c r="P1651">
        <x:v>7.3810000000000002</x:v>
      </x:c>
      <x:c r="Q1651">
        <x:v>5.2595999999999998</x:v>
      </x:c>
      <x:c r="R1651">
        <x:v>-7.4367999999999999</x:v>
      </x:c>
      <x:c r="S1651">
        <x:v>-28.625499999999999</x:v>
      </x:c>
      <x:c r="T1651" t="str">
        <x:f>""</x:f>
        <x:v/>
      </x:c>
      <x:c r="U1651" t="str">
        <x:f>""</x:f>
        <x:v/>
      </x:c>
      <x:c r="V1651" t="str">
        <x:f>""</x:f>
        <x:v/>
      </x:c>
      <x:c r="W1651" t="str">
        <x:f>""</x:f>
        <x:v/>
      </x:c>
      <x:c r="X1651" t="str">
        <x:f>""</x:f>
        <x:v/>
      </x:c>
      <x:c r="Y1651" t="str">
        <x:f>""</x:f>
        <x:v/>
      </x:c>
      <x:c r="Z1651" t="str">
        <x:f>""</x:f>
        <x:v/>
      </x:c>
      <x:c r="AA1651" t="str">
        <x:f>""</x:f>
        <x:v/>
      </x:c>
      <x:c r="AB1651" t="str">
        <x:f>""</x:f>
        <x:v/>
      </x:c>
      <x:c r="AC1651" t="str">
        <x:f>""</x:f>
        <x:v/>
      </x:c>
      <x:c r="AD1651" t="str">
        <x:f>""</x:f>
        <x:v/>
      </x:c>
      <x:c r="AE1651" t="str">
        <x:f>""</x:f>
        <x:v/>
      </x:c>
      <x:c r="AF1651" t="str">
        <x:f>""</x:f>
        <x:v/>
      </x:c>
      <x:c r="AG1651" t="str">
        <x:f>""</x:f>
        <x:v/>
      </x:c>
    </x:row>
    <x:row r="1652" spans="2:33" x14ac:dyDescent="0.25">
      <x:c r="B1652" t="str">
        <x:f>"MSGR US Equity"</x:f>
        <x:v>MSGR US Equity</x:v>
      </x:c>
      <x:c r="C1652" t="str">
        <x:f t="shared" si="71"/>
        <x:v>FD447</x:v>
      </x:c>
      <x:c r="D1652" t="str">
        <x:f t="shared" si="72"/>
        <x:v>FUND_FLOW</x:v>
      </x:c>
      <x:c r="E1652" t="str">
        <x:f t="shared" si="73"/>
        <x:v>Dynamic</x:v>
      </x:c>
      <x:c r="F1652" t="str">
        <x:f ca="1">_xll.BDH($B$1652,$C$1652,$B$1010,$B$1011,CONCATENATE("Per=",$B$1008),"Dts=H","Dir=H",CONCATENATE("Points=",$B$1009),"Sort=R","Days=A","Fill=B",CONCATENATE("FX=", $B$1007),"cols=14;rows=1")</x:f>
        <x:v/>
      </x:c>
      <x:c r="L1652">
        <x:v>0</x:v>
      </x:c>
      <x:c r="M1652">
        <x:v>0.33910000000000001</x:v>
      </x:c>
      <x:c r="N1652">
        <x:v>-1.1400999999999999</x:v>
      </x:c>
      <x:c r="O1652">
        <x:v>-0.38629999999999998</x:v>
      </x:c>
      <x:c r="P1652">
        <x:v>1.0946</x:v>
      </x:c>
      <x:c r="Q1652">
        <x:v>-0.35720000000000002</x:v>
      </x:c>
      <x:c r="R1652">
        <x:v>0</x:v>
      </x:c>
      <x:c r="S1652">
        <x:v>0</x:v>
      </x:c>
      <x:c r="T1652" t="str">
        <x:f>""</x:f>
        <x:v/>
      </x:c>
      <x:c r="U1652" t="str">
        <x:f>""</x:f>
        <x:v/>
      </x:c>
      <x:c r="V1652" t="str">
        <x:f>""</x:f>
        <x:v/>
      </x:c>
      <x:c r="W1652" t="str">
        <x:f>""</x:f>
        <x:v/>
      </x:c>
      <x:c r="X1652" t="str">
        <x:f>""</x:f>
        <x:v/>
      </x:c>
      <x:c r="Y1652" t="str">
        <x:f>""</x:f>
        <x:v/>
      </x:c>
      <x:c r="Z1652" t="str">
        <x:f>""</x:f>
        <x:v/>
      </x:c>
      <x:c r="AA1652" t="str">
        <x:f>""</x:f>
        <x:v/>
      </x:c>
      <x:c r="AB1652" t="str">
        <x:f>""</x:f>
        <x:v/>
      </x:c>
      <x:c r="AC1652" t="str">
        <x:f>""</x:f>
        <x:v/>
      </x:c>
      <x:c r="AD1652" t="str">
        <x:f>""</x:f>
        <x:v/>
      </x:c>
      <x:c r="AE1652" t="str">
        <x:f>""</x:f>
        <x:v/>
      </x:c>
      <x:c r="AF1652" t="str">
        <x:f>""</x:f>
        <x:v/>
      </x:c>
      <x:c r="AG1652" t="str">
        <x:f>""</x:f>
        <x:v/>
      </x:c>
    </x:row>
    <x:row r="1653" spans="2:33" x14ac:dyDescent="0.25">
      <x:c r="B1653" t="str">
        <x:f>"XDNA US Equity"</x:f>
        <x:v>XDNA US Equity</x:v>
      </x:c>
      <x:c r="C1653" t="str">
        <x:f t="shared" si="71"/>
        <x:v>FD447</x:v>
      </x:c>
      <x:c r="D1653" t="str">
        <x:f t="shared" si="72"/>
        <x:v>FUND_FLOW</x:v>
      </x:c>
      <x:c r="E1653" t="str">
        <x:f t="shared" si="73"/>
        <x:v>Dynamic</x:v>
      </x:c>
      <x:c r="F1653">
        <x:f ca="1">_xll.BDH($B$1653,$C$1653,$B$1010,$B$1011,CONCATENATE("Per=",$B$1008),"Dts=H","Dir=H",CONCATENATE("Points=",$B$1009),"Sort=R","Days=A","Fill=B",CONCATENATE("FX=", $B$1007),"cols=14;rows=1")</x:f>
        <x:v>0</x:v>
      </x:c>
      <x:c r="G1653">
        <x:v>0</x:v>
      </x:c>
      <x:c r="H1653">
        <x:v>0.2049</x:v>
      </x:c>
      <x:c r="I1653">
        <x:v>0</x:v>
      </x:c>
      <x:c r="J1653">
        <x:v>0</x:v>
      </x:c>
      <x:c r="K1653">
        <x:v>0.23780000000000001</x:v>
      </x:c>
      <x:c r="L1653">
        <x:v>0</x:v>
      </x:c>
      <x:c r="M1653">
        <x:v>0</x:v>
      </x:c>
      <x:c r="N1653">
        <x:v>0</x:v>
      </x:c>
      <x:c r="O1653">
        <x:v>0</x:v>
      </x:c>
      <x:c r="P1653">
        <x:v>-0.99360000000000004</x:v>
      </x:c>
      <x:c r="Q1653">
        <x:v>-0.86380000000000001</x:v>
      </x:c>
      <x:c r="R1653">
        <x:v>0</x:v>
      </x:c>
      <x:c r="S1653">
        <x:v>-2.76E-2</x:v>
      </x:c>
      <x:c r="T1653" t="str">
        <x:f>""</x:f>
        <x:v/>
      </x:c>
      <x:c r="U1653" t="str">
        <x:f>""</x:f>
        <x:v/>
      </x:c>
      <x:c r="V1653" t="str">
        <x:f>""</x:f>
        <x:v/>
      </x:c>
      <x:c r="W1653" t="str">
        <x:f>""</x:f>
        <x:v/>
      </x:c>
      <x:c r="X1653" t="str">
        <x:f>""</x:f>
        <x:v/>
      </x:c>
      <x:c r="Y1653" t="str">
        <x:f>""</x:f>
        <x:v/>
      </x:c>
      <x:c r="Z1653" t="str">
        <x:f>""</x:f>
        <x:v/>
      </x:c>
      <x:c r="AA1653" t="str">
        <x:f>""</x:f>
        <x:v/>
      </x:c>
      <x:c r="AB1653" t="str">
        <x:f>""</x:f>
        <x:v/>
      </x:c>
      <x:c r="AC1653" t="str">
        <x:f>""</x:f>
        <x:v/>
      </x:c>
      <x:c r="AD1653" t="str">
        <x:f>""</x:f>
        <x:v/>
      </x:c>
      <x:c r="AE1653" t="str">
        <x:f>""</x:f>
        <x:v/>
      </x:c>
      <x:c r="AF1653" t="str">
        <x:f>""</x:f>
        <x:v/>
      </x:c>
      <x:c r="AG1653" t="str">
        <x:f>""</x:f>
        <x:v/>
      </x:c>
    </x:row>
    <x:row r="1654" spans="2:33" x14ac:dyDescent="0.25">
      <x:c r="B1654" t="str">
        <x:f>"EKG US Equity"</x:f>
        <x:v>EKG US Equity</x:v>
      </x:c>
      <x:c r="C1654" t="str">
        <x:f t="shared" ref="C1654:C1717" si="74">"FD447"</x:f>
        <x:v>FD447</x:v>
      </x:c>
      <x:c r="D1654" t="str">
        <x:f t="shared" ref="D1654:D1717" si="75">"FUND_FLOW"</x:f>
        <x:v>FUND_FLOW</x:v>
      </x:c>
      <x:c r="E1654" t="str">
        <x:f t="shared" ref="E1654:E1717" si="76">"Dynamic"</x:f>
        <x:v>Dynamic</x:v>
      </x:c>
      <x:c r="F1654">
        <x:f ca="1">_xll.BDH($B$1654,$C$1654,$B$1010,$B$1011,CONCATENATE("Per=",$B$1008),"Dts=H","Dir=H",CONCATENATE("Points=",$B$1009),"Sort=R","Days=A","Fill=B",CONCATENATE("FX=", $B$1007),"cols=14;rows=1")</x:f>
        <x:v>0</x:v>
      </x:c>
      <x:c r="G1654">
        <x:v>0</x:v>
      </x:c>
      <x:c r="H1654">
        <x:v>0</x:v>
      </x:c>
      <x:c r="I1654">
        <x:v>0</x:v>
      </x:c>
      <x:c r="J1654">
        <x:v>0</x:v>
      </x:c>
      <x:c r="K1654">
        <x:v>0</x:v>
      </x:c>
      <x:c r="L1654">
        <x:v>0</x:v>
      </x:c>
      <x:c r="M1654">
        <x:v>0</x:v>
      </x:c>
      <x:c r="N1654">
        <x:v>0</x:v>
      </x:c>
      <x:c r="O1654">
        <x:v>0</x:v>
      </x:c>
      <x:c r="P1654">
        <x:v>-1.29E-2</x:v>
      </x:c>
      <x:c r="Q1654">
        <x:v>0</x:v>
      </x:c>
      <x:c r="R1654">
        <x:v>0</x:v>
      </x:c>
      <x:c r="S1654">
        <x:v>0</x:v>
      </x:c>
      <x:c r="T1654" t="str">
        <x:f>""</x:f>
        <x:v/>
      </x:c>
      <x:c r="U1654" t="str">
        <x:f>""</x:f>
        <x:v/>
      </x:c>
      <x:c r="V1654" t="str">
        <x:f>""</x:f>
        <x:v/>
      </x:c>
      <x:c r="W1654" t="str">
        <x:f>""</x:f>
        <x:v/>
      </x:c>
      <x:c r="X1654" t="str">
        <x:f>""</x:f>
        <x:v/>
      </x:c>
      <x:c r="Y1654" t="str">
        <x:f>""</x:f>
        <x:v/>
      </x:c>
      <x:c r="Z1654" t="str">
        <x:f>""</x:f>
        <x:v/>
      </x:c>
      <x:c r="AA1654" t="str">
        <x:f>""</x:f>
        <x:v/>
      </x:c>
      <x:c r="AB1654" t="str">
        <x:f>""</x:f>
        <x:v/>
      </x:c>
      <x:c r="AC1654" t="str">
        <x:f>""</x:f>
        <x:v/>
      </x:c>
      <x:c r="AD1654" t="str">
        <x:f>""</x:f>
        <x:v/>
      </x:c>
      <x:c r="AE1654" t="str">
        <x:f>""</x:f>
        <x:v/>
      </x:c>
      <x:c r="AF1654" t="str">
        <x:f>""</x:f>
        <x:v/>
      </x:c>
      <x:c r="AG1654" t="str">
        <x:f>""</x:f>
        <x:v/>
      </x:c>
    </x:row>
    <x:row r="1655" spans="2:33" x14ac:dyDescent="0.25">
      <x:c r="B1655" t="str">
        <x:f>"SANE US Equity"</x:f>
        <x:v>SANE US Equity</x:v>
      </x:c>
      <x:c r="C1655" t="str">
        <x:f t="shared" si="74"/>
        <x:v>FD447</x:v>
      </x:c>
      <x:c r="D1655" t="str">
        <x:f t="shared" si="75"/>
        <x:v>FUND_FLOW</x:v>
      </x:c>
      <x:c r="E1655" t="str">
        <x:f t="shared" si="76"/>
        <x:v>Dynamic</x:v>
      </x:c>
      <x:c r="F1655">
        <x:f ca="1">_xll.BDH($B$1655,$C$1655,$B$1010,$B$1011,CONCATENATE("Per=",$B$1008),"Dts=H","Dir=H",CONCATENATE("Points=",$B$1009),"Sort=R","Days=A","Fill=B",CONCATENATE("FX=", $B$1007),"cols=14;rows=1")</x:f>
        <x:v>0</x:v>
      </x:c>
      <x:c r="G1655">
        <x:v>0</x:v>
      </x:c>
      <x:c r="H1655">
        <x:v>0</x:v>
      </x:c>
      <x:c r="I1655">
        <x:v>0</x:v>
      </x:c>
      <x:c r="J1655">
        <x:v>0</x:v>
      </x:c>
      <x:c r="K1655">
        <x:v>0</x:v>
      </x:c>
      <x:c r="L1655">
        <x:v>0</x:v>
      </x:c>
      <x:c r="M1655">
        <x:v>0</x:v>
      </x:c>
      <x:c r="N1655">
        <x:v>0</x:v>
      </x:c>
      <x:c r="O1655">
        <x:v>0</x:v>
      </x:c>
      <x:c r="P1655">
        <x:v>0.62290000000000001</x:v>
      </x:c>
      <x:c r="T1655" t="str">
        <x:f>""</x:f>
        <x:v/>
      </x:c>
      <x:c r="U1655" t="str">
        <x:f>""</x:f>
        <x:v/>
      </x:c>
      <x:c r="V1655" t="str">
        <x:f>""</x:f>
        <x:v/>
      </x:c>
      <x:c r="W1655" t="str">
        <x:f>""</x:f>
        <x:v/>
      </x:c>
      <x:c r="X1655" t="str">
        <x:f>""</x:f>
        <x:v/>
      </x:c>
      <x:c r="Y1655" t="str">
        <x:f>""</x:f>
        <x:v/>
      </x:c>
      <x:c r="Z1655" t="str">
        <x:f>""</x:f>
        <x:v/>
      </x:c>
      <x:c r="AA1655" t="str">
        <x:f>""</x:f>
        <x:v/>
      </x:c>
      <x:c r="AB1655" t="str">
        <x:f>""</x:f>
        <x:v/>
      </x:c>
      <x:c r="AC1655" t="str">
        <x:f>""</x:f>
        <x:v/>
      </x:c>
      <x:c r="AD1655" t="str">
        <x:f>""</x:f>
        <x:v/>
      </x:c>
      <x:c r="AE1655" t="str">
        <x:f>""</x:f>
        <x:v/>
      </x:c>
      <x:c r="AF1655" t="str">
        <x:f>""</x:f>
        <x:v/>
      </x:c>
      <x:c r="AG1655" t="str">
        <x:f>""</x:f>
        <x:v/>
      </x:c>
    </x:row>
    <x:row r="1656" spans="2:33" x14ac:dyDescent="0.25">
      <x:c r="B1656" t="str">
        <x:f>"IDNA US Equity"</x:f>
        <x:v>IDNA US Equity</x:v>
      </x:c>
      <x:c r="C1656" t="str">
        <x:f t="shared" si="74"/>
        <x:v>FD447</x:v>
      </x:c>
      <x:c r="D1656" t="str">
        <x:f t="shared" si="75"/>
        <x:v>FUND_FLOW</x:v>
      </x:c>
      <x:c r="E1656" t="str">
        <x:f t="shared" si="76"/>
        <x:v>Dynamic</x:v>
      </x:c>
      <x:c r="F1656">
        <x:f ca="1">_xll.BDH($B$1656,$C$1656,$B$1010,$B$1011,CONCATENATE("Per=",$B$1008),"Dts=H","Dir=H",CONCATENATE("Points=",$B$1009),"Sort=R","Days=A","Fill=B",CONCATENATE("FX=", $B$1007),"cols=14;rows=1")</x:f>
        <x:v>0</x:v>
      </x:c>
      <x:c r="G1656">
        <x:v>2.2170999999999998</x:v>
      </x:c>
      <x:c r="H1656">
        <x:v>-2.2021000000000002</x:v>
      </x:c>
      <x:c r="I1656">
        <x:v>-1.2868999999999999</x:v>
      </x:c>
      <x:c r="J1656">
        <x:v>-1.2303999999999999</x:v>
      </x:c>
      <x:c r="K1656">
        <x:v>0</x:v>
      </x:c>
      <x:c r="L1656">
        <x:v>-1.1618999999999999</x:v>
      </x:c>
      <x:c r="M1656">
        <x:v>0</x:v>
      </x:c>
      <x:c r="N1656">
        <x:v>1.3622000000000001</x:v>
      </x:c>
      <x:c r="O1656">
        <x:v>0</x:v>
      </x:c>
      <x:c r="P1656">
        <x:v>-9.4564000000000004</x:v>
      </x:c>
      <x:c r="Q1656">
        <x:v>1.32</x:v>
      </x:c>
      <x:c r="R1656">
        <x:v>0</x:v>
      </x:c>
      <x:c r="S1656">
        <x:v>0</x:v>
      </x:c>
      <x:c r="T1656" t="str">
        <x:f>""</x:f>
        <x:v/>
      </x:c>
      <x:c r="U1656" t="str">
        <x:f>""</x:f>
        <x:v/>
      </x:c>
      <x:c r="V1656" t="str">
        <x:f>""</x:f>
        <x:v/>
      </x:c>
      <x:c r="W1656" t="str">
        <x:f>""</x:f>
        <x:v/>
      </x:c>
      <x:c r="X1656" t="str">
        <x:f>""</x:f>
        <x:v/>
      </x:c>
      <x:c r="Y1656" t="str">
        <x:f>""</x:f>
        <x:v/>
      </x:c>
      <x:c r="Z1656" t="str">
        <x:f>""</x:f>
        <x:v/>
      </x:c>
      <x:c r="AA1656" t="str">
        <x:f>""</x:f>
        <x:v/>
      </x:c>
      <x:c r="AB1656" t="str">
        <x:f>""</x:f>
        <x:v/>
      </x:c>
      <x:c r="AC1656" t="str">
        <x:f>""</x:f>
        <x:v/>
      </x:c>
      <x:c r="AD1656" t="str">
        <x:f>""</x:f>
        <x:v/>
      </x:c>
      <x:c r="AE1656" t="str">
        <x:f>""</x:f>
        <x:v/>
      </x:c>
      <x:c r="AF1656" t="str">
        <x:f>""</x:f>
        <x:v/>
      </x:c>
      <x:c r="AG1656" t="str">
        <x:f>""</x:f>
        <x:v/>
      </x:c>
    </x:row>
    <x:row r="1657" spans="2:33" x14ac:dyDescent="0.25">
      <x:c r="B1657" t="str">
        <x:f>"PBW US Equity"</x:f>
        <x:v>PBW US Equity</x:v>
      </x:c>
      <x:c r="C1657" t="str">
        <x:f t="shared" si="74"/>
        <x:v>FD447</x:v>
      </x:c>
      <x:c r="D1657" t="str">
        <x:f t="shared" si="75"/>
        <x:v>FUND_FLOW</x:v>
      </x:c>
      <x:c r="E1657" t="str">
        <x:f t="shared" si="76"/>
        <x:v>Dynamic</x:v>
      </x:c>
      <x:c r="F1657">
        <x:f ca="1">_xll.BDH($B$1657,$C$1657,$B$1010,$B$1011,CONCATENATE("Per=",$B$1008),"Dts=H","Dir=H",CONCATENATE("Points=",$B$1009),"Sort=R","Days=A","Fill=B",CONCATENATE("FX=", $B$1007),"cols=14;rows=1")</x:f>
        <x:v>-3.4249999999999998</x:v>
      </x:c>
      <x:c r="G1657">
        <x:v>-9.2401</x:v>
      </x:c>
      <x:c r="H1657">
        <x:v>-33.320300000000003</x:v>
      </x:c>
      <x:c r="I1657">
        <x:v>-13.6</x:v>
      </x:c>
      <x:c r="J1657">
        <x:v>-19.222999999999999</x:v>
      </x:c>
      <x:c r="K1657">
        <x:v>-9.6829999999999998</x:v>
      </x:c>
      <x:c r="L1657">
        <x:v>-24.377400000000002</x:v>
      </x:c>
      <x:c r="M1657">
        <x:v>4.8459000000000003</x:v>
      </x:c>
      <x:c r="N1657">
        <x:v>-18.392199999999999</x:v>
      </x:c>
      <x:c r="O1657">
        <x:v>-2.0125000000000002</x:v>
      </x:c>
      <x:c r="P1657">
        <x:v>-43.279499999999999</x:v>
      </x:c>
      <x:c r="Q1657">
        <x:v>10.7456</x:v>
      </x:c>
      <x:c r="R1657">
        <x:v>-29.9985</x:v>
      </x:c>
      <x:c r="S1657">
        <x:v>23.861499999999999</x:v>
      </x:c>
      <x:c r="T1657" t="str">
        <x:f>""</x:f>
        <x:v/>
      </x:c>
      <x:c r="U1657" t="str">
        <x:f>""</x:f>
        <x:v/>
      </x:c>
      <x:c r="V1657" t="str">
        <x:f>""</x:f>
        <x:v/>
      </x:c>
      <x:c r="W1657" t="str">
        <x:f>""</x:f>
        <x:v/>
      </x:c>
      <x:c r="X1657" t="str">
        <x:f>""</x:f>
        <x:v/>
      </x:c>
      <x:c r="Y1657" t="str">
        <x:f>""</x:f>
        <x:v/>
      </x:c>
      <x:c r="Z1657" t="str">
        <x:f>""</x:f>
        <x:v/>
      </x:c>
      <x:c r="AA1657" t="str">
        <x:f>""</x:f>
        <x:v/>
      </x:c>
      <x:c r="AB1657" t="str">
        <x:f>""</x:f>
        <x:v/>
      </x:c>
      <x:c r="AC1657" t="str">
        <x:f>""</x:f>
        <x:v/>
      </x:c>
      <x:c r="AD1657" t="str">
        <x:f>""</x:f>
        <x:v/>
      </x:c>
      <x:c r="AE1657" t="str">
        <x:f>""</x:f>
        <x:v/>
      </x:c>
      <x:c r="AF1657" t="str">
        <x:f>""</x:f>
        <x:v/>
      </x:c>
      <x:c r="AG1657" t="str">
        <x:f>""</x:f>
        <x:v/>
      </x:c>
    </x:row>
    <x:row r="1658" spans="2:33" x14ac:dyDescent="0.25">
      <x:c r="B1658" t="str">
        <x:f>"PZD US Equity"</x:f>
        <x:v>PZD US Equity</x:v>
      </x:c>
      <x:c r="C1658" t="str">
        <x:f t="shared" si="74"/>
        <x:v>FD447</x:v>
      </x:c>
      <x:c r="D1658" t="str">
        <x:f t="shared" si="75"/>
        <x:v>FUND_FLOW</x:v>
      </x:c>
      <x:c r="E1658" t="str">
        <x:f t="shared" si="76"/>
        <x:v>Dynamic</x:v>
      </x:c>
      <x:c r="F1658">
        <x:f ca="1">_xll.BDH($B$1658,$C$1658,$B$1010,$B$1011,CONCATENATE("Per=",$B$1008),"Dts=H","Dir=H",CONCATENATE("Points=",$B$1009),"Sort=R","Days=A","Fill=B",CONCATENATE("FX=", $B$1007),"cols=14;rows=1")</x:f>
        <x:v>-3.0200000000000001E-2</x:v>
      </x:c>
      <x:c r="G1658">
        <x:v>-4.6322999999999999</x:v>
      </x:c>
      <x:c r="H1658">
        <x:v>0</x:v>
      </x:c>
      <x:c r="I1658">
        <x:v>-10.0746</x:v>
      </x:c>
      <x:c r="J1658">
        <x:v>-9.6614000000000004</x:v>
      </x:c>
      <x:c r="K1658">
        <x:v>-2.3182</x:v>
      </x:c>
      <x:c r="L1658">
        <x:v>-7.0949</x:v>
      </x:c>
      <x:c r="M1658">
        <x:v>-2.4701</x:v>
      </x:c>
      <x:c r="N1658">
        <x:v>-2.4773000000000001</x:v>
      </x:c>
      <x:c r="O1658">
        <x:v>-4.8930999999999996</x:v>
      </x:c>
      <x:c r="P1658">
        <x:v>0</x:v>
      </x:c>
      <x:c r="Q1658">
        <x:v>-5.3000999999999996</x:v>
      </x:c>
      <x:c r="R1658">
        <x:v>0</x:v>
      </x:c>
      <x:c r="S1658">
        <x:v>0</x:v>
      </x:c>
      <x:c r="T1658" t="str">
        <x:f>""</x:f>
        <x:v/>
      </x:c>
      <x:c r="U1658" t="str">
        <x:f>""</x:f>
        <x:v/>
      </x:c>
      <x:c r="V1658" t="str">
        <x:f>""</x:f>
        <x:v/>
      </x:c>
      <x:c r="W1658" t="str">
        <x:f>""</x:f>
        <x:v/>
      </x:c>
      <x:c r="X1658" t="str">
        <x:f>""</x:f>
        <x:v/>
      </x:c>
      <x:c r="Y1658" t="str">
        <x:f>""</x:f>
        <x:v/>
      </x:c>
      <x:c r="Z1658" t="str">
        <x:f>""</x:f>
        <x:v/>
      </x:c>
      <x:c r="AA1658" t="str">
        <x:f>""</x:f>
        <x:v/>
      </x:c>
      <x:c r="AB1658" t="str">
        <x:f>""</x:f>
        <x:v/>
      </x:c>
      <x:c r="AC1658" t="str">
        <x:f>""</x:f>
        <x:v/>
      </x:c>
      <x:c r="AD1658" t="str">
        <x:f>""</x:f>
        <x:v/>
      </x:c>
      <x:c r="AE1658" t="str">
        <x:f>""</x:f>
        <x:v/>
      </x:c>
      <x:c r="AF1658" t="str">
        <x:f>""</x:f>
        <x:v/>
      </x:c>
      <x:c r="AG1658" t="str">
        <x:f>""</x:f>
        <x:v/>
      </x:c>
    </x:row>
    <x:row r="1659" spans="2:33" x14ac:dyDescent="0.25">
      <x:c r="B1659" t="str">
        <x:f>"PBD US Equity"</x:f>
        <x:v>PBD US Equity</x:v>
      </x:c>
      <x:c r="C1659" t="str">
        <x:f t="shared" si="74"/>
        <x:v>FD447</x:v>
      </x:c>
      <x:c r="D1659" t="str">
        <x:f t="shared" si="75"/>
        <x:v>FUND_FLOW</x:v>
      </x:c>
      <x:c r="E1659" t="str">
        <x:f t="shared" si="76"/>
        <x:v>Dynamic</x:v>
      </x:c>
      <x:c r="F1659">
        <x:f ca="1">_xll.BDH($B$1659,$C$1659,$B$1010,$B$1011,CONCATENATE("Per=",$B$1008),"Dts=H","Dir=H",CONCATENATE("Points=",$B$1009),"Sort=R","Days=A","Fill=B",CONCATENATE("FX=", $B$1007),"cols=14;rows=1")</x:f>
        <x:v>-1.3714999999999999</x:v>
      </x:c>
      <x:c r="G1659">
        <x:v>-3.8767999999999998</x:v>
      </x:c>
      <x:c r="H1659">
        <x:v>-1.7592000000000001</x:v>
      </x:c>
      <x:c r="I1659">
        <x:v>-5.7705000000000002</x:v>
      </x:c>
      <x:c r="J1659">
        <x:v>0</x:v>
      </x:c>
      <x:c r="K1659">
        <x:v>-2.7946</x:v>
      </x:c>
      <x:c r="L1659">
        <x:v>-0.94699999999999995</x:v>
      </x:c>
      <x:c r="M1659">
        <x:v>0</x:v>
      </x:c>
      <x:c r="N1659">
        <x:v>-0.98419999999999996</x:v>
      </x:c>
      <x:c r="O1659">
        <x:v>-2.8662999999999998</x:v>
      </x:c>
      <x:c r="P1659">
        <x:v>-3.0242</x:v>
      </x:c>
      <x:c r="Q1659">
        <x:v>-6.0407999999999999</x:v>
      </x:c>
      <x:c r="R1659">
        <x:v>1.986</x:v>
      </x:c>
      <x:c r="S1659">
        <x:v>0</x:v>
      </x:c>
      <x:c r="T1659" t="str">
        <x:f>""</x:f>
        <x:v/>
      </x:c>
      <x:c r="U1659" t="str">
        <x:f>""</x:f>
        <x:v/>
      </x:c>
      <x:c r="V1659" t="str">
        <x:f>""</x:f>
        <x:v/>
      </x:c>
      <x:c r="W1659" t="str">
        <x:f>""</x:f>
        <x:v/>
      </x:c>
      <x:c r="X1659" t="str">
        <x:f>""</x:f>
        <x:v/>
      </x:c>
      <x:c r="Y1659" t="str">
        <x:f>""</x:f>
        <x:v/>
      </x:c>
      <x:c r="Z1659" t="str">
        <x:f>""</x:f>
        <x:v/>
      </x:c>
      <x:c r="AA1659" t="str">
        <x:f>""</x:f>
        <x:v/>
      </x:c>
      <x:c r="AB1659" t="str">
        <x:f>""</x:f>
        <x:v/>
      </x:c>
      <x:c r="AC1659" t="str">
        <x:f>""</x:f>
        <x:v/>
      </x:c>
      <x:c r="AD1659" t="str">
        <x:f>""</x:f>
        <x:v/>
      </x:c>
      <x:c r="AE1659" t="str">
        <x:f>""</x:f>
        <x:v/>
      </x:c>
      <x:c r="AF1659" t="str">
        <x:f>""</x:f>
        <x:v/>
      </x:c>
      <x:c r="AG1659" t="str">
        <x:f>""</x:f>
        <x:v/>
      </x:c>
    </x:row>
    <x:row r="1660" spans="2:33" x14ac:dyDescent="0.25">
      <x:c r="B1660" t="str">
        <x:f>"GRID US Equity"</x:f>
        <x:v>GRID US Equity</x:v>
      </x:c>
      <x:c r="C1660" t="str">
        <x:f t="shared" si="74"/>
        <x:v>FD447</x:v>
      </x:c>
      <x:c r="D1660" t="str">
        <x:f t="shared" si="75"/>
        <x:v>FUND_FLOW</x:v>
      </x:c>
      <x:c r="E1660" t="str">
        <x:f t="shared" si="76"/>
        <x:v>Dynamic</x:v>
      </x:c>
      <x:c r="F1660">
        <x:f ca="1">_xll.BDH($B$1660,$C$1660,$B$1010,$B$1011,CONCATENATE("Per=",$B$1008),"Dts=H","Dir=H",CONCATENATE("Points=",$B$1009),"Sort=R","Days=A","Fill=B",CONCATENATE("FX=", $B$1007),"cols=14;rows=1")</x:f>
        <x:v>-64.648300000000006</x:v>
      </x:c>
      <x:c r="G1660">
        <x:v>-10.095000000000001</x:v>
      </x:c>
      <x:c r="H1660">
        <x:v>-4.3703000000000003</x:v>
      </x:c>
      <x:c r="I1660">
        <x:v>244.79949999999999</x:v>
      </x:c>
      <x:c r="J1660">
        <x:v>88.366500000000002</x:v>
      </x:c>
      <x:c r="K1660">
        <x:v>24.122499999999999</x:v>
      </x:c>
      <x:c r="L1660">
        <x:v>14.726000000000001</x:v>
      </x:c>
      <x:c r="M1660">
        <x:v>-9.1745000000000001</x:v>
      </x:c>
      <x:c r="N1660">
        <x:v>4.6740000000000004</x:v>
      </x:c>
      <x:c r="O1660">
        <x:v>14.205500000000001</x:v>
      </x:c>
      <x:c r="P1660">
        <x:v>10.364100000000001</x:v>
      </x:c>
      <x:c r="Q1660">
        <x:v>5.2778999999999998</x:v>
      </x:c>
      <x:c r="R1660">
        <x:v>0</x:v>
      </x:c>
      <x:c r="S1660">
        <x:v>4.1750999999999996</x:v>
      </x:c>
      <x:c r="T1660" t="str">
        <x:f>""</x:f>
        <x:v/>
      </x:c>
      <x:c r="U1660" t="str">
        <x:f>""</x:f>
        <x:v/>
      </x:c>
      <x:c r="V1660" t="str">
        <x:f>""</x:f>
        <x:v/>
      </x:c>
      <x:c r="W1660" t="str">
        <x:f>""</x:f>
        <x:v/>
      </x:c>
      <x:c r="X1660" t="str">
        <x:f>""</x:f>
        <x:v/>
      </x:c>
      <x:c r="Y1660" t="str">
        <x:f>""</x:f>
        <x:v/>
      </x:c>
      <x:c r="Z1660" t="str">
        <x:f>""</x:f>
        <x:v/>
      </x:c>
      <x:c r="AA1660" t="str">
        <x:f>""</x:f>
        <x:v/>
      </x:c>
      <x:c r="AB1660" t="str">
        <x:f>""</x:f>
        <x:v/>
      </x:c>
      <x:c r="AC1660" t="str">
        <x:f>""</x:f>
        <x:v/>
      </x:c>
      <x:c r="AD1660" t="str">
        <x:f>""</x:f>
        <x:v/>
      </x:c>
      <x:c r="AE1660" t="str">
        <x:f>""</x:f>
        <x:v/>
      </x:c>
      <x:c r="AF1660" t="str">
        <x:f>""</x:f>
        <x:v/>
      </x:c>
      <x:c r="AG1660" t="str">
        <x:f>""</x:f>
        <x:v/>
      </x:c>
    </x:row>
    <x:row r="1661" spans="2:33" x14ac:dyDescent="0.25">
      <x:c r="B1661" t="str">
        <x:f>"CNRG US Equity"</x:f>
        <x:v>CNRG US Equity</x:v>
      </x:c>
      <x:c r="C1661" t="str">
        <x:f t="shared" si="74"/>
        <x:v>FD447</x:v>
      </x:c>
      <x:c r="D1661" t="str">
        <x:f t="shared" si="75"/>
        <x:v>FUND_FLOW</x:v>
      </x:c>
      <x:c r="E1661" t="str">
        <x:f t="shared" si="76"/>
        <x:v>Dynamic</x:v>
      </x:c>
      <x:c r="F1661">
        <x:f ca="1">_xll.BDH($B$1661,$C$1661,$B$1010,$B$1011,CONCATENATE("Per=",$B$1008),"Dts=H","Dir=H",CONCATENATE("Points=",$B$1009),"Sort=R","Days=A","Fill=B",CONCATENATE("FX=", $B$1007),"cols=14;rows=1")</x:f>
        <x:v>-6.5246000000000004</x:v>
      </x:c>
      <x:c r="G1661">
        <x:v>-9.4572000000000003</x:v>
      </x:c>
      <x:c r="H1661">
        <x:v>-0.96799999999999997</x:v>
      </x:c>
      <x:c r="I1661">
        <x:v>-2.6150000000000002</x:v>
      </x:c>
      <x:c r="J1661">
        <x:v>-0.81689999999999996</x:v>
      </x:c>
      <x:c r="K1661">
        <x:v>-5.6449999999999996</x:v>
      </x:c>
      <x:c r="L1661">
        <x:v>0.87039999999999995</x:v>
      </x:c>
      <x:c r="M1661">
        <x:v>4.2869000000000002</x:v>
      </x:c>
      <x:c r="N1661">
        <x:v>6.2988999999999997</x:v>
      </x:c>
      <x:c r="O1661">
        <x:v>-2.5750000000000002</x:v>
      </x:c>
      <x:c r="P1661">
        <x:v>2.6743999999999999</x:v>
      </x:c>
      <x:c r="Q1661">
        <x:v>8.7830999999999992</x:v>
      </x:c>
      <x:c r="R1661">
        <x:v>9.1426999999999996</x:v>
      </x:c>
      <x:c r="S1661">
        <x:v>9.2335999999999991</x:v>
      </x:c>
      <x:c r="T1661" t="str">
        <x:f>""</x:f>
        <x:v/>
      </x:c>
      <x:c r="U1661" t="str">
        <x:f>""</x:f>
        <x:v/>
      </x:c>
      <x:c r="V1661" t="str">
        <x:f>""</x:f>
        <x:v/>
      </x:c>
      <x:c r="W1661" t="str">
        <x:f>""</x:f>
        <x:v/>
      </x:c>
      <x:c r="X1661" t="str">
        <x:f>""</x:f>
        <x:v/>
      </x:c>
      <x:c r="Y1661" t="str">
        <x:f>""</x:f>
        <x:v/>
      </x:c>
      <x:c r="Z1661" t="str">
        <x:f>""</x:f>
        <x:v/>
      </x:c>
      <x:c r="AA1661" t="str">
        <x:f>""</x:f>
        <x:v/>
      </x:c>
      <x:c r="AB1661" t="str">
        <x:f>""</x:f>
        <x:v/>
      </x:c>
      <x:c r="AC1661" t="str">
        <x:f>""</x:f>
        <x:v/>
      </x:c>
      <x:c r="AD1661" t="str">
        <x:f>""</x:f>
        <x:v/>
      </x:c>
      <x:c r="AE1661" t="str">
        <x:f>""</x:f>
        <x:v/>
      </x:c>
      <x:c r="AF1661" t="str">
        <x:f>""</x:f>
        <x:v/>
      </x:c>
      <x:c r="AG1661" t="str">
        <x:f>""</x:f>
        <x:v/>
      </x:c>
    </x:row>
    <x:row r="1662" spans="2:33" x14ac:dyDescent="0.25">
      <x:c r="B1662" t="str">
        <x:f>"ACES US Equity"</x:f>
        <x:v>ACES US Equity</x:v>
      </x:c>
      <x:c r="C1662" t="str">
        <x:f t="shared" si="74"/>
        <x:v>FD447</x:v>
      </x:c>
      <x:c r="D1662" t="str">
        <x:f t="shared" si="75"/>
        <x:v>FUND_FLOW</x:v>
      </x:c>
      <x:c r="E1662" t="str">
        <x:f t="shared" si="76"/>
        <x:v>Dynamic</x:v>
      </x:c>
      <x:c r="F1662">
        <x:f ca="1">_xll.BDH($B$1662,$C$1662,$B$1010,$B$1011,CONCATENATE("Per=",$B$1008),"Dts=H","Dir=H",CONCATENATE("Points=",$B$1009),"Sort=R","Days=A","Fill=B",CONCATENATE("FX=", $B$1007),"cols=14;rows=1")</x:f>
        <x:v>8.9629999999999992</x:v>
      </x:c>
      <x:c r="G1662">
        <x:v>-5.0380000000000003</x:v>
      </x:c>
      <x:c r="H1662">
        <x:v>-2.2164999999999999</x:v>
      </x:c>
      <x:c r="I1662">
        <x:v>-17.991299999999999</x:v>
      </x:c>
      <x:c r="J1662">
        <x:v>4.0435999999999996</x:v>
      </x:c>
      <x:c r="K1662">
        <x:v>-12.8148</x:v>
      </x:c>
      <x:c r="L1662">
        <x:v>5.8974000000000002</x:v>
      </x:c>
      <x:c r="M1662">
        <x:v>-13.6151</x:v>
      </x:c>
      <x:c r="N1662">
        <x:v>-42.104799999999997</x:v>
      </x:c>
      <x:c r="O1662">
        <x:v>-16.6418</x:v>
      </x:c>
      <x:c r="P1662">
        <x:v>-17.0717</x:v>
      </x:c>
      <x:c r="Q1662">
        <x:v>2.6291000000000002</x:v>
      </x:c>
      <x:c r="R1662">
        <x:v>-17.1343</x:v>
      </x:c>
      <x:c r="S1662">
        <x:v>10.2628</x:v>
      </x:c>
      <x:c r="T1662" t="str">
        <x:f>""</x:f>
        <x:v/>
      </x:c>
      <x:c r="U1662" t="str">
        <x:f>""</x:f>
        <x:v/>
      </x:c>
      <x:c r="V1662" t="str">
        <x:f>""</x:f>
        <x:v/>
      </x:c>
      <x:c r="W1662" t="str">
        <x:f>""</x:f>
        <x:v/>
      </x:c>
      <x:c r="X1662" t="str">
        <x:f>""</x:f>
        <x:v/>
      </x:c>
      <x:c r="Y1662" t="str">
        <x:f>""</x:f>
        <x:v/>
      </x:c>
      <x:c r="Z1662" t="str">
        <x:f>""</x:f>
        <x:v/>
      </x:c>
      <x:c r="AA1662" t="str">
        <x:f>""</x:f>
        <x:v/>
      </x:c>
      <x:c r="AB1662" t="str">
        <x:f>""</x:f>
        <x:v/>
      </x:c>
      <x:c r="AC1662" t="str">
        <x:f>""</x:f>
        <x:v/>
      </x:c>
      <x:c r="AD1662" t="str">
        <x:f>""</x:f>
        <x:v/>
      </x:c>
      <x:c r="AE1662" t="str">
        <x:f>""</x:f>
        <x:v/>
      </x:c>
      <x:c r="AF1662" t="str">
        <x:f>""</x:f>
        <x:v/>
      </x:c>
      <x:c r="AG1662" t="str">
        <x:f>""</x:f>
        <x:v/>
      </x:c>
    </x:row>
    <x:row r="1663" spans="2:33" x14ac:dyDescent="0.25">
      <x:c r="B1663" t="str">
        <x:f>"ICLN US Equity"</x:f>
        <x:v>ICLN US Equity</x:v>
      </x:c>
      <x:c r="C1663" t="str">
        <x:f t="shared" si="74"/>
        <x:v>FD447</x:v>
      </x:c>
      <x:c r="D1663" t="str">
        <x:f t="shared" si="75"/>
        <x:v>FUND_FLOW</x:v>
      </x:c>
      <x:c r="E1663" t="str">
        <x:f t="shared" si="76"/>
        <x:v>Dynamic</x:v>
      </x:c>
      <x:c r="F1663">
        <x:f ca="1">_xll.BDH($B$1663,$C$1663,$B$1010,$B$1011,CONCATENATE("Per=",$B$1008),"Dts=H","Dir=H",CONCATENATE("Points=",$B$1009),"Sort=R","Days=A","Fill=B",CONCATENATE("FX=", $B$1007),"cols=14;rows=1")</x:f>
        <x:v>-184.26939999999999</x:v>
      </x:c>
      <x:c r="G1663">
        <x:v>-46.413400000000003</x:v>
      </x:c>
      <x:c r="H1663">
        <x:v>-114.88160000000001</x:v>
      </x:c>
      <x:c r="I1663">
        <x:v>-131.67310000000001</x:v>
      </x:c>
      <x:c r="J1663">
        <x:v>-96.974100000000007</x:v>
      </x:c>
      <x:c r="K1663">
        <x:v>-154.06569999999999</x:v>
      </x:c>
      <x:c r="L1663">
        <x:v>-29.421700000000001</x:v>
      </x:c>
      <x:c r="M1663">
        <x:v>-51.8904</x:v>
      </x:c>
      <x:c r="N1663">
        <x:v>-80.872</x:v>
      </x:c>
      <x:c r="O1663">
        <x:v>-105.4198</x:v>
      </x:c>
      <x:c r="P1663">
        <x:v>-13.9381</x:v>
      </x:c>
      <x:c r="Q1663">
        <x:v>97.133200000000002</x:v>
      </x:c>
      <x:c r="R1663">
        <x:v>-8.8180999999999994</x:v>
      </x:c>
      <x:c r="S1663">
        <x:v>4.3215000000000003</x:v>
      </x:c>
      <x:c r="T1663" t="str">
        <x:f>""</x:f>
        <x:v/>
      </x:c>
      <x:c r="U1663" t="str">
        <x:f>""</x:f>
        <x:v/>
      </x:c>
      <x:c r="V1663" t="str">
        <x:f>""</x:f>
        <x:v/>
      </x:c>
      <x:c r="W1663" t="str">
        <x:f>""</x:f>
        <x:v/>
      </x:c>
      <x:c r="X1663" t="str">
        <x:f>""</x:f>
        <x:v/>
      </x:c>
      <x:c r="Y1663" t="str">
        <x:f>""</x:f>
        <x:v/>
      </x:c>
      <x:c r="Z1663" t="str">
        <x:f>""</x:f>
        <x:v/>
      </x:c>
      <x:c r="AA1663" t="str">
        <x:f>""</x:f>
        <x:v/>
      </x:c>
      <x:c r="AB1663" t="str">
        <x:f>""</x:f>
        <x:v/>
      </x:c>
      <x:c r="AC1663" t="str">
        <x:f>""</x:f>
        <x:v/>
      </x:c>
      <x:c r="AD1663" t="str">
        <x:f>""</x:f>
        <x:v/>
      </x:c>
      <x:c r="AE1663" t="str">
        <x:f>""</x:f>
        <x:v/>
      </x:c>
      <x:c r="AF1663" t="str">
        <x:f>""</x:f>
        <x:v/>
      </x:c>
      <x:c r="AG1663" t="str">
        <x:f>""</x:f>
        <x:v/>
      </x:c>
    </x:row>
    <x:row r="1664" spans="2:33" x14ac:dyDescent="0.25">
      <x:c r="B1664" t="str">
        <x:f>"QCLN US Equity"</x:f>
        <x:v>QCLN US Equity</x:v>
      </x:c>
      <x:c r="C1664" t="str">
        <x:f t="shared" si="74"/>
        <x:v>FD447</x:v>
      </x:c>
      <x:c r="D1664" t="str">
        <x:f t="shared" si="75"/>
        <x:v>FUND_FLOW</x:v>
      </x:c>
      <x:c r="E1664" t="str">
        <x:f t="shared" si="76"/>
        <x:v>Dynamic</x:v>
      </x:c>
      <x:c r="F1664">
        <x:f ca="1">_xll.BDH($B$1664,$C$1664,$B$1010,$B$1011,CONCATENATE("Per=",$B$1008),"Dts=H","Dir=H",CONCATENATE("Points=",$B$1009),"Sort=R","Days=A","Fill=B",CONCATENATE("FX=", $B$1007),"cols=14;rows=1")</x:f>
        <x:v>-24.515699999999999</x:v>
      </x:c>
      <x:c r="G1664">
        <x:v>-21.895299999999999</x:v>
      </x:c>
      <x:c r="H1664">
        <x:v>-75.465699999999998</x:v>
      </x:c>
      <x:c r="I1664">
        <x:v>22.129000000000001</x:v>
      </x:c>
      <x:c r="J1664">
        <x:v>-20.265000000000001</x:v>
      </x:c>
      <x:c r="K1664">
        <x:v>-15.9625</x:v>
      </x:c>
      <x:c r="L1664">
        <x:v>-26.154</x:v>
      </x:c>
      <x:c r="M1664">
        <x:v>-33.168999999999997</x:v>
      </x:c>
      <x:c r="N1664">
        <x:v>-28.357500000000002</x:v>
      </x:c>
      <x:c r="O1664">
        <x:v>-20.361999999999998</x:v>
      </x:c>
      <x:c r="P1664">
        <x:v>-61.557499999999997</x:v>
      </x:c>
      <x:c r="Q1664">
        <x:v>-38.6877</x:v>
      </x:c>
      <x:c r="R1664">
        <x:v>-59.514299999999999</x:v>
      </x:c>
      <x:c r="S1664">
        <x:v>-42.966500000000003</x:v>
      </x:c>
      <x:c r="T1664" t="str">
        <x:f>""</x:f>
        <x:v/>
      </x:c>
      <x:c r="U1664" t="str">
        <x:f>""</x:f>
        <x:v/>
      </x:c>
      <x:c r="V1664" t="str">
        <x:f>""</x:f>
        <x:v/>
      </x:c>
      <x:c r="W1664" t="str">
        <x:f>""</x:f>
        <x:v/>
      </x:c>
      <x:c r="X1664" t="str">
        <x:f>""</x:f>
        <x:v/>
      </x:c>
      <x:c r="Y1664" t="str">
        <x:f>""</x:f>
        <x:v/>
      </x:c>
      <x:c r="Z1664" t="str">
        <x:f>""</x:f>
        <x:v/>
      </x:c>
      <x:c r="AA1664" t="str">
        <x:f>""</x:f>
        <x:v/>
      </x:c>
      <x:c r="AB1664" t="str">
        <x:f>""</x:f>
        <x:v/>
      </x:c>
      <x:c r="AC1664" t="str">
        <x:f>""</x:f>
        <x:v/>
      </x:c>
      <x:c r="AD1664" t="str">
        <x:f>""</x:f>
        <x:v/>
      </x:c>
      <x:c r="AE1664" t="str">
        <x:f>""</x:f>
        <x:v/>
      </x:c>
      <x:c r="AF1664" t="str">
        <x:f>""</x:f>
        <x:v/>
      </x:c>
      <x:c r="AG1664" t="str">
        <x:f>""</x:f>
        <x:v/>
      </x:c>
    </x:row>
    <x:row r="1665" spans="2:33" x14ac:dyDescent="0.25">
      <x:c r="B1665" t="str">
        <x:f>"SMOG US Equity"</x:f>
        <x:v>SMOG US Equity</x:v>
      </x:c>
      <x:c r="C1665" t="str">
        <x:f t="shared" si="74"/>
        <x:v>FD447</x:v>
      </x:c>
      <x:c r="D1665" t="str">
        <x:f t="shared" si="75"/>
        <x:v>FUND_FLOW</x:v>
      </x:c>
      <x:c r="E1665" t="str">
        <x:f t="shared" si="76"/>
        <x:v>Dynamic</x:v>
      </x:c>
      <x:c r="F1665">
        <x:f ca="1">_xll.BDH($B$1665,$C$1665,$B$1010,$B$1011,CONCATENATE("Per=",$B$1008),"Dts=H","Dir=H",CONCATENATE("Points=",$B$1009),"Sort=R","Days=A","Fill=B",CONCATENATE("FX=", $B$1007),"cols=14;rows=1")</x:f>
        <x:v>-9.7992000000000008</x:v>
      </x:c>
      <x:c r="G1665">
        <x:v>0</x:v>
      </x:c>
      <x:c r="H1665">
        <x:v>-5.6798999999999999</x:v>
      </x:c>
      <x:c r="I1665">
        <x:v>0</x:v>
      </x:c>
      <x:c r="J1665">
        <x:v>-6.0129000000000001</x:v>
      </x:c>
      <x:c r="K1665">
        <x:v>-5.8182999999999998</x:v>
      </x:c>
      <x:c r="L1665">
        <x:v>-8.72E-2</x:v>
      </x:c>
      <x:c r="M1665">
        <x:v>0</x:v>
      </x:c>
      <x:c r="N1665">
        <x:v>0</x:v>
      </x:c>
      <x:c r="O1665">
        <x:v>-6.0025000000000004</x:v>
      </x:c>
      <x:c r="P1665">
        <x:v>0</x:v>
      </x:c>
      <x:c r="Q1665">
        <x:v>0</x:v>
      </x:c>
      <x:c r="R1665">
        <x:v>0</x:v>
      </x:c>
      <x:c r="S1665">
        <x:v>0</x:v>
      </x:c>
      <x:c r="T1665" t="str">
        <x:f>""</x:f>
        <x:v/>
      </x:c>
      <x:c r="U1665" t="str">
        <x:f>""</x:f>
        <x:v/>
      </x:c>
      <x:c r="V1665" t="str">
        <x:f>""</x:f>
        <x:v/>
      </x:c>
      <x:c r="W1665" t="str">
        <x:f>""</x:f>
        <x:v/>
      </x:c>
      <x:c r="X1665" t="str">
        <x:f>""</x:f>
        <x:v/>
      </x:c>
      <x:c r="Y1665" t="str">
        <x:f>""</x:f>
        <x:v/>
      </x:c>
      <x:c r="Z1665" t="str">
        <x:f>""</x:f>
        <x:v/>
      </x:c>
      <x:c r="AA1665" t="str">
        <x:f>""</x:f>
        <x:v/>
      </x:c>
      <x:c r="AB1665" t="str">
        <x:f>""</x:f>
        <x:v/>
      </x:c>
      <x:c r="AC1665" t="str">
        <x:f>""</x:f>
        <x:v/>
      </x:c>
      <x:c r="AD1665" t="str">
        <x:f>""</x:f>
        <x:v/>
      </x:c>
      <x:c r="AE1665" t="str">
        <x:f>""</x:f>
        <x:v/>
      </x:c>
      <x:c r="AF1665" t="str">
        <x:f>""</x:f>
        <x:v/>
      </x:c>
      <x:c r="AG1665" t="str">
        <x:f>""</x:f>
        <x:v/>
      </x:c>
    </x:row>
    <x:row r="1666" spans="2:33" x14ac:dyDescent="0.25">
      <x:c r="B1666" t="str">
        <x:f>"FAN US Equity"</x:f>
        <x:v>FAN US Equity</x:v>
      </x:c>
      <x:c r="C1666" t="str">
        <x:f t="shared" si="74"/>
        <x:v>FD447</x:v>
      </x:c>
      <x:c r="D1666" t="str">
        <x:f t="shared" si="75"/>
        <x:v>FUND_FLOW</x:v>
      </x:c>
      <x:c r="E1666" t="str">
        <x:f t="shared" si="76"/>
        <x:v>Dynamic</x:v>
      </x:c>
      <x:c r="F1666">
        <x:f ca="1">_xll.BDH($B$1666,$C$1666,$B$1010,$B$1011,CONCATENATE("Per=",$B$1008),"Dts=H","Dir=H",CONCATENATE("Points=",$B$1009),"Sort=R","Days=A","Fill=B",CONCATENATE("FX=", $B$1007),"cols=14;rows=1")</x:f>
        <x:v>-8.4198000000000004</x:v>
      </x:c>
      <x:c r="G1666">
        <x:v>0</x:v>
      </x:c>
      <x:c r="H1666">
        <x:v>-3.2195999999999998</x:v>
      </x:c>
      <x:c r="I1666">
        <x:v>-7.6364999999999998</x:v>
      </x:c>
      <x:c r="J1666">
        <x:v>-9.7204999999999995</x:v>
      </x:c>
      <x:c r="K1666">
        <x:v>-7.9844999999999997</x:v>
      </x:c>
      <x:c r="L1666">
        <x:v>-3.621</x:v>
      </x:c>
      <x:c r="M1666">
        <x:v>-9.5109999999999992</x:v>
      </x:c>
      <x:c r="N1666">
        <x:v>2.806</x:v>
      </x:c>
      <x:c r="O1666">
        <x:v>6.45</x:v>
      </x:c>
      <x:c r="P1666">
        <x:v>-5.2302</x:v>
      </x:c>
      <x:c r="Q1666">
        <x:v>1.7394000000000001</x:v>
      </x:c>
      <x:c r="R1666">
        <x:v>1.5821000000000001</x:v>
      </x:c>
      <x:c r="S1666">
        <x:v>-8.5557999999999996</x:v>
      </x:c>
      <x:c r="T1666" t="str">
        <x:f>""</x:f>
        <x:v/>
      </x:c>
      <x:c r="U1666" t="str">
        <x:f>""</x:f>
        <x:v/>
      </x:c>
      <x:c r="V1666" t="str">
        <x:f>""</x:f>
        <x:v/>
      </x:c>
      <x:c r="W1666" t="str">
        <x:f>""</x:f>
        <x:v/>
      </x:c>
      <x:c r="X1666" t="str">
        <x:f>""</x:f>
        <x:v/>
      </x:c>
      <x:c r="Y1666" t="str">
        <x:f>""</x:f>
        <x:v/>
      </x:c>
      <x:c r="Z1666" t="str">
        <x:f>""</x:f>
        <x:v/>
      </x:c>
      <x:c r="AA1666" t="str">
        <x:f>""</x:f>
        <x:v/>
      </x:c>
      <x:c r="AB1666" t="str">
        <x:f>""</x:f>
        <x:v/>
      </x:c>
      <x:c r="AC1666" t="str">
        <x:f>""</x:f>
        <x:v/>
      </x:c>
      <x:c r="AD1666" t="str">
        <x:f>""</x:f>
        <x:v/>
      </x:c>
      <x:c r="AE1666" t="str">
        <x:f>""</x:f>
        <x:v/>
      </x:c>
      <x:c r="AF1666" t="str">
        <x:f>""</x:f>
        <x:v/>
      </x:c>
      <x:c r="AG1666" t="str">
        <x:f>""</x:f>
        <x:v/>
      </x:c>
    </x:row>
    <x:row r="1667" spans="2:33" x14ac:dyDescent="0.25">
      <x:c r="B1667" t="str">
        <x:f>"URA US Equity"</x:f>
        <x:v>URA US Equity</x:v>
      </x:c>
      <x:c r="C1667" t="str">
        <x:f t="shared" si="74"/>
        <x:v>FD447</x:v>
      </x:c>
      <x:c r="D1667" t="str">
        <x:f t="shared" si="75"/>
        <x:v>FUND_FLOW</x:v>
      </x:c>
      <x:c r="E1667" t="str">
        <x:f t="shared" si="76"/>
        <x:v>Dynamic</x:v>
      </x:c>
      <x:c r="F1667">
        <x:f ca="1">_xll.BDH($B$1667,$C$1667,$B$1010,$B$1011,CONCATENATE("Per=",$B$1008),"Dts=H","Dir=H",CONCATENATE("Points=",$B$1009),"Sort=R","Days=A","Fill=B",CONCATENATE("FX=", $B$1007),"cols=14;rows=1")</x:f>
        <x:v>105.3796</x:v>
      </x:c>
      <x:c r="G1667">
        <x:v>83.4255</x:v>
      </x:c>
      <x:c r="H1667">
        <x:v>74.812200000000004</x:v>
      </x:c>
      <x:c r="I1667">
        <x:v>-15.063700000000001</x:v>
      </x:c>
      <x:c r="J1667">
        <x:v>58.824199999999998</x:v>
      </x:c>
      <x:c r="K1667">
        <x:v>26.868200000000002</x:v>
      </x:c>
      <x:c r="L1667">
        <x:v>-38.618400000000001</x:v>
      </x:c>
      <x:c r="M1667">
        <x:v>-45.464100000000002</x:v>
      </x:c>
      <x:c r="N1667">
        <x:v>-98.166899999999998</x:v>
      </x:c>
      <x:c r="O1667">
        <x:v>56.447099999999999</x:v>
      </x:c>
      <x:c r="P1667">
        <x:v>-60.7622</x:v>
      </x:c>
      <x:c r="Q1667">
        <x:v>-13.927</x:v>
      </x:c>
      <x:c r="R1667">
        <x:v>25.181000000000001</x:v>
      </x:c>
      <x:c r="S1667">
        <x:v>48.520600000000002</x:v>
      </x:c>
      <x:c r="T1667" t="str">
        <x:f>""</x:f>
        <x:v/>
      </x:c>
      <x:c r="U1667" t="str">
        <x:f>""</x:f>
        <x:v/>
      </x:c>
      <x:c r="V1667" t="str">
        <x:f>""</x:f>
        <x:v/>
      </x:c>
      <x:c r="W1667" t="str">
        <x:f>""</x:f>
        <x:v/>
      </x:c>
      <x:c r="X1667" t="str">
        <x:f>""</x:f>
        <x:v/>
      </x:c>
      <x:c r="Y1667" t="str">
        <x:f>""</x:f>
        <x:v/>
      </x:c>
      <x:c r="Z1667" t="str">
        <x:f>""</x:f>
        <x:v/>
      </x:c>
      <x:c r="AA1667" t="str">
        <x:f>""</x:f>
        <x:v/>
      </x:c>
      <x:c r="AB1667" t="str">
        <x:f>""</x:f>
        <x:v/>
      </x:c>
      <x:c r="AC1667" t="str">
        <x:f>""</x:f>
        <x:v/>
      </x:c>
      <x:c r="AD1667" t="str">
        <x:f>""</x:f>
        <x:v/>
      </x:c>
      <x:c r="AE1667" t="str">
        <x:f>""</x:f>
        <x:v/>
      </x:c>
      <x:c r="AF1667" t="str">
        <x:f>""</x:f>
        <x:v/>
      </x:c>
      <x:c r="AG1667" t="str">
        <x:f>""</x:f>
        <x:v/>
      </x:c>
    </x:row>
    <x:row r="1668" spans="2:33" x14ac:dyDescent="0.25">
      <x:c r="B1668" t="str">
        <x:f>"ECLN US Equity"</x:f>
        <x:v>ECLN US Equity</x:v>
      </x:c>
      <x:c r="C1668" t="str">
        <x:f t="shared" si="74"/>
        <x:v>FD447</x:v>
      </x:c>
      <x:c r="D1668" t="str">
        <x:f t="shared" si="75"/>
        <x:v>FUND_FLOW</x:v>
      </x:c>
      <x:c r="E1668" t="str">
        <x:f t="shared" si="76"/>
        <x:v>Dynamic</x:v>
      </x:c>
      <x:c r="F1668">
        <x:f ca="1">_xll.BDH($B$1668,$C$1668,$B$1010,$B$1011,CONCATENATE("Per=",$B$1008),"Dts=H","Dir=H",CONCATENATE("Points=",$B$1009),"Sort=R","Days=A","Fill=B",CONCATENATE("FX=", $B$1007),"cols=14;rows=1")</x:f>
        <x:v>-1.1392</x:v>
      </x:c>
      <x:c r="G1668">
        <x:v>0</x:v>
      </x:c>
      <x:c r="H1668">
        <x:v>-1.236</x:v>
      </x:c>
      <x:c r="I1668">
        <x:v>1.8499999999999999E-2</x:v>
      </x:c>
      <x:c r="J1668">
        <x:v>0</x:v>
      </x:c>
      <x:c r="K1668">
        <x:v>1.268</x:v>
      </x:c>
      <x:c r="L1668">
        <x:v>1.2835000000000001</x:v>
      </x:c>
      <x:c r="M1668">
        <x:v>0</x:v>
      </x:c>
      <x:c r="N1668">
        <x:v>5.0000000000000001E-3</x:v>
      </x:c>
      <x:c r="O1668">
        <x:v>0</x:v>
      </x:c>
      <x:c r="P1668">
        <x:v>1.284</x:v>
      </x:c>
      <x:c r="Q1668">
        <x:v>1.296</x:v>
      </x:c>
      <x:c r="R1668">
        <x:v>4.8604000000000003</x:v>
      </x:c>
      <x:c r="S1668">
        <x:v>2.694</x:v>
      </x:c>
      <x:c r="T1668" t="str">
        <x:f>""</x:f>
        <x:v/>
      </x:c>
      <x:c r="U1668" t="str">
        <x:f>""</x:f>
        <x:v/>
      </x:c>
      <x:c r="V1668" t="str">
        <x:f>""</x:f>
        <x:v/>
      </x:c>
      <x:c r="W1668" t="str">
        <x:f>""</x:f>
        <x:v/>
      </x:c>
      <x:c r="X1668" t="str">
        <x:f>""</x:f>
        <x:v/>
      </x:c>
      <x:c r="Y1668" t="str">
        <x:f>""</x:f>
        <x:v/>
      </x:c>
      <x:c r="Z1668" t="str">
        <x:f>""</x:f>
        <x:v/>
      </x:c>
      <x:c r="AA1668" t="str">
        <x:f>""</x:f>
        <x:v/>
      </x:c>
      <x:c r="AB1668" t="str">
        <x:f>""</x:f>
        <x:v/>
      </x:c>
      <x:c r="AC1668" t="str">
        <x:f>""</x:f>
        <x:v/>
      </x:c>
      <x:c r="AD1668" t="str">
        <x:f>""</x:f>
        <x:v/>
      </x:c>
      <x:c r="AE1668" t="str">
        <x:f>""</x:f>
        <x:v/>
      </x:c>
      <x:c r="AF1668" t="str">
        <x:f>""</x:f>
        <x:v/>
      </x:c>
      <x:c r="AG1668" t="str">
        <x:f>""</x:f>
        <x:v/>
      </x:c>
    </x:row>
    <x:row r="1669" spans="2:33" x14ac:dyDescent="0.25">
      <x:c r="B1669" t="str">
        <x:f>"CTEC US Equity"</x:f>
        <x:v>CTEC US Equity</x:v>
      </x:c>
      <x:c r="C1669" t="str">
        <x:f t="shared" si="74"/>
        <x:v>FD447</x:v>
      </x:c>
      <x:c r="D1669" t="str">
        <x:f t="shared" si="75"/>
        <x:v>FUND_FLOW</x:v>
      </x:c>
      <x:c r="E1669" t="str">
        <x:f t="shared" si="76"/>
        <x:v>Dynamic</x:v>
      </x:c>
      <x:c r="F1669">
        <x:f ca="1">_xll.BDH($B$1669,$C$1669,$B$1010,$B$1011,CONCATENATE("Per=",$B$1008),"Dts=H","Dir=H",CONCATENATE("Points=",$B$1009),"Sort=R","Days=A","Fill=B",CONCATENATE("FX=", $B$1007),"cols=14;rows=1")</x:f>
        <x:v>0</x:v>
      </x:c>
      <x:c r="G1669">
        <x:v>-2.3915000000000002</x:v>
      </x:c>
      <x:c r="H1669">
        <x:v>-3.1402000000000001</x:v>
      </x:c>
      <x:c r="I1669">
        <x:v>-1.8156000000000001</x:v>
      </x:c>
      <x:c r="J1669">
        <x:v>-2.4131999999999998</x:v>
      </x:c>
      <x:c r="K1669">
        <x:v>-3.7172000000000001</x:v>
      </x:c>
      <x:c r="L1669">
        <x:v>-4.6712999999999996</x:v>
      </x:c>
      <x:c r="M1669">
        <x:v>-2.1474000000000002</x:v>
      </x:c>
      <x:c r="N1669">
        <x:v>-4.4273999999999996</x:v>
      </x:c>
      <x:c r="O1669">
        <x:v>0</x:v>
      </x:c>
      <x:c r="P1669">
        <x:v>2.0941999999999998</x:v>
      </x:c>
      <x:c r="Q1669">
        <x:v>0.47520000000000001</x:v>
      </x:c>
      <x:c r="R1669">
        <x:v>0</x:v>
      </x:c>
      <x:c r="S1669">
        <x:v>0.99660000000000004</x:v>
      </x:c>
      <x:c r="T1669" t="str">
        <x:f>""</x:f>
        <x:v/>
      </x:c>
      <x:c r="U1669" t="str">
        <x:f>""</x:f>
        <x:v/>
      </x:c>
      <x:c r="V1669" t="str">
        <x:f>""</x:f>
        <x:v/>
      </x:c>
      <x:c r="W1669" t="str">
        <x:f>""</x:f>
        <x:v/>
      </x:c>
      <x:c r="X1669" t="str">
        <x:f>""</x:f>
        <x:v/>
      </x:c>
      <x:c r="Y1669" t="str">
        <x:f>""</x:f>
        <x:v/>
      </x:c>
      <x:c r="Z1669" t="str">
        <x:f>""</x:f>
        <x:v/>
      </x:c>
      <x:c r="AA1669" t="str">
        <x:f>""</x:f>
        <x:v/>
      </x:c>
      <x:c r="AB1669" t="str">
        <x:f>""</x:f>
        <x:v/>
      </x:c>
      <x:c r="AC1669" t="str">
        <x:f>""</x:f>
        <x:v/>
      </x:c>
      <x:c r="AD1669" t="str">
        <x:f>""</x:f>
        <x:v/>
      </x:c>
      <x:c r="AE1669" t="str">
        <x:f>""</x:f>
        <x:v/>
      </x:c>
      <x:c r="AF1669" t="str">
        <x:f>""</x:f>
        <x:v/>
      </x:c>
      <x:c r="AG1669" t="str">
        <x:f>""</x:f>
        <x:v/>
      </x:c>
    </x:row>
    <x:row r="1670" spans="2:33" x14ac:dyDescent="0.25">
      <x:c r="B1670" t="str">
        <x:f>"SULR US Equity"</x:f>
        <x:v>SULR US Equity</x:v>
      </x:c>
      <x:c r="C1670" t="str">
        <x:f t="shared" si="74"/>
        <x:v>FD447</x:v>
      </x:c>
      <x:c r="D1670" t="str">
        <x:f t="shared" si="75"/>
        <x:v>FUND_FLOW</x:v>
      </x:c>
      <x:c r="E1670" t="str">
        <x:f t="shared" si="76"/>
        <x:v>Dynamic</x:v>
      </x:c>
      <x:c r="F1670">
        <x:f ca="1">_xll.BDH($B$1670,$C$1670,$B$1010,$B$1011,CONCATENATE("Per=",$B$1008),"Dts=H","Dir=H",CONCATENATE("Points=",$B$1009),"Sort=R","Days=A","Fill=B",CONCATENATE("FX=", $B$1007),"cols=14;rows=1")</x:f>
        <x:v>0</x:v>
      </x:c>
      <x:c r="G1670">
        <x:v>0</x:v>
      </x:c>
      <x:c r="H1670">
        <x:v>0</x:v>
      </x:c>
      <x:c r="I1670">
        <x:v>0</x:v>
      </x:c>
      <x:c r="J1670">
        <x:v>0</x:v>
      </x:c>
      <x:c r="K1670">
        <x:v>0</x:v>
      </x:c>
      <x:c r="L1670">
        <x:v>0</x:v>
      </x:c>
      <x:c r="M1670">
        <x:v>0</x:v>
      </x:c>
      <x:c r="N1670">
        <x:v>0</x:v>
      </x:c>
      <x:c r="O1670">
        <x:v>0</x:v>
      </x:c>
      <x:c r="P1670">
        <x:v>0</x:v>
      </x:c>
      <x:c r="Q1670">
        <x:v>0</x:v>
      </x:c>
      <x:c r="R1670">
        <x:v>0</x:v>
      </x:c>
      <x:c r="S1670">
        <x:v>0</x:v>
      </x:c>
      <x:c r="T1670" t="str">
        <x:f>""</x:f>
        <x:v/>
      </x:c>
      <x:c r="U1670" t="str">
        <x:f>""</x:f>
        <x:v/>
      </x:c>
      <x:c r="V1670" t="str">
        <x:f>""</x:f>
        <x:v/>
      </x:c>
      <x:c r="W1670" t="str">
        <x:f>""</x:f>
        <x:v/>
      </x:c>
      <x:c r="X1670" t="str">
        <x:f>""</x:f>
        <x:v/>
      </x:c>
      <x:c r="Y1670" t="str">
        <x:f>""</x:f>
        <x:v/>
      </x:c>
      <x:c r="Z1670" t="str">
        <x:f>""</x:f>
        <x:v/>
      </x:c>
      <x:c r="AA1670" t="str">
        <x:f>""</x:f>
        <x:v/>
      </x:c>
      <x:c r="AB1670" t="str">
        <x:f>""</x:f>
        <x:v/>
      </x:c>
      <x:c r="AC1670" t="str">
        <x:f>""</x:f>
        <x:v/>
      </x:c>
      <x:c r="AD1670" t="str">
        <x:f>""</x:f>
        <x:v/>
      </x:c>
      <x:c r="AE1670" t="str">
        <x:f>""</x:f>
        <x:v/>
      </x:c>
      <x:c r="AF1670" t="str">
        <x:f>""</x:f>
        <x:v/>
      </x:c>
      <x:c r="AG1670" t="str">
        <x:f>""</x:f>
        <x:v/>
      </x:c>
    </x:row>
    <x:row r="1671" spans="2:33" x14ac:dyDescent="0.25">
      <x:c r="B1671" t="str">
        <x:f>"BNE US Equity"</x:f>
        <x:v>BNE US Equity</x:v>
      </x:c>
      <x:c r="C1671" t="str">
        <x:f t="shared" si="74"/>
        <x:v>FD447</x:v>
      </x:c>
      <x:c r="D1671" t="str">
        <x:f t="shared" si="75"/>
        <x:v>FUND_FLOW</x:v>
      </x:c>
      <x:c r="E1671" t="str">
        <x:f t="shared" si="76"/>
        <x:v>Dynamic</x:v>
      </x:c>
      <x:c r="F1671">
        <x:f ca="1">_xll.BDH($B$1671,$C$1671,$B$1010,$B$1011,CONCATENATE("Per=",$B$1008),"Dts=H","Dir=H",CONCATENATE("Points=",$B$1009),"Sort=R","Days=A","Fill=B",CONCATENATE("FX=", $B$1007),"cols=14;rows=1")</x:f>
        <x:v>0</x:v>
      </x:c>
      <x:c r="G1671">
        <x:v>0</x:v>
      </x:c>
      <x:c r="H1671">
        <x:v>0</x:v>
      </x:c>
      <x:c r="I1671">
        <x:v>-2.0638999999999998</x:v>
      </x:c>
      <x:c r="J1671">
        <x:v>0</x:v>
      </x:c>
      <x:c r="K1671">
        <x:v>0</x:v>
      </x:c>
      <x:c r="L1671">
        <x:v>0</x:v>
      </x:c>
      <x:c r="M1671">
        <x:v>-1.2707999999999999</x:v>
      </x:c>
      <x:c r="N1671">
        <x:v>1.9135</x:v>
      </x:c>
      <x:c r="O1671">
        <x:v>0</x:v>
      </x:c>
      <x:c r="P1671">
        <x:v>0</x:v>
      </x:c>
      <x:c r="Q1671">
        <x:v>0</x:v>
      </x:c>
      <x:c r="R1671">
        <x:v>0</x:v>
      </x:c>
      <x:c r="S1671">
        <x:v>0</x:v>
      </x:c>
      <x:c r="T1671" t="str">
        <x:f>""</x:f>
        <x:v/>
      </x:c>
      <x:c r="U1671" t="str">
        <x:f>""</x:f>
        <x:v/>
      </x:c>
      <x:c r="V1671" t="str">
        <x:f>""</x:f>
        <x:v/>
      </x:c>
      <x:c r="W1671" t="str">
        <x:f>""</x:f>
        <x:v/>
      </x:c>
      <x:c r="X1671" t="str">
        <x:f>""</x:f>
        <x:v/>
      </x:c>
      <x:c r="Y1671" t="str">
        <x:f>""</x:f>
        <x:v/>
      </x:c>
      <x:c r="Z1671" t="str">
        <x:f>""</x:f>
        <x:v/>
      </x:c>
      <x:c r="AA1671" t="str">
        <x:f>""</x:f>
        <x:v/>
      </x:c>
      <x:c r="AB1671" t="str">
        <x:f>""</x:f>
        <x:v/>
      </x:c>
      <x:c r="AC1671" t="str">
        <x:f>""</x:f>
        <x:v/>
      </x:c>
      <x:c r="AD1671" t="str">
        <x:f>""</x:f>
        <x:v/>
      </x:c>
      <x:c r="AE1671" t="str">
        <x:f>""</x:f>
        <x:v/>
      </x:c>
      <x:c r="AF1671" t="str">
        <x:f>""</x:f>
        <x:v/>
      </x:c>
      <x:c r="AG1671" t="str">
        <x:f>""</x:f>
        <x:v/>
      </x:c>
    </x:row>
    <x:row r="1672" spans="2:33" x14ac:dyDescent="0.25">
      <x:c r="B1672" t="str">
        <x:f>"TAN US Equity"</x:f>
        <x:v>TAN US Equity</x:v>
      </x:c>
      <x:c r="C1672" t="str">
        <x:f t="shared" si="74"/>
        <x:v>FD447</x:v>
      </x:c>
      <x:c r="D1672" t="str">
        <x:f t="shared" si="75"/>
        <x:v>FUND_FLOW</x:v>
      </x:c>
      <x:c r="E1672" t="str">
        <x:f t="shared" si="76"/>
        <x:v>Dynamic</x:v>
      </x:c>
      <x:c r="F1672">
        <x:f ca="1">_xll.BDH($B$1672,$C$1672,$B$1010,$B$1011,CONCATENATE("Per=",$B$1008),"Dts=H","Dir=H",CONCATENATE("Points=",$B$1009),"Sort=R","Days=A","Fill=B",CONCATENATE("FX=", $B$1007),"cols=14;rows=1")</x:f>
        <x:v>4.0705999999999998</x:v>
      </x:c>
      <x:c r="G1672">
        <x:v>13.2165</x:v>
      </x:c>
      <x:c r="H1672">
        <x:v>-60.217500000000001</x:v>
      </x:c>
      <x:c r="I1672">
        <x:v>-16.232800000000001</x:v>
      </x:c>
      <x:c r="J1672">
        <x:v>17.295100000000001</x:v>
      </x:c>
      <x:c r="K1672">
        <x:v>-73.4465</x:v>
      </x:c>
      <x:c r="L1672">
        <x:v>-65.424999999999997</x:v>
      </x:c>
      <x:c r="M1672">
        <x:v>-23.446300000000001</x:v>
      </x:c>
      <x:c r="N1672">
        <x:v>-68.449399999999997</x:v>
      </x:c>
      <x:c r="O1672">
        <x:v>-36.0989</x:v>
      </x:c>
      <x:c r="P1672">
        <x:v>-121.9452</x:v>
      </x:c>
      <x:c r="Q1672">
        <x:v>213.5376</x:v>
      </x:c>
      <x:c r="R1672">
        <x:v>-211.02170000000001</x:v>
      </x:c>
      <x:c r="S1672">
        <x:v>-35.146500000000003</x:v>
      </x:c>
      <x:c r="T1672" t="str">
        <x:f>""</x:f>
        <x:v/>
      </x:c>
      <x:c r="U1672" t="str">
        <x:f>""</x:f>
        <x:v/>
      </x:c>
      <x:c r="V1672" t="str">
        <x:f>""</x:f>
        <x:v/>
      </x:c>
      <x:c r="W1672" t="str">
        <x:f>""</x:f>
        <x:v/>
      </x:c>
      <x:c r="X1672" t="str">
        <x:f>""</x:f>
        <x:v/>
      </x:c>
      <x:c r="Y1672" t="str">
        <x:f>""</x:f>
        <x:v/>
      </x:c>
      <x:c r="Z1672" t="str">
        <x:f>""</x:f>
        <x:v/>
      </x:c>
      <x:c r="AA1672" t="str">
        <x:f>""</x:f>
        <x:v/>
      </x:c>
      <x:c r="AB1672" t="str">
        <x:f>""</x:f>
        <x:v/>
      </x:c>
      <x:c r="AC1672" t="str">
        <x:f>""</x:f>
        <x:v/>
      </x:c>
      <x:c r="AD1672" t="str">
        <x:f>""</x:f>
        <x:v/>
      </x:c>
      <x:c r="AE1672" t="str">
        <x:f>""</x:f>
        <x:v/>
      </x:c>
      <x:c r="AF1672" t="str">
        <x:f>""</x:f>
        <x:v/>
      </x:c>
      <x:c r="AG1672" t="str">
        <x:f>""</x:f>
        <x:v/>
      </x:c>
    </x:row>
    <x:row r="1673" spans="2:33" x14ac:dyDescent="0.25">
      <x:c r="B1673" t="str">
        <x:f>"HDRO US Equity"</x:f>
        <x:v>HDRO US Equity</x:v>
      </x:c>
      <x:c r="C1673" t="str">
        <x:f t="shared" si="74"/>
        <x:v>FD447</x:v>
      </x:c>
      <x:c r="D1673" t="str">
        <x:f t="shared" si="75"/>
        <x:v>FUND_FLOW</x:v>
      </x:c>
      <x:c r="E1673" t="str">
        <x:f t="shared" si="76"/>
        <x:v>Dynamic</x:v>
      </x:c>
      <x:c r="F1673">
        <x:f ca="1">_xll.BDH($B$1673,$C$1673,$B$1010,$B$1011,CONCATENATE("Per=",$B$1008),"Dts=H","Dir=H",CONCATENATE("Points=",$B$1009),"Sort=R","Days=A","Fill=B",CONCATENATE("FX=", $B$1007),"cols=14;rows=1")</x:f>
        <x:v>0</x:v>
      </x:c>
      <x:c r="G1673">
        <x:v>-0.1817</x:v>
      </x:c>
      <x:c r="H1673">
        <x:v>0</x:v>
      </x:c>
      <x:c r="I1673">
        <x:v>-1.0995999999999999</x:v>
      </x:c>
      <x:c r="J1673">
        <x:v>0.62539999999999996</x:v>
      </x:c>
      <x:c r="K1673">
        <x:v>0</x:v>
      </x:c>
      <x:c r="L1673">
        <x:v>0.44619999999999999</x:v>
      </x:c>
      <x:c r="M1673">
        <x:v>-0.98839999999999995</x:v>
      </x:c>
      <x:c r="N1673">
        <x:v>1.5994999999999999</x:v>
      </x:c>
      <x:c r="O1673">
        <x:v>-0.73819999999999997</x:v>
      </x:c>
      <x:c r="P1673">
        <x:v>0</x:v>
      </x:c>
      <x:c r="Q1673">
        <x:v>0.46460000000000001</x:v>
      </x:c>
      <x:c r="R1673">
        <x:v>-1.5028999999999999</x:v>
      </x:c>
      <x:c r="S1673">
        <x:v>0</x:v>
      </x:c>
      <x:c r="T1673" t="str">
        <x:f>""</x:f>
        <x:v/>
      </x:c>
      <x:c r="U1673" t="str">
        <x:f>""</x:f>
        <x:v/>
      </x:c>
      <x:c r="V1673" t="str">
        <x:f>""</x:f>
        <x:v/>
      </x:c>
      <x:c r="W1673" t="str">
        <x:f>""</x:f>
        <x:v/>
      </x:c>
      <x:c r="X1673" t="str">
        <x:f>""</x:f>
        <x:v/>
      </x:c>
      <x:c r="Y1673" t="str">
        <x:f>""</x:f>
        <x:v/>
      </x:c>
      <x:c r="Z1673" t="str">
        <x:f>""</x:f>
        <x:v/>
      </x:c>
      <x:c r="AA1673" t="str">
        <x:f>""</x:f>
        <x:v/>
      </x:c>
      <x:c r="AB1673" t="str">
        <x:f>""</x:f>
        <x:v/>
      </x:c>
      <x:c r="AC1673" t="str">
        <x:f>""</x:f>
        <x:v/>
      </x:c>
      <x:c r="AD1673" t="str">
        <x:f>""</x:f>
        <x:v/>
      </x:c>
      <x:c r="AE1673" t="str">
        <x:f>""</x:f>
        <x:v/>
      </x:c>
      <x:c r="AF1673" t="str">
        <x:f>""</x:f>
        <x:v/>
      </x:c>
      <x:c r="AG1673" t="str">
        <x:f>""</x:f>
        <x:v/>
      </x:c>
    </x:row>
    <x:row r="1674" spans="2:33" x14ac:dyDescent="0.25">
      <x:c r="B1674" t="str">
        <x:f>"HJEN US Equity"</x:f>
        <x:v>HJEN US Equity</x:v>
      </x:c>
      <x:c r="C1674" t="str">
        <x:f t="shared" si="74"/>
        <x:v>FD447</x:v>
      </x:c>
      <x:c r="D1674" t="str">
        <x:f t="shared" si="75"/>
        <x:v>FUND_FLOW</x:v>
      </x:c>
      <x:c r="E1674" t="str">
        <x:f t="shared" si="76"/>
        <x:v>Dynamic</x:v>
      </x:c>
      <x:c r="F1674">
        <x:f ca="1">_xll.BDH($B$1674,$C$1674,$B$1010,$B$1011,CONCATENATE("Per=",$B$1008),"Dts=H","Dir=H",CONCATENATE("Points=",$B$1009),"Sort=R","Days=A","Fill=B",CONCATENATE("FX=", $B$1007),"cols=14;rows=1")</x:f>
        <x:v>1.1728000000000001</x:v>
      </x:c>
      <x:c r="G1674">
        <x:v>0</x:v>
      </x:c>
      <x:c r="H1674">
        <x:v>0</x:v>
      </x:c>
      <x:c r="I1674">
        <x:v>-1.7468999999999999</x:v>
      </x:c>
      <x:c r="J1674">
        <x:v>1.3732</x:v>
      </x:c>
      <x:c r="K1674">
        <x:v>0</x:v>
      </x:c>
      <x:c r="L1674">
        <x:v>0</x:v>
      </x:c>
      <x:c r="M1674">
        <x:v>2.7892000000000001</x:v>
      </x:c>
      <x:c r="N1674">
        <x:v>3.8889999999999998</x:v>
      </x:c>
      <x:c r="O1674">
        <x:v>0</x:v>
      </x:c>
      <x:c r="P1674">
        <x:v>0</x:v>
      </x:c>
      <x:c r="Q1674">
        <x:v>2.8391000000000002</x:v>
      </x:c>
      <x:c r="R1674">
        <x:v>0</x:v>
      </x:c>
      <x:c r="S1674">
        <x:v>0</x:v>
      </x:c>
      <x:c r="T1674" t="str">
        <x:f>""</x:f>
        <x:v/>
      </x:c>
      <x:c r="U1674" t="str">
        <x:f>""</x:f>
        <x:v/>
      </x:c>
      <x:c r="V1674" t="str">
        <x:f>""</x:f>
        <x:v/>
      </x:c>
      <x:c r="W1674" t="str">
        <x:f>""</x:f>
        <x:v/>
      </x:c>
      <x:c r="X1674" t="str">
        <x:f>""</x:f>
        <x:v/>
      </x:c>
      <x:c r="Y1674" t="str">
        <x:f>""</x:f>
        <x:v/>
      </x:c>
      <x:c r="Z1674" t="str">
        <x:f>""</x:f>
        <x:v/>
      </x:c>
      <x:c r="AA1674" t="str">
        <x:f>""</x:f>
        <x:v/>
      </x:c>
      <x:c r="AB1674" t="str">
        <x:f>""</x:f>
        <x:v/>
      </x:c>
      <x:c r="AC1674" t="str">
        <x:f>""</x:f>
        <x:v/>
      </x:c>
      <x:c r="AD1674" t="str">
        <x:f>""</x:f>
        <x:v/>
      </x:c>
      <x:c r="AE1674" t="str">
        <x:f>""</x:f>
        <x:v/>
      </x:c>
      <x:c r="AF1674" t="str">
        <x:f>""</x:f>
        <x:v/>
      </x:c>
      <x:c r="AG1674" t="str">
        <x:f>""</x:f>
        <x:v/>
      </x:c>
    </x:row>
    <x:row r="1675" spans="2:33" x14ac:dyDescent="0.25">
      <x:c r="B1675" t="str">
        <x:f>"HYDR US Equity"</x:f>
        <x:v>HYDR US Equity</x:v>
      </x:c>
      <x:c r="C1675" t="str">
        <x:f t="shared" si="74"/>
        <x:v>FD447</x:v>
      </x:c>
      <x:c r="D1675" t="str">
        <x:f t="shared" si="75"/>
        <x:v>FUND_FLOW</x:v>
      </x:c>
      <x:c r="E1675" t="str">
        <x:f t="shared" si="76"/>
        <x:v>Dynamic</x:v>
      </x:c>
      <x:c r="F1675">
        <x:f ca="1">_xll.BDH($B$1675,$C$1675,$B$1010,$B$1011,CONCATENATE("Per=",$B$1008),"Dts=H","Dir=H",CONCATENATE("Points=",$B$1009),"Sort=R","Days=A","Fill=B",CONCATENATE("FX=", $B$1007),"cols=14;rows=1")</x:f>
        <x:v>0</x:v>
      </x:c>
      <x:c r="G1675">
        <x:v>0</x:v>
      </x:c>
      <x:c r="H1675">
        <x:v>3.0259</x:v>
      </x:c>
      <x:c r="I1675">
        <x:v>4.1102999999999996</x:v>
      </x:c>
      <x:c r="J1675">
        <x:v>8.2520000000000007</x:v>
      </x:c>
      <x:c r="K1675">
        <x:v>0.44950000000000001</x:v>
      </x:c>
      <x:c r="L1675">
        <x:v>0</x:v>
      </x:c>
      <x:c r="M1675">
        <x:v>1.7624</x:v>
      </x:c>
      <x:c r="N1675">
        <x:v>3.0021</x:v>
      </x:c>
      <x:c r="O1675">
        <x:v>1.9024000000000001</x:v>
      </x:c>
      <x:c r="P1675">
        <x:v>0.1084</x:v>
      </x:c>
      <x:c r="Q1675">
        <x:v>2.4598</x:v>
      </x:c>
      <x:c r="R1675">
        <x:v>-0.90810000000000002</x:v>
      </x:c>
      <x:c r="S1675">
        <x:v>1.5168999999999999</x:v>
      </x:c>
      <x:c r="T1675" t="str">
        <x:f>""</x:f>
        <x:v/>
      </x:c>
      <x:c r="U1675" t="str">
        <x:f>""</x:f>
        <x:v/>
      </x:c>
      <x:c r="V1675" t="str">
        <x:f>""</x:f>
        <x:v/>
      </x:c>
      <x:c r="W1675" t="str">
        <x:f>""</x:f>
        <x:v/>
      </x:c>
      <x:c r="X1675" t="str">
        <x:f>""</x:f>
        <x:v/>
      </x:c>
      <x:c r="Y1675" t="str">
        <x:f>""</x:f>
        <x:v/>
      </x:c>
      <x:c r="Z1675" t="str">
        <x:f>""</x:f>
        <x:v/>
      </x:c>
      <x:c r="AA1675" t="str">
        <x:f>""</x:f>
        <x:v/>
      </x:c>
      <x:c r="AB1675" t="str">
        <x:f>""</x:f>
        <x:v/>
      </x:c>
      <x:c r="AC1675" t="str">
        <x:f>""</x:f>
        <x:v/>
      </x:c>
      <x:c r="AD1675" t="str">
        <x:f>""</x:f>
        <x:v/>
      </x:c>
      <x:c r="AE1675" t="str">
        <x:f>""</x:f>
        <x:v/>
      </x:c>
      <x:c r="AF1675" t="str">
        <x:f>""</x:f>
        <x:v/>
      </x:c>
      <x:c r="AG1675" t="str">
        <x:f>""</x:f>
        <x:v/>
      </x:c>
    </x:row>
    <x:row r="1676" spans="2:33" x14ac:dyDescent="0.25">
      <x:c r="B1676" t="str">
        <x:f>"FRNW US Equity"</x:f>
        <x:v>FRNW US Equity</x:v>
      </x:c>
      <x:c r="C1676" t="str">
        <x:f t="shared" si="74"/>
        <x:v>FD447</x:v>
      </x:c>
      <x:c r="D1676" t="str">
        <x:f t="shared" si="75"/>
        <x:v>FUND_FLOW</x:v>
      </x:c>
      <x:c r="E1676" t="str">
        <x:f t="shared" si="76"/>
        <x:v>Dynamic</x:v>
      </x:c>
      <x:c r="F1676">
        <x:f ca="1">_xll.BDH($B$1676,$C$1676,$B$1010,$B$1011,CONCATENATE("Per=",$B$1008),"Dts=H","Dir=H",CONCATENATE("Points=",$B$1009),"Sort=R","Days=A","Fill=B",CONCATENATE("FX=", $B$1007),"cols=14;rows=1")</x:f>
        <x:v>0</x:v>
      </x:c>
      <x:c r="G1676">
        <x:v>0</x:v>
      </x:c>
      <x:c r="H1676">
        <x:v>-0.96930000000000005</x:v>
      </x:c>
      <x:c r="I1676">
        <x:v>0</x:v>
      </x:c>
      <x:c r="J1676">
        <x:v>0</x:v>
      </x:c>
      <x:c r="K1676">
        <x:v>0</x:v>
      </x:c>
      <x:c r="L1676">
        <x:v>0</x:v>
      </x:c>
      <x:c r="M1676">
        <x:v>-1.0028999999999999</x:v>
      </x:c>
      <x:c r="N1676">
        <x:v>0</x:v>
      </x:c>
      <x:c r="O1676">
        <x:v>3.4927000000000001</x:v>
      </x:c>
      <x:c r="P1676">
        <x:v>0</x:v>
      </x:c>
      <x:c r="Q1676">
        <x:v>1.1532</x:v>
      </x:c>
      <x:c r="R1676">
        <x:v>0</x:v>
      </x:c>
      <x:c r="S1676">
        <x:v>1.2052</x:v>
      </x:c>
      <x:c r="T1676" t="str">
        <x:f>""</x:f>
        <x:v/>
      </x:c>
      <x:c r="U1676" t="str">
        <x:f>""</x:f>
        <x:v/>
      </x:c>
      <x:c r="V1676" t="str">
        <x:f>""</x:f>
        <x:v/>
      </x:c>
      <x:c r="W1676" t="str">
        <x:f>""</x:f>
        <x:v/>
      </x:c>
      <x:c r="X1676" t="str">
        <x:f>""</x:f>
        <x:v/>
      </x:c>
      <x:c r="Y1676" t="str">
        <x:f>""</x:f>
        <x:v/>
      </x:c>
      <x:c r="Z1676" t="str">
        <x:f>""</x:f>
        <x:v/>
      </x:c>
      <x:c r="AA1676" t="str">
        <x:f>""</x:f>
        <x:v/>
      </x:c>
      <x:c r="AB1676" t="str">
        <x:f>""</x:f>
        <x:v/>
      </x:c>
      <x:c r="AC1676" t="str">
        <x:f>""</x:f>
        <x:v/>
      </x:c>
      <x:c r="AD1676" t="str">
        <x:f>""</x:f>
        <x:v/>
      </x:c>
      <x:c r="AE1676" t="str">
        <x:f>""</x:f>
        <x:v/>
      </x:c>
      <x:c r="AF1676" t="str">
        <x:f>""</x:f>
        <x:v/>
      </x:c>
      <x:c r="AG1676" t="str">
        <x:f>""</x:f>
        <x:v/>
      </x:c>
    </x:row>
    <x:row r="1677" spans="2:33" x14ac:dyDescent="0.25">
      <x:c r="B1677" t="str">
        <x:f>"WNDY US Equity"</x:f>
        <x:v>WNDY US Equity</x:v>
      </x:c>
      <x:c r="C1677" t="str">
        <x:f t="shared" si="74"/>
        <x:v>FD447</x:v>
      </x:c>
      <x:c r="D1677" t="str">
        <x:f t="shared" si="75"/>
        <x:v>FUND_FLOW</x:v>
      </x:c>
      <x:c r="E1677" t="str">
        <x:f t="shared" si="76"/>
        <x:v>Dynamic</x:v>
      </x:c>
      <x:c r="F1677">
        <x:f ca="1">_xll.BDH($B$1677,$C$1677,$B$1010,$B$1011,CONCATENATE("Per=",$B$1008),"Dts=H","Dir=H",CONCATENATE("Points=",$B$1009),"Sort=R","Days=A","Fill=B",CONCATENATE("FX=", $B$1007),"cols=14;rows=1")</x:f>
        <x:v>-0.97950000000000004</x:v>
      </x:c>
      <x:c r="G1677">
        <x:v>0</x:v>
      </x:c>
      <x:c r="H1677">
        <x:v>0</x:v>
      </x:c>
      <x:c r="I1677">
        <x:v>-0.4788</x:v>
      </x:c>
      <x:c r="J1677">
        <x:v>0</x:v>
      </x:c>
      <x:c r="K1677">
        <x:v>0</x:v>
      </x:c>
      <x:c r="L1677">
        <x:v>-0.52049999999999996</x:v>
      </x:c>
      <x:c r="M1677">
        <x:v>-8.7262000000000004</x:v>
      </x:c>
      <x:c r="N1677">
        <x:v>5.4219999999999997</x:v>
      </x:c>
      <x:c r="O1677">
        <x:v>7.2454000000000001</x:v>
      </x:c>
      <x:c r="P1677">
        <x:v>0</x:v>
      </x:c>
      <x:c r="Q1677">
        <x:v>0</x:v>
      </x:c>
      <x:c r="R1677">
        <x:v>0</x:v>
      </x:c>
      <x:c r="S1677">
        <x:v>0</x:v>
      </x:c>
      <x:c r="T1677" t="str">
        <x:f>""</x:f>
        <x:v/>
      </x:c>
      <x:c r="U1677" t="str">
        <x:f>""</x:f>
        <x:v/>
      </x:c>
      <x:c r="V1677" t="str">
        <x:f>""</x:f>
        <x:v/>
      </x:c>
      <x:c r="W1677" t="str">
        <x:f>""</x:f>
        <x:v/>
      </x:c>
      <x:c r="X1677" t="str">
        <x:f>""</x:f>
        <x:v/>
      </x:c>
      <x:c r="Y1677" t="str">
        <x:f>""</x:f>
        <x:v/>
      </x:c>
      <x:c r="Z1677" t="str">
        <x:f>""</x:f>
        <x:v/>
      </x:c>
      <x:c r="AA1677" t="str">
        <x:f>""</x:f>
        <x:v/>
      </x:c>
      <x:c r="AB1677" t="str">
        <x:f>""</x:f>
        <x:v/>
      </x:c>
      <x:c r="AC1677" t="str">
        <x:f>""</x:f>
        <x:v/>
      </x:c>
      <x:c r="AD1677" t="str">
        <x:f>""</x:f>
        <x:v/>
      </x:c>
      <x:c r="AE1677" t="str">
        <x:f>""</x:f>
        <x:v/>
      </x:c>
      <x:c r="AF1677" t="str">
        <x:f>""</x:f>
        <x:v/>
      </x:c>
      <x:c r="AG1677" t="str">
        <x:f>""</x:f>
        <x:v/>
      </x:c>
    </x:row>
    <x:row r="1678" spans="2:33" x14ac:dyDescent="0.25">
      <x:c r="B1678" t="str">
        <x:f>"RAYS US Equity"</x:f>
        <x:v>RAYS US Equity</x:v>
      </x:c>
      <x:c r="C1678" t="str">
        <x:f t="shared" si="74"/>
        <x:v>FD447</x:v>
      </x:c>
      <x:c r="D1678" t="str">
        <x:f t="shared" si="75"/>
        <x:v>FUND_FLOW</x:v>
      </x:c>
      <x:c r="E1678" t="str">
        <x:f t="shared" si="76"/>
        <x:v>Dynamic</x:v>
      </x:c>
      <x:c r="F1678">
        <x:f ca="1">_xll.BDH($B$1678,$C$1678,$B$1010,$B$1011,CONCATENATE("Per=",$B$1008),"Dts=H","Dir=H",CONCATENATE("Points=",$B$1009),"Sort=R","Days=A","Fill=B",CONCATENATE("FX=", $B$1007),"cols=14;rows=1")</x:f>
        <x:v>0</x:v>
      </x:c>
      <x:c r="G1678">
        <x:v>4.2977999999999996</x:v>
      </x:c>
      <x:c r="H1678">
        <x:v>0</x:v>
      </x:c>
      <x:c r="I1678">
        <x:v>0</x:v>
      </x:c>
      <x:c r="J1678">
        <x:v>0</x:v>
      </x:c>
      <x:c r="K1678">
        <x:v>0</x:v>
      </x:c>
      <x:c r="L1678">
        <x:v>0</x:v>
      </x:c>
      <x:c r="M1678">
        <x:v>0</x:v>
      </x:c>
      <x:c r="N1678">
        <x:v>0</x:v>
      </x:c>
      <x:c r="O1678">
        <x:v>0</x:v>
      </x:c>
      <x:c r="P1678">
        <x:v>-1.0620000000000001</x:v>
      </x:c>
      <x:c r="Q1678">
        <x:v>-1.0449999999999999</x:v>
      </x:c>
      <x:c r="R1678">
        <x:v>0</x:v>
      </x:c>
      <x:c r="S1678">
        <x:v>-1.4998</x:v>
      </x:c>
      <x:c r="T1678" t="str">
        <x:f>""</x:f>
        <x:v/>
      </x:c>
      <x:c r="U1678" t="str">
        <x:f>""</x:f>
        <x:v/>
      </x:c>
      <x:c r="V1678" t="str">
        <x:f>""</x:f>
        <x:v/>
      </x:c>
      <x:c r="W1678" t="str">
        <x:f>""</x:f>
        <x:v/>
      </x:c>
      <x:c r="X1678" t="str">
        <x:f>""</x:f>
        <x:v/>
      </x:c>
      <x:c r="Y1678" t="str">
        <x:f>""</x:f>
        <x:v/>
      </x:c>
      <x:c r="Z1678" t="str">
        <x:f>""</x:f>
        <x:v/>
      </x:c>
      <x:c r="AA1678" t="str">
        <x:f>""</x:f>
        <x:v/>
      </x:c>
      <x:c r="AB1678" t="str">
        <x:f>""</x:f>
        <x:v/>
      </x:c>
      <x:c r="AC1678" t="str">
        <x:f>""</x:f>
        <x:v/>
      </x:c>
      <x:c r="AD1678" t="str">
        <x:f>""</x:f>
        <x:v/>
      </x:c>
      <x:c r="AE1678" t="str">
        <x:f>""</x:f>
        <x:v/>
      </x:c>
      <x:c r="AF1678" t="str">
        <x:f>""</x:f>
        <x:v/>
      </x:c>
      <x:c r="AG1678" t="str">
        <x:f>""</x:f>
        <x:v/>
      </x:c>
    </x:row>
    <x:row r="1679" spans="2:33" x14ac:dyDescent="0.25">
      <x:c r="B1679" t="str">
        <x:f>"CTEX US Equity"</x:f>
        <x:v>CTEX US Equity</x:v>
      </x:c>
      <x:c r="C1679" t="str">
        <x:f t="shared" si="74"/>
        <x:v>FD447</x:v>
      </x:c>
      <x:c r="D1679" t="str">
        <x:f t="shared" si="75"/>
        <x:v>FUND_FLOW</x:v>
      </x:c>
      <x:c r="E1679" t="str">
        <x:f t="shared" si="76"/>
        <x:v>Dynamic</x:v>
      </x:c>
      <x:c r="F1679">
        <x:f ca="1">_xll.BDH($B$1679,$C$1679,$B$1010,$B$1011,CONCATENATE("Per=",$B$1008),"Dts=H","Dir=H",CONCATENATE("Points=",$B$1009),"Sort=R","Days=A","Fill=B",CONCATENATE("FX=", $B$1007),"cols=14;rows=1")</x:f>
        <x:v>0</x:v>
      </x:c>
      <x:c r="G1679">
        <x:v>0</x:v>
      </x:c>
      <x:c r="H1679">
        <x:v>0</x:v>
      </x:c>
      <x:c r="I1679">
        <x:v>0</x:v>
      </x:c>
      <x:c r="J1679">
        <x:v>0</x:v>
      </x:c>
      <x:c r="K1679">
        <x:v>0</x:v>
      </x:c>
      <x:c r="L1679">
        <x:v>0</x:v>
      </x:c>
      <x:c r="M1679">
        <x:v>-0.87139999999999995</x:v>
      </x:c>
      <x:c r="N1679">
        <x:v>0.90749999999999997</x:v>
      </x:c>
      <x:c r="O1679">
        <x:v>0.86219999999999997</x:v>
      </x:c>
      <x:c r="P1679">
        <x:v>0</x:v>
      </x:c>
      <x:c r="Q1679">
        <x:v>0</x:v>
      </x:c>
      <x:c r="R1679">
        <x:v>0</x:v>
      </x:c>
      <x:c r="S1679">
        <x:v>0</x:v>
      </x:c>
      <x:c r="T1679" t="str">
        <x:f>""</x:f>
        <x:v/>
      </x:c>
      <x:c r="U1679" t="str">
        <x:f>""</x:f>
        <x:v/>
      </x:c>
      <x:c r="V1679" t="str">
        <x:f>""</x:f>
        <x:v/>
      </x:c>
      <x:c r="W1679" t="str">
        <x:f>""</x:f>
        <x:v/>
      </x:c>
      <x:c r="X1679" t="str">
        <x:f>""</x:f>
        <x:v/>
      </x:c>
      <x:c r="Y1679" t="str">
        <x:f>""</x:f>
        <x:v/>
      </x:c>
      <x:c r="Z1679" t="str">
        <x:f>""</x:f>
        <x:v/>
      </x:c>
      <x:c r="AA1679" t="str">
        <x:f>""</x:f>
        <x:v/>
      </x:c>
      <x:c r="AB1679" t="str">
        <x:f>""</x:f>
        <x:v/>
      </x:c>
      <x:c r="AC1679" t="str">
        <x:f>""</x:f>
        <x:v/>
      </x:c>
      <x:c r="AD1679" t="str">
        <x:f>""</x:f>
        <x:v/>
      </x:c>
      <x:c r="AE1679" t="str">
        <x:f>""</x:f>
        <x:v/>
      </x:c>
      <x:c r="AF1679" t="str">
        <x:f>""</x:f>
        <x:v/>
      </x:c>
      <x:c r="AG1679" t="str">
        <x:f>""</x:f>
        <x:v/>
      </x:c>
    </x:row>
    <x:row r="1680" spans="2:33" x14ac:dyDescent="0.25">
      <x:c r="B1680" t="str">
        <x:f>"KLNE US Equity"</x:f>
        <x:v>KLNE US Equity</x:v>
      </x:c>
      <x:c r="C1680" t="str">
        <x:f t="shared" si="74"/>
        <x:v>FD447</x:v>
      </x:c>
      <x:c r="D1680" t="str">
        <x:f t="shared" si="75"/>
        <x:v>FUND_FLOW</x:v>
      </x:c>
      <x:c r="E1680" t="str">
        <x:f t="shared" si="76"/>
        <x:v>Dynamic</x:v>
      </x:c>
      <x:c r="F1680">
        <x:f ca="1">_xll.BDH($B$1680,$C$1680,$B$1010,$B$1011,CONCATENATE("Per=",$B$1008),"Dts=H","Dir=H",CONCATENATE("Points=",$B$1009),"Sort=R","Days=A","Fill=B",CONCATENATE("FX=", $B$1007),"cols=14;rows=1")</x:f>
        <x:v>0</x:v>
      </x:c>
      <x:c r="G1680">
        <x:v>0.45250000000000001</x:v>
      </x:c>
      <x:c r="H1680">
        <x:v>0.48199999999999998</x:v>
      </x:c>
      <x:c r="I1680">
        <x:v>0.61809999999999998</x:v>
      </x:c>
      <x:c r="J1680">
        <x:v>0</x:v>
      </x:c>
      <x:c r="K1680">
        <x:v>0</x:v>
      </x:c>
      <x:c r="L1680">
        <x:v>0</x:v>
      </x:c>
      <x:c r="M1680">
        <x:v>0</x:v>
      </x:c>
      <x:c r="N1680">
        <x:v>0</x:v>
      </x:c>
      <x:c r="O1680">
        <x:v>-0.76129999999999998</x:v>
      </x:c>
      <x:c r="P1680">
        <x:v>0.82750000000000001</x:v>
      </x:c>
      <x:c r="Q1680">
        <x:v>0</x:v>
      </x:c>
      <x:c r="R1680">
        <x:v>-1.4371</x:v>
      </x:c>
      <x:c r="S1680">
        <x:v>1.1136999999999999</x:v>
      </x:c>
      <x:c r="T1680" t="str">
        <x:f>""</x:f>
        <x:v/>
      </x:c>
      <x:c r="U1680" t="str">
        <x:f>""</x:f>
        <x:v/>
      </x:c>
      <x:c r="V1680" t="str">
        <x:f>""</x:f>
        <x:v/>
      </x:c>
      <x:c r="W1680" t="str">
        <x:f>""</x:f>
        <x:v/>
      </x:c>
      <x:c r="X1680" t="str">
        <x:f>""</x:f>
        <x:v/>
      </x:c>
      <x:c r="Y1680" t="str">
        <x:f>""</x:f>
        <x:v/>
      </x:c>
      <x:c r="Z1680" t="str">
        <x:f>""</x:f>
        <x:v/>
      </x:c>
      <x:c r="AA1680" t="str">
        <x:f>""</x:f>
        <x:v/>
      </x:c>
      <x:c r="AB1680" t="str">
        <x:f>""</x:f>
        <x:v/>
      </x:c>
      <x:c r="AC1680" t="str">
        <x:f>""</x:f>
        <x:v/>
      </x:c>
      <x:c r="AD1680" t="str">
        <x:f>""</x:f>
        <x:v/>
      </x:c>
      <x:c r="AE1680" t="str">
        <x:f>""</x:f>
        <x:v/>
      </x:c>
      <x:c r="AF1680" t="str">
        <x:f>""</x:f>
        <x:v/>
      </x:c>
      <x:c r="AG1680" t="str">
        <x:f>""</x:f>
        <x:v/>
      </x:c>
    </x:row>
    <x:row r="1681" spans="2:33" x14ac:dyDescent="0.25">
      <x:c r="B1681" t="str">
        <x:f>"CLMA US Equity"</x:f>
        <x:v>CLMA US Equity</x:v>
      </x:c>
      <x:c r="C1681" t="str">
        <x:f t="shared" si="74"/>
        <x:v>FD447</x:v>
      </x:c>
      <x:c r="D1681" t="str">
        <x:f t="shared" si="75"/>
        <x:v>FUND_FLOW</x:v>
      </x:c>
      <x:c r="E1681" t="str">
        <x:f t="shared" si="76"/>
        <x:v>Dynamic</x:v>
      </x:c>
      <x:c r="F1681" t="str">
        <x:f ca="1">_xll.BDH($B$1681,$C$1681,$B$1010,$B$1011,CONCATENATE("Per=",$B$1008),"Dts=H","Dir=H",CONCATENATE("Points=",$B$1009),"Sort=R","Days=A","Fill=B",CONCATENATE("FX=", $B$1007) )</x:f>
        <x:v/>
      </x:c>
      <x:c r="T1681" t="str">
        <x:f>""</x:f>
        <x:v/>
      </x:c>
      <x:c r="U1681" t="str">
        <x:f>""</x:f>
        <x:v/>
      </x:c>
      <x:c r="V1681" t="str">
        <x:f>""</x:f>
        <x:v/>
      </x:c>
      <x:c r="W1681" t="str">
        <x:f>""</x:f>
        <x:v/>
      </x:c>
      <x:c r="X1681" t="str">
        <x:f>""</x:f>
        <x:v/>
      </x:c>
      <x:c r="Y1681" t="str">
        <x:f>""</x:f>
        <x:v/>
      </x:c>
      <x:c r="Z1681" t="str">
        <x:f>""</x:f>
        <x:v/>
      </x:c>
      <x:c r="AA1681" t="str">
        <x:f>""</x:f>
        <x:v/>
      </x:c>
      <x:c r="AB1681" t="str">
        <x:f>""</x:f>
        <x:v/>
      </x:c>
      <x:c r="AC1681" t="str">
        <x:f>""</x:f>
        <x:v/>
      </x:c>
      <x:c r="AD1681" t="str">
        <x:f>""</x:f>
        <x:v/>
      </x:c>
      <x:c r="AE1681" t="str">
        <x:f>""</x:f>
        <x:v/>
      </x:c>
      <x:c r="AF1681" t="str">
        <x:f>""</x:f>
        <x:v/>
      </x:c>
      <x:c r="AG1681" t="str">
        <x:f>""</x:f>
        <x:v/>
      </x:c>
    </x:row>
    <x:row r="1682" spans="2:33" x14ac:dyDescent="0.25">
      <x:c r="B1682" t="str">
        <x:f>"SHFT US Equity"</x:f>
        <x:v>SHFT US Equity</x:v>
      </x:c>
      <x:c r="C1682" t="str">
        <x:f t="shared" si="74"/>
        <x:v>FD447</x:v>
      </x:c>
      <x:c r="D1682" t="str">
        <x:f t="shared" si="75"/>
        <x:v>FUND_FLOW</x:v>
      </x:c>
      <x:c r="E1682" t="str">
        <x:f t="shared" si="76"/>
        <x:v>Dynamic</x:v>
      </x:c>
      <x:c r="F1682">
        <x:f ca="1">_xll.BDH($B$1682,$C$1682,$B$1010,$B$1011,CONCATENATE("Per=",$B$1008),"Dts=H","Dir=H",CONCATENATE("Points=",$B$1009),"Sort=R","Days=A","Fill=B",CONCATENATE("FX=", $B$1007),"cols=14;rows=1")</x:f>
        <x:v>0</x:v>
      </x:c>
      <x:c r="G1682">
        <x:v>0</x:v>
      </x:c>
      <x:c r="H1682">
        <x:v>-0.13880000000000001</x:v>
      </x:c>
      <x:c r="I1682">
        <x:v>0</x:v>
      </x:c>
      <x:c r="J1682">
        <x:v>0</x:v>
      </x:c>
      <x:c r="K1682">
        <x:v>-0.36259999999999998</x:v>
      </x:c>
      <x:c r="L1682">
        <x:v>-0.36399999999999999</x:v>
      </x:c>
      <x:c r="M1682">
        <x:v>0</x:v>
      </x:c>
      <x:c r="N1682">
        <x:v>-4.7899999999999998E-2</x:v>
      </x:c>
      <x:c r="O1682">
        <x:v>0</x:v>
      </x:c>
      <x:c r="P1682">
        <x:v>0</x:v>
      </x:c>
      <x:c r="Q1682">
        <x:v>0</x:v>
      </x:c>
      <x:c r="R1682">
        <x:v>0</x:v>
      </x:c>
      <x:c r="S1682">
        <x:v>0.74309999999999998</x:v>
      </x:c>
      <x:c r="T1682" t="str">
        <x:f>""</x:f>
        <x:v/>
      </x:c>
      <x:c r="U1682" t="str">
        <x:f>""</x:f>
        <x:v/>
      </x:c>
      <x:c r="V1682" t="str">
        <x:f>""</x:f>
        <x:v/>
      </x:c>
      <x:c r="W1682" t="str">
        <x:f>""</x:f>
        <x:v/>
      </x:c>
      <x:c r="X1682" t="str">
        <x:f>""</x:f>
        <x:v/>
      </x:c>
      <x:c r="Y1682" t="str">
        <x:f>""</x:f>
        <x:v/>
      </x:c>
      <x:c r="Z1682" t="str">
        <x:f>""</x:f>
        <x:v/>
      </x:c>
      <x:c r="AA1682" t="str">
        <x:f>""</x:f>
        <x:v/>
      </x:c>
      <x:c r="AB1682" t="str">
        <x:f>""</x:f>
        <x:v/>
      </x:c>
      <x:c r="AC1682" t="str">
        <x:f>""</x:f>
        <x:v/>
      </x:c>
      <x:c r="AD1682" t="str">
        <x:f>""</x:f>
        <x:v/>
      </x:c>
      <x:c r="AE1682" t="str">
        <x:f>""</x:f>
        <x:v/>
      </x:c>
      <x:c r="AF1682" t="str">
        <x:f>""</x:f>
        <x:v/>
      </x:c>
      <x:c r="AG1682" t="str">
        <x:f>""</x:f>
        <x:v/>
      </x:c>
    </x:row>
    <x:row r="1683" spans="2:33" x14ac:dyDescent="0.25">
      <x:c r="B1683" t="str">
        <x:f>"VCLN US Equity"</x:f>
        <x:v>VCLN US Equity</x:v>
      </x:c>
      <x:c r="C1683" t="str">
        <x:f t="shared" si="74"/>
        <x:v>FD447</x:v>
      </x:c>
      <x:c r="D1683" t="str">
        <x:f t="shared" si="75"/>
        <x:v>FUND_FLOW</x:v>
      </x:c>
      <x:c r="E1683" t="str">
        <x:f t="shared" si="76"/>
        <x:v>Dynamic</x:v>
      </x:c>
      <x:c r="F1683">
        <x:f ca="1">_xll.BDH($B$1683,$C$1683,$B$1010,$B$1011,CONCATENATE("Per=",$B$1008),"Dts=H","Dir=H",CONCATENATE("Points=",$B$1009),"Sort=R","Days=A","Fill=B",CONCATENATE("FX=", $B$1007),"cols=14;rows=1")</x:f>
        <x:v>0</x:v>
      </x:c>
      <x:c r="G1683">
        <x:v>0</x:v>
      </x:c>
      <x:c r="H1683">
        <x:v>4.6466000000000003</x:v>
      </x:c>
      <x:c r="I1683">
        <x:v>0</x:v>
      </x:c>
      <x:c r="J1683">
        <x:v>0</x:v>
      </x:c>
      <x:c r="K1683">
        <x:v>0</x:v>
      </x:c>
      <x:c r="L1683">
        <x:v>0</x:v>
      </x:c>
      <x:c r="M1683">
        <x:v>0</x:v>
      </x:c>
      <x:c r="N1683">
        <x:v>0</x:v>
      </x:c>
      <x:c r="O1683">
        <x:v>0</x:v>
      </x:c>
      <x:c r="P1683">
        <x:v>0</x:v>
      </x:c>
      <x:c r="Q1683">
        <x:v>0</x:v>
      </x:c>
      <x:c r="R1683">
        <x:v>0</x:v>
      </x:c>
      <x:c r="S1683">
        <x:v>0</x:v>
      </x:c>
      <x:c r="T1683" t="str">
        <x:f>""</x:f>
        <x:v/>
      </x:c>
      <x:c r="U1683" t="str">
        <x:f>""</x:f>
        <x:v/>
      </x:c>
      <x:c r="V1683" t="str">
        <x:f>""</x:f>
        <x:v/>
      </x:c>
      <x:c r="W1683" t="str">
        <x:f>""</x:f>
        <x:v/>
      </x:c>
      <x:c r="X1683" t="str">
        <x:f>""</x:f>
        <x:v/>
      </x:c>
      <x:c r="Y1683" t="str">
        <x:f>""</x:f>
        <x:v/>
      </x:c>
      <x:c r="Z1683" t="str">
        <x:f>""</x:f>
        <x:v/>
      </x:c>
      <x:c r="AA1683" t="str">
        <x:f>""</x:f>
        <x:v/>
      </x:c>
      <x:c r="AB1683" t="str">
        <x:f>""</x:f>
        <x:v/>
      </x:c>
      <x:c r="AC1683" t="str">
        <x:f>""</x:f>
        <x:v/>
      </x:c>
      <x:c r="AD1683" t="str">
        <x:f>""</x:f>
        <x:v/>
      </x:c>
      <x:c r="AE1683" t="str">
        <x:f>""</x:f>
        <x:v/>
      </x:c>
      <x:c r="AF1683" t="str">
        <x:f>""</x:f>
        <x:v/>
      </x:c>
      <x:c r="AG1683" t="str">
        <x:f>""</x:f>
        <x:v/>
      </x:c>
    </x:row>
    <x:row r="1684" spans="2:33" x14ac:dyDescent="0.25">
      <x:c r="B1684" t="str">
        <x:f>"PABU US Equity"</x:f>
        <x:v>PABU US Equity</x:v>
      </x:c>
      <x:c r="C1684" t="str">
        <x:f t="shared" si="74"/>
        <x:v>FD447</x:v>
      </x:c>
      <x:c r="D1684" t="str">
        <x:f t="shared" si="75"/>
        <x:v>FUND_FLOW</x:v>
      </x:c>
      <x:c r="E1684" t="str">
        <x:f t="shared" si="76"/>
        <x:v>Dynamic</x:v>
      </x:c>
      <x:c r="F1684">
        <x:f ca="1">_xll.BDH($B$1684,$C$1684,$B$1010,$B$1011,CONCATENATE("Per=",$B$1008),"Dts=H","Dir=H",CONCATENATE("Points=",$B$1009),"Sort=R","Days=A","Fill=B",CONCATENATE("FX=", $B$1007),"cols=14;rows=1")</x:f>
        <x:v>0</x:v>
      </x:c>
      <x:c r="G1684">
        <x:v>-7.4085000000000001</x:v>
      </x:c>
      <x:c r="H1684">
        <x:v>-47.072699999999998</x:v>
      </x:c>
      <x:c r="I1684">
        <x:v>-24.4069</x:v>
      </x:c>
      <x:c r="J1684">
        <x:v>-2.4036</x:v>
      </x:c>
      <x:c r="K1684">
        <x:v>163.6808</x:v>
      </x:c>
      <x:c r="L1684">
        <x:v>290.58600000000001</x:v>
      </x:c>
      <x:c r="M1684">
        <x:v>0</x:v>
      </x:c>
      <x:c r="N1684">
        <x:v>25.998100000000001</x:v>
      </x:c>
      <x:c r="O1684">
        <x:v>0</x:v>
      </x:c>
      <x:c r="P1684">
        <x:v>2.129</x:v>
      </x:c>
      <x:c r="Q1684">
        <x:v>74.964100000000002</x:v>
      </x:c>
      <x:c r="R1684">
        <x:v>-2.0274999999999999</x:v>
      </x:c>
      <x:c r="S1684">
        <x:v>67.636600000000001</x:v>
      </x:c>
      <x:c r="T1684" t="str">
        <x:f>""</x:f>
        <x:v/>
      </x:c>
      <x:c r="U1684" t="str">
        <x:f>""</x:f>
        <x:v/>
      </x:c>
      <x:c r="V1684" t="str">
        <x:f>""</x:f>
        <x:v/>
      </x:c>
      <x:c r="W1684" t="str">
        <x:f>""</x:f>
        <x:v/>
      </x:c>
      <x:c r="X1684" t="str">
        <x:f>""</x:f>
        <x:v/>
      </x:c>
      <x:c r="Y1684" t="str">
        <x:f>""</x:f>
        <x:v/>
      </x:c>
      <x:c r="Z1684" t="str">
        <x:f>""</x:f>
        <x:v/>
      </x:c>
      <x:c r="AA1684" t="str">
        <x:f>""</x:f>
        <x:v/>
      </x:c>
      <x:c r="AB1684" t="str">
        <x:f>""</x:f>
        <x:v/>
      </x:c>
      <x:c r="AC1684" t="str">
        <x:f>""</x:f>
        <x:v/>
      </x:c>
      <x:c r="AD1684" t="str">
        <x:f>""</x:f>
        <x:v/>
      </x:c>
      <x:c r="AE1684" t="str">
        <x:f>""</x:f>
        <x:v/>
      </x:c>
      <x:c r="AF1684" t="str">
        <x:f>""</x:f>
        <x:v/>
      </x:c>
      <x:c r="AG1684" t="str">
        <x:f>""</x:f>
        <x:v/>
      </x:c>
    </x:row>
    <x:row r="1685" spans="2:33" x14ac:dyDescent="0.25">
      <x:c r="B1685" t="str">
        <x:f>"GCLN US Equity"</x:f>
        <x:v>GCLN US Equity</x:v>
      </x:c>
      <x:c r="C1685" t="str">
        <x:f t="shared" si="74"/>
        <x:v>FD447</x:v>
      </x:c>
      <x:c r="D1685" t="str">
        <x:f t="shared" si="75"/>
        <x:v>FUND_FLOW</x:v>
      </x:c>
      <x:c r="E1685" t="str">
        <x:f t="shared" si="76"/>
        <x:v>Dynamic</x:v>
      </x:c>
      <x:c r="F1685">
        <x:f ca="1">_xll.BDH($B$1685,$C$1685,$B$1010,$B$1011,CONCATENATE("Per=",$B$1008),"Dts=H","Dir=H",CONCATENATE("Points=",$B$1009),"Sort=R","Days=A","Fill=B",CONCATENATE("FX=", $B$1007),"cols=14;rows=1")</x:f>
        <x:v>0</x:v>
      </x:c>
      <x:c r="G1685">
        <x:v>0</x:v>
      </x:c>
      <x:c r="H1685">
        <x:v>0</x:v>
      </x:c>
      <x:c r="I1685">
        <x:v>0</x:v>
      </x:c>
      <x:c r="J1685">
        <x:v>0</x:v>
      </x:c>
      <x:c r="K1685">
        <x:v>0</x:v>
      </x:c>
      <x:c r="L1685">
        <x:v>0</x:v>
      </x:c>
      <x:c r="M1685">
        <x:v>0</x:v>
      </x:c>
      <x:c r="N1685">
        <x:v>0</x:v>
      </x:c>
      <x:c r="O1685">
        <x:v>1.8375999999999999</x:v>
      </x:c>
      <x:c r="P1685">
        <x:v>0</x:v>
      </x:c>
      <x:c r="Q1685">
        <x:v>0</x:v>
      </x:c>
      <x:c r="R1685">
        <x:v>0</x:v>
      </x:c>
      <x:c r="S1685">
        <x:v>0</x:v>
      </x:c>
      <x:c r="T1685" t="str">
        <x:f>""</x:f>
        <x:v/>
      </x:c>
      <x:c r="U1685" t="str">
        <x:f>""</x:f>
        <x:v/>
      </x:c>
      <x:c r="V1685" t="str">
        <x:f>""</x:f>
        <x:v/>
      </x:c>
      <x:c r="W1685" t="str">
        <x:f>""</x:f>
        <x:v/>
      </x:c>
      <x:c r="X1685" t="str">
        <x:f>""</x:f>
        <x:v/>
      </x:c>
      <x:c r="Y1685" t="str">
        <x:f>""</x:f>
        <x:v/>
      </x:c>
      <x:c r="Z1685" t="str">
        <x:f>""</x:f>
        <x:v/>
      </x:c>
      <x:c r="AA1685" t="str">
        <x:f>""</x:f>
        <x:v/>
      </x:c>
      <x:c r="AB1685" t="str">
        <x:f>""</x:f>
        <x:v/>
      </x:c>
      <x:c r="AC1685" t="str">
        <x:f>""</x:f>
        <x:v/>
      </x:c>
      <x:c r="AD1685" t="str">
        <x:f>""</x:f>
        <x:v/>
      </x:c>
      <x:c r="AE1685" t="str">
        <x:f>""</x:f>
        <x:v/>
      </x:c>
      <x:c r="AF1685" t="str">
        <x:f>""</x:f>
        <x:v/>
      </x:c>
      <x:c r="AG1685" t="str">
        <x:f>""</x:f>
        <x:v/>
      </x:c>
    </x:row>
    <x:row r="1686" spans="2:33" x14ac:dyDescent="0.25">
      <x:c r="B1686" t="str">
        <x:f>"NZRO US Equity"</x:f>
        <x:v>NZRO US Equity</x:v>
      </x:c>
      <x:c r="C1686" t="str">
        <x:f t="shared" si="74"/>
        <x:v>FD447</x:v>
      </x:c>
      <x:c r="D1686" t="str">
        <x:f t="shared" si="75"/>
        <x:v>FUND_FLOW</x:v>
      </x:c>
      <x:c r="E1686" t="str">
        <x:f t="shared" si="76"/>
        <x:v>Dynamic</x:v>
      </x:c>
      <x:c r="F1686">
        <x:f ca="1">_xll.BDH($B$1686,$C$1686,$B$1010,$B$1011,CONCATENATE("Per=",$B$1008),"Dts=H","Dir=H",CONCATENATE("Points=",$B$1009),"Sort=R","Days=A","Fill=B",CONCATENATE("FX=", $B$1007),"cols=14;rows=1")</x:f>
        <x:v>0</x:v>
      </x:c>
      <x:c r="G1686">
        <x:v>0</x:v>
      </x:c>
      <x:c r="H1686">
        <x:v>0</x:v>
      </x:c>
      <x:c r="I1686">
        <x:v>0</x:v>
      </x:c>
      <x:c r="J1686">
        <x:v>0</x:v>
      </x:c>
      <x:c r="K1686">
        <x:v>0</x:v>
      </x:c>
      <x:c r="L1686">
        <x:v>0</x:v>
      </x:c>
      <x:c r="M1686">
        <x:v>0</x:v>
      </x:c>
      <x:c r="N1686">
        <x:v>0</x:v>
      </x:c>
      <x:c r="O1686">
        <x:v>0</x:v>
      </x:c>
      <x:c r="P1686">
        <x:v>0</x:v>
      </x:c>
      <x:c r="Q1686">
        <x:v>0</x:v>
      </x:c>
      <x:c r="R1686">
        <x:v>0</x:v>
      </x:c>
      <x:c r="S1686">
        <x:v>0</x:v>
      </x:c>
      <x:c r="T1686" t="str">
        <x:f>""</x:f>
        <x:v/>
      </x:c>
      <x:c r="U1686" t="str">
        <x:f>""</x:f>
        <x:v/>
      </x:c>
      <x:c r="V1686" t="str">
        <x:f>""</x:f>
        <x:v/>
      </x:c>
      <x:c r="W1686" t="str">
        <x:f>""</x:f>
        <x:v/>
      </x:c>
      <x:c r="X1686" t="str">
        <x:f>""</x:f>
        <x:v/>
      </x:c>
      <x:c r="Y1686" t="str">
        <x:f>""</x:f>
        <x:v/>
      </x:c>
      <x:c r="Z1686" t="str">
        <x:f>""</x:f>
        <x:v/>
      </x:c>
      <x:c r="AA1686" t="str">
        <x:f>""</x:f>
        <x:v/>
      </x:c>
      <x:c r="AB1686" t="str">
        <x:f>""</x:f>
        <x:v/>
      </x:c>
      <x:c r="AC1686" t="str">
        <x:f>""</x:f>
        <x:v/>
      </x:c>
      <x:c r="AD1686" t="str">
        <x:f>""</x:f>
        <x:v/>
      </x:c>
      <x:c r="AE1686" t="str">
        <x:f>""</x:f>
        <x:v/>
      </x:c>
      <x:c r="AF1686" t="str">
        <x:f>""</x:f>
        <x:v/>
      </x:c>
      <x:c r="AG1686" t="str">
        <x:f>""</x:f>
        <x:v/>
      </x:c>
    </x:row>
    <x:row r="1687" spans="2:33" x14ac:dyDescent="0.25">
      <x:c r="B1687" t="str">
        <x:f>"NETZ US Equity"</x:f>
        <x:v>NETZ US Equity</x:v>
      </x:c>
      <x:c r="C1687" t="str">
        <x:f t="shared" si="74"/>
        <x:v>FD447</x:v>
      </x:c>
      <x:c r="D1687" t="str">
        <x:f t="shared" si="75"/>
        <x:v>FUND_FLOW</x:v>
      </x:c>
      <x:c r="E1687" t="str">
        <x:f t="shared" si="76"/>
        <x:v>Dynamic</x:v>
      </x:c>
      <x:c r="F1687">
        <x:f ca="1">_xll.BDH($B$1687,$C$1687,$B$1010,$B$1011,CONCATENATE("Per=",$B$1008),"Dts=H","Dir=H",CONCATENATE("Points=",$B$1009),"Sort=R","Days=A","Fill=B",CONCATENATE("FX=", $B$1007),"cols=14;rows=1")</x:f>
        <x:v>-11.002000000000001</x:v>
      </x:c>
      <x:c r="G1687">
        <x:v>4.1540999999999997</x:v>
      </x:c>
      <x:c r="H1687">
        <x:v>17.031199999999998</x:v>
      </x:c>
      <x:c r="I1687">
        <x:v>3.1189</x:v>
      </x:c>
      <x:c r="J1687">
        <x:v>-4.0152000000000001</x:v>
      </x:c>
      <x:c r="K1687">
        <x:v>0.99719999999999998</x:v>
      </x:c>
      <x:c r="L1687">
        <x:v>0</x:v>
      </x:c>
      <x:c r="M1687">
        <x:v>16.264600000000002</x:v>
      </x:c>
      <x:c r="N1687">
        <x:v>1.0059</x:v>
      </x:c>
      <x:c r="O1687">
        <x:v>0.99329999999999996</x:v>
      </x:c>
      <x:c r="P1687">
        <x:v>-1.7985</x:v>
      </x:c>
      <x:c r="Q1687">
        <x:v>-1.042</x:v>
      </x:c>
      <x:c r="R1687">
        <x:v>5.9790999999999999</x:v>
      </x:c>
      <x:c r="S1687">
        <x:v>0.94279999999999997</x:v>
      </x:c>
      <x:c r="T1687" t="str">
        <x:f>""</x:f>
        <x:v/>
      </x:c>
      <x:c r="U1687" t="str">
        <x:f>""</x:f>
        <x:v/>
      </x:c>
      <x:c r="V1687" t="str">
        <x:f>""</x:f>
        <x:v/>
      </x:c>
      <x:c r="W1687" t="str">
        <x:f>""</x:f>
        <x:v/>
      </x:c>
      <x:c r="X1687" t="str">
        <x:f>""</x:f>
        <x:v/>
      </x:c>
      <x:c r="Y1687" t="str">
        <x:f>""</x:f>
        <x:v/>
      </x:c>
      <x:c r="Z1687" t="str">
        <x:f>""</x:f>
        <x:v/>
      </x:c>
      <x:c r="AA1687" t="str">
        <x:f>""</x:f>
        <x:v/>
      </x:c>
      <x:c r="AB1687" t="str">
        <x:f>""</x:f>
        <x:v/>
      </x:c>
      <x:c r="AC1687" t="str">
        <x:f>""</x:f>
        <x:v/>
      </x:c>
      <x:c r="AD1687" t="str">
        <x:f>""</x:f>
        <x:v/>
      </x:c>
      <x:c r="AE1687" t="str">
        <x:f>""</x:f>
        <x:v/>
      </x:c>
      <x:c r="AF1687" t="str">
        <x:f>""</x:f>
        <x:v/>
      </x:c>
      <x:c r="AG1687" t="str">
        <x:f>""</x:f>
        <x:v/>
      </x:c>
    </x:row>
    <x:row r="1688" spans="2:33" x14ac:dyDescent="0.25">
      <x:c r="B1688" t="str">
        <x:f>"KGHG US Equity"</x:f>
        <x:v>KGHG US Equity</x:v>
      </x:c>
      <x:c r="C1688" t="str">
        <x:f t="shared" si="74"/>
        <x:v>FD447</x:v>
      </x:c>
      <x:c r="D1688" t="str">
        <x:f t="shared" si="75"/>
        <x:v>FUND_FLOW</x:v>
      </x:c>
      <x:c r="E1688" t="str">
        <x:f t="shared" si="76"/>
        <x:v>Dynamic</x:v>
      </x:c>
      <x:c r="F1688" t="str">
        <x:f ca="1">_xll.BDH($B$1688,$C$1688,$B$1010,$B$1011,CONCATENATE("Per=",$B$1008),"Dts=H","Dir=H",CONCATENATE("Points=",$B$1009),"Sort=R","Days=A","Fill=B",CONCATENATE("FX=", $B$1007),"cols=14;rows=1")</x:f>
        <x:v/>
      </x:c>
      <x:c r="K1688">
        <x:v>0</x:v>
      </x:c>
      <x:c r="L1688">
        <x:v>0</x:v>
      </x:c>
      <x:c r="M1688">
        <x:v>0</x:v>
      </x:c>
      <x:c r="N1688">
        <x:v>0</x:v>
      </x:c>
      <x:c r="O1688">
        <x:v>0</x:v>
      </x:c>
      <x:c r="P1688">
        <x:v>0</x:v>
      </x:c>
      <x:c r="Q1688">
        <x:v>0</x:v>
      </x:c>
      <x:c r="R1688">
        <x:v>0</x:v>
      </x:c>
      <x:c r="S1688">
        <x:v>0</x:v>
      </x:c>
      <x:c r="T1688" t="str">
        <x:f>""</x:f>
        <x:v/>
      </x:c>
      <x:c r="U1688" t="str">
        <x:f>""</x:f>
        <x:v/>
      </x:c>
      <x:c r="V1688" t="str">
        <x:f>""</x:f>
        <x:v/>
      </x:c>
      <x:c r="W1688" t="str">
        <x:f>""</x:f>
        <x:v/>
      </x:c>
      <x:c r="X1688" t="str">
        <x:f>""</x:f>
        <x:v/>
      </x:c>
      <x:c r="Y1688" t="str">
        <x:f>""</x:f>
        <x:v/>
      </x:c>
      <x:c r="Z1688" t="str">
        <x:f>""</x:f>
        <x:v/>
      </x:c>
      <x:c r="AA1688" t="str">
        <x:f>""</x:f>
        <x:v/>
      </x:c>
      <x:c r="AB1688" t="str">
        <x:f>""</x:f>
        <x:v/>
      </x:c>
      <x:c r="AC1688" t="str">
        <x:f>""</x:f>
        <x:v/>
      </x:c>
      <x:c r="AD1688" t="str">
        <x:f>""</x:f>
        <x:v/>
      </x:c>
      <x:c r="AE1688" t="str">
        <x:f>""</x:f>
        <x:v/>
      </x:c>
      <x:c r="AF1688" t="str">
        <x:f>""</x:f>
        <x:v/>
      </x:c>
      <x:c r="AG1688" t="str">
        <x:f>""</x:f>
        <x:v/>
      </x:c>
    </x:row>
    <x:row r="1689" spans="2:33" x14ac:dyDescent="0.25">
      <x:c r="B1689" t="str">
        <x:f>"NBCT US Equity"</x:f>
        <x:v>NBCT US Equity</x:v>
      </x:c>
      <x:c r="C1689" t="str">
        <x:f t="shared" si="74"/>
        <x:v>FD447</x:v>
      </x:c>
      <x:c r="D1689" t="str">
        <x:f t="shared" si="75"/>
        <x:v>FUND_FLOW</x:v>
      </x:c>
      <x:c r="E1689" t="str">
        <x:f t="shared" si="76"/>
        <x:v>Dynamic</x:v>
      </x:c>
      <x:c r="F1689">
        <x:f ca="1">_xll.BDH($B$1689,$C$1689,$B$1010,$B$1011,CONCATENATE("Per=",$B$1008),"Dts=H","Dir=H",CONCATENATE("Points=",$B$1009),"Sort=R","Days=A","Fill=B",CONCATENATE("FX=", $B$1007),"cols=14;rows=1")</x:f>
        <x:v>0</x:v>
      </x:c>
      <x:c r="G1689">
        <x:v>0.57779999999999998</x:v>
      </x:c>
      <x:c r="H1689">
        <x:v>0</x:v>
      </x:c>
      <x:c r="I1689">
        <x:v>0.6482</x:v>
      </x:c>
      <x:c r="J1689">
        <x:v>0</x:v>
      </x:c>
      <x:c r="K1689">
        <x:v>0</x:v>
      </x:c>
      <x:c r="L1689">
        <x:v>0</x:v>
      </x:c>
      <x:c r="M1689">
        <x:v>0.60580000000000001</x:v>
      </x:c>
      <x:c r="N1689">
        <x:v>13.658300000000001</x:v>
      </x:c>
      <x:c r="O1689">
        <x:v>5.5019</x:v>
      </x:c>
      <x:c r="P1689">
        <x:v>0</x:v>
      </x:c>
      <x:c r="Q1689">
        <x:v>0</x:v>
      </x:c>
      <x:c r="R1689">
        <x:v>0</x:v>
      </x:c>
      <x:c r="S1689">
        <x:v>0</x:v>
      </x:c>
      <x:c r="T1689" t="str">
        <x:f>""</x:f>
        <x:v/>
      </x:c>
      <x:c r="U1689" t="str">
        <x:f>""</x:f>
        <x:v/>
      </x:c>
      <x:c r="V1689" t="str">
        <x:f>""</x:f>
        <x:v/>
      </x:c>
      <x:c r="W1689" t="str">
        <x:f>""</x:f>
        <x:v/>
      </x:c>
      <x:c r="X1689" t="str">
        <x:f>""</x:f>
        <x:v/>
      </x:c>
      <x:c r="Y1689" t="str">
        <x:f>""</x:f>
        <x:v/>
      </x:c>
      <x:c r="Z1689" t="str">
        <x:f>""</x:f>
        <x:v/>
      </x:c>
      <x:c r="AA1689" t="str">
        <x:f>""</x:f>
        <x:v/>
      </x:c>
      <x:c r="AB1689" t="str">
        <x:f>""</x:f>
        <x:v/>
      </x:c>
      <x:c r="AC1689" t="str">
        <x:f>""</x:f>
        <x:v/>
      </x:c>
      <x:c r="AD1689" t="str">
        <x:f>""</x:f>
        <x:v/>
      </x:c>
      <x:c r="AE1689" t="str">
        <x:f>""</x:f>
        <x:v/>
      </x:c>
      <x:c r="AF1689" t="str">
        <x:f>""</x:f>
        <x:v/>
      </x:c>
      <x:c r="AG1689" t="str">
        <x:f>""</x:f>
        <x:v/>
      </x:c>
    </x:row>
    <x:row r="1690" spans="2:33" x14ac:dyDescent="0.25">
      <x:c r="B1690" t="str">
        <x:f>"BECO US Equity"</x:f>
        <x:v>BECO US Equity</x:v>
      </x:c>
      <x:c r="C1690" t="str">
        <x:f t="shared" si="74"/>
        <x:v>FD447</x:v>
      </x:c>
      <x:c r="D1690" t="str">
        <x:f t="shared" si="75"/>
        <x:v>FUND_FLOW</x:v>
      </x:c>
      <x:c r="E1690" t="str">
        <x:f t="shared" si="76"/>
        <x:v>Dynamic</x:v>
      </x:c>
      <x:c r="F1690">
        <x:f ca="1">_xll.BDH($B$1690,$C$1690,$B$1010,$B$1011,CONCATENATE("Per=",$B$1008),"Dts=H","Dir=H",CONCATENATE("Points=",$B$1009),"Sort=R","Days=A","Fill=B",CONCATENATE("FX=", $B$1007),"cols=14;rows=1")</x:f>
        <x:v>0</x:v>
      </x:c>
      <x:c r="G1690">
        <x:v>0</x:v>
      </x:c>
      <x:c r="H1690">
        <x:v>0</x:v>
      </x:c>
      <x:c r="I1690">
        <x:v>0</x:v>
      </x:c>
      <x:c r="J1690">
        <x:v>0</x:v>
      </x:c>
      <x:c r="K1690">
        <x:v>0</x:v>
      </x:c>
      <x:c r="L1690">
        <x:v>0</x:v>
      </x:c>
      <x:c r="M1690">
        <x:v>0</x:v>
      </x:c>
      <x:c r="N1690">
        <x:v>0</x:v>
      </x:c>
      <x:c r="O1690">
        <x:v>0</x:v>
      </x:c>
      <x:c r="P1690">
        <x:v>0</x:v>
      </x:c>
      <x:c r="Q1690">
        <x:v>0</x:v>
      </x:c>
      <x:c r="R1690">
        <x:v>0</x:v>
      </x:c>
      <x:c r="S1690">
        <x:v>0</x:v>
      </x:c>
      <x:c r="T1690" t="str">
        <x:f>""</x:f>
        <x:v/>
      </x:c>
      <x:c r="U1690" t="str">
        <x:f>""</x:f>
        <x:v/>
      </x:c>
      <x:c r="V1690" t="str">
        <x:f>""</x:f>
        <x:v/>
      </x:c>
      <x:c r="W1690" t="str">
        <x:f>""</x:f>
        <x:v/>
      </x:c>
      <x:c r="X1690" t="str">
        <x:f>""</x:f>
        <x:v/>
      </x:c>
      <x:c r="Y1690" t="str">
        <x:f>""</x:f>
        <x:v/>
      </x:c>
      <x:c r="Z1690" t="str">
        <x:f>""</x:f>
        <x:v/>
      </x:c>
      <x:c r="AA1690" t="str">
        <x:f>""</x:f>
        <x:v/>
      </x:c>
      <x:c r="AB1690" t="str">
        <x:f>""</x:f>
        <x:v/>
      </x:c>
      <x:c r="AC1690" t="str">
        <x:f>""</x:f>
        <x:v/>
      </x:c>
      <x:c r="AD1690" t="str">
        <x:f>""</x:f>
        <x:v/>
      </x:c>
      <x:c r="AE1690" t="str">
        <x:f>""</x:f>
        <x:v/>
      </x:c>
      <x:c r="AF1690" t="str">
        <x:f>""</x:f>
        <x:v/>
      </x:c>
      <x:c r="AG1690" t="str">
        <x:f>""</x:f>
        <x:v/>
      </x:c>
    </x:row>
    <x:row r="1691" spans="2:33" x14ac:dyDescent="0.25">
      <x:c r="B1691" t="str">
        <x:f>"ETEC US Equity"</x:f>
        <x:v>ETEC US Equity</x:v>
      </x:c>
      <x:c r="C1691" t="str">
        <x:f t="shared" si="74"/>
        <x:v>FD447</x:v>
      </x:c>
      <x:c r="D1691" t="str">
        <x:f t="shared" si="75"/>
        <x:v>FUND_FLOW</x:v>
      </x:c>
      <x:c r="E1691" t="str">
        <x:f t="shared" si="76"/>
        <x:v>Dynamic</x:v>
      </x:c>
      <x:c r="F1691">
        <x:f ca="1">_xll.BDH($B$1691,$C$1691,$B$1010,$B$1011,CONCATENATE("Per=",$B$1008),"Dts=H","Dir=H",CONCATENATE("Points=",$B$1009),"Sort=R","Days=A","Fill=B",CONCATENATE("FX=", $B$1007),"cols=14;rows=1")</x:f>
        <x:v>0</x:v>
      </x:c>
      <x:c r="G1691">
        <x:v>0</x:v>
      </x:c>
      <x:c r="H1691">
        <x:v>0</x:v>
      </x:c>
      <x:c r="I1691">
        <x:v>0</x:v>
      </x:c>
      <x:c r="J1691">
        <x:v>0</x:v>
      </x:c>
      <x:c r="K1691">
        <x:v>0</x:v>
      </x:c>
      <x:c r="L1691">
        <x:v>0</x:v>
      </x:c>
      <x:c r="M1691">
        <x:v>0</x:v>
      </x:c>
      <x:c r="T1691" t="str">
        <x:f>""</x:f>
        <x:v/>
      </x:c>
      <x:c r="U1691" t="str">
        <x:f>""</x:f>
        <x:v/>
      </x:c>
      <x:c r="V1691" t="str">
        <x:f>""</x:f>
        <x:v/>
      </x:c>
      <x:c r="W1691" t="str">
        <x:f>""</x:f>
        <x:v/>
      </x:c>
      <x:c r="X1691" t="str">
        <x:f>""</x:f>
        <x:v/>
      </x:c>
      <x:c r="Y1691" t="str">
        <x:f>""</x:f>
        <x:v/>
      </x:c>
      <x:c r="Z1691" t="str">
        <x:f>""</x:f>
        <x:v/>
      </x:c>
      <x:c r="AA1691" t="str">
        <x:f>""</x:f>
        <x:v/>
      </x:c>
      <x:c r="AB1691" t="str">
        <x:f>""</x:f>
        <x:v/>
      </x:c>
      <x:c r="AC1691" t="str">
        <x:f>""</x:f>
        <x:v/>
      </x:c>
      <x:c r="AD1691" t="str">
        <x:f>""</x:f>
        <x:v/>
      </x:c>
      <x:c r="AE1691" t="str">
        <x:f>""</x:f>
        <x:v/>
      </x:c>
      <x:c r="AF1691" t="str">
        <x:f>""</x:f>
        <x:v/>
      </x:c>
      <x:c r="AG1691" t="str">
        <x:f>""</x:f>
        <x:v/>
      </x:c>
    </x:row>
    <x:row r="1692" spans="2:33" x14ac:dyDescent="0.25">
      <x:c r="B1692" t="str">
        <x:f>"CLOU US Equity"</x:f>
        <x:v>CLOU US Equity</x:v>
      </x:c>
      <x:c r="C1692" t="str">
        <x:f t="shared" si="74"/>
        <x:v>FD447</x:v>
      </x:c>
      <x:c r="D1692" t="str">
        <x:f t="shared" si="75"/>
        <x:v>FUND_FLOW</x:v>
      </x:c>
      <x:c r="E1692" t="str">
        <x:f t="shared" si="76"/>
        <x:v>Dynamic</x:v>
      </x:c>
      <x:c r="F1692">
        <x:f ca="1">_xll.BDH($B$1692,$C$1692,$B$1010,$B$1011,CONCATENATE("Per=",$B$1008),"Dts=H","Dir=H",CONCATENATE("Points=",$B$1009),"Sort=R","Days=A","Fill=B",CONCATENATE("FX=", $B$1007),"cols=14;rows=1")</x:f>
        <x:v>0</x:v>
      </x:c>
      <x:c r="G1692">
        <x:v>-9.5777999999999999</x:v>
      </x:c>
      <x:c r="H1692">
        <x:v>-24.8306</x:v>
      </x:c>
      <x:c r="I1692">
        <x:v>-9.5847999999999995</x:v>
      </x:c>
      <x:c r="J1692">
        <x:v>3.2625000000000002</x:v>
      </x:c>
      <x:c r="K1692">
        <x:v>-13.4734</x:v>
      </x:c>
      <x:c r="L1692">
        <x:v>-13.589499999999999</x:v>
      </x:c>
      <x:c r="M1692">
        <x:v>-18.000699999999998</x:v>
      </x:c>
      <x:c r="N1692">
        <x:v>-2.7303999999999999</x:v>
      </x:c>
      <x:c r="O1692">
        <x:v>-6.2176</x:v>
      </x:c>
      <x:c r="P1692">
        <x:v>-30.826599999999999</x:v>
      </x:c>
      <x:c r="Q1692">
        <x:v>-10.7446</x:v>
      </x:c>
      <x:c r="R1692">
        <x:v>-17.3782</x:v>
      </x:c>
      <x:c r="S1692">
        <x:v>-16.773800000000001</x:v>
      </x:c>
      <x:c r="T1692" t="str">
        <x:f>""</x:f>
        <x:v/>
      </x:c>
      <x:c r="U1692" t="str">
        <x:f>""</x:f>
        <x:v/>
      </x:c>
      <x:c r="V1692" t="str">
        <x:f>""</x:f>
        <x:v/>
      </x:c>
      <x:c r="W1692" t="str">
        <x:f>""</x:f>
        <x:v/>
      </x:c>
      <x:c r="X1692" t="str">
        <x:f>""</x:f>
        <x:v/>
      </x:c>
      <x:c r="Y1692" t="str">
        <x:f>""</x:f>
        <x:v/>
      </x:c>
      <x:c r="Z1692" t="str">
        <x:f>""</x:f>
        <x:v/>
      </x:c>
      <x:c r="AA1692" t="str">
        <x:f>""</x:f>
        <x:v/>
      </x:c>
      <x:c r="AB1692" t="str">
        <x:f>""</x:f>
        <x:v/>
      </x:c>
      <x:c r="AC1692" t="str">
        <x:f>""</x:f>
        <x:v/>
      </x:c>
      <x:c r="AD1692" t="str">
        <x:f>""</x:f>
        <x:v/>
      </x:c>
      <x:c r="AE1692" t="str">
        <x:f>""</x:f>
        <x:v/>
      </x:c>
      <x:c r="AF1692" t="str">
        <x:f>""</x:f>
        <x:v/>
      </x:c>
      <x:c r="AG1692" t="str">
        <x:f>""</x:f>
        <x:v/>
      </x:c>
    </x:row>
    <x:row r="1693" spans="2:33" x14ac:dyDescent="0.25">
      <x:c r="B1693" t="str">
        <x:f>"SKYY US Equity"</x:f>
        <x:v>SKYY US Equity</x:v>
      </x:c>
      <x:c r="C1693" t="str">
        <x:f t="shared" si="74"/>
        <x:v>FD447</x:v>
      </x:c>
      <x:c r="D1693" t="str">
        <x:f t="shared" si="75"/>
        <x:v>FUND_FLOW</x:v>
      </x:c>
      <x:c r="E1693" t="str">
        <x:f t="shared" si="76"/>
        <x:v>Dynamic</x:v>
      </x:c>
      <x:c r="F1693">
        <x:f ca="1">_xll.BDH($B$1693,$C$1693,$B$1010,$B$1011,CONCATENATE("Per=",$B$1008),"Dts=H","Dir=H",CONCATENATE("Points=",$B$1009),"Sort=R","Days=A","Fill=B",CONCATENATE("FX=", $B$1007),"cols=14;rows=1")</x:f>
        <x:v>-78.744399999999999</x:v>
      </x:c>
      <x:c r="G1693">
        <x:v>-34.2669</x:v>
      </x:c>
      <x:c r="H1693">
        <x:v>-19.4269</x:v>
      </x:c>
      <x:c r="I1693">
        <x:v>-191.10849999999999</x:v>
      </x:c>
      <x:c r="J1693">
        <x:v>-4.0419999999999998</x:v>
      </x:c>
      <x:c r="K1693">
        <x:v>-19.024999999999999</x:v>
      </x:c>
      <x:c r="L1693">
        <x:v>-191.48050000000001</x:v>
      </x:c>
      <x:c r="M1693">
        <x:v>-31.666</x:v>
      </x:c>
      <x:c r="N1693">
        <x:v>-58.720999999999997</x:v>
      </x:c>
      <x:c r="O1693">
        <x:v>-138.58600000000001</x:v>
      </x:c>
      <x:c r="P1693">
        <x:v>-107.5121</x:v>
      </x:c>
      <x:c r="Q1693">
        <x:v>-80.6404</x:v>
      </x:c>
      <x:c r="R1693">
        <x:v>-54.591799999999999</x:v>
      </x:c>
      <x:c r="S1693">
        <x:v>-11.6836</x:v>
      </x:c>
      <x:c r="T1693" t="str">
        <x:f>""</x:f>
        <x:v/>
      </x:c>
      <x:c r="U1693" t="str">
        <x:f>""</x:f>
        <x:v/>
      </x:c>
      <x:c r="V1693" t="str">
        <x:f>""</x:f>
        <x:v/>
      </x:c>
      <x:c r="W1693" t="str">
        <x:f>""</x:f>
        <x:v/>
      </x:c>
      <x:c r="X1693" t="str">
        <x:f>""</x:f>
        <x:v/>
      </x:c>
      <x:c r="Y1693" t="str">
        <x:f>""</x:f>
        <x:v/>
      </x:c>
      <x:c r="Z1693" t="str">
        <x:f>""</x:f>
        <x:v/>
      </x:c>
      <x:c r="AA1693" t="str">
        <x:f>""</x:f>
        <x:v/>
      </x:c>
      <x:c r="AB1693" t="str">
        <x:f>""</x:f>
        <x:v/>
      </x:c>
      <x:c r="AC1693" t="str">
        <x:f>""</x:f>
        <x:v/>
      </x:c>
      <x:c r="AD1693" t="str">
        <x:f>""</x:f>
        <x:v/>
      </x:c>
      <x:c r="AE1693" t="str">
        <x:f>""</x:f>
        <x:v/>
      </x:c>
      <x:c r="AF1693" t="str">
        <x:f>""</x:f>
        <x:v/>
      </x:c>
      <x:c r="AG1693" t="str">
        <x:f>""</x:f>
        <x:v/>
      </x:c>
    </x:row>
    <x:row r="1694" spans="2:33" x14ac:dyDescent="0.25">
      <x:c r="B1694" t="str">
        <x:f>"TCLD US Equity"</x:f>
        <x:v>TCLD US Equity</x:v>
      </x:c>
      <x:c r="C1694" t="str">
        <x:f t="shared" si="74"/>
        <x:v>FD447</x:v>
      </x:c>
      <x:c r="D1694" t="str">
        <x:f t="shared" si="75"/>
        <x:v>FUND_FLOW</x:v>
      </x:c>
      <x:c r="E1694" t="str">
        <x:f t="shared" si="76"/>
        <x:v>Dynamic</x:v>
      </x:c>
      <x:c r="F1694" t="str">
        <x:f ca="1">_xll.BDH($B$1694,$C$1694,$B$1010,$B$1011,CONCATENATE("Per=",$B$1008),"Dts=H","Dir=H",CONCATENATE("Points=",$B$1009),"Sort=R","Days=A","Fill=B",CONCATENATE("FX=", $B$1007) )</x:f>
        <x:v/>
      </x:c>
      <x:c r="T1694" t="str">
        <x:f>""</x:f>
        <x:v/>
      </x:c>
      <x:c r="U1694" t="str">
        <x:f>""</x:f>
        <x:v/>
      </x:c>
      <x:c r="V1694" t="str">
        <x:f>""</x:f>
        <x:v/>
      </x:c>
      <x:c r="W1694" t="str">
        <x:f>""</x:f>
        <x:v/>
      </x:c>
      <x:c r="X1694" t="str">
        <x:f>""</x:f>
        <x:v/>
      </x:c>
      <x:c r="Y1694" t="str">
        <x:f>""</x:f>
        <x:v/>
      </x:c>
      <x:c r="Z1694" t="str">
        <x:f>""</x:f>
        <x:v/>
      </x:c>
      <x:c r="AA1694" t="str">
        <x:f>""</x:f>
        <x:v/>
      </x:c>
      <x:c r="AB1694" t="str">
        <x:f>""</x:f>
        <x:v/>
      </x:c>
      <x:c r="AC1694" t="str">
        <x:f>""</x:f>
        <x:v/>
      </x:c>
      <x:c r="AD1694" t="str">
        <x:f>""</x:f>
        <x:v/>
      </x:c>
      <x:c r="AE1694" t="str">
        <x:f>""</x:f>
        <x:v/>
      </x:c>
      <x:c r="AF1694" t="str">
        <x:f>""</x:f>
        <x:v/>
      </x:c>
      <x:c r="AG1694" t="str">
        <x:f>""</x:f>
        <x:v/>
      </x:c>
    </x:row>
    <x:row r="1695" spans="2:33" x14ac:dyDescent="0.25">
      <x:c r="B1695" t="str">
        <x:f>"WCLD US Equity"</x:f>
        <x:v>WCLD US Equity</x:v>
      </x:c>
      <x:c r="C1695" t="str">
        <x:f t="shared" si="74"/>
        <x:v>FD447</x:v>
      </x:c>
      <x:c r="D1695" t="str">
        <x:f t="shared" si="75"/>
        <x:v>FUND_FLOW</x:v>
      </x:c>
      <x:c r="E1695" t="str">
        <x:f t="shared" si="76"/>
        <x:v>Dynamic</x:v>
      </x:c>
      <x:c r="F1695">
        <x:f ca="1">_xll.BDH($B$1695,$C$1695,$B$1010,$B$1011,CONCATENATE("Per=",$B$1008),"Dts=H","Dir=H",CONCATENATE("Points=",$B$1009),"Sort=R","Days=A","Fill=B",CONCATENATE("FX=", $B$1007),"cols=14;rows=1")</x:f>
        <x:v>14.5185</x:v>
      </x:c>
      <x:c r="G1695">
        <x:v>-32.990299999999998</x:v>
      </x:c>
      <x:c r="H1695">
        <x:v>-6.5378999999999996</x:v>
      </x:c>
      <x:c r="I1695">
        <x:v>11.757</x:v>
      </x:c>
      <x:c r="J1695">
        <x:v>-9.6065000000000005</x:v>
      </x:c>
      <x:c r="K1695">
        <x:v>-6.3766999999999996</x:v>
      </x:c>
      <x:c r="L1695">
        <x:v>-1.2710999999999999</x:v>
      </x:c>
      <x:c r="M1695">
        <x:v>-12.3553</x:v>
      </x:c>
      <x:c r="N1695">
        <x:v>-8.7832000000000008</x:v>
      </x:c>
      <x:c r="O1695">
        <x:v>2.9525999999999999</x:v>
      </x:c>
      <x:c r="P1695">
        <x:v>-14.748900000000001</x:v>
      </x:c>
      <x:c r="Q1695">
        <x:v>18.591899999999999</x:v>
      </x:c>
      <x:c r="R1695">
        <x:v>-15.766</x:v>
      </x:c>
      <x:c r="S1695">
        <x:v>-1.8872</x:v>
      </x:c>
      <x:c r="T1695" t="str">
        <x:f>""</x:f>
        <x:v/>
      </x:c>
      <x:c r="U1695" t="str">
        <x:f>""</x:f>
        <x:v/>
      </x:c>
      <x:c r="V1695" t="str">
        <x:f>""</x:f>
        <x:v/>
      </x:c>
      <x:c r="W1695" t="str">
        <x:f>""</x:f>
        <x:v/>
      </x:c>
      <x:c r="X1695" t="str">
        <x:f>""</x:f>
        <x:v/>
      </x:c>
      <x:c r="Y1695" t="str">
        <x:f>""</x:f>
        <x:v/>
      </x:c>
      <x:c r="Z1695" t="str">
        <x:f>""</x:f>
        <x:v/>
      </x:c>
      <x:c r="AA1695" t="str">
        <x:f>""</x:f>
        <x:v/>
      </x:c>
      <x:c r="AB1695" t="str">
        <x:f>""</x:f>
        <x:v/>
      </x:c>
      <x:c r="AC1695" t="str">
        <x:f>""</x:f>
        <x:v/>
      </x:c>
      <x:c r="AD1695" t="str">
        <x:f>""</x:f>
        <x:v/>
      </x:c>
      <x:c r="AE1695" t="str">
        <x:f>""</x:f>
        <x:v/>
      </x:c>
      <x:c r="AF1695" t="str">
        <x:f>""</x:f>
        <x:v/>
      </x:c>
      <x:c r="AG1695" t="str">
        <x:f>""</x:f>
        <x:v/>
      </x:c>
    </x:row>
    <x:row r="1696" spans="2:33" x14ac:dyDescent="0.25">
      <x:c r="B1696" t="str">
        <x:f>"VCLO US Equity"</x:f>
        <x:v>VCLO US Equity</x:v>
      </x:c>
      <x:c r="C1696" t="str">
        <x:f t="shared" si="74"/>
        <x:v>FD447</x:v>
      </x:c>
      <x:c r="D1696" t="str">
        <x:f t="shared" si="75"/>
        <x:v>FUND_FLOW</x:v>
      </x:c>
      <x:c r="E1696" t="str">
        <x:f t="shared" si="76"/>
        <x:v>Dynamic</x:v>
      </x:c>
      <x:c r="F1696" t="str">
        <x:f ca="1">_xll.BDH($B$1696,$C$1696,$B$1010,$B$1011,CONCATENATE("Per=",$B$1008),"Dts=H","Dir=H",CONCATENATE("Points=",$B$1009),"Sort=R","Days=A","Fill=B",CONCATENATE("FX=", $B$1007),"cols=14;rows=1")</x:f>
        <x:v/>
      </x:c>
      <x:c r="L1696">
        <x:v>0</x:v>
      </x:c>
      <x:c r="M1696">
        <x:v>-0.11849999999999999</x:v>
      </x:c>
      <x:c r="N1696">
        <x:v>0</x:v>
      </x:c>
      <x:c r="O1696">
        <x:v>-0.1192</x:v>
      </x:c>
      <x:c r="P1696">
        <x:v>0</x:v>
      </x:c>
      <x:c r="Q1696">
        <x:v>0</x:v>
      </x:c>
      <x:c r="R1696">
        <x:v>-0.1769</x:v>
      </x:c>
      <x:c r="S1696">
        <x:v>0</x:v>
      </x:c>
      <x:c r="T1696" t="str">
        <x:f>""</x:f>
        <x:v/>
      </x:c>
      <x:c r="U1696" t="str">
        <x:f>""</x:f>
        <x:v/>
      </x:c>
      <x:c r="V1696" t="str">
        <x:f>""</x:f>
        <x:v/>
      </x:c>
      <x:c r="W1696" t="str">
        <x:f>""</x:f>
        <x:v/>
      </x:c>
      <x:c r="X1696" t="str">
        <x:f>""</x:f>
        <x:v/>
      </x:c>
      <x:c r="Y1696" t="str">
        <x:f>""</x:f>
        <x:v/>
      </x:c>
      <x:c r="Z1696" t="str">
        <x:f>""</x:f>
        <x:v/>
      </x:c>
      <x:c r="AA1696" t="str">
        <x:f>""</x:f>
        <x:v/>
      </x:c>
      <x:c r="AB1696" t="str">
        <x:f>""</x:f>
        <x:v/>
      </x:c>
      <x:c r="AC1696" t="str">
        <x:f>""</x:f>
        <x:v/>
      </x:c>
      <x:c r="AD1696" t="str">
        <x:f>""</x:f>
        <x:v/>
      </x:c>
      <x:c r="AE1696" t="str">
        <x:f>""</x:f>
        <x:v/>
      </x:c>
      <x:c r="AF1696" t="str">
        <x:f>""</x:f>
        <x:v/>
      </x:c>
      <x:c r="AG1696" t="str">
        <x:f>""</x:f>
        <x:v/>
      </x:c>
    </x:row>
    <x:row r="1697" spans="2:33" x14ac:dyDescent="0.25">
      <x:c r="B1697" t="str">
        <x:f>"CLDL US Equity"</x:f>
        <x:v>CLDL US Equity</x:v>
      </x:c>
      <x:c r="C1697" t="str">
        <x:f t="shared" si="74"/>
        <x:v>FD447</x:v>
      </x:c>
      <x:c r="D1697" t="str">
        <x:f t="shared" si="75"/>
        <x:v>FUND_FLOW</x:v>
      </x:c>
      <x:c r="E1697" t="str">
        <x:f t="shared" si="76"/>
        <x:v>Dynamic</x:v>
      </x:c>
      <x:c r="F1697">
        <x:f ca="1">_xll.BDH($B$1697,$C$1697,$B$1010,$B$1011,CONCATENATE("Per=",$B$1008),"Dts=H","Dir=H",CONCATENATE("Points=",$B$1009),"Sort=R","Days=A","Fill=B",CONCATENATE("FX=", $B$1007),"cols=14;rows=1")</x:f>
        <x:v>-0.18179999999999999</x:v>
      </x:c>
      <x:c r="G1697">
        <x:v>-0.20269999999999999</x:v>
      </x:c>
      <x:c r="H1697">
        <x:v>-0.3982</x:v>
      </x:c>
      <x:c r="I1697">
        <x:v>0.71340000000000003</x:v>
      </x:c>
      <x:c r="J1697">
        <x:v>-0.5948</x:v>
      </x:c>
      <x:c r="K1697">
        <x:v>0</x:v>
      </x:c>
      <x:c r="L1697">
        <x:v>-0.34200000000000003</x:v>
      </x:c>
      <x:c r="M1697">
        <x:v>0</x:v>
      </x:c>
      <x:c r="N1697">
        <x:v>-0.36120000000000002</x:v>
      </x:c>
      <x:c r="O1697">
        <x:v>-0.67010000000000003</x:v>
      </x:c>
      <x:c r="P1697">
        <x:v>0.79010000000000002</x:v>
      </x:c>
      <x:c r="Q1697">
        <x:v>-0.40920000000000001</x:v>
      </x:c>
      <x:c r="R1697">
        <x:v>0.30769999999999997</x:v>
      </x:c>
      <x:c r="S1697">
        <x:v>0</x:v>
      </x:c>
      <x:c r="T1697" t="str">
        <x:f>""</x:f>
        <x:v/>
      </x:c>
      <x:c r="U1697" t="str">
        <x:f>""</x:f>
        <x:v/>
      </x:c>
      <x:c r="V1697" t="str">
        <x:f>""</x:f>
        <x:v/>
      </x:c>
      <x:c r="W1697" t="str">
        <x:f>""</x:f>
        <x:v/>
      </x:c>
      <x:c r="X1697" t="str">
        <x:f>""</x:f>
        <x:v/>
      </x:c>
      <x:c r="Y1697" t="str">
        <x:f>""</x:f>
        <x:v/>
      </x:c>
      <x:c r="Z1697" t="str">
        <x:f>""</x:f>
        <x:v/>
      </x:c>
      <x:c r="AA1697" t="str">
        <x:f>""</x:f>
        <x:v/>
      </x:c>
      <x:c r="AB1697" t="str">
        <x:f>""</x:f>
        <x:v/>
      </x:c>
      <x:c r="AC1697" t="str">
        <x:f>""</x:f>
        <x:v/>
      </x:c>
      <x:c r="AD1697" t="str">
        <x:f>""</x:f>
        <x:v/>
      </x:c>
      <x:c r="AE1697" t="str">
        <x:f>""</x:f>
        <x:v/>
      </x:c>
      <x:c r="AF1697" t="str">
        <x:f>""</x:f>
        <x:v/>
      </x:c>
      <x:c r="AG1697" t="str">
        <x:f>""</x:f>
        <x:v/>
      </x:c>
    </x:row>
    <x:row r="1698" spans="2:33" x14ac:dyDescent="0.25">
      <x:c r="B1698" t="str">
        <x:f>"CLDS US Equity"</x:f>
        <x:v>CLDS US Equity</x:v>
      </x:c>
      <x:c r="C1698" t="str">
        <x:f t="shared" si="74"/>
        <x:v>FD447</x:v>
      </x:c>
      <x:c r="D1698" t="str">
        <x:f t="shared" si="75"/>
        <x:v>FUND_FLOW</x:v>
      </x:c>
      <x:c r="E1698" t="str">
        <x:f t="shared" si="76"/>
        <x:v>Dynamic</x:v>
      </x:c>
      <x:c r="F1698" t="str">
        <x:f ca="1">_xll.BDH($B$1698,$C$1698,$B$1010,$B$1011,CONCATENATE("Per=",$B$1008),"Dts=H","Dir=H",CONCATENATE("Points=",$B$1009),"Sort=R","Days=A","Fill=B",CONCATENATE("FX=", $B$1007),"cols=14;rows=1")</x:f>
        <x:v/>
      </x:c>
      <x:c r="S1698">
        <x:v>-11.739100000000001</x:v>
      </x:c>
      <x:c r="T1698" t="str">
        <x:f>""</x:f>
        <x:v/>
      </x:c>
      <x:c r="U1698" t="str">
        <x:f>""</x:f>
        <x:v/>
      </x:c>
      <x:c r="V1698" t="str">
        <x:f>""</x:f>
        <x:v/>
      </x:c>
      <x:c r="W1698" t="str">
        <x:f>""</x:f>
        <x:v/>
      </x:c>
      <x:c r="X1698" t="str">
        <x:f>""</x:f>
        <x:v/>
      </x:c>
      <x:c r="Y1698" t="str">
        <x:f>""</x:f>
        <x:v/>
      </x:c>
      <x:c r="Z1698" t="str">
        <x:f>""</x:f>
        <x:v/>
      </x:c>
      <x:c r="AA1698" t="str">
        <x:f>""</x:f>
        <x:v/>
      </x:c>
      <x:c r="AB1698" t="str">
        <x:f>""</x:f>
        <x:v/>
      </x:c>
      <x:c r="AC1698" t="str">
        <x:f>""</x:f>
        <x:v/>
      </x:c>
      <x:c r="AD1698" t="str">
        <x:f>""</x:f>
        <x:v/>
      </x:c>
      <x:c r="AE1698" t="str">
        <x:f>""</x:f>
        <x:v/>
      </x:c>
      <x:c r="AF1698" t="str">
        <x:f>""</x:f>
        <x:v/>
      </x:c>
      <x:c r="AG1698" t="str">
        <x:f>""</x:f>
        <x:v/>
      </x:c>
    </x:row>
    <x:row r="1699" spans="2:33" x14ac:dyDescent="0.25">
      <x:c r="B1699" t="str">
        <x:f>"SKYU US Equity"</x:f>
        <x:v>SKYU US Equity</x:v>
      </x:c>
      <x:c r="C1699" t="str">
        <x:f t="shared" si="74"/>
        <x:v>FD447</x:v>
      </x:c>
      <x:c r="D1699" t="str">
        <x:f t="shared" si="75"/>
        <x:v>FUND_FLOW</x:v>
      </x:c>
      <x:c r="E1699" t="str">
        <x:f t="shared" si="76"/>
        <x:v>Dynamic</x:v>
      </x:c>
      <x:c r="F1699">
        <x:f ca="1">_xll.BDH($B$1699,$C$1699,$B$1010,$B$1011,CONCATENATE("Per=",$B$1008),"Dts=H","Dir=H",CONCATENATE("Points=",$B$1009),"Sort=R","Days=A","Fill=B",CONCATENATE("FX=", $B$1007),"cols=14;rows=1")</x:f>
        <x:v>0.371</x:v>
      </x:c>
      <x:c r="G1699">
        <x:v>0</x:v>
      </x:c>
      <x:c r="H1699">
        <x:v>0.1784</x:v>
      </x:c>
      <x:c r="I1699">
        <x:v>0.18390000000000001</x:v>
      </x:c>
      <x:c r="J1699">
        <x:v>0.441</x:v>
      </x:c>
      <x:c r="K1699">
        <x:v>0</x:v>
      </x:c>
      <x:c r="L1699">
        <x:v>-0.2903</x:v>
      </x:c>
      <x:c r="M1699">
        <x:v>0</x:v>
      </x:c>
      <x:c r="N1699">
        <x:v>0</x:v>
      </x:c>
      <x:c r="O1699">
        <x:v>0</x:v>
      </x:c>
      <x:c r="P1699">
        <x:v>-0.29570000000000002</x:v>
      </x:c>
      <x:c r="Q1699">
        <x:v>0.39319999999999999</x:v>
      </x:c>
      <x:c r="R1699">
        <x:v>0.31290000000000001</x:v>
      </x:c>
      <x:c r="S1699">
        <x:v>0</x:v>
      </x:c>
      <x:c r="T1699" t="str">
        <x:f>""</x:f>
        <x:v/>
      </x:c>
      <x:c r="U1699" t="str">
        <x:f>""</x:f>
        <x:v/>
      </x:c>
      <x:c r="V1699" t="str">
        <x:f>""</x:f>
        <x:v/>
      </x:c>
      <x:c r="W1699" t="str">
        <x:f>""</x:f>
        <x:v/>
      </x:c>
      <x:c r="X1699" t="str">
        <x:f>""</x:f>
        <x:v/>
      </x:c>
      <x:c r="Y1699" t="str">
        <x:f>""</x:f>
        <x:v/>
      </x:c>
      <x:c r="Z1699" t="str">
        <x:f>""</x:f>
        <x:v/>
      </x:c>
      <x:c r="AA1699" t="str">
        <x:f>""</x:f>
        <x:v/>
      </x:c>
      <x:c r="AB1699" t="str">
        <x:f>""</x:f>
        <x:v/>
      </x:c>
      <x:c r="AC1699" t="str">
        <x:f>""</x:f>
        <x:v/>
      </x:c>
      <x:c r="AD1699" t="str">
        <x:f>""</x:f>
        <x:v/>
      </x:c>
      <x:c r="AE1699" t="str">
        <x:f>""</x:f>
        <x:v/>
      </x:c>
      <x:c r="AF1699" t="str">
        <x:f>""</x:f>
        <x:v/>
      </x:c>
      <x:c r="AG1699" t="str">
        <x:f>""</x:f>
        <x:v/>
      </x:c>
    </x:row>
    <x:row r="1700" spans="2:33" x14ac:dyDescent="0.25">
      <x:c r="B1700" t="str">
        <x:f>"FCLD US Equity"</x:f>
        <x:v>FCLD US Equity</x:v>
      </x:c>
      <x:c r="C1700" t="str">
        <x:f t="shared" si="74"/>
        <x:v>FD447</x:v>
      </x:c>
      <x:c r="D1700" t="str">
        <x:f t="shared" si="75"/>
        <x:v>FUND_FLOW</x:v>
      </x:c>
      <x:c r="E1700" t="str">
        <x:f t="shared" si="76"/>
        <x:v>Dynamic</x:v>
      </x:c>
      <x:c r="F1700">
        <x:f ca="1">_xll.BDH($B$1700,$C$1700,$B$1010,$B$1011,CONCATENATE("Per=",$B$1008),"Dts=H","Dir=H",CONCATENATE("Points=",$B$1009),"Sort=R","Days=A","Fill=B",CONCATENATE("FX=", $B$1007),"cols=14;rows=1")</x:f>
        <x:v>0</x:v>
      </x:c>
      <x:c r="G1700">
        <x:v>0.98680000000000001</x:v>
      </x:c>
      <x:c r="H1700">
        <x:v>0.97440000000000004</x:v>
      </x:c>
      <x:c r="I1700">
        <x:v>4.0727000000000002</x:v>
      </x:c>
      <x:c r="J1700">
        <x:v>7.7024999999999997</x:v>
      </x:c>
      <x:c r="K1700">
        <x:v>0</x:v>
      </x:c>
      <x:c r="L1700">
        <x:v>0</x:v>
      </x:c>
      <x:c r="M1700">
        <x:v>0</x:v>
      </x:c>
      <x:c r="N1700">
        <x:v>1.7475000000000001</x:v>
      </x:c>
      <x:c r="O1700">
        <x:v>0</x:v>
      </x:c>
      <x:c r="P1700">
        <x:v>0</x:v>
      </x:c>
      <x:c r="Q1700">
        <x:v>1.4312</x:v>
      </x:c>
      <x:c r="R1700">
        <x:v>0</x:v>
      </x:c>
      <x:c r="S1700">
        <x:v>0</x:v>
      </x:c>
      <x:c r="T1700" t="str">
        <x:f>""</x:f>
        <x:v/>
      </x:c>
      <x:c r="U1700" t="str">
        <x:f>""</x:f>
        <x:v/>
      </x:c>
      <x:c r="V1700" t="str">
        <x:f>""</x:f>
        <x:v/>
      </x:c>
      <x:c r="W1700" t="str">
        <x:f>""</x:f>
        <x:v/>
      </x:c>
      <x:c r="X1700" t="str">
        <x:f>""</x:f>
        <x:v/>
      </x:c>
      <x:c r="Y1700" t="str">
        <x:f>""</x:f>
        <x:v/>
      </x:c>
      <x:c r="Z1700" t="str">
        <x:f>""</x:f>
        <x:v/>
      </x:c>
      <x:c r="AA1700" t="str">
        <x:f>""</x:f>
        <x:v/>
      </x:c>
      <x:c r="AB1700" t="str">
        <x:f>""</x:f>
        <x:v/>
      </x:c>
      <x:c r="AC1700" t="str">
        <x:f>""</x:f>
        <x:v/>
      </x:c>
      <x:c r="AD1700" t="str">
        <x:f>""</x:f>
        <x:v/>
      </x:c>
      <x:c r="AE1700" t="str">
        <x:f>""</x:f>
        <x:v/>
      </x:c>
      <x:c r="AF1700" t="str">
        <x:f>""</x:f>
        <x:v/>
      </x:c>
      <x:c r="AG1700" t="str">
        <x:f>""</x:f>
        <x:v/>
      </x:c>
    </x:row>
    <x:row r="1701" spans="2:33" x14ac:dyDescent="0.25">
      <x:c r="B1701" t="str">
        <x:f>"ROBT US Equity"</x:f>
        <x:v>ROBT US Equity</x:v>
      </x:c>
      <x:c r="C1701" t="str">
        <x:f t="shared" si="74"/>
        <x:v>FD447</x:v>
      </x:c>
      <x:c r="D1701" t="str">
        <x:f t="shared" si="75"/>
        <x:v>FUND_FLOW</x:v>
      </x:c>
      <x:c r="E1701" t="str">
        <x:f t="shared" si="76"/>
        <x:v>Dynamic</x:v>
      </x:c>
      <x:c r="F1701">
        <x:f ca="1">_xll.BDH($B$1701,$C$1701,$B$1010,$B$1011,CONCATENATE("Per=",$B$1008),"Dts=H","Dir=H",CONCATENATE("Points=",$B$1009),"Sort=R","Days=A","Fill=B",CONCATENATE("FX=", $B$1007),"cols=14;rows=1")</x:f>
        <x:v>1.9204000000000001</x:v>
      </x:c>
      <x:c r="G1701">
        <x:v>14.3231</x:v>
      </x:c>
      <x:c r="H1701">
        <x:v>19.302700000000002</x:v>
      </x:c>
      <x:c r="I1701">
        <x:v>50.7134</x:v>
      </x:c>
      <x:c r="J1701">
        <x:v>66.526600000000002</x:v>
      </x:c>
      <x:c r="K1701">
        <x:v>50.707900000000002</x:v>
      </x:c>
      <x:c r="L1701">
        <x:v>4.1409000000000002</x:v>
      </x:c>
      <x:c r="M1701">
        <x:v>18.396100000000001</x:v>
      </x:c>
      <x:c r="N1701">
        <x:v>16.664000000000001</x:v>
      </x:c>
      <x:c r="O1701">
        <x:v>-1.804</x:v>
      </x:c>
      <x:c r="P1701">
        <x:v>-7.2728000000000002</x:v>
      </x:c>
      <x:c r="Q1701">
        <x:v>-3.8075000000000001</x:v>
      </x:c>
      <x:c r="R1701">
        <x:v>0</x:v>
      </x:c>
      <x:c r="S1701">
        <x:v>0</x:v>
      </x:c>
      <x:c r="T1701" t="str">
        <x:f>""</x:f>
        <x:v/>
      </x:c>
      <x:c r="U1701" t="str">
        <x:f>""</x:f>
        <x:v/>
      </x:c>
      <x:c r="V1701" t="str">
        <x:f>""</x:f>
        <x:v/>
      </x:c>
      <x:c r="W1701" t="str">
        <x:f>""</x:f>
        <x:v/>
      </x:c>
      <x:c r="X1701" t="str">
        <x:f>""</x:f>
        <x:v/>
      </x:c>
      <x:c r="Y1701" t="str">
        <x:f>""</x:f>
        <x:v/>
      </x:c>
      <x:c r="Z1701" t="str">
        <x:f>""</x:f>
        <x:v/>
      </x:c>
      <x:c r="AA1701" t="str">
        <x:f>""</x:f>
        <x:v/>
      </x:c>
      <x:c r="AB1701" t="str">
        <x:f>""</x:f>
        <x:v/>
      </x:c>
      <x:c r="AC1701" t="str">
        <x:f>""</x:f>
        <x:v/>
      </x:c>
      <x:c r="AD1701" t="str">
        <x:f>""</x:f>
        <x:v/>
      </x:c>
      <x:c r="AE1701" t="str">
        <x:f>""</x:f>
        <x:v/>
      </x:c>
      <x:c r="AF1701" t="str">
        <x:f>""</x:f>
        <x:v/>
      </x:c>
      <x:c r="AG1701" t="str">
        <x:f>""</x:f>
        <x:v/>
      </x:c>
    </x:row>
    <x:row r="1702" spans="2:33" x14ac:dyDescent="0.25">
      <x:c r="B1702" t="str">
        <x:f>"ARKQ US Equity"</x:f>
        <x:v>ARKQ US Equity</x:v>
      </x:c>
      <x:c r="C1702" t="str">
        <x:f t="shared" si="74"/>
        <x:v>FD447</x:v>
      </x:c>
      <x:c r="D1702" t="str">
        <x:f t="shared" si="75"/>
        <x:v>FUND_FLOW</x:v>
      </x:c>
      <x:c r="E1702" t="str">
        <x:f t="shared" si="76"/>
        <x:v>Dynamic</x:v>
      </x:c>
      <x:c r="F1702">
        <x:f ca="1">_xll.BDH($B$1702,$C$1702,$B$1010,$B$1011,CONCATENATE("Per=",$B$1008),"Dts=H","Dir=H",CONCATENATE("Points=",$B$1009),"Sort=R","Days=A","Fill=B",CONCATENATE("FX=", $B$1007),"cols=14;rows=1")</x:f>
        <x:v>-25.134599999999999</x:v>
      </x:c>
      <x:c r="G1702">
        <x:v>-10.595700000000001</x:v>
      </x:c>
      <x:c r="H1702">
        <x:v>-28.895700000000001</x:v>
      </x:c>
      <x:c r="I1702">
        <x:v>17.384</x:v>
      </x:c>
      <x:c r="J1702">
        <x:v>39.956099999999999</x:v>
      </x:c>
      <x:c r="K1702">
        <x:v>4.6654</x:v>
      </x:c>
      <x:c r="L1702">
        <x:v>-2.2675999999999998</x:v>
      </x:c>
      <x:c r="M1702">
        <x:v>-14.498900000000001</x:v>
      </x:c>
      <x:c r="N1702">
        <x:v>2.5714000000000001</x:v>
      </x:c>
      <x:c r="O1702">
        <x:v>-11.017099999999999</x:v>
      </x:c>
      <x:c r="P1702">
        <x:v>-27.178899999999999</x:v>
      </x:c>
      <x:c r="Q1702">
        <x:v>-17.855</x:v>
      </x:c>
      <x:c r="R1702">
        <x:v>-19.703199999999999</x:v>
      </x:c>
      <x:c r="S1702">
        <x:v>-24.480499999999999</x:v>
      </x:c>
      <x:c r="T1702" t="str">
        <x:f>""</x:f>
        <x:v/>
      </x:c>
      <x:c r="U1702" t="str">
        <x:f>""</x:f>
        <x:v/>
      </x:c>
      <x:c r="V1702" t="str">
        <x:f>""</x:f>
        <x:v/>
      </x:c>
      <x:c r="W1702" t="str">
        <x:f>""</x:f>
        <x:v/>
      </x:c>
      <x:c r="X1702" t="str">
        <x:f>""</x:f>
        <x:v/>
      </x:c>
      <x:c r="Y1702" t="str">
        <x:f>""</x:f>
        <x:v/>
      </x:c>
      <x:c r="Z1702" t="str">
        <x:f>""</x:f>
        <x:v/>
      </x:c>
      <x:c r="AA1702" t="str">
        <x:f>""</x:f>
        <x:v/>
      </x:c>
      <x:c r="AB1702" t="str">
        <x:f>""</x:f>
        <x:v/>
      </x:c>
      <x:c r="AC1702" t="str">
        <x:f>""</x:f>
        <x:v/>
      </x:c>
      <x:c r="AD1702" t="str">
        <x:f>""</x:f>
        <x:v/>
      </x:c>
      <x:c r="AE1702" t="str">
        <x:f>""</x:f>
        <x:v/>
      </x:c>
      <x:c r="AF1702" t="str">
        <x:f>""</x:f>
        <x:v/>
      </x:c>
      <x:c r="AG1702" t="str">
        <x:f>""</x:f>
        <x:v/>
      </x:c>
    </x:row>
    <x:row r="1703" spans="2:33" x14ac:dyDescent="0.25">
      <x:c r="B1703" t="str">
        <x:f>"AIQ US Equity"</x:f>
        <x:v>AIQ US Equity</x:v>
      </x:c>
      <x:c r="C1703" t="str">
        <x:f t="shared" si="74"/>
        <x:v>FD447</x:v>
      </x:c>
      <x:c r="D1703" t="str">
        <x:f t="shared" si="75"/>
        <x:v>FUND_FLOW</x:v>
      </x:c>
      <x:c r="E1703" t="str">
        <x:f t="shared" si="76"/>
        <x:v>Dynamic</x:v>
      </x:c>
      <x:c r="F1703">
        <x:f ca="1">_xll.BDH($B$1703,$C$1703,$B$1010,$B$1011,CONCATENATE("Per=",$B$1008),"Dts=H","Dir=H",CONCATENATE("Points=",$B$1009),"Sort=R","Days=A","Fill=B",CONCATENATE("FX=", $B$1007),"cols=14;rows=1")</x:f>
        <x:v>74.532600000000002</x:v>
      </x:c>
      <x:c r="G1703">
        <x:v>64.729600000000005</x:v>
      </x:c>
      <x:c r="H1703">
        <x:v>52.783700000000003</x:v>
      </x:c>
      <x:c r="I1703">
        <x:v>102.2722</x:v>
      </x:c>
      <x:c r="J1703">
        <x:v>134.435</x:v>
      </x:c>
      <x:c r="K1703">
        <x:v>65.041200000000003</x:v>
      </x:c>
      <x:c r="L1703">
        <x:v>9.2738999999999994</x:v>
      </x:c>
      <x:c r="M1703">
        <x:v>3.5855999999999999</x:v>
      </x:c>
      <x:c r="N1703">
        <x:v>2.5264000000000002</x:v>
      </x:c>
      <x:c r="O1703">
        <x:v>-15.2888</x:v>
      </x:c>
      <x:c r="P1703">
        <x:v>-13.1723</x:v>
      </x:c>
      <x:c r="Q1703">
        <x:v>-2.2010999999999998</x:v>
      </x:c>
      <x:c r="R1703">
        <x:v>0</x:v>
      </x:c>
      <x:c r="S1703">
        <x:v>1.917</x:v>
      </x:c>
      <x:c r="T1703" t="str">
        <x:f>""</x:f>
        <x:v/>
      </x:c>
      <x:c r="U1703" t="str">
        <x:f>""</x:f>
        <x:v/>
      </x:c>
      <x:c r="V1703" t="str">
        <x:f>""</x:f>
        <x:v/>
      </x:c>
      <x:c r="W1703" t="str">
        <x:f>""</x:f>
        <x:v/>
      </x:c>
      <x:c r="X1703" t="str">
        <x:f>""</x:f>
        <x:v/>
      </x:c>
      <x:c r="Y1703" t="str">
        <x:f>""</x:f>
        <x:v/>
      </x:c>
      <x:c r="Z1703" t="str">
        <x:f>""</x:f>
        <x:v/>
      </x:c>
      <x:c r="AA1703" t="str">
        <x:f>""</x:f>
        <x:v/>
      </x:c>
      <x:c r="AB1703" t="str">
        <x:f>""</x:f>
        <x:v/>
      </x:c>
      <x:c r="AC1703" t="str">
        <x:f>""</x:f>
        <x:v/>
      </x:c>
      <x:c r="AD1703" t="str">
        <x:f>""</x:f>
        <x:v/>
      </x:c>
      <x:c r="AE1703" t="str">
        <x:f>""</x:f>
        <x:v/>
      </x:c>
      <x:c r="AF1703" t="str">
        <x:f>""</x:f>
        <x:v/>
      </x:c>
      <x:c r="AG1703" t="str">
        <x:f>""</x:f>
        <x:v/>
      </x:c>
    </x:row>
    <x:row r="1704" spans="2:33" x14ac:dyDescent="0.25">
      <x:c r="B1704" t="str">
        <x:f>"ROBO US Equity"</x:f>
        <x:v>ROBO US Equity</x:v>
      </x:c>
      <x:c r="C1704" t="str">
        <x:f t="shared" si="74"/>
        <x:v>FD447</x:v>
      </x:c>
      <x:c r="D1704" t="str">
        <x:f t="shared" si="75"/>
        <x:v>FUND_FLOW</x:v>
      </x:c>
      <x:c r="E1704" t="str">
        <x:f t="shared" si="76"/>
        <x:v>Dynamic</x:v>
      </x:c>
      <x:c r="F1704">
        <x:f ca="1">_xll.BDH($B$1704,$C$1704,$B$1010,$B$1011,CONCATENATE("Per=",$B$1008),"Dts=H","Dir=H",CONCATENATE("Points=",$B$1009),"Sort=R","Days=A","Fill=B",CONCATENATE("FX=", $B$1007),"cols=14;rows=1")</x:f>
        <x:v>-26.7393</x:v>
      </x:c>
      <x:c r="G1704">
        <x:v>-14.3268</x:v>
      </x:c>
      <x:c r="H1704">
        <x:v>-20.419699999999999</x:v>
      </x:c>
      <x:c r="I1704">
        <x:v>10.2317</x:v>
      </x:c>
      <x:c r="J1704">
        <x:v>29.821999999999999</x:v>
      </x:c>
      <x:c r="K1704">
        <x:v>9.4869000000000003</x:v>
      </x:c>
      <x:c r="L1704">
        <x:v>-1.3462000000000001</x:v>
      </x:c>
      <x:c r="M1704">
        <x:v>7.93</x:v>
      </x:c>
      <x:c r="N1704">
        <x:v>-19.189299999999999</x:v>
      </x:c>
      <x:c r="O1704">
        <x:v>34.450699999999998</x:v>
      </x:c>
      <x:c r="P1704">
        <x:v>-14.2019</x:v>
      </x:c>
      <x:c r="Q1704">
        <x:v>-25.063199999999998</x:v>
      </x:c>
      <x:c r="R1704">
        <x:v>-12.503</x:v>
      </x:c>
      <x:c r="S1704">
        <x:v>-13.08</x:v>
      </x:c>
      <x:c r="T1704" t="str">
        <x:f>""</x:f>
        <x:v/>
      </x:c>
      <x:c r="U1704" t="str">
        <x:f>""</x:f>
        <x:v/>
      </x:c>
      <x:c r="V1704" t="str">
        <x:f>""</x:f>
        <x:v/>
      </x:c>
      <x:c r="W1704" t="str">
        <x:f>""</x:f>
        <x:v/>
      </x:c>
      <x:c r="X1704" t="str">
        <x:f>""</x:f>
        <x:v/>
      </x:c>
      <x:c r="Y1704" t="str">
        <x:f>""</x:f>
        <x:v/>
      </x:c>
      <x:c r="Z1704" t="str">
        <x:f>""</x:f>
        <x:v/>
      </x:c>
      <x:c r="AA1704" t="str">
        <x:f>""</x:f>
        <x:v/>
      </x:c>
      <x:c r="AB1704" t="str">
        <x:f>""</x:f>
        <x:v/>
      </x:c>
      <x:c r="AC1704" t="str">
        <x:f>""</x:f>
        <x:v/>
      </x:c>
      <x:c r="AD1704" t="str">
        <x:f>""</x:f>
        <x:v/>
      </x:c>
      <x:c r="AE1704" t="str">
        <x:f>""</x:f>
        <x:v/>
      </x:c>
      <x:c r="AF1704" t="str">
        <x:f>""</x:f>
        <x:v/>
      </x:c>
      <x:c r="AG1704" t="str">
        <x:f>""</x:f>
        <x:v/>
      </x:c>
    </x:row>
    <x:row r="1705" spans="2:33" x14ac:dyDescent="0.25">
      <x:c r="B1705" t="str">
        <x:f>"IRBO US Equity"</x:f>
        <x:v>IRBO US Equity</x:v>
      </x:c>
      <x:c r="C1705" t="str">
        <x:f t="shared" si="74"/>
        <x:v>FD447</x:v>
      </x:c>
      <x:c r="D1705" t="str">
        <x:f t="shared" si="75"/>
        <x:v>FUND_FLOW</x:v>
      </x:c>
      <x:c r="E1705" t="str">
        <x:f t="shared" si="76"/>
        <x:v>Dynamic</x:v>
      </x:c>
      <x:c r="F1705">
        <x:f ca="1">_xll.BDH($B$1705,$C$1705,$B$1010,$B$1011,CONCATENATE("Per=",$B$1008),"Dts=H","Dir=H",CONCATENATE("Points=",$B$1009),"Sort=R","Days=A","Fill=B",CONCATENATE("FX=", $B$1007),"cols=14;rows=1")</x:f>
        <x:v>0</x:v>
      </x:c>
      <x:c r="G1705">
        <x:v>12.415100000000001</x:v>
      </x:c>
      <x:c r="H1705">
        <x:v>13.200100000000001</x:v>
      </x:c>
      <x:c r="I1705">
        <x:v>54.353700000000003</x:v>
      </x:c>
      <x:c r="J1705">
        <x:v>70.844099999999997</x:v>
      </x:c>
      <x:c r="K1705">
        <x:v>17.847799999999999</x:v>
      </x:c>
      <x:c r="L1705">
        <x:v>18.129000000000001</x:v>
      </x:c>
      <x:c r="M1705">
        <x:v>17.848099999999999</x:v>
      </x:c>
      <x:c r="N1705">
        <x:v>18.427499999999998</x:v>
      </x:c>
      <x:c r="O1705">
        <x:v>0</x:v>
      </x:c>
      <x:c r="P1705">
        <x:v>0</x:v>
      </x:c>
      <x:c r="Q1705">
        <x:v>-10.3828</x:v>
      </x:c>
      <x:c r="R1705">
        <x:v>-4.8849999999999998</x:v>
      </x:c>
      <x:c r="S1705">
        <x:v>0</x:v>
      </x:c>
      <x:c r="T1705" t="str">
        <x:f>""</x:f>
        <x:v/>
      </x:c>
      <x:c r="U1705" t="str">
        <x:f>""</x:f>
        <x:v/>
      </x:c>
      <x:c r="V1705" t="str">
        <x:f>""</x:f>
        <x:v/>
      </x:c>
      <x:c r="W1705" t="str">
        <x:f>""</x:f>
        <x:v/>
      </x:c>
      <x:c r="X1705" t="str">
        <x:f>""</x:f>
        <x:v/>
      </x:c>
      <x:c r="Y1705" t="str">
        <x:f>""</x:f>
        <x:v/>
      </x:c>
      <x:c r="Z1705" t="str">
        <x:f>""</x:f>
        <x:v/>
      </x:c>
      <x:c r="AA1705" t="str">
        <x:f>""</x:f>
        <x:v/>
      </x:c>
      <x:c r="AB1705" t="str">
        <x:f>""</x:f>
        <x:v/>
      </x:c>
      <x:c r="AC1705" t="str">
        <x:f>""</x:f>
        <x:v/>
      </x:c>
      <x:c r="AD1705" t="str">
        <x:f>""</x:f>
        <x:v/>
      </x:c>
      <x:c r="AE1705" t="str">
        <x:f>""</x:f>
        <x:v/>
      </x:c>
      <x:c r="AF1705" t="str">
        <x:f>""</x:f>
        <x:v/>
      </x:c>
      <x:c r="AG1705" t="str">
        <x:f>""</x:f>
        <x:v/>
      </x:c>
    </x:row>
    <x:row r="1706" spans="2:33" x14ac:dyDescent="0.25">
      <x:c r="B1706" t="str">
        <x:f>"UBOT US Equity"</x:f>
        <x:v>UBOT US Equity</x:v>
      </x:c>
      <x:c r="C1706" t="str">
        <x:f t="shared" si="74"/>
        <x:v>FD447</x:v>
      </x:c>
      <x:c r="D1706" t="str">
        <x:f t="shared" si="75"/>
        <x:v>FUND_FLOW</x:v>
      </x:c>
      <x:c r="E1706" t="str">
        <x:f t="shared" si="76"/>
        <x:v>Dynamic</x:v>
      </x:c>
      <x:c r="F1706">
        <x:f ca="1">_xll.BDH($B$1706,$C$1706,$B$1010,$B$1011,CONCATENATE("Per=",$B$1008),"Dts=H","Dir=H",CONCATENATE("Points=",$B$1009),"Sort=R","Days=A","Fill=B",CONCATENATE("FX=", $B$1007),"cols=14;rows=1")</x:f>
        <x:v>0</x:v>
      </x:c>
      <x:c r="G1706">
        <x:v>-2.4790999999999999</x:v>
      </x:c>
      <x:c r="H1706">
        <x:v>-0.93120000000000003</x:v>
      </x:c>
      <x:c r="I1706">
        <x:v>1.155</x:v>
      </x:c>
      <x:c r="J1706">
        <x:v>7.8327999999999998</x:v>
      </x:c>
      <x:c r="K1706">
        <x:v>2.9622000000000002</x:v>
      </x:c>
      <x:c r="L1706">
        <x:v>1.7317</x:v>
      </x:c>
      <x:c r="M1706">
        <x:v>0</x:v>
      </x:c>
      <x:c r="N1706">
        <x:v>0</x:v>
      </x:c>
      <x:c r="O1706">
        <x:v>2.3247</x:v>
      </x:c>
      <x:c r="P1706">
        <x:v>-0.60360000000000003</x:v>
      </x:c>
      <x:c r="Q1706">
        <x:v>0.63490000000000002</x:v>
      </x:c>
      <x:c r="R1706">
        <x:v>0</x:v>
      </x:c>
      <x:c r="S1706">
        <x:v>0</x:v>
      </x:c>
      <x:c r="T1706" t="str">
        <x:f>""</x:f>
        <x:v/>
      </x:c>
      <x:c r="U1706" t="str">
        <x:f>""</x:f>
        <x:v/>
      </x:c>
      <x:c r="V1706" t="str">
        <x:f>""</x:f>
        <x:v/>
      </x:c>
      <x:c r="W1706" t="str">
        <x:f>""</x:f>
        <x:v/>
      </x:c>
      <x:c r="X1706" t="str">
        <x:f>""</x:f>
        <x:v/>
      </x:c>
      <x:c r="Y1706" t="str">
        <x:f>""</x:f>
        <x:v/>
      </x:c>
      <x:c r="Z1706" t="str">
        <x:f>""</x:f>
        <x:v/>
      </x:c>
      <x:c r="AA1706" t="str">
        <x:f>""</x:f>
        <x:v/>
      </x:c>
      <x:c r="AB1706" t="str">
        <x:f>""</x:f>
        <x:v/>
      </x:c>
      <x:c r="AC1706" t="str">
        <x:f>""</x:f>
        <x:v/>
      </x:c>
      <x:c r="AD1706" t="str">
        <x:f>""</x:f>
        <x:v/>
      </x:c>
      <x:c r="AE1706" t="str">
        <x:f>""</x:f>
        <x:v/>
      </x:c>
      <x:c r="AF1706" t="str">
        <x:f>""</x:f>
        <x:v/>
      </x:c>
      <x:c r="AG1706" t="str">
        <x:f>""</x:f>
        <x:v/>
      </x:c>
    </x:row>
    <x:row r="1707" spans="2:33" x14ac:dyDescent="0.25">
      <x:c r="B1707" t="str">
        <x:f>"BOTZ US Equity"</x:f>
        <x:v>BOTZ US Equity</x:v>
      </x:c>
      <x:c r="C1707" t="str">
        <x:f t="shared" si="74"/>
        <x:v>FD447</x:v>
      </x:c>
      <x:c r="D1707" t="str">
        <x:f t="shared" si="75"/>
        <x:v>FUND_FLOW</x:v>
      </x:c>
      <x:c r="E1707" t="str">
        <x:f t="shared" si="76"/>
        <x:v>Dynamic</x:v>
      </x:c>
      <x:c r="F1707">
        <x:f ca="1">_xll.BDH($B$1707,$C$1707,$B$1010,$B$1011,CONCATENATE("Per=",$B$1008),"Dts=H","Dir=H",CONCATENATE("Points=",$B$1009),"Sort=R","Days=A","Fill=B",CONCATENATE("FX=", $B$1007),"cols=14;rows=1")</x:f>
        <x:v>-58.399099999999997</x:v>
      </x:c>
      <x:c r="G1707">
        <x:v>1.6712</x:v>
      </x:c>
      <x:c r="H1707">
        <x:v>-72.848500000000001</x:v>
      </x:c>
      <x:c r="I1707">
        <x:v>41.918100000000003</x:v>
      </x:c>
      <x:c r="J1707">
        <x:v>270.26080000000002</x:v>
      </x:c>
      <x:c r="K1707">
        <x:v>234.8219</x:v>
      </x:c>
      <x:c r="L1707">
        <x:v>7.0814000000000004</x:v>
      </x:c>
      <x:c r="M1707">
        <x:v>79.781099999999995</x:v>
      </x:c>
      <x:c r="N1707">
        <x:v>30.5167</x:v>
      </x:c>
      <x:c r="O1707">
        <x:v>24.5749</x:v>
      </x:c>
      <x:c r="P1707">
        <x:v>-20.332999999999998</x:v>
      </x:c>
      <x:c r="Q1707">
        <x:v>-31.671600000000002</x:v>
      </x:c>
      <x:c r="R1707">
        <x:v>-10.2262</x:v>
      </x:c>
      <x:c r="S1707">
        <x:v>-16.6554</x:v>
      </x:c>
      <x:c r="T1707" t="str">
        <x:f>""</x:f>
        <x:v/>
      </x:c>
      <x:c r="U1707" t="str">
        <x:f>""</x:f>
        <x:v/>
      </x:c>
      <x:c r="V1707" t="str">
        <x:f>""</x:f>
        <x:v/>
      </x:c>
      <x:c r="W1707" t="str">
        <x:f>""</x:f>
        <x:v/>
      </x:c>
      <x:c r="X1707" t="str">
        <x:f>""</x:f>
        <x:v/>
      </x:c>
      <x:c r="Y1707" t="str">
        <x:f>""</x:f>
        <x:v/>
      </x:c>
      <x:c r="Z1707" t="str">
        <x:f>""</x:f>
        <x:v/>
      </x:c>
      <x:c r="AA1707" t="str">
        <x:f>""</x:f>
        <x:v/>
      </x:c>
      <x:c r="AB1707" t="str">
        <x:f>""</x:f>
        <x:v/>
      </x:c>
      <x:c r="AC1707" t="str">
        <x:f>""</x:f>
        <x:v/>
      </x:c>
      <x:c r="AD1707" t="str">
        <x:f>""</x:f>
        <x:v/>
      </x:c>
      <x:c r="AE1707" t="str">
        <x:f>""</x:f>
        <x:v/>
      </x:c>
      <x:c r="AF1707" t="str">
        <x:f>""</x:f>
        <x:v/>
      </x:c>
      <x:c r="AG1707" t="str">
        <x:f>""</x:f>
        <x:v/>
      </x:c>
    </x:row>
    <x:row r="1708" spans="2:33" x14ac:dyDescent="0.25">
      <x:c r="B1708" t="str">
        <x:f>"IQM US Equity"</x:f>
        <x:v>IQM US Equity</x:v>
      </x:c>
      <x:c r="C1708" t="str">
        <x:f t="shared" si="74"/>
        <x:v>FD447</x:v>
      </x:c>
      <x:c r="D1708" t="str">
        <x:f t="shared" si="75"/>
        <x:v>FUND_FLOW</x:v>
      </x:c>
      <x:c r="E1708" t="str">
        <x:f t="shared" si="76"/>
        <x:v>Dynamic</x:v>
      </x:c>
      <x:c r="F1708">
        <x:f ca="1">_xll.BDH($B$1708,$C$1708,$B$1010,$B$1011,CONCATENATE("Per=",$B$1008),"Dts=H","Dir=H",CONCATENATE("Points=",$B$1009),"Sort=R","Days=A","Fill=B",CONCATENATE("FX=", $B$1007),"cols=14;rows=1")</x:f>
        <x:v>0</x:v>
      </x:c>
      <x:c r="G1708">
        <x:v>0</x:v>
      </x:c>
      <x:c r="H1708">
        <x:v>-2.3948</x:v>
      </x:c>
      <x:c r="I1708">
        <x:v>12.1655</x:v>
      </x:c>
      <x:c r="J1708">
        <x:v>0</x:v>
      </x:c>
      <x:c r="K1708">
        <x:v>2.3054999999999999</x:v>
      </x:c>
      <x:c r="L1708">
        <x:v>0</x:v>
      </x:c>
      <x:c r="M1708">
        <x:v>0</x:v>
      </x:c>
      <x:c r="N1708">
        <x:v>0</x:v>
      </x:c>
      <x:c r="O1708">
        <x:v>0</x:v>
      </x:c>
      <x:c r="P1708">
        <x:v>0</x:v>
      </x:c>
      <x:c r="Q1708">
        <x:v>0</x:v>
      </x:c>
      <x:c r="R1708">
        <x:v>0</x:v>
      </x:c>
      <x:c r="S1708">
        <x:v>0</x:v>
      </x:c>
      <x:c r="T1708" t="str">
        <x:f>""</x:f>
        <x:v/>
      </x:c>
      <x:c r="U1708" t="str">
        <x:f>""</x:f>
        <x:v/>
      </x:c>
      <x:c r="V1708" t="str">
        <x:f>""</x:f>
        <x:v/>
      </x:c>
      <x:c r="W1708" t="str">
        <x:f>""</x:f>
        <x:v/>
      </x:c>
      <x:c r="X1708" t="str">
        <x:f>""</x:f>
        <x:v/>
      </x:c>
      <x:c r="Y1708" t="str">
        <x:f>""</x:f>
        <x:v/>
      </x:c>
      <x:c r="Z1708" t="str">
        <x:f>""</x:f>
        <x:v/>
      </x:c>
      <x:c r="AA1708" t="str">
        <x:f>""</x:f>
        <x:v/>
      </x:c>
      <x:c r="AB1708" t="str">
        <x:f>""</x:f>
        <x:v/>
      </x:c>
      <x:c r="AC1708" t="str">
        <x:f>""</x:f>
        <x:v/>
      </x:c>
      <x:c r="AD1708" t="str">
        <x:f>""</x:f>
        <x:v/>
      </x:c>
      <x:c r="AE1708" t="str">
        <x:f>""</x:f>
        <x:v/>
      </x:c>
      <x:c r="AF1708" t="str">
        <x:f>""</x:f>
        <x:v/>
      </x:c>
      <x:c r="AG1708" t="str">
        <x:f>""</x:f>
        <x:v/>
      </x:c>
    </x:row>
    <x:row r="1709" spans="2:33" x14ac:dyDescent="0.25">
      <x:c r="B1709" t="str">
        <x:f>"LRNZ US Equity"</x:f>
        <x:v>LRNZ US Equity</x:v>
      </x:c>
      <x:c r="C1709" t="str">
        <x:f t="shared" si="74"/>
        <x:v>FD447</x:v>
      </x:c>
      <x:c r="D1709" t="str">
        <x:f t="shared" si="75"/>
        <x:v>FUND_FLOW</x:v>
      </x:c>
      <x:c r="E1709" t="str">
        <x:f t="shared" si="76"/>
        <x:v>Dynamic</x:v>
      </x:c>
      <x:c r="F1709">
        <x:f ca="1">_xll.BDH($B$1709,$C$1709,$B$1010,$B$1011,CONCATENATE("Per=",$B$1008),"Dts=H","Dir=H",CONCATENATE("Points=",$B$1009),"Sort=R","Days=A","Fill=B",CONCATENATE("FX=", $B$1007),"cols=14;rows=1")</x:f>
        <x:v>-2.5129000000000001</x:v>
      </x:c>
      <x:c r="G1709">
        <x:v>-0.61160000000000003</x:v>
      </x:c>
      <x:c r="H1709">
        <x:v>-1.7901</x:v>
      </x:c>
      <x:c r="I1709">
        <x:v>0.29330000000000001</x:v>
      </x:c>
      <x:c r="J1709">
        <x:v>11.418699999999999</x:v>
      </x:c>
      <x:c r="K1709">
        <x:v>3.32</x:v>
      </x:c>
      <x:c r="L1709">
        <x:v>0</x:v>
      </x:c>
      <x:c r="M1709">
        <x:v>0</x:v>
      </x:c>
      <x:c r="N1709">
        <x:v>0</x:v>
      </x:c>
      <x:c r="O1709">
        <x:v>-0.62229999999999996</x:v>
      </x:c>
      <x:c r="P1709">
        <x:v>-1.2061999999999999</x:v>
      </x:c>
      <x:c r="Q1709">
        <x:v>0</x:v>
      </x:c>
      <x:c r="R1709">
        <x:v>0</x:v>
      </x:c>
      <x:c r="S1709">
        <x:v>0</x:v>
      </x:c>
      <x:c r="T1709" t="str">
        <x:f>""</x:f>
        <x:v/>
      </x:c>
      <x:c r="U1709" t="str">
        <x:f>""</x:f>
        <x:v/>
      </x:c>
      <x:c r="V1709" t="str">
        <x:f>""</x:f>
        <x:v/>
      </x:c>
      <x:c r="W1709" t="str">
        <x:f>""</x:f>
        <x:v/>
      </x:c>
      <x:c r="X1709" t="str">
        <x:f>""</x:f>
        <x:v/>
      </x:c>
      <x:c r="Y1709" t="str">
        <x:f>""</x:f>
        <x:v/>
      </x:c>
      <x:c r="Z1709" t="str">
        <x:f>""</x:f>
        <x:v/>
      </x:c>
      <x:c r="AA1709" t="str">
        <x:f>""</x:f>
        <x:v/>
      </x:c>
      <x:c r="AB1709" t="str">
        <x:f>""</x:f>
        <x:v/>
      </x:c>
      <x:c r="AC1709" t="str">
        <x:f>""</x:f>
        <x:v/>
      </x:c>
      <x:c r="AD1709" t="str">
        <x:f>""</x:f>
        <x:v/>
      </x:c>
      <x:c r="AE1709" t="str">
        <x:f>""</x:f>
        <x:v/>
      </x:c>
      <x:c r="AF1709" t="str">
        <x:f>""</x:f>
        <x:v/>
      </x:c>
      <x:c r="AG1709" t="str">
        <x:f>""</x:f>
        <x:v/>
      </x:c>
    </x:row>
    <x:row r="1710" spans="2:33" x14ac:dyDescent="0.25">
      <x:c r="B1710" t="str">
        <x:f>"THNQ US Equity"</x:f>
        <x:v>THNQ US Equity</x:v>
      </x:c>
      <x:c r="C1710" t="str">
        <x:f t="shared" si="74"/>
        <x:v>FD447</x:v>
      </x:c>
      <x:c r="D1710" t="str">
        <x:f t="shared" si="75"/>
        <x:v>FUND_FLOW</x:v>
      </x:c>
      <x:c r="E1710" t="str">
        <x:f t="shared" si="76"/>
        <x:v>Dynamic</x:v>
      </x:c>
      <x:c r="F1710">
        <x:f ca="1">_xll.BDH($B$1710,$C$1710,$B$1010,$B$1011,CONCATENATE("Per=",$B$1008),"Dts=H","Dir=H",CONCATENATE("Points=",$B$1009),"Sort=R","Days=A","Fill=B",CONCATENATE("FX=", $B$1007),"cols=14;rows=1")</x:f>
        <x:v>-0.8276</x:v>
      </x:c>
      <x:c r="G1710">
        <x:v>21.5837</x:v>
      </x:c>
      <x:c r="H1710">
        <x:v>4.6814</x:v>
      </x:c>
      <x:c r="I1710">
        <x:v>7.3208000000000002</x:v>
      </x:c>
      <x:c r="J1710">
        <x:v>14.8652</x:v>
      </x:c>
      <x:c r="K1710">
        <x:v>3.3321999999999998</x:v>
      </x:c>
      <x:c r="L1710">
        <x:v>0.78090000000000004</x:v>
      </x:c>
      <x:c r="M1710">
        <x:v>0</x:v>
      </x:c>
      <x:c r="N1710">
        <x:v>-0.79920000000000002</x:v>
      </x:c>
      <x:c r="O1710">
        <x:v>-0.66100000000000003</x:v>
      </x:c>
      <x:c r="P1710">
        <x:v>0</x:v>
      </x:c>
      <x:c r="Q1710">
        <x:v>0</x:v>
      </x:c>
      <x:c r="R1710">
        <x:v>0</x:v>
      </x:c>
      <x:c r="S1710">
        <x:v>-0.69230000000000003</x:v>
      </x:c>
      <x:c r="T1710" t="str">
        <x:f>""</x:f>
        <x:v/>
      </x:c>
      <x:c r="U1710" t="str">
        <x:f>""</x:f>
        <x:v/>
      </x:c>
      <x:c r="V1710" t="str">
        <x:f>""</x:f>
        <x:v/>
      </x:c>
      <x:c r="W1710" t="str">
        <x:f>""</x:f>
        <x:v/>
      </x:c>
      <x:c r="X1710" t="str">
        <x:f>""</x:f>
        <x:v/>
      </x:c>
      <x:c r="Y1710" t="str">
        <x:f>""</x:f>
        <x:v/>
      </x:c>
      <x:c r="Z1710" t="str">
        <x:f>""</x:f>
        <x:v/>
      </x:c>
      <x:c r="AA1710" t="str">
        <x:f>""</x:f>
        <x:v/>
      </x:c>
      <x:c r="AB1710" t="str">
        <x:f>""</x:f>
        <x:v/>
      </x:c>
      <x:c r="AC1710" t="str">
        <x:f>""</x:f>
        <x:v/>
      </x:c>
      <x:c r="AD1710" t="str">
        <x:f>""</x:f>
        <x:v/>
      </x:c>
      <x:c r="AE1710" t="str">
        <x:f>""</x:f>
        <x:v/>
      </x:c>
      <x:c r="AF1710" t="str">
        <x:f>""</x:f>
        <x:v/>
      </x:c>
      <x:c r="AG1710" t="str">
        <x:f>""</x:f>
        <x:v/>
      </x:c>
    </x:row>
    <x:row r="1711" spans="2:33" x14ac:dyDescent="0.25">
      <x:c r="B1711" t="str">
        <x:f>"BIGY US Equity"</x:f>
        <x:v>BIGY US Equity</x:v>
      </x:c>
      <x:c r="C1711" t="str">
        <x:f t="shared" si="74"/>
        <x:v>FD447</x:v>
      </x:c>
      <x:c r="D1711" t="str">
        <x:f t="shared" si="75"/>
        <x:v>FUND_FLOW</x:v>
      </x:c>
      <x:c r="E1711" t="str">
        <x:f t="shared" si="76"/>
        <x:v>Dynamic</x:v>
      </x:c>
      <x:c r="F1711" t="str">
        <x:f ca="1">_xll.BDH($B$1711,$C$1711,$B$1010,$B$1011,CONCATENATE("Per=",$B$1008),"Dts=H","Dir=H",CONCATENATE("Points=",$B$1009),"Sort=R","Days=A","Fill=B",CONCATENATE("FX=", $B$1007) )</x:f>
        <x:v/>
      </x:c>
      <x:c r="T1711" t="str">
        <x:f>""</x:f>
        <x:v/>
      </x:c>
      <x:c r="U1711" t="str">
        <x:f>""</x:f>
        <x:v/>
      </x:c>
      <x:c r="V1711" t="str">
        <x:f>""</x:f>
        <x:v/>
      </x:c>
      <x:c r="W1711" t="str">
        <x:f>""</x:f>
        <x:v/>
      </x:c>
      <x:c r="X1711" t="str">
        <x:f>""</x:f>
        <x:v/>
      </x:c>
      <x:c r="Y1711" t="str">
        <x:f>""</x:f>
        <x:v/>
      </x:c>
      <x:c r="Z1711" t="str">
        <x:f>""</x:f>
        <x:v/>
      </x:c>
      <x:c r="AA1711" t="str">
        <x:f>""</x:f>
        <x:v/>
      </x:c>
      <x:c r="AB1711" t="str">
        <x:f>""</x:f>
        <x:v/>
      </x:c>
      <x:c r="AC1711" t="str">
        <x:f>""</x:f>
        <x:v/>
      </x:c>
      <x:c r="AD1711" t="str">
        <x:f>""</x:f>
        <x:v/>
      </x:c>
      <x:c r="AE1711" t="str">
        <x:f>""</x:f>
        <x:v/>
      </x:c>
      <x:c r="AF1711" t="str">
        <x:f>""</x:f>
        <x:v/>
      </x:c>
      <x:c r="AG1711" t="str">
        <x:f>""</x:f>
        <x:v/>
      </x:c>
    </x:row>
    <x:row r="1712" spans="2:33" x14ac:dyDescent="0.25">
      <x:c r="B1712" t="str">
        <x:f>"WTAI US Equity"</x:f>
        <x:v>WTAI US Equity</x:v>
      </x:c>
      <x:c r="C1712" t="str">
        <x:f t="shared" si="74"/>
        <x:v>FD447</x:v>
      </x:c>
      <x:c r="D1712" t="str">
        <x:f t="shared" si="75"/>
        <x:v>FUND_FLOW</x:v>
      </x:c>
      <x:c r="E1712" t="str">
        <x:f t="shared" si="76"/>
        <x:v>Dynamic</x:v>
      </x:c>
      <x:c r="F1712">
        <x:f ca="1">_xll.BDH($B$1712,$C$1712,$B$1010,$B$1011,CONCATENATE("Per=",$B$1008),"Dts=H","Dir=H",CONCATENATE("Points=",$B$1009),"Sort=R","Days=A","Fill=B",CONCATENATE("FX=", $B$1007),"cols=14;rows=1")</x:f>
        <x:v>-1.2007000000000001</x:v>
      </x:c>
      <x:c r="G1712">
        <x:v>0</x:v>
      </x:c>
      <x:c r="H1712">
        <x:v>7.0594999999999999</x:v>
      </x:c>
      <x:c r="I1712">
        <x:v>30.553699999999999</x:v>
      </x:c>
      <x:c r="J1712">
        <x:v>62.134099999999997</x:v>
      </x:c>
      <x:c r="K1712">
        <x:v>43.797600000000003</x:v>
      </x:c>
      <x:c r="L1712">
        <x:v>4.1147999999999998</x:v>
      </x:c>
      <x:c r="M1712">
        <x:v>0</x:v>
      </x:c>
      <x:c r="N1712">
        <x:v>7.6439000000000004</x:v>
      </x:c>
      <x:c r="O1712">
        <x:v>0</x:v>
      </x:c>
      <x:c r="P1712">
        <x:v>0</x:v>
      </x:c>
      <x:c r="Q1712">
        <x:v>0</x:v>
      </x:c>
      <x:c r="R1712">
        <x:v>0</x:v>
      </x:c>
      <x:c r="S1712">
        <x:v>0</x:v>
      </x:c>
      <x:c r="T1712" t="str">
        <x:f>""</x:f>
        <x:v/>
      </x:c>
      <x:c r="U1712" t="str">
        <x:f>""</x:f>
        <x:v/>
      </x:c>
      <x:c r="V1712" t="str">
        <x:f>""</x:f>
        <x:v/>
      </x:c>
      <x:c r="W1712" t="str">
        <x:f>""</x:f>
        <x:v/>
      </x:c>
      <x:c r="X1712" t="str">
        <x:f>""</x:f>
        <x:v/>
      </x:c>
      <x:c r="Y1712" t="str">
        <x:f>""</x:f>
        <x:v/>
      </x:c>
      <x:c r="Z1712" t="str">
        <x:f>""</x:f>
        <x:v/>
      </x:c>
      <x:c r="AA1712" t="str">
        <x:f>""</x:f>
        <x:v/>
      </x:c>
      <x:c r="AB1712" t="str">
        <x:f>""</x:f>
        <x:v/>
      </x:c>
      <x:c r="AC1712" t="str">
        <x:f>""</x:f>
        <x:v/>
      </x:c>
      <x:c r="AD1712" t="str">
        <x:f>""</x:f>
        <x:v/>
      </x:c>
      <x:c r="AE1712" t="str">
        <x:f>""</x:f>
        <x:v/>
      </x:c>
      <x:c r="AF1712" t="str">
        <x:f>""</x:f>
        <x:v/>
      </x:c>
      <x:c r="AG1712" t="str">
        <x:f>""</x:f>
        <x:v/>
      </x:c>
    </x:row>
    <x:row r="1713" spans="2:33" x14ac:dyDescent="0.25">
      <x:c r="B1713" t="str">
        <x:f>"GAST US Equity"</x:f>
        <x:v>GAST US Equity</x:v>
      </x:c>
      <x:c r="C1713" t="str">
        <x:f t="shared" si="74"/>
        <x:v>FD447</x:v>
      </x:c>
      <x:c r="D1713" t="str">
        <x:f t="shared" si="75"/>
        <x:v>FUND_FLOW</x:v>
      </x:c>
      <x:c r="E1713" t="str">
        <x:f t="shared" si="76"/>
        <x:v>Dynamic</x:v>
      </x:c>
      <x:c r="F1713">
        <x:f ca="1">_xll.BDH($B$1713,$C$1713,$B$1010,$B$1011,CONCATENATE("Per=",$B$1008),"Dts=H","Dir=H",CONCATENATE("Points=",$B$1009),"Sort=R","Days=A","Fill=B",CONCATENATE("FX=", $B$1007),"cols=14;rows=1")</x:f>
        <x:v>-0.45340000000000003</x:v>
      </x:c>
      <x:c r="G1713">
        <x:v>0</x:v>
      </x:c>
      <x:c r="H1713">
        <x:v>0</x:v>
      </x:c>
      <x:c r="I1713">
        <x:v>0</x:v>
      </x:c>
      <x:c r="J1713">
        <x:v>0</x:v>
      </x:c>
      <x:c r="K1713">
        <x:v>0</x:v>
      </x:c>
      <x:c r="L1713">
        <x:v>0</x:v>
      </x:c>
      <x:c r="M1713">
        <x:v>0</x:v>
      </x:c>
      <x:c r="N1713">
        <x:v>0</x:v>
      </x:c>
      <x:c r="O1713">
        <x:v>0</x:v>
      </x:c>
      <x:c r="P1713">
        <x:v>0</x:v>
      </x:c>
      <x:c r="Q1713">
        <x:v>0</x:v>
      </x:c>
      <x:c r="R1713">
        <x:v>0</x:v>
      </x:c>
      <x:c r="S1713">
        <x:v>0</x:v>
      </x:c>
      <x:c r="T1713" t="str">
        <x:f>""</x:f>
        <x:v/>
      </x:c>
      <x:c r="U1713" t="str">
        <x:f>""</x:f>
        <x:v/>
      </x:c>
      <x:c r="V1713" t="str">
        <x:f>""</x:f>
        <x:v/>
      </x:c>
      <x:c r="W1713" t="str">
        <x:f>""</x:f>
        <x:v/>
      </x:c>
      <x:c r="X1713" t="str">
        <x:f>""</x:f>
        <x:v/>
      </x:c>
      <x:c r="Y1713" t="str">
        <x:f>""</x:f>
        <x:v/>
      </x:c>
      <x:c r="Z1713" t="str">
        <x:f>""</x:f>
        <x:v/>
      </x:c>
      <x:c r="AA1713" t="str">
        <x:f>""</x:f>
        <x:v/>
      </x:c>
      <x:c r="AB1713" t="str">
        <x:f>""</x:f>
        <x:v/>
      </x:c>
      <x:c r="AC1713" t="str">
        <x:f>""</x:f>
        <x:v/>
      </x:c>
      <x:c r="AD1713" t="str">
        <x:f>""</x:f>
        <x:v/>
      </x:c>
      <x:c r="AE1713" t="str">
        <x:f>""</x:f>
        <x:v/>
      </x:c>
      <x:c r="AF1713" t="str">
        <x:f>""</x:f>
        <x:v/>
      </x:c>
      <x:c r="AG1713" t="str">
        <x:f>""</x:f>
        <x:v/>
      </x:c>
    </x:row>
    <x:row r="1714" spans="2:33" x14ac:dyDescent="0.25">
      <x:c r="B1714" t="str">
        <x:f>"IBRN US Equity"</x:f>
        <x:v>IBRN US Equity</x:v>
      </x:c>
      <x:c r="C1714" t="str">
        <x:f t="shared" si="74"/>
        <x:v>FD447</x:v>
      </x:c>
      <x:c r="D1714" t="str">
        <x:f t="shared" si="75"/>
        <x:v>FUND_FLOW</x:v>
      </x:c>
      <x:c r="E1714" t="str">
        <x:f t="shared" si="76"/>
        <x:v>Dynamic</x:v>
      </x:c>
      <x:c r="F1714">
        <x:f ca="1">_xll.BDH($B$1714,$C$1714,$B$1010,$B$1011,CONCATENATE("Per=",$B$1008),"Dts=H","Dir=H",CONCATENATE("Points=",$B$1009),"Sort=R","Days=A","Fill=B",CONCATENATE("FX=", $B$1007),"cols=14;rows=1")</x:f>
        <x:v>0</x:v>
      </x:c>
      <x:c r="G1714">
        <x:v>0</x:v>
      </x:c>
      <x:c r="H1714">
        <x:v>0</x:v>
      </x:c>
      <x:c r="I1714">
        <x:v>0</x:v>
      </x:c>
      <x:c r="J1714">
        <x:v>0</x:v>
      </x:c>
      <x:c r="K1714">
        <x:v>0</x:v>
      </x:c>
      <x:c r="L1714">
        <x:v>0</x:v>
      </x:c>
      <x:c r="M1714">
        <x:v>0</x:v>
      </x:c>
      <x:c r="N1714">
        <x:v>0</x:v>
      </x:c>
      <x:c r="O1714">
        <x:v>0</x:v>
      </x:c>
      <x:c r="P1714">
        <x:v>0</x:v>
      </x:c>
      <x:c r="Q1714">
        <x:v>0</x:v>
      </x:c>
      <x:c r="R1714">
        <x:v>0</x:v>
      </x:c>
      <x:c r="S1714">
        <x:v>0</x:v>
      </x:c>
      <x:c r="T1714" t="str">
        <x:f>""</x:f>
        <x:v/>
      </x:c>
      <x:c r="U1714" t="str">
        <x:f>""</x:f>
        <x:v/>
      </x:c>
      <x:c r="V1714" t="str">
        <x:f>""</x:f>
        <x:v/>
      </x:c>
      <x:c r="W1714" t="str">
        <x:f>""</x:f>
        <x:v/>
      </x:c>
      <x:c r="X1714" t="str">
        <x:f>""</x:f>
        <x:v/>
      </x:c>
      <x:c r="Y1714" t="str">
        <x:f>""</x:f>
        <x:v/>
      </x:c>
      <x:c r="Z1714" t="str">
        <x:f>""</x:f>
        <x:v/>
      </x:c>
      <x:c r="AA1714" t="str">
        <x:f>""</x:f>
        <x:v/>
      </x:c>
      <x:c r="AB1714" t="str">
        <x:f>""</x:f>
        <x:v/>
      </x:c>
      <x:c r="AC1714" t="str">
        <x:f>""</x:f>
        <x:v/>
      </x:c>
      <x:c r="AD1714" t="str">
        <x:f>""</x:f>
        <x:v/>
      </x:c>
      <x:c r="AE1714" t="str">
        <x:f>""</x:f>
        <x:v/>
      </x:c>
      <x:c r="AF1714" t="str">
        <x:f>""</x:f>
        <x:v/>
      </x:c>
      <x:c r="AG1714" t="str">
        <x:f>""</x:f>
        <x:v/>
      </x:c>
    </x:row>
    <x:row r="1715" spans="2:33" x14ac:dyDescent="0.25">
      <x:c r="B1715" t="str">
        <x:f>"UAV US Equity"</x:f>
        <x:v>UAV US Equity</x:v>
      </x:c>
      <x:c r="C1715" t="str">
        <x:f t="shared" si="74"/>
        <x:v>FD447</x:v>
      </x:c>
      <x:c r="D1715" t="str">
        <x:f t="shared" si="75"/>
        <x:v>FUND_FLOW</x:v>
      </x:c>
      <x:c r="E1715" t="str">
        <x:f t="shared" si="76"/>
        <x:v>Dynamic</x:v>
      </x:c>
      <x:c r="F1715" t="str">
        <x:f ca="1">_xll.BDH($B$1715,$C$1715,$B$1010,$B$1011,CONCATENATE("Per=",$B$1008),"Dts=H","Dir=H",CONCATENATE("Points=",$B$1009),"Sort=R","Days=A","Fill=B",CONCATENATE("FX=", $B$1007),"cols=14;rows=1")</x:f>
        <x:v/>
      </x:c>
      <x:c r="J1715">
        <x:v>0</x:v>
      </x:c>
      <x:c r="K1715">
        <x:v>0.1038</x:v>
      </x:c>
      <x:c r="L1715">
        <x:v>0</x:v>
      </x:c>
      <x:c r="M1715">
        <x:v>0</x:v>
      </x:c>
      <x:c r="N1715">
        <x:v>0</x:v>
      </x:c>
      <x:c r="O1715">
        <x:v>0.10440000000000001</x:v>
      </x:c>
      <x:c r="P1715">
        <x:v>0</x:v>
      </x:c>
      <x:c r="Q1715">
        <x:v>0</x:v>
      </x:c>
      <x:c r="R1715">
        <x:v>0</x:v>
      </x:c>
      <x:c r="S1715">
        <x:v>0.1133</x:v>
      </x:c>
      <x:c r="T1715" t="str">
        <x:f>""</x:f>
        <x:v/>
      </x:c>
      <x:c r="U1715" t="str">
        <x:f>""</x:f>
        <x:v/>
      </x:c>
      <x:c r="V1715" t="str">
        <x:f>""</x:f>
        <x:v/>
      </x:c>
      <x:c r="W1715" t="str">
        <x:f>""</x:f>
        <x:v/>
      </x:c>
      <x:c r="X1715" t="str">
        <x:f>""</x:f>
        <x:v/>
      </x:c>
      <x:c r="Y1715" t="str">
        <x:f>""</x:f>
        <x:v/>
      </x:c>
      <x:c r="Z1715" t="str">
        <x:f>""</x:f>
        <x:v/>
      </x:c>
      <x:c r="AA1715" t="str">
        <x:f>""</x:f>
        <x:v/>
      </x:c>
      <x:c r="AB1715" t="str">
        <x:f>""</x:f>
        <x:v/>
      </x:c>
      <x:c r="AC1715" t="str">
        <x:f>""</x:f>
        <x:v/>
      </x:c>
      <x:c r="AD1715" t="str">
        <x:f>""</x:f>
        <x:v/>
      </x:c>
      <x:c r="AE1715" t="str">
        <x:f>""</x:f>
        <x:v/>
      </x:c>
      <x:c r="AF1715" t="str">
        <x:f>""</x:f>
        <x:v/>
      </x:c>
      <x:c r="AG1715" t="str">
        <x:f>""</x:f>
        <x:v/>
      </x:c>
    </x:row>
    <x:row r="1716" spans="2:33" x14ac:dyDescent="0.25">
      <x:c r="B1716" t="str">
        <x:f>"GUNR US Equity"</x:f>
        <x:v>GUNR US Equity</x:v>
      </x:c>
      <x:c r="C1716" t="str">
        <x:f t="shared" si="74"/>
        <x:v>FD447</x:v>
      </x:c>
      <x:c r="D1716" t="str">
        <x:f t="shared" si="75"/>
        <x:v>FUND_FLOW</x:v>
      </x:c>
      <x:c r="E1716" t="str">
        <x:f t="shared" si="76"/>
        <x:v>Dynamic</x:v>
      </x:c>
      <x:c r="F1716">
        <x:f ca="1">_xll.BDH($B$1716,$C$1716,$B$1010,$B$1011,CONCATENATE("Per=",$B$1008),"Dts=H","Dir=H",CONCATENATE("Points=",$B$1009),"Sort=R","Days=A","Fill=B",CONCATENATE("FX=", $B$1007),"cols=14;rows=1")</x:f>
        <x:v>0</x:v>
      </x:c>
      <x:c r="G1716">
        <x:v>28.470800000000001</x:v>
      </x:c>
      <x:c r="H1716">
        <x:v>0</x:v>
      </x:c>
      <x:c r="I1716">
        <x:v>27.0181</x:v>
      </x:c>
      <x:c r="J1716">
        <x:v>48.471200000000003</x:v>
      </x:c>
      <x:c r="K1716">
        <x:v>25.008199999999999</x:v>
      </x:c>
      <x:c r="L1716">
        <x:v>71.857299999999995</x:v>
      </x:c>
      <x:c r="M1716">
        <x:v>36.9758</x:v>
      </x:c>
      <x:c r="N1716">
        <x:v>70.2423</x:v>
      </x:c>
      <x:c r="O1716">
        <x:v>83.692099999999996</x:v>
      </x:c>
      <x:c r="P1716">
        <x:v>218.14619999999999</x:v>
      </x:c>
      <x:c r="Q1716">
        <x:v>8.7439</x:v>
      </x:c>
      <x:c r="R1716">
        <x:v>-143.72200000000001</x:v>
      </x:c>
      <x:c r="S1716">
        <x:v>-195.185</x:v>
      </x:c>
      <x:c r="T1716" t="str">
        <x:f>""</x:f>
        <x:v/>
      </x:c>
      <x:c r="U1716" t="str">
        <x:f>""</x:f>
        <x:v/>
      </x:c>
      <x:c r="V1716" t="str">
        <x:f>""</x:f>
        <x:v/>
      </x:c>
      <x:c r="W1716" t="str">
        <x:f>""</x:f>
        <x:v/>
      </x:c>
      <x:c r="X1716" t="str">
        <x:f>""</x:f>
        <x:v/>
      </x:c>
      <x:c r="Y1716" t="str">
        <x:f>""</x:f>
        <x:v/>
      </x:c>
      <x:c r="Z1716" t="str">
        <x:f>""</x:f>
        <x:v/>
      </x:c>
      <x:c r="AA1716" t="str">
        <x:f>""</x:f>
        <x:v/>
      </x:c>
      <x:c r="AB1716" t="str">
        <x:f>""</x:f>
        <x:v/>
      </x:c>
      <x:c r="AC1716" t="str">
        <x:f>""</x:f>
        <x:v/>
      </x:c>
      <x:c r="AD1716" t="str">
        <x:f>""</x:f>
        <x:v/>
      </x:c>
      <x:c r="AE1716" t="str">
        <x:f>""</x:f>
        <x:v/>
      </x:c>
      <x:c r="AF1716" t="str">
        <x:f>""</x:f>
        <x:v/>
      </x:c>
      <x:c r="AG1716" t="str">
        <x:f>""</x:f>
        <x:v/>
      </x:c>
    </x:row>
    <x:row r="1717" spans="2:33" x14ac:dyDescent="0.25">
      <x:c r="B1717" t="str">
        <x:f>"HAP US Equity"</x:f>
        <x:v>HAP US Equity</x:v>
      </x:c>
      <x:c r="C1717" t="str">
        <x:f t="shared" si="74"/>
        <x:v>FD447</x:v>
      </x:c>
      <x:c r="D1717" t="str">
        <x:f t="shared" si="75"/>
        <x:v>FUND_FLOW</x:v>
      </x:c>
      <x:c r="E1717" t="str">
        <x:f t="shared" si="76"/>
        <x:v>Dynamic</x:v>
      </x:c>
      <x:c r="F1717">
        <x:f ca="1">_xll.BDH($B$1717,$C$1717,$B$1010,$B$1011,CONCATENATE("Per=",$B$1008),"Dts=H","Dir=H",CONCATENATE("Points=",$B$1009),"Sort=R","Days=A","Fill=B",CONCATENATE("FX=", $B$1007),"cols=14;rows=1")</x:f>
        <x:v>7.3745000000000003</x:v>
      </x:c>
      <x:c r="G1717">
        <x:v>0</x:v>
      </x:c>
      <x:c r="H1717">
        <x:v>4.7416</x:v>
      </x:c>
      <x:c r="I1717">
        <x:v>-7.3299000000000003</x:v>
      </x:c>
      <x:c r="J1717">
        <x:v>-7.2283999999999997</x:v>
      </x:c>
      <x:c r="K1717">
        <x:v>11.5413</x:v>
      </x:c>
      <x:c r="L1717">
        <x:v>0</x:v>
      </x:c>
      <x:c r="M1717">
        <x:v>-2.5350000000000001</x:v>
      </x:c>
      <x:c r="N1717">
        <x:v>-7.5473999999999997</x:v>
      </x:c>
      <x:c r="O1717">
        <x:v>0</x:v>
      </x:c>
      <x:c r="P1717">
        <x:v>7.6923000000000004</x:v>
      </x:c>
      <x:c r="Q1717">
        <x:v>2.6040000000000001</x:v>
      </x:c>
      <x:c r="R1717">
        <x:v>0</x:v>
      </x:c>
      <x:c r="S1717">
        <x:v>0</x:v>
      </x:c>
      <x:c r="T1717" t="str">
        <x:f>""</x:f>
        <x:v/>
      </x:c>
      <x:c r="U1717" t="str">
        <x:f>""</x:f>
        <x:v/>
      </x:c>
      <x:c r="V1717" t="str">
        <x:f>""</x:f>
        <x:v/>
      </x:c>
      <x:c r="W1717" t="str">
        <x:f>""</x:f>
        <x:v/>
      </x:c>
      <x:c r="X1717" t="str">
        <x:f>""</x:f>
        <x:v/>
      </x:c>
      <x:c r="Y1717" t="str">
        <x:f>""</x:f>
        <x:v/>
      </x:c>
      <x:c r="Z1717" t="str">
        <x:f>""</x:f>
        <x:v/>
      </x:c>
      <x:c r="AA1717" t="str">
        <x:f>""</x:f>
        <x:v/>
      </x:c>
      <x:c r="AB1717" t="str">
        <x:f>""</x:f>
        <x:v/>
      </x:c>
      <x:c r="AC1717" t="str">
        <x:f>""</x:f>
        <x:v/>
      </x:c>
      <x:c r="AD1717" t="str">
        <x:f>""</x:f>
        <x:v/>
      </x:c>
      <x:c r="AE1717" t="str">
        <x:f>""</x:f>
        <x:v/>
      </x:c>
      <x:c r="AF1717" t="str">
        <x:f>""</x:f>
        <x:v/>
      </x:c>
      <x:c r="AG1717" t="str">
        <x:f>""</x:f>
        <x:v/>
      </x:c>
    </x:row>
    <x:row r="1718" spans="2:33" x14ac:dyDescent="0.25">
      <x:c r="B1718" t="str">
        <x:f>"FTRI US Equity"</x:f>
        <x:v>FTRI US Equity</x:v>
      </x:c>
      <x:c r="C1718" t="str">
        <x:f t="shared" ref="C1718:C1781" si="77">"FD447"</x:f>
        <x:v>FD447</x:v>
      </x:c>
      <x:c r="D1718" t="str">
        <x:f t="shared" ref="D1718:D1781" si="78">"FUND_FLOW"</x:f>
        <x:v>FUND_FLOW</x:v>
      </x:c>
      <x:c r="E1718" t="str">
        <x:f t="shared" ref="E1718:E1781" si="79">"Dynamic"</x:f>
        <x:v>Dynamic</x:v>
      </x:c>
      <x:c r="F1718">
        <x:f ca="1">_xll.BDH($B$1718,$C$1718,$B$1010,$B$1011,CONCATENATE("Per=",$B$1008),"Dts=H","Dir=H",CONCATENATE("Points=",$B$1009),"Sort=R","Days=A","Fill=B",CONCATENATE("FX=", $B$1007),"cols=14;rows=1")</x:f>
        <x:v>-5.6601999999999997</x:v>
      </x:c>
      <x:c r="G1718">
        <x:v>-3.9131</x:v>
      </x:c>
      <x:c r="H1718">
        <x:v>0.64939999999999998</x:v>
      </x:c>
      <x:c r="I1718">
        <x:v>-0.61599999999999999</x:v>
      </x:c>
      <x:c r="J1718">
        <x:v>-18.049499999999998</x:v>
      </x:c>
      <x:c r="K1718">
        <x:v>-21.224499999999999</x:v>
      </x:c>
      <x:c r="L1718">
        <x:v>-4.0830000000000002</x:v>
      </x:c>
      <x:c r="M1718">
        <x:v>-9.6910000000000007</x:v>
      </x:c>
      <x:c r="N1718">
        <x:v>9.8859999999999992</x:v>
      </x:c>
      <x:c r="O1718">
        <x:v>38.052199999999999</x:v>
      </x:c>
      <x:c r="P1718">
        <x:v>16.677800000000001</x:v>
      </x:c>
      <x:c r="Q1718">
        <x:v>17.136500000000002</x:v>
      </x:c>
      <x:c r="R1718">
        <x:v>7.7798999999999996</x:v>
      </x:c>
      <x:c r="S1718">
        <x:v>5.4866000000000001</x:v>
      </x:c>
      <x:c r="T1718" t="str">
        <x:f>""</x:f>
        <x:v/>
      </x:c>
      <x:c r="U1718" t="str">
        <x:f>""</x:f>
        <x:v/>
      </x:c>
      <x:c r="V1718" t="str">
        <x:f>""</x:f>
        <x:v/>
      </x:c>
      <x:c r="W1718" t="str">
        <x:f>""</x:f>
        <x:v/>
      </x:c>
      <x:c r="X1718" t="str">
        <x:f>""</x:f>
        <x:v/>
      </x:c>
      <x:c r="Y1718" t="str">
        <x:f>""</x:f>
        <x:v/>
      </x:c>
      <x:c r="Z1718" t="str">
        <x:f>""</x:f>
        <x:v/>
      </x:c>
      <x:c r="AA1718" t="str">
        <x:f>""</x:f>
        <x:v/>
      </x:c>
      <x:c r="AB1718" t="str">
        <x:f>""</x:f>
        <x:v/>
      </x:c>
      <x:c r="AC1718" t="str">
        <x:f>""</x:f>
        <x:v/>
      </x:c>
      <x:c r="AD1718" t="str">
        <x:f>""</x:f>
        <x:v/>
      </x:c>
      <x:c r="AE1718" t="str">
        <x:f>""</x:f>
        <x:v/>
      </x:c>
      <x:c r="AF1718" t="str">
        <x:f>""</x:f>
        <x:v/>
      </x:c>
      <x:c r="AG1718" t="str">
        <x:f>""</x:f>
        <x:v/>
      </x:c>
    </x:row>
    <x:row r="1719" spans="2:33" x14ac:dyDescent="0.25">
      <x:c r="B1719" t="str">
        <x:f>"IGE US Equity"</x:f>
        <x:v>IGE US Equity</x:v>
      </x:c>
      <x:c r="C1719" t="str">
        <x:f t="shared" si="77"/>
        <x:v>FD447</x:v>
      </x:c>
      <x:c r="D1719" t="str">
        <x:f t="shared" si="78"/>
        <x:v>FUND_FLOW</x:v>
      </x:c>
      <x:c r="E1719" t="str">
        <x:f t="shared" si="79"/>
        <x:v>Dynamic</x:v>
      </x:c>
      <x:c r="F1719">
        <x:f ca="1">_xll.BDH($B$1719,$C$1719,$B$1010,$B$1011,CONCATENATE("Per=",$B$1008),"Dts=H","Dir=H",CONCATENATE("Points=",$B$1009),"Sort=R","Days=A","Fill=B",CONCATENATE("FX=", $B$1007),"cols=14;rows=1")</x:f>
        <x:v>-3.7061999999999999</x:v>
      </x:c>
      <x:c r="G1719">
        <x:v>14.9473</x:v>
      </x:c>
      <x:c r="H1719">
        <x:v>-6.1372</x:v>
      </x:c>
      <x:c r="I1719">
        <x:v>-33.930700000000002</x:v>
      </x:c>
      <x:c r="J1719">
        <x:v>-130.72</x:v>
      </x:c>
      <x:c r="K1719">
        <x:v>-49.5182</x:v>
      </x:c>
      <x:c r="L1719">
        <x:v>-26.216699999999999</x:v>
      </x:c>
      <x:c r="M1719">
        <x:v>-15.7165</x:v>
      </x:c>
      <x:c r="N1719">
        <x:v>-28.738</x:v>
      </x:c>
      <x:c r="O1719">
        <x:v>-27.241</x:v>
      </x:c>
      <x:c r="P1719">
        <x:v>9.9099999999999994E-2</x:v>
      </x:c>
      <x:c r="Q1719">
        <x:v>37.722299999999997</x:v>
      </x:c>
      <x:c r="R1719">
        <x:v>-26.508500000000002</x:v>
      </x:c>
      <x:c r="S1719">
        <x:v>-71.609800000000007</x:v>
      </x:c>
      <x:c r="T1719" t="str">
        <x:f>""</x:f>
        <x:v/>
      </x:c>
      <x:c r="U1719" t="str">
        <x:f>""</x:f>
        <x:v/>
      </x:c>
      <x:c r="V1719" t="str">
        <x:f>""</x:f>
        <x:v/>
      </x:c>
      <x:c r="W1719" t="str">
        <x:f>""</x:f>
        <x:v/>
      </x:c>
      <x:c r="X1719" t="str">
        <x:f>""</x:f>
        <x:v/>
      </x:c>
      <x:c r="Y1719" t="str">
        <x:f>""</x:f>
        <x:v/>
      </x:c>
      <x:c r="Z1719" t="str">
        <x:f>""</x:f>
        <x:v/>
      </x:c>
      <x:c r="AA1719" t="str">
        <x:f>""</x:f>
        <x:v/>
      </x:c>
      <x:c r="AB1719" t="str">
        <x:f>""</x:f>
        <x:v/>
      </x:c>
      <x:c r="AC1719" t="str">
        <x:f>""</x:f>
        <x:v/>
      </x:c>
      <x:c r="AD1719" t="str">
        <x:f>""</x:f>
        <x:v/>
      </x:c>
      <x:c r="AE1719" t="str">
        <x:f>""</x:f>
        <x:v/>
      </x:c>
      <x:c r="AF1719" t="str">
        <x:f>""</x:f>
        <x:v/>
      </x:c>
      <x:c r="AG1719" t="str">
        <x:f>""</x:f>
        <x:v/>
      </x:c>
    </x:row>
    <x:row r="1720" spans="2:33" x14ac:dyDescent="0.25">
      <x:c r="B1720" t="str">
        <x:f>"GNR US Equity"</x:f>
        <x:v>GNR US Equity</x:v>
      </x:c>
      <x:c r="C1720" t="str">
        <x:f t="shared" si="77"/>
        <x:v>FD447</x:v>
      </x:c>
      <x:c r="D1720" t="str">
        <x:f t="shared" si="78"/>
        <x:v>FUND_FLOW</x:v>
      </x:c>
      <x:c r="E1720" t="str">
        <x:f t="shared" si="79"/>
        <x:v>Dynamic</x:v>
      </x:c>
      <x:c r="F1720">
        <x:f ca="1">_xll.BDH($B$1720,$C$1720,$B$1010,$B$1011,CONCATENATE("Per=",$B$1008),"Dts=H","Dir=H",CONCATENATE("Points=",$B$1009),"Sort=R","Days=A","Fill=B",CONCATENATE("FX=", $B$1007),"cols=14;rows=1")</x:f>
        <x:v>163.22479999999999</x:v>
      </x:c>
      <x:c r="G1720">
        <x:v>144.08600000000001</x:v>
      </x:c>
      <x:c r="H1720">
        <x:v>27.455400000000001</x:v>
      </x:c>
      <x:c r="I1720">
        <x:v>57.950800000000001</x:v>
      </x:c>
      <x:c r="J1720">
        <x:v>0</x:v>
      </x:c>
      <x:c r="K1720">
        <x:v>-280.08969999999999</x:v>
      </x:c>
      <x:c r="L1720">
        <x:v>-7.6223999999999998</x:v>
      </x:c>
      <x:c r="M1720">
        <x:v>12.303699999999999</x:v>
      </x:c>
      <x:c r="N1720">
        <x:v>46.084099999999999</x:v>
      </x:c>
      <x:c r="O1720">
        <x:v>136.6651</x:v>
      </x:c>
      <x:c r="P1720">
        <x:v>128.3151</x:v>
      </x:c>
      <x:c r="Q1720">
        <x:v>-4.0152999999999999</x:v>
      </x:c>
      <x:c r="R1720">
        <x:v>-21.018799999999999</x:v>
      </x:c>
      <x:c r="S1720">
        <x:v>-57.051200000000001</x:v>
      </x:c>
      <x:c r="T1720" t="str">
        <x:f>""</x:f>
        <x:v/>
      </x:c>
      <x:c r="U1720" t="str">
        <x:f>""</x:f>
        <x:v/>
      </x:c>
      <x:c r="V1720" t="str">
        <x:f>""</x:f>
        <x:v/>
      </x:c>
      <x:c r="W1720" t="str">
        <x:f>""</x:f>
        <x:v/>
      </x:c>
      <x:c r="X1720" t="str">
        <x:f>""</x:f>
        <x:v/>
      </x:c>
      <x:c r="Y1720" t="str">
        <x:f>""</x:f>
        <x:v/>
      </x:c>
      <x:c r="Z1720" t="str">
        <x:f>""</x:f>
        <x:v/>
      </x:c>
      <x:c r="AA1720" t="str">
        <x:f>""</x:f>
        <x:v/>
      </x:c>
      <x:c r="AB1720" t="str">
        <x:f>""</x:f>
        <x:v/>
      </x:c>
      <x:c r="AC1720" t="str">
        <x:f>""</x:f>
        <x:v/>
      </x:c>
      <x:c r="AD1720" t="str">
        <x:f>""</x:f>
        <x:v/>
      </x:c>
      <x:c r="AE1720" t="str">
        <x:f>""</x:f>
        <x:v/>
      </x:c>
      <x:c r="AF1720" t="str">
        <x:f>""</x:f>
        <x:v/>
      </x:c>
      <x:c r="AG1720" t="str">
        <x:f>""</x:f>
        <x:v/>
      </x:c>
    </x:row>
    <x:row r="1721" spans="2:33" x14ac:dyDescent="0.25">
      <x:c r="B1721" t="str">
        <x:f>"BUYN US Equity"</x:f>
        <x:v>BUYN US Equity</x:v>
      </x:c>
      <x:c r="C1721" t="str">
        <x:f t="shared" si="77"/>
        <x:v>FD447</x:v>
      </x:c>
      <x:c r="D1721" t="str">
        <x:f t="shared" si="78"/>
        <x:v>FUND_FLOW</x:v>
      </x:c>
      <x:c r="E1721" t="str">
        <x:f t="shared" si="79"/>
        <x:v>Dynamic</x:v>
      </x:c>
      <x:c r="F1721" t="str">
        <x:f ca="1">_xll.BDH($B$1721,$C$1721,$B$1010,$B$1011,CONCATENATE("Per=",$B$1008),"Dts=H","Dir=H",CONCATENATE("Points=",$B$1009),"Sort=R","Days=A","Fill=B",CONCATENATE("FX=", $B$1007) )</x:f>
        <x:v/>
      </x:c>
      <x:c r="T1721" t="str">
        <x:f>""</x:f>
        <x:v/>
      </x:c>
      <x:c r="U1721" t="str">
        <x:f>""</x:f>
        <x:v/>
      </x:c>
      <x:c r="V1721" t="str">
        <x:f>""</x:f>
        <x:v/>
      </x:c>
      <x:c r="W1721" t="str">
        <x:f>""</x:f>
        <x:v/>
      </x:c>
      <x:c r="X1721" t="str">
        <x:f>""</x:f>
        <x:v/>
      </x:c>
      <x:c r="Y1721" t="str">
        <x:f>""</x:f>
        <x:v/>
      </x:c>
      <x:c r="Z1721" t="str">
        <x:f>""</x:f>
        <x:v/>
      </x:c>
      <x:c r="AA1721" t="str">
        <x:f>""</x:f>
        <x:v/>
      </x:c>
      <x:c r="AB1721" t="str">
        <x:f>""</x:f>
        <x:v/>
      </x:c>
      <x:c r="AC1721" t="str">
        <x:f>""</x:f>
        <x:v/>
      </x:c>
      <x:c r="AD1721" t="str">
        <x:f>""</x:f>
        <x:v/>
      </x:c>
      <x:c r="AE1721" t="str">
        <x:f>""</x:f>
        <x:v/>
      </x:c>
      <x:c r="AF1721" t="str">
        <x:f>""</x:f>
        <x:v/>
      </x:c>
      <x:c r="AG1721" t="str">
        <x:f>""</x:f>
        <x:v/>
      </x:c>
    </x:row>
    <x:row r="1722" spans="2:33" x14ac:dyDescent="0.25">
      <x:c r="B1722" t="str">
        <x:f>"PIO US Equity"</x:f>
        <x:v>PIO US Equity</x:v>
      </x:c>
      <x:c r="C1722" t="str">
        <x:f t="shared" si="77"/>
        <x:v>FD447</x:v>
      </x:c>
      <x:c r="D1722" t="str">
        <x:f t="shared" si="78"/>
        <x:v>FUND_FLOW</x:v>
      </x:c>
      <x:c r="E1722" t="str">
        <x:f t="shared" si="79"/>
        <x:v>Dynamic</x:v>
      </x:c>
      <x:c r="F1722">
        <x:f ca="1">_xll.BDH($B$1722,$C$1722,$B$1010,$B$1011,CONCATENATE("Per=",$B$1008),"Dts=H","Dir=H",CONCATENATE("Points=",$B$1009),"Sort=R","Days=A","Fill=B",CONCATENATE("FX=", $B$1007),"cols=14;rows=1")</x:f>
        <x:v>0</x:v>
      </x:c>
      <x:c r="G1722">
        <x:v>-3.4927000000000001</x:v>
      </x:c>
      <x:c r="H1722">
        <x:v>0</x:v>
      </x:c>
      <x:c r="I1722">
        <x:v>-12.5768</x:v>
      </x:c>
      <x:c r="J1722">
        <x:v>-1.7974000000000001</x:v>
      </x:c>
      <x:c r="K1722">
        <x:v>-5.2766999999999999</x:v>
      </x:c>
      <x:c r="L1722">
        <x:v>0</x:v>
      </x:c>
      <x:c r="M1722">
        <x:v>-1.6719999999999999</x:v>
      </x:c>
      <x:c r="N1722">
        <x:v>0</x:v>
      </x:c>
      <x:c r="O1722">
        <x:v>-1.7681</x:v>
      </x:c>
      <x:c r="P1722">
        <x:v>-4.9939999999999998</x:v>
      </x:c>
      <x:c r="Q1722">
        <x:v>-3.371</x:v>
      </x:c>
      <x:c r="R1722">
        <x:v>2.8727</x:v>
      </x:c>
      <x:c r="S1722">
        <x:v>-1.3299999999999999E-2</x:v>
      </x:c>
      <x:c r="T1722" t="str">
        <x:f>""</x:f>
        <x:v/>
      </x:c>
      <x:c r="U1722" t="str">
        <x:f>""</x:f>
        <x:v/>
      </x:c>
      <x:c r="V1722" t="str">
        <x:f>""</x:f>
        <x:v/>
      </x:c>
      <x:c r="W1722" t="str">
        <x:f>""</x:f>
        <x:v/>
      </x:c>
      <x:c r="X1722" t="str">
        <x:f>""</x:f>
        <x:v/>
      </x:c>
      <x:c r="Y1722" t="str">
        <x:f>""</x:f>
        <x:v/>
      </x:c>
      <x:c r="Z1722" t="str">
        <x:f>""</x:f>
        <x:v/>
      </x:c>
      <x:c r="AA1722" t="str">
        <x:f>""</x:f>
        <x:v/>
      </x:c>
      <x:c r="AB1722" t="str">
        <x:f>""</x:f>
        <x:v/>
      </x:c>
      <x:c r="AC1722" t="str">
        <x:f>""</x:f>
        <x:v/>
      </x:c>
      <x:c r="AD1722" t="str">
        <x:f>""</x:f>
        <x:v/>
      </x:c>
      <x:c r="AE1722" t="str">
        <x:f>""</x:f>
        <x:v/>
      </x:c>
      <x:c r="AF1722" t="str">
        <x:f>""</x:f>
        <x:v/>
      </x:c>
      <x:c r="AG1722" t="str">
        <x:f>""</x:f>
        <x:v/>
      </x:c>
    </x:row>
    <x:row r="1723" spans="2:33" x14ac:dyDescent="0.25">
      <x:c r="B1723" t="str">
        <x:f>"PHO US Equity"</x:f>
        <x:v>PHO US Equity</x:v>
      </x:c>
      <x:c r="C1723" t="str">
        <x:f t="shared" si="77"/>
        <x:v>FD447</x:v>
      </x:c>
      <x:c r="D1723" t="str">
        <x:f t="shared" si="78"/>
        <x:v>FUND_FLOW</x:v>
      </x:c>
      <x:c r="E1723" t="str">
        <x:f t="shared" si="79"/>
        <x:v>Dynamic</x:v>
      </x:c>
      <x:c r="F1723">
        <x:f ca="1">_xll.BDH($B$1723,$C$1723,$B$1010,$B$1011,CONCATENATE("Per=",$B$1008),"Dts=H","Dir=H",CONCATENATE("Points=",$B$1009),"Sort=R","Days=A","Fill=B",CONCATENATE("FX=", $B$1007),"cols=14;rows=1")</x:f>
        <x:v>-17.543199999999999</x:v>
      </x:c>
      <x:c r="G1723">
        <x:v>-9.1499000000000006</x:v>
      </x:c>
      <x:c r="H1723">
        <x:v>3.4535999999999998</x:v>
      </x:c>
      <x:c r="I1723">
        <x:v>10.935</x:v>
      </x:c>
      <x:c r="J1723">
        <x:v>4.782</x:v>
      </x:c>
      <x:c r="K1723">
        <x:v>-10.4046</x:v>
      </x:c>
      <x:c r="L1723">
        <x:v>-11.463800000000001</x:v>
      </x:c>
      <x:c r="M1723">
        <x:v>-7.1101000000000001</x:v>
      </x:c>
      <x:c r="N1723">
        <x:v>24.571899999999999</x:v>
      </x:c>
      <x:c r="O1723">
        <x:v>-6.3480999999999996</x:v>
      </x:c>
      <x:c r="P1723">
        <x:v>1.8654999999999999</x:v>
      </x:c>
      <x:c r="Q1723">
        <x:v>-8.9345999999999997</x:v>
      </x:c>
      <x:c r="R1723">
        <x:v>-0.52580000000000005</x:v>
      </x:c>
      <x:c r="S1723">
        <x:v>-16.213799999999999</x:v>
      </x:c>
      <x:c r="T1723" t="str">
        <x:f>""</x:f>
        <x:v/>
      </x:c>
      <x:c r="U1723" t="str">
        <x:f>""</x:f>
        <x:v/>
      </x:c>
      <x:c r="V1723" t="str">
        <x:f>""</x:f>
        <x:v/>
      </x:c>
      <x:c r="W1723" t="str">
        <x:f>""</x:f>
        <x:v/>
      </x:c>
      <x:c r="X1723" t="str">
        <x:f>""</x:f>
        <x:v/>
      </x:c>
      <x:c r="Y1723" t="str">
        <x:f>""</x:f>
        <x:v/>
      </x:c>
      <x:c r="Z1723" t="str">
        <x:f>""</x:f>
        <x:v/>
      </x:c>
      <x:c r="AA1723" t="str">
        <x:f>""</x:f>
        <x:v/>
      </x:c>
      <x:c r="AB1723" t="str">
        <x:f>""</x:f>
        <x:v/>
      </x:c>
      <x:c r="AC1723" t="str">
        <x:f>""</x:f>
        <x:v/>
      </x:c>
      <x:c r="AD1723" t="str">
        <x:f>""</x:f>
        <x:v/>
      </x:c>
      <x:c r="AE1723" t="str">
        <x:f>""</x:f>
        <x:v/>
      </x:c>
      <x:c r="AF1723" t="str">
        <x:f>""</x:f>
        <x:v/>
      </x:c>
      <x:c r="AG1723" t="str">
        <x:f>""</x:f>
        <x:v/>
      </x:c>
    </x:row>
    <x:row r="1724" spans="2:33" x14ac:dyDescent="0.25">
      <x:c r="B1724" t="str">
        <x:f>"CGW US Equity"</x:f>
        <x:v>CGW US Equity</x:v>
      </x:c>
      <x:c r="C1724" t="str">
        <x:f t="shared" si="77"/>
        <x:v>FD447</x:v>
      </x:c>
      <x:c r="D1724" t="str">
        <x:f t="shared" si="78"/>
        <x:v>FUND_FLOW</x:v>
      </x:c>
      <x:c r="E1724" t="str">
        <x:f t="shared" si="79"/>
        <x:v>Dynamic</x:v>
      </x:c>
      <x:c r="F1724">
        <x:f ca="1">_xll.BDH($B$1724,$C$1724,$B$1010,$B$1011,CONCATENATE("Per=",$B$1008),"Dts=H","Dir=H",CONCATENATE("Points=",$B$1009),"Sort=R","Days=A","Fill=B",CONCATENATE("FX=", $B$1007),"cols=14;rows=1")</x:f>
        <x:v>-18.412800000000001</x:v>
      </x:c>
      <x:c r="G1724">
        <x:v>-3.8050000000000002</x:v>
      </x:c>
      <x:c r="H1724">
        <x:v>-8.0946999999999996</x:v>
      </x:c>
      <x:c r="I1724">
        <x:v>-8.6661000000000001</x:v>
      </x:c>
      <x:c r="J1724">
        <x:v>-4.0674000000000001</x:v>
      </x:c>
      <x:c r="K1724">
        <x:v>-11.8072</x:v>
      </x:c>
      <x:c r="L1724">
        <x:v>-0.49199999999999999</x:v>
      </x:c>
      <x:c r="M1724">
        <x:v>-3.8462999999999998</x:v>
      </x:c>
      <x:c r="N1724">
        <x:v>-36.519799999999996</x:v>
      </x:c>
      <x:c r="O1724">
        <x:v>3.9868000000000001</x:v>
      </x:c>
      <x:c r="P1724">
        <x:v>0</x:v>
      </x:c>
      <x:c r="Q1724">
        <x:v>-3.9195000000000002</x:v>
      </x:c>
      <x:c r="R1724">
        <x:v>0</x:v>
      </x:c>
      <x:c r="S1724">
        <x:v>0</x:v>
      </x:c>
      <x:c r="T1724" t="str">
        <x:f>""</x:f>
        <x:v/>
      </x:c>
      <x:c r="U1724" t="str">
        <x:f>""</x:f>
        <x:v/>
      </x:c>
      <x:c r="V1724" t="str">
        <x:f>""</x:f>
        <x:v/>
      </x:c>
      <x:c r="W1724" t="str">
        <x:f>""</x:f>
        <x:v/>
      </x:c>
      <x:c r="X1724" t="str">
        <x:f>""</x:f>
        <x:v/>
      </x:c>
      <x:c r="Y1724" t="str">
        <x:f>""</x:f>
        <x:v/>
      </x:c>
      <x:c r="Z1724" t="str">
        <x:f>""</x:f>
        <x:v/>
      </x:c>
      <x:c r="AA1724" t="str">
        <x:f>""</x:f>
        <x:v/>
      </x:c>
      <x:c r="AB1724" t="str">
        <x:f>""</x:f>
        <x:v/>
      </x:c>
      <x:c r="AC1724" t="str">
        <x:f>""</x:f>
        <x:v/>
      </x:c>
      <x:c r="AD1724" t="str">
        <x:f>""</x:f>
        <x:v/>
      </x:c>
      <x:c r="AE1724" t="str">
        <x:f>""</x:f>
        <x:v/>
      </x:c>
      <x:c r="AF1724" t="str">
        <x:f>""</x:f>
        <x:v/>
      </x:c>
      <x:c r="AG1724" t="str">
        <x:f>""</x:f>
        <x:v/>
      </x:c>
    </x:row>
    <x:row r="1725" spans="2:33" x14ac:dyDescent="0.25">
      <x:c r="B1725" t="str">
        <x:f>"EBLU US Equity"</x:f>
        <x:v>EBLU US Equity</x:v>
      </x:c>
      <x:c r="C1725" t="str">
        <x:f t="shared" si="77"/>
        <x:v>FD447</x:v>
      </x:c>
      <x:c r="D1725" t="str">
        <x:f t="shared" si="78"/>
        <x:v>FUND_FLOW</x:v>
      </x:c>
      <x:c r="E1725" t="str">
        <x:f t="shared" si="79"/>
        <x:v>Dynamic</x:v>
      </x:c>
      <x:c r="F1725">
        <x:f ca="1">_xll.BDH($B$1725,$C$1725,$B$1010,$B$1011,CONCATENATE("Per=",$B$1008),"Dts=H","Dir=H",CONCATENATE("Points=",$B$1009),"Sort=R","Days=A","Fill=B",CONCATENATE("FX=", $B$1007),"cols=14;rows=1")</x:f>
        <x:v>0</x:v>
      </x:c>
      <x:c r="G1725">
        <x:v>-1.9807999999999999</x:v>
      </x:c>
      <x:c r="H1725">
        <x:v>0</x:v>
      </x:c>
      <x:c r="I1725">
        <x:v>0</x:v>
      </x:c>
      <x:c r="J1725">
        <x:v>0</x:v>
      </x:c>
      <x:c r="K1725">
        <x:v>0</x:v>
      </x:c>
      <x:c r="L1725">
        <x:v>-1.9825999999999999</x:v>
      </x:c>
      <x:c r="M1725">
        <x:v>-1.8962000000000001</x:v>
      </x:c>
      <x:c r="N1725">
        <x:v>0</x:v>
      </x:c>
      <x:c r="O1725">
        <x:v>-9.7608999999999995</x:v>
      </x:c>
      <x:c r="P1725">
        <x:v>-1.8640000000000001</x:v>
      </x:c>
      <x:c r="Q1725">
        <x:v>-1.7499</x:v>
      </x:c>
      <x:c r="R1725">
        <x:v>0</x:v>
      </x:c>
      <x:c r="S1725">
        <x:v>0</x:v>
      </x:c>
      <x:c r="T1725" t="str">
        <x:f>""</x:f>
        <x:v/>
      </x:c>
      <x:c r="U1725" t="str">
        <x:f>""</x:f>
        <x:v/>
      </x:c>
      <x:c r="V1725" t="str">
        <x:f>""</x:f>
        <x:v/>
      </x:c>
      <x:c r="W1725" t="str">
        <x:f>""</x:f>
        <x:v/>
      </x:c>
      <x:c r="X1725" t="str">
        <x:f>""</x:f>
        <x:v/>
      </x:c>
      <x:c r="Y1725" t="str">
        <x:f>""</x:f>
        <x:v/>
      </x:c>
      <x:c r="Z1725" t="str">
        <x:f>""</x:f>
        <x:v/>
      </x:c>
      <x:c r="AA1725" t="str">
        <x:f>""</x:f>
        <x:v/>
      </x:c>
      <x:c r="AB1725" t="str">
        <x:f>""</x:f>
        <x:v/>
      </x:c>
      <x:c r="AC1725" t="str">
        <x:f>""</x:f>
        <x:v/>
      </x:c>
      <x:c r="AD1725" t="str">
        <x:f>""</x:f>
        <x:v/>
      </x:c>
      <x:c r="AE1725" t="str">
        <x:f>""</x:f>
        <x:v/>
      </x:c>
      <x:c r="AF1725" t="str">
        <x:f>""</x:f>
        <x:v/>
      </x:c>
      <x:c r="AG1725" t="str">
        <x:f>""</x:f>
        <x:v/>
      </x:c>
    </x:row>
    <x:row r="1726" spans="2:33" x14ac:dyDescent="0.25">
      <x:c r="B1726" t="str">
        <x:f>"FIW US Equity"</x:f>
        <x:v>FIW US Equity</x:v>
      </x:c>
      <x:c r="C1726" t="str">
        <x:f t="shared" si="77"/>
        <x:v>FD447</x:v>
      </x:c>
      <x:c r="D1726" t="str">
        <x:f t="shared" si="78"/>
        <x:v>FUND_FLOW</x:v>
      </x:c>
      <x:c r="E1726" t="str">
        <x:f t="shared" si="79"/>
        <x:v>Dynamic</x:v>
      </x:c>
      <x:c r="F1726">
        <x:f ca="1">_xll.BDH($B$1726,$C$1726,$B$1010,$B$1011,CONCATENATE("Per=",$B$1008),"Dts=H","Dir=H",CONCATENATE("Points=",$B$1009),"Sort=R","Days=A","Fill=B",CONCATENATE("FX=", $B$1007),"cols=14;rows=1")</x:f>
        <x:v>-8.1659000000000006</x:v>
      </x:c>
      <x:c r="G1726">
        <x:v>5.0781999999999998</x:v>
      </x:c>
      <x:c r="H1726">
        <x:v>8.9849999999999994</x:v>
      </x:c>
      <x:c r="I1726">
        <x:v>9.0545000000000009</x:v>
      </x:c>
      <x:c r="J1726">
        <x:v>8.8544999999999998</x:v>
      </x:c>
      <x:c r="K1726">
        <x:v>16.728999999999999</x:v>
      </x:c>
      <x:c r="L1726">
        <x:v>12.180999999999999</x:v>
      </x:c>
      <x:c r="M1726">
        <x:v>-2.8969999999999998</x:v>
      </x:c>
      <x:c r="N1726">
        <x:v>4.2575000000000003</x:v>
      </x:c>
      <x:c r="O1726">
        <x:v>-20.616499999999998</x:v>
      </x:c>
      <x:c r="P1726">
        <x:v>0</x:v>
      </x:c>
      <x:c r="Q1726">
        <x:v>-11.6472</x:v>
      </x:c>
      <x:c r="R1726">
        <x:v>-3.6779999999999999</x:v>
      </x:c>
      <x:c r="S1726">
        <x:v>24.580100000000002</x:v>
      </x:c>
      <x:c r="T1726" t="str">
        <x:f>""</x:f>
        <x:v/>
      </x:c>
      <x:c r="U1726" t="str">
        <x:f>""</x:f>
        <x:v/>
      </x:c>
      <x:c r="V1726" t="str">
        <x:f>""</x:f>
        <x:v/>
      </x:c>
      <x:c r="W1726" t="str">
        <x:f>""</x:f>
        <x:v/>
      </x:c>
      <x:c r="X1726" t="str">
        <x:f>""</x:f>
        <x:v/>
      </x:c>
      <x:c r="Y1726" t="str">
        <x:f>""</x:f>
        <x:v/>
      </x:c>
      <x:c r="Z1726" t="str">
        <x:f>""</x:f>
        <x:v/>
      </x:c>
      <x:c r="AA1726" t="str">
        <x:f>""</x:f>
        <x:v/>
      </x:c>
      <x:c r="AB1726" t="str">
        <x:f>""</x:f>
        <x:v/>
      </x:c>
      <x:c r="AC1726" t="str">
        <x:f>""</x:f>
        <x:v/>
      </x:c>
      <x:c r="AD1726" t="str">
        <x:f>""</x:f>
        <x:v/>
      </x:c>
      <x:c r="AE1726" t="str">
        <x:f>""</x:f>
        <x:v/>
      </x:c>
      <x:c r="AF1726" t="str">
        <x:f>""</x:f>
        <x:v/>
      </x:c>
      <x:c r="AG1726" t="str">
        <x:f>""</x:f>
        <x:v/>
      </x:c>
    </x:row>
    <x:row r="1727" spans="2:33" x14ac:dyDescent="0.25">
      <x:c r="B1727" t="str">
        <x:f>"AQWA US Equity"</x:f>
        <x:v>AQWA US Equity</x:v>
      </x:c>
      <x:c r="C1727" t="str">
        <x:f t="shared" si="77"/>
        <x:v>FD447</x:v>
      </x:c>
      <x:c r="D1727" t="str">
        <x:f t="shared" si="78"/>
        <x:v>FUND_FLOW</x:v>
      </x:c>
      <x:c r="E1727" t="str">
        <x:f t="shared" si="79"/>
        <x:v>Dynamic</x:v>
      </x:c>
      <x:c r="F1727">
        <x:f ca="1">_xll.BDH($B$1727,$C$1727,$B$1010,$B$1011,CONCATENATE("Per=",$B$1008),"Dts=H","Dir=H",CONCATENATE("Points=",$B$1009),"Sort=R","Days=A","Fill=B",CONCATENATE("FX=", $B$1007),"cols=14;rows=1")</x:f>
        <x:v>0</x:v>
      </x:c>
      <x:c r="G1727">
        <x:v>0</x:v>
      </x:c>
      <x:c r="H1727">
        <x:v>0.61199999999999999</x:v>
      </x:c>
      <x:c r="I1727">
        <x:v>0.312</x:v>
      </x:c>
      <x:c r="J1727">
        <x:v>-0.45929999999999999</x:v>
      </x:c>
      <x:c r="K1727">
        <x:v>0</x:v>
      </x:c>
      <x:c r="L1727">
        <x:v>0</x:v>
      </x:c>
      <x:c r="M1727">
        <x:v>0</x:v>
      </x:c>
      <x:c r="N1727">
        <x:v>0</x:v>
      </x:c>
      <x:c r="O1727">
        <x:v>0</x:v>
      </x:c>
      <x:c r="P1727">
        <x:v>0.71199999999999997</x:v>
      </x:c>
      <x:c r="Q1727">
        <x:v>0</x:v>
      </x:c>
      <x:c r="R1727">
        <x:v>0</x:v>
      </x:c>
      <x:c r="S1727">
        <x:v>0.78</x:v>
      </x:c>
      <x:c r="T1727" t="str">
        <x:f>""</x:f>
        <x:v/>
      </x:c>
      <x:c r="U1727" t="str">
        <x:f>""</x:f>
        <x:v/>
      </x:c>
      <x:c r="V1727" t="str">
        <x:f>""</x:f>
        <x:v/>
      </x:c>
      <x:c r="W1727" t="str">
        <x:f>""</x:f>
        <x:v/>
      </x:c>
      <x:c r="X1727" t="str">
        <x:f>""</x:f>
        <x:v/>
      </x:c>
      <x:c r="Y1727" t="str">
        <x:f>""</x:f>
        <x:v/>
      </x:c>
      <x:c r="Z1727" t="str">
        <x:f>""</x:f>
        <x:v/>
      </x:c>
      <x:c r="AA1727" t="str">
        <x:f>""</x:f>
        <x:v/>
      </x:c>
      <x:c r="AB1727" t="str">
        <x:f>""</x:f>
        <x:v/>
      </x:c>
      <x:c r="AC1727" t="str">
        <x:f>""</x:f>
        <x:v/>
      </x:c>
      <x:c r="AD1727" t="str">
        <x:f>""</x:f>
        <x:v/>
      </x:c>
      <x:c r="AE1727" t="str">
        <x:f>""</x:f>
        <x:v/>
      </x:c>
      <x:c r="AF1727" t="str">
        <x:f>""</x:f>
        <x:v/>
      </x:c>
      <x:c r="AG1727" t="str">
        <x:f>""</x:f>
        <x:v/>
      </x:c>
    </x:row>
    <x:row r="1728" spans="2:33" x14ac:dyDescent="0.25">
      <x:c r="B1728" t="str">
        <x:f>"IWTR US Equity"</x:f>
        <x:v>IWTR US Equity</x:v>
      </x:c>
      <x:c r="C1728" t="str">
        <x:f t="shared" si="77"/>
        <x:v>FD447</x:v>
      </x:c>
      <x:c r="D1728" t="str">
        <x:f t="shared" si="78"/>
        <x:v>FUND_FLOW</x:v>
      </x:c>
      <x:c r="E1728" t="str">
        <x:f t="shared" si="79"/>
        <x:v>Dynamic</x:v>
      </x:c>
      <x:c r="F1728">
        <x:f ca="1">_xll.BDH($B$1728,$C$1728,$B$1010,$B$1011,CONCATENATE("Per=",$B$1008),"Dts=H","Dir=H",CONCATENATE("Points=",$B$1009),"Sort=R","Days=A","Fill=B",CONCATENATE("FX=", $B$1007),"cols=14;rows=1")</x:f>
        <x:v>0</x:v>
      </x:c>
      <x:c r="G1728">
        <x:v>0</x:v>
      </x:c>
      <x:c r="H1728">
        <x:v>0</x:v>
      </x:c>
      <x:c r="I1728">
        <x:v>0</x:v>
      </x:c>
      <x:c r="J1728">
        <x:v>0</x:v>
      </x:c>
      <x:c r="K1728">
        <x:v>0</x:v>
      </x:c>
      <x:c r="L1728">
        <x:v>0</x:v>
      </x:c>
      <x:c r="M1728">
        <x:v>0</x:v>
      </x:c>
      <x:c r="N1728">
        <x:v>0</x:v>
      </x:c>
      <x:c r="O1728">
        <x:v>0</x:v>
      </x:c>
      <x:c r="P1728">
        <x:v>0</x:v>
      </x:c>
      <x:c r="Q1728">
        <x:v>0</x:v>
      </x:c>
      <x:c r="R1728">
        <x:v>0</x:v>
      </x:c>
      <x:c r="S1728">
        <x:v>0</x:v>
      </x:c>
      <x:c r="T1728" t="str">
        <x:f>""</x:f>
        <x:v/>
      </x:c>
      <x:c r="U1728" t="str">
        <x:f>""</x:f>
        <x:v/>
      </x:c>
      <x:c r="V1728" t="str">
        <x:f>""</x:f>
        <x:v/>
      </x:c>
      <x:c r="W1728" t="str">
        <x:f>""</x:f>
        <x:v/>
      </x:c>
      <x:c r="X1728" t="str">
        <x:f>""</x:f>
        <x:v/>
      </x:c>
      <x:c r="Y1728" t="str">
        <x:f>""</x:f>
        <x:v/>
      </x:c>
      <x:c r="Z1728" t="str">
        <x:f>""</x:f>
        <x:v/>
      </x:c>
      <x:c r="AA1728" t="str">
        <x:f>""</x:f>
        <x:v/>
      </x:c>
      <x:c r="AB1728" t="str">
        <x:f>""</x:f>
        <x:v/>
      </x:c>
      <x:c r="AC1728" t="str">
        <x:f>""</x:f>
        <x:v/>
      </x:c>
      <x:c r="AD1728" t="str">
        <x:f>""</x:f>
        <x:v/>
      </x:c>
      <x:c r="AE1728" t="str">
        <x:f>""</x:f>
        <x:v/>
      </x:c>
      <x:c r="AF1728" t="str">
        <x:f>""</x:f>
        <x:v/>
      </x:c>
      <x:c r="AG1728" t="str">
        <x:f>""</x:f>
        <x:v/>
      </x:c>
    </x:row>
    <x:row r="1729" spans="2:33" x14ac:dyDescent="0.25">
      <x:c r="B1729" t="str">
        <x:f>"SETM US Equity"</x:f>
        <x:v>SETM US Equity</x:v>
      </x:c>
      <x:c r="C1729" t="str">
        <x:f t="shared" si="77"/>
        <x:v>FD447</x:v>
      </x:c>
      <x:c r="D1729" t="str">
        <x:f t="shared" si="78"/>
        <x:v>FUND_FLOW</x:v>
      </x:c>
      <x:c r="E1729" t="str">
        <x:f t="shared" si="79"/>
        <x:v>Dynamic</x:v>
      </x:c>
      <x:c r="F1729">
        <x:f ca="1">_xll.BDH($B$1729,$C$1729,$B$1010,$B$1011,CONCATENATE("Per=",$B$1008),"Dts=H","Dir=H",CONCATENATE("Points=",$B$1009),"Sort=R","Days=A","Fill=B",CONCATENATE("FX=", $B$1007),"cols=14;rows=1")</x:f>
        <x:v>0</x:v>
      </x:c>
      <x:c r="G1729">
        <x:v>1.2725</x:v>
      </x:c>
      <x:c r="H1729">
        <x:v>1.9459</x:v>
      </x:c>
      <x:c r="I1729">
        <x:v>0.87819999999999998</x:v>
      </x:c>
      <x:c r="J1729">
        <x:v>1.8018000000000001</x:v>
      </x:c>
      <x:c r="K1729">
        <x:v>-1.3372999999999999</x:v>
      </x:c>
      <x:c r="L1729">
        <x:v>0</x:v>
      </x:c>
      <x:c r="M1729">
        <x:v>3.1960000000000002</x:v>
      </x:c>
      <x:c r="N1729">
        <x:v>2.1341000000000001</x:v>
      </x:c>
      <x:c r="T1729" t="str">
        <x:f>""</x:f>
        <x:v/>
      </x:c>
      <x:c r="U1729" t="str">
        <x:f>""</x:f>
        <x:v/>
      </x:c>
      <x:c r="V1729" t="str">
        <x:f>""</x:f>
        <x:v/>
      </x:c>
      <x:c r="W1729" t="str">
        <x:f>""</x:f>
        <x:v/>
      </x:c>
      <x:c r="X1729" t="str">
        <x:f>""</x:f>
        <x:v/>
      </x:c>
      <x:c r="Y1729" t="str">
        <x:f>""</x:f>
        <x:v/>
      </x:c>
      <x:c r="Z1729" t="str">
        <x:f>""</x:f>
        <x:v/>
      </x:c>
      <x:c r="AA1729" t="str">
        <x:f>""</x:f>
        <x:v/>
      </x:c>
      <x:c r="AB1729" t="str">
        <x:f>""</x:f>
        <x:v/>
      </x:c>
      <x:c r="AC1729" t="str">
        <x:f>""</x:f>
        <x:v/>
      </x:c>
      <x:c r="AD1729" t="str">
        <x:f>""</x:f>
        <x:v/>
      </x:c>
      <x:c r="AE1729" t="str">
        <x:f>""</x:f>
        <x:v/>
      </x:c>
      <x:c r="AF1729" t="str">
        <x:f>""</x:f>
        <x:v/>
      </x:c>
      <x:c r="AG1729" t="str">
        <x:f>""</x:f>
        <x:v/>
      </x:c>
    </x:row>
    <x:row r="1730" spans="2:33" x14ac:dyDescent="0.25">
      <x:c r="B1730" t="str">
        <x:f>"CRIT US Equity"</x:f>
        <x:v>CRIT US Equity</x:v>
      </x:c>
      <x:c r="C1730" t="str">
        <x:f t="shared" si="77"/>
        <x:v>FD447</x:v>
      </x:c>
      <x:c r="D1730" t="str">
        <x:f t="shared" si="78"/>
        <x:v>FUND_FLOW</x:v>
      </x:c>
      <x:c r="E1730" t="str">
        <x:f t="shared" si="79"/>
        <x:v>Dynamic</x:v>
      </x:c>
      <x:c r="F1730">
        <x:f ca="1">_xll.BDH($B$1730,$C$1730,$B$1010,$B$1011,CONCATENATE("Per=",$B$1008),"Dts=H","Dir=H",CONCATENATE("Points=",$B$1009),"Sort=R","Days=A","Fill=B",CONCATENATE("FX=", $B$1007),"cols=14;rows=1")</x:f>
        <x:v>0</x:v>
      </x:c>
      <x:c r="G1730">
        <x:v>0</x:v>
      </x:c>
      <x:c r="H1730">
        <x:v>0</x:v>
      </x:c>
      <x:c r="I1730">
        <x:v>0</x:v>
      </x:c>
      <x:c r="J1730">
        <x:v>0</x:v>
      </x:c>
      <x:c r="K1730">
        <x:v>0</x:v>
      </x:c>
      <x:c r="L1730">
        <x:v>0.3886</x:v>
      </x:c>
      <x:c r="M1730">
        <x:v>-0.2087</x:v>
      </x:c>
      <x:c r="N1730">
        <x:v>0.40920000000000001</x:v>
      </x:c>
      <x:c r="O1730">
        <x:v>-0.47799999999999998</x:v>
      </x:c>
      <x:c r="P1730">
        <x:v>0</x:v>
      </x:c>
      <x:c r="Q1730">
        <x:v>0</x:v>
      </x:c>
      <x:c r="R1730">
        <x:v>0</x:v>
      </x:c>
      <x:c r="S1730">
        <x:v>0.73919999999999997</x:v>
      </x:c>
      <x:c r="T1730" t="str">
        <x:f>""</x:f>
        <x:v/>
      </x:c>
      <x:c r="U1730" t="str">
        <x:f>""</x:f>
        <x:v/>
      </x:c>
      <x:c r="V1730" t="str">
        <x:f>""</x:f>
        <x:v/>
      </x:c>
      <x:c r="W1730" t="str">
        <x:f>""</x:f>
        <x:v/>
      </x:c>
      <x:c r="X1730" t="str">
        <x:f>""</x:f>
        <x:v/>
      </x:c>
      <x:c r="Y1730" t="str">
        <x:f>""</x:f>
        <x:v/>
      </x:c>
      <x:c r="Z1730" t="str">
        <x:f>""</x:f>
        <x:v/>
      </x:c>
      <x:c r="AA1730" t="str">
        <x:f>""</x:f>
        <x:v/>
      </x:c>
      <x:c r="AB1730" t="str">
        <x:f>""</x:f>
        <x:v/>
      </x:c>
      <x:c r="AC1730" t="str">
        <x:f>""</x:f>
        <x:v/>
      </x:c>
      <x:c r="AD1730" t="str">
        <x:f>""</x:f>
        <x:v/>
      </x:c>
      <x:c r="AE1730" t="str">
        <x:f>""</x:f>
        <x:v/>
      </x:c>
      <x:c r="AF1730" t="str">
        <x:f>""</x:f>
        <x:v/>
      </x:c>
      <x:c r="AG1730" t="str">
        <x:f>""</x:f>
        <x:v/>
      </x:c>
    </x:row>
    <x:row r="1731" spans="2:33" x14ac:dyDescent="0.25">
      <x:c r="B1731" t="str">
        <x:f>"REMX US Equity"</x:f>
        <x:v>REMX US Equity</x:v>
      </x:c>
      <x:c r="C1731" t="str">
        <x:f t="shared" si="77"/>
        <x:v>FD447</x:v>
      </x:c>
      <x:c r="D1731" t="str">
        <x:f t="shared" si="78"/>
        <x:v>FUND_FLOW</x:v>
      </x:c>
      <x:c r="E1731" t="str">
        <x:f t="shared" si="79"/>
        <x:v>Dynamic</x:v>
      </x:c>
      <x:c r="F1731">
        <x:f ca="1">_xll.BDH($B$1731,$C$1731,$B$1010,$B$1011,CONCATENATE("Per=",$B$1008),"Dts=H","Dir=H",CONCATENATE("Points=",$B$1009),"Sort=R","Days=A","Fill=B",CONCATENATE("FX=", $B$1007),"cols=14;rows=1")</x:f>
        <x:v>-26.807700000000001</x:v>
      </x:c>
      <x:c r="G1731">
        <x:v>7.1243999999999996</x:v>
      </x:c>
      <x:c r="H1731">
        <x:v>0.70130000000000003</x:v>
      </x:c>
      <x:c r="I1731">
        <x:v>9.9599999999999994E-2</x:v>
      </x:c>
      <x:c r="J1731">
        <x:v>-1.6799999999999999E-2</x:v>
      </x:c>
      <x:c r="K1731">
        <x:v>-38.1038</x:v>
      </x:c>
      <x:c r="L1731">
        <x:v>-4.0039999999999996</x:v>
      </x:c>
      <x:c r="M1731">
        <x:v>19.9345</x:v>
      </x:c>
      <x:c r="N1731">
        <x:v>-49.6464</x:v>
      </x:c>
      <x:c r="O1731">
        <x:v>-12.242800000000001</x:v>
      </x:c>
      <x:c r="P1731">
        <x:v>13.398899999999999</x:v>
      </x:c>
      <x:c r="Q1731">
        <x:v>14.210900000000001</x:v>
      </x:c>
      <x:c r="R1731">
        <x:v>-33.909999999999997</x:v>
      </x:c>
      <x:c r="S1731">
        <x:v>-17.448899999999998</x:v>
      </x:c>
      <x:c r="T1731" t="str">
        <x:f>""</x:f>
        <x:v/>
      </x:c>
      <x:c r="U1731" t="str">
        <x:f>""</x:f>
        <x:v/>
      </x:c>
      <x:c r="V1731" t="str">
        <x:f>""</x:f>
        <x:v/>
      </x:c>
      <x:c r="W1731" t="str">
        <x:f>""</x:f>
        <x:v/>
      </x:c>
      <x:c r="X1731" t="str">
        <x:f>""</x:f>
        <x:v/>
      </x:c>
      <x:c r="Y1731" t="str">
        <x:f>""</x:f>
        <x:v/>
      </x:c>
      <x:c r="Z1731" t="str">
        <x:f>""</x:f>
        <x:v/>
      </x:c>
      <x:c r="AA1731" t="str">
        <x:f>""</x:f>
        <x:v/>
      </x:c>
      <x:c r="AB1731" t="str">
        <x:f>""</x:f>
        <x:v/>
      </x:c>
      <x:c r="AC1731" t="str">
        <x:f>""</x:f>
        <x:v/>
      </x:c>
      <x:c r="AD1731" t="str">
        <x:f>""</x:f>
        <x:v/>
      </x:c>
      <x:c r="AE1731" t="str">
        <x:f>""</x:f>
        <x:v/>
      </x:c>
      <x:c r="AF1731" t="str">
        <x:f>""</x:f>
        <x:v/>
      </x:c>
      <x:c r="AG1731" t="str">
        <x:f>""</x:f>
        <x:v/>
      </x:c>
    </x:row>
    <x:row r="1732" spans="2:33" x14ac:dyDescent="0.25">
      <x:c r="B1732" t="str">
        <x:f>"OBOR US Equity"</x:f>
        <x:v>OBOR US Equity</x:v>
      </x:c>
      <x:c r="C1732" t="str">
        <x:f t="shared" si="77"/>
        <x:v>FD447</x:v>
      </x:c>
      <x:c r="D1732" t="str">
        <x:f t="shared" si="78"/>
        <x:v>FUND_FLOW</x:v>
      </x:c>
      <x:c r="E1732" t="str">
        <x:f t="shared" si="79"/>
        <x:v>Dynamic</x:v>
      </x:c>
      <x:c r="F1732">
        <x:f ca="1">_xll.BDH($B$1732,$C$1732,$B$1010,$B$1011,CONCATENATE("Per=",$B$1008),"Dts=H","Dir=H",CONCATENATE("Points=",$B$1009),"Sort=R","Days=A","Fill=B",CONCATENATE("FX=", $B$1007),"cols=14;rows=1")</x:f>
        <x:v>0</x:v>
      </x:c>
      <x:c r="G1732">
        <x:v>0</x:v>
      </x:c>
      <x:c r="H1732">
        <x:v>0</x:v>
      </x:c>
      <x:c r="I1732">
        <x:v>0</x:v>
      </x:c>
      <x:c r="J1732">
        <x:v>0</x:v>
      </x:c>
      <x:c r="K1732">
        <x:v>0</x:v>
      </x:c>
      <x:c r="L1732">
        <x:v>0</x:v>
      </x:c>
      <x:c r="M1732">
        <x:v>0</x:v>
      </x:c>
      <x:c r="N1732">
        <x:v>0</x:v>
      </x:c>
      <x:c r="O1732">
        <x:v>0</x:v>
      </x:c>
      <x:c r="P1732">
        <x:v>0</x:v>
      </x:c>
      <x:c r="Q1732">
        <x:v>0</x:v>
      </x:c>
      <x:c r="R1732">
        <x:v>0</x:v>
      </x:c>
      <x:c r="S1732">
        <x:v>0</x:v>
      </x:c>
      <x:c r="T1732" t="str">
        <x:f>""</x:f>
        <x:v/>
      </x:c>
      <x:c r="U1732" t="str">
        <x:f>""</x:f>
        <x:v/>
      </x:c>
      <x:c r="V1732" t="str">
        <x:f>""</x:f>
        <x:v/>
      </x:c>
      <x:c r="W1732" t="str">
        <x:f>""</x:f>
        <x:v/>
      </x:c>
      <x:c r="X1732" t="str">
        <x:f>""</x:f>
        <x:v/>
      </x:c>
      <x:c r="Y1732" t="str">
        <x:f>""</x:f>
        <x:v/>
      </x:c>
      <x:c r="Z1732" t="str">
        <x:f>""</x:f>
        <x:v/>
      </x:c>
      <x:c r="AA1732" t="str">
        <x:f>""</x:f>
        <x:v/>
      </x:c>
      <x:c r="AB1732" t="str">
        <x:f>""</x:f>
        <x:v/>
      </x:c>
      <x:c r="AC1732" t="str">
        <x:f>""</x:f>
        <x:v/>
      </x:c>
      <x:c r="AD1732" t="str">
        <x:f>""</x:f>
        <x:v/>
      </x:c>
      <x:c r="AE1732" t="str">
        <x:f>""</x:f>
        <x:v/>
      </x:c>
      <x:c r="AF1732" t="str">
        <x:f>""</x:f>
        <x:v/>
      </x:c>
      <x:c r="AG1732" t="str">
        <x:f>""</x:f>
        <x:v/>
      </x:c>
    </x:row>
    <x:row r="1733" spans="2:33" x14ac:dyDescent="0.25">
      <x:c r="B1733" t="str">
        <x:f>"SIMS US Equity"</x:f>
        <x:v>SIMS US Equity</x:v>
      </x:c>
      <x:c r="C1733" t="str">
        <x:f t="shared" si="77"/>
        <x:v>FD447</x:v>
      </x:c>
      <x:c r="D1733" t="str">
        <x:f t="shared" si="78"/>
        <x:v>FUND_FLOW</x:v>
      </x:c>
      <x:c r="E1733" t="str">
        <x:f t="shared" si="79"/>
        <x:v>Dynamic</x:v>
      </x:c>
      <x:c r="F1733">
        <x:f ca="1">_xll.BDH($B$1733,$C$1733,$B$1010,$B$1011,CONCATENATE("Per=",$B$1008),"Dts=H","Dir=H",CONCATENATE("Points=",$B$1009),"Sort=R","Days=A","Fill=B",CONCATENATE("FX=", $B$1007),"cols=14;rows=1")</x:f>
        <x:v>-0.28560000000000002</x:v>
      </x:c>
      <x:c r="G1733">
        <x:v>0</x:v>
      </x:c>
      <x:c r="H1733">
        <x:v>0</x:v>
      </x:c>
      <x:c r="I1733">
        <x:v>0</x:v>
      </x:c>
      <x:c r="J1733">
        <x:v>-0.71250000000000002</x:v>
      </x:c>
      <x:c r="K1733">
        <x:v>-2.6707000000000001</x:v>
      </x:c>
      <x:c r="L1733">
        <x:v>0</x:v>
      </x:c>
      <x:c r="M1733">
        <x:v>0</x:v>
      </x:c>
      <x:c r="N1733">
        <x:v>0.37459999999999999</x:v>
      </x:c>
      <x:c r="O1733">
        <x:v>-0.3543</x:v>
      </x:c>
      <x:c r="P1733">
        <x:v>-2.0167000000000002</x:v>
      </x:c>
      <x:c r="Q1733">
        <x:v>-2.0979999999999999</x:v>
      </x:c>
      <x:c r="R1733">
        <x:v>-1.2547999999999999</x:v>
      </x:c>
      <x:c r="S1733">
        <x:v>-0.74380000000000002</x:v>
      </x:c>
      <x:c r="T1733" t="str">
        <x:f>""</x:f>
        <x:v/>
      </x:c>
      <x:c r="U1733" t="str">
        <x:f>""</x:f>
        <x:v/>
      </x:c>
      <x:c r="V1733" t="str">
        <x:f>""</x:f>
        <x:v/>
      </x:c>
      <x:c r="W1733" t="str">
        <x:f>""</x:f>
        <x:v/>
      </x:c>
      <x:c r="X1733" t="str">
        <x:f>""</x:f>
        <x:v/>
      </x:c>
      <x:c r="Y1733" t="str">
        <x:f>""</x:f>
        <x:v/>
      </x:c>
      <x:c r="Z1733" t="str">
        <x:f>""</x:f>
        <x:v/>
      </x:c>
      <x:c r="AA1733" t="str">
        <x:f>""</x:f>
        <x:v/>
      </x:c>
      <x:c r="AB1733" t="str">
        <x:f>""</x:f>
        <x:v/>
      </x:c>
      <x:c r="AC1733" t="str">
        <x:f>""</x:f>
        <x:v/>
      </x:c>
      <x:c r="AD1733" t="str">
        <x:f>""</x:f>
        <x:v/>
      </x:c>
      <x:c r="AE1733" t="str">
        <x:f>""</x:f>
        <x:v/>
      </x:c>
      <x:c r="AF1733" t="str">
        <x:f>""</x:f>
        <x:v/>
      </x:c>
      <x:c r="AG1733" t="str">
        <x:f>""</x:f>
        <x:v/>
      </x:c>
    </x:row>
    <x:row r="1734" spans="2:33" x14ac:dyDescent="0.25">
      <x:c r="B1734" t="str">
        <x:f>"IFRA US Equity"</x:f>
        <x:v>IFRA US Equity</x:v>
      </x:c>
      <x:c r="C1734" t="str">
        <x:f t="shared" si="77"/>
        <x:v>FD447</x:v>
      </x:c>
      <x:c r="D1734" t="str">
        <x:f t="shared" si="78"/>
        <x:v>FUND_FLOW</x:v>
      </x:c>
      <x:c r="E1734" t="str">
        <x:f t="shared" si="79"/>
        <x:v>Dynamic</x:v>
      </x:c>
      <x:c r="F1734">
        <x:f ca="1">_xll.BDH($B$1734,$C$1734,$B$1010,$B$1011,CONCATENATE("Per=",$B$1008),"Dts=H","Dir=H",CONCATENATE("Points=",$B$1009),"Sort=R","Days=A","Fill=B",CONCATENATE("FX=", $B$1007),"cols=14;rows=1")</x:f>
        <x:v>21.459</x:v>
      </x:c>
      <x:c r="G1734">
        <x:v>4.12</x:v>
      </x:c>
      <x:c r="H1734">
        <x:v>69.902699999999996</x:v>
      </x:c>
      <x:c r="I1734">
        <x:v>202.71940000000001</x:v>
      </x:c>
      <x:c r="J1734">
        <x:v>5.7298</x:v>
      </x:c>
      <x:c r="K1734">
        <x:v>-1.44E-2</x:v>
      </x:c>
      <x:c r="L1734">
        <x:v>3.7187999999999999</x:v>
      </x:c>
      <x:c r="M1734">
        <x:v>-29.473299999999998</x:v>
      </x:c>
      <x:c r="N1734">
        <x:v>17.4635</x:v>
      </x:c>
      <x:c r="O1734">
        <x:v>-5.7979000000000003</x:v>
      </x:c>
      <x:c r="P1734">
        <x:v>5.2348999999999997</x:v>
      </x:c>
      <x:c r="Q1734">
        <x:v>77.780299999999997</x:v>
      </x:c>
      <x:c r="R1734">
        <x:v>4.7300000000000002E-2</x:v>
      </x:c>
      <x:c r="S1734">
        <x:v>21.942900000000002</x:v>
      </x:c>
      <x:c r="T1734" t="str">
        <x:f>""</x:f>
        <x:v/>
      </x:c>
      <x:c r="U1734" t="str">
        <x:f>""</x:f>
        <x:v/>
      </x:c>
      <x:c r="V1734" t="str">
        <x:f>""</x:f>
        <x:v/>
      </x:c>
      <x:c r="W1734" t="str">
        <x:f>""</x:f>
        <x:v/>
      </x:c>
      <x:c r="X1734" t="str">
        <x:f>""</x:f>
        <x:v/>
      </x:c>
      <x:c r="Y1734" t="str">
        <x:f>""</x:f>
        <x:v/>
      </x:c>
      <x:c r="Z1734" t="str">
        <x:f>""</x:f>
        <x:v/>
      </x:c>
      <x:c r="AA1734" t="str">
        <x:f>""</x:f>
        <x:v/>
      </x:c>
      <x:c r="AB1734" t="str">
        <x:f>""</x:f>
        <x:v/>
      </x:c>
      <x:c r="AC1734" t="str">
        <x:f>""</x:f>
        <x:v/>
      </x:c>
      <x:c r="AD1734" t="str">
        <x:f>""</x:f>
        <x:v/>
      </x:c>
      <x:c r="AE1734" t="str">
        <x:f>""</x:f>
        <x:v/>
      </x:c>
      <x:c r="AF1734" t="str">
        <x:f>""</x:f>
        <x:v/>
      </x:c>
      <x:c r="AG1734" t="str">
        <x:f>""</x:f>
        <x:v/>
      </x:c>
    </x:row>
    <x:row r="1735" spans="2:33" x14ac:dyDescent="0.25">
      <x:c r="B1735" t="str">
        <x:f>"EMLP US Equity"</x:f>
        <x:v>EMLP US Equity</x:v>
      </x:c>
      <x:c r="C1735" t="str">
        <x:f t="shared" si="77"/>
        <x:v>FD447</x:v>
      </x:c>
      <x:c r="D1735" t="str">
        <x:f t="shared" si="78"/>
        <x:v>FUND_FLOW</x:v>
      </x:c>
      <x:c r="E1735" t="str">
        <x:f t="shared" si="79"/>
        <x:v>Dynamic</x:v>
      </x:c>
      <x:c r="F1735">
        <x:f ca="1">_xll.BDH($B$1735,$C$1735,$B$1010,$B$1011,CONCATENATE("Per=",$B$1008),"Dts=H","Dir=H",CONCATENATE("Points=",$B$1009),"Sort=R","Days=A","Fill=B",CONCATENATE("FX=", $B$1007),"cols=14;rows=1")</x:f>
        <x:v>-75.576700000000002</x:v>
      </x:c>
      <x:c r="G1735">
        <x:v>14.3451</x:v>
      </x:c>
      <x:c r="H1735">
        <x:v>-15.119400000000001</x:v>
      </x:c>
      <x:c r="I1735">
        <x:v>-5.7095000000000002</x:v>
      </x:c>
      <x:c r="J1735">
        <x:v>-22.808</x:v>
      </x:c>
      <x:c r="K1735">
        <x:v>-34.665999999999997</x:v>
      </x:c>
      <x:c r="L1735">
        <x:v>-16.193000000000001</x:v>
      </x:c>
      <x:c r="M1735">
        <x:v>-21.0975</x:v>
      </x:c>
      <x:c r="N1735">
        <x:v>-88.838499999999996</x:v>
      </x:c>
      <x:c r="O1735">
        <x:v>-16.3535</x:v>
      </x:c>
      <x:c r="P1735">
        <x:v>-2.3699999999999999E-2</x:v>
      </x:c>
      <x:c r="Q1735">
        <x:v>17.492799999999999</x:v>
      </x:c>
      <x:c r="R1735">
        <x:v>25.857600000000001</x:v>
      </x:c>
      <x:c r="S1735">
        <x:v>9.2469999999999999</x:v>
      </x:c>
      <x:c r="T1735" t="str">
        <x:f>""</x:f>
        <x:v/>
      </x:c>
      <x:c r="U1735" t="str">
        <x:f>""</x:f>
        <x:v/>
      </x:c>
      <x:c r="V1735" t="str">
        <x:f>""</x:f>
        <x:v/>
      </x:c>
      <x:c r="W1735" t="str">
        <x:f>""</x:f>
        <x:v/>
      </x:c>
      <x:c r="X1735" t="str">
        <x:f>""</x:f>
        <x:v/>
      </x:c>
      <x:c r="Y1735" t="str">
        <x:f>""</x:f>
        <x:v/>
      </x:c>
      <x:c r="Z1735" t="str">
        <x:f>""</x:f>
        <x:v/>
      </x:c>
      <x:c r="AA1735" t="str">
        <x:f>""</x:f>
        <x:v/>
      </x:c>
      <x:c r="AB1735" t="str">
        <x:f>""</x:f>
        <x:v/>
      </x:c>
      <x:c r="AC1735" t="str">
        <x:f>""</x:f>
        <x:v/>
      </x:c>
      <x:c r="AD1735" t="str">
        <x:f>""</x:f>
        <x:v/>
      </x:c>
      <x:c r="AE1735" t="str">
        <x:f>""</x:f>
        <x:v/>
      </x:c>
      <x:c r="AF1735" t="str">
        <x:f>""</x:f>
        <x:v/>
      </x:c>
      <x:c r="AG1735" t="str">
        <x:f>""</x:f>
        <x:v/>
      </x:c>
    </x:row>
    <x:row r="1736" spans="2:33" x14ac:dyDescent="0.25">
      <x:c r="B1736" t="str">
        <x:f>"NFRA US Equity"</x:f>
        <x:v>NFRA US Equity</x:v>
      </x:c>
      <x:c r="C1736" t="str">
        <x:f t="shared" si="77"/>
        <x:v>FD447</x:v>
      </x:c>
      <x:c r="D1736" t="str">
        <x:f t="shared" si="78"/>
        <x:v>FUND_FLOW</x:v>
      </x:c>
      <x:c r="E1736" t="str">
        <x:f t="shared" si="79"/>
        <x:v>Dynamic</x:v>
      </x:c>
      <x:c r="F1736">
        <x:f ca="1">_xll.BDH($B$1736,$C$1736,$B$1010,$B$1011,CONCATENATE("Per=",$B$1008),"Dts=H","Dir=H",CONCATENATE("Points=",$B$1009),"Sort=R","Days=A","Fill=B",CONCATENATE("FX=", $B$1007),"cols=14;rows=1")</x:f>
        <x:v>12.117100000000001</x:v>
      </x:c>
      <x:c r="G1736">
        <x:v>-34.387599999999999</x:v>
      </x:c>
      <x:c r="H1736">
        <x:v>-7.5442</x:v>
      </x:c>
      <x:c r="I1736">
        <x:v>-5.2927</x:v>
      </x:c>
      <x:c r="J1736">
        <x:v>-33.443100000000001</x:v>
      </x:c>
      <x:c r="K1736">
        <x:v>-36.851900000000001</x:v>
      </x:c>
      <x:c r="L1736">
        <x:v>-31.9176</x:v>
      </x:c>
      <x:c r="M1736">
        <x:v>-30.349499999999999</x:v>
      </x:c>
      <x:c r="N1736">
        <x:v>-41.076700000000002</x:v>
      </x:c>
      <x:c r="O1736">
        <x:v>-80.229699999999994</x:v>
      </x:c>
      <x:c r="P1736">
        <x:v>-191.98740000000001</x:v>
      </x:c>
      <x:c r="Q1736">
        <x:v>0</x:v>
      </x:c>
      <x:c r="R1736">
        <x:v>15.9229</x:v>
      </x:c>
      <x:c r="S1736">
        <x:v>50.969000000000001</x:v>
      </x:c>
      <x:c r="T1736" t="str">
        <x:f>""</x:f>
        <x:v/>
      </x:c>
      <x:c r="U1736" t="str">
        <x:f>""</x:f>
        <x:v/>
      </x:c>
      <x:c r="V1736" t="str">
        <x:f>""</x:f>
        <x:v/>
      </x:c>
      <x:c r="W1736" t="str">
        <x:f>""</x:f>
        <x:v/>
      </x:c>
      <x:c r="X1736" t="str">
        <x:f>""</x:f>
        <x:v/>
      </x:c>
      <x:c r="Y1736" t="str">
        <x:f>""</x:f>
        <x:v/>
      </x:c>
      <x:c r="Z1736" t="str">
        <x:f>""</x:f>
        <x:v/>
      </x:c>
      <x:c r="AA1736" t="str">
        <x:f>""</x:f>
        <x:v/>
      </x:c>
      <x:c r="AB1736" t="str">
        <x:f>""</x:f>
        <x:v/>
      </x:c>
      <x:c r="AC1736" t="str">
        <x:f>""</x:f>
        <x:v/>
      </x:c>
      <x:c r="AD1736" t="str">
        <x:f>""</x:f>
        <x:v/>
      </x:c>
      <x:c r="AE1736" t="str">
        <x:f>""</x:f>
        <x:v/>
      </x:c>
      <x:c r="AF1736" t="str">
        <x:f>""</x:f>
        <x:v/>
      </x:c>
      <x:c r="AG1736" t="str">
        <x:f>""</x:f>
        <x:v/>
      </x:c>
    </x:row>
    <x:row r="1737" spans="2:33" x14ac:dyDescent="0.25">
      <x:c r="B1737" t="str">
        <x:f>"PAVE US Equity"</x:f>
        <x:v>PAVE US Equity</x:v>
      </x:c>
      <x:c r="C1737" t="str">
        <x:f t="shared" si="77"/>
        <x:v>FD447</x:v>
      </x:c>
      <x:c r="D1737" t="str">
        <x:f t="shared" si="78"/>
        <x:v>FUND_FLOW</x:v>
      </x:c>
      <x:c r="E1737" t="str">
        <x:f t="shared" si="79"/>
        <x:v>Dynamic</x:v>
      </x:c>
      <x:c r="F1737">
        <x:f ca="1">_xll.BDH($B$1737,$C$1737,$B$1010,$B$1011,CONCATENATE("Per=",$B$1008),"Dts=H","Dir=H",CONCATENATE("Points=",$B$1009),"Sort=R","Days=A","Fill=B",CONCATENATE("FX=", $B$1007),"cols=14;rows=1")</x:f>
        <x:v>52.261499999999998</x:v>
      </x:c>
      <x:c r="G1737">
        <x:v>65.645899999999997</x:v>
      </x:c>
      <x:c r="H1737">
        <x:v>234.7012</x:v>
      </x:c>
      <x:c r="I1737">
        <x:v>106.6793</x:v>
      </x:c>
      <x:c r="J1737">
        <x:v>213.43520000000001</x:v>
      </x:c>
      <x:c r="K1737">
        <x:v>111.0562</x:v>
      </x:c>
      <x:c r="L1737">
        <x:v>10.966200000000001</x:v>
      </x:c>
      <x:c r="M1737">
        <x:v>293.60879999999997</x:v>
      </x:c>
      <x:c r="N1737">
        <x:v>69.768299999999996</x:v>
      </x:c>
      <x:c r="O1737">
        <x:v>-93.823400000000007</x:v>
      </x:c>
      <x:c r="P1737">
        <x:v>-28.763999999999999</x:v>
      </x:c>
      <x:c r="Q1737">
        <x:v>-21.970199999999998</x:v>
      </x:c>
      <x:c r="R1737">
        <x:v>-68.439599999999999</x:v>
      </x:c>
      <x:c r="S1737">
        <x:v>-222.33930000000001</x:v>
      </x:c>
      <x:c r="T1737" t="str">
        <x:f>""</x:f>
        <x:v/>
      </x:c>
      <x:c r="U1737" t="str">
        <x:f>""</x:f>
        <x:v/>
      </x:c>
      <x:c r="V1737" t="str">
        <x:f>""</x:f>
        <x:v/>
      </x:c>
      <x:c r="W1737" t="str">
        <x:f>""</x:f>
        <x:v/>
      </x:c>
      <x:c r="X1737" t="str">
        <x:f>""</x:f>
        <x:v/>
      </x:c>
      <x:c r="Y1737" t="str">
        <x:f>""</x:f>
        <x:v/>
      </x:c>
      <x:c r="Z1737" t="str">
        <x:f>""</x:f>
        <x:v/>
      </x:c>
      <x:c r="AA1737" t="str">
        <x:f>""</x:f>
        <x:v/>
      </x:c>
      <x:c r="AB1737" t="str">
        <x:f>""</x:f>
        <x:v/>
      </x:c>
      <x:c r="AC1737" t="str">
        <x:f>""</x:f>
        <x:v/>
      </x:c>
      <x:c r="AD1737" t="str">
        <x:f>""</x:f>
        <x:v/>
      </x:c>
      <x:c r="AE1737" t="str">
        <x:f>""</x:f>
        <x:v/>
      </x:c>
      <x:c r="AF1737" t="str">
        <x:f>""</x:f>
        <x:v/>
      </x:c>
      <x:c r="AG1737" t="str">
        <x:f>""</x:f>
        <x:v/>
      </x:c>
    </x:row>
    <x:row r="1738" spans="2:33" x14ac:dyDescent="0.25">
      <x:c r="B1738" t="str">
        <x:f>"EMIF US Equity"</x:f>
        <x:v>EMIF US Equity</x:v>
      </x:c>
      <x:c r="C1738" t="str">
        <x:f t="shared" si="77"/>
        <x:v>FD447</x:v>
      </x:c>
      <x:c r="D1738" t="str">
        <x:f t="shared" si="78"/>
        <x:v>FUND_FLOW</x:v>
      </x:c>
      <x:c r="E1738" t="str">
        <x:f t="shared" si="79"/>
        <x:v>Dynamic</x:v>
      </x:c>
      <x:c r="F1738">
        <x:f ca="1">_xll.BDH($B$1738,$C$1738,$B$1010,$B$1011,CONCATENATE("Per=",$B$1008),"Dts=H","Dir=H",CONCATENATE("Points=",$B$1009),"Sort=R","Days=A","Fill=B",CONCATENATE("FX=", $B$1007),"cols=14;rows=1")</x:f>
        <x:v>0</x:v>
      </x:c>
      <x:c r="G1738">
        <x:v>0</x:v>
      </x:c>
      <x:c r="H1738">
        <x:v>-1.073</x:v>
      </x:c>
      <x:c r="I1738">
        <x:v>0</x:v>
      </x:c>
      <x:c r="J1738">
        <x:v>0</x:v>
      </x:c>
      <x:c r="K1738">
        <x:v>0</x:v>
      </x:c>
      <x:c r="L1738">
        <x:v>0</x:v>
      </x:c>
      <x:c r="M1738">
        <x:v>0</x:v>
      </x:c>
      <x:c r="N1738">
        <x:v>0</x:v>
      </x:c>
      <x:c r="O1738">
        <x:v>0</x:v>
      </x:c>
      <x:c r="P1738">
        <x:v>0</x:v>
      </x:c>
      <x:c r="Q1738">
        <x:v>0</x:v>
      </x:c>
      <x:c r="R1738">
        <x:v>0</x:v>
      </x:c>
      <x:c r="S1738">
        <x:v>0</x:v>
      </x:c>
      <x:c r="T1738" t="str">
        <x:f>""</x:f>
        <x:v/>
      </x:c>
      <x:c r="U1738" t="str">
        <x:f>""</x:f>
        <x:v/>
      </x:c>
      <x:c r="V1738" t="str">
        <x:f>""</x:f>
        <x:v/>
      </x:c>
      <x:c r="W1738" t="str">
        <x:f>""</x:f>
        <x:v/>
      </x:c>
      <x:c r="X1738" t="str">
        <x:f>""</x:f>
        <x:v/>
      </x:c>
      <x:c r="Y1738" t="str">
        <x:f>""</x:f>
        <x:v/>
      </x:c>
      <x:c r="Z1738" t="str">
        <x:f>""</x:f>
        <x:v/>
      </x:c>
      <x:c r="AA1738" t="str">
        <x:f>""</x:f>
        <x:v/>
      </x:c>
      <x:c r="AB1738" t="str">
        <x:f>""</x:f>
        <x:v/>
      </x:c>
      <x:c r="AC1738" t="str">
        <x:f>""</x:f>
        <x:v/>
      </x:c>
      <x:c r="AD1738" t="str">
        <x:f>""</x:f>
        <x:v/>
      </x:c>
      <x:c r="AE1738" t="str">
        <x:f>""</x:f>
        <x:v/>
      </x:c>
      <x:c r="AF1738" t="str">
        <x:f>""</x:f>
        <x:v/>
      </x:c>
      <x:c r="AG1738" t="str">
        <x:f>""</x:f>
        <x:v/>
      </x:c>
    </x:row>
    <x:row r="1739" spans="2:33" x14ac:dyDescent="0.25">
      <x:c r="B1739" t="str">
        <x:f>"IGF US Equity"</x:f>
        <x:v>IGF US Equity</x:v>
      </x:c>
      <x:c r="C1739" t="str">
        <x:f t="shared" si="77"/>
        <x:v>FD447</x:v>
      </x:c>
      <x:c r="D1739" t="str">
        <x:f t="shared" si="78"/>
        <x:v>FUND_FLOW</x:v>
      </x:c>
      <x:c r="E1739" t="str">
        <x:f t="shared" si="79"/>
        <x:v>Dynamic</x:v>
      </x:c>
      <x:c r="F1739">
        <x:f ca="1">_xll.BDH($B$1739,$C$1739,$B$1010,$B$1011,CONCATENATE("Per=",$B$1008),"Dts=H","Dir=H",CONCATENATE("Points=",$B$1009),"Sort=R","Days=A","Fill=B",CONCATENATE("FX=", $B$1007),"cols=14;rows=1")</x:f>
        <x:v>-37.748800000000003</x:v>
      </x:c>
      <x:c r="G1739">
        <x:v>-79.403099999999995</x:v>
      </x:c>
      <x:c r="H1739">
        <x:v>-64.017600000000002</x:v>
      </x:c>
      <x:c r="I1739">
        <x:v>38.014800000000001</x:v>
      </x:c>
      <x:c r="J1739">
        <x:v>23.238299999999999</x:v>
      </x:c>
      <x:c r="K1739">
        <x:v>0</x:v>
      </x:c>
      <x:c r="L1739">
        <x:v>0</x:v>
      </x:c>
      <x:c r="M1739">
        <x:v>-27.847300000000001</x:v>
      </x:c>
      <x:c r="N1739">
        <x:v>-52.054099999999998</x:v>
      </x:c>
      <x:c r="O1739">
        <x:v>-175.6122</x:v>
      </x:c>
      <x:c r="P1739">
        <x:v>231.18020000000001</x:v>
      </x:c>
      <x:c r="Q1739">
        <x:v>111.43980000000001</x:v>
      </x:c>
      <x:c r="R1739">
        <x:v>119.5958</x:v>
      </x:c>
      <x:c r="S1739">
        <x:v>126.85590000000001</x:v>
      </x:c>
      <x:c r="T1739" t="str">
        <x:f>""</x:f>
        <x:v/>
      </x:c>
      <x:c r="U1739" t="str">
        <x:f>""</x:f>
        <x:v/>
      </x:c>
      <x:c r="V1739" t="str">
        <x:f>""</x:f>
        <x:v/>
      </x:c>
      <x:c r="W1739" t="str">
        <x:f>""</x:f>
        <x:v/>
      </x:c>
      <x:c r="X1739" t="str">
        <x:f>""</x:f>
        <x:v/>
      </x:c>
      <x:c r="Y1739" t="str">
        <x:f>""</x:f>
        <x:v/>
      </x:c>
      <x:c r="Z1739" t="str">
        <x:f>""</x:f>
        <x:v/>
      </x:c>
      <x:c r="AA1739" t="str">
        <x:f>""</x:f>
        <x:v/>
      </x:c>
      <x:c r="AB1739" t="str">
        <x:f>""</x:f>
        <x:v/>
      </x:c>
      <x:c r="AC1739" t="str">
        <x:f>""</x:f>
        <x:v/>
      </x:c>
      <x:c r="AD1739" t="str">
        <x:f>""</x:f>
        <x:v/>
      </x:c>
      <x:c r="AE1739" t="str">
        <x:f>""</x:f>
        <x:v/>
      </x:c>
      <x:c r="AF1739" t="str">
        <x:f>""</x:f>
        <x:v/>
      </x:c>
      <x:c r="AG1739" t="str">
        <x:f>""</x:f>
        <x:v/>
      </x:c>
    </x:row>
    <x:row r="1740" spans="2:33" x14ac:dyDescent="0.25">
      <x:c r="B1740" t="str">
        <x:f>"PXR US Equity"</x:f>
        <x:v>PXR US Equity</x:v>
      </x:c>
      <x:c r="C1740" t="str">
        <x:f t="shared" si="77"/>
        <x:v>FD447</x:v>
      </x:c>
      <x:c r="D1740" t="str">
        <x:f t="shared" si="78"/>
        <x:v>FUND_FLOW</x:v>
      </x:c>
      <x:c r="E1740" t="str">
        <x:f t="shared" si="79"/>
        <x:v>Dynamic</x:v>
      </x:c>
      <x:c r="F1740" t="str">
        <x:f ca="1">_xll.BDH($B$1740,$C$1740,$B$1010,$B$1011,CONCATENATE("Per=",$B$1008),"Dts=H","Dir=H",CONCATENATE("Points=",$B$1009),"Sort=R","Days=A","Fill=B",CONCATENATE("FX=", $B$1007) )</x:f>
        <x:v/>
      </x:c>
      <x:c r="T1740" t="str">
        <x:f>""</x:f>
        <x:v/>
      </x:c>
      <x:c r="U1740" t="str">
        <x:f>""</x:f>
        <x:v/>
      </x:c>
      <x:c r="V1740" t="str">
        <x:f>""</x:f>
        <x:v/>
      </x:c>
      <x:c r="W1740" t="str">
        <x:f>""</x:f>
        <x:v/>
      </x:c>
      <x:c r="X1740" t="str">
        <x:f>""</x:f>
        <x:v/>
      </x:c>
      <x:c r="Y1740" t="str">
        <x:f>""</x:f>
        <x:v/>
      </x:c>
      <x:c r="Z1740" t="str">
        <x:f>""</x:f>
        <x:v/>
      </x:c>
      <x:c r="AA1740" t="str">
        <x:f>""</x:f>
        <x:v/>
      </x:c>
      <x:c r="AB1740" t="str">
        <x:f>""</x:f>
        <x:v/>
      </x:c>
      <x:c r="AC1740" t="str">
        <x:f>""</x:f>
        <x:v/>
      </x:c>
      <x:c r="AD1740" t="str">
        <x:f>""</x:f>
        <x:v/>
      </x:c>
      <x:c r="AE1740" t="str">
        <x:f>""</x:f>
        <x:v/>
      </x:c>
      <x:c r="AF1740" t="str">
        <x:f>""</x:f>
        <x:v/>
      </x:c>
      <x:c r="AG1740" t="str">
        <x:f>""</x:f>
        <x:v/>
      </x:c>
    </x:row>
    <x:row r="1741" spans="2:33" x14ac:dyDescent="0.25">
      <x:c r="B1741" t="str">
        <x:f>"GII US Equity"</x:f>
        <x:v>GII US Equity</x:v>
      </x:c>
      <x:c r="C1741" t="str">
        <x:f t="shared" si="77"/>
        <x:v>FD447</x:v>
      </x:c>
      <x:c r="D1741" t="str">
        <x:f t="shared" si="78"/>
        <x:v>FUND_FLOW</x:v>
      </x:c>
      <x:c r="E1741" t="str">
        <x:f t="shared" si="79"/>
        <x:v>Dynamic</x:v>
      </x:c>
      <x:c r="F1741">
        <x:f ca="1">_xll.BDH($B$1741,$C$1741,$B$1010,$B$1011,CONCATENATE("Per=",$B$1008),"Dts=H","Dir=H",CONCATENATE("Points=",$B$1009),"Sort=R","Days=A","Fill=B",CONCATENATE("FX=", $B$1007),"cols=14;rows=1")</x:f>
        <x:v>-16.900300000000001</x:v>
      </x:c>
      <x:c r="G1741">
        <x:v>-10.241099999999999</x:v>
      </x:c>
      <x:c r="H1741">
        <x:v>0</x:v>
      </x:c>
      <x:c r="I1741">
        <x:v>0</x:v>
      </x:c>
      <x:c r="J1741">
        <x:v>-111.4765</x:v>
      </x:c>
      <x:c r="K1741">
        <x:v>0</x:v>
      </x:c>
      <x:c r="L1741">
        <x:v>13.825699999999999</x:v>
      </x:c>
      <x:c r="M1741">
        <x:v>0</x:v>
      </x:c>
      <x:c r="N1741">
        <x:v>-5.4455999999999998</x:v>
      </x:c>
      <x:c r="O1741">
        <x:v>-8.3056999999999999</x:v>
      </x:c>
      <x:c r="P1741">
        <x:v>0.43780000000000002</x:v>
      </x:c>
      <x:c r="Q1741">
        <x:v>13.2447</x:v>
      </x:c>
      <x:c r="R1741">
        <x:v>14.174300000000001</x:v>
      </x:c>
      <x:c r="S1741">
        <x:v>4.8662999999999998</x:v>
      </x:c>
      <x:c r="T1741" t="str">
        <x:f>""</x:f>
        <x:v/>
      </x:c>
      <x:c r="U1741" t="str">
        <x:f>""</x:f>
        <x:v/>
      </x:c>
      <x:c r="V1741" t="str">
        <x:f>""</x:f>
        <x:v/>
      </x:c>
      <x:c r="W1741" t="str">
        <x:f>""</x:f>
        <x:v/>
      </x:c>
      <x:c r="X1741" t="str">
        <x:f>""</x:f>
        <x:v/>
      </x:c>
      <x:c r="Y1741" t="str">
        <x:f>""</x:f>
        <x:v/>
      </x:c>
      <x:c r="Z1741" t="str">
        <x:f>""</x:f>
        <x:v/>
      </x:c>
      <x:c r="AA1741" t="str">
        <x:f>""</x:f>
        <x:v/>
      </x:c>
      <x:c r="AB1741" t="str">
        <x:f>""</x:f>
        <x:v/>
      </x:c>
      <x:c r="AC1741" t="str">
        <x:f>""</x:f>
        <x:v/>
      </x:c>
      <x:c r="AD1741" t="str">
        <x:f>""</x:f>
        <x:v/>
      </x:c>
      <x:c r="AE1741" t="str">
        <x:f>""</x:f>
        <x:v/>
      </x:c>
      <x:c r="AF1741" t="str">
        <x:f>""</x:f>
        <x:v/>
      </x:c>
      <x:c r="AG1741" t="str">
        <x:f>""</x:f>
        <x:v/>
      </x:c>
    </x:row>
    <x:row r="1742" spans="2:33" x14ac:dyDescent="0.25">
      <x:c r="B1742" t="str">
        <x:f>"TOLZ US Equity"</x:f>
        <x:v>TOLZ US Equity</x:v>
      </x:c>
      <x:c r="C1742" t="str">
        <x:f t="shared" si="77"/>
        <x:v>FD447</x:v>
      </x:c>
      <x:c r="D1742" t="str">
        <x:f t="shared" si="78"/>
        <x:v>FUND_FLOW</x:v>
      </x:c>
      <x:c r="E1742" t="str">
        <x:f t="shared" si="79"/>
        <x:v>Dynamic</x:v>
      </x:c>
      <x:c r="F1742">
        <x:f ca="1">_xll.BDH($B$1742,$C$1742,$B$1010,$B$1011,CONCATENATE("Per=",$B$1008),"Dts=H","Dir=H",CONCATENATE("Points=",$B$1009),"Sort=R","Days=A","Fill=B",CONCATENATE("FX=", $B$1007),"cols=14;rows=1")</x:f>
        <x:v>-0.82499999999999996</x:v>
      </x:c>
      <x:c r="G1742">
        <x:v>1.2765</x:v>
      </x:c>
      <x:c r="H1742">
        <x:v>2.2193000000000001</x:v>
      </x:c>
      <x:c r="I1742">
        <x:v>-7.7247000000000003</x:v>
      </x:c>
      <x:c r="J1742">
        <x:v>1.825</x:v>
      </x:c>
      <x:c r="K1742">
        <x:v>0</x:v>
      </x:c>
      <x:c r="L1742">
        <x:v>-1.4117999999999999</x:v>
      </x:c>
      <x:c r="M1742">
        <x:v>2.5467</x:v>
      </x:c>
      <x:c r="N1742">
        <x:v>-20.2653</x:v>
      </x:c>
      <x:c r="O1742">
        <x:v>-24.362400000000001</x:v>
      </x:c>
      <x:c r="P1742">
        <x:v>6.3708999999999998</x:v>
      </x:c>
      <x:c r="Q1742">
        <x:v>18.3752</x:v>
      </x:c>
      <x:c r="R1742">
        <x:v>21.311499999999999</x:v>
      </x:c>
      <x:c r="S1742">
        <x:v>6.0185000000000004</x:v>
      </x:c>
      <x:c r="T1742" t="str">
        <x:f>""</x:f>
        <x:v/>
      </x:c>
      <x:c r="U1742" t="str">
        <x:f>""</x:f>
        <x:v/>
      </x:c>
      <x:c r="V1742" t="str">
        <x:f>""</x:f>
        <x:v/>
      </x:c>
      <x:c r="W1742" t="str">
        <x:f>""</x:f>
        <x:v/>
      </x:c>
      <x:c r="X1742" t="str">
        <x:f>""</x:f>
        <x:v/>
      </x:c>
      <x:c r="Y1742" t="str">
        <x:f>""</x:f>
        <x:v/>
      </x:c>
      <x:c r="Z1742" t="str">
        <x:f>""</x:f>
        <x:v/>
      </x:c>
      <x:c r="AA1742" t="str">
        <x:f>""</x:f>
        <x:v/>
      </x:c>
      <x:c r="AB1742" t="str">
        <x:f>""</x:f>
        <x:v/>
      </x:c>
      <x:c r="AC1742" t="str">
        <x:f>""</x:f>
        <x:v/>
      </x:c>
      <x:c r="AD1742" t="str">
        <x:f>""</x:f>
        <x:v/>
      </x:c>
      <x:c r="AE1742" t="str">
        <x:f>""</x:f>
        <x:v/>
      </x:c>
      <x:c r="AF1742" t="str">
        <x:f>""</x:f>
        <x:v/>
      </x:c>
      <x:c r="AG1742" t="str">
        <x:f>""</x:f>
        <x:v/>
      </x:c>
    </x:row>
    <x:row r="1743" spans="2:33" x14ac:dyDescent="0.25">
      <x:c r="B1743" t="str">
        <x:f>"INXX US Equity"</x:f>
        <x:v>INXX US Equity</x:v>
      </x:c>
      <x:c r="C1743" t="str">
        <x:f t="shared" si="77"/>
        <x:v>FD447</x:v>
      </x:c>
      <x:c r="D1743" t="str">
        <x:f t="shared" si="78"/>
        <x:v>FUND_FLOW</x:v>
      </x:c>
      <x:c r="E1743" t="str">
        <x:f t="shared" si="79"/>
        <x:v>Dynamic</x:v>
      </x:c>
      <x:c r="F1743" t="str">
        <x:f ca="1">_xll.BDH($B$1743,$C$1743,$B$1010,$B$1011,CONCATENATE("Per=",$B$1008),"Dts=H","Dir=H",CONCATENATE("Points=",$B$1009),"Sort=R","Days=A","Fill=B",CONCATENATE("FX=", $B$1007) )</x:f>
        <x:v/>
      </x:c>
      <x:c r="T1743" t="str">
        <x:f>""</x:f>
        <x:v/>
      </x:c>
      <x:c r="U1743" t="str">
        <x:f>""</x:f>
        <x:v/>
      </x:c>
      <x:c r="V1743" t="str">
        <x:f>""</x:f>
        <x:v/>
      </x:c>
      <x:c r="W1743" t="str">
        <x:f>""</x:f>
        <x:v/>
      </x:c>
      <x:c r="X1743" t="str">
        <x:f>""</x:f>
        <x:v/>
      </x:c>
      <x:c r="Y1743" t="str">
        <x:f>""</x:f>
        <x:v/>
      </x:c>
      <x:c r="Z1743" t="str">
        <x:f>""</x:f>
        <x:v/>
      </x:c>
      <x:c r="AA1743" t="str">
        <x:f>""</x:f>
        <x:v/>
      </x:c>
      <x:c r="AB1743" t="str">
        <x:f>""</x:f>
        <x:v/>
      </x:c>
      <x:c r="AC1743" t="str">
        <x:f>""</x:f>
        <x:v/>
      </x:c>
      <x:c r="AD1743" t="str">
        <x:f>""</x:f>
        <x:v/>
      </x:c>
      <x:c r="AE1743" t="str">
        <x:f>""</x:f>
        <x:v/>
      </x:c>
      <x:c r="AF1743" t="str">
        <x:f>""</x:f>
        <x:v/>
      </x:c>
      <x:c r="AG1743" t="str">
        <x:f>""</x:f>
        <x:v/>
      </x:c>
    </x:row>
    <x:row r="1744" spans="2:33" x14ac:dyDescent="0.25">
      <x:c r="B1744" t="str">
        <x:f>"XLTY US Equity"</x:f>
        <x:v>XLTY US Equity</x:v>
      </x:c>
      <x:c r="C1744" t="str">
        <x:f t="shared" si="77"/>
        <x:v>FD447</x:v>
      </x:c>
      <x:c r="D1744" t="str">
        <x:f t="shared" si="78"/>
        <x:v>FUND_FLOW</x:v>
      </x:c>
      <x:c r="E1744" t="str">
        <x:f t="shared" si="79"/>
        <x:v>Dynamic</x:v>
      </x:c>
      <x:c r="F1744" t="str">
        <x:f ca="1">_xll.BDH($B$1744,$C$1744,$B$1010,$B$1011,CONCATENATE("Per=",$B$1008),"Dts=H","Dir=H",CONCATENATE("Points=",$B$1009),"Sort=R","Days=A","Fill=B",CONCATENATE("FX=", $B$1007) )</x:f>
        <x:v/>
      </x:c>
      <x:c r="T1744" t="str">
        <x:f>""</x:f>
        <x:v/>
      </x:c>
      <x:c r="U1744" t="str">
        <x:f>""</x:f>
        <x:v/>
      </x:c>
      <x:c r="V1744" t="str">
        <x:f>""</x:f>
        <x:v/>
      </x:c>
      <x:c r="W1744" t="str">
        <x:f>""</x:f>
        <x:v/>
      </x:c>
      <x:c r="X1744" t="str">
        <x:f>""</x:f>
        <x:v/>
      </x:c>
      <x:c r="Y1744" t="str">
        <x:f>""</x:f>
        <x:v/>
      </x:c>
      <x:c r="Z1744" t="str">
        <x:f>""</x:f>
        <x:v/>
      </x:c>
      <x:c r="AA1744" t="str">
        <x:f>""</x:f>
        <x:v/>
      </x:c>
      <x:c r="AB1744" t="str">
        <x:f>""</x:f>
        <x:v/>
      </x:c>
      <x:c r="AC1744" t="str">
        <x:f>""</x:f>
        <x:v/>
      </x:c>
      <x:c r="AD1744" t="str">
        <x:f>""</x:f>
        <x:v/>
      </x:c>
      <x:c r="AE1744" t="str">
        <x:f>""</x:f>
        <x:v/>
      </x:c>
      <x:c r="AF1744" t="str">
        <x:f>""</x:f>
        <x:v/>
      </x:c>
      <x:c r="AG1744" t="str">
        <x:f>""</x:f>
        <x:v/>
      </x:c>
    </x:row>
    <x:row r="1745" spans="2:33" x14ac:dyDescent="0.25">
      <x:c r="B1745" t="str">
        <x:f>"GLIF US Equity"</x:f>
        <x:v>GLIF US Equity</x:v>
      </x:c>
      <x:c r="C1745" t="str">
        <x:f t="shared" si="77"/>
        <x:v>FD447</x:v>
      </x:c>
      <x:c r="D1745" t="str">
        <x:f t="shared" si="78"/>
        <x:v>FUND_FLOW</x:v>
      </x:c>
      <x:c r="E1745" t="str">
        <x:f t="shared" si="79"/>
        <x:v>Dynamic</x:v>
      </x:c>
      <x:c r="F1745">
        <x:f ca="1">_xll.BDH($B$1745,$C$1745,$B$1010,$B$1011,CONCATENATE("Per=",$B$1008),"Dts=H","Dir=H",CONCATENATE("Points=",$B$1009),"Sort=R","Days=A","Fill=B",CONCATENATE("FX=", $B$1007),"cols=14;rows=1")</x:f>
        <x:v>0</x:v>
      </x:c>
      <x:c r="G1745">
        <x:v>0</x:v>
      </x:c>
      <x:c r="H1745">
        <x:v>0</x:v>
      </x:c>
      <x:c r="I1745">
        <x:v>0</x:v>
      </x:c>
      <x:c r="J1745">
        <x:v>0</x:v>
      </x:c>
      <x:c r="K1745">
        <x:v>0</x:v>
      </x:c>
      <x:c r="L1745">
        <x:v>0</x:v>
      </x:c>
      <x:c r="M1745">
        <x:v>0</x:v>
      </x:c>
      <x:c r="N1745">
        <x:v>0</x:v>
      </x:c>
      <x:c r="O1745">
        <x:v>0</x:v>
      </x:c>
      <x:c r="P1745">
        <x:v>0</x:v>
      </x:c>
      <x:c r="Q1745">
        <x:v>0</x:v>
      </x:c>
      <x:c r="R1745">
        <x:v>0</x:v>
      </x:c>
      <x:c r="S1745">
        <x:v>0</x:v>
      </x:c>
      <x:c r="T1745" t="str">
        <x:f>""</x:f>
        <x:v/>
      </x:c>
      <x:c r="U1745" t="str">
        <x:f>""</x:f>
        <x:v/>
      </x:c>
      <x:c r="V1745" t="str">
        <x:f>""</x:f>
        <x:v/>
      </x:c>
      <x:c r="W1745" t="str">
        <x:f>""</x:f>
        <x:v/>
      </x:c>
      <x:c r="X1745" t="str">
        <x:f>""</x:f>
        <x:v/>
      </x:c>
      <x:c r="Y1745" t="str">
        <x:f>""</x:f>
        <x:v/>
      </x:c>
      <x:c r="Z1745" t="str">
        <x:f>""</x:f>
        <x:v/>
      </x:c>
      <x:c r="AA1745" t="str">
        <x:f>""</x:f>
        <x:v/>
      </x:c>
      <x:c r="AB1745" t="str">
        <x:f>""</x:f>
        <x:v/>
      </x:c>
      <x:c r="AC1745" t="str">
        <x:f>""</x:f>
        <x:v/>
      </x:c>
      <x:c r="AD1745" t="str">
        <x:f>""</x:f>
        <x:v/>
      </x:c>
      <x:c r="AE1745" t="str">
        <x:f>""</x:f>
        <x:v/>
      </x:c>
      <x:c r="AF1745" t="str">
        <x:f>""</x:f>
        <x:v/>
      </x:c>
      <x:c r="AG1745" t="str">
        <x:f>""</x:f>
        <x:v/>
      </x:c>
    </x:row>
    <x:row r="1746" spans="2:33" x14ac:dyDescent="0.25">
      <x:c r="B1746" t="str">
        <x:f>"BOAT US Equity"</x:f>
        <x:v>BOAT US Equity</x:v>
      </x:c>
      <x:c r="C1746" t="str">
        <x:f t="shared" si="77"/>
        <x:v>FD447</x:v>
      </x:c>
      <x:c r="D1746" t="str">
        <x:f t="shared" si="78"/>
        <x:v>FUND_FLOW</x:v>
      </x:c>
      <x:c r="E1746" t="str">
        <x:f t="shared" si="79"/>
        <x:v>Dynamic</x:v>
      </x:c>
      <x:c r="F1746">
        <x:f ca="1">_xll.BDH($B$1746,$C$1746,$B$1010,$B$1011,CONCATENATE("Per=",$B$1008),"Dts=H","Dir=H",CONCATENATE("Points=",$B$1009),"Sort=R","Days=A","Fill=B",CONCATENATE("FX=", $B$1007),"cols=14;rows=1")</x:f>
        <x:v>4.1300999999999997</x:v>
      </x:c>
      <x:c r="G1746">
        <x:v>0</x:v>
      </x:c>
      <x:c r="H1746">
        <x:v>0.69730000000000003</x:v>
      </x:c>
      <x:c r="I1746">
        <x:v>0</x:v>
      </x:c>
      <x:c r="J1746">
        <x:v>-1.4149</x:v>
      </x:c>
      <x:c r="K1746">
        <x:v>0</x:v>
      </x:c>
      <x:c r="L1746">
        <x:v>0</x:v>
      </x:c>
      <x:c r="M1746">
        <x:v>0</x:v>
      </x:c>
      <x:c r="N1746">
        <x:v>0</x:v>
      </x:c>
      <x:c r="O1746">
        <x:v>0</x:v>
      </x:c>
      <x:c r="P1746">
        <x:v>-0.7087</x:v>
      </x:c>
      <x:c r="Q1746">
        <x:v>0</x:v>
      </x:c>
      <x:c r="R1746">
        <x:v>0</x:v>
      </x:c>
      <x:c r="S1746">
        <x:v>-1.4280999999999999</x:v>
      </x:c>
      <x:c r="T1746" t="str">
        <x:f>""</x:f>
        <x:v/>
      </x:c>
      <x:c r="U1746" t="str">
        <x:f>""</x:f>
        <x:v/>
      </x:c>
      <x:c r="V1746" t="str">
        <x:f>""</x:f>
        <x:v/>
      </x:c>
      <x:c r="W1746" t="str">
        <x:f>""</x:f>
        <x:v/>
      </x:c>
      <x:c r="X1746" t="str">
        <x:f>""</x:f>
        <x:v/>
      </x:c>
      <x:c r="Y1746" t="str">
        <x:f>""</x:f>
        <x:v/>
      </x:c>
      <x:c r="Z1746" t="str">
        <x:f>""</x:f>
        <x:v/>
      </x:c>
      <x:c r="AA1746" t="str">
        <x:f>""</x:f>
        <x:v/>
      </x:c>
      <x:c r="AB1746" t="str">
        <x:f>""</x:f>
        <x:v/>
      </x:c>
      <x:c r="AC1746" t="str">
        <x:f>""</x:f>
        <x:v/>
      </x:c>
      <x:c r="AD1746" t="str">
        <x:f>""</x:f>
        <x:v/>
      </x:c>
      <x:c r="AE1746" t="str">
        <x:f>""</x:f>
        <x:v/>
      </x:c>
      <x:c r="AF1746" t="str">
        <x:f>""</x:f>
        <x:v/>
      </x:c>
      <x:c r="AG1746" t="str">
        <x:f>""</x:f>
        <x:v/>
      </x:c>
    </x:row>
    <x:row r="1747" spans="2:33" x14ac:dyDescent="0.25">
      <x:c r="B1747" t="str">
        <x:f>"SEA US Equity"</x:f>
        <x:v>SEA US Equity</x:v>
      </x:c>
      <x:c r="C1747" t="str">
        <x:f t="shared" si="77"/>
        <x:v>FD447</x:v>
      </x:c>
      <x:c r="D1747" t="str">
        <x:f t="shared" si="78"/>
        <x:v>FUND_FLOW</x:v>
      </x:c>
      <x:c r="E1747" t="str">
        <x:f t="shared" si="79"/>
        <x:v>Dynamic</x:v>
      </x:c>
      <x:c r="F1747">
        <x:f ca="1">_xll.BDH($B$1747,$C$1747,$B$1010,$B$1011,CONCATENATE("Per=",$B$1008),"Dts=H","Dir=H",CONCATENATE("Points=",$B$1009),"Sort=R","Days=A","Fill=B",CONCATENATE("FX=", $B$1007),"cols=14;rows=1")</x:f>
        <x:v>0.72340000000000004</x:v>
      </x:c>
      <x:c r="G1747">
        <x:v>0</x:v>
      </x:c>
      <x:c r="H1747">
        <x:v>0</x:v>
      </x:c>
      <x:c r="I1747">
        <x:v>0</x:v>
      </x:c>
      <x:c r="J1747">
        <x:v>0</x:v>
      </x:c>
      <x:c r="K1747">
        <x:v>0</x:v>
      </x:c>
      <x:c r="L1747">
        <x:v>0</x:v>
      </x:c>
      <x:c r="M1747">
        <x:v>0</x:v>
      </x:c>
      <x:c r="N1747">
        <x:v>-0.7339</x:v>
      </x:c>
      <x:c r="O1747">
        <x:v>-0.71189999999999998</x:v>
      </x:c>
      <x:c r="P1747">
        <x:v>0.41959999999999997</x:v>
      </x:c>
      <x:c r="Q1747">
        <x:v>0</x:v>
      </x:c>
      <x:c r="R1747">
        <x:v>0</x:v>
      </x:c>
      <x:c r="S1747">
        <x:v>0</x:v>
      </x:c>
      <x:c r="T1747" t="str">
        <x:f>""</x:f>
        <x:v/>
      </x:c>
      <x:c r="U1747" t="str">
        <x:f>""</x:f>
        <x:v/>
      </x:c>
      <x:c r="V1747" t="str">
        <x:f>""</x:f>
        <x:v/>
      </x:c>
      <x:c r="W1747" t="str">
        <x:f>""</x:f>
        <x:v/>
      </x:c>
      <x:c r="X1747" t="str">
        <x:f>""</x:f>
        <x:v/>
      </x:c>
      <x:c r="Y1747" t="str">
        <x:f>""</x:f>
        <x:v/>
      </x:c>
      <x:c r="Z1747" t="str">
        <x:f>""</x:f>
        <x:v/>
      </x:c>
      <x:c r="AA1747" t="str">
        <x:f>""</x:f>
        <x:v/>
      </x:c>
      <x:c r="AB1747" t="str">
        <x:f>""</x:f>
        <x:v/>
      </x:c>
      <x:c r="AC1747" t="str">
        <x:f>""</x:f>
        <x:v/>
      </x:c>
      <x:c r="AD1747" t="str">
        <x:f>""</x:f>
        <x:v/>
      </x:c>
      <x:c r="AE1747" t="str">
        <x:f>""</x:f>
        <x:v/>
      </x:c>
      <x:c r="AF1747" t="str">
        <x:f>""</x:f>
        <x:v/>
      </x:c>
      <x:c r="AG1747" t="str">
        <x:f>""</x:f>
        <x:v/>
      </x:c>
    </x:row>
    <x:row r="1748" spans="2:33" x14ac:dyDescent="0.25">
      <x:c r="B1748" t="str">
        <x:f>"BKGI US Equity"</x:f>
        <x:v>BKGI US Equity</x:v>
      </x:c>
      <x:c r="C1748" t="str">
        <x:f t="shared" si="77"/>
        <x:v>FD447</x:v>
      </x:c>
      <x:c r="D1748" t="str">
        <x:f t="shared" si="78"/>
        <x:v>FUND_FLOW</x:v>
      </x:c>
      <x:c r="E1748" t="str">
        <x:f t="shared" si="79"/>
        <x:v>Dynamic</x:v>
      </x:c>
      <x:c r="F1748">
        <x:f ca="1">_xll.BDH($B$1748,$C$1748,$B$1010,$B$1011,CONCATENATE("Per=",$B$1008),"Dts=H","Dir=H",CONCATENATE("Points=",$B$1009),"Sort=R","Days=A","Fill=B",CONCATENATE("FX=", $B$1007),"cols=14;rows=1")</x:f>
        <x:v>0</x:v>
      </x:c>
      <x:c r="G1748">
        <x:v>0</x:v>
      </x:c>
      <x:c r="H1748">
        <x:v>0</x:v>
      </x:c>
      <x:c r="I1748">
        <x:v>0</x:v>
      </x:c>
      <x:c r="J1748">
        <x:v>0</x:v>
      </x:c>
      <x:c r="K1748">
        <x:v>0</x:v>
      </x:c>
      <x:c r="L1748">
        <x:v>4.1638000000000002</x:v>
      </x:c>
      <x:c r="M1748">
        <x:v>0</x:v>
      </x:c>
      <x:c r="N1748">
        <x:v>0</x:v>
      </x:c>
      <x:c r="O1748">
        <x:v>0</x:v>
      </x:c>
      <x:c r="P1748">
        <x:v>0</x:v>
      </x:c>
      <x:c r="Q1748">
        <x:v>0</x:v>
      </x:c>
      <x:c r="T1748" t="str">
        <x:f>""</x:f>
        <x:v/>
      </x:c>
      <x:c r="U1748" t="str">
        <x:f>""</x:f>
        <x:v/>
      </x:c>
      <x:c r="V1748" t="str">
        <x:f>""</x:f>
        <x:v/>
      </x:c>
      <x:c r="W1748" t="str">
        <x:f>""</x:f>
        <x:v/>
      </x:c>
      <x:c r="X1748" t="str">
        <x:f>""</x:f>
        <x:v/>
      </x:c>
      <x:c r="Y1748" t="str">
        <x:f>""</x:f>
        <x:v/>
      </x:c>
      <x:c r="Z1748" t="str">
        <x:f>""</x:f>
        <x:v/>
      </x:c>
      <x:c r="AA1748" t="str">
        <x:f>""</x:f>
        <x:v/>
      </x:c>
      <x:c r="AB1748" t="str">
        <x:f>""</x:f>
        <x:v/>
      </x:c>
      <x:c r="AC1748" t="str">
        <x:f>""</x:f>
        <x:v/>
      </x:c>
      <x:c r="AD1748" t="str">
        <x:f>""</x:f>
        <x:v/>
      </x:c>
      <x:c r="AE1748" t="str">
        <x:f>""</x:f>
        <x:v/>
      </x:c>
      <x:c r="AF1748" t="str">
        <x:f>""</x:f>
        <x:v/>
      </x:c>
      <x:c r="AG1748" t="str">
        <x:f>""</x:f>
        <x:v/>
      </x:c>
    </x:row>
    <x:row r="1749" spans="2:33" x14ac:dyDescent="0.25">
      <x:c r="B1749" t="str">
        <x:f>"BLLD US Equity"</x:f>
        <x:v>BLLD US Equity</x:v>
      </x:c>
      <x:c r="C1749" t="str">
        <x:f t="shared" si="77"/>
        <x:v>FD447</x:v>
      </x:c>
      <x:c r="D1749" t="str">
        <x:f t="shared" si="78"/>
        <x:v>FUND_FLOW</x:v>
      </x:c>
      <x:c r="E1749" t="str">
        <x:f t="shared" si="79"/>
        <x:v>Dynamic</x:v>
      </x:c>
      <x:c r="F1749">
        <x:f ca="1">_xll.BDH($B$1749,$C$1749,$B$1010,$B$1011,CONCATENATE("Per=",$B$1008),"Dts=H","Dir=H",CONCATENATE("Points=",$B$1009),"Sort=R","Days=A","Fill=B",CONCATENATE("FX=", $B$1007),"cols=14;rows=1")</x:f>
        <x:v>0</x:v>
      </x:c>
      <x:c r="G1749">
        <x:v>0</x:v>
      </x:c>
      <x:c r="H1749">
        <x:v>0</x:v>
      </x:c>
      <x:c r="I1749">
        <x:v>9.3260000000000005</x:v>
      </x:c>
      <x:c r="J1749">
        <x:v>0</x:v>
      </x:c>
      <x:c r="K1749">
        <x:v>4.6719999999999997</x:v>
      </x:c>
      <x:c r="L1749">
        <x:v>0</x:v>
      </x:c>
      <x:c r="M1749">
        <x:v>0</x:v>
      </x:c>
      <x:c r="N1749">
        <x:v>0</x:v>
      </x:c>
      <x:c r="O1749">
        <x:v>0</x:v>
      </x:c>
      <x:c r="P1749">
        <x:v>0</x:v>
      </x:c>
      <x:c r="Q1749">
        <x:v>0</x:v>
      </x:c>
      <x:c r="R1749">
        <x:v>0</x:v>
      </x:c>
      <x:c r="S1749">
        <x:v>1.0241</x:v>
      </x:c>
      <x:c r="T1749" t="str">
        <x:f>""</x:f>
        <x:v/>
      </x:c>
      <x:c r="U1749" t="str">
        <x:f>""</x:f>
        <x:v/>
      </x:c>
      <x:c r="V1749" t="str">
        <x:f>""</x:f>
        <x:v/>
      </x:c>
      <x:c r="W1749" t="str">
        <x:f>""</x:f>
        <x:v/>
      </x:c>
      <x:c r="X1749" t="str">
        <x:f>""</x:f>
        <x:v/>
      </x:c>
      <x:c r="Y1749" t="str">
        <x:f>""</x:f>
        <x:v/>
      </x:c>
      <x:c r="Z1749" t="str">
        <x:f>""</x:f>
        <x:v/>
      </x:c>
      <x:c r="AA1749" t="str">
        <x:f>""</x:f>
        <x:v/>
      </x:c>
      <x:c r="AB1749" t="str">
        <x:f>""</x:f>
        <x:v/>
      </x:c>
      <x:c r="AC1749" t="str">
        <x:f>""</x:f>
        <x:v/>
      </x:c>
      <x:c r="AD1749" t="str">
        <x:f>""</x:f>
        <x:v/>
      </x:c>
      <x:c r="AE1749" t="str">
        <x:f>""</x:f>
        <x:v/>
      </x:c>
      <x:c r="AF1749" t="str">
        <x:f>""</x:f>
        <x:v/>
      </x:c>
      <x:c r="AG1749" t="str">
        <x:f>""</x:f>
        <x:v/>
      </x:c>
    </x:row>
    <x:row r="1750" spans="2:33" x14ac:dyDescent="0.25">
      <x:c r="B1750" t="str">
        <x:f>"EFRA US Equity"</x:f>
        <x:v>EFRA US Equity</x:v>
      </x:c>
      <x:c r="C1750" t="str">
        <x:f t="shared" si="77"/>
        <x:v>FD447</x:v>
      </x:c>
      <x:c r="D1750" t="str">
        <x:f t="shared" si="78"/>
        <x:v>FUND_FLOW</x:v>
      </x:c>
      <x:c r="E1750" t="str">
        <x:f t="shared" si="79"/>
        <x:v>Dynamic</x:v>
      </x:c>
      <x:c r="F1750">
        <x:f ca="1">_xll.BDH($B$1750,$C$1750,$B$1010,$B$1011,CONCATENATE("Per=",$B$1008),"Dts=H","Dir=H",CONCATENATE("Points=",$B$1009),"Sort=R","Days=A","Fill=B",CONCATENATE("FX=", $B$1007),"cols=14;rows=1")</x:f>
        <x:v>0</x:v>
      </x:c>
      <x:c r="G1750">
        <x:v>0</x:v>
      </x:c>
      <x:c r="H1750">
        <x:v>0</x:v>
      </x:c>
      <x:c r="I1750">
        <x:v>0</x:v>
      </x:c>
      <x:c r="J1750">
        <x:v>0</x:v>
      </x:c>
      <x:c r="K1750">
        <x:v>0</x:v>
      </x:c>
      <x:c r="L1750">
        <x:v>0</x:v>
      </x:c>
      <x:c r="M1750">
        <x:v>0</x:v>
      </x:c>
      <x:c r="N1750">
        <x:v>0</x:v>
      </x:c>
      <x:c r="O1750">
        <x:v>0</x:v>
      </x:c>
      <x:c r="P1750">
        <x:v>0</x:v>
      </x:c>
      <x:c r="Q1750">
        <x:v>0</x:v>
      </x:c>
      <x:c r="T1750" t="str">
        <x:f>""</x:f>
        <x:v/>
      </x:c>
      <x:c r="U1750" t="str">
        <x:f>""</x:f>
        <x:v/>
      </x:c>
      <x:c r="V1750" t="str">
        <x:f>""</x:f>
        <x:v/>
      </x:c>
      <x:c r="W1750" t="str">
        <x:f>""</x:f>
        <x:v/>
      </x:c>
      <x:c r="X1750" t="str">
        <x:f>""</x:f>
        <x:v/>
      </x:c>
      <x:c r="Y1750" t="str">
        <x:f>""</x:f>
        <x:v/>
      </x:c>
      <x:c r="Z1750" t="str">
        <x:f>""</x:f>
        <x:v/>
      </x:c>
      <x:c r="AA1750" t="str">
        <x:f>""</x:f>
        <x:v/>
      </x:c>
      <x:c r="AB1750" t="str">
        <x:f>""</x:f>
        <x:v/>
      </x:c>
      <x:c r="AC1750" t="str">
        <x:f>""</x:f>
        <x:v/>
      </x:c>
      <x:c r="AD1750" t="str">
        <x:f>""</x:f>
        <x:v/>
      </x:c>
      <x:c r="AE1750" t="str">
        <x:f>""</x:f>
        <x:v/>
      </x:c>
      <x:c r="AF1750" t="str">
        <x:f>""</x:f>
        <x:v/>
      </x:c>
      <x:c r="AG1750" t="str">
        <x:f>""</x:f>
        <x:v/>
      </x:c>
    </x:row>
    <x:row r="1751" spans="2:33" x14ac:dyDescent="0.25">
      <x:c r="B1751" t="str">
        <x:f>"FIXT US Equity"</x:f>
        <x:v>FIXT US Equity</x:v>
      </x:c>
      <x:c r="C1751" t="str">
        <x:f t="shared" si="77"/>
        <x:v>FD447</x:v>
      </x:c>
      <x:c r="D1751" t="str">
        <x:f t="shared" si="78"/>
        <x:v>FUND_FLOW</x:v>
      </x:c>
      <x:c r="E1751" t="str">
        <x:f t="shared" si="79"/>
        <x:v>Dynamic</x:v>
      </x:c>
      <x:c r="F1751">
        <x:f ca="1">_xll.BDH($B$1751,$C$1751,$B$1010,$B$1011,CONCATENATE("Per=",$B$1008),"Dts=H","Dir=H",CONCATENATE("Points=",$B$1009),"Sort=R","Days=A","Fill=B",CONCATENATE("FX=", $B$1007),"cols=14;rows=1")</x:f>
        <x:v>0</x:v>
      </x:c>
      <x:c r="G1751">
        <x:v>0</x:v>
      </x:c>
      <x:c r="H1751">
        <x:v>-2.8927</x:v>
      </x:c>
      <x:c r="I1751">
        <x:v>0</x:v>
      </x:c>
      <x:c r="J1751">
        <x:v>4.1798000000000002</x:v>
      </x:c>
      <x:c r="K1751">
        <x:v>0</x:v>
      </x:c>
      <x:c r="L1751">
        <x:v>0</x:v>
      </x:c>
      <x:c r="M1751">
        <x:v>0</x:v>
      </x:c>
      <x:c r="N1751">
        <x:v>0</x:v>
      </x:c>
      <x:c r="T1751" t="str">
        <x:f>""</x:f>
        <x:v/>
      </x:c>
      <x:c r="U1751" t="str">
        <x:f>""</x:f>
        <x:v/>
      </x:c>
      <x:c r="V1751" t="str">
        <x:f>""</x:f>
        <x:v/>
      </x:c>
      <x:c r="W1751" t="str">
        <x:f>""</x:f>
        <x:v/>
      </x:c>
      <x:c r="X1751" t="str">
        <x:f>""</x:f>
        <x:v/>
      </x:c>
      <x:c r="Y1751" t="str">
        <x:f>""</x:f>
        <x:v/>
      </x:c>
      <x:c r="Z1751" t="str">
        <x:f>""</x:f>
        <x:v/>
      </x:c>
      <x:c r="AA1751" t="str">
        <x:f>""</x:f>
        <x:v/>
      </x:c>
      <x:c r="AB1751" t="str">
        <x:f>""</x:f>
        <x:v/>
      </x:c>
      <x:c r="AC1751" t="str">
        <x:f>""</x:f>
        <x:v/>
      </x:c>
      <x:c r="AD1751" t="str">
        <x:f>""</x:f>
        <x:v/>
      </x:c>
      <x:c r="AE1751" t="str">
        <x:f>""</x:f>
        <x:v/>
      </x:c>
      <x:c r="AF1751" t="str">
        <x:f>""</x:f>
        <x:v/>
      </x:c>
      <x:c r="AG1751" t="str">
        <x:f>""</x:f>
        <x:v/>
      </x:c>
    </x:row>
    <x:row r="1752" spans="2:33" x14ac:dyDescent="0.25">
      <x:c r="B1752" t="str">
        <x:f>"INFR US Equity"</x:f>
        <x:v>INFR US Equity</x:v>
      </x:c>
      <x:c r="C1752" t="str">
        <x:f t="shared" si="77"/>
        <x:v>FD447</x:v>
      </x:c>
      <x:c r="D1752" t="str">
        <x:f t="shared" si="78"/>
        <x:v>FUND_FLOW</x:v>
      </x:c>
      <x:c r="E1752" t="str">
        <x:f t="shared" si="79"/>
        <x:v>Dynamic</x:v>
      </x:c>
      <x:c r="F1752">
        <x:f ca="1">_xll.BDH($B$1752,$C$1752,$B$1010,$B$1011,CONCATENATE("Per=",$B$1008),"Dts=H","Dir=H",CONCATENATE("Points=",$B$1009),"Sort=R","Days=A","Fill=B",CONCATENATE("FX=", $B$1007),"cols=14;rows=1")</x:f>
        <x:v>-1.0927</x:v>
      </x:c>
      <x:c r="G1752">
        <x:v>0</x:v>
      </x:c>
      <x:c r="H1752">
        <x:v>7.0595999999999997</x:v>
      </x:c>
      <x:c r="I1752">
        <x:v>0</x:v>
      </x:c>
      <x:c r="J1752">
        <x:v>0</x:v>
      </x:c>
      <x:c r="K1752">
        <x:v>0</x:v>
      </x:c>
      <x:c r="L1752">
        <x:v>0</x:v>
      </x:c>
      <x:c r="M1752">
        <x:v>0</x:v>
      </x:c>
      <x:c r="N1752">
        <x:v>0</x:v>
      </x:c>
      <x:c r="O1752">
        <x:v>0</x:v>
      </x:c>
      <x:c r="P1752">
        <x:v>1.25</x:v>
      </x:c>
      <x:c r="T1752" t="str">
        <x:f>""</x:f>
        <x:v/>
      </x:c>
      <x:c r="U1752" t="str">
        <x:f>""</x:f>
        <x:v/>
      </x:c>
      <x:c r="V1752" t="str">
        <x:f>""</x:f>
        <x:v/>
      </x:c>
      <x:c r="W1752" t="str">
        <x:f>""</x:f>
        <x:v/>
      </x:c>
      <x:c r="X1752" t="str">
        <x:f>""</x:f>
        <x:v/>
      </x:c>
      <x:c r="Y1752" t="str">
        <x:f>""</x:f>
        <x:v/>
      </x:c>
      <x:c r="Z1752" t="str">
        <x:f>""</x:f>
        <x:v/>
      </x:c>
      <x:c r="AA1752" t="str">
        <x:f>""</x:f>
        <x:v/>
      </x:c>
      <x:c r="AB1752" t="str">
        <x:f>""</x:f>
        <x:v/>
      </x:c>
      <x:c r="AC1752" t="str">
        <x:f>""</x:f>
        <x:v/>
      </x:c>
      <x:c r="AD1752" t="str">
        <x:f>""</x:f>
        <x:v/>
      </x:c>
      <x:c r="AE1752" t="str">
        <x:f>""</x:f>
        <x:v/>
      </x:c>
      <x:c r="AF1752" t="str">
        <x:f>""</x:f>
        <x:v/>
      </x:c>
      <x:c r="AG1752" t="str">
        <x:f>""</x:f>
        <x:v/>
      </x:c>
    </x:row>
    <x:row r="1753" spans="2:33" x14ac:dyDescent="0.25">
      <x:c r="B1753" t="str">
        <x:f>"KWEB US Equity"</x:f>
        <x:v>KWEB US Equity</x:v>
      </x:c>
      <x:c r="C1753" t="str">
        <x:f t="shared" si="77"/>
        <x:v>FD447</x:v>
      </x:c>
      <x:c r="D1753" t="str">
        <x:f t="shared" si="78"/>
        <x:v>FUND_FLOW</x:v>
      </x:c>
      <x:c r="E1753" t="str">
        <x:f t="shared" si="79"/>
        <x:v>Dynamic</x:v>
      </x:c>
      <x:c r="F1753">
        <x:f ca="1">_xll.BDH($B$1753,$C$1753,$B$1010,$B$1011,CONCATENATE("Per=",$B$1008),"Dts=H","Dir=H",CONCATENATE("Points=",$B$1009),"Sort=R","Days=A","Fill=B",CONCATENATE("FX=", $B$1007),"cols=14;rows=1")</x:f>
        <x:v>-83.912999999999997</x:v>
      </x:c>
      <x:c r="G1753">
        <x:v>-22.279499999999999</x:v>
      </x:c>
      <x:c r="H1753">
        <x:v>310.0455</x:v>
      </x:c>
      <x:c r="I1753">
        <x:v>472.5095</x:v>
      </x:c>
      <x:c r="J1753">
        <x:v>-69.466499999999996</x:v>
      </x:c>
      <x:c r="K1753">
        <x:v>-305.60599999999999</x:v>
      </x:c>
      <x:c r="L1753">
        <x:v>-91.197000000000003</x:v>
      </x:c>
      <x:c r="M1753">
        <x:v>-401.76749999999998</x:v>
      </x:c>
      <x:c r="N1753">
        <x:v>-539.11199999999997</x:v>
      </x:c>
      <x:c r="O1753">
        <x:v>415.32799999999997</x:v>
      </x:c>
      <x:c r="P1753">
        <x:v>168.07400000000001</x:v>
      </x:c>
      <x:c r="Q1753">
        <x:v>38.523499999999999</x:v>
      </x:c>
      <x:c r="R1753">
        <x:v>-93.373000000000005</x:v>
      </x:c>
      <x:c r="S1753">
        <x:v>-298.322</x:v>
      </x:c>
      <x:c r="T1753" t="str">
        <x:f>""</x:f>
        <x:v/>
      </x:c>
      <x:c r="U1753" t="str">
        <x:f>""</x:f>
        <x:v/>
      </x:c>
      <x:c r="V1753" t="str">
        <x:f>""</x:f>
        <x:v/>
      </x:c>
      <x:c r="W1753" t="str">
        <x:f>""</x:f>
        <x:v/>
      </x:c>
      <x:c r="X1753" t="str">
        <x:f>""</x:f>
        <x:v/>
      </x:c>
      <x:c r="Y1753" t="str">
        <x:f>""</x:f>
        <x:v/>
      </x:c>
      <x:c r="Z1753" t="str">
        <x:f>""</x:f>
        <x:v/>
      </x:c>
      <x:c r="AA1753" t="str">
        <x:f>""</x:f>
        <x:v/>
      </x:c>
      <x:c r="AB1753" t="str">
        <x:f>""</x:f>
        <x:v/>
      </x:c>
      <x:c r="AC1753" t="str">
        <x:f>""</x:f>
        <x:v/>
      </x:c>
      <x:c r="AD1753" t="str">
        <x:f>""</x:f>
        <x:v/>
      </x:c>
      <x:c r="AE1753" t="str">
        <x:f>""</x:f>
        <x:v/>
      </x:c>
      <x:c r="AF1753" t="str">
        <x:f>""</x:f>
        <x:v/>
      </x:c>
      <x:c r="AG1753" t="str">
        <x:f>""</x:f>
        <x:v/>
      </x:c>
    </x:row>
    <x:row r="1754" spans="2:33" x14ac:dyDescent="0.25">
      <x:c r="B1754" t="str">
        <x:f>"CWEB US Equity"</x:f>
        <x:v>CWEB US Equity</x:v>
      </x:c>
      <x:c r="C1754" t="str">
        <x:f t="shared" si="77"/>
        <x:v>FD447</x:v>
      </x:c>
      <x:c r="D1754" t="str">
        <x:f t="shared" si="78"/>
        <x:v>FUND_FLOW</x:v>
      </x:c>
      <x:c r="E1754" t="str">
        <x:f t="shared" si="79"/>
        <x:v>Dynamic</x:v>
      </x:c>
      <x:c r="F1754">
        <x:f ca="1">_xll.BDH($B$1754,$C$1754,$B$1010,$B$1011,CONCATENATE("Per=",$B$1008),"Dts=H","Dir=H",CONCATENATE("Points=",$B$1009),"Sort=R","Days=A","Fill=B",CONCATENATE("FX=", $B$1007),"cols=14;rows=1")</x:f>
        <x:v>-5.5593000000000004</x:v>
      </x:c>
      <x:c r="G1754">
        <x:v>10.922000000000001</x:v>
      </x:c>
      <x:c r="H1754">
        <x:v>32.131900000000002</x:v>
      </x:c>
      <x:c r="I1754">
        <x:v>1.4513</x:v>
      </x:c>
      <x:c r="J1754">
        <x:v>47.7425</x:v>
      </x:c>
      <x:c r="K1754">
        <x:v>26.078499999999998</x:v>
      </x:c>
      <x:c r="L1754">
        <x:v>9.0823</x:v>
      </x:c>
      <x:c r="M1754">
        <x:v>15.1974</x:v>
      </x:c>
      <x:c r="N1754">
        <x:v>3.8692000000000002</x:v>
      </x:c>
      <x:c r="O1754">
        <x:v>10.334199999999999</x:v>
      </x:c>
      <x:c r="P1754">
        <x:v>-22.952100000000002</x:v>
      </x:c>
      <x:c r="Q1754">
        <x:v>-13.6936</x:v>
      </x:c>
      <x:c r="R1754">
        <x:v>31.751799999999999</x:v>
      </x:c>
      <x:c r="S1754">
        <x:v>-9.4034999999999993</x:v>
      </x:c>
      <x:c r="T1754" t="str">
        <x:f>""</x:f>
        <x:v/>
      </x:c>
      <x:c r="U1754" t="str">
        <x:f>""</x:f>
        <x:v/>
      </x:c>
      <x:c r="V1754" t="str">
        <x:f>""</x:f>
        <x:v/>
      </x:c>
      <x:c r="W1754" t="str">
        <x:f>""</x:f>
        <x:v/>
      </x:c>
      <x:c r="X1754" t="str">
        <x:f>""</x:f>
        <x:v/>
      </x:c>
      <x:c r="Y1754" t="str">
        <x:f>""</x:f>
        <x:v/>
      </x:c>
      <x:c r="Z1754" t="str">
        <x:f>""</x:f>
        <x:v/>
      </x:c>
      <x:c r="AA1754" t="str">
        <x:f>""</x:f>
        <x:v/>
      </x:c>
      <x:c r="AB1754" t="str">
        <x:f>""</x:f>
        <x:v/>
      </x:c>
      <x:c r="AC1754" t="str">
        <x:f>""</x:f>
        <x:v/>
      </x:c>
      <x:c r="AD1754" t="str">
        <x:f>""</x:f>
        <x:v/>
      </x:c>
      <x:c r="AE1754" t="str">
        <x:f>""</x:f>
        <x:v/>
      </x:c>
      <x:c r="AF1754" t="str">
        <x:f>""</x:f>
        <x:v/>
      </x:c>
      <x:c r="AG1754" t="str">
        <x:f>""</x:f>
        <x:v/>
      </x:c>
    </x:row>
    <x:row r="1755" spans="2:33" x14ac:dyDescent="0.25">
      <x:c r="B1755" t="str">
        <x:f>"EMQQ US Equity"</x:f>
        <x:v>EMQQ US Equity</x:v>
      </x:c>
      <x:c r="C1755" t="str">
        <x:f t="shared" si="77"/>
        <x:v>FD447</x:v>
      </x:c>
      <x:c r="D1755" t="str">
        <x:f t="shared" si="78"/>
        <x:v>FUND_FLOW</x:v>
      </x:c>
      <x:c r="E1755" t="str">
        <x:f t="shared" si="79"/>
        <x:v>Dynamic</x:v>
      </x:c>
      <x:c r="F1755">
        <x:f ca="1">_xll.BDH($B$1755,$C$1755,$B$1010,$B$1011,CONCATENATE("Per=",$B$1008),"Dts=H","Dir=H",CONCATENATE("Points=",$B$1009),"Sort=R","Days=A","Fill=B",CONCATENATE("FX=", $B$1007),"cols=14;rows=1")</x:f>
        <x:v>-18.637499999999999</x:v>
      </x:c>
      <x:c r="G1755">
        <x:v>-13.81</x:v>
      </x:c>
      <x:c r="H1755">
        <x:v>-9.3315000000000001</x:v>
      </x:c>
      <x:c r="I1755">
        <x:v>-10.551500000000001</x:v>
      </x:c>
      <x:c r="J1755">
        <x:v>-18.140999999999998</x:v>
      </x:c>
      <x:c r="K1755">
        <x:v>-13.4445</x:v>
      </x:c>
      <x:c r="L1755">
        <x:v>-2.9350000000000001</x:v>
      </x:c>
      <x:c r="M1755">
        <x:v>-6.1070000000000002</x:v>
      </x:c>
      <x:c r="N1755">
        <x:v>4.8464999999999998</x:v>
      </x:c>
      <x:c r="O1755">
        <x:v>0</x:v>
      </x:c>
      <x:c r="P1755">
        <x:v>-25.583500000000001</x:v>
      </x:c>
      <x:c r="Q1755">
        <x:v>6.6014999999999997</x:v>
      </x:c>
      <x:c r="R1755">
        <x:v>-17.936</x:v>
      </x:c>
      <x:c r="S1755">
        <x:v>-13.228</x:v>
      </x:c>
      <x:c r="T1755" t="str">
        <x:f>""</x:f>
        <x:v/>
      </x:c>
      <x:c r="U1755" t="str">
        <x:f>""</x:f>
        <x:v/>
      </x:c>
      <x:c r="V1755" t="str">
        <x:f>""</x:f>
        <x:v/>
      </x:c>
      <x:c r="W1755" t="str">
        <x:f>""</x:f>
        <x:v/>
      </x:c>
      <x:c r="X1755" t="str">
        <x:f>""</x:f>
        <x:v/>
      </x:c>
      <x:c r="Y1755" t="str">
        <x:f>""</x:f>
        <x:v/>
      </x:c>
      <x:c r="Z1755" t="str">
        <x:f>""</x:f>
        <x:v/>
      </x:c>
      <x:c r="AA1755" t="str">
        <x:f>""</x:f>
        <x:v/>
      </x:c>
      <x:c r="AB1755" t="str">
        <x:f>""</x:f>
        <x:v/>
      </x:c>
      <x:c r="AC1755" t="str">
        <x:f>""</x:f>
        <x:v/>
      </x:c>
      <x:c r="AD1755" t="str">
        <x:f>""</x:f>
        <x:v/>
      </x:c>
      <x:c r="AE1755" t="str">
        <x:f>""</x:f>
        <x:v/>
      </x:c>
      <x:c r="AF1755" t="str">
        <x:f>""</x:f>
        <x:v/>
      </x:c>
      <x:c r="AG1755" t="str">
        <x:f>""</x:f>
        <x:v/>
      </x:c>
    </x:row>
    <x:row r="1756" spans="2:33" x14ac:dyDescent="0.25">
      <x:c r="B1756" t="str">
        <x:f>"CHIK US Equity"</x:f>
        <x:v>CHIK US Equity</x:v>
      </x:c>
      <x:c r="C1756" t="str">
        <x:f t="shared" si="77"/>
        <x:v>FD447</x:v>
      </x:c>
      <x:c r="D1756" t="str">
        <x:f t="shared" si="78"/>
        <x:v>FUND_FLOW</x:v>
      </x:c>
      <x:c r="E1756" t="str">
        <x:f t="shared" si="79"/>
        <x:v>Dynamic</x:v>
      </x:c>
      <x:c r="F1756">
        <x:f ca="1">_xll.BDH($B$1756,$C$1756,$B$1010,$B$1011,CONCATENATE("Per=",$B$1008),"Dts=H","Dir=H",CONCATENATE("Points=",$B$1009),"Sort=R","Days=A","Fill=B",CONCATENATE("FX=", $B$1007),"cols=14;rows=1")</x:f>
        <x:v>0</x:v>
      </x:c>
      <x:c r="G1756">
        <x:v>0</x:v>
      </x:c>
      <x:c r="H1756">
        <x:v>-0.15509999999999999</x:v>
      </x:c>
      <x:c r="I1756">
        <x:v>0</x:v>
      </x:c>
      <x:c r="J1756">
        <x:v>-1.0014000000000001</x:v>
      </x:c>
      <x:c r="K1756">
        <x:v>0</x:v>
      </x:c>
      <x:c r="L1756">
        <x:v>-0.54749999999999999</x:v>
      </x:c>
      <x:c r="M1756">
        <x:v>0</x:v>
      </x:c>
      <x:c r="N1756">
        <x:v>0</x:v>
      </x:c>
      <x:c r="O1756">
        <x:v>0</x:v>
      </x:c>
      <x:c r="P1756">
        <x:v>-0.4929</x:v>
      </x:c>
      <x:c r="Q1756">
        <x:v>0</x:v>
      </x:c>
      <x:c r="R1756">
        <x:v>0</x:v>
      </x:c>
      <x:c r="S1756">
        <x:v>0</x:v>
      </x:c>
      <x:c r="T1756" t="str">
        <x:f>""</x:f>
        <x:v/>
      </x:c>
      <x:c r="U1756" t="str">
        <x:f>""</x:f>
        <x:v/>
      </x:c>
      <x:c r="V1756" t="str">
        <x:f>""</x:f>
        <x:v/>
      </x:c>
      <x:c r="W1756" t="str">
        <x:f>""</x:f>
        <x:v/>
      </x:c>
      <x:c r="X1756" t="str">
        <x:f>""</x:f>
        <x:v/>
      </x:c>
      <x:c r="Y1756" t="str">
        <x:f>""</x:f>
        <x:v/>
      </x:c>
      <x:c r="Z1756" t="str">
        <x:f>""</x:f>
        <x:v/>
      </x:c>
      <x:c r="AA1756" t="str">
        <x:f>""</x:f>
        <x:v/>
      </x:c>
      <x:c r="AB1756" t="str">
        <x:f>""</x:f>
        <x:v/>
      </x:c>
      <x:c r="AC1756" t="str">
        <x:f>""</x:f>
        <x:v/>
      </x:c>
      <x:c r="AD1756" t="str">
        <x:f>""</x:f>
        <x:v/>
      </x:c>
      <x:c r="AE1756" t="str">
        <x:f>""</x:f>
        <x:v/>
      </x:c>
      <x:c r="AF1756" t="str">
        <x:f>""</x:f>
        <x:v/>
      </x:c>
      <x:c r="AG1756" t="str">
        <x:f>""</x:f>
        <x:v/>
      </x:c>
    </x:row>
    <x:row r="1757" spans="2:33" x14ac:dyDescent="0.25">
      <x:c r="B1757" t="str">
        <x:f>"FMQQ US Equity"</x:f>
        <x:v>FMQQ US Equity</x:v>
      </x:c>
      <x:c r="C1757" t="str">
        <x:f t="shared" si="77"/>
        <x:v>FD447</x:v>
      </x:c>
      <x:c r="D1757" t="str">
        <x:f t="shared" si="78"/>
        <x:v>FUND_FLOW</x:v>
      </x:c>
      <x:c r="E1757" t="str">
        <x:f t="shared" si="79"/>
        <x:v>Dynamic</x:v>
      </x:c>
      <x:c r="F1757">
        <x:f ca="1">_xll.BDH($B$1757,$C$1757,$B$1010,$B$1011,CONCATENATE("Per=",$B$1008),"Dts=H","Dir=H",CONCATENATE("Points=",$B$1009),"Sort=R","Days=A","Fill=B",CONCATENATE("FX=", $B$1007),"cols=14;rows=1")</x:f>
        <x:v>0</x:v>
      </x:c>
      <x:c r="G1757">
        <x:v>0</x:v>
      </x:c>
      <x:c r="H1757">
        <x:v>1.0529999999999999</x:v>
      </x:c>
      <x:c r="I1757">
        <x:v>0.53649999999999998</x:v>
      </x:c>
      <x:c r="J1757">
        <x:v>0</x:v>
      </x:c>
      <x:c r="K1757">
        <x:v>0</x:v>
      </x:c>
      <x:c r="L1757">
        <x:v>0</x:v>
      </x:c>
      <x:c r="M1757">
        <x:v>0.25950000000000001</x:v>
      </x:c>
      <x:c r="N1757">
        <x:v>0</x:v>
      </x:c>
      <x:c r="O1757">
        <x:v>0</x:v>
      </x:c>
      <x:c r="P1757">
        <x:v>1.2335</x:v>
      </x:c>
      <x:c r="Q1757">
        <x:v>0.53200000000000003</x:v>
      </x:c>
      <x:c r="R1757">
        <x:v>0.23619999999999999</x:v>
      </x:c>
      <x:c r="S1757">
        <x:v>0.26569999999999999</x:v>
      </x:c>
      <x:c r="T1757" t="str">
        <x:f>""</x:f>
        <x:v/>
      </x:c>
      <x:c r="U1757" t="str">
        <x:f>""</x:f>
        <x:v/>
      </x:c>
      <x:c r="V1757" t="str">
        <x:f>""</x:f>
        <x:v/>
      </x:c>
      <x:c r="W1757" t="str">
        <x:f>""</x:f>
        <x:v/>
      </x:c>
      <x:c r="X1757" t="str">
        <x:f>""</x:f>
        <x:v/>
      </x:c>
      <x:c r="Y1757" t="str">
        <x:f>""</x:f>
        <x:v/>
      </x:c>
      <x:c r="Z1757" t="str">
        <x:f>""</x:f>
        <x:v/>
      </x:c>
      <x:c r="AA1757" t="str">
        <x:f>""</x:f>
        <x:v/>
      </x:c>
      <x:c r="AB1757" t="str">
        <x:f>""</x:f>
        <x:v/>
      </x:c>
      <x:c r="AC1757" t="str">
        <x:f>""</x:f>
        <x:v/>
      </x:c>
      <x:c r="AD1757" t="str">
        <x:f>""</x:f>
        <x:v/>
      </x:c>
      <x:c r="AE1757" t="str">
        <x:f>""</x:f>
        <x:v/>
      </x:c>
      <x:c r="AF1757" t="str">
        <x:f>""</x:f>
        <x:v/>
      </x:c>
      <x:c r="AG1757" t="str">
        <x:f>""</x:f>
        <x:v/>
      </x:c>
    </x:row>
    <x:row r="1758" spans="2:33" x14ac:dyDescent="0.25">
      <x:c r="B1758" t="str">
        <x:f>"EWEB US Equity"</x:f>
        <x:v>EWEB US Equity</x:v>
      </x:c>
      <x:c r="C1758" t="str">
        <x:f t="shared" si="77"/>
        <x:v>FD447</x:v>
      </x:c>
      <x:c r="D1758" t="str">
        <x:f t="shared" si="78"/>
        <x:v>FUND_FLOW</x:v>
      </x:c>
      <x:c r="E1758" t="str">
        <x:f t="shared" si="79"/>
        <x:v>Dynamic</x:v>
      </x:c>
      <x:c r="F1758">
        <x:f ca="1">_xll.BDH($B$1758,$C$1758,$B$1010,$B$1011,CONCATENATE("Per=",$B$1008),"Dts=H","Dir=H",CONCATENATE("Points=",$B$1009),"Sort=R","Days=A","Fill=B",CONCATENATE("FX=", $B$1007),"cols=14;rows=1")</x:f>
        <x:v>0</x:v>
      </x:c>
      <x:c r="G1758">
        <x:v>0</x:v>
      </x:c>
      <x:c r="H1758">
        <x:v>0</x:v>
      </x:c>
      <x:c r="I1758">
        <x:v>0</x:v>
      </x:c>
      <x:c r="J1758">
        <x:v>0</x:v>
      </x:c>
      <x:c r="K1758">
        <x:v>0</x:v>
      </x:c>
      <x:c r="L1758">
        <x:v>0</x:v>
      </x:c>
      <x:c r="M1758">
        <x:v>0</x:v>
      </x:c>
      <x:c r="N1758">
        <x:v>0</x:v>
      </x:c>
      <x:c r="O1758">
        <x:v>-3.0000000000000001E-3</x:v>
      </x:c>
      <x:c r="P1758">
        <x:v>0</x:v>
      </x:c>
      <x:c r="Q1758">
        <x:v>0</x:v>
      </x:c>
      <x:c r="R1758">
        <x:v>0</x:v>
      </x:c>
      <x:c r="S1758">
        <x:v>0</x:v>
      </x:c>
      <x:c r="T1758" t="str">
        <x:f>""</x:f>
        <x:v/>
      </x:c>
      <x:c r="U1758" t="str">
        <x:f>""</x:f>
        <x:v/>
      </x:c>
      <x:c r="V1758" t="str">
        <x:f>""</x:f>
        <x:v/>
      </x:c>
      <x:c r="W1758" t="str">
        <x:f>""</x:f>
        <x:v/>
      </x:c>
      <x:c r="X1758" t="str">
        <x:f>""</x:f>
        <x:v/>
      </x:c>
      <x:c r="Y1758" t="str">
        <x:f>""</x:f>
        <x:v/>
      </x:c>
      <x:c r="Z1758" t="str">
        <x:f>""</x:f>
        <x:v/>
      </x:c>
      <x:c r="AA1758" t="str">
        <x:f>""</x:f>
        <x:v/>
      </x:c>
      <x:c r="AB1758" t="str">
        <x:f>""</x:f>
        <x:v/>
      </x:c>
      <x:c r="AC1758" t="str">
        <x:f>""</x:f>
        <x:v/>
      </x:c>
      <x:c r="AD1758" t="str">
        <x:f>""</x:f>
        <x:v/>
      </x:c>
      <x:c r="AE1758" t="str">
        <x:f>""</x:f>
        <x:v/>
      </x:c>
      <x:c r="AF1758" t="str">
        <x:f>""</x:f>
        <x:v/>
      </x:c>
      <x:c r="AG1758" t="str">
        <x:f>""</x:f>
        <x:v/>
      </x:c>
    </x:row>
    <x:row r="1759" spans="2:33" x14ac:dyDescent="0.25">
      <x:c r="B1759" t="str">
        <x:f>"DGIN US Equity"</x:f>
        <x:v>DGIN US Equity</x:v>
      </x:c>
      <x:c r="C1759" t="str">
        <x:f t="shared" si="77"/>
        <x:v>FD447</x:v>
      </x:c>
      <x:c r="D1759" t="str">
        <x:f t="shared" si="78"/>
        <x:v>FUND_FLOW</x:v>
      </x:c>
      <x:c r="E1759" t="str">
        <x:f t="shared" si="79"/>
        <x:v>Dynamic</x:v>
      </x:c>
      <x:c r="F1759">
        <x:f ca="1">_xll.BDH($B$1759,$C$1759,$B$1010,$B$1011,CONCATENATE("Per=",$B$1008),"Dts=H","Dir=H",CONCATENATE("Points=",$B$1009),"Sort=R","Days=A","Fill=B",CONCATENATE("FX=", $B$1007),"cols=14;rows=1")</x:f>
        <x:v>0</x:v>
      </x:c>
      <x:c r="G1759">
        <x:v>0.82740000000000002</x:v>
      </x:c>
      <x:c r="H1759">
        <x:v>0.79569999999999996</x:v>
      </x:c>
      <x:c r="I1759">
        <x:v>0</x:v>
      </x:c>
      <x:c r="J1759">
        <x:v>0.74170000000000003</x:v>
      </x:c>
      <x:c r="K1759">
        <x:v>0</x:v>
      </x:c>
      <x:c r="L1759">
        <x:v>0</x:v>
      </x:c>
      <x:c r="M1759">
        <x:v>0</x:v>
      </x:c>
      <x:c r="N1759">
        <x:v>0</x:v>
      </x:c>
      <x:c r="O1759">
        <x:v>0</x:v>
      </x:c>
      <x:c r="P1759">
        <x:v>0</x:v>
      </x:c>
      <x:c r="Q1759">
        <x:v>0</x:v>
      </x:c>
      <x:c r="R1759">
        <x:v>0</x:v>
      </x:c>
      <x:c r="S1759">
        <x:v>0</x:v>
      </x:c>
      <x:c r="T1759" t="str">
        <x:f>""</x:f>
        <x:v/>
      </x:c>
      <x:c r="U1759" t="str">
        <x:f>""</x:f>
        <x:v/>
      </x:c>
      <x:c r="V1759" t="str">
        <x:f>""</x:f>
        <x:v/>
      </x:c>
      <x:c r="W1759" t="str">
        <x:f>""</x:f>
        <x:v/>
      </x:c>
      <x:c r="X1759" t="str">
        <x:f>""</x:f>
        <x:v/>
      </x:c>
      <x:c r="Y1759" t="str">
        <x:f>""</x:f>
        <x:v/>
      </x:c>
      <x:c r="Z1759" t="str">
        <x:f>""</x:f>
        <x:v/>
      </x:c>
      <x:c r="AA1759" t="str">
        <x:f>""</x:f>
        <x:v/>
      </x:c>
      <x:c r="AB1759" t="str">
        <x:f>""</x:f>
        <x:v/>
      </x:c>
      <x:c r="AC1759" t="str">
        <x:f>""</x:f>
        <x:v/>
      </x:c>
      <x:c r="AD1759" t="str">
        <x:f>""</x:f>
        <x:v/>
      </x:c>
      <x:c r="AE1759" t="str">
        <x:f>""</x:f>
        <x:v/>
      </x:c>
      <x:c r="AF1759" t="str">
        <x:f>""</x:f>
        <x:v/>
      </x:c>
      <x:c r="AG1759" t="str">
        <x:f>""</x:f>
        <x:v/>
      </x:c>
    </x:row>
    <x:row r="1760" spans="2:33" x14ac:dyDescent="0.25">
      <x:c r="B1760" t="str">
        <x:f>"TCHI US Equity"</x:f>
        <x:v>TCHI US Equity</x:v>
      </x:c>
      <x:c r="C1760" t="str">
        <x:f t="shared" si="77"/>
        <x:v>FD447</x:v>
      </x:c>
      <x:c r="D1760" t="str">
        <x:f t="shared" si="78"/>
        <x:v>FUND_FLOW</x:v>
      </x:c>
      <x:c r="E1760" t="str">
        <x:f t="shared" si="79"/>
        <x:v>Dynamic</x:v>
      </x:c>
      <x:c r="F1760">
        <x:f ca="1">_xll.BDH($B$1760,$C$1760,$B$1010,$B$1011,CONCATENATE("Per=",$B$1008),"Dts=H","Dir=H",CONCATENATE("Points=",$B$1009),"Sort=R","Days=A","Fill=B",CONCATENATE("FX=", $B$1007),"cols=14;rows=1")</x:f>
        <x:v>0</x:v>
      </x:c>
      <x:c r="G1760">
        <x:v>0</x:v>
      </x:c>
      <x:c r="H1760">
        <x:v>0</x:v>
      </x:c>
      <x:c r="I1760">
        <x:v>0</x:v>
      </x:c>
      <x:c r="J1760">
        <x:v>0</x:v>
      </x:c>
      <x:c r="K1760">
        <x:v>0</x:v>
      </x:c>
      <x:c r="L1760">
        <x:v>0</x:v>
      </x:c>
      <x:c r="M1760">
        <x:v>0</x:v>
      </x:c>
      <x:c r="N1760">
        <x:v>0</x:v>
      </x:c>
      <x:c r="O1760">
        <x:v>0</x:v>
      </x:c>
      <x:c r="P1760">
        <x:v>0</x:v>
      </x:c>
      <x:c r="Q1760">
        <x:v>0</x:v>
      </x:c>
      <x:c r="R1760">
        <x:v>0</x:v>
      </x:c>
      <x:c r="S1760">
        <x:v>0</x:v>
      </x:c>
      <x:c r="T1760" t="str">
        <x:f>""</x:f>
        <x:v/>
      </x:c>
      <x:c r="U1760" t="str">
        <x:f>""</x:f>
        <x:v/>
      </x:c>
      <x:c r="V1760" t="str">
        <x:f>""</x:f>
        <x:v/>
      </x:c>
      <x:c r="W1760" t="str">
        <x:f>""</x:f>
        <x:v/>
      </x:c>
      <x:c r="X1760" t="str">
        <x:f>""</x:f>
        <x:v/>
      </x:c>
      <x:c r="Y1760" t="str">
        <x:f>""</x:f>
        <x:v/>
      </x:c>
      <x:c r="Z1760" t="str">
        <x:f>""</x:f>
        <x:v/>
      </x:c>
      <x:c r="AA1760" t="str">
        <x:f>""</x:f>
        <x:v/>
      </x:c>
      <x:c r="AB1760" t="str">
        <x:f>""</x:f>
        <x:v/>
      </x:c>
      <x:c r="AC1760" t="str">
        <x:f>""</x:f>
        <x:v/>
      </x:c>
      <x:c r="AD1760" t="str">
        <x:f>""</x:f>
        <x:v/>
      </x:c>
      <x:c r="AE1760" t="str">
        <x:f>""</x:f>
        <x:v/>
      </x:c>
      <x:c r="AF1760" t="str">
        <x:f>""</x:f>
        <x:v/>
      </x:c>
      <x:c r="AG1760" t="str">
        <x:f>""</x:f>
        <x:v/>
      </x:c>
    </x:row>
    <x:row r="1761" spans="2:33" x14ac:dyDescent="0.25">
      <x:c r="B1761" t="str">
        <x:f>"KLIP US Equity"</x:f>
        <x:v>KLIP US Equity</x:v>
      </x:c>
      <x:c r="C1761" t="str">
        <x:f t="shared" si="77"/>
        <x:v>FD447</x:v>
      </x:c>
      <x:c r="D1761" t="str">
        <x:f t="shared" si="78"/>
        <x:v>FUND_FLOW</x:v>
      </x:c>
      <x:c r="E1761" t="str">
        <x:f t="shared" si="79"/>
        <x:v>Dynamic</x:v>
      </x:c>
      <x:c r="F1761">
        <x:f ca="1">_xll.BDH($B$1761,$C$1761,$B$1010,$B$1011,CONCATENATE("Per=",$B$1008),"Dts=H","Dir=H",CONCATENATE("Points=",$B$1009),"Sort=R","Days=A","Fill=B",CONCATENATE("FX=", $B$1007),"cols=14;rows=1")</x:f>
        <x:v>10.595000000000001</x:v>
      </x:c>
      <x:c r="G1761">
        <x:v>33.4773</x:v>
      </x:c>
      <x:c r="H1761">
        <x:v>16.414200000000001</x:v>
      </x:c>
      <x:c r="I1761">
        <x:v>31.8263</x:v>
      </x:c>
      <x:c r="J1761">
        <x:v>16.2423</x:v>
      </x:c>
      <x:c r="K1761">
        <x:v>13.013500000000001</x:v>
      </x:c>
      <x:c r="L1761">
        <x:v>2.5891999999999999</x:v>
      </x:c>
      <x:c r="M1761">
        <x:v>0.53969999999999996</x:v>
      </x:c>
      <x:c r="N1761">
        <x:v>2.391</x:v>
      </x:c>
      <x:c r="O1761">
        <x:v>0</x:v>
      </x:c>
      <x:c r="T1761" t="str">
        <x:f>""</x:f>
        <x:v/>
      </x:c>
      <x:c r="U1761" t="str">
        <x:f>""</x:f>
        <x:v/>
      </x:c>
      <x:c r="V1761" t="str">
        <x:f>""</x:f>
        <x:v/>
      </x:c>
      <x:c r="W1761" t="str">
        <x:f>""</x:f>
        <x:v/>
      </x:c>
      <x:c r="X1761" t="str">
        <x:f>""</x:f>
        <x:v/>
      </x:c>
      <x:c r="Y1761" t="str">
        <x:f>""</x:f>
        <x:v/>
      </x:c>
      <x:c r="Z1761" t="str">
        <x:f>""</x:f>
        <x:v/>
      </x:c>
      <x:c r="AA1761" t="str">
        <x:f>""</x:f>
        <x:v/>
      </x:c>
      <x:c r="AB1761" t="str">
        <x:f>""</x:f>
        <x:v/>
      </x:c>
      <x:c r="AC1761" t="str">
        <x:f>""</x:f>
        <x:v/>
      </x:c>
      <x:c r="AD1761" t="str">
        <x:f>""</x:f>
        <x:v/>
      </x:c>
      <x:c r="AE1761" t="str">
        <x:f>""</x:f>
        <x:v/>
      </x:c>
      <x:c r="AF1761" t="str">
        <x:f>""</x:f>
        <x:v/>
      </x:c>
      <x:c r="AG1761" t="str">
        <x:f>""</x:f>
        <x:v/>
      </x:c>
    </x:row>
    <x:row r="1762" spans="2:33" x14ac:dyDescent="0.25">
      <x:c r="B1762" t="str">
        <x:f>"INQQ US Equity"</x:f>
        <x:v>INQQ US Equity</x:v>
      </x:c>
      <x:c r="C1762" t="str">
        <x:f t="shared" si="77"/>
        <x:v>FD447</x:v>
      </x:c>
      <x:c r="D1762" t="str">
        <x:f t="shared" si="78"/>
        <x:v>FUND_FLOW</x:v>
      </x:c>
      <x:c r="E1762" t="str">
        <x:f t="shared" si="79"/>
        <x:v>Dynamic</x:v>
      </x:c>
      <x:c r="F1762">
        <x:f ca="1">_xll.BDH($B$1762,$C$1762,$B$1010,$B$1011,CONCATENATE("Per=",$B$1008),"Dts=H","Dir=H",CONCATENATE("Points=",$B$1009),"Sort=R","Days=A","Fill=B",CONCATENATE("FX=", $B$1007),"cols=14;rows=1")</x:f>
        <x:v>0</x:v>
      </x:c>
      <x:c r="G1762">
        <x:v>1.3866000000000001</x:v>
      </x:c>
      <x:c r="H1762">
        <x:v>1.6134999999999999</x:v>
      </x:c>
      <x:c r="I1762">
        <x:v>1.327</x:v>
      </x:c>
      <x:c r="J1762">
        <x:v>2.6389999999999998</x:v>
      </x:c>
      <x:c r="K1762">
        <x:v>0.30809999999999998</x:v>
      </x:c>
      <x:c r="L1762">
        <x:v>0.20100000000000001</x:v>
      </x:c>
      <x:c r="M1762">
        <x:v>0</x:v>
      </x:c>
      <x:c r="N1762">
        <x:v>0.20699999999999999</x:v>
      </x:c>
      <x:c r="O1762">
        <x:v>0</x:v>
      </x:c>
      <x:c r="P1762">
        <x:v>0.55620000000000003</x:v>
      </x:c>
      <x:c r="Q1762">
        <x:v>0</x:v>
      </x:c>
      <x:c r="R1762">
        <x:v>0</x:v>
      </x:c>
      <x:c r="S1762">
        <x:v>0</x:v>
      </x:c>
      <x:c r="T1762" t="str">
        <x:f>""</x:f>
        <x:v/>
      </x:c>
      <x:c r="U1762" t="str">
        <x:f>""</x:f>
        <x:v/>
      </x:c>
      <x:c r="V1762" t="str">
        <x:f>""</x:f>
        <x:v/>
      </x:c>
      <x:c r="W1762" t="str">
        <x:f>""</x:f>
        <x:v/>
      </x:c>
      <x:c r="X1762" t="str">
        <x:f>""</x:f>
        <x:v/>
      </x:c>
      <x:c r="Y1762" t="str">
        <x:f>""</x:f>
        <x:v/>
      </x:c>
      <x:c r="Z1762" t="str">
        <x:f>""</x:f>
        <x:v/>
      </x:c>
      <x:c r="AA1762" t="str">
        <x:f>""</x:f>
        <x:v/>
      </x:c>
      <x:c r="AB1762" t="str">
        <x:f>""</x:f>
        <x:v/>
      </x:c>
      <x:c r="AC1762" t="str">
        <x:f>""</x:f>
        <x:v/>
      </x:c>
      <x:c r="AD1762" t="str">
        <x:f>""</x:f>
        <x:v/>
      </x:c>
      <x:c r="AE1762" t="str">
        <x:f>""</x:f>
        <x:v/>
      </x:c>
      <x:c r="AF1762" t="str">
        <x:f>""</x:f>
        <x:v/>
      </x:c>
      <x:c r="AG1762" t="str">
        <x:f>""</x:f>
        <x:v/>
      </x:c>
    </x:row>
    <x:row r="1763" spans="2:33" x14ac:dyDescent="0.25">
      <x:c r="B1763" t="str">
        <x:f>"FINX US Equity"</x:f>
        <x:v>FINX US Equity</x:v>
      </x:c>
      <x:c r="C1763" t="str">
        <x:f t="shared" si="77"/>
        <x:v>FD447</x:v>
      </x:c>
      <x:c r="D1763" t="str">
        <x:f t="shared" si="78"/>
        <x:v>FUND_FLOW</x:v>
      </x:c>
      <x:c r="E1763" t="str">
        <x:f t="shared" si="79"/>
        <x:v>Dynamic</x:v>
      </x:c>
      <x:c r="F1763">
        <x:f ca="1">_xll.BDH($B$1763,$C$1763,$B$1010,$B$1011,CONCATENATE("Per=",$B$1008),"Dts=H","Dir=H",CONCATENATE("Points=",$B$1009),"Sort=R","Days=A","Fill=B",CONCATENATE("FX=", $B$1007),"cols=14;rows=1")</x:f>
        <x:v>-8.4305000000000003</x:v>
      </x:c>
      <x:c r="G1763">
        <x:v>-9.6288</x:v>
      </x:c>
      <x:c r="H1763">
        <x:v>-19.696200000000001</x:v>
      </x:c>
      <x:c r="I1763">
        <x:v>3.7073999999999998</x:v>
      </x:c>
      <x:c r="J1763">
        <x:v>-9.57</x:v>
      </x:c>
      <x:c r="K1763">
        <x:v>-22.706900000000001</x:v>
      </x:c>
      <x:c r="L1763">
        <x:v>-1.6175999999999999</x:v>
      </x:c>
      <x:c r="M1763">
        <x:v>-7.9669999999999996</x:v>
      </x:c>
      <x:c r="N1763">
        <x:v>-6.2446000000000002</x:v>
      </x:c>
      <x:c r="O1763">
        <x:v>-22.330100000000002</x:v>
      </x:c>
      <x:c r="P1763">
        <x:v>-23.942499999999999</x:v>
      </x:c>
      <x:c r="Q1763">
        <x:v>-42.003799999999998</x:v>
      </x:c>
      <x:c r="R1763">
        <x:v>-3.0794999999999999</x:v>
      </x:c>
      <x:c r="S1763">
        <x:v>-4.6399999999999997</x:v>
      </x:c>
      <x:c r="T1763" t="str">
        <x:f>""</x:f>
        <x:v/>
      </x:c>
      <x:c r="U1763" t="str">
        <x:f>""</x:f>
        <x:v/>
      </x:c>
      <x:c r="V1763" t="str">
        <x:f>""</x:f>
        <x:v/>
      </x:c>
      <x:c r="W1763" t="str">
        <x:f>""</x:f>
        <x:v/>
      </x:c>
      <x:c r="X1763" t="str">
        <x:f>""</x:f>
        <x:v/>
      </x:c>
      <x:c r="Y1763" t="str">
        <x:f>""</x:f>
        <x:v/>
      </x:c>
      <x:c r="Z1763" t="str">
        <x:f>""</x:f>
        <x:v/>
      </x:c>
      <x:c r="AA1763" t="str">
        <x:f>""</x:f>
        <x:v/>
      </x:c>
      <x:c r="AB1763" t="str">
        <x:f>""</x:f>
        <x:v/>
      </x:c>
      <x:c r="AC1763" t="str">
        <x:f>""</x:f>
        <x:v/>
      </x:c>
      <x:c r="AD1763" t="str">
        <x:f>""</x:f>
        <x:v/>
      </x:c>
      <x:c r="AE1763" t="str">
        <x:f>""</x:f>
        <x:v/>
      </x:c>
      <x:c r="AF1763" t="str">
        <x:f>""</x:f>
        <x:v/>
      </x:c>
      <x:c r="AG1763" t="str">
        <x:f>""</x:f>
        <x:v/>
      </x:c>
    </x:row>
    <x:row r="1764" spans="2:33" x14ac:dyDescent="0.25">
      <x:c r="B1764" t="str">
        <x:f>"FINQ US Equity"</x:f>
        <x:v>FINQ US Equity</x:v>
      </x:c>
      <x:c r="C1764" t="str">
        <x:f t="shared" si="77"/>
        <x:v>FD447</x:v>
      </x:c>
      <x:c r="D1764" t="str">
        <x:f t="shared" si="78"/>
        <x:v>FUND_FLOW</x:v>
      </x:c>
      <x:c r="E1764" t="str">
        <x:f t="shared" si="79"/>
        <x:v>Dynamic</x:v>
      </x:c>
      <x:c r="F1764" t="str">
        <x:f ca="1">_xll.BDH($B$1764,$C$1764,$B$1010,$B$1011,CONCATENATE("Per=",$B$1008),"Dts=H","Dir=H",CONCATENATE("Points=",$B$1009),"Sort=R","Days=A","Fill=B",CONCATENATE("FX=", $B$1007) )</x:f>
        <x:v/>
      </x:c>
      <x:c r="T1764" t="str">
        <x:f>""</x:f>
        <x:v/>
      </x:c>
      <x:c r="U1764" t="str">
        <x:f>""</x:f>
        <x:v/>
      </x:c>
      <x:c r="V1764" t="str">
        <x:f>""</x:f>
        <x:v/>
      </x:c>
      <x:c r="W1764" t="str">
        <x:f>""</x:f>
        <x:v/>
      </x:c>
      <x:c r="X1764" t="str">
        <x:f>""</x:f>
        <x:v/>
      </x:c>
      <x:c r="Y1764" t="str">
        <x:f>""</x:f>
        <x:v/>
      </x:c>
      <x:c r="Z1764" t="str">
        <x:f>""</x:f>
        <x:v/>
      </x:c>
      <x:c r="AA1764" t="str">
        <x:f>""</x:f>
        <x:v/>
      </x:c>
      <x:c r="AB1764" t="str">
        <x:f>""</x:f>
        <x:v/>
      </x:c>
      <x:c r="AC1764" t="str">
        <x:f>""</x:f>
        <x:v/>
      </x:c>
      <x:c r="AD1764" t="str">
        <x:f>""</x:f>
        <x:v/>
      </x:c>
      <x:c r="AE1764" t="str">
        <x:f>""</x:f>
        <x:v/>
      </x:c>
      <x:c r="AF1764" t="str">
        <x:f>""</x:f>
        <x:v/>
      </x:c>
      <x:c r="AG1764" t="str">
        <x:f>""</x:f>
        <x:v/>
      </x:c>
    </x:row>
    <x:row r="1765" spans="2:33" x14ac:dyDescent="0.25">
      <x:c r="B1765" t="str">
        <x:f>"ARKF US Equity"</x:f>
        <x:v>ARKF US Equity</x:v>
      </x:c>
      <x:c r="C1765" t="str">
        <x:f t="shared" si="77"/>
        <x:v>FD447</x:v>
      </x:c>
      <x:c r="D1765" t="str">
        <x:f t="shared" si="78"/>
        <x:v>FUND_FLOW</x:v>
      </x:c>
      <x:c r="E1765" t="str">
        <x:f t="shared" si="79"/>
        <x:v>Dynamic</x:v>
      </x:c>
      <x:c r="F1765">
        <x:f ca="1">_xll.BDH($B$1765,$C$1765,$B$1010,$B$1011,CONCATENATE("Per=",$B$1008),"Dts=H","Dir=H",CONCATENATE("Points=",$B$1009),"Sort=R","Days=A","Fill=B",CONCATENATE("FX=", $B$1007),"cols=14;rows=1")</x:f>
        <x:v>-23.9468</x:v>
      </x:c>
      <x:c r="G1765">
        <x:v>0</x:v>
      </x:c>
      <x:c r="H1765">
        <x:v>-41.8001</x:v>
      </x:c>
      <x:c r="I1765">
        <x:v>14.954599999999999</x:v>
      </x:c>
      <x:c r="J1765">
        <x:v>-2.7835000000000001</x:v>
      </x:c>
      <x:c r="K1765">
        <x:v>16.685500000000001</x:v>
      </x:c>
      <x:c r="L1765">
        <x:v>-12.364699999999999</x:v>
      </x:c>
      <x:c r="M1765">
        <x:v>-40.178699999999999</x:v>
      </x:c>
      <x:c r="N1765">
        <x:v>0.98029999999999995</x:v>
      </x:c>
      <x:c r="O1765">
        <x:v>14.4056</x:v>
      </x:c>
      <x:c r="P1765">
        <x:v>-29.0258</x:v>
      </x:c>
      <x:c r="Q1765">
        <x:v>-14.9489</x:v>
      </x:c>
      <x:c r="R1765">
        <x:v>2.6865000000000001</x:v>
      </x:c>
      <x:c r="S1765">
        <x:v>-25.095300000000002</x:v>
      </x:c>
      <x:c r="T1765" t="str">
        <x:f>""</x:f>
        <x:v/>
      </x:c>
      <x:c r="U1765" t="str">
        <x:f>""</x:f>
        <x:v/>
      </x:c>
      <x:c r="V1765" t="str">
        <x:f>""</x:f>
        <x:v/>
      </x:c>
      <x:c r="W1765" t="str">
        <x:f>""</x:f>
        <x:v/>
      </x:c>
      <x:c r="X1765" t="str">
        <x:f>""</x:f>
        <x:v/>
      </x:c>
      <x:c r="Y1765" t="str">
        <x:f>""</x:f>
        <x:v/>
      </x:c>
      <x:c r="Z1765" t="str">
        <x:f>""</x:f>
        <x:v/>
      </x:c>
      <x:c r="AA1765" t="str">
        <x:f>""</x:f>
        <x:v/>
      </x:c>
      <x:c r="AB1765" t="str">
        <x:f>""</x:f>
        <x:v/>
      </x:c>
      <x:c r="AC1765" t="str">
        <x:f>""</x:f>
        <x:v/>
      </x:c>
      <x:c r="AD1765" t="str">
        <x:f>""</x:f>
        <x:v/>
      </x:c>
      <x:c r="AE1765" t="str">
        <x:f>""</x:f>
        <x:v/>
      </x:c>
      <x:c r="AF1765" t="str">
        <x:f>""</x:f>
        <x:v/>
      </x:c>
      <x:c r="AG1765" t="str">
        <x:f>""</x:f>
        <x:v/>
      </x:c>
    </x:row>
    <x:row r="1766" spans="2:33" x14ac:dyDescent="0.25">
      <x:c r="B1766" t="str">
        <x:f>"IPAY US Equity"</x:f>
        <x:v>IPAY US Equity</x:v>
      </x:c>
      <x:c r="C1766" t="str">
        <x:f t="shared" si="77"/>
        <x:v>FD447</x:v>
      </x:c>
      <x:c r="D1766" t="str">
        <x:f t="shared" si="78"/>
        <x:v>FUND_FLOW</x:v>
      </x:c>
      <x:c r="E1766" t="str">
        <x:f t="shared" si="79"/>
        <x:v>Dynamic</x:v>
      </x:c>
      <x:c r="F1766">
        <x:f ca="1">_xll.BDH($B$1766,$C$1766,$B$1010,$B$1011,CONCATENATE("Per=",$B$1008),"Dts=H","Dir=H",CONCATENATE("Points=",$B$1009),"Sort=R","Days=A","Fill=B",CONCATENATE("FX=", $B$1007),"cols=14;rows=1")</x:f>
        <x:v>-25.023</x:v>
      </x:c>
      <x:c r="G1766">
        <x:v>-16.553599999999999</x:v>
      </x:c>
      <x:c r="H1766">
        <x:v>-6.1574</x:v>
      </x:c>
      <x:c r="I1766">
        <x:v>-11.213200000000001</x:v>
      </x:c>
      <x:c r="J1766">
        <x:v>-23.105799999999999</x:v>
      </x:c>
      <x:c r="K1766">
        <x:v>-16.4161</x:v>
      </x:c>
      <x:c r="L1766">
        <x:v>-6.2294</x:v>
      </x:c>
      <x:c r="M1766">
        <x:v>-14.6723</x:v>
      </x:c>
      <x:c r="N1766">
        <x:v>-13.2858</x:v>
      </x:c>
      <x:c r="O1766">
        <x:v>-31.585100000000001</x:v>
      </x:c>
      <x:c r="P1766">
        <x:v>-11.942299999999999</x:v>
      </x:c>
      <x:c r="Q1766">
        <x:v>-12.0328</x:v>
      </x:c>
      <x:c r="R1766">
        <x:v>-15.626300000000001</x:v>
      </x:c>
      <x:c r="S1766">
        <x:v>-16.417300000000001</x:v>
      </x:c>
      <x:c r="T1766" t="str">
        <x:f>""</x:f>
        <x:v/>
      </x:c>
      <x:c r="U1766" t="str">
        <x:f>""</x:f>
        <x:v/>
      </x:c>
      <x:c r="V1766" t="str">
        <x:f>""</x:f>
        <x:v/>
      </x:c>
      <x:c r="W1766" t="str">
        <x:f>""</x:f>
        <x:v/>
      </x:c>
      <x:c r="X1766" t="str">
        <x:f>""</x:f>
        <x:v/>
      </x:c>
      <x:c r="Y1766" t="str">
        <x:f>""</x:f>
        <x:v/>
      </x:c>
      <x:c r="Z1766" t="str">
        <x:f>""</x:f>
        <x:v/>
      </x:c>
      <x:c r="AA1766" t="str">
        <x:f>""</x:f>
        <x:v/>
      </x:c>
      <x:c r="AB1766" t="str">
        <x:f>""</x:f>
        <x:v/>
      </x:c>
      <x:c r="AC1766" t="str">
        <x:f>""</x:f>
        <x:v/>
      </x:c>
      <x:c r="AD1766" t="str">
        <x:f>""</x:f>
        <x:v/>
      </x:c>
      <x:c r="AE1766" t="str">
        <x:f>""</x:f>
        <x:v/>
      </x:c>
      <x:c r="AF1766" t="str">
        <x:f>""</x:f>
        <x:v/>
      </x:c>
      <x:c r="AG1766" t="str">
        <x:f>""</x:f>
        <x:v/>
      </x:c>
    </x:row>
    <x:row r="1767" spans="2:33" x14ac:dyDescent="0.25">
      <x:c r="B1767" t="str">
        <x:f>"TPAY US Equity"</x:f>
        <x:v>TPAY US Equity</x:v>
      </x:c>
      <x:c r="C1767" t="str">
        <x:f t="shared" si="77"/>
        <x:v>FD447</x:v>
      </x:c>
      <x:c r="D1767" t="str">
        <x:f t="shared" si="78"/>
        <x:v>FUND_FLOW</x:v>
      </x:c>
      <x:c r="E1767" t="str">
        <x:f t="shared" si="79"/>
        <x:v>Dynamic</x:v>
      </x:c>
      <x:c r="F1767" t="str">
        <x:f ca="1">_xll.BDH($B$1767,$C$1767,$B$1010,$B$1011,CONCATENATE("Per=",$B$1008),"Dts=H","Dir=H",CONCATENATE("Points=",$B$1009),"Sort=R","Days=A","Fill=B",CONCATENATE("FX=", $B$1007),"cols=14;rows=1")</x:f>
        <x:v/>
      </x:c>
      <x:c r="Q1767">
        <x:v>0</x:v>
      </x:c>
      <x:c r="R1767">
        <x:v>0</x:v>
      </x:c>
      <x:c r="S1767">
        <x:v>0</x:v>
      </x:c>
      <x:c r="T1767" t="str">
        <x:f>""</x:f>
        <x:v/>
      </x:c>
      <x:c r="U1767" t="str">
        <x:f>""</x:f>
        <x:v/>
      </x:c>
      <x:c r="V1767" t="str">
        <x:f>""</x:f>
        <x:v/>
      </x:c>
      <x:c r="W1767" t="str">
        <x:f>""</x:f>
        <x:v/>
      </x:c>
      <x:c r="X1767" t="str">
        <x:f>""</x:f>
        <x:v/>
      </x:c>
      <x:c r="Y1767" t="str">
        <x:f>""</x:f>
        <x:v/>
      </x:c>
      <x:c r="Z1767" t="str">
        <x:f>""</x:f>
        <x:v/>
      </x:c>
      <x:c r="AA1767" t="str">
        <x:f>""</x:f>
        <x:v/>
      </x:c>
      <x:c r="AB1767" t="str">
        <x:f>""</x:f>
        <x:v/>
      </x:c>
      <x:c r="AC1767" t="str">
        <x:f>""</x:f>
        <x:v/>
      </x:c>
      <x:c r="AD1767" t="str">
        <x:f>""</x:f>
        <x:v/>
      </x:c>
      <x:c r="AE1767" t="str">
        <x:f>""</x:f>
        <x:v/>
      </x:c>
      <x:c r="AF1767" t="str">
        <x:f>""</x:f>
        <x:v/>
      </x:c>
      <x:c r="AG1767" t="str">
        <x:f>""</x:f>
        <x:v/>
      </x:c>
    </x:row>
    <x:row r="1768" spans="2:33" x14ac:dyDescent="0.25">
      <x:c r="B1768" t="str">
        <x:f>"TTTN US Equity"</x:f>
        <x:v>TTTN US Equity</x:v>
      </x:c>
      <x:c r="C1768" t="str">
        <x:f t="shared" si="77"/>
        <x:v>FD447</x:v>
      </x:c>
      <x:c r="D1768" t="str">
        <x:f t="shared" si="78"/>
        <x:v>FUND_FLOW</x:v>
      </x:c>
      <x:c r="E1768" t="str">
        <x:f t="shared" si="79"/>
        <x:v>Dynamic</x:v>
      </x:c>
      <x:c r="F1768" t="str">
        <x:f ca="1">_xll.BDH($B$1768,$C$1768,$B$1010,$B$1011,CONCATENATE("Per=",$B$1008),"Dts=H","Dir=H",CONCATENATE("Points=",$B$1009),"Sort=R","Days=A","Fill=B",CONCATENATE("FX=", $B$1007) )</x:f>
        <x:v/>
      </x:c>
      <x:c r="T1768" t="str">
        <x:f>""</x:f>
        <x:v/>
      </x:c>
      <x:c r="U1768" t="str">
        <x:f>""</x:f>
        <x:v/>
      </x:c>
      <x:c r="V1768" t="str">
        <x:f>""</x:f>
        <x:v/>
      </x:c>
      <x:c r="W1768" t="str">
        <x:f>""</x:f>
        <x:v/>
      </x:c>
      <x:c r="X1768" t="str">
        <x:f>""</x:f>
        <x:v/>
      </x:c>
      <x:c r="Y1768" t="str">
        <x:f>""</x:f>
        <x:v/>
      </x:c>
      <x:c r="Z1768" t="str">
        <x:f>""</x:f>
        <x:v/>
      </x:c>
      <x:c r="AA1768" t="str">
        <x:f>""</x:f>
        <x:v/>
      </x:c>
      <x:c r="AB1768" t="str">
        <x:f>""</x:f>
        <x:v/>
      </x:c>
      <x:c r="AC1768" t="str">
        <x:f>""</x:f>
        <x:v/>
      </x:c>
      <x:c r="AD1768" t="str">
        <x:f>""</x:f>
        <x:v/>
      </x:c>
      <x:c r="AE1768" t="str">
        <x:f>""</x:f>
        <x:v/>
      </x:c>
      <x:c r="AF1768" t="str">
        <x:f>""</x:f>
        <x:v/>
      </x:c>
      <x:c r="AG1768" t="str">
        <x:f>""</x:f>
        <x:v/>
      </x:c>
    </x:row>
    <x:row r="1769" spans="2:33" x14ac:dyDescent="0.25">
      <x:c r="B1769" t="str">
        <x:f>"LEND US Equity"</x:f>
        <x:v>LEND US Equity</x:v>
      </x:c>
      <x:c r="C1769" t="str">
        <x:f t="shared" si="77"/>
        <x:v>FD447</x:v>
      </x:c>
      <x:c r="D1769" t="str">
        <x:f t="shared" si="78"/>
        <x:v>FUND_FLOW</x:v>
      </x:c>
      <x:c r="E1769" t="str">
        <x:f t="shared" si="79"/>
        <x:v>Dynamic</x:v>
      </x:c>
      <x:c r="F1769" t="str">
        <x:f ca="1">_xll.BDH($B$1769,$C$1769,$B$1010,$B$1011,CONCATENATE("Per=",$B$1008),"Dts=H","Dir=H",CONCATENATE("Points=",$B$1009),"Sort=R","Days=A","Fill=B",CONCATENATE("FX=", $B$1007) )</x:f>
        <x:v/>
      </x:c>
      <x:c r="T1769" t="str">
        <x:f>""</x:f>
        <x:v/>
      </x:c>
      <x:c r="U1769" t="str">
        <x:f>""</x:f>
        <x:v/>
      </x:c>
      <x:c r="V1769" t="str">
        <x:f>""</x:f>
        <x:v/>
      </x:c>
      <x:c r="W1769" t="str">
        <x:f>""</x:f>
        <x:v/>
      </x:c>
      <x:c r="X1769" t="str">
        <x:f>""</x:f>
        <x:v/>
      </x:c>
      <x:c r="Y1769" t="str">
        <x:f>""</x:f>
        <x:v/>
      </x:c>
      <x:c r="Z1769" t="str">
        <x:f>""</x:f>
        <x:v/>
      </x:c>
      <x:c r="AA1769" t="str">
        <x:f>""</x:f>
        <x:v/>
      </x:c>
      <x:c r="AB1769" t="str">
        <x:f>""</x:f>
        <x:v/>
      </x:c>
      <x:c r="AC1769" t="str">
        <x:f>""</x:f>
        <x:v/>
      </x:c>
      <x:c r="AD1769" t="str">
        <x:f>""</x:f>
        <x:v/>
      </x:c>
      <x:c r="AE1769" t="str">
        <x:f>""</x:f>
        <x:v/>
      </x:c>
      <x:c r="AF1769" t="str">
        <x:f>""</x:f>
        <x:v/>
      </x:c>
      <x:c r="AG1769" t="str">
        <x:f>""</x:f>
        <x:v/>
      </x:c>
    </x:row>
    <x:row r="1770" spans="2:33" x14ac:dyDescent="0.25">
      <x:c r="B1770" t="str">
        <x:f>"VFIN US Equity"</x:f>
        <x:v>VFIN US Equity</x:v>
      </x:c>
      <x:c r="C1770" t="str">
        <x:f t="shared" si="77"/>
        <x:v>FD447</x:v>
      </x:c>
      <x:c r="D1770" t="str">
        <x:f t="shared" si="78"/>
        <x:v>FUND_FLOW</x:v>
      </x:c>
      <x:c r="E1770" t="str">
        <x:f t="shared" si="79"/>
        <x:v>Dynamic</x:v>
      </x:c>
      <x:c r="F1770" t="str">
        <x:f ca="1">_xll.BDH($B$1770,$C$1770,$B$1010,$B$1011,CONCATENATE("Per=",$B$1008),"Dts=H","Dir=H",CONCATENATE("Points=",$B$1009),"Sort=R","Days=A","Fill=B",CONCATENATE("FX=", $B$1007) )</x:f>
        <x:v/>
      </x:c>
      <x:c r="T1770" t="str">
        <x:f>""</x:f>
        <x:v/>
      </x:c>
      <x:c r="U1770" t="str">
        <x:f>""</x:f>
        <x:v/>
      </x:c>
      <x:c r="V1770" t="str">
        <x:f>""</x:f>
        <x:v/>
      </x:c>
      <x:c r="W1770" t="str">
        <x:f>""</x:f>
        <x:v/>
      </x:c>
      <x:c r="X1770" t="str">
        <x:f>""</x:f>
        <x:v/>
      </x:c>
      <x:c r="Y1770" t="str">
        <x:f>""</x:f>
        <x:v/>
      </x:c>
      <x:c r="Z1770" t="str">
        <x:f>""</x:f>
        <x:v/>
      </x:c>
      <x:c r="AA1770" t="str">
        <x:f>""</x:f>
        <x:v/>
      </x:c>
      <x:c r="AB1770" t="str">
        <x:f>""</x:f>
        <x:v/>
      </x:c>
      <x:c r="AC1770" t="str">
        <x:f>""</x:f>
        <x:v/>
      </x:c>
      <x:c r="AD1770" t="str">
        <x:f>""</x:f>
        <x:v/>
      </x:c>
      <x:c r="AE1770" t="str">
        <x:f>""</x:f>
        <x:v/>
      </x:c>
      <x:c r="AF1770" t="str">
        <x:f>""</x:f>
        <x:v/>
      </x:c>
      <x:c r="AG1770" t="str">
        <x:f>""</x:f>
        <x:v/>
      </x:c>
    </x:row>
    <x:row r="1771" spans="2:33" x14ac:dyDescent="0.25">
      <x:c r="B1771" t="str">
        <x:f>"BIDS US Equity"</x:f>
        <x:v>BIDS US Equity</x:v>
      </x:c>
      <x:c r="C1771" t="str">
        <x:f t="shared" si="77"/>
        <x:v>FD447</x:v>
      </x:c>
      <x:c r="D1771" t="str">
        <x:f t="shared" si="78"/>
        <x:v>FUND_FLOW</x:v>
      </x:c>
      <x:c r="E1771" t="str">
        <x:f t="shared" si="79"/>
        <x:v>Dynamic</x:v>
      </x:c>
      <x:c r="F1771" t="str">
        <x:f ca="1">_xll.BDH($B$1771,$C$1771,$B$1010,$B$1011,CONCATENATE("Per=",$B$1008),"Dts=H","Dir=H",CONCATENATE("Points=",$B$1009),"Sort=R","Days=A","Fill=B",CONCATENATE("FX=", $B$1007),"cols=14;rows=1")</x:f>
        <x:v/>
      </x:c>
      <x:c r="I1771">
        <x:v>0</x:v>
      </x:c>
      <x:c r="J1771">
        <x:v>0</x:v>
      </x:c>
      <x:c r="K1771">
        <x:v>0</x:v>
      </x:c>
      <x:c r="L1771">
        <x:v>0</x:v>
      </x:c>
      <x:c r="M1771">
        <x:v>0</x:v>
      </x:c>
      <x:c r="N1771">
        <x:v>0</x:v>
      </x:c>
      <x:c r="O1771">
        <x:v>0</x:v>
      </x:c>
      <x:c r="P1771">
        <x:v>0</x:v>
      </x:c>
      <x:c r="Q1771">
        <x:v>0</x:v>
      </x:c>
      <x:c r="R1771">
        <x:v>0</x:v>
      </x:c>
      <x:c r="S1771">
        <x:v>0</x:v>
      </x:c>
      <x:c r="T1771" t="str">
        <x:f>""</x:f>
        <x:v/>
      </x:c>
      <x:c r="U1771" t="str">
        <x:f>""</x:f>
        <x:v/>
      </x:c>
      <x:c r="V1771" t="str">
        <x:f>""</x:f>
        <x:v/>
      </x:c>
      <x:c r="W1771" t="str">
        <x:f>""</x:f>
        <x:v/>
      </x:c>
      <x:c r="X1771" t="str">
        <x:f>""</x:f>
        <x:v/>
      </x:c>
      <x:c r="Y1771" t="str">
        <x:f>""</x:f>
        <x:v/>
      </x:c>
      <x:c r="Z1771" t="str">
        <x:f>""</x:f>
        <x:v/>
      </x:c>
      <x:c r="AA1771" t="str">
        <x:f>""</x:f>
        <x:v/>
      </x:c>
      <x:c r="AB1771" t="str">
        <x:f>""</x:f>
        <x:v/>
      </x:c>
      <x:c r="AC1771" t="str">
        <x:f>""</x:f>
        <x:v/>
      </x:c>
      <x:c r="AD1771" t="str">
        <x:f>""</x:f>
        <x:v/>
      </x:c>
      <x:c r="AE1771" t="str">
        <x:f>""</x:f>
        <x:v/>
      </x:c>
      <x:c r="AF1771" t="str">
        <x:f>""</x:f>
        <x:v/>
      </x:c>
      <x:c r="AG1771" t="str">
        <x:f>""</x:f>
        <x:v/>
      </x:c>
    </x:row>
    <x:row r="1772" spans="2:33" x14ac:dyDescent="0.25">
      <x:c r="B1772" t="str">
        <x:f>"FNTC US Equity"</x:f>
        <x:v>FNTC US Equity</x:v>
      </x:c>
      <x:c r="C1772" t="str">
        <x:f t="shared" si="77"/>
        <x:v>FD447</x:v>
      </x:c>
      <x:c r="D1772" t="str">
        <x:f t="shared" si="78"/>
        <x:v>FUND_FLOW</x:v>
      </x:c>
      <x:c r="E1772" t="str">
        <x:f t="shared" si="79"/>
        <x:v>Dynamic</x:v>
      </x:c>
      <x:c r="F1772" t="str">
        <x:f ca="1">_xll.BDH($B$1772,$C$1772,$B$1010,$B$1011,CONCATENATE("Per=",$B$1008),"Dts=H","Dir=H",CONCATENATE("Points=",$B$1009),"Sort=R","Days=A","Fill=B",CONCATENATE("FX=", $B$1007),"cols=14;rows=1")</x:f>
        <x:v/>
      </x:c>
      <x:c r="N1772">
        <x:v>0</x:v>
      </x:c>
      <x:c r="O1772">
        <x:v>-0.57850000000000001</x:v>
      </x:c>
      <x:c r="P1772">
        <x:v>0</x:v>
      </x:c>
      <x:c r="Q1772">
        <x:v>0</x:v>
      </x:c>
      <x:c r="R1772">
        <x:v>0</x:v>
      </x:c>
      <x:c r="S1772">
        <x:v>0</x:v>
      </x:c>
      <x:c r="T1772" t="str">
        <x:f>""</x:f>
        <x:v/>
      </x:c>
      <x:c r="U1772" t="str">
        <x:f>""</x:f>
        <x:v/>
      </x:c>
      <x:c r="V1772" t="str">
        <x:f>""</x:f>
        <x:v/>
      </x:c>
      <x:c r="W1772" t="str">
        <x:f>""</x:f>
        <x:v/>
      </x:c>
      <x:c r="X1772" t="str">
        <x:f>""</x:f>
        <x:v/>
      </x:c>
      <x:c r="Y1772" t="str">
        <x:f>""</x:f>
        <x:v/>
      </x:c>
      <x:c r="Z1772" t="str">
        <x:f>""</x:f>
        <x:v/>
      </x:c>
      <x:c r="AA1772" t="str">
        <x:f>""</x:f>
        <x:v/>
      </x:c>
      <x:c r="AB1772" t="str">
        <x:f>""</x:f>
        <x:v/>
      </x:c>
      <x:c r="AC1772" t="str">
        <x:f>""</x:f>
        <x:v/>
      </x:c>
      <x:c r="AD1772" t="str">
        <x:f>""</x:f>
        <x:v/>
      </x:c>
      <x:c r="AE1772" t="str">
        <x:f>""</x:f>
        <x:v/>
      </x:c>
      <x:c r="AF1772" t="str">
        <x:f>""</x:f>
        <x:v/>
      </x:c>
      <x:c r="AG1772" t="str">
        <x:f>""</x:f>
        <x:v/>
      </x:c>
    </x:row>
    <x:row r="1773" spans="2:33" x14ac:dyDescent="0.25">
      <x:c r="B1773" t="str">
        <x:f>"GFOF US Equity"</x:f>
        <x:v>GFOF US Equity</x:v>
      </x:c>
      <x:c r="C1773" t="str">
        <x:f t="shared" si="77"/>
        <x:v>FD447</x:v>
      </x:c>
      <x:c r="D1773" t="str">
        <x:f t="shared" si="78"/>
        <x:v>FUND_FLOW</x:v>
      </x:c>
      <x:c r="E1773" t="str">
        <x:f t="shared" si="79"/>
        <x:v>Dynamic</x:v>
      </x:c>
      <x:c r="F1773">
        <x:f ca="1">_xll.BDH($B$1773,$C$1773,$B$1010,$B$1011,CONCATENATE("Per=",$B$1008),"Dts=H","Dir=H",CONCATENATE("Points=",$B$1009),"Sort=R","Days=A","Fill=B",CONCATENATE("FX=", $B$1007),"cols=14;rows=1")</x:f>
        <x:v>0</x:v>
      </x:c>
      <x:c r="G1773">
        <x:v>0</x:v>
      </x:c>
      <x:c r="H1773">
        <x:v>0</x:v>
      </x:c>
      <x:c r="I1773">
        <x:v>0</x:v>
      </x:c>
      <x:c r="J1773">
        <x:v>0</x:v>
      </x:c>
      <x:c r="K1773">
        <x:v>0</x:v>
      </x:c>
      <x:c r="L1773">
        <x:v>0</x:v>
      </x:c>
      <x:c r="M1773">
        <x:v>-0.25740000000000002</x:v>
      </x:c>
      <x:c r="N1773">
        <x:v>0</x:v>
      </x:c>
      <x:c r="O1773">
        <x:v>0</x:v>
      </x:c>
      <x:c r="P1773">
        <x:v>0</x:v>
      </x:c>
      <x:c r="Q1773">
        <x:v>0</x:v>
      </x:c>
      <x:c r="R1773">
        <x:v>0</x:v>
      </x:c>
      <x:c r="S1773">
        <x:v>0</x:v>
      </x:c>
      <x:c r="T1773" t="str">
        <x:f>""</x:f>
        <x:v/>
      </x:c>
      <x:c r="U1773" t="str">
        <x:f>""</x:f>
        <x:v/>
      </x:c>
      <x:c r="V1773" t="str">
        <x:f>""</x:f>
        <x:v/>
      </x:c>
      <x:c r="W1773" t="str">
        <x:f>""</x:f>
        <x:v/>
      </x:c>
      <x:c r="X1773" t="str">
        <x:f>""</x:f>
        <x:v/>
      </x:c>
      <x:c r="Y1773" t="str">
        <x:f>""</x:f>
        <x:v/>
      </x:c>
      <x:c r="Z1773" t="str">
        <x:f>""</x:f>
        <x:v/>
      </x:c>
      <x:c r="AA1773" t="str">
        <x:f>""</x:f>
        <x:v/>
      </x:c>
      <x:c r="AB1773" t="str">
        <x:f>""</x:f>
        <x:v/>
      </x:c>
      <x:c r="AC1773" t="str">
        <x:f>""</x:f>
        <x:v/>
      </x:c>
      <x:c r="AD1773" t="str">
        <x:f>""</x:f>
        <x:v/>
      </x:c>
      <x:c r="AE1773" t="str">
        <x:f>""</x:f>
        <x:v/>
      </x:c>
      <x:c r="AF1773" t="str">
        <x:f>""</x:f>
        <x:v/>
      </x:c>
      <x:c r="AG1773" t="str">
        <x:f>""</x:f>
        <x:v/>
      </x:c>
    </x:row>
    <x:row r="1774" spans="2:33" x14ac:dyDescent="0.25">
      <x:c r="B1774" t="str">
        <x:f>"BPAY US Equity"</x:f>
        <x:v>BPAY US Equity</x:v>
      </x:c>
      <x:c r="C1774" t="str">
        <x:f t="shared" si="77"/>
        <x:v>FD447</x:v>
      </x:c>
      <x:c r="D1774" t="str">
        <x:f t="shared" si="78"/>
        <x:v>FUND_FLOW</x:v>
      </x:c>
      <x:c r="E1774" t="str">
        <x:f t="shared" si="79"/>
        <x:v>Dynamic</x:v>
      </x:c>
      <x:c r="F1774">
        <x:f ca="1">_xll.BDH($B$1774,$C$1774,$B$1010,$B$1011,CONCATENATE("Per=",$B$1008),"Dts=H","Dir=H",CONCATENATE("Points=",$B$1009),"Sort=R","Days=A","Fill=B",CONCATENATE("FX=", $B$1007),"cols=14;rows=1")</x:f>
        <x:v>0</x:v>
      </x:c>
      <x:c r="G1774">
        <x:v>0</x:v>
      </x:c>
      <x:c r="H1774">
        <x:v>0</x:v>
      </x:c>
      <x:c r="I1774">
        <x:v>0</x:v>
      </x:c>
      <x:c r="J1774">
        <x:v>0</x:v>
      </x:c>
      <x:c r="K1774">
        <x:v>0</x:v>
      </x:c>
      <x:c r="L1774">
        <x:v>0</x:v>
      </x:c>
      <x:c r="M1774">
        <x:v>0</x:v>
      </x:c>
      <x:c r="N1774">
        <x:v>0</x:v>
      </x:c>
      <x:c r="O1774">
        <x:v>0</x:v>
      </x:c>
      <x:c r="P1774">
        <x:v>0</x:v>
      </x:c>
      <x:c r="Q1774">
        <x:v>0</x:v>
      </x:c>
      <x:c r="R1774">
        <x:v>0</x:v>
      </x:c>
      <x:c r="S1774">
        <x:v>0</x:v>
      </x:c>
      <x:c r="T1774" t="str">
        <x:f>""</x:f>
        <x:v/>
      </x:c>
      <x:c r="U1774" t="str">
        <x:f>""</x:f>
        <x:v/>
      </x:c>
      <x:c r="V1774" t="str">
        <x:f>""</x:f>
        <x:v/>
      </x:c>
      <x:c r="W1774" t="str">
        <x:f>""</x:f>
        <x:v/>
      </x:c>
      <x:c r="X1774" t="str">
        <x:f>""</x:f>
        <x:v/>
      </x:c>
      <x:c r="Y1774" t="str">
        <x:f>""</x:f>
        <x:v/>
      </x:c>
      <x:c r="Z1774" t="str">
        <x:f>""</x:f>
        <x:v/>
      </x:c>
      <x:c r="AA1774" t="str">
        <x:f>""</x:f>
        <x:v/>
      </x:c>
      <x:c r="AB1774" t="str">
        <x:f>""</x:f>
        <x:v/>
      </x:c>
      <x:c r="AC1774" t="str">
        <x:f>""</x:f>
        <x:v/>
      </x:c>
      <x:c r="AD1774" t="str">
        <x:f>""</x:f>
        <x:v/>
      </x:c>
      <x:c r="AE1774" t="str">
        <x:f>""</x:f>
        <x:v/>
      </x:c>
      <x:c r="AF1774" t="str">
        <x:f>""</x:f>
        <x:v/>
      </x:c>
      <x:c r="AG1774" t="str">
        <x:f>""</x:f>
        <x:v/>
      </x:c>
    </x:row>
    <x:row r="1775" spans="2:33" x14ac:dyDescent="0.25">
      <x:c r="B1775" t="str">
        <x:f>"EMFQ US Equity"</x:f>
        <x:v>EMFQ US Equity</x:v>
      </x:c>
      <x:c r="C1775" t="str">
        <x:f t="shared" si="77"/>
        <x:v>FD447</x:v>
      </x:c>
      <x:c r="D1775" t="str">
        <x:f t="shared" si="78"/>
        <x:v>FUND_FLOW</x:v>
      </x:c>
      <x:c r="E1775" t="str">
        <x:f t="shared" si="79"/>
        <x:v>Dynamic</x:v>
      </x:c>
      <x:c r="F1775">
        <x:f ca="1">_xll.BDH($B$1775,$C$1775,$B$1010,$B$1011,CONCATENATE("Per=",$B$1008),"Dts=H","Dir=H",CONCATENATE("Points=",$B$1009),"Sort=R","Days=A","Fill=B",CONCATENATE("FX=", $B$1007),"cols=14;rows=1")</x:f>
        <x:v>0</x:v>
      </x:c>
      <x:c r="G1775">
        <x:v>0</x:v>
      </x:c>
      <x:c r="H1775">
        <x:v>0</x:v>
      </x:c>
      <x:c r="I1775">
        <x:v>0</x:v>
      </x:c>
      <x:c r="J1775">
        <x:v>0</x:v>
      </x:c>
      <x:c r="K1775">
        <x:v>0</x:v>
      </x:c>
      <x:c r="L1775">
        <x:v>-0.52639999999999998</x:v>
      </x:c>
      <x:c r="M1775">
        <x:v>0</x:v>
      </x:c>
      <x:c r="N1775">
        <x:v>0</x:v>
      </x:c>
      <x:c r="O1775">
        <x:v>0</x:v>
      </x:c>
      <x:c r="P1775">
        <x:v>0</x:v>
      </x:c>
      <x:c r="Q1775">
        <x:v>0</x:v>
      </x:c>
      <x:c r="R1775">
        <x:v>0</x:v>
      </x:c>
      <x:c r="S1775">
        <x:v>0</x:v>
      </x:c>
      <x:c r="T1775" t="str">
        <x:f>""</x:f>
        <x:v/>
      </x:c>
      <x:c r="U1775" t="str">
        <x:f>""</x:f>
        <x:v/>
      </x:c>
      <x:c r="V1775" t="str">
        <x:f>""</x:f>
        <x:v/>
      </x:c>
      <x:c r="W1775" t="str">
        <x:f>""</x:f>
        <x:v/>
      </x:c>
      <x:c r="X1775" t="str">
        <x:f>""</x:f>
        <x:v/>
      </x:c>
      <x:c r="Y1775" t="str">
        <x:f>""</x:f>
        <x:v/>
      </x:c>
      <x:c r="Z1775" t="str">
        <x:f>""</x:f>
        <x:v/>
      </x:c>
      <x:c r="AA1775" t="str">
        <x:f>""</x:f>
        <x:v/>
      </x:c>
      <x:c r="AB1775" t="str">
        <x:f>""</x:f>
        <x:v/>
      </x:c>
      <x:c r="AC1775" t="str">
        <x:f>""</x:f>
        <x:v/>
      </x:c>
      <x:c r="AD1775" t="str">
        <x:f>""</x:f>
        <x:v/>
      </x:c>
      <x:c r="AE1775" t="str">
        <x:f>""</x:f>
        <x:v/>
      </x:c>
      <x:c r="AF1775" t="str">
        <x:f>""</x:f>
        <x:v/>
      </x:c>
      <x:c r="AG1775" t="str">
        <x:f>""</x:f>
        <x:v/>
      </x:c>
    </x:row>
    <x:row r="1776" spans="2:33" x14ac:dyDescent="0.25">
      <x:c r="B1776" t="str">
        <x:f>"CIBR US Equity"</x:f>
        <x:v>CIBR US Equity</x:v>
      </x:c>
      <x:c r="C1776" t="str">
        <x:f t="shared" si="77"/>
        <x:v>FD447</x:v>
      </x:c>
      <x:c r="D1776" t="str">
        <x:f t="shared" si="78"/>
        <x:v>FUND_FLOW</x:v>
      </x:c>
      <x:c r="E1776" t="str">
        <x:f t="shared" si="79"/>
        <x:v>Dynamic</x:v>
      </x:c>
      <x:c r="F1776">
        <x:f ca="1">_xll.BDH($B$1776,$C$1776,$B$1010,$B$1011,CONCATENATE("Per=",$B$1008),"Dts=H","Dir=H",CONCATENATE("Points=",$B$1009),"Sort=R","Days=A","Fill=B",CONCATENATE("FX=", $B$1007),"cols=14;rows=1")</x:f>
        <x:v>20.5136</x:v>
      </x:c>
      <x:c r="G1776">
        <x:v>-47.953200000000002</x:v>
      </x:c>
      <x:c r="H1776">
        <x:v>-17.569900000000001</x:v>
      </x:c>
      <x:c r="I1776">
        <x:v>-2.1154999999999999</x:v>
      </x:c>
      <x:c r="J1776">
        <x:v>66.451499999999996</x:v>
      </x:c>
      <x:c r="K1776">
        <x:v>-109.3085</x:v>
      </x:c>
      <x:c r="L1776">
        <x:v>-65.792000000000002</x:v>
      </x:c>
      <x:c r="M1776">
        <x:v>-22.454499999999999</x:v>
      </x:c>
      <x:c r="N1776">
        <x:v>-48.140500000000003</x:v>
      </x:c>
      <x:c r="O1776">
        <x:v>-60.320099999999996</x:v>
      </x:c>
      <x:c r="P1776">
        <x:v>-180.572</x:v>
      </x:c>
      <x:c r="Q1776">
        <x:v>-56.242899999999999</x:v>
      </x:c>
      <x:c r="R1776">
        <x:v>2.5579999999999998</x:v>
      </x:c>
      <x:c r="S1776">
        <x:v>-28.3733</x:v>
      </x:c>
      <x:c r="T1776" t="str">
        <x:f>""</x:f>
        <x:v/>
      </x:c>
      <x:c r="U1776" t="str">
        <x:f>""</x:f>
        <x:v/>
      </x:c>
      <x:c r="V1776" t="str">
        <x:f>""</x:f>
        <x:v/>
      </x:c>
      <x:c r="W1776" t="str">
        <x:f>""</x:f>
        <x:v/>
      </x:c>
      <x:c r="X1776" t="str">
        <x:f>""</x:f>
        <x:v/>
      </x:c>
      <x:c r="Y1776" t="str">
        <x:f>""</x:f>
        <x:v/>
      </x:c>
      <x:c r="Z1776" t="str">
        <x:f>""</x:f>
        <x:v/>
      </x:c>
      <x:c r="AA1776" t="str">
        <x:f>""</x:f>
        <x:v/>
      </x:c>
      <x:c r="AB1776" t="str">
        <x:f>""</x:f>
        <x:v/>
      </x:c>
      <x:c r="AC1776" t="str">
        <x:f>""</x:f>
        <x:v/>
      </x:c>
      <x:c r="AD1776" t="str">
        <x:f>""</x:f>
        <x:v/>
      </x:c>
      <x:c r="AE1776" t="str">
        <x:f>""</x:f>
        <x:v/>
      </x:c>
      <x:c r="AF1776" t="str">
        <x:f>""</x:f>
        <x:v/>
      </x:c>
      <x:c r="AG1776" t="str">
        <x:f>""</x:f>
        <x:v/>
      </x:c>
    </x:row>
    <x:row r="1777" spans="2:33" x14ac:dyDescent="0.25">
      <x:c r="B1777" t="str">
        <x:f>"HACK US Equity"</x:f>
        <x:v>HACK US Equity</x:v>
      </x:c>
      <x:c r="C1777" t="str">
        <x:f t="shared" si="77"/>
        <x:v>FD447</x:v>
      </x:c>
      <x:c r="D1777" t="str">
        <x:f t="shared" si="78"/>
        <x:v>FUND_FLOW</x:v>
      </x:c>
      <x:c r="E1777" t="str">
        <x:f t="shared" si="79"/>
        <x:v>Dynamic</x:v>
      </x:c>
      <x:c r="F1777">
        <x:f ca="1">_xll.BDH($B$1777,$C$1777,$B$1010,$B$1011,CONCATENATE("Per=",$B$1008),"Dts=H","Dir=H",CONCATENATE("Points=",$B$1009),"Sort=R","Days=A","Fill=B",CONCATENATE("FX=", $B$1007),"cols=14;rows=1")</x:f>
        <x:v>0</x:v>
      </x:c>
      <x:c r="G1777">
        <x:v>-28.591100000000001</x:v>
      </x:c>
      <x:c r="H1777">
        <x:v>-20.166</x:v>
      </x:c>
      <x:c r="I1777">
        <x:v>-7.7305000000000001</x:v>
      </x:c>
      <x:c r="J1777">
        <x:v>-27.293700000000001</x:v>
      </x:c>
      <x:c r="K1777">
        <x:v>-25.103400000000001</x:v>
      </x:c>
      <x:c r="L1777">
        <x:v>-14.112299999999999</x:v>
      </x:c>
      <x:c r="M1777">
        <x:v>-20.987400000000001</x:v>
      </x:c>
      <x:c r="N1777">
        <x:v>-9.3492999999999995</x:v>
      </x:c>
      <x:c r="O1777">
        <x:v>-24.4404</x:v>
      </x:c>
      <x:c r="P1777">
        <x:v>-33.771799999999999</x:v>
      </x:c>
      <x:c r="Q1777">
        <x:v>-19.872</x:v>
      </x:c>
      <x:c r="R1777">
        <x:v>-22.215599999999998</x:v>
      </x:c>
      <x:c r="S1777">
        <x:v>-46.329700000000003</x:v>
      </x:c>
      <x:c r="T1777" t="str">
        <x:f>""</x:f>
        <x:v/>
      </x:c>
      <x:c r="U1777" t="str">
        <x:f>""</x:f>
        <x:v/>
      </x:c>
      <x:c r="V1777" t="str">
        <x:f>""</x:f>
        <x:v/>
      </x:c>
      <x:c r="W1777" t="str">
        <x:f>""</x:f>
        <x:v/>
      </x:c>
      <x:c r="X1777" t="str">
        <x:f>""</x:f>
        <x:v/>
      </x:c>
      <x:c r="Y1777" t="str">
        <x:f>""</x:f>
        <x:v/>
      </x:c>
      <x:c r="Z1777" t="str">
        <x:f>""</x:f>
        <x:v/>
      </x:c>
      <x:c r="AA1777" t="str">
        <x:f>""</x:f>
        <x:v/>
      </x:c>
      <x:c r="AB1777" t="str">
        <x:f>""</x:f>
        <x:v/>
      </x:c>
      <x:c r="AC1777" t="str">
        <x:f>""</x:f>
        <x:v/>
      </x:c>
      <x:c r="AD1777" t="str">
        <x:f>""</x:f>
        <x:v/>
      </x:c>
      <x:c r="AE1777" t="str">
        <x:f>""</x:f>
        <x:v/>
      </x:c>
      <x:c r="AF1777" t="str">
        <x:f>""</x:f>
        <x:v/>
      </x:c>
      <x:c r="AG1777" t="str">
        <x:f>""</x:f>
        <x:v/>
      </x:c>
    </x:row>
    <x:row r="1778" spans="2:33" x14ac:dyDescent="0.25">
      <x:c r="B1778" t="str">
        <x:f>"BUG US Equity"</x:f>
        <x:v>BUG US Equity</x:v>
      </x:c>
      <x:c r="C1778" t="str">
        <x:f t="shared" si="77"/>
        <x:v>FD447</x:v>
      </x:c>
      <x:c r="D1778" t="str">
        <x:f t="shared" si="78"/>
        <x:v>FUND_FLOW</x:v>
      </x:c>
      <x:c r="E1778" t="str">
        <x:f t="shared" si="79"/>
        <x:v>Dynamic</x:v>
      </x:c>
      <x:c r="F1778">
        <x:f ca="1">_xll.BDH($B$1778,$C$1778,$B$1010,$B$1011,CONCATENATE("Per=",$B$1008),"Dts=H","Dir=H",CONCATENATE("Points=",$B$1009),"Sort=R","Days=A","Fill=B",CONCATENATE("FX=", $B$1007),"cols=14;rows=1")</x:f>
        <x:v>-7.5846999999999998</x:v>
      </x:c>
      <x:c r="G1778">
        <x:v>-35.041899999999998</x:v>
      </x:c>
      <x:c r="H1778">
        <x:v>-29.3111</x:v>
      </x:c>
      <x:c r="I1778">
        <x:v>-53.046100000000003</x:v>
      </x:c>
      <x:c r="J1778">
        <x:v>-62.4863</x:v>
      </x:c>
      <x:c r="K1778">
        <x:v>31.4054</x:v>
      </x:c>
      <x:c r="L1778">
        <x:v>-14.336600000000001</x:v>
      </x:c>
      <x:c r="M1778">
        <x:v>-12.047499999999999</x:v>
      </x:c>
      <x:c r="N1778">
        <x:v>-6.1969000000000003</x:v>
      </x:c>
      <x:c r="O1778">
        <x:v>-159.41239999999999</x:v>
      </x:c>
      <x:c r="P1778">
        <x:v>-55.704500000000003</x:v>
      </x:c>
      <x:c r="Q1778">
        <x:v>-39.642000000000003</x:v>
      </x:c>
      <x:c r="R1778">
        <x:v>16.406099999999999</x:v>
      </x:c>
      <x:c r="S1778">
        <x:v>-11.406499999999999</x:v>
      </x:c>
      <x:c r="T1778" t="str">
        <x:f>""</x:f>
        <x:v/>
      </x:c>
      <x:c r="U1778" t="str">
        <x:f>""</x:f>
        <x:v/>
      </x:c>
      <x:c r="V1778" t="str">
        <x:f>""</x:f>
        <x:v/>
      </x:c>
      <x:c r="W1778" t="str">
        <x:f>""</x:f>
        <x:v/>
      </x:c>
      <x:c r="X1778" t="str">
        <x:f>""</x:f>
        <x:v/>
      </x:c>
      <x:c r="Y1778" t="str">
        <x:f>""</x:f>
        <x:v/>
      </x:c>
      <x:c r="Z1778" t="str">
        <x:f>""</x:f>
        <x:v/>
      </x:c>
      <x:c r="AA1778" t="str">
        <x:f>""</x:f>
        <x:v/>
      </x:c>
      <x:c r="AB1778" t="str">
        <x:f>""</x:f>
        <x:v/>
      </x:c>
      <x:c r="AC1778" t="str">
        <x:f>""</x:f>
        <x:v/>
      </x:c>
      <x:c r="AD1778" t="str">
        <x:f>""</x:f>
        <x:v/>
      </x:c>
      <x:c r="AE1778" t="str">
        <x:f>""</x:f>
        <x:v/>
      </x:c>
      <x:c r="AF1778" t="str">
        <x:f>""</x:f>
        <x:v/>
      </x:c>
      <x:c r="AG1778" t="str">
        <x:f>""</x:f>
        <x:v/>
      </x:c>
    </x:row>
    <x:row r="1779" spans="2:33" x14ac:dyDescent="0.25">
      <x:c r="B1779" t="str">
        <x:f>"WCBR US Equity"</x:f>
        <x:v>WCBR US Equity</x:v>
      </x:c>
      <x:c r="C1779" t="str">
        <x:f t="shared" si="77"/>
        <x:v>FD447</x:v>
      </x:c>
      <x:c r="D1779" t="str">
        <x:f t="shared" si="78"/>
        <x:v>FUND_FLOW</x:v>
      </x:c>
      <x:c r="E1779" t="str">
        <x:f t="shared" si="79"/>
        <x:v>Dynamic</x:v>
      </x:c>
      <x:c r="F1779">
        <x:f ca="1">_xll.BDH($B$1779,$C$1779,$B$1010,$B$1011,CONCATENATE("Per=",$B$1008),"Dts=H","Dir=H",CONCATENATE("Points=",$B$1009),"Sort=R","Days=A","Fill=B",CONCATENATE("FX=", $B$1007),"cols=14;rows=1")</x:f>
        <x:v>0</x:v>
      </x:c>
      <x:c r="G1779">
        <x:v>0</x:v>
      </x:c>
      <x:c r="H1779">
        <x:v>0</x:v>
      </x:c>
      <x:c r="I1779">
        <x:v>0</x:v>
      </x:c>
      <x:c r="J1779">
        <x:v>0.76160000000000005</x:v>
      </x:c>
      <x:c r="K1779">
        <x:v>0</x:v>
      </x:c>
      <x:c r="L1779">
        <x:v>0</x:v>
      </x:c>
      <x:c r="M1779">
        <x:v>-0.72970000000000002</x:v>
      </x:c>
      <x:c r="N1779">
        <x:v>-0.92910000000000004</x:v>
      </x:c>
      <x:c r="O1779">
        <x:v>0</x:v>
      </x:c>
      <x:c r="P1779">
        <x:v>0</x:v>
      </x:c>
      <x:c r="Q1779">
        <x:v>-0.1472</x:v>
      </x:c>
      <x:c r="R1779">
        <x:v>-1.3483000000000001</x:v>
      </x:c>
      <x:c r="S1779">
        <x:v>0</x:v>
      </x:c>
      <x:c r="T1779" t="str">
        <x:f>""</x:f>
        <x:v/>
      </x:c>
      <x:c r="U1779" t="str">
        <x:f>""</x:f>
        <x:v/>
      </x:c>
      <x:c r="V1779" t="str">
        <x:f>""</x:f>
        <x:v/>
      </x:c>
      <x:c r="W1779" t="str">
        <x:f>""</x:f>
        <x:v/>
      </x:c>
      <x:c r="X1779" t="str">
        <x:f>""</x:f>
        <x:v/>
      </x:c>
      <x:c r="Y1779" t="str">
        <x:f>""</x:f>
        <x:v/>
      </x:c>
      <x:c r="Z1779" t="str">
        <x:f>""</x:f>
        <x:v/>
      </x:c>
      <x:c r="AA1779" t="str">
        <x:f>""</x:f>
        <x:v/>
      </x:c>
      <x:c r="AB1779" t="str">
        <x:f>""</x:f>
        <x:v/>
      </x:c>
      <x:c r="AC1779" t="str">
        <x:f>""</x:f>
        <x:v/>
      </x:c>
      <x:c r="AD1779" t="str">
        <x:f>""</x:f>
        <x:v/>
      </x:c>
      <x:c r="AE1779" t="str">
        <x:f>""</x:f>
        <x:v/>
      </x:c>
      <x:c r="AF1779" t="str">
        <x:f>""</x:f>
        <x:v/>
      </x:c>
      <x:c r="AG1779" t="str">
        <x:f>""</x:f>
        <x:v/>
      </x:c>
    </x:row>
    <x:row r="1780" spans="2:33" x14ac:dyDescent="0.25">
      <x:c r="B1780" t="str">
        <x:f>"UCYB US Equity"</x:f>
        <x:v>UCYB US Equity</x:v>
      </x:c>
      <x:c r="C1780" t="str">
        <x:f t="shared" si="77"/>
        <x:v>FD447</x:v>
      </x:c>
      <x:c r="D1780" t="str">
        <x:f t="shared" si="78"/>
        <x:v>FUND_FLOW</x:v>
      </x:c>
      <x:c r="E1780" t="str">
        <x:f t="shared" si="79"/>
        <x:v>Dynamic</x:v>
      </x:c>
      <x:c r="F1780">
        <x:f ca="1">_xll.BDH($B$1780,$C$1780,$B$1010,$B$1011,CONCATENATE("Per=",$B$1008),"Dts=H","Dir=H",CONCATENATE("Points=",$B$1009),"Sort=R","Days=A","Fill=B",CONCATENATE("FX=", $B$1007),"cols=14;rows=1")</x:f>
        <x:v>0</x:v>
      </x:c>
      <x:c r="G1780">
        <x:v>0</x:v>
      </x:c>
      <x:c r="H1780">
        <x:v>0</x:v>
      </x:c>
      <x:c r="I1780">
        <x:v>0</x:v>
      </x:c>
      <x:c r="J1780">
        <x:v>0</x:v>
      </x:c>
      <x:c r="K1780">
        <x:v>0</x:v>
      </x:c>
      <x:c r="L1780">
        <x:v>-0.70109999999999995</x:v>
      </x:c>
      <x:c r="M1780">
        <x:v>0</x:v>
      </x:c>
      <x:c r="N1780">
        <x:v>0</x:v>
      </x:c>
      <x:c r="O1780">
        <x:v>0</x:v>
      </x:c>
      <x:c r="P1780">
        <x:v>0</x:v>
      </x:c>
      <x:c r="Q1780">
        <x:v>0.63929999999999998</x:v>
      </x:c>
      <x:c r="R1780">
        <x:v>0</x:v>
      </x:c>
      <x:c r="S1780">
        <x:v>0</x:v>
      </x:c>
      <x:c r="T1780" t="str">
        <x:f>""</x:f>
        <x:v/>
      </x:c>
      <x:c r="U1780" t="str">
        <x:f>""</x:f>
        <x:v/>
      </x:c>
      <x:c r="V1780" t="str">
        <x:f>""</x:f>
        <x:v/>
      </x:c>
      <x:c r="W1780" t="str">
        <x:f>""</x:f>
        <x:v/>
      </x:c>
      <x:c r="X1780" t="str">
        <x:f>""</x:f>
        <x:v/>
      </x:c>
      <x:c r="Y1780" t="str">
        <x:f>""</x:f>
        <x:v/>
      </x:c>
      <x:c r="Z1780" t="str">
        <x:f>""</x:f>
        <x:v/>
      </x:c>
      <x:c r="AA1780" t="str">
        <x:f>""</x:f>
        <x:v/>
      </x:c>
      <x:c r="AB1780" t="str">
        <x:f>""</x:f>
        <x:v/>
      </x:c>
      <x:c r="AC1780" t="str">
        <x:f>""</x:f>
        <x:v/>
      </x:c>
      <x:c r="AD1780" t="str">
        <x:f>""</x:f>
        <x:v/>
      </x:c>
      <x:c r="AE1780" t="str">
        <x:f>""</x:f>
        <x:v/>
      </x:c>
      <x:c r="AF1780" t="str">
        <x:f>""</x:f>
        <x:v/>
      </x:c>
      <x:c r="AG1780" t="str">
        <x:f>""</x:f>
        <x:v/>
      </x:c>
    </x:row>
    <x:row r="1781" spans="2:33" x14ac:dyDescent="0.25">
      <x:c r="B1781" t="str">
        <x:f>"IHAK US Equity"</x:f>
        <x:v>IHAK US Equity</x:v>
      </x:c>
      <x:c r="C1781" t="str">
        <x:f t="shared" si="77"/>
        <x:v>FD447</x:v>
      </x:c>
      <x:c r="D1781" t="str">
        <x:f t="shared" si="78"/>
        <x:v>FUND_FLOW</x:v>
      </x:c>
      <x:c r="E1781" t="str">
        <x:f t="shared" si="79"/>
        <x:v>Dynamic</x:v>
      </x:c>
      <x:c r="F1781">
        <x:f ca="1">_xll.BDH($B$1781,$C$1781,$B$1010,$B$1011,CONCATENATE("Per=",$B$1008),"Dts=H","Dir=H",CONCATENATE("Points=",$B$1009),"Sort=R","Days=A","Fill=B",CONCATENATE("FX=", $B$1007),"cols=14;rows=1")</x:f>
        <x:v>39.5518</x:v>
      </x:c>
      <x:c r="G1781">
        <x:v>-3.7772000000000001</x:v>
      </x:c>
      <x:c r="H1781">
        <x:v>-13.367800000000001</x:v>
      </x:c>
      <x:c r="I1781">
        <x:v>20.015699999999999</x:v>
      </x:c>
      <x:c r="J1781">
        <x:v>-1.8963000000000001</x:v>
      </x:c>
      <x:c r="K1781">
        <x:v>0.182</x:v>
      </x:c>
      <x:c r="L1781">
        <x:v>47.878799999999998</x:v>
      </x:c>
      <x:c r="M1781">
        <x:v>-12.1906</x:v>
      </x:c>
      <x:c r="N1781">
        <x:v>-12.2027</x:v>
      </x:c>
      <x:c r="O1781">
        <x:v>-13.231199999999999</x:v>
      </x:c>
      <x:c r="P1781">
        <x:v>0</x:v>
      </x:c>
      <x:c r="Q1781">
        <x:v>8.1765000000000008</x:v>
      </x:c>
      <x:c r="R1781">
        <x:v>0</x:v>
      </x:c>
      <x:c r="S1781">
        <x:v>-1.6943999999999999</x:v>
      </x:c>
      <x:c r="T1781" t="str">
        <x:f>""</x:f>
        <x:v/>
      </x:c>
      <x:c r="U1781" t="str">
        <x:f>""</x:f>
        <x:v/>
      </x:c>
      <x:c r="V1781" t="str">
        <x:f>""</x:f>
        <x:v/>
      </x:c>
      <x:c r="W1781" t="str">
        <x:f>""</x:f>
        <x:v/>
      </x:c>
      <x:c r="X1781" t="str">
        <x:f>""</x:f>
        <x:v/>
      </x:c>
      <x:c r="Y1781" t="str">
        <x:f>""</x:f>
        <x:v/>
      </x:c>
      <x:c r="Z1781" t="str">
        <x:f>""</x:f>
        <x:v/>
      </x:c>
      <x:c r="AA1781" t="str">
        <x:f>""</x:f>
        <x:v/>
      </x:c>
      <x:c r="AB1781" t="str">
        <x:f>""</x:f>
        <x:v/>
      </x:c>
      <x:c r="AC1781" t="str">
        <x:f>""</x:f>
        <x:v/>
      </x:c>
      <x:c r="AD1781" t="str">
        <x:f>""</x:f>
        <x:v/>
      </x:c>
      <x:c r="AE1781" t="str">
        <x:f>""</x:f>
        <x:v/>
      </x:c>
      <x:c r="AF1781" t="str">
        <x:f>""</x:f>
        <x:v/>
      </x:c>
      <x:c r="AG1781" t="str">
        <x:f>""</x:f>
        <x:v/>
      </x:c>
    </x:row>
    <x:row r="1782" spans="2:33" x14ac:dyDescent="0.25">
      <x:c r="B1782" t="str">
        <x:f>"HAKK US Equity"</x:f>
        <x:v>HAKK US Equity</x:v>
      </x:c>
      <x:c r="C1782" t="str">
        <x:f t="shared" ref="C1782:C1845" si="80">"FD447"</x:f>
        <x:v>FD447</x:v>
      </x:c>
      <x:c r="D1782" t="str">
        <x:f t="shared" ref="D1782:D1845" si="81">"FUND_FLOW"</x:f>
        <x:v>FUND_FLOW</x:v>
      </x:c>
      <x:c r="E1782" t="str">
        <x:f t="shared" ref="E1782:E1845" si="82">"Dynamic"</x:f>
        <x:v>Dynamic</x:v>
      </x:c>
      <x:c r="F1782" t="str">
        <x:f ca="1">_xll.BDH($B$1782,$C$1782,$B$1010,$B$1011,CONCATENATE("Per=",$B$1008),"Dts=H","Dir=H",CONCATENATE("Points=",$B$1009),"Sort=R","Days=A","Fill=B",CONCATENATE("FX=", $B$1007) )</x:f>
        <x:v/>
      </x:c>
      <x:c r="T1782" t="str">
        <x:f>""</x:f>
        <x:v/>
      </x:c>
      <x:c r="U1782" t="str">
        <x:f>""</x:f>
        <x:v/>
      </x:c>
      <x:c r="V1782" t="str">
        <x:f>""</x:f>
        <x:v/>
      </x:c>
      <x:c r="W1782" t="str">
        <x:f>""</x:f>
        <x:v/>
      </x:c>
      <x:c r="X1782" t="str">
        <x:f>""</x:f>
        <x:v/>
      </x:c>
      <x:c r="Y1782" t="str">
        <x:f>""</x:f>
        <x:v/>
      </x:c>
      <x:c r="Z1782" t="str">
        <x:f>""</x:f>
        <x:v/>
      </x:c>
      <x:c r="AA1782" t="str">
        <x:f>""</x:f>
        <x:v/>
      </x:c>
      <x:c r="AB1782" t="str">
        <x:f>""</x:f>
        <x:v/>
      </x:c>
      <x:c r="AC1782" t="str">
        <x:f>""</x:f>
        <x:v/>
      </x:c>
      <x:c r="AD1782" t="str">
        <x:f>""</x:f>
        <x:v/>
      </x:c>
      <x:c r="AE1782" t="str">
        <x:f>""</x:f>
        <x:v/>
      </x:c>
      <x:c r="AF1782" t="str">
        <x:f>""</x:f>
        <x:v/>
      </x:c>
      <x:c r="AG1782" t="str">
        <x:f>""</x:f>
        <x:v/>
      </x:c>
    </x:row>
    <x:row r="1783" spans="2:33" x14ac:dyDescent="0.25">
      <x:c r="B1783" t="str">
        <x:f>"IPO US Equity"</x:f>
        <x:v>IPO US Equity</x:v>
      </x:c>
      <x:c r="C1783" t="str">
        <x:f t="shared" si="80"/>
        <x:v>FD447</x:v>
      </x:c>
      <x:c r="D1783" t="str">
        <x:f t="shared" si="81"/>
        <x:v>FUND_FLOW</x:v>
      </x:c>
      <x:c r="E1783" t="str">
        <x:f t="shared" si="82"/>
        <x:v>Dynamic</x:v>
      </x:c>
      <x:c r="F1783">
        <x:f ca="1">_xll.BDH($B$1783,$C$1783,$B$1010,$B$1011,CONCATENATE("Per=",$B$1008),"Dts=H","Dir=H",CONCATENATE("Points=",$B$1009),"Sort=R","Days=A","Fill=B",CONCATENATE("FX=", $B$1007),"cols=14;rows=1")</x:f>
        <x:v>-16.680199999999999</x:v>
      </x:c>
      <x:c r="G1783">
        <x:v>-4.8414999999999999</x:v>
      </x:c>
      <x:c r="H1783">
        <x:v>-25.471699999999998</x:v>
      </x:c>
      <x:c r="I1783">
        <x:v>43.076599999999999</x:v>
      </x:c>
      <x:c r="J1783">
        <x:v>17.3474</x:v>
      </x:c>
      <x:c r="K1783">
        <x:v>7.4657</x:v>
      </x:c>
      <x:c r="L1783">
        <x:v>0</x:v>
      </x:c>
      <x:c r="M1783">
        <x:v>-9.8901000000000003</x:v>
      </x:c>
      <x:c r="N1783">
        <x:v>7.0712000000000002</x:v>
      </x:c>
      <x:c r="O1783">
        <x:v>-8.8262999999999998</x:v>
      </x:c>
      <x:c r="P1783">
        <x:v>-4.8842999999999996</x:v>
      </x:c>
      <x:c r="Q1783">
        <x:v>-5.3122999999999996</x:v>
      </x:c>
      <x:c r="R1783">
        <x:v>1.5674999999999999</x:v>
      </x:c>
      <x:c r="S1783">
        <x:v>-7.8708999999999998</x:v>
      </x:c>
      <x:c r="T1783" t="str">
        <x:f>""</x:f>
        <x:v/>
      </x:c>
      <x:c r="U1783" t="str">
        <x:f>""</x:f>
        <x:v/>
      </x:c>
      <x:c r="V1783" t="str">
        <x:f>""</x:f>
        <x:v/>
      </x:c>
      <x:c r="W1783" t="str">
        <x:f>""</x:f>
        <x:v/>
      </x:c>
      <x:c r="X1783" t="str">
        <x:f>""</x:f>
        <x:v/>
      </x:c>
      <x:c r="Y1783" t="str">
        <x:f>""</x:f>
        <x:v/>
      </x:c>
      <x:c r="Z1783" t="str">
        <x:f>""</x:f>
        <x:v/>
      </x:c>
      <x:c r="AA1783" t="str">
        <x:f>""</x:f>
        <x:v/>
      </x:c>
      <x:c r="AB1783" t="str">
        <x:f>""</x:f>
        <x:v/>
      </x:c>
      <x:c r="AC1783" t="str">
        <x:f>""</x:f>
        <x:v/>
      </x:c>
      <x:c r="AD1783" t="str">
        <x:f>""</x:f>
        <x:v/>
      </x:c>
      <x:c r="AE1783" t="str">
        <x:f>""</x:f>
        <x:v/>
      </x:c>
      <x:c r="AF1783" t="str">
        <x:f>""</x:f>
        <x:v/>
      </x:c>
      <x:c r="AG1783" t="str">
        <x:f>""</x:f>
        <x:v/>
      </x:c>
    </x:row>
    <x:row r="1784" spans="2:33" x14ac:dyDescent="0.25">
      <x:c r="B1784" t="str">
        <x:f>"IPOS US Equity"</x:f>
        <x:v>IPOS US Equity</x:v>
      </x:c>
      <x:c r="C1784" t="str">
        <x:f t="shared" si="80"/>
        <x:v>FD447</x:v>
      </x:c>
      <x:c r="D1784" t="str">
        <x:f t="shared" si="81"/>
        <x:v>FUND_FLOW</x:v>
      </x:c>
      <x:c r="E1784" t="str">
        <x:f t="shared" si="82"/>
        <x:v>Dynamic</x:v>
      </x:c>
      <x:c r="F1784">
        <x:f ca="1">_xll.BDH($B$1784,$C$1784,$B$1010,$B$1011,CONCATENATE("Per=",$B$1008),"Dts=H","Dir=H",CONCATENATE("Points=",$B$1009),"Sort=R","Days=A","Fill=B",CONCATENATE("FX=", $B$1007),"cols=14;rows=1")</x:f>
        <x:v>0</x:v>
      </x:c>
      <x:c r="G1784">
        <x:v>0</x:v>
      </x:c>
      <x:c r="H1784">
        <x:v>0</x:v>
      </x:c>
      <x:c r="I1784">
        <x:v>0</x:v>
      </x:c>
      <x:c r="J1784">
        <x:v>0</x:v>
      </x:c>
      <x:c r="K1784">
        <x:v>0</x:v>
      </x:c>
      <x:c r="L1784">
        <x:v>0</x:v>
      </x:c>
      <x:c r="M1784">
        <x:v>-0.81879999999999997</x:v>
      </x:c>
      <x:c r="N1784">
        <x:v>0</x:v>
      </x:c>
      <x:c r="O1784">
        <x:v>0</x:v>
      </x:c>
      <x:c r="P1784">
        <x:v>-0.8639</x:v>
      </x:c>
      <x:c r="Q1784">
        <x:v>0</x:v>
      </x:c>
      <x:c r="R1784">
        <x:v>-0.75819999999999999</x:v>
      </x:c>
      <x:c r="S1784">
        <x:v>0</x:v>
      </x:c>
      <x:c r="T1784" t="str">
        <x:f>""</x:f>
        <x:v/>
      </x:c>
      <x:c r="U1784" t="str">
        <x:f>""</x:f>
        <x:v/>
      </x:c>
      <x:c r="V1784" t="str">
        <x:f>""</x:f>
        <x:v/>
      </x:c>
      <x:c r="W1784" t="str">
        <x:f>""</x:f>
        <x:v/>
      </x:c>
      <x:c r="X1784" t="str">
        <x:f>""</x:f>
        <x:v/>
      </x:c>
      <x:c r="Y1784" t="str">
        <x:f>""</x:f>
        <x:v/>
      </x:c>
      <x:c r="Z1784" t="str">
        <x:f>""</x:f>
        <x:v/>
      </x:c>
      <x:c r="AA1784" t="str">
        <x:f>""</x:f>
        <x:v/>
      </x:c>
      <x:c r="AB1784" t="str">
        <x:f>""</x:f>
        <x:v/>
      </x:c>
      <x:c r="AC1784" t="str">
        <x:f>""</x:f>
        <x:v/>
      </x:c>
      <x:c r="AD1784" t="str">
        <x:f>""</x:f>
        <x:v/>
      </x:c>
      <x:c r="AE1784" t="str">
        <x:f>""</x:f>
        <x:v/>
      </x:c>
      <x:c r="AF1784" t="str">
        <x:f>""</x:f>
        <x:v/>
      </x:c>
      <x:c r="AG1784" t="str">
        <x:f>""</x:f>
        <x:v/>
      </x:c>
    </x:row>
    <x:row r="1785" spans="2:33" x14ac:dyDescent="0.25">
      <x:c r="B1785" t="str">
        <x:f>"FPX US Equity"</x:f>
        <x:v>FPX US Equity</x:v>
      </x:c>
      <x:c r="C1785" t="str">
        <x:f t="shared" si="80"/>
        <x:v>FD447</x:v>
      </x:c>
      <x:c r="D1785" t="str">
        <x:f t="shared" si="81"/>
        <x:v>FUND_FLOW</x:v>
      </x:c>
      <x:c r="E1785" t="str">
        <x:f t="shared" si="82"/>
        <x:v>Dynamic</x:v>
      </x:c>
      <x:c r="F1785">
        <x:f ca="1">_xll.BDH($B$1785,$C$1785,$B$1010,$B$1011,CONCATENATE("Per=",$B$1008),"Dts=H","Dir=H",CONCATENATE("Points=",$B$1009),"Sort=R","Days=A","Fill=B",CONCATENATE("FX=", $B$1007),"cols=14;rows=1")</x:f>
        <x:v>-24.248699999999999</x:v>
      </x:c>
      <x:c r="G1785">
        <x:v>-33.902500000000003</x:v>
      </x:c>
      <x:c r="H1785">
        <x:v>-8.2270000000000003</x:v>
      </x:c>
      <x:c r="I1785">
        <x:v>0.2535</x:v>
      </x:c>
      <x:c r="J1785">
        <x:v>-21.36</x:v>
      </x:c>
      <x:c r="K1785">
        <x:v>-16.201499999999999</x:v>
      </x:c>
      <x:c r="L1785">
        <x:v>-12.2835</x:v>
      </x:c>
      <x:c r="M1785">
        <x:v>-20.279499999999999</x:v>
      </x:c>
      <x:c r="N1785">
        <x:v>-8.4734999999999996</x:v>
      </x:c>
      <x:c r="O1785">
        <x:v>-24.477499999999999</x:v>
      </x:c>
      <x:c r="P1785">
        <x:v>-28.108499999999999</x:v>
      </x:c>
      <x:c r="Q1785">
        <x:v>-29.7013</x:v>
      </x:c>
      <x:c r="R1785">
        <x:v>-41.951999999999998</x:v>
      </x:c>
      <x:c r="S1785">
        <x:v>-42.5</x:v>
      </x:c>
      <x:c r="T1785" t="str">
        <x:f>""</x:f>
        <x:v/>
      </x:c>
      <x:c r="U1785" t="str">
        <x:f>""</x:f>
        <x:v/>
      </x:c>
      <x:c r="V1785" t="str">
        <x:f>""</x:f>
        <x:v/>
      </x:c>
      <x:c r="W1785" t="str">
        <x:f>""</x:f>
        <x:v/>
      </x:c>
      <x:c r="X1785" t="str">
        <x:f>""</x:f>
        <x:v/>
      </x:c>
      <x:c r="Y1785" t="str">
        <x:f>""</x:f>
        <x:v/>
      </x:c>
      <x:c r="Z1785" t="str">
        <x:f>""</x:f>
        <x:v/>
      </x:c>
      <x:c r="AA1785" t="str">
        <x:f>""</x:f>
        <x:v/>
      </x:c>
      <x:c r="AB1785" t="str">
        <x:f>""</x:f>
        <x:v/>
      </x:c>
      <x:c r="AC1785" t="str">
        <x:f>""</x:f>
        <x:v/>
      </x:c>
      <x:c r="AD1785" t="str">
        <x:f>""</x:f>
        <x:v/>
      </x:c>
      <x:c r="AE1785" t="str">
        <x:f>""</x:f>
        <x:v/>
      </x:c>
      <x:c r="AF1785" t="str">
        <x:f>""</x:f>
        <x:v/>
      </x:c>
      <x:c r="AG1785" t="str">
        <x:f>""</x:f>
        <x:v/>
      </x:c>
    </x:row>
    <x:row r="1786" spans="2:33" x14ac:dyDescent="0.25">
      <x:c r="B1786" t="str">
        <x:f>"CSD US Equity"</x:f>
        <x:v>CSD US Equity</x:v>
      </x:c>
      <x:c r="C1786" t="str">
        <x:f t="shared" si="80"/>
        <x:v>FD447</x:v>
      </x:c>
      <x:c r="D1786" t="str">
        <x:f t="shared" si="81"/>
        <x:v>FUND_FLOW</x:v>
      </x:c>
      <x:c r="E1786" t="str">
        <x:f t="shared" si="82"/>
        <x:v>Dynamic</x:v>
      </x:c>
      <x:c r="F1786">
        <x:f ca="1">_xll.BDH($B$1786,$C$1786,$B$1010,$B$1011,CONCATENATE("Per=",$B$1008),"Dts=H","Dir=H",CONCATENATE("Points=",$B$1009),"Sort=R","Days=A","Fill=B",CONCATENATE("FX=", $B$1007),"cols=14;rows=1")</x:f>
        <x:v>0</x:v>
      </x:c>
      <x:c r="G1786">
        <x:v>0</x:v>
      </x:c>
      <x:c r="H1786">
        <x:v>-1.1380999999999999</x:v>
      </x:c>
      <x:c r="I1786">
        <x:v>-0.59389999999999998</x:v>
      </x:c>
      <x:c r="J1786">
        <x:v>-0.56059999999999999</x:v>
      </x:c>
      <x:c r="K1786">
        <x:v>-0.54800000000000004</x:v>
      </x:c>
      <x:c r="L1786">
        <x:v>0</x:v>
      </x:c>
      <x:c r="M1786">
        <x:v>-1.6626000000000001</x:v>
      </x:c>
      <x:c r="N1786">
        <x:v>-1.1866000000000001</x:v>
      </x:c>
      <x:c r="O1786">
        <x:v>-0.54120000000000001</x:v>
      </x:c>
      <x:c r="P1786">
        <x:v>-0.51570000000000005</x:v>
      </x:c>
      <x:c r="Q1786">
        <x:v>-0.55220000000000002</x:v>
      </x:c>
      <x:c r="R1786">
        <x:v>-1.0502</x:v>
      </x:c>
      <x:c r="S1786">
        <x:v>0</x:v>
      </x:c>
      <x:c r="T1786" t="str">
        <x:f>""</x:f>
        <x:v/>
      </x:c>
      <x:c r="U1786" t="str">
        <x:f>""</x:f>
        <x:v/>
      </x:c>
      <x:c r="V1786" t="str">
        <x:f>""</x:f>
        <x:v/>
      </x:c>
      <x:c r="W1786" t="str">
        <x:f>""</x:f>
        <x:v/>
      </x:c>
      <x:c r="X1786" t="str">
        <x:f>""</x:f>
        <x:v/>
      </x:c>
      <x:c r="Y1786" t="str">
        <x:f>""</x:f>
        <x:v/>
      </x:c>
      <x:c r="Z1786" t="str">
        <x:f>""</x:f>
        <x:v/>
      </x:c>
      <x:c r="AA1786" t="str">
        <x:f>""</x:f>
        <x:v/>
      </x:c>
      <x:c r="AB1786" t="str">
        <x:f>""</x:f>
        <x:v/>
      </x:c>
      <x:c r="AC1786" t="str">
        <x:f>""</x:f>
        <x:v/>
      </x:c>
      <x:c r="AD1786" t="str">
        <x:f>""</x:f>
        <x:v/>
      </x:c>
      <x:c r="AE1786" t="str">
        <x:f>""</x:f>
        <x:v/>
      </x:c>
      <x:c r="AF1786" t="str">
        <x:f>""</x:f>
        <x:v/>
      </x:c>
      <x:c r="AG1786" t="str">
        <x:f>""</x:f>
        <x:v/>
      </x:c>
    </x:row>
    <x:row r="1787" spans="2:33" x14ac:dyDescent="0.25">
      <x:c r="B1787" t="str">
        <x:f>"FPXI US Equity"</x:f>
        <x:v>FPXI US Equity</x:v>
      </x:c>
      <x:c r="C1787" t="str">
        <x:f t="shared" si="80"/>
        <x:v>FD447</x:v>
      </x:c>
      <x:c r="D1787" t="str">
        <x:f t="shared" si="81"/>
        <x:v>FUND_FLOW</x:v>
      </x:c>
      <x:c r="E1787" t="str">
        <x:f t="shared" si="82"/>
        <x:v>Dynamic</x:v>
      </x:c>
      <x:c r="F1787">
        <x:f ca="1">_xll.BDH($B$1787,$C$1787,$B$1010,$B$1011,CONCATENATE("Per=",$B$1008),"Dts=H","Dir=H",CONCATENATE("Points=",$B$1009),"Sort=R","Days=A","Fill=B",CONCATENATE("FX=", $B$1007),"cols=14;rows=1")</x:f>
        <x:v>-1.8678999999999999</x:v>
      </x:c>
      <x:c r="G1787">
        <x:v>-3.9660000000000002</x:v>
      </x:c>
      <x:c r="H1787">
        <x:v>-6.1689999999999996</x:v>
      </x:c>
      <x:c r="I1787">
        <x:v>-14.206</x:v>
      </x:c>
      <x:c r="J1787">
        <x:v>-7.8855000000000004</x:v>
      </x:c>
      <x:c r="K1787">
        <x:v>-27.427</x:v>
      </x:c>
      <x:c r="L1787">
        <x:v>-8.0990000000000002</x:v>
      </x:c>
      <x:c r="M1787">
        <x:v>-10.0185</x:v>
      </x:c>
      <x:c r="N1787">
        <x:v>0</x:v>
      </x:c>
      <x:c r="O1787">
        <x:v>-12.2225</x:v>
      </x:c>
      <x:c r="P1787">
        <x:v>-44.99</x:v>
      </x:c>
      <x:c r="Q1787">
        <x:v>-18.8796</x:v>
      </x:c>
      <x:c r="R1787">
        <x:v>-26.329799999999999</x:v>
      </x:c>
      <x:c r="S1787">
        <x:v>6.1162999999999998</x:v>
      </x:c>
      <x:c r="T1787" t="str">
        <x:f>""</x:f>
        <x:v/>
      </x:c>
      <x:c r="U1787" t="str">
        <x:f>""</x:f>
        <x:v/>
      </x:c>
      <x:c r="V1787" t="str">
        <x:f>""</x:f>
        <x:v/>
      </x:c>
      <x:c r="W1787" t="str">
        <x:f>""</x:f>
        <x:v/>
      </x:c>
      <x:c r="X1787" t="str">
        <x:f>""</x:f>
        <x:v/>
      </x:c>
      <x:c r="Y1787" t="str">
        <x:f>""</x:f>
        <x:v/>
      </x:c>
      <x:c r="Z1787" t="str">
        <x:f>""</x:f>
        <x:v/>
      </x:c>
      <x:c r="AA1787" t="str">
        <x:f>""</x:f>
        <x:v/>
      </x:c>
      <x:c r="AB1787" t="str">
        <x:f>""</x:f>
        <x:v/>
      </x:c>
      <x:c r="AC1787" t="str">
        <x:f>""</x:f>
        <x:v/>
      </x:c>
      <x:c r="AD1787" t="str">
        <x:f>""</x:f>
        <x:v/>
      </x:c>
      <x:c r="AE1787" t="str">
        <x:f>""</x:f>
        <x:v/>
      </x:c>
      <x:c r="AF1787" t="str">
        <x:f>""</x:f>
        <x:v/>
      </x:c>
      <x:c r="AG1787" t="str">
        <x:f>""</x:f>
        <x:v/>
      </x:c>
    </x:row>
    <x:row r="1788" spans="2:33" x14ac:dyDescent="0.25">
      <x:c r="B1788" t="str">
        <x:f>"FPXE US Equity"</x:f>
        <x:v>FPXE US Equity</x:v>
      </x:c>
      <x:c r="C1788" t="str">
        <x:f t="shared" si="80"/>
        <x:v>FD447</x:v>
      </x:c>
      <x:c r="D1788" t="str">
        <x:f t="shared" si="81"/>
        <x:v>FUND_FLOW</x:v>
      </x:c>
      <x:c r="E1788" t="str">
        <x:f t="shared" si="82"/>
        <x:v>Dynamic</x:v>
      </x:c>
      <x:c r="F1788">
        <x:f ca="1">_xll.BDH($B$1788,$C$1788,$B$1010,$B$1011,CONCATENATE("Per=",$B$1008),"Dts=H","Dir=H",CONCATENATE("Points=",$B$1009),"Sort=R","Days=A","Fill=B",CONCATENATE("FX=", $B$1007),"cols=14;rows=1")</x:f>
        <x:v>0</x:v>
      </x:c>
      <x:c r="G1788">
        <x:v>-1.0801000000000001</x:v>
      </x:c>
      <x:c r="H1788">
        <x:v>0</x:v>
      </x:c>
      <x:c r="I1788">
        <x:v>0</x:v>
      </x:c>
      <x:c r="J1788">
        <x:v>0</x:v>
      </x:c>
      <x:c r="K1788">
        <x:v>0</x:v>
      </x:c>
      <x:c r="L1788">
        <x:v>0</x:v>
      </x:c>
      <x:c r="M1788">
        <x:v>0</x:v>
      </x:c>
      <x:c r="N1788">
        <x:v>-1.0794999999999999</x:v>
      </x:c>
      <x:c r="O1788">
        <x:v>0</x:v>
      </x:c>
      <x:c r="P1788">
        <x:v>0</x:v>
      </x:c>
      <x:c r="Q1788">
        <x:v>0</x:v>
      </x:c>
      <x:c r="R1788">
        <x:v>0</x:v>
      </x:c>
      <x:c r="S1788">
        <x:v>0</x:v>
      </x:c>
      <x:c r="T1788" t="str">
        <x:f>""</x:f>
        <x:v/>
      </x:c>
      <x:c r="U1788" t="str">
        <x:f>""</x:f>
        <x:v/>
      </x:c>
      <x:c r="V1788" t="str">
        <x:f>""</x:f>
        <x:v/>
      </x:c>
      <x:c r="W1788" t="str">
        <x:f>""</x:f>
        <x:v/>
      </x:c>
      <x:c r="X1788" t="str">
        <x:f>""</x:f>
        <x:v/>
      </x:c>
      <x:c r="Y1788" t="str">
        <x:f>""</x:f>
        <x:v/>
      </x:c>
      <x:c r="Z1788" t="str">
        <x:f>""</x:f>
        <x:v/>
      </x:c>
      <x:c r="AA1788" t="str">
        <x:f>""</x:f>
        <x:v/>
      </x:c>
      <x:c r="AB1788" t="str">
        <x:f>""</x:f>
        <x:v/>
      </x:c>
      <x:c r="AC1788" t="str">
        <x:f>""</x:f>
        <x:v/>
      </x:c>
      <x:c r="AD1788" t="str">
        <x:f>""</x:f>
        <x:v/>
      </x:c>
      <x:c r="AE1788" t="str">
        <x:f>""</x:f>
        <x:v/>
      </x:c>
      <x:c r="AF1788" t="str">
        <x:f>""</x:f>
        <x:v/>
      </x:c>
      <x:c r="AG1788" t="str">
        <x:f>""</x:f>
        <x:v/>
      </x:c>
    </x:row>
    <x:row r="1789" spans="2:33" x14ac:dyDescent="0.25">
      <x:c r="B1789" t="str">
        <x:f>"SPAK US Equity"</x:f>
        <x:v>SPAK US Equity</x:v>
      </x:c>
      <x:c r="C1789" t="str">
        <x:f t="shared" si="80"/>
        <x:v>FD447</x:v>
      </x:c>
      <x:c r="D1789" t="str">
        <x:f t="shared" si="81"/>
        <x:v>FUND_FLOW</x:v>
      </x:c>
      <x:c r="E1789" t="str">
        <x:f t="shared" si="82"/>
        <x:v>Dynamic</x:v>
      </x:c>
      <x:c r="F1789" t="str">
        <x:f ca="1">_xll.BDH($B$1789,$C$1789,$B$1010,$B$1011,CONCATENATE("Per=",$B$1008),"Dts=H","Dir=H",CONCATENATE("Points=",$B$1009),"Sort=R","Days=A","Fill=B",CONCATENATE("FX=", $B$1007),"cols=14;rows=1")</x:f>
        <x:v/>
      </x:c>
      <x:c r="T1789" t="str">
        <x:f>""</x:f>
        <x:v/>
      </x:c>
      <x:c r="U1789" t="str">
        <x:f>""</x:f>
        <x:v/>
      </x:c>
      <x:c r="V1789" t="str">
        <x:f>""</x:f>
        <x:v/>
      </x:c>
      <x:c r="W1789" t="str">
        <x:f>""</x:f>
        <x:v/>
      </x:c>
      <x:c r="X1789" t="str">
        <x:f>""</x:f>
        <x:v/>
      </x:c>
      <x:c r="Y1789" t="str">
        <x:f>""</x:f>
        <x:v/>
      </x:c>
      <x:c r="Z1789" t="str">
        <x:f>""</x:f>
        <x:v/>
      </x:c>
      <x:c r="AA1789" t="str">
        <x:f>""</x:f>
        <x:v/>
      </x:c>
      <x:c r="AB1789" t="str">
        <x:f>""</x:f>
        <x:v/>
      </x:c>
      <x:c r="AC1789" t="str">
        <x:f>""</x:f>
        <x:v/>
      </x:c>
      <x:c r="AD1789" t="str">
        <x:f>""</x:f>
        <x:v/>
      </x:c>
      <x:c r="AE1789" t="str">
        <x:f>""</x:f>
        <x:v/>
      </x:c>
      <x:c r="AF1789" t="str">
        <x:f>""</x:f>
        <x:v/>
      </x:c>
      <x:c r="AG1789" t="str">
        <x:f>""</x:f>
        <x:v/>
      </x:c>
    </x:row>
    <x:row r="1790" spans="2:33" x14ac:dyDescent="0.25">
      <x:c r="B1790" t="str">
        <x:f>"SPCX US Equity"</x:f>
        <x:v>SPCX US Equity</x:v>
      </x:c>
      <x:c r="C1790" t="str">
        <x:f t="shared" si="80"/>
        <x:v>FD447</x:v>
      </x:c>
      <x:c r="D1790" t="str">
        <x:f t="shared" si="81"/>
        <x:v>FUND_FLOW</x:v>
      </x:c>
      <x:c r="E1790" t="str">
        <x:f t="shared" si="82"/>
        <x:v>Dynamic</x:v>
      </x:c>
      <x:c r="F1790">
        <x:f ca="1">_xll.BDH($B$1790,$C$1790,$B$1010,$B$1011,CONCATENATE("Per=",$B$1008),"Dts=H","Dir=H",CONCATENATE("Points=",$B$1009),"Sort=R","Days=A","Fill=B",CONCATENATE("FX=", $B$1007),"cols=14;rows=1")</x:f>
        <x:v>-0.58799999999999997</x:v>
      </x:c>
      <x:c r="G1790">
        <x:v>0</x:v>
      </x:c>
      <x:c r="H1790">
        <x:v>-0.59499999999999997</x:v>
      </x:c>
      <x:c r="I1790">
        <x:v>0</x:v>
      </x:c>
      <x:c r="J1790">
        <x:v>0</x:v>
      </x:c>
      <x:c r="K1790">
        <x:v>-1.1875</x:v>
      </x:c>
      <x:c r="L1790">
        <x:v>0</x:v>
      </x:c>
      <x:c r="M1790">
        <x:v>-1.7928999999999999</x:v>
      </x:c>
      <x:c r="N1790">
        <x:v>-1.1845000000000001</x:v>
      </x:c>
      <x:c r="O1790">
        <x:v>-1.8384</x:v>
      </x:c>
      <x:c r="P1790">
        <x:v>3.7100000000000001E-2</x:v>
      </x:c>
      <x:c r="Q1790">
        <x:v>-3.9319999999999999</x:v>
      </x:c>
      <x:c r="R1790">
        <x:v>-0.65739999999999998</x:v>
      </x:c>
      <x:c r="S1790">
        <x:v>-0.68169999999999997</x:v>
      </x:c>
      <x:c r="T1790" t="str">
        <x:f>""</x:f>
        <x:v/>
      </x:c>
      <x:c r="U1790" t="str">
        <x:f>""</x:f>
        <x:v/>
      </x:c>
      <x:c r="V1790" t="str">
        <x:f>""</x:f>
        <x:v/>
      </x:c>
      <x:c r="W1790" t="str">
        <x:f>""</x:f>
        <x:v/>
      </x:c>
      <x:c r="X1790" t="str">
        <x:f>""</x:f>
        <x:v/>
      </x:c>
      <x:c r="Y1790" t="str">
        <x:f>""</x:f>
        <x:v/>
      </x:c>
      <x:c r="Z1790" t="str">
        <x:f>""</x:f>
        <x:v/>
      </x:c>
      <x:c r="AA1790" t="str">
        <x:f>""</x:f>
        <x:v/>
      </x:c>
      <x:c r="AB1790" t="str">
        <x:f>""</x:f>
        <x:v/>
      </x:c>
      <x:c r="AC1790" t="str">
        <x:f>""</x:f>
        <x:v/>
      </x:c>
      <x:c r="AD1790" t="str">
        <x:f>""</x:f>
        <x:v/>
      </x:c>
      <x:c r="AE1790" t="str">
        <x:f>""</x:f>
        <x:v/>
      </x:c>
      <x:c r="AF1790" t="str">
        <x:f>""</x:f>
        <x:v/>
      </x:c>
      <x:c r="AG1790" t="str">
        <x:f>""</x:f>
        <x:v/>
      </x:c>
    </x:row>
    <x:row r="1791" spans="2:33" x14ac:dyDescent="0.25">
      <x:c r="B1791" t="str">
        <x:f>"SPXZ US Equity"</x:f>
        <x:v>SPXZ US Equity</x:v>
      </x:c>
      <x:c r="C1791" t="str">
        <x:f t="shared" si="80"/>
        <x:v>FD447</x:v>
      </x:c>
      <x:c r="D1791" t="str">
        <x:f t="shared" si="81"/>
        <x:v>FUND_FLOW</x:v>
      </x:c>
      <x:c r="E1791" t="str">
        <x:f t="shared" si="82"/>
        <x:v>Dynamic</x:v>
      </x:c>
      <x:c r="F1791" t="str">
        <x:f ca="1">_xll.BDH($B$1791,$C$1791,$B$1010,$B$1011,CONCATENATE("Per=",$B$1008),"Dts=H","Dir=H",CONCATENATE("Points=",$B$1009),"Sort=R","Days=A","Fill=B",CONCATENATE("FX=", $B$1007),"cols=14;rows=1")</x:f>
        <x:v/>
      </x:c>
      <x:c r="T1791" t="str">
        <x:f>""</x:f>
        <x:v/>
      </x:c>
      <x:c r="U1791" t="str">
        <x:f>""</x:f>
        <x:v/>
      </x:c>
      <x:c r="V1791" t="str">
        <x:f>""</x:f>
        <x:v/>
      </x:c>
      <x:c r="W1791" t="str">
        <x:f>""</x:f>
        <x:v/>
      </x:c>
      <x:c r="X1791" t="str">
        <x:f>""</x:f>
        <x:v/>
      </x:c>
      <x:c r="Y1791" t="str">
        <x:f>""</x:f>
        <x:v/>
      </x:c>
      <x:c r="Z1791" t="str">
        <x:f>""</x:f>
        <x:v/>
      </x:c>
      <x:c r="AA1791" t="str">
        <x:f>""</x:f>
        <x:v/>
      </x:c>
      <x:c r="AB1791" t="str">
        <x:f>""</x:f>
        <x:v/>
      </x:c>
      <x:c r="AC1791" t="str">
        <x:f>""</x:f>
        <x:v/>
      </x:c>
      <x:c r="AD1791" t="str">
        <x:f>""</x:f>
        <x:v/>
      </x:c>
      <x:c r="AE1791" t="str">
        <x:f>""</x:f>
        <x:v/>
      </x:c>
      <x:c r="AF1791" t="str">
        <x:f>""</x:f>
        <x:v/>
      </x:c>
      <x:c r="AG1791" t="str">
        <x:f>""</x:f>
        <x:v/>
      </x:c>
    </x:row>
    <x:row r="1792" spans="2:33" x14ac:dyDescent="0.25">
      <x:c r="B1792" t="str">
        <x:f>"DSPC US Equity"</x:f>
        <x:v>DSPC US Equity</x:v>
      </x:c>
      <x:c r="C1792" t="str">
        <x:f t="shared" si="80"/>
        <x:v>FD447</x:v>
      </x:c>
      <x:c r="D1792" t="str">
        <x:f t="shared" si="81"/>
        <x:v>FUND_FLOW</x:v>
      </x:c>
      <x:c r="E1792" t="str">
        <x:f t="shared" si="82"/>
        <x:v>Dynamic</x:v>
      </x:c>
      <x:c r="F1792" t="str">
        <x:f ca="1">_xll.BDH($B$1792,$C$1792,$B$1010,$B$1011,CONCATENATE("Per=",$B$1008),"Dts=H","Dir=H",CONCATENATE("Points=",$B$1009),"Sort=R","Days=A","Fill=B",CONCATENATE("FX=", $B$1007),"cols=14;rows=1")</x:f>
        <x:v/>
      </x:c>
      <x:c r="O1792">
        <x:v>-0.27550000000000002</x:v>
      </x:c>
      <x:c r="P1792">
        <x:v>0</x:v>
      </x:c>
      <x:c r="Q1792">
        <x:v>0</x:v>
      </x:c>
      <x:c r="R1792">
        <x:v>0</x:v>
      </x:c>
      <x:c r="S1792">
        <x:v>0</x:v>
      </x:c>
      <x:c r="T1792" t="str">
        <x:f>""</x:f>
        <x:v/>
      </x:c>
      <x:c r="U1792" t="str">
        <x:f>""</x:f>
        <x:v/>
      </x:c>
      <x:c r="V1792" t="str">
        <x:f>""</x:f>
        <x:v/>
      </x:c>
      <x:c r="W1792" t="str">
        <x:f>""</x:f>
        <x:v/>
      </x:c>
      <x:c r="X1792" t="str">
        <x:f>""</x:f>
        <x:v/>
      </x:c>
      <x:c r="Y1792" t="str">
        <x:f>""</x:f>
        <x:v/>
      </x:c>
      <x:c r="Z1792" t="str">
        <x:f>""</x:f>
        <x:v/>
      </x:c>
      <x:c r="AA1792" t="str">
        <x:f>""</x:f>
        <x:v/>
      </x:c>
      <x:c r="AB1792" t="str">
        <x:f>""</x:f>
        <x:v/>
      </x:c>
      <x:c r="AC1792" t="str">
        <x:f>""</x:f>
        <x:v/>
      </x:c>
      <x:c r="AD1792" t="str">
        <x:f>""</x:f>
        <x:v/>
      </x:c>
      <x:c r="AE1792" t="str">
        <x:f>""</x:f>
        <x:v/>
      </x:c>
      <x:c r="AF1792" t="str">
        <x:f>""</x:f>
        <x:v/>
      </x:c>
      <x:c r="AG1792" t="str">
        <x:f>""</x:f>
        <x:v/>
      </x:c>
    </x:row>
    <x:row r="1793" spans="2:33" x14ac:dyDescent="0.25">
      <x:c r="B1793" t="str">
        <x:f>"SOGU US Equity"</x:f>
        <x:v>SOGU US Equity</x:v>
      </x:c>
      <x:c r="C1793" t="str">
        <x:f t="shared" si="80"/>
        <x:v>FD447</x:v>
      </x:c>
      <x:c r="D1793" t="str">
        <x:f t="shared" si="81"/>
        <x:v>FUND_FLOW</x:v>
      </x:c>
      <x:c r="E1793" t="str">
        <x:f t="shared" si="82"/>
        <x:v>Dynamic</x:v>
      </x:c>
      <x:c r="F1793" t="str">
        <x:f ca="1">_xll.BDH($B$1793,$C$1793,$B$1010,$B$1011,CONCATENATE("Per=",$B$1008),"Dts=H","Dir=H",CONCATENATE("Points=",$B$1009),"Sort=R","Days=A","Fill=B",CONCATENATE("FX=", $B$1007),"cols=14;rows=1")</x:f>
        <x:v/>
      </x:c>
      <x:c r="J1793">
        <x:v>0</x:v>
      </x:c>
      <x:c r="K1793">
        <x:v>0.23</x:v>
      </x:c>
      <x:c r="L1793">
        <x:v>0</x:v>
      </x:c>
      <x:c r="M1793">
        <x:v>6.7000000000000002E-3</x:v>
      </x:c>
      <x:c r="N1793">
        <x:v>0</x:v>
      </x:c>
      <x:c r="O1793">
        <x:v>0</x:v>
      </x:c>
      <x:c r="P1793">
        <x:v>-6.7420999999999998</x:v>
      </x:c>
      <x:c r="Q1793">
        <x:v>-2.5005999999999999</x:v>
      </x:c>
      <x:c r="R1793">
        <x:v>0</x:v>
      </x:c>
      <x:c r="S1793">
        <x:v>0</x:v>
      </x:c>
      <x:c r="T1793" t="str">
        <x:f>""</x:f>
        <x:v/>
      </x:c>
      <x:c r="U1793" t="str">
        <x:f>""</x:f>
        <x:v/>
      </x:c>
      <x:c r="V1793" t="str">
        <x:f>""</x:f>
        <x:v/>
      </x:c>
      <x:c r="W1793" t="str">
        <x:f>""</x:f>
        <x:v/>
      </x:c>
      <x:c r="X1793" t="str">
        <x:f>""</x:f>
        <x:v/>
      </x:c>
      <x:c r="Y1793" t="str">
        <x:f>""</x:f>
        <x:v/>
      </x:c>
      <x:c r="Z1793" t="str">
        <x:f>""</x:f>
        <x:v/>
      </x:c>
      <x:c r="AA1793" t="str">
        <x:f>""</x:f>
        <x:v/>
      </x:c>
      <x:c r="AB1793" t="str">
        <x:f>""</x:f>
        <x:v/>
      </x:c>
      <x:c r="AC1793" t="str">
        <x:f>""</x:f>
        <x:v/>
      </x:c>
      <x:c r="AD1793" t="str">
        <x:f>""</x:f>
        <x:v/>
      </x:c>
      <x:c r="AE1793" t="str">
        <x:f>""</x:f>
        <x:v/>
      </x:c>
      <x:c r="AF1793" t="str">
        <x:f>""</x:f>
        <x:v/>
      </x:c>
      <x:c r="AG1793" t="str">
        <x:f>""</x:f>
        <x:v/>
      </x:c>
    </x:row>
    <x:row r="1794" spans="2:33" x14ac:dyDescent="0.25">
      <x:c r="B1794" t="str">
        <x:f>"SPAX US Equity"</x:f>
        <x:v>SPAX US Equity</x:v>
      </x:c>
      <x:c r="C1794" t="str">
        <x:f t="shared" si="80"/>
        <x:v>FD447</x:v>
      </x:c>
      <x:c r="D1794" t="str">
        <x:f t="shared" si="81"/>
        <x:v>FUND_FLOW</x:v>
      </x:c>
      <x:c r="E1794" t="str">
        <x:f t="shared" si="82"/>
        <x:v>Dynamic</x:v>
      </x:c>
      <x:c r="F1794">
        <x:f ca="1">_xll.BDH($B$1794,$C$1794,$B$1010,$B$1011,CONCATENATE("Per=",$B$1008),"Dts=H","Dir=H",CONCATENATE("Points=",$B$1009),"Sort=R","Days=A","Fill=B",CONCATENATE("FX=", $B$1007),"cols=14;rows=1")</x:f>
        <x:v>-1.0743</x:v>
      </x:c>
      <x:c r="G1794">
        <x:v>0</x:v>
      </x:c>
      <x:c r="H1794">
        <x:v>-3.7740999999999998</x:v>
      </x:c>
      <x:c r="I1794">
        <x:v>-3.2284999999999999</x:v>
      </x:c>
      <x:c r="J1794">
        <x:v>0</x:v>
      </x:c>
      <x:c r="K1794">
        <x:v>-0.52949999999999997</x:v>
      </x:c>
      <x:c r="L1794">
        <x:v>0</x:v>
      </x:c>
      <x:c r="M1794">
        <x:v>0</x:v>
      </x:c>
      <x:c r="N1794">
        <x:v>0</x:v>
      </x:c>
      <x:c r="O1794">
        <x:v>0</x:v>
      </x:c>
      <x:c r="P1794">
        <x:v>0</x:v>
      </x:c>
      <x:c r="Q1794">
        <x:v>0.51910000000000001</x:v>
      </x:c>
      <x:c r="R1794">
        <x:v>0.51639999999999997</x:v>
      </x:c>
      <x:c r="S1794">
        <x:v>0</x:v>
      </x:c>
      <x:c r="T1794" t="str">
        <x:f>""</x:f>
        <x:v/>
      </x:c>
      <x:c r="U1794" t="str">
        <x:f>""</x:f>
        <x:v/>
      </x:c>
      <x:c r="V1794" t="str">
        <x:f>""</x:f>
        <x:v/>
      </x:c>
      <x:c r="W1794" t="str">
        <x:f>""</x:f>
        <x:v/>
      </x:c>
      <x:c r="X1794" t="str">
        <x:f>""</x:f>
        <x:v/>
      </x:c>
      <x:c r="Y1794" t="str">
        <x:f>""</x:f>
        <x:v/>
      </x:c>
      <x:c r="Z1794" t="str">
        <x:f>""</x:f>
        <x:v/>
      </x:c>
      <x:c r="AA1794" t="str">
        <x:f>""</x:f>
        <x:v/>
      </x:c>
      <x:c r="AB1794" t="str">
        <x:f>""</x:f>
        <x:v/>
      </x:c>
      <x:c r="AC1794" t="str">
        <x:f>""</x:f>
        <x:v/>
      </x:c>
      <x:c r="AD1794" t="str">
        <x:f>""</x:f>
        <x:v/>
      </x:c>
      <x:c r="AE1794" t="str">
        <x:f>""</x:f>
        <x:v/>
      </x:c>
      <x:c r="AF1794" t="str">
        <x:f>""</x:f>
        <x:v/>
      </x:c>
      <x:c r="AG1794" t="str">
        <x:f>""</x:f>
        <x:v/>
      </x:c>
    </x:row>
    <x:row r="1795" spans="2:33" x14ac:dyDescent="0.25">
      <x:c r="B1795" t="str">
        <x:f>"SPC US Equity"</x:f>
        <x:v>SPC US Equity</x:v>
      </x:c>
      <x:c r="C1795" t="str">
        <x:f t="shared" si="80"/>
        <x:v>FD447</x:v>
      </x:c>
      <x:c r="D1795" t="str">
        <x:f t="shared" si="81"/>
        <x:v>FUND_FLOW</x:v>
      </x:c>
      <x:c r="E1795" t="str">
        <x:f t="shared" si="82"/>
        <x:v>Dynamic</x:v>
      </x:c>
      <x:c r="F1795">
        <x:f ca="1">_xll.BDH($B$1795,$C$1795,$B$1010,$B$1011,CONCATENATE("Per=",$B$1008),"Dts=H","Dir=H",CONCATENATE("Points=",$B$1009),"Sort=R","Days=A","Fill=B",CONCATENATE("FX=", $B$1007),"cols=14;rows=1")</x:f>
        <x:v>0.65549999999999997</x:v>
      </x:c>
      <x:c r="G1795">
        <x:v>0.21640000000000001</x:v>
      </x:c>
      <x:c r="H1795">
        <x:v>3.2336999999999998</x:v>
      </x:c>
      <x:c r="I1795">
        <x:v>0</x:v>
      </x:c>
      <x:c r="J1795">
        <x:v>0</x:v>
      </x:c>
      <x:c r="K1795">
        <x:v>-3.3851</x:v>
      </x:c>
      <x:c r="L1795">
        <x:v>1.4776</x:v>
      </x:c>
      <x:c r="M1795">
        <x:v>-1.6801999999999999</x:v>
      </x:c>
      <x:c r="N1795">
        <x:v>0</x:v>
      </x:c>
      <x:c r="O1795">
        <x:v>4.1475999999999997</x:v>
      </x:c>
      <x:c r="P1795">
        <x:v>-0.84150000000000003</x:v>
      </x:c>
      <x:c r="Q1795">
        <x:v>-0.8296</x:v>
      </x:c>
      <x:c r="R1795">
        <x:v>-0.20580000000000001</x:v>
      </x:c>
      <x:c r="S1795">
        <x:v>1.0286</x:v>
      </x:c>
      <x:c r="T1795" t="str">
        <x:f>""</x:f>
        <x:v/>
      </x:c>
      <x:c r="U1795" t="str">
        <x:f>""</x:f>
        <x:v/>
      </x:c>
      <x:c r="V1795" t="str">
        <x:f>""</x:f>
        <x:v/>
      </x:c>
      <x:c r="W1795" t="str">
        <x:f>""</x:f>
        <x:v/>
      </x:c>
      <x:c r="X1795" t="str">
        <x:f>""</x:f>
        <x:v/>
      </x:c>
      <x:c r="Y1795" t="str">
        <x:f>""</x:f>
        <x:v/>
      </x:c>
      <x:c r="Z1795" t="str">
        <x:f>""</x:f>
        <x:v/>
      </x:c>
      <x:c r="AA1795" t="str">
        <x:f>""</x:f>
        <x:v/>
      </x:c>
      <x:c r="AB1795" t="str">
        <x:f>""</x:f>
        <x:v/>
      </x:c>
      <x:c r="AC1795" t="str">
        <x:f>""</x:f>
        <x:v/>
      </x:c>
      <x:c r="AD1795" t="str">
        <x:f>""</x:f>
        <x:v/>
      </x:c>
      <x:c r="AE1795" t="str">
        <x:f>""</x:f>
        <x:v/>
      </x:c>
      <x:c r="AF1795" t="str">
        <x:f>""</x:f>
        <x:v/>
      </x:c>
      <x:c r="AG1795" t="str">
        <x:f>""</x:f>
        <x:v/>
      </x:c>
    </x:row>
    <x:row r="1796" spans="2:33" x14ac:dyDescent="0.25">
      <x:c r="B1796" t="str">
        <x:f>"SPCZ US Equity"</x:f>
        <x:v>SPCZ US Equity</x:v>
      </x:c>
      <x:c r="C1796" t="str">
        <x:f t="shared" si="80"/>
        <x:v>FD447</x:v>
      </x:c>
      <x:c r="D1796" t="str">
        <x:f t="shared" si="81"/>
        <x:v>FUND_FLOW</x:v>
      </x:c>
      <x:c r="E1796" t="str">
        <x:f t="shared" si="82"/>
        <x:v>Dynamic</x:v>
      </x:c>
      <x:c r="F1796">
        <x:f ca="1">_xll.BDH($B$1796,$C$1796,$B$1010,$B$1011,CONCATENATE("Per=",$B$1008),"Dts=H","Dir=H",CONCATENATE("Points=",$B$1009),"Sort=R","Days=A","Fill=B",CONCATENATE("FX=", $B$1007),"cols=14;rows=1")</x:f>
        <x:v>0</x:v>
      </x:c>
      <x:c r="G1796">
        <x:v>0</x:v>
      </x:c>
      <x:c r="H1796">
        <x:v>0</x:v>
      </x:c>
      <x:c r="I1796">
        <x:v>0</x:v>
      </x:c>
      <x:c r="J1796">
        <x:v>-0.26369999999999999</x:v>
      </x:c>
      <x:c r="K1796">
        <x:v>0</x:v>
      </x:c>
      <x:c r="L1796">
        <x:v>0.51929999999999998</x:v>
      </x:c>
      <x:c r="M1796">
        <x:v>-0.25919999999999999</x:v>
      </x:c>
      <x:c r="N1796">
        <x:v>0</x:v>
      </x:c>
      <x:c r="O1796">
        <x:v>1.9136</x:v>
      </x:c>
      <x:c r="P1796">
        <x:v>0</x:v>
      </x:c>
      <x:c r="Q1796">
        <x:v>0</x:v>
      </x:c>
      <x:c r="R1796">
        <x:v>0</x:v>
      </x:c>
      <x:c r="S1796">
        <x:v>0</x:v>
      </x:c>
      <x:c r="T1796" t="str">
        <x:f>""</x:f>
        <x:v/>
      </x:c>
      <x:c r="U1796" t="str">
        <x:f>""</x:f>
        <x:v/>
      </x:c>
      <x:c r="V1796" t="str">
        <x:f>""</x:f>
        <x:v/>
      </x:c>
      <x:c r="W1796" t="str">
        <x:f>""</x:f>
        <x:v/>
      </x:c>
      <x:c r="X1796" t="str">
        <x:f>""</x:f>
        <x:v/>
      </x:c>
      <x:c r="Y1796" t="str">
        <x:f>""</x:f>
        <x:v/>
      </x:c>
      <x:c r="Z1796" t="str">
        <x:f>""</x:f>
        <x:v/>
      </x:c>
      <x:c r="AA1796" t="str">
        <x:f>""</x:f>
        <x:v/>
      </x:c>
      <x:c r="AB1796" t="str">
        <x:f>""</x:f>
        <x:v/>
      </x:c>
      <x:c r="AC1796" t="str">
        <x:f>""</x:f>
        <x:v/>
      </x:c>
      <x:c r="AD1796" t="str">
        <x:f>""</x:f>
        <x:v/>
      </x:c>
      <x:c r="AE1796" t="str">
        <x:f>""</x:f>
        <x:v/>
      </x:c>
      <x:c r="AF1796" t="str">
        <x:f>""</x:f>
        <x:v/>
      </x:c>
      <x:c r="AG1796" t="str">
        <x:f>""</x:f>
        <x:v/>
      </x:c>
    </x:row>
    <x:row r="1797" spans="2:33" x14ac:dyDescent="0.25">
      <x:c r="B1797" t="str">
        <x:f>"SPAQ US Equity"</x:f>
        <x:v>SPAQ US Equity</x:v>
      </x:c>
      <x:c r="C1797" t="str">
        <x:f t="shared" si="80"/>
        <x:v>FD447</x:v>
      </x:c>
      <x:c r="D1797" t="str">
        <x:f t="shared" si="81"/>
        <x:v>FUND_FLOW</x:v>
      </x:c>
      <x:c r="E1797" t="str">
        <x:f t="shared" si="82"/>
        <x:v>Dynamic</x:v>
      </x:c>
      <x:c r="F1797">
        <x:f ca="1">_xll.BDH($B$1797,$C$1797,$B$1010,$B$1011,CONCATENATE("Per=",$B$1008),"Dts=H","Dir=H",CONCATENATE("Points=",$B$1009),"Sort=R","Days=A","Fill=B",CONCATENATE("FX=", $B$1007),"cols=14;rows=1")</x:f>
        <x:v>0</x:v>
      </x:c>
      <x:c r="G1797">
        <x:v>0</x:v>
      </x:c>
      <x:c r="H1797">
        <x:v>1.9577</x:v>
      </x:c>
      <x:c r="I1797">
        <x:v>0</x:v>
      </x:c>
      <x:c r="J1797">
        <x:v>0</x:v>
      </x:c>
      <x:c r="K1797">
        <x:v>0.9627</x:v>
      </x:c>
      <x:c r="L1797">
        <x:v>-0.96030000000000004</x:v>
      </x:c>
      <x:c r="M1797">
        <x:v>5.7230999999999996</x:v>
      </x:c>
      <x:c r="N1797">
        <x:v>0.95279999999999998</x:v>
      </x:c>
      <x:c r="O1797">
        <x:v>-8.3999999999999995E-3</x:v>
      </x:c>
      <x:c r="T1797" t="str">
        <x:f>""</x:f>
        <x:v/>
      </x:c>
      <x:c r="U1797" t="str">
        <x:f>""</x:f>
        <x:v/>
      </x:c>
      <x:c r="V1797" t="str">
        <x:f>""</x:f>
        <x:v/>
      </x:c>
      <x:c r="W1797" t="str">
        <x:f>""</x:f>
        <x:v/>
      </x:c>
      <x:c r="X1797" t="str">
        <x:f>""</x:f>
        <x:v/>
      </x:c>
      <x:c r="Y1797" t="str">
        <x:f>""</x:f>
        <x:v/>
      </x:c>
      <x:c r="Z1797" t="str">
        <x:f>""</x:f>
        <x:v/>
      </x:c>
      <x:c r="AA1797" t="str">
        <x:f>""</x:f>
        <x:v/>
      </x:c>
      <x:c r="AB1797" t="str">
        <x:f>""</x:f>
        <x:v/>
      </x:c>
      <x:c r="AC1797" t="str">
        <x:f>""</x:f>
        <x:v/>
      </x:c>
      <x:c r="AD1797" t="str">
        <x:f>""</x:f>
        <x:v/>
      </x:c>
      <x:c r="AE1797" t="str">
        <x:f>""</x:f>
        <x:v/>
      </x:c>
      <x:c r="AF1797" t="str">
        <x:f>""</x:f>
        <x:v/>
      </x:c>
      <x:c r="AG1797" t="str">
        <x:f>""</x:f>
        <x:v/>
      </x:c>
    </x:row>
    <x:row r="1798" spans="2:33" x14ac:dyDescent="0.25">
      <x:c r="B1798" t="str">
        <x:f>"KARS US Equity"</x:f>
        <x:v>KARS US Equity</x:v>
      </x:c>
      <x:c r="C1798" t="str">
        <x:f t="shared" si="80"/>
        <x:v>FD447</x:v>
      </x:c>
      <x:c r="D1798" t="str">
        <x:f t="shared" si="81"/>
        <x:v>FUND_FLOW</x:v>
      </x:c>
      <x:c r="E1798" t="str">
        <x:f t="shared" si="82"/>
        <x:v>Dynamic</x:v>
      </x:c>
      <x:c r="F1798">
        <x:f ca="1">_xll.BDH($B$1798,$C$1798,$B$1010,$B$1011,CONCATENATE("Per=",$B$1008),"Dts=H","Dir=H",CONCATENATE("Points=",$B$1009),"Sort=R","Days=A","Fill=B",CONCATENATE("FX=", $B$1007),"cols=14;rows=1")</x:f>
        <x:v>-2.5565000000000002</x:v>
      </x:c>
      <x:c r="G1798">
        <x:v>0</x:v>
      </x:c>
      <x:c r="H1798">
        <x:v>4.4135</x:v>
      </x:c>
      <x:c r="I1798">
        <x:v>0</x:v>
      </x:c>
      <x:c r="J1798">
        <x:v>-6</x:v>
      </x:c>
      <x:c r="K1798">
        <x:v>-2.863</x:v>
      </x:c>
      <x:c r="L1798">
        <x:v>0</x:v>
      </x:c>
      <x:c r="M1798">
        <x:v>-4.43</x:v>
      </x:c>
      <x:c r="N1798">
        <x:v>0</x:v>
      </x:c>
      <x:c r="O1798">
        <x:v>-9.1479999999999997</x:v>
      </x:c>
      <x:c r="P1798">
        <x:v>-6.2130000000000001</x:v>
      </x:c>
      <x:c r="Q1798">
        <x:v>0</x:v>
      </x:c>
      <x:c r="R1798">
        <x:v>-9.0845000000000002</x:v>
      </x:c>
      <x:c r="S1798">
        <x:v>0</x:v>
      </x:c>
      <x:c r="T1798" t="str">
        <x:f>""</x:f>
        <x:v/>
      </x:c>
      <x:c r="U1798" t="str">
        <x:f>""</x:f>
        <x:v/>
      </x:c>
      <x:c r="V1798" t="str">
        <x:f>""</x:f>
        <x:v/>
      </x:c>
      <x:c r="W1798" t="str">
        <x:f>""</x:f>
        <x:v/>
      </x:c>
      <x:c r="X1798" t="str">
        <x:f>""</x:f>
        <x:v/>
      </x:c>
      <x:c r="Y1798" t="str">
        <x:f>""</x:f>
        <x:v/>
      </x:c>
      <x:c r="Z1798" t="str">
        <x:f>""</x:f>
        <x:v/>
      </x:c>
      <x:c r="AA1798" t="str">
        <x:f>""</x:f>
        <x:v/>
      </x:c>
      <x:c r="AB1798" t="str">
        <x:f>""</x:f>
        <x:v/>
      </x:c>
      <x:c r="AC1798" t="str">
        <x:f>""</x:f>
        <x:v/>
      </x:c>
      <x:c r="AD1798" t="str">
        <x:f>""</x:f>
        <x:v/>
      </x:c>
      <x:c r="AE1798" t="str">
        <x:f>""</x:f>
        <x:v/>
      </x:c>
      <x:c r="AF1798" t="str">
        <x:f>""</x:f>
        <x:v/>
      </x:c>
      <x:c r="AG1798" t="str">
        <x:f>""</x:f>
        <x:v/>
      </x:c>
    </x:row>
    <x:row r="1799" spans="2:33" x14ac:dyDescent="0.25">
      <x:c r="B1799" t="str">
        <x:f>"HAIL US Equity"</x:f>
        <x:v>HAIL US Equity</x:v>
      </x:c>
      <x:c r="C1799" t="str">
        <x:f t="shared" si="80"/>
        <x:v>FD447</x:v>
      </x:c>
      <x:c r="D1799" t="str">
        <x:f t="shared" si="81"/>
        <x:v>FUND_FLOW</x:v>
      </x:c>
      <x:c r="E1799" t="str">
        <x:f t="shared" si="82"/>
        <x:v>Dynamic</x:v>
      </x:c>
      <x:c r="F1799">
        <x:f ca="1">_xll.BDH($B$1799,$C$1799,$B$1010,$B$1011,CONCATENATE("Per=",$B$1008),"Dts=H","Dir=H",CONCATENATE("Points=",$B$1009),"Sort=R","Days=A","Fill=B",CONCATENATE("FX=", $B$1007),"cols=14;rows=1")</x:f>
        <x:v>-0.57079999999999997</x:v>
      </x:c>
      <x:c r="G1799">
        <x:v>-0.63249999999999995</x:v>
      </x:c>
      <x:c r="H1799">
        <x:v>-0.96509999999999996</x:v>
      </x:c>
      <x:c r="I1799">
        <x:v>-1.0702</x:v>
      </x:c>
      <x:c r="J1799">
        <x:v>-1.9965999999999999</x:v>
      </x:c>
      <x:c r="K1799">
        <x:v>-0.87290000000000001</x:v>
      </x:c>
      <x:c r="L1799">
        <x:v>-2.0802999999999998</x:v>
      </x:c>
      <x:c r="M1799">
        <x:v>-0.88119999999999998</x:v>
      </x:c>
      <x:c r="N1799">
        <x:v>-0.36009999999999998</x:v>
      </x:c>
      <x:c r="O1799">
        <x:v>-2.5855000000000001</x:v>
      </x:c>
      <x:c r="P1799">
        <x:v>-4.0407999999999999</x:v>
      </x:c>
      <x:c r="Q1799">
        <x:v>-0.69350000000000001</x:v>
      </x:c>
      <x:c r="R1799">
        <x:v>-1.9544999999999999</x:v>
      </x:c>
      <x:c r="S1799">
        <x:v>-1.4000999999999999</x:v>
      </x:c>
      <x:c r="T1799" t="str">
        <x:f>""</x:f>
        <x:v/>
      </x:c>
      <x:c r="U1799" t="str">
        <x:f>""</x:f>
        <x:v/>
      </x:c>
      <x:c r="V1799" t="str">
        <x:f>""</x:f>
        <x:v/>
      </x:c>
      <x:c r="W1799" t="str">
        <x:f>""</x:f>
        <x:v/>
      </x:c>
      <x:c r="X1799" t="str">
        <x:f>""</x:f>
        <x:v/>
      </x:c>
      <x:c r="Y1799" t="str">
        <x:f>""</x:f>
        <x:v/>
      </x:c>
      <x:c r="Z1799" t="str">
        <x:f>""</x:f>
        <x:v/>
      </x:c>
      <x:c r="AA1799" t="str">
        <x:f>""</x:f>
        <x:v/>
      </x:c>
      <x:c r="AB1799" t="str">
        <x:f>""</x:f>
        <x:v/>
      </x:c>
      <x:c r="AC1799" t="str">
        <x:f>""</x:f>
        <x:v/>
      </x:c>
      <x:c r="AD1799" t="str">
        <x:f>""</x:f>
        <x:v/>
      </x:c>
      <x:c r="AE1799" t="str">
        <x:f>""</x:f>
        <x:v/>
      </x:c>
      <x:c r="AF1799" t="str">
        <x:f>""</x:f>
        <x:v/>
      </x:c>
      <x:c r="AG1799" t="str">
        <x:f>""</x:f>
        <x:v/>
      </x:c>
    </x:row>
    <x:row r="1800" spans="2:33" x14ac:dyDescent="0.25">
      <x:c r="B1800" t="str">
        <x:f>"EKAR US Equity"</x:f>
        <x:v>EKAR US Equity</x:v>
      </x:c>
      <x:c r="C1800" t="str">
        <x:f t="shared" si="80"/>
        <x:v>FD447</x:v>
      </x:c>
      <x:c r="D1800" t="str">
        <x:f t="shared" si="81"/>
        <x:v>FUND_FLOW</x:v>
      </x:c>
      <x:c r="E1800" t="str">
        <x:f t="shared" si="82"/>
        <x:v>Dynamic</x:v>
      </x:c>
      <x:c r="F1800" t="str">
        <x:f ca="1">_xll.BDH($B$1800,$C$1800,$B$1010,$B$1011,CONCATENATE("Per=",$B$1008),"Dts=H","Dir=H",CONCATENATE("Points=",$B$1009),"Sort=R","Days=A","Fill=B",CONCATENATE("FX=", $B$1007),"cols=14;rows=1")</x:f>
        <x:v/>
      </x:c>
      <x:c r="O1800">
        <x:v>0</x:v>
      </x:c>
      <x:c r="P1800">
        <x:v>0</x:v>
      </x:c>
      <x:c r="Q1800">
        <x:v>0</x:v>
      </x:c>
      <x:c r="R1800">
        <x:v>0</x:v>
      </x:c>
      <x:c r="S1800">
        <x:v>0</x:v>
      </x:c>
      <x:c r="T1800" t="str">
        <x:f>""</x:f>
        <x:v/>
      </x:c>
      <x:c r="U1800" t="str">
        <x:f>""</x:f>
        <x:v/>
      </x:c>
      <x:c r="V1800" t="str">
        <x:f>""</x:f>
        <x:v/>
      </x:c>
      <x:c r="W1800" t="str">
        <x:f>""</x:f>
        <x:v/>
      </x:c>
      <x:c r="X1800" t="str">
        <x:f>""</x:f>
        <x:v/>
      </x:c>
      <x:c r="Y1800" t="str">
        <x:f>""</x:f>
        <x:v/>
      </x:c>
      <x:c r="Z1800" t="str">
        <x:f>""</x:f>
        <x:v/>
      </x:c>
      <x:c r="AA1800" t="str">
        <x:f>""</x:f>
        <x:v/>
      </x:c>
      <x:c r="AB1800" t="str">
        <x:f>""</x:f>
        <x:v/>
      </x:c>
      <x:c r="AC1800" t="str">
        <x:f>""</x:f>
        <x:v/>
      </x:c>
      <x:c r="AD1800" t="str">
        <x:f>""</x:f>
        <x:v/>
      </x:c>
      <x:c r="AE1800" t="str">
        <x:f>""</x:f>
        <x:v/>
      </x:c>
      <x:c r="AF1800" t="str">
        <x:f>""</x:f>
        <x:v/>
      </x:c>
      <x:c r="AG1800" t="str">
        <x:f>""</x:f>
        <x:v/>
      </x:c>
    </x:row>
    <x:row r="1801" spans="2:33" x14ac:dyDescent="0.25">
      <x:c r="B1801" t="str">
        <x:f>"LIT US Equity"</x:f>
        <x:v>LIT US Equity</x:v>
      </x:c>
      <x:c r="C1801" t="str">
        <x:f t="shared" si="80"/>
        <x:v>FD447</x:v>
      </x:c>
      <x:c r="D1801" t="str">
        <x:f t="shared" si="81"/>
        <x:v>FUND_FLOW</x:v>
      </x:c>
      <x:c r="E1801" t="str">
        <x:f t="shared" si="82"/>
        <x:v>Dynamic</x:v>
      </x:c>
      <x:c r="F1801">
        <x:f ca="1">_xll.BDH($B$1801,$C$1801,$B$1010,$B$1011,CONCATENATE("Per=",$B$1008),"Dts=H","Dir=H",CONCATENATE("Points=",$B$1009),"Sort=R","Days=A","Fill=B",CONCATENATE("FX=", $B$1007),"cols=14;rows=1")</x:f>
        <x:v>-129.70679999999999</x:v>
      </x:c>
      <x:c r="G1801">
        <x:v>-54.565899999999999</x:v>
      </x:c>
      <x:c r="H1801">
        <x:v>-159.18109999999999</x:v>
      </x:c>
      <x:c r="I1801">
        <x:v>-30.7683</x:v>
      </x:c>
      <x:c r="J1801">
        <x:v>-14.430300000000001</x:v>
      </x:c>
      <x:c r="K1801">
        <x:v>-44.758600000000001</x:v>
      </x:c>
      <x:c r="L1801">
        <x:v>-56.972700000000003</x:v>
      </x:c>
      <x:c r="M1801">
        <x:v>-18.294</x:v>
      </x:c>
      <x:c r="N1801">
        <x:v>-23.019600000000001</x:v>
      </x:c>
      <x:c r="O1801">
        <x:v>-76.4161</x:v>
      </x:c>
      <x:c r="P1801">
        <x:v>-161.25049999999999</x:v>
      </x:c>
      <x:c r="Q1801">
        <x:v>-55.129800000000003</x:v>
      </x:c>
      <x:c r="R1801">
        <x:v>-116.6942</x:v>
      </x:c>
      <x:c r="S1801">
        <x:v>-77.977999999999994</x:v>
      </x:c>
      <x:c r="T1801" t="str">
        <x:f>""</x:f>
        <x:v/>
      </x:c>
      <x:c r="U1801" t="str">
        <x:f>""</x:f>
        <x:v/>
      </x:c>
      <x:c r="V1801" t="str">
        <x:f>""</x:f>
        <x:v/>
      </x:c>
      <x:c r="W1801" t="str">
        <x:f>""</x:f>
        <x:v/>
      </x:c>
      <x:c r="X1801" t="str">
        <x:f>""</x:f>
        <x:v/>
      </x:c>
      <x:c r="Y1801" t="str">
        <x:f>""</x:f>
        <x:v/>
      </x:c>
      <x:c r="Z1801" t="str">
        <x:f>""</x:f>
        <x:v/>
      </x:c>
      <x:c r="AA1801" t="str">
        <x:f>""</x:f>
        <x:v/>
      </x:c>
      <x:c r="AB1801" t="str">
        <x:f>""</x:f>
        <x:v/>
      </x:c>
      <x:c r="AC1801" t="str">
        <x:f>""</x:f>
        <x:v/>
      </x:c>
      <x:c r="AD1801" t="str">
        <x:f>""</x:f>
        <x:v/>
      </x:c>
      <x:c r="AE1801" t="str">
        <x:f>""</x:f>
        <x:v/>
      </x:c>
      <x:c r="AF1801" t="str">
        <x:f>""</x:f>
        <x:v/>
      </x:c>
      <x:c r="AG1801" t="str">
        <x:f>""</x:f>
        <x:v/>
      </x:c>
    </x:row>
    <x:row r="1802" spans="2:33" x14ac:dyDescent="0.25">
      <x:c r="B1802" t="str">
        <x:f>"DRIV US Equity"</x:f>
        <x:v>DRIV US Equity</x:v>
      </x:c>
      <x:c r="C1802" t="str">
        <x:f t="shared" si="80"/>
        <x:v>FD447</x:v>
      </x:c>
      <x:c r="D1802" t="str">
        <x:f t="shared" si="81"/>
        <x:v>FUND_FLOW</x:v>
      </x:c>
      <x:c r="E1802" t="str">
        <x:f t="shared" si="82"/>
        <x:v>Dynamic</x:v>
      </x:c>
      <x:c r="F1802">
        <x:f ca="1">_xll.BDH($B$1802,$C$1802,$B$1010,$B$1011,CONCATENATE("Per=",$B$1008),"Dts=H","Dir=H",CONCATENATE("Points=",$B$1009),"Sort=R","Days=A","Fill=B",CONCATENATE("FX=", $B$1007),"cols=14;rows=1")</x:f>
        <x:v>-19.925799999999999</x:v>
      </x:c>
      <x:c r="G1802">
        <x:v>-12.236000000000001</x:v>
      </x:c>
      <x:c r="H1802">
        <x:v>-59.490400000000001</x:v>
      </x:c>
      <x:c r="I1802">
        <x:v>0.56699999999999995</x:v>
      </x:c>
      <x:c r="J1802">
        <x:v>-15.6075</x:v>
      </x:c>
      <x:c r="K1802">
        <x:v>-17.191700000000001</x:v>
      </x:c>
      <x:c r="L1802">
        <x:v>-16.733499999999999</x:v>
      </x:c>
      <x:c r="M1802">
        <x:v>-15.4924</x:v>
      </x:c>
      <x:c r="N1802">
        <x:v>-8.9110999999999994</x:v>
      </x:c>
      <x:c r="O1802">
        <x:v>-9.7608999999999995</x:v>
      </x:c>
      <x:c r="P1802">
        <x:v>-12.291499999999999</x:v>
      </x:c>
      <x:c r="Q1802">
        <x:v>-9.0928000000000004</x:v>
      </x:c>
      <x:c r="R1802">
        <x:v>-30.412700000000001</x:v>
      </x:c>
      <x:c r="S1802">
        <x:v>-5.1265000000000001</x:v>
      </x:c>
      <x:c r="T1802" t="str">
        <x:f>""</x:f>
        <x:v/>
      </x:c>
      <x:c r="U1802" t="str">
        <x:f>""</x:f>
        <x:v/>
      </x:c>
      <x:c r="V1802" t="str">
        <x:f>""</x:f>
        <x:v/>
      </x:c>
      <x:c r="W1802" t="str">
        <x:f>""</x:f>
        <x:v/>
      </x:c>
      <x:c r="X1802" t="str">
        <x:f>""</x:f>
        <x:v/>
      </x:c>
      <x:c r="Y1802" t="str">
        <x:f>""</x:f>
        <x:v/>
      </x:c>
      <x:c r="Z1802" t="str">
        <x:f>""</x:f>
        <x:v/>
      </x:c>
      <x:c r="AA1802" t="str">
        <x:f>""</x:f>
        <x:v/>
      </x:c>
      <x:c r="AB1802" t="str">
        <x:f>""</x:f>
        <x:v/>
      </x:c>
      <x:c r="AC1802" t="str">
        <x:f>""</x:f>
        <x:v/>
      </x:c>
      <x:c r="AD1802" t="str">
        <x:f>""</x:f>
        <x:v/>
      </x:c>
      <x:c r="AE1802" t="str">
        <x:f>""</x:f>
        <x:v/>
      </x:c>
      <x:c r="AF1802" t="str">
        <x:f>""</x:f>
        <x:v/>
      </x:c>
      <x:c r="AG1802" t="str">
        <x:f>""</x:f>
        <x:v/>
      </x:c>
    </x:row>
    <x:row r="1803" spans="2:33" x14ac:dyDescent="0.25">
      <x:c r="B1803" t="str">
        <x:f>"IDRV US Equity"</x:f>
        <x:v>IDRV US Equity</x:v>
      </x:c>
      <x:c r="C1803" t="str">
        <x:f t="shared" si="80"/>
        <x:v>FD447</x:v>
      </x:c>
      <x:c r="D1803" t="str">
        <x:f t="shared" si="81"/>
        <x:v>FUND_FLOW</x:v>
      </x:c>
      <x:c r="E1803" t="str">
        <x:f t="shared" si="82"/>
        <x:v>Dynamic</x:v>
      </x:c>
      <x:c r="F1803">
        <x:f ca="1">_xll.BDH($B$1803,$C$1803,$B$1010,$B$1011,CONCATENATE("Per=",$B$1008),"Dts=H","Dir=H",CONCATENATE("Points=",$B$1009),"Sort=R","Days=A","Fill=B",CONCATENATE("FX=", $B$1007),"cols=14;rows=1")</x:f>
        <x:v>-3.5459999999999998</x:v>
      </x:c>
      <x:c r="G1803">
        <x:v>-7.3129999999999997</x:v>
      </x:c>
      <x:c r="H1803">
        <x:v>-3.9506000000000001</x:v>
      </x:c>
      <x:c r="I1803">
        <x:v>0</x:v>
      </x:c>
      <x:c r="J1803">
        <x:v>-4.0492999999999997</x:v>
      </x:c>
      <x:c r="K1803">
        <x:v>-3.7113</x:v>
      </x:c>
      <x:c r="L1803">
        <x:v>0</x:v>
      </x:c>
      <x:c r="M1803">
        <x:v>-3.6215000000000002</x:v>
      </x:c>
      <x:c r="N1803">
        <x:v>0</x:v>
      </x:c>
      <x:c r="O1803">
        <x:v>-3.4009</x:v>
      </x:c>
      <x:c r="P1803">
        <x:v>-18.393699999999999</x:v>
      </x:c>
      <x:c r="Q1803">
        <x:v>-3.6617000000000002</x:v>
      </x:c>
      <x:c r="R1803">
        <x:v>0</x:v>
      </x:c>
      <x:c r="S1803">
        <x:v>3.6173999999999999</x:v>
      </x:c>
      <x:c r="T1803" t="str">
        <x:f>""</x:f>
        <x:v/>
      </x:c>
      <x:c r="U1803" t="str">
        <x:f>""</x:f>
        <x:v/>
      </x:c>
      <x:c r="V1803" t="str">
        <x:f>""</x:f>
        <x:v/>
      </x:c>
      <x:c r="W1803" t="str">
        <x:f>""</x:f>
        <x:v/>
      </x:c>
      <x:c r="X1803" t="str">
        <x:f>""</x:f>
        <x:v/>
      </x:c>
      <x:c r="Y1803" t="str">
        <x:f>""</x:f>
        <x:v/>
      </x:c>
      <x:c r="Z1803" t="str">
        <x:f>""</x:f>
        <x:v/>
      </x:c>
      <x:c r="AA1803" t="str">
        <x:f>""</x:f>
        <x:v/>
      </x:c>
      <x:c r="AB1803" t="str">
        <x:f>""</x:f>
        <x:v/>
      </x:c>
      <x:c r="AC1803" t="str">
        <x:f>""</x:f>
        <x:v/>
      </x:c>
      <x:c r="AD1803" t="str">
        <x:f>""</x:f>
        <x:v/>
      </x:c>
      <x:c r="AE1803" t="str">
        <x:f>""</x:f>
        <x:v/>
      </x:c>
      <x:c r="AF1803" t="str">
        <x:f>""</x:f>
        <x:v/>
      </x:c>
      <x:c r="AG1803" t="str">
        <x:f>""</x:f>
        <x:v/>
      </x:c>
    </x:row>
    <x:row r="1804" spans="2:33" x14ac:dyDescent="0.25">
      <x:c r="B1804" t="str">
        <x:f>"MOTO US Equity"</x:f>
        <x:v>MOTO US Equity</x:v>
      </x:c>
      <x:c r="C1804" t="str">
        <x:f t="shared" si="80"/>
        <x:v>FD447</x:v>
      </x:c>
      <x:c r="D1804" t="str">
        <x:f t="shared" si="81"/>
        <x:v>FUND_FLOW</x:v>
      </x:c>
      <x:c r="E1804" t="str">
        <x:f t="shared" si="82"/>
        <x:v>Dynamic</x:v>
      </x:c>
      <x:c r="F1804">
        <x:f ca="1">_xll.BDH($B$1804,$C$1804,$B$1010,$B$1011,CONCATENATE("Per=",$B$1008),"Dts=H","Dir=H",CONCATENATE("Points=",$B$1009),"Sort=R","Days=A","Fill=B",CONCATENATE("FX=", $B$1007),"cols=14;rows=1")</x:f>
        <x:v>0</x:v>
      </x:c>
      <x:c r="G1804">
        <x:v>0</x:v>
      </x:c>
      <x:c r="H1804">
        <x:v>1.0276000000000001</x:v>
      </x:c>
      <x:c r="I1804">
        <x:v>0</x:v>
      </x:c>
      <x:c r="J1804">
        <x:v>0</x:v>
      </x:c>
      <x:c r="K1804">
        <x:v>0</x:v>
      </x:c>
      <x:c r="L1804">
        <x:v>0.96430000000000005</x:v>
      </x:c>
      <x:c r="M1804">
        <x:v>0</x:v>
      </x:c>
      <x:c r="N1804">
        <x:v>0</x:v>
      </x:c>
      <x:c r="O1804">
        <x:v>-0.89910000000000001</x:v>
      </x:c>
      <x:c r="P1804">
        <x:v>0</x:v>
      </x:c>
      <x:c r="Q1804">
        <x:v>0</x:v>
      </x:c>
      <x:c r="R1804">
        <x:v>0</x:v>
      </x:c>
      <x:c r="S1804">
        <x:v>0</x:v>
      </x:c>
      <x:c r="T1804" t="str">
        <x:f>""</x:f>
        <x:v/>
      </x:c>
      <x:c r="U1804" t="str">
        <x:f>""</x:f>
        <x:v/>
      </x:c>
      <x:c r="V1804" t="str">
        <x:f>""</x:f>
        <x:v/>
      </x:c>
      <x:c r="W1804" t="str">
        <x:f>""</x:f>
        <x:v/>
      </x:c>
      <x:c r="X1804" t="str">
        <x:f>""</x:f>
        <x:v/>
      </x:c>
      <x:c r="Y1804" t="str">
        <x:f>""</x:f>
        <x:v/>
      </x:c>
      <x:c r="Z1804" t="str">
        <x:f>""</x:f>
        <x:v/>
      </x:c>
      <x:c r="AA1804" t="str">
        <x:f>""</x:f>
        <x:v/>
      </x:c>
      <x:c r="AB1804" t="str">
        <x:f>""</x:f>
        <x:v/>
      </x:c>
      <x:c r="AC1804" t="str">
        <x:f>""</x:f>
        <x:v/>
      </x:c>
      <x:c r="AD1804" t="str">
        <x:f>""</x:f>
        <x:v/>
      </x:c>
      <x:c r="AE1804" t="str">
        <x:f>""</x:f>
        <x:v/>
      </x:c>
      <x:c r="AF1804" t="str">
        <x:f>""</x:f>
        <x:v/>
      </x:c>
      <x:c r="AG1804" t="str">
        <x:f>""</x:f>
        <x:v/>
      </x:c>
    </x:row>
    <x:row r="1805" spans="2:33" x14ac:dyDescent="0.25">
      <x:c r="B1805" t="str">
        <x:f>"VCAR US Equity"</x:f>
        <x:v>VCAR US Equity</x:v>
      </x:c>
      <x:c r="C1805" t="str">
        <x:f t="shared" si="80"/>
        <x:v>FD447</x:v>
      </x:c>
      <x:c r="D1805" t="str">
        <x:f t="shared" si="81"/>
        <x:v>FUND_FLOW</x:v>
      </x:c>
      <x:c r="E1805" t="str">
        <x:f t="shared" si="82"/>
        <x:v>Dynamic</x:v>
      </x:c>
      <x:c r="F1805">
        <x:f ca="1">_xll.BDH($B$1805,$C$1805,$B$1010,$B$1011,CONCATENATE("Per=",$B$1008),"Dts=H","Dir=H",CONCATENATE("Points=",$B$1009),"Sort=R","Days=A","Fill=B",CONCATENATE("FX=", $B$1007),"cols=14;rows=1")</x:f>
        <x:v>0</x:v>
      </x:c>
      <x:c r="G1805">
        <x:v>0</x:v>
      </x:c>
      <x:c r="H1805">
        <x:v>0</x:v>
      </x:c>
      <x:c r="I1805">
        <x:v>0</x:v>
      </x:c>
      <x:c r="J1805">
        <x:v>0.4657</x:v>
      </x:c>
      <x:c r="K1805">
        <x:v>0</x:v>
      </x:c>
      <x:c r="L1805">
        <x:v>0</x:v>
      </x:c>
      <x:c r="M1805">
        <x:v>-3.2000000000000002E-3</x:v>
      </x:c>
      <x:c r="N1805">
        <x:v>0</x:v>
      </x:c>
      <x:c r="O1805">
        <x:v>0</x:v>
      </x:c>
      <x:c r="P1805">
        <x:v>0</x:v>
      </x:c>
      <x:c r="Q1805">
        <x:v>-0.18179999999999999</x:v>
      </x:c>
      <x:c r="R1805">
        <x:v>0</x:v>
      </x:c>
      <x:c r="S1805">
        <x:v>-0.2157</x:v>
      </x:c>
      <x:c r="T1805" t="str">
        <x:f>""</x:f>
        <x:v/>
      </x:c>
      <x:c r="U1805" t="str">
        <x:f>""</x:f>
        <x:v/>
      </x:c>
      <x:c r="V1805" t="str">
        <x:f>""</x:f>
        <x:v/>
      </x:c>
      <x:c r="W1805" t="str">
        <x:f>""</x:f>
        <x:v/>
      </x:c>
      <x:c r="X1805" t="str">
        <x:f>""</x:f>
        <x:v/>
      </x:c>
      <x:c r="Y1805" t="str">
        <x:f>""</x:f>
        <x:v/>
      </x:c>
      <x:c r="Z1805" t="str">
        <x:f>""</x:f>
        <x:v/>
      </x:c>
      <x:c r="AA1805" t="str">
        <x:f>""</x:f>
        <x:v/>
      </x:c>
      <x:c r="AB1805" t="str">
        <x:f>""</x:f>
        <x:v/>
      </x:c>
      <x:c r="AC1805" t="str">
        <x:f>""</x:f>
        <x:v/>
      </x:c>
      <x:c r="AD1805" t="str">
        <x:f>""</x:f>
        <x:v/>
      </x:c>
      <x:c r="AE1805" t="str">
        <x:f>""</x:f>
        <x:v/>
      </x:c>
      <x:c r="AF1805" t="str">
        <x:f>""</x:f>
        <x:v/>
      </x:c>
      <x:c r="AG1805" t="str">
        <x:f>""</x:f>
        <x:v/>
      </x:c>
    </x:row>
    <x:row r="1806" spans="2:33" x14ac:dyDescent="0.25">
      <x:c r="B1806" t="str">
        <x:f>"WBAT US Equity"</x:f>
        <x:v>WBAT US Equity</x:v>
      </x:c>
      <x:c r="C1806" t="str">
        <x:f t="shared" si="80"/>
        <x:v>FD447</x:v>
      </x:c>
      <x:c r="D1806" t="str">
        <x:f t="shared" si="81"/>
        <x:v>FUND_FLOW</x:v>
      </x:c>
      <x:c r="E1806" t="str">
        <x:f t="shared" si="82"/>
        <x:v>Dynamic</x:v>
      </x:c>
      <x:c r="F1806">
        <x:f ca="1">_xll.BDH($B$1806,$C$1806,$B$1010,$B$1011,CONCATENATE("Per=",$B$1008),"Dts=H","Dir=H",CONCATENATE("Points=",$B$1009),"Sort=R","Days=A","Fill=B",CONCATENATE("FX=", $B$1007),"cols=14;rows=1")</x:f>
        <x:v>0</x:v>
      </x:c>
      <x:c r="G1806">
        <x:v>0</x:v>
      </x:c>
      <x:c r="H1806">
        <x:v>0</x:v>
      </x:c>
      <x:c r="I1806">
        <x:v>0</x:v>
      </x:c>
      <x:c r="J1806">
        <x:v>0</x:v>
      </x:c>
      <x:c r="K1806">
        <x:v>0</x:v>
      </x:c>
      <x:c r="L1806">
        <x:v>0</x:v>
      </x:c>
      <x:c r="M1806">
        <x:v>0</x:v>
      </x:c>
      <x:c r="N1806">
        <x:v>0</x:v>
      </x:c>
      <x:c r="O1806">
        <x:v>0</x:v>
      </x:c>
      <x:c r="P1806">
        <x:v>0</x:v>
      </x:c>
      <x:c r="Q1806">
        <x:v>0</x:v>
      </x:c>
      <x:c r="R1806">
        <x:v>0</x:v>
      </x:c>
      <x:c r="S1806">
        <x:v>0</x:v>
      </x:c>
      <x:c r="T1806" t="str">
        <x:f>""</x:f>
        <x:v/>
      </x:c>
      <x:c r="U1806" t="str">
        <x:f>""</x:f>
        <x:v/>
      </x:c>
      <x:c r="V1806" t="str">
        <x:f>""</x:f>
        <x:v/>
      </x:c>
      <x:c r="W1806" t="str">
        <x:f>""</x:f>
        <x:v/>
      </x:c>
      <x:c r="X1806" t="str">
        <x:f>""</x:f>
        <x:v/>
      </x:c>
      <x:c r="Y1806" t="str">
        <x:f>""</x:f>
        <x:v/>
      </x:c>
      <x:c r="Z1806" t="str">
        <x:f>""</x:f>
        <x:v/>
      </x:c>
      <x:c r="AA1806" t="str">
        <x:f>""</x:f>
        <x:v/>
      </x:c>
      <x:c r="AB1806" t="str">
        <x:f>""</x:f>
        <x:v/>
      </x:c>
      <x:c r="AC1806" t="str">
        <x:f>""</x:f>
        <x:v/>
      </x:c>
      <x:c r="AD1806" t="str">
        <x:f>""</x:f>
        <x:v/>
      </x:c>
      <x:c r="AE1806" t="str">
        <x:f>""</x:f>
        <x:v/>
      </x:c>
      <x:c r="AF1806" t="str">
        <x:f>""</x:f>
        <x:v/>
      </x:c>
      <x:c r="AG1806" t="str">
        <x:f>""</x:f>
        <x:v/>
      </x:c>
    </x:row>
    <x:row r="1807" spans="2:33" x14ac:dyDescent="0.25">
      <x:c r="B1807" t="str">
        <x:f>"FDRV US Equity"</x:f>
        <x:v>FDRV US Equity</x:v>
      </x:c>
      <x:c r="C1807" t="str">
        <x:f t="shared" si="80"/>
        <x:v>FD447</x:v>
      </x:c>
      <x:c r="D1807" t="str">
        <x:f t="shared" si="81"/>
        <x:v>FUND_FLOW</x:v>
      </x:c>
      <x:c r="E1807" t="str">
        <x:f t="shared" si="82"/>
        <x:v>Dynamic</x:v>
      </x:c>
      <x:c r="F1807">
        <x:f ca="1">_xll.BDH($B$1807,$C$1807,$B$1010,$B$1011,CONCATENATE("Per=",$B$1008),"Dts=H","Dir=H",CONCATENATE("Points=",$B$1009),"Sort=R","Days=A","Fill=B",CONCATENATE("FX=", $B$1007),"cols=14;rows=1")</x:f>
        <x:v>0</x:v>
      </x:c>
      <x:c r="G1807">
        <x:v>0</x:v>
      </x:c>
      <x:c r="H1807">
        <x:v>1.0059</x:v>
      </x:c>
      <x:c r="I1807">
        <x:v>0</x:v>
      </x:c>
      <x:c r="J1807">
        <x:v>0</x:v>
      </x:c>
      <x:c r="K1807">
        <x:v>0</x:v>
      </x:c>
      <x:c r="L1807">
        <x:v>0.87409999999999999</x:v>
      </x:c>
      <x:c r="M1807">
        <x:v>0</x:v>
      </x:c>
      <x:c r="N1807">
        <x:v>3.7930000000000001</x:v>
      </x:c>
      <x:c r="O1807">
        <x:v>0</x:v>
      </x:c>
      <x:c r="P1807">
        <x:v>0</x:v>
      </x:c>
      <x:c r="Q1807">
        <x:v>1.5623</x:v>
      </x:c>
      <x:c r="R1807">
        <x:v>0.7994</x:v>
      </x:c>
      <x:c r="S1807">
        <x:v>1.7081999999999999</x:v>
      </x:c>
      <x:c r="T1807" t="str">
        <x:f>""</x:f>
        <x:v/>
      </x:c>
      <x:c r="U1807" t="str">
        <x:f>""</x:f>
        <x:v/>
      </x:c>
      <x:c r="V1807" t="str">
        <x:f>""</x:f>
        <x:v/>
      </x:c>
      <x:c r="W1807" t="str">
        <x:f>""</x:f>
        <x:v/>
      </x:c>
      <x:c r="X1807" t="str">
        <x:f>""</x:f>
        <x:v/>
      </x:c>
      <x:c r="Y1807" t="str">
        <x:f>""</x:f>
        <x:v/>
      </x:c>
      <x:c r="Z1807" t="str">
        <x:f>""</x:f>
        <x:v/>
      </x:c>
      <x:c r="AA1807" t="str">
        <x:f>""</x:f>
        <x:v/>
      </x:c>
      <x:c r="AB1807" t="str">
        <x:f>""</x:f>
        <x:v/>
      </x:c>
      <x:c r="AC1807" t="str">
        <x:f>""</x:f>
        <x:v/>
      </x:c>
      <x:c r="AD1807" t="str">
        <x:f>""</x:f>
        <x:v/>
      </x:c>
      <x:c r="AE1807" t="str">
        <x:f>""</x:f>
        <x:v/>
      </x:c>
      <x:c r="AF1807" t="str">
        <x:f>""</x:f>
        <x:v/>
      </x:c>
      <x:c r="AG1807" t="str">
        <x:f>""</x:f>
        <x:v/>
      </x:c>
    </x:row>
    <x:row r="1808" spans="2:33" x14ac:dyDescent="0.25">
      <x:c r="B1808" t="str">
        <x:f>"BATT US Equity"</x:f>
        <x:v>BATT US Equity</x:v>
      </x:c>
      <x:c r="C1808" t="str">
        <x:f t="shared" si="80"/>
        <x:v>FD447</x:v>
      </x:c>
      <x:c r="D1808" t="str">
        <x:f t="shared" si="81"/>
        <x:v>FUND_FLOW</x:v>
      </x:c>
      <x:c r="E1808" t="str">
        <x:f t="shared" si="82"/>
        <x:v>Dynamic</x:v>
      </x:c>
      <x:c r="F1808">
        <x:f ca="1">_xll.BDH($B$1808,$C$1808,$B$1010,$B$1011,CONCATENATE("Per=",$B$1008),"Dts=H","Dir=H",CONCATENATE("Points=",$B$1009),"Sort=R","Days=A","Fill=B",CONCATENATE("FX=", $B$1007),"cols=14;rows=1")</x:f>
        <x:v>-1.1074999999999999</x:v>
      </x:c>
      <x:c r="G1808">
        <x:v>-1.7339</x:v>
      </x:c>
      <x:c r="H1808">
        <x:v>0</x:v>
      </x:c>
      <x:c r="I1808">
        <x:v>-2.1343000000000001</x:v>
      </x:c>
      <x:c r="J1808">
        <x:v>-3.1810999999999998</x:v>
      </x:c>
      <x:c r="K1808">
        <x:v>-6.7922000000000002</x:v>
      </x:c>
      <x:c r="L1808">
        <x:v>0</x:v>
      </x:c>
      <x:c r="M1808">
        <x:v>-1.2060999999999999</x:v>
      </x:c>
      <x:c r="N1808">
        <x:v>2.0548000000000002</x:v>
      </x:c>
      <x:c r="O1808">
        <x:v>0</x:v>
      </x:c>
      <x:c r="P1808">
        <x:v>-3.3159999999999998</x:v>
      </x:c>
      <x:c r="Q1808">
        <x:v>-0.65100000000000002</x:v>
      </x:c>
      <x:c r="R1808">
        <x:v>-3.202</x:v>
      </x:c>
      <x:c r="S1808">
        <x:v>8.2600000000000007E-2</x:v>
      </x:c>
      <x:c r="T1808" t="str">
        <x:f>""</x:f>
        <x:v/>
      </x:c>
      <x:c r="U1808" t="str">
        <x:f>""</x:f>
        <x:v/>
      </x:c>
      <x:c r="V1808" t="str">
        <x:f>""</x:f>
        <x:v/>
      </x:c>
      <x:c r="W1808" t="str">
        <x:f>""</x:f>
        <x:v/>
      </x:c>
      <x:c r="X1808" t="str">
        <x:f>""</x:f>
        <x:v/>
      </x:c>
      <x:c r="Y1808" t="str">
        <x:f>""</x:f>
        <x:v/>
      </x:c>
      <x:c r="Z1808" t="str">
        <x:f>""</x:f>
        <x:v/>
      </x:c>
      <x:c r="AA1808" t="str">
        <x:f>""</x:f>
        <x:v/>
      </x:c>
      <x:c r="AB1808" t="str">
        <x:f>""</x:f>
        <x:v/>
      </x:c>
      <x:c r="AC1808" t="str">
        <x:f>""</x:f>
        <x:v/>
      </x:c>
      <x:c r="AD1808" t="str">
        <x:f>""</x:f>
        <x:v/>
      </x:c>
      <x:c r="AE1808" t="str">
        <x:f>""</x:f>
        <x:v/>
      </x:c>
      <x:c r="AF1808" t="str">
        <x:f>""</x:f>
        <x:v/>
      </x:c>
      <x:c r="AG1808" t="str">
        <x:f>""</x:f>
        <x:v/>
      </x:c>
    </x:row>
    <x:row r="1809" spans="2:33" x14ac:dyDescent="0.25">
      <x:c r="B1809" t="str">
        <x:f>"MJ US Equity"</x:f>
        <x:v>MJ US Equity</x:v>
      </x:c>
      <x:c r="C1809" t="str">
        <x:f t="shared" si="80"/>
        <x:v>FD447</x:v>
      </x:c>
      <x:c r="D1809" t="str">
        <x:f t="shared" si="81"/>
        <x:v>FUND_FLOW</x:v>
      </x:c>
      <x:c r="E1809" t="str">
        <x:f t="shared" si="82"/>
        <x:v>Dynamic</x:v>
      </x:c>
      <x:c r="F1809">
        <x:f ca="1">_xll.BDH($B$1809,$C$1809,$B$1010,$B$1011,CONCATENATE("Per=",$B$1008),"Dts=H","Dir=H",CONCATENATE("Points=",$B$1009),"Sort=R","Days=A","Fill=B",CONCATENATE("FX=", $B$1007),"cols=14;rows=1")</x:f>
        <x:v>-6.8392999999999997</x:v>
      </x:c>
      <x:c r="G1809">
        <x:v>0</x:v>
      </x:c>
      <x:c r="H1809">
        <x:v>2.7334999999999998</x:v>
      </x:c>
      <x:c r="I1809">
        <x:v>0</x:v>
      </x:c>
      <x:c r="J1809">
        <x:v>1.5253000000000001</x:v>
      </x:c>
      <x:c r="K1809">
        <x:v>2.1040000000000001</x:v>
      </x:c>
      <x:c r="L1809">
        <x:v>0</x:v>
      </x:c>
      <x:c r="M1809">
        <x:v>0</x:v>
      </x:c>
      <x:c r="N1809">
        <x:v>-3.4670999999999998</x:v>
      </x:c>
      <x:c r="O1809">
        <x:v>-4.0707000000000004</x:v>
      </x:c>
      <x:c r="P1809">
        <x:v>-2.7305000000000001</x:v>
      </x:c>
      <x:c r="Q1809">
        <x:v>0</x:v>
      </x:c>
      <x:c r="R1809">
        <x:v>6.6322999999999999</x:v>
      </x:c>
      <x:c r="S1809">
        <x:v>3.2576999999999998</x:v>
      </x:c>
      <x:c r="T1809" t="str">
        <x:f>""</x:f>
        <x:v/>
      </x:c>
      <x:c r="U1809" t="str">
        <x:f>""</x:f>
        <x:v/>
      </x:c>
      <x:c r="V1809" t="str">
        <x:f>""</x:f>
        <x:v/>
      </x:c>
      <x:c r="W1809" t="str">
        <x:f>""</x:f>
        <x:v/>
      </x:c>
      <x:c r="X1809" t="str">
        <x:f>""</x:f>
        <x:v/>
      </x:c>
      <x:c r="Y1809" t="str">
        <x:f>""</x:f>
        <x:v/>
      </x:c>
      <x:c r="Z1809" t="str">
        <x:f>""</x:f>
        <x:v/>
      </x:c>
      <x:c r="AA1809" t="str">
        <x:f>""</x:f>
        <x:v/>
      </x:c>
      <x:c r="AB1809" t="str">
        <x:f>""</x:f>
        <x:v/>
      </x:c>
      <x:c r="AC1809" t="str">
        <x:f>""</x:f>
        <x:v/>
      </x:c>
      <x:c r="AD1809" t="str">
        <x:f>""</x:f>
        <x:v/>
      </x:c>
      <x:c r="AE1809" t="str">
        <x:f>""</x:f>
        <x:v/>
      </x:c>
      <x:c r="AF1809" t="str">
        <x:f>""</x:f>
        <x:v/>
      </x:c>
      <x:c r="AG1809" t="str">
        <x:f>""</x:f>
        <x:v/>
      </x:c>
    </x:row>
    <x:row r="1810" spans="2:33" x14ac:dyDescent="0.25">
      <x:c r="B1810" t="str">
        <x:f>"YOLO US Equity"</x:f>
        <x:v>YOLO US Equity</x:v>
      </x:c>
      <x:c r="C1810" t="str">
        <x:f t="shared" si="80"/>
        <x:v>FD447</x:v>
      </x:c>
      <x:c r="D1810" t="str">
        <x:f t="shared" si="81"/>
        <x:v>FUND_FLOW</x:v>
      </x:c>
      <x:c r="E1810" t="str">
        <x:f t="shared" si="82"/>
        <x:v>Dynamic</x:v>
      </x:c>
      <x:c r="F1810">
        <x:f ca="1">_xll.BDH($B$1810,$C$1810,$B$1010,$B$1011,CONCATENATE("Per=",$B$1008),"Dts=H","Dir=H",CONCATENATE("Points=",$B$1009),"Sort=R","Days=A","Fill=B",CONCATENATE("FX=", $B$1007),"cols=14;rows=1")</x:f>
        <x:v>0</x:v>
      </x:c>
      <x:c r="G1810">
        <x:v>0</x:v>
      </x:c>
      <x:c r="H1810">
        <x:v>-0.38629999999999998</x:v>
      </x:c>
      <x:c r="I1810">
        <x:v>0</x:v>
      </x:c>
      <x:c r="J1810">
        <x:v>0</x:v>
      </x:c>
      <x:c r="K1810">
        <x:v>0</x:v>
      </x:c>
      <x:c r="L1810">
        <x:v>0</x:v>
      </x:c>
      <x:c r="M1810">
        <x:v>-1.2170000000000001</x:v>
      </x:c>
      <x:c r="N1810">
        <x:v>-0.63039999999999996</x:v>
      </x:c>
      <x:c r="O1810">
        <x:v>0</x:v>
      </x:c>
      <x:c r="P1810">
        <x:v>0</x:v>
      </x:c>
      <x:c r="Q1810">
        <x:v>0</x:v>
      </x:c>
      <x:c r="R1810">
        <x:v>0</x:v>
      </x:c>
      <x:c r="S1810">
        <x:v>0</x:v>
      </x:c>
      <x:c r="T1810" t="str">
        <x:f>""</x:f>
        <x:v/>
      </x:c>
      <x:c r="U1810" t="str">
        <x:f>""</x:f>
        <x:v/>
      </x:c>
      <x:c r="V1810" t="str">
        <x:f>""</x:f>
        <x:v/>
      </x:c>
      <x:c r="W1810" t="str">
        <x:f>""</x:f>
        <x:v/>
      </x:c>
      <x:c r="X1810" t="str">
        <x:f>""</x:f>
        <x:v/>
      </x:c>
      <x:c r="Y1810" t="str">
        <x:f>""</x:f>
        <x:v/>
      </x:c>
      <x:c r="Z1810" t="str">
        <x:f>""</x:f>
        <x:v/>
      </x:c>
      <x:c r="AA1810" t="str">
        <x:f>""</x:f>
        <x:v/>
      </x:c>
      <x:c r="AB1810" t="str">
        <x:f>""</x:f>
        <x:v/>
      </x:c>
      <x:c r="AC1810" t="str">
        <x:f>""</x:f>
        <x:v/>
      </x:c>
      <x:c r="AD1810" t="str">
        <x:f>""</x:f>
        <x:v/>
      </x:c>
      <x:c r="AE1810" t="str">
        <x:f>""</x:f>
        <x:v/>
      </x:c>
      <x:c r="AF1810" t="str">
        <x:f>""</x:f>
        <x:v/>
      </x:c>
      <x:c r="AG1810" t="str">
        <x:f>""</x:f>
        <x:v/>
      </x:c>
    </x:row>
    <x:row r="1811" spans="2:33" x14ac:dyDescent="0.25">
      <x:c r="B1811" t="str">
        <x:f>"MJO US Equity"</x:f>
        <x:v>MJO US Equity</x:v>
      </x:c>
      <x:c r="C1811" t="str">
        <x:f t="shared" si="80"/>
        <x:v>FD447</x:v>
      </x:c>
      <x:c r="D1811" t="str">
        <x:f t="shared" si="81"/>
        <x:v>FUND_FLOW</x:v>
      </x:c>
      <x:c r="E1811" t="str">
        <x:f t="shared" si="82"/>
        <x:v>Dynamic</x:v>
      </x:c>
      <x:c r="F1811" t="str">
        <x:f ca="1">_xll.BDH($B$1811,$C$1811,$B$1010,$B$1011,CONCATENATE("Per=",$B$1008),"Dts=H","Dir=H",CONCATENATE("Points=",$B$1009),"Sort=R","Days=A","Fill=B",CONCATENATE("FX=", $B$1007) )</x:f>
        <x:v/>
      </x:c>
      <x:c r="T1811" t="str">
        <x:f>""</x:f>
        <x:v/>
      </x:c>
      <x:c r="U1811" t="str">
        <x:f>""</x:f>
        <x:v/>
      </x:c>
      <x:c r="V1811" t="str">
        <x:f>""</x:f>
        <x:v/>
      </x:c>
      <x:c r="W1811" t="str">
        <x:f>""</x:f>
        <x:v/>
      </x:c>
      <x:c r="X1811" t="str">
        <x:f>""</x:f>
        <x:v/>
      </x:c>
      <x:c r="Y1811" t="str">
        <x:f>""</x:f>
        <x:v/>
      </x:c>
      <x:c r="Z1811" t="str">
        <x:f>""</x:f>
        <x:v/>
      </x:c>
      <x:c r="AA1811" t="str">
        <x:f>""</x:f>
        <x:v/>
      </x:c>
      <x:c r="AB1811" t="str">
        <x:f>""</x:f>
        <x:v/>
      </x:c>
      <x:c r="AC1811" t="str">
        <x:f>""</x:f>
        <x:v/>
      </x:c>
      <x:c r="AD1811" t="str">
        <x:f>""</x:f>
        <x:v/>
      </x:c>
      <x:c r="AE1811" t="str">
        <x:f>""</x:f>
        <x:v/>
      </x:c>
      <x:c r="AF1811" t="str">
        <x:f>""</x:f>
        <x:v/>
      </x:c>
      <x:c r="AG1811" t="str">
        <x:f>""</x:f>
        <x:v/>
      </x:c>
    </x:row>
    <x:row r="1812" spans="2:33" x14ac:dyDescent="0.25">
      <x:c r="B1812" t="str">
        <x:f>"MJJ US Equity"</x:f>
        <x:v>MJJ US Equity</x:v>
      </x:c>
      <x:c r="C1812" t="str">
        <x:f t="shared" si="80"/>
        <x:v>FD447</x:v>
      </x:c>
      <x:c r="D1812" t="str">
        <x:f t="shared" si="81"/>
        <x:v>FUND_FLOW</x:v>
      </x:c>
      <x:c r="E1812" t="str">
        <x:f t="shared" si="82"/>
        <x:v>Dynamic</x:v>
      </x:c>
      <x:c r="F1812" t="str">
        <x:f ca="1">_xll.BDH($B$1812,$C$1812,$B$1010,$B$1011,CONCATENATE("Per=",$B$1008),"Dts=H","Dir=H",CONCATENATE("Points=",$B$1009),"Sort=R","Days=A","Fill=B",CONCATENATE("FX=", $B$1007) )</x:f>
        <x:v/>
      </x:c>
      <x:c r="T1812" t="str">
        <x:f>""</x:f>
        <x:v/>
      </x:c>
      <x:c r="U1812" t="str">
        <x:f>""</x:f>
        <x:v/>
      </x:c>
      <x:c r="V1812" t="str">
        <x:f>""</x:f>
        <x:v/>
      </x:c>
      <x:c r="W1812" t="str">
        <x:f>""</x:f>
        <x:v/>
      </x:c>
      <x:c r="X1812" t="str">
        <x:f>""</x:f>
        <x:v/>
      </x:c>
      <x:c r="Y1812" t="str">
        <x:f>""</x:f>
        <x:v/>
      </x:c>
      <x:c r="Z1812" t="str">
        <x:f>""</x:f>
        <x:v/>
      </x:c>
      <x:c r="AA1812" t="str">
        <x:f>""</x:f>
        <x:v/>
      </x:c>
      <x:c r="AB1812" t="str">
        <x:f>""</x:f>
        <x:v/>
      </x:c>
      <x:c r="AC1812" t="str">
        <x:f>""</x:f>
        <x:v/>
      </x:c>
      <x:c r="AD1812" t="str">
        <x:f>""</x:f>
        <x:v/>
      </x:c>
      <x:c r="AE1812" t="str">
        <x:f>""</x:f>
        <x:v/>
      </x:c>
      <x:c r="AF1812" t="str">
        <x:f>""</x:f>
        <x:v/>
      </x:c>
      <x:c r="AG1812" t="str">
        <x:f>""</x:f>
        <x:v/>
      </x:c>
    </x:row>
    <x:row r="1813" spans="2:33" x14ac:dyDescent="0.25">
      <x:c r="B1813" t="str">
        <x:f>"POTX US Equity"</x:f>
        <x:v>POTX US Equity</x:v>
      </x:c>
      <x:c r="C1813" t="str">
        <x:f t="shared" si="80"/>
        <x:v>FD447</x:v>
      </x:c>
      <x:c r="D1813" t="str">
        <x:f t="shared" si="81"/>
        <x:v>FUND_FLOW</x:v>
      </x:c>
      <x:c r="E1813" t="str">
        <x:f t="shared" si="82"/>
        <x:v>Dynamic</x:v>
      </x:c>
      <x:c r="F1813">
        <x:f ca="1">_xll.BDH($B$1813,$C$1813,$B$1010,$B$1011,CONCATENATE("Per=",$B$1008),"Dts=H","Dir=H",CONCATENATE("Points=",$B$1009),"Sort=R","Days=A","Fill=B",CONCATENATE("FX=", $B$1007),"cols=14;rows=1")</x:f>
        <x:v>0</x:v>
      </x:c>
      <x:c r="G1813">
        <x:v>2.9817</x:v>
      </x:c>
      <x:c r="H1813">
        <x:v>0.69079999999999997</x:v>
      </x:c>
      <x:c r="I1813">
        <x:v>0.32600000000000001</x:v>
      </x:c>
      <x:c r="J1813">
        <x:v>2.9504999999999999</x:v>
      </x:c>
      <x:c r="K1813">
        <x:v>0</x:v>
      </x:c>
      <x:c r="L1813">
        <x:v>-0.35120000000000001</x:v>
      </x:c>
      <x:c r="M1813">
        <x:v>0</x:v>
      </x:c>
      <x:c r="N1813">
        <x:v>3.0234000000000001</x:v>
      </x:c>
      <x:c r="O1813">
        <x:v>4.3905000000000003</x:v>
      </x:c>
      <x:c r="P1813">
        <x:v>0</x:v>
      </x:c>
      <x:c r="Q1813">
        <x:v>1.196</x:v>
      </x:c>
      <x:c r="R1813">
        <x:v>1.6763999999999999</x:v>
      </x:c>
      <x:c r="S1813">
        <x:v>6.9490999999999996</x:v>
      </x:c>
      <x:c r="T1813" t="str">
        <x:f>""</x:f>
        <x:v/>
      </x:c>
      <x:c r="U1813" t="str">
        <x:f>""</x:f>
        <x:v/>
      </x:c>
      <x:c r="V1813" t="str">
        <x:f>""</x:f>
        <x:v/>
      </x:c>
      <x:c r="W1813" t="str">
        <x:f>""</x:f>
        <x:v/>
      </x:c>
      <x:c r="X1813" t="str">
        <x:f>""</x:f>
        <x:v/>
      </x:c>
      <x:c r="Y1813" t="str">
        <x:f>""</x:f>
        <x:v/>
      </x:c>
      <x:c r="Z1813" t="str">
        <x:f>""</x:f>
        <x:v/>
      </x:c>
      <x:c r="AA1813" t="str">
        <x:f>""</x:f>
        <x:v/>
      </x:c>
      <x:c r="AB1813" t="str">
        <x:f>""</x:f>
        <x:v/>
      </x:c>
      <x:c r="AC1813" t="str">
        <x:f>""</x:f>
        <x:v/>
      </x:c>
      <x:c r="AD1813" t="str">
        <x:f>""</x:f>
        <x:v/>
      </x:c>
      <x:c r="AE1813" t="str">
        <x:f>""</x:f>
        <x:v/>
      </x:c>
      <x:c r="AF1813" t="str">
        <x:f>""</x:f>
        <x:v/>
      </x:c>
      <x:c r="AG1813" t="str">
        <x:f>""</x:f>
        <x:v/>
      </x:c>
    </x:row>
    <x:row r="1814" spans="2:33" x14ac:dyDescent="0.25">
      <x:c r="B1814" t="str">
        <x:f>"TOKE US Equity"</x:f>
        <x:v>TOKE US Equity</x:v>
      </x:c>
      <x:c r="C1814" t="str">
        <x:f t="shared" si="80"/>
        <x:v>FD447</x:v>
      </x:c>
      <x:c r="D1814" t="str">
        <x:f t="shared" si="81"/>
        <x:v>FUND_FLOW</x:v>
      </x:c>
      <x:c r="E1814" t="str">
        <x:f t="shared" si="82"/>
        <x:v>Dynamic</x:v>
      </x:c>
      <x:c r="F1814">
        <x:f ca="1">_xll.BDH($B$1814,$C$1814,$B$1010,$B$1011,CONCATENATE("Per=",$B$1008),"Dts=H","Dir=H",CONCATENATE("Points=",$B$1009),"Sort=R","Days=A","Fill=B",CONCATENATE("FX=", $B$1007),"cols=14;rows=1")</x:f>
        <x:v>0</x:v>
      </x:c>
      <x:c r="G1814">
        <x:v>0</x:v>
      </x:c>
      <x:c r="H1814">
        <x:v>0</x:v>
      </x:c>
      <x:c r="I1814">
        <x:v>0</x:v>
      </x:c>
      <x:c r="J1814">
        <x:v>0</x:v>
      </x:c>
      <x:c r="K1814">
        <x:v>-0.30299999999999999</x:v>
      </x:c>
      <x:c r="L1814">
        <x:v>0</x:v>
      </x:c>
      <x:c r="M1814">
        <x:v>0</x:v>
      </x:c>
      <x:c r="N1814">
        <x:v>0</x:v>
      </x:c>
      <x:c r="O1814">
        <x:v>-1.4179999999999999</x:v>
      </x:c>
      <x:c r="P1814">
        <x:v>-0.3705</x:v>
      </x:c>
      <x:c r="Q1814">
        <x:v>1.1379999999999999</x:v>
      </x:c>
      <x:c r="R1814">
        <x:v>0</x:v>
      </x:c>
      <x:c r="S1814">
        <x:v>0</x:v>
      </x:c>
      <x:c r="T1814" t="str">
        <x:f>""</x:f>
        <x:v/>
      </x:c>
      <x:c r="U1814" t="str">
        <x:f>""</x:f>
        <x:v/>
      </x:c>
      <x:c r="V1814" t="str">
        <x:f>""</x:f>
        <x:v/>
      </x:c>
      <x:c r="W1814" t="str">
        <x:f>""</x:f>
        <x:v/>
      </x:c>
      <x:c r="X1814" t="str">
        <x:f>""</x:f>
        <x:v/>
      </x:c>
      <x:c r="Y1814" t="str">
        <x:f>""</x:f>
        <x:v/>
      </x:c>
      <x:c r="Z1814" t="str">
        <x:f>""</x:f>
        <x:v/>
      </x:c>
      <x:c r="AA1814" t="str">
        <x:f>""</x:f>
        <x:v/>
      </x:c>
      <x:c r="AB1814" t="str">
        <x:f>""</x:f>
        <x:v/>
      </x:c>
      <x:c r="AC1814" t="str">
        <x:f>""</x:f>
        <x:v/>
      </x:c>
      <x:c r="AD1814" t="str">
        <x:f>""</x:f>
        <x:v/>
      </x:c>
      <x:c r="AE1814" t="str">
        <x:f>""</x:f>
        <x:v/>
      </x:c>
      <x:c r="AF1814" t="str">
        <x:f>""</x:f>
        <x:v/>
      </x:c>
      <x:c r="AG1814" t="str">
        <x:f>""</x:f>
        <x:v/>
      </x:c>
    </x:row>
    <x:row r="1815" spans="2:33" x14ac:dyDescent="0.25">
      <x:c r="B1815" t="str">
        <x:f>"CNBS US Equity"</x:f>
        <x:v>CNBS US Equity</x:v>
      </x:c>
      <x:c r="C1815" t="str">
        <x:f t="shared" si="80"/>
        <x:v>FD447</x:v>
      </x:c>
      <x:c r="D1815" t="str">
        <x:f t="shared" si="81"/>
        <x:v>FUND_FLOW</x:v>
      </x:c>
      <x:c r="E1815" t="str">
        <x:f t="shared" si="82"/>
        <x:v>Dynamic</x:v>
      </x:c>
      <x:c r="F1815">
        <x:f ca="1">_xll.BDH($B$1815,$C$1815,$B$1010,$B$1011,CONCATENATE("Per=",$B$1008),"Dts=H","Dir=H",CONCATENATE("Points=",$B$1009),"Sort=R","Days=A","Fill=B",CONCATENATE("FX=", $B$1007),"cols=14;rows=1")</x:f>
        <x:v>0</x:v>
      </x:c>
      <x:c r="G1815">
        <x:v>0</x:v>
      </x:c>
      <x:c r="H1815">
        <x:v>0</x:v>
      </x:c>
      <x:c r="I1815">
        <x:v>0</x:v>
      </x:c>
      <x:c r="J1815">
        <x:v>0.19220000000000001</x:v>
      </x:c>
      <x:c r="K1815">
        <x:v>0</x:v>
      </x:c>
      <x:c r="L1815">
        <x:v>0</x:v>
      </x:c>
      <x:c r="M1815">
        <x:v>0.49869999999999998</x:v>
      </x:c>
      <x:c r="N1815">
        <x:v>0</x:v>
      </x:c>
      <x:c r="O1815">
        <x:v>0</x:v>
      </x:c>
      <x:c r="P1815">
        <x:v>0.64180000000000004</x:v>
      </x:c>
      <x:c r="Q1815">
        <x:v>0</x:v>
      </x:c>
      <x:c r="R1815">
        <x:v>0</x:v>
      </x:c>
      <x:c r="S1815">
        <x:v>0</x:v>
      </x:c>
      <x:c r="T1815" t="str">
        <x:f>""</x:f>
        <x:v/>
      </x:c>
      <x:c r="U1815" t="str">
        <x:f>""</x:f>
        <x:v/>
      </x:c>
      <x:c r="V1815" t="str">
        <x:f>""</x:f>
        <x:v/>
      </x:c>
      <x:c r="W1815" t="str">
        <x:f>""</x:f>
        <x:v/>
      </x:c>
      <x:c r="X1815" t="str">
        <x:f>""</x:f>
        <x:v/>
      </x:c>
      <x:c r="Y1815" t="str">
        <x:f>""</x:f>
        <x:v/>
      </x:c>
      <x:c r="Z1815" t="str">
        <x:f>""</x:f>
        <x:v/>
      </x:c>
      <x:c r="AA1815" t="str">
        <x:f>""</x:f>
        <x:v/>
      </x:c>
      <x:c r="AB1815" t="str">
        <x:f>""</x:f>
        <x:v/>
      </x:c>
      <x:c r="AC1815" t="str">
        <x:f>""</x:f>
        <x:v/>
      </x:c>
      <x:c r="AD1815" t="str">
        <x:f>""</x:f>
        <x:v/>
      </x:c>
      <x:c r="AE1815" t="str">
        <x:f>""</x:f>
        <x:v/>
      </x:c>
      <x:c r="AF1815" t="str">
        <x:f>""</x:f>
        <x:v/>
      </x:c>
      <x:c r="AG1815" t="str">
        <x:f>""</x:f>
        <x:v/>
      </x:c>
    </x:row>
    <x:row r="1816" spans="2:33" x14ac:dyDescent="0.25">
      <x:c r="B1816" t="str">
        <x:f>"THCX US Equity"</x:f>
        <x:v>THCX US Equity</x:v>
      </x:c>
      <x:c r="C1816" t="str">
        <x:f t="shared" si="80"/>
        <x:v>FD447</x:v>
      </x:c>
      <x:c r="D1816" t="str">
        <x:f t="shared" si="81"/>
        <x:v>FUND_FLOW</x:v>
      </x:c>
      <x:c r="E1816" t="str">
        <x:f t="shared" si="82"/>
        <x:v>Dynamic</x:v>
      </x:c>
      <x:c r="F1816">
        <x:f ca="1">_xll.BDH($B$1816,$C$1816,$B$1010,$B$1011,CONCATENATE("Per=",$B$1008),"Dts=H","Dir=H",CONCATENATE("Points=",$B$1009),"Sort=R","Days=A","Fill=B",CONCATENATE("FX=", $B$1007),"cols=14;rows=1")</x:f>
        <x:v>0</x:v>
      </x:c>
      <x:c r="G1816">
        <x:v>-5.0000000000000001E-4</x:v>
      </x:c>
      <x:c r="H1816">
        <x:v>-0.39760000000000001</x:v>
      </x:c>
      <x:c r="I1816">
        <x:v>0</x:v>
      </x:c>
      <x:c r="J1816">
        <x:v>0</x:v>
      </x:c>
      <x:c r="K1816">
        <x:v>0</x:v>
      </x:c>
      <x:c r="L1816">
        <x:v>-0.36249999999999999</x:v>
      </x:c>
      <x:c r="M1816">
        <x:v>0</x:v>
      </x:c>
      <x:c r="N1816">
        <x:v>0</x:v>
      </x:c>
      <x:c r="O1816">
        <x:v>-0.53339999999999999</x:v>
      </x:c>
      <x:c r="P1816">
        <x:v>0</x:v>
      </x:c>
      <x:c r="Q1816">
        <x:v>0</x:v>
      </x:c>
      <x:c r="R1816">
        <x:v>0</x:v>
      </x:c>
      <x:c r="S1816">
        <x:v>0</x:v>
      </x:c>
      <x:c r="T1816" t="str">
        <x:f>""</x:f>
        <x:v/>
      </x:c>
      <x:c r="U1816" t="str">
        <x:f>""</x:f>
        <x:v/>
      </x:c>
      <x:c r="V1816" t="str">
        <x:f>""</x:f>
        <x:v/>
      </x:c>
      <x:c r="W1816" t="str">
        <x:f>""</x:f>
        <x:v/>
      </x:c>
      <x:c r="X1816" t="str">
        <x:f>""</x:f>
        <x:v/>
      </x:c>
      <x:c r="Y1816" t="str">
        <x:f>""</x:f>
        <x:v/>
      </x:c>
      <x:c r="Z1816" t="str">
        <x:f>""</x:f>
        <x:v/>
      </x:c>
      <x:c r="AA1816" t="str">
        <x:f>""</x:f>
        <x:v/>
      </x:c>
      <x:c r="AB1816" t="str">
        <x:f>""</x:f>
        <x:v/>
      </x:c>
      <x:c r="AC1816" t="str">
        <x:f>""</x:f>
        <x:v/>
      </x:c>
      <x:c r="AD1816" t="str">
        <x:f>""</x:f>
        <x:v/>
      </x:c>
      <x:c r="AE1816" t="str">
        <x:f>""</x:f>
        <x:v/>
      </x:c>
      <x:c r="AF1816" t="str">
        <x:f>""</x:f>
        <x:v/>
      </x:c>
      <x:c r="AG1816" t="str">
        <x:f>""</x:f>
        <x:v/>
      </x:c>
    </x:row>
    <x:row r="1817" spans="2:33" x14ac:dyDescent="0.25">
      <x:c r="B1817" t="str">
        <x:f>"VICE US Equity"</x:f>
        <x:v>VICE US Equity</x:v>
      </x:c>
      <x:c r="C1817" t="str">
        <x:f t="shared" si="80"/>
        <x:v>FD447</x:v>
      </x:c>
      <x:c r="D1817" t="str">
        <x:f t="shared" si="81"/>
        <x:v>FUND_FLOW</x:v>
      </x:c>
      <x:c r="E1817" t="str">
        <x:f t="shared" si="82"/>
        <x:v>Dynamic</x:v>
      </x:c>
      <x:c r="F1817">
        <x:f ca="1">_xll.BDH($B$1817,$C$1817,$B$1010,$B$1011,CONCATENATE("Per=",$B$1008),"Dts=H","Dir=H",CONCATENATE("Points=",$B$1009),"Sort=R","Days=A","Fill=B",CONCATENATE("FX=", $B$1007),"cols=14;rows=1")</x:f>
        <x:v>0</x:v>
      </x:c>
      <x:c r="G1817">
        <x:v>-0.9</x:v>
      </x:c>
      <x:c r="H1817">
        <x:v>-0.42830000000000001</x:v>
      </x:c>
      <x:c r="I1817">
        <x:v>0</x:v>
      </x:c>
      <x:c r="J1817">
        <x:v>1.4E-3</x:v>
      </x:c>
      <x:c r="K1817">
        <x:v>0.27960000000000002</x:v>
      </x:c>
      <x:c r="L1817">
        <x:v>0.43169999999999997</x:v>
      </x:c>
      <x:c r="M1817">
        <x:v>0</x:v>
      </x:c>
      <x:c r="N1817">
        <x:v>0</x:v>
      </x:c>
      <x:c r="O1817">
        <x:v>0</x:v>
      </x:c>
      <x:c r="P1817">
        <x:v>-0.53759999999999997</x:v>
      </x:c>
      <x:c r="Q1817">
        <x:v>0</x:v>
      </x:c>
      <x:c r="R1817">
        <x:v>-0.2414</x:v>
      </x:c>
      <x:c r="S1817">
        <x:v>0</x:v>
      </x:c>
      <x:c r="T1817" t="str">
        <x:f>""</x:f>
        <x:v/>
      </x:c>
      <x:c r="U1817" t="str">
        <x:f>""</x:f>
        <x:v/>
      </x:c>
      <x:c r="V1817" t="str">
        <x:f>""</x:f>
        <x:v/>
      </x:c>
      <x:c r="W1817" t="str">
        <x:f>""</x:f>
        <x:v/>
      </x:c>
      <x:c r="X1817" t="str">
        <x:f>""</x:f>
        <x:v/>
      </x:c>
      <x:c r="Y1817" t="str">
        <x:f>""</x:f>
        <x:v/>
      </x:c>
      <x:c r="Z1817" t="str">
        <x:f>""</x:f>
        <x:v/>
      </x:c>
      <x:c r="AA1817" t="str">
        <x:f>""</x:f>
        <x:v/>
      </x:c>
      <x:c r="AB1817" t="str">
        <x:f>""</x:f>
        <x:v/>
      </x:c>
      <x:c r="AC1817" t="str">
        <x:f>""</x:f>
        <x:v/>
      </x:c>
      <x:c r="AD1817" t="str">
        <x:f>""</x:f>
        <x:v/>
      </x:c>
      <x:c r="AE1817" t="str">
        <x:f>""</x:f>
        <x:v/>
      </x:c>
      <x:c r="AF1817" t="str">
        <x:f>""</x:f>
        <x:v/>
      </x:c>
      <x:c r="AG1817" t="str">
        <x:f>""</x:f>
        <x:v/>
      </x:c>
    </x:row>
    <x:row r="1818" spans="2:33" x14ac:dyDescent="0.25">
      <x:c r="B1818" t="str">
        <x:f>"MSOS US Equity"</x:f>
        <x:v>MSOS US Equity</x:v>
      </x:c>
      <x:c r="C1818" t="str">
        <x:f t="shared" si="80"/>
        <x:v>FD447</x:v>
      </x:c>
      <x:c r="D1818" t="str">
        <x:f t="shared" si="81"/>
        <x:v>FUND_FLOW</x:v>
      </x:c>
      <x:c r="E1818" t="str">
        <x:f t="shared" si="82"/>
        <x:v>Dynamic</x:v>
      </x:c>
      <x:c r="F1818">
        <x:f ca="1">_xll.BDH($B$1818,$C$1818,$B$1010,$B$1011,CONCATENATE("Per=",$B$1008),"Dts=H","Dir=H",CONCATENATE("Points=",$B$1009),"Sort=R","Days=A","Fill=B",CONCATENATE("FX=", $B$1007),"cols=14;rows=1")</x:f>
        <x:v>59.31</x:v>
      </x:c>
      <x:c r="G1818">
        <x:v>45.457500000000003</x:v>
      </x:c>
      <x:c r="H1818">
        <x:v>20.8949</x:v>
      </x:c>
      <x:c r="I1818">
        <x:v>11.7029</x:v>
      </x:c>
      <x:c r="J1818">
        <x:v>5.5464000000000002</x:v>
      </x:c>
      <x:c r="K1818">
        <x:v>10.206</x:v>
      </x:c>
      <x:c r="L1818">
        <x:v>1.6662999999999999</x:v>
      </x:c>
      <x:c r="M1818">
        <x:v>-3.1768999999999998</x:v>
      </x:c>
      <x:c r="N1818">
        <x:v>3.1023000000000001</x:v>
      </x:c>
      <x:c r="O1818">
        <x:v>-21.7224</x:v>
      </x:c>
      <x:c r="P1818">
        <x:v>3.2176</x:v>
      </x:c>
      <x:c r="Q1818">
        <x:v>61.575099999999999</x:v>
      </x:c>
      <x:c r="R1818">
        <x:v>50.880699999999997</x:v>
      </x:c>
      <x:c r="S1818">
        <x:v>0.2329</x:v>
      </x:c>
      <x:c r="T1818" t="str">
        <x:f>""</x:f>
        <x:v/>
      </x:c>
      <x:c r="U1818" t="str">
        <x:f>""</x:f>
        <x:v/>
      </x:c>
      <x:c r="V1818" t="str">
        <x:f>""</x:f>
        <x:v/>
      </x:c>
      <x:c r="W1818" t="str">
        <x:f>""</x:f>
        <x:v/>
      </x:c>
      <x:c r="X1818" t="str">
        <x:f>""</x:f>
        <x:v/>
      </x:c>
      <x:c r="Y1818" t="str">
        <x:f>""</x:f>
        <x:v/>
      </x:c>
      <x:c r="Z1818" t="str">
        <x:f>""</x:f>
        <x:v/>
      </x:c>
      <x:c r="AA1818" t="str">
        <x:f>""</x:f>
        <x:v/>
      </x:c>
      <x:c r="AB1818" t="str">
        <x:f>""</x:f>
        <x:v/>
      </x:c>
      <x:c r="AC1818" t="str">
        <x:f>""</x:f>
        <x:v/>
      </x:c>
      <x:c r="AD1818" t="str">
        <x:f>""</x:f>
        <x:v/>
      </x:c>
      <x:c r="AE1818" t="str">
        <x:f>""</x:f>
        <x:v/>
      </x:c>
      <x:c r="AF1818" t="str">
        <x:f>""</x:f>
        <x:v/>
      </x:c>
      <x:c r="AG1818" t="str">
        <x:f>""</x:f>
        <x:v/>
      </x:c>
    </x:row>
    <x:row r="1819" spans="2:33" x14ac:dyDescent="0.25">
      <x:c r="B1819" t="str">
        <x:f>"MJUS US Equity"</x:f>
        <x:v>MJUS US Equity</x:v>
      </x:c>
      <x:c r="C1819" t="str">
        <x:f t="shared" si="80"/>
        <x:v>FD447</x:v>
      </x:c>
      <x:c r="D1819" t="str">
        <x:f t="shared" si="81"/>
        <x:v>FUND_FLOW</x:v>
      </x:c>
      <x:c r="E1819" t="str">
        <x:f t="shared" si="82"/>
        <x:v>Dynamic</x:v>
      </x:c>
      <x:c r="F1819">
        <x:f ca="1">_xll.BDH($B$1819,$C$1819,$B$1010,$B$1011,CONCATENATE("Per=",$B$1008),"Dts=H","Dir=H",CONCATENATE("Points=",$B$1009),"Sort=R","Days=A","Fill=B",CONCATENATE("FX=", $B$1007),"cols=14;rows=1")</x:f>
        <x:v>0</x:v>
      </x:c>
      <x:c r="G1819">
        <x:v>0.27360000000000001</x:v>
      </x:c>
      <x:c r="H1819">
        <x:v>-11.8162</x:v>
      </x:c>
      <x:c r="I1819">
        <x:v>0.32750000000000001</x:v>
      </x:c>
      <x:c r="J1819">
        <x:v>0.33350000000000002</x:v>
      </x:c>
      <x:c r="K1819">
        <x:v>-6.3498000000000001</x:v>
      </x:c>
      <x:c r="L1819">
        <x:v>1.2302999999999999</x:v>
      </x:c>
      <x:c r="M1819">
        <x:v>57.000599999999999</x:v>
      </x:c>
      <x:c r="N1819">
        <x:v>26.001300000000001</x:v>
      </x:c>
      <x:c r="O1819">
        <x:v>2.593</x:v>
      </x:c>
      <x:c r="P1819">
        <x:v>0.57579999999999998</x:v>
      </x:c>
      <x:c r="Q1819">
        <x:v>-9.2950999999999997</x:v>
      </x:c>
      <x:c r="R1819">
        <x:v>2.3525</x:v>
      </x:c>
      <x:c r="S1819">
        <x:v>29.283899999999999</x:v>
      </x:c>
      <x:c r="T1819" t="str">
        <x:f>""</x:f>
        <x:v/>
      </x:c>
      <x:c r="U1819" t="str">
        <x:f>""</x:f>
        <x:v/>
      </x:c>
      <x:c r="V1819" t="str">
        <x:f>""</x:f>
        <x:v/>
      </x:c>
      <x:c r="W1819" t="str">
        <x:f>""</x:f>
        <x:v/>
      </x:c>
      <x:c r="X1819" t="str">
        <x:f>""</x:f>
        <x:v/>
      </x:c>
      <x:c r="Y1819" t="str">
        <x:f>""</x:f>
        <x:v/>
      </x:c>
      <x:c r="Z1819" t="str">
        <x:f>""</x:f>
        <x:v/>
      </x:c>
      <x:c r="AA1819" t="str">
        <x:f>""</x:f>
        <x:v/>
      </x:c>
      <x:c r="AB1819" t="str">
        <x:f>""</x:f>
        <x:v/>
      </x:c>
      <x:c r="AC1819" t="str">
        <x:f>""</x:f>
        <x:v/>
      </x:c>
      <x:c r="AD1819" t="str">
        <x:f>""</x:f>
        <x:v/>
      </x:c>
      <x:c r="AE1819" t="str">
        <x:f>""</x:f>
        <x:v/>
      </x:c>
      <x:c r="AF1819" t="str">
        <x:f>""</x:f>
        <x:v/>
      </x:c>
      <x:c r="AG1819" t="str">
        <x:f>""</x:f>
        <x:v/>
      </x:c>
    </x:row>
    <x:row r="1820" spans="2:33" x14ac:dyDescent="0.25">
      <x:c r="B1820" t="str">
        <x:f>"MJXL US Equity"</x:f>
        <x:v>MJXL US Equity</x:v>
      </x:c>
      <x:c r="C1820" t="str">
        <x:f t="shared" si="80"/>
        <x:v>FD447</x:v>
      </x:c>
      <x:c r="D1820" t="str">
        <x:f t="shared" si="81"/>
        <x:v>FUND_FLOW</x:v>
      </x:c>
      <x:c r="E1820" t="str">
        <x:f t="shared" si="82"/>
        <x:v>Dynamic</x:v>
      </x:c>
      <x:c r="F1820" t="str">
        <x:f ca="1">_xll.BDH($B$1820,$C$1820,$B$1010,$B$1011,CONCATENATE("Per=",$B$1008),"Dts=H","Dir=H",CONCATENATE("Points=",$B$1009),"Sort=R","Days=A","Fill=B",CONCATENATE("FX=", $B$1007),"cols=14;rows=1")</x:f>
        <x:v/>
      </x:c>
      <x:c r="P1820">
        <x:v>3.7499999999999999E-2</x:v>
      </x:c>
      <x:c r="Q1820">
        <x:v>5.6599999999999998E-2</x:v>
      </x:c>
      <x:c r="R1820">
        <x:v>2.8199999999999999E-2</x:v>
      </x:c>
      <x:c r="S1820">
        <x:v>2.23E-2</x:v>
      </x:c>
      <x:c r="T1820" t="str">
        <x:f>""</x:f>
        <x:v/>
      </x:c>
      <x:c r="U1820" t="str">
        <x:f>""</x:f>
        <x:v/>
      </x:c>
      <x:c r="V1820" t="str">
        <x:f>""</x:f>
        <x:v/>
      </x:c>
      <x:c r="W1820" t="str">
        <x:f>""</x:f>
        <x:v/>
      </x:c>
      <x:c r="X1820" t="str">
        <x:f>""</x:f>
        <x:v/>
      </x:c>
      <x:c r="Y1820" t="str">
        <x:f>""</x:f>
        <x:v/>
      </x:c>
      <x:c r="Z1820" t="str">
        <x:f>""</x:f>
        <x:v/>
      </x:c>
      <x:c r="AA1820" t="str">
        <x:f>""</x:f>
        <x:v/>
      </x:c>
      <x:c r="AB1820" t="str">
        <x:f>""</x:f>
        <x:v/>
      </x:c>
      <x:c r="AC1820" t="str">
        <x:f>""</x:f>
        <x:v/>
      </x:c>
      <x:c r="AD1820" t="str">
        <x:f>""</x:f>
        <x:v/>
      </x:c>
      <x:c r="AE1820" t="str">
        <x:f>""</x:f>
        <x:v/>
      </x:c>
      <x:c r="AF1820" t="str">
        <x:f>""</x:f>
        <x:v/>
      </x:c>
      <x:c r="AG1820" t="str">
        <x:f>""</x:f>
        <x:v/>
      </x:c>
    </x:row>
    <x:row r="1821" spans="2:33" x14ac:dyDescent="0.25">
      <x:c r="B1821" t="str">
        <x:f>"PSY US Equity"</x:f>
        <x:v>PSY US Equity</x:v>
      </x:c>
      <x:c r="C1821" t="str">
        <x:f t="shared" si="80"/>
        <x:v>FD447</x:v>
      </x:c>
      <x:c r="D1821" t="str">
        <x:f t="shared" si="81"/>
        <x:v>FUND_FLOW</x:v>
      </x:c>
      <x:c r="E1821" t="str">
        <x:f t="shared" si="82"/>
        <x:v>Dynamic</x:v>
      </x:c>
      <x:c r="F1821" t="str">
        <x:f ca="1">_xll.BDH($B$1821,$C$1821,$B$1010,$B$1011,CONCATENATE("Per=",$B$1008),"Dts=H","Dir=H",CONCATENATE("Points=",$B$1009),"Sort=R","Days=A","Fill=B",CONCATENATE("FX=", $B$1007),"cols=14;rows=1")</x:f>
        <x:v/>
      </x:c>
      <x:c r="T1821" t="str">
        <x:f>""</x:f>
        <x:v/>
      </x:c>
      <x:c r="U1821" t="str">
        <x:f>""</x:f>
        <x:v/>
      </x:c>
      <x:c r="V1821" t="str">
        <x:f>""</x:f>
        <x:v/>
      </x:c>
      <x:c r="W1821" t="str">
        <x:f>""</x:f>
        <x:v/>
      </x:c>
      <x:c r="X1821" t="str">
        <x:f>""</x:f>
        <x:v/>
      </x:c>
      <x:c r="Y1821" t="str">
        <x:f>""</x:f>
        <x:v/>
      </x:c>
      <x:c r="Z1821" t="str">
        <x:f>""</x:f>
        <x:v/>
      </x:c>
      <x:c r="AA1821" t="str">
        <x:f>""</x:f>
        <x:v/>
      </x:c>
      <x:c r="AB1821" t="str">
        <x:f>""</x:f>
        <x:v/>
      </x:c>
      <x:c r="AC1821" t="str">
        <x:f>""</x:f>
        <x:v/>
      </x:c>
      <x:c r="AD1821" t="str">
        <x:f>""</x:f>
        <x:v/>
      </x:c>
      <x:c r="AE1821" t="str">
        <x:f>""</x:f>
        <x:v/>
      </x:c>
      <x:c r="AF1821" t="str">
        <x:f>""</x:f>
        <x:v/>
      </x:c>
      <x:c r="AG1821" t="str">
        <x:f>""</x:f>
        <x:v/>
      </x:c>
    </x:row>
    <x:row r="1822" spans="2:33" x14ac:dyDescent="0.25">
      <x:c r="B1822" t="str">
        <x:f>"PSIL US Equity"</x:f>
        <x:v>PSIL US Equity</x:v>
      </x:c>
      <x:c r="C1822" t="str">
        <x:f t="shared" si="80"/>
        <x:v>FD447</x:v>
      </x:c>
      <x:c r="D1822" t="str">
        <x:f t="shared" si="81"/>
        <x:v>FUND_FLOW</x:v>
      </x:c>
      <x:c r="E1822" t="str">
        <x:f t="shared" si="82"/>
        <x:v>Dynamic</x:v>
      </x:c>
      <x:c r="F1822">
        <x:f ca="1">_xll.BDH($B$1822,$C$1822,$B$1010,$B$1011,CONCATENATE("Per=",$B$1008),"Dts=H","Dir=H",CONCATENATE("Points=",$B$1009),"Sort=R","Days=A","Fill=B",CONCATENATE("FX=", $B$1007),"cols=14;rows=1")</x:f>
        <x:v>0.40610000000000002</x:v>
      </x:c>
      <x:c r="G1822">
        <x:v>0.27800000000000002</x:v>
      </x:c>
      <x:c r="H1822">
        <x:v>6.9900000000000004E-2</x:v>
      </x:c>
      <x:c r="I1822">
        <x:v>0.43519999999999998</x:v>
      </x:c>
      <x:c r="J1822">
        <x:v>0.22120000000000001</x:v>
      </x:c>
      <x:c r="K1822">
        <x:v>0.19359999999999999</x:v>
      </x:c>
      <x:c r="L1822">
        <x:v>9.6799999999999997E-2</x:v>
      </x:c>
      <x:c r="M1822">
        <x:v>0.15809999999999999</x:v>
      </x:c>
      <x:c r="N1822">
        <x:v>0.1716</x:v>
      </x:c>
      <x:c r="O1822">
        <x:v>0.13159999999999999</x:v>
      </x:c>
      <x:c r="P1822">
        <x:v>3.4500000000000003E-2</x:v>
      </x:c>
      <x:c r="Q1822">
        <x:v>0.25559999999999999</x:v>
      </x:c>
      <x:c r="R1822">
        <x:v>0.35389999999999999</x:v>
      </x:c>
      <x:c r="S1822">
        <x:v>0.2908</x:v>
      </x:c>
      <x:c r="T1822" t="str">
        <x:f>""</x:f>
        <x:v/>
      </x:c>
      <x:c r="U1822" t="str">
        <x:f>""</x:f>
        <x:v/>
      </x:c>
      <x:c r="V1822" t="str">
        <x:f>""</x:f>
        <x:v/>
      </x:c>
      <x:c r="W1822" t="str">
        <x:f>""</x:f>
        <x:v/>
      </x:c>
      <x:c r="X1822" t="str">
        <x:f>""</x:f>
        <x:v/>
      </x:c>
      <x:c r="Y1822" t="str">
        <x:f>""</x:f>
        <x:v/>
      </x:c>
      <x:c r="Z1822" t="str">
        <x:f>""</x:f>
        <x:v/>
      </x:c>
      <x:c r="AA1822" t="str">
        <x:f>""</x:f>
        <x:v/>
      </x:c>
      <x:c r="AB1822" t="str">
        <x:f>""</x:f>
        <x:v/>
      </x:c>
      <x:c r="AC1822" t="str">
        <x:f>""</x:f>
        <x:v/>
      </x:c>
      <x:c r="AD1822" t="str">
        <x:f>""</x:f>
        <x:v/>
      </x:c>
      <x:c r="AE1822" t="str">
        <x:f>""</x:f>
        <x:v/>
      </x:c>
      <x:c r="AF1822" t="str">
        <x:f>""</x:f>
        <x:v/>
      </x:c>
      <x:c r="AG1822" t="str">
        <x:f>""</x:f>
        <x:v/>
      </x:c>
    </x:row>
    <x:row r="1823" spans="2:33" x14ac:dyDescent="0.25">
      <x:c r="B1823" t="str">
        <x:f>"PSDN US Equity"</x:f>
        <x:v>PSDN US Equity</x:v>
      </x:c>
      <x:c r="C1823" t="str">
        <x:f t="shared" si="80"/>
        <x:v>FD447</x:v>
      </x:c>
      <x:c r="D1823" t="str">
        <x:f t="shared" si="81"/>
        <x:v>FUND_FLOW</x:v>
      </x:c>
      <x:c r="E1823" t="str">
        <x:f t="shared" si="82"/>
        <x:v>Dynamic</x:v>
      </x:c>
      <x:c r="F1823" t="str">
        <x:f ca="1">_xll.BDH($B$1823,$C$1823,$B$1010,$B$1011,CONCATENATE("Per=",$B$1008),"Dts=H","Dir=H",CONCATENATE("Points=",$B$1009),"Sort=R","Days=A","Fill=B",CONCATENATE("FX=", $B$1007),"cols=14;rows=1")</x:f>
        <x:v/>
      </x:c>
      <x:c r="H1823">
        <x:v>0</x:v>
      </x:c>
      <x:c r="I1823">
        <x:v>9.2999999999999999E-2</x:v>
      </x:c>
      <x:c r="J1823">
        <x:v>7.8700000000000006E-2</x:v>
      </x:c>
      <x:c r="K1823">
        <x:v>0</x:v>
      </x:c>
      <x:c r="L1823">
        <x:v>0</x:v>
      </x:c>
      <x:c r="M1823">
        <x:v>0.41049999999999998</x:v>
      </x:c>
      <x:c r="N1823">
        <x:v>0.32350000000000001</x:v>
      </x:c>
      <x:c r="O1823">
        <x:v>7.1999999999999998E-3</x:v>
      </x:c>
      <x:c r="P1823">
        <x:v>0.53129999999999999</x:v>
      </x:c>
      <x:c r="Q1823">
        <x:v>0</x:v>
      </x:c>
      <x:c r="R1823">
        <x:v>9.9599999999999994E-2</x:v>
      </x:c>
      <x:c r="S1823">
        <x:v>0</x:v>
      </x:c>
      <x:c r="T1823" t="str">
        <x:f>""</x:f>
        <x:v/>
      </x:c>
      <x:c r="U1823" t="str">
        <x:f>""</x:f>
        <x:v/>
      </x:c>
      <x:c r="V1823" t="str">
        <x:f>""</x:f>
        <x:v/>
      </x:c>
      <x:c r="W1823" t="str">
        <x:f>""</x:f>
        <x:v/>
      </x:c>
      <x:c r="X1823" t="str">
        <x:f>""</x:f>
        <x:v/>
      </x:c>
      <x:c r="Y1823" t="str">
        <x:f>""</x:f>
        <x:v/>
      </x:c>
      <x:c r="Z1823" t="str">
        <x:f>""</x:f>
        <x:v/>
      </x:c>
      <x:c r="AA1823" t="str">
        <x:f>""</x:f>
        <x:v/>
      </x:c>
      <x:c r="AB1823" t="str">
        <x:f>""</x:f>
        <x:v/>
      </x:c>
      <x:c r="AC1823" t="str">
        <x:f>""</x:f>
        <x:v/>
      </x:c>
      <x:c r="AD1823" t="str">
        <x:f>""</x:f>
        <x:v/>
      </x:c>
      <x:c r="AE1823" t="str">
        <x:f>""</x:f>
        <x:v/>
      </x:c>
      <x:c r="AF1823" t="str">
        <x:f>""</x:f>
        <x:v/>
      </x:c>
      <x:c r="AG1823" t="str">
        <x:f>""</x:f>
        <x:v/>
      </x:c>
    </x:row>
    <x:row r="1824" spans="2:33" x14ac:dyDescent="0.25">
      <x:c r="B1824" t="str">
        <x:f>"MJIN US Equity"</x:f>
        <x:v>MJIN US Equity</x:v>
      </x:c>
      <x:c r="C1824" t="str">
        <x:f t="shared" si="80"/>
        <x:v>FD447</x:v>
      </x:c>
      <x:c r="D1824" t="str">
        <x:f t="shared" si="81"/>
        <x:v>FUND_FLOW</x:v>
      </x:c>
      <x:c r="E1824" t="str">
        <x:f t="shared" si="82"/>
        <x:v>Dynamic</x:v>
      </x:c>
      <x:c r="F1824" t="str">
        <x:f ca="1">_xll.BDH($B$1824,$C$1824,$B$1010,$B$1011,CONCATENATE("Per=",$B$1008),"Dts=H","Dir=H",CONCATENATE("Points=",$B$1009),"Sort=R","Days=A","Fill=B",CONCATENATE("FX=", $B$1007),"cols=14;rows=1")</x:f>
        <x:v/>
      </x:c>
      <x:c r="Q1824">
        <x:v>0</x:v>
      </x:c>
      <x:c r="R1824">
        <x:v>0</x:v>
      </x:c>
      <x:c r="S1824">
        <x:v>-0.22409999999999999</x:v>
      </x:c>
      <x:c r="T1824" t="str">
        <x:f>""</x:f>
        <x:v/>
      </x:c>
      <x:c r="U1824" t="str">
        <x:f>""</x:f>
        <x:v/>
      </x:c>
      <x:c r="V1824" t="str">
        <x:f>""</x:f>
        <x:v/>
      </x:c>
      <x:c r="W1824" t="str">
        <x:f>""</x:f>
        <x:v/>
      </x:c>
      <x:c r="X1824" t="str">
        <x:f>""</x:f>
        <x:v/>
      </x:c>
      <x:c r="Y1824" t="str">
        <x:f>""</x:f>
        <x:v/>
      </x:c>
      <x:c r="Z1824" t="str">
        <x:f>""</x:f>
        <x:v/>
      </x:c>
      <x:c r="AA1824" t="str">
        <x:f>""</x:f>
        <x:v/>
      </x:c>
      <x:c r="AB1824" t="str">
        <x:f>""</x:f>
        <x:v/>
      </x:c>
      <x:c r="AC1824" t="str">
        <x:f>""</x:f>
        <x:v/>
      </x:c>
      <x:c r="AD1824" t="str">
        <x:f>""</x:f>
        <x:v/>
      </x:c>
      <x:c r="AE1824" t="str">
        <x:f>""</x:f>
        <x:v/>
      </x:c>
      <x:c r="AF1824" t="str">
        <x:f>""</x:f>
        <x:v/>
      </x:c>
      <x:c r="AG1824" t="str">
        <x:f>""</x:f>
        <x:v/>
      </x:c>
    </x:row>
    <x:row r="1825" spans="2:33" x14ac:dyDescent="0.25">
      <x:c r="B1825" t="str">
        <x:f>"BUDX US Equity"</x:f>
        <x:v>BUDX US Equity</x:v>
      </x:c>
      <x:c r="C1825" t="str">
        <x:f t="shared" si="80"/>
        <x:v>FD447</x:v>
      </x:c>
      <x:c r="D1825" t="str">
        <x:f t="shared" si="81"/>
        <x:v>FUND_FLOW</x:v>
      </x:c>
      <x:c r="E1825" t="str">
        <x:f t="shared" si="82"/>
        <x:v>Dynamic</x:v>
      </x:c>
      <x:c r="F1825" t="str">
        <x:f ca="1">_xll.BDH($B$1825,$C$1825,$B$1010,$B$1011,CONCATENATE("Per=",$B$1008),"Dts=H","Dir=H",CONCATENATE("Points=",$B$1009),"Sort=R","Days=A","Fill=B",CONCATENATE("FX=", $B$1007) )</x:f>
        <x:v/>
      </x:c>
      <x:c r="T1825" t="str">
        <x:f>""</x:f>
        <x:v/>
      </x:c>
      <x:c r="U1825" t="str">
        <x:f>""</x:f>
        <x:v/>
      </x:c>
      <x:c r="V1825" t="str">
        <x:f>""</x:f>
        <x:v/>
      </x:c>
      <x:c r="W1825" t="str">
        <x:f>""</x:f>
        <x:v/>
      </x:c>
      <x:c r="X1825" t="str">
        <x:f>""</x:f>
        <x:v/>
      </x:c>
      <x:c r="Y1825" t="str">
        <x:f>""</x:f>
        <x:v/>
      </x:c>
      <x:c r="Z1825" t="str">
        <x:f>""</x:f>
        <x:v/>
      </x:c>
      <x:c r="AA1825" t="str">
        <x:f>""</x:f>
        <x:v/>
      </x:c>
      <x:c r="AB1825" t="str">
        <x:f>""</x:f>
        <x:v/>
      </x:c>
      <x:c r="AC1825" t="str">
        <x:f>""</x:f>
        <x:v/>
      </x:c>
      <x:c r="AD1825" t="str">
        <x:f>""</x:f>
        <x:v/>
      </x:c>
      <x:c r="AE1825" t="str">
        <x:f>""</x:f>
        <x:v/>
      </x:c>
      <x:c r="AF1825" t="str">
        <x:f>""</x:f>
        <x:v/>
      </x:c>
      <x:c r="AG1825" t="str">
        <x:f>""</x:f>
        <x:v/>
      </x:c>
    </x:row>
    <x:row r="1826" spans="2:33" x14ac:dyDescent="0.25">
      <x:c r="B1826" t="str">
        <x:f>"BAD US Equity"</x:f>
        <x:v>BAD US Equity</x:v>
      </x:c>
      <x:c r="C1826" t="str">
        <x:f t="shared" si="80"/>
        <x:v>FD447</x:v>
      </x:c>
      <x:c r="D1826" t="str">
        <x:f t="shared" si="81"/>
        <x:v>FUND_FLOW</x:v>
      </x:c>
      <x:c r="E1826" t="str">
        <x:f t="shared" si="82"/>
        <x:v>Dynamic</x:v>
      </x:c>
      <x:c r="F1826">
        <x:f ca="1">_xll.BDH($B$1826,$C$1826,$B$1010,$B$1011,CONCATENATE("Per=",$B$1008),"Dts=H","Dir=H",CONCATENATE("Points=",$B$1009),"Sort=R","Days=A","Fill=B",CONCATENATE("FX=", $B$1007),"cols=14;rows=1")</x:f>
        <x:v>0</x:v>
      </x:c>
      <x:c r="G1826">
        <x:v>0.27150000000000002</x:v>
      </x:c>
      <x:c r="H1826">
        <x:v>0</x:v>
      </x:c>
      <x:c r="I1826">
        <x:v>0</x:v>
      </x:c>
      <x:c r="J1826">
        <x:v>1.2672000000000001</x:v>
      </x:c>
      <x:c r="K1826">
        <x:v>0.2467</x:v>
      </x:c>
      <x:c r="L1826">
        <x:v>0</x:v>
      </x:c>
      <x:c r="M1826">
        <x:v>1.44E-2</x:v>
      </x:c>
      <x:c r="N1826">
        <x:v>0</x:v>
      </x:c>
      <x:c r="O1826">
        <x:v>0</x:v>
      </x:c>
      <x:c r="P1826">
        <x:v>0.27679999999999999</x:v>
      </x:c>
      <x:c r="Q1826">
        <x:v>0</x:v>
      </x:c>
      <x:c r="R1826">
        <x:v>0</x:v>
      </x:c>
      <x:c r="S1826">
        <x:v>0.24030000000000001</x:v>
      </x:c>
      <x:c r="T1826" t="str">
        <x:f>""</x:f>
        <x:v/>
      </x:c>
      <x:c r="U1826" t="str">
        <x:f>""</x:f>
        <x:v/>
      </x:c>
      <x:c r="V1826" t="str">
        <x:f>""</x:f>
        <x:v/>
      </x:c>
      <x:c r="W1826" t="str">
        <x:f>""</x:f>
        <x:v/>
      </x:c>
      <x:c r="X1826" t="str">
        <x:f>""</x:f>
        <x:v/>
      </x:c>
      <x:c r="Y1826" t="str">
        <x:f>""</x:f>
        <x:v/>
      </x:c>
      <x:c r="Z1826" t="str">
        <x:f>""</x:f>
        <x:v/>
      </x:c>
      <x:c r="AA1826" t="str">
        <x:f>""</x:f>
        <x:v/>
      </x:c>
      <x:c r="AB1826" t="str">
        <x:f>""</x:f>
        <x:v/>
      </x:c>
      <x:c r="AC1826" t="str">
        <x:f>""</x:f>
        <x:v/>
      </x:c>
      <x:c r="AD1826" t="str">
        <x:f>""</x:f>
        <x:v/>
      </x:c>
      <x:c r="AE1826" t="str">
        <x:f>""</x:f>
        <x:v/>
      </x:c>
      <x:c r="AF1826" t="str">
        <x:f>""</x:f>
        <x:v/>
      </x:c>
      <x:c r="AG1826" t="str">
        <x:f>""</x:f>
        <x:v/>
      </x:c>
    </x:row>
    <x:row r="1827" spans="2:33" x14ac:dyDescent="0.25">
      <x:c r="B1827" t="str">
        <x:f>"PSYK US Equity"</x:f>
        <x:v>PSYK US Equity</x:v>
      </x:c>
      <x:c r="C1827" t="str">
        <x:f t="shared" si="80"/>
        <x:v>FD447</x:v>
      </x:c>
      <x:c r="D1827" t="str">
        <x:f t="shared" si="81"/>
        <x:v>FUND_FLOW</x:v>
      </x:c>
      <x:c r="E1827" t="str">
        <x:f t="shared" si="82"/>
        <x:v>Dynamic</x:v>
      </x:c>
      <x:c r="F1827" t="str">
        <x:f ca="1">_xll.BDH($B$1827,$C$1827,$B$1010,$B$1011,CONCATENATE("Per=",$B$1008),"Dts=H","Dir=H",CONCATENATE("Points=",$B$1009),"Sort=R","Days=A","Fill=B",CONCATENATE("FX=", $B$1007),"cols=14;rows=1")</x:f>
        <x:v/>
      </x:c>
      <x:c r="M1827">
        <x:v>0</x:v>
      </x:c>
      <x:c r="N1827">
        <x:v>0</x:v>
      </x:c>
      <x:c r="O1827">
        <x:v>0</x:v>
      </x:c>
      <x:c r="P1827">
        <x:v>5.0000000000000001E-3</x:v>
      </x:c>
      <x:c r="Q1827">
        <x:v>0</x:v>
      </x:c>
      <x:c r="R1827">
        <x:v>0.57499999999999996</x:v>
      </x:c>
      <x:c r="S1827">
        <x:v>0.40379999999999999</x:v>
      </x:c>
      <x:c r="T1827" t="str">
        <x:f>""</x:f>
        <x:v/>
      </x:c>
      <x:c r="U1827" t="str">
        <x:f>""</x:f>
        <x:v/>
      </x:c>
      <x:c r="V1827" t="str">
        <x:f>""</x:f>
        <x:v/>
      </x:c>
      <x:c r="W1827" t="str">
        <x:f>""</x:f>
        <x:v/>
      </x:c>
      <x:c r="X1827" t="str">
        <x:f>""</x:f>
        <x:v/>
      </x:c>
      <x:c r="Y1827" t="str">
        <x:f>""</x:f>
        <x:v/>
      </x:c>
      <x:c r="Z1827" t="str">
        <x:f>""</x:f>
        <x:v/>
      </x:c>
      <x:c r="AA1827" t="str">
        <x:f>""</x:f>
        <x:v/>
      </x:c>
      <x:c r="AB1827" t="str">
        <x:f>""</x:f>
        <x:v/>
      </x:c>
      <x:c r="AC1827" t="str">
        <x:f>""</x:f>
        <x:v/>
      </x:c>
      <x:c r="AD1827" t="str">
        <x:f>""</x:f>
        <x:v/>
      </x:c>
      <x:c r="AE1827" t="str">
        <x:f>""</x:f>
        <x:v/>
      </x:c>
      <x:c r="AF1827" t="str">
        <x:f>""</x:f>
        <x:v/>
      </x:c>
      <x:c r="AG1827" t="str">
        <x:f>""</x:f>
        <x:v/>
      </x:c>
    </x:row>
    <x:row r="1828" spans="2:33" x14ac:dyDescent="0.25">
      <x:c r="B1828" t="str">
        <x:f>"MSOX US Equity"</x:f>
        <x:v>MSOX US Equity</x:v>
      </x:c>
      <x:c r="C1828" t="str">
        <x:f t="shared" si="80"/>
        <x:v>FD447</x:v>
      </x:c>
      <x:c r="D1828" t="str">
        <x:f t="shared" si="81"/>
        <x:v>FUND_FLOW</x:v>
      </x:c>
      <x:c r="E1828" t="str">
        <x:f t="shared" si="82"/>
        <x:v>Dynamic</x:v>
      </x:c>
      <x:c r="F1828">
        <x:f ca="1">_xll.BDH($B$1828,$C$1828,$B$1010,$B$1011,CONCATENATE("Per=",$B$1008),"Dts=H","Dir=H",CONCATENATE("Points=",$B$1009),"Sort=R","Days=A","Fill=B",CONCATENATE("FX=", $B$1007),"cols=14;rows=1")</x:f>
        <x:v>1.8813</x:v>
      </x:c>
      <x:c r="G1828">
        <x:v>11.0495</x:v>
      </x:c>
      <x:c r="H1828">
        <x:v>1.1344000000000001</x:v>
      </x:c>
      <x:c r="I1828">
        <x:v>2.5083000000000002</x:v>
      </x:c>
      <x:c r="J1828">
        <x:v>0.75019999999999998</x:v>
      </x:c>
      <x:c r="K1828">
        <x:v>1.6356999999999999</x:v>
      </x:c>
      <x:c r="L1828">
        <x:v>1.054</x:v>
      </x:c>
      <x:c r="M1828">
        <x:v>1.1082000000000001</x:v>
      </x:c>
      <x:c r="N1828">
        <x:v>0.86360000000000003</x:v>
      </x:c>
      <x:c r="O1828">
        <x:v>0.28949999999999998</x:v>
      </x:c>
      <x:c r="P1828">
        <x:v>5.3689999999999998</x:v>
      </x:c>
      <x:c r="Q1828">
        <x:v>2.2703000000000002</x:v>
      </x:c>
      <x:c r="R1828">
        <x:v>2.4609000000000001</x:v>
      </x:c>
      <x:c r="S1828">
        <x:v>1.0382</x:v>
      </x:c>
      <x:c r="T1828" t="str">
        <x:f>""</x:f>
        <x:v/>
      </x:c>
      <x:c r="U1828" t="str">
        <x:f>""</x:f>
        <x:v/>
      </x:c>
      <x:c r="V1828" t="str">
        <x:f>""</x:f>
        <x:v/>
      </x:c>
      <x:c r="W1828" t="str">
        <x:f>""</x:f>
        <x:v/>
      </x:c>
      <x:c r="X1828" t="str">
        <x:f>""</x:f>
        <x:v/>
      </x:c>
      <x:c r="Y1828" t="str">
        <x:f>""</x:f>
        <x:v/>
      </x:c>
      <x:c r="Z1828" t="str">
        <x:f>""</x:f>
        <x:v/>
      </x:c>
      <x:c r="AA1828" t="str">
        <x:f>""</x:f>
        <x:v/>
      </x:c>
      <x:c r="AB1828" t="str">
        <x:f>""</x:f>
        <x:v/>
      </x:c>
      <x:c r="AC1828" t="str">
        <x:f>""</x:f>
        <x:v/>
      </x:c>
      <x:c r="AD1828" t="str">
        <x:f>""</x:f>
        <x:v/>
      </x:c>
      <x:c r="AE1828" t="str">
        <x:f>""</x:f>
        <x:v/>
      </x:c>
      <x:c r="AF1828" t="str">
        <x:f>""</x:f>
        <x:v/>
      </x:c>
      <x:c r="AG1828" t="str">
        <x:f>""</x:f>
        <x:v/>
      </x:c>
    </x:row>
    <x:row r="1829" spans="2:33" x14ac:dyDescent="0.25">
      <x:c r="B1829" t="str">
        <x:f>"WEED US Equity"</x:f>
        <x:v>WEED US Equity</x:v>
      </x:c>
      <x:c r="C1829" t="str">
        <x:f t="shared" si="80"/>
        <x:v>FD447</x:v>
      </x:c>
      <x:c r="D1829" t="str">
        <x:f t="shared" si="81"/>
        <x:v>FUND_FLOW</x:v>
      </x:c>
      <x:c r="E1829" t="str">
        <x:f t="shared" si="82"/>
        <x:v>Dynamic</x:v>
      </x:c>
      <x:c r="F1829">
        <x:f ca="1">_xll.BDH($B$1829,$C$1829,$B$1010,$B$1011,CONCATENATE("Per=",$B$1008),"Dts=H","Dir=H",CONCATENATE("Points=",$B$1009),"Sort=R","Days=A","Fill=B",CONCATENATE("FX=", $B$1007),"cols=14;rows=1")</x:f>
        <x:v>0</x:v>
      </x:c>
      <x:c r="G1829">
        <x:v>0.35809999999999997</x:v>
      </x:c>
      <x:c r="H1829">
        <x:v>0</x:v>
      </x:c>
      <x:c r="I1829">
        <x:v>0</x:v>
      </x:c>
      <x:c r="J1829">
        <x:v>0</x:v>
      </x:c>
      <x:c r="K1829">
        <x:v>0.61280000000000001</x:v>
      </x:c>
      <x:c r="L1829">
        <x:v>0.10489999999999999</x:v>
      </x:c>
      <x:c r="M1829">
        <x:v>0</x:v>
      </x:c>
      <x:c r="N1829">
        <x:v>0</x:v>
      </x:c>
      <x:c r="O1829">
        <x:v>0.4405</x:v>
      </x:c>
      <x:c r="P1829">
        <x:v>0.1404</x:v>
      </x:c>
      <x:c r="Q1829">
        <x:v>0</x:v>
      </x:c>
      <x:c r="R1829">
        <x:v>0.40300000000000002</x:v>
      </x:c>
      <x:c r="S1829">
        <x:v>0.19309999999999999</x:v>
      </x:c>
      <x:c r="T1829" t="str">
        <x:f>""</x:f>
        <x:v/>
      </x:c>
      <x:c r="U1829" t="str">
        <x:f>""</x:f>
        <x:v/>
      </x:c>
      <x:c r="V1829" t="str">
        <x:f>""</x:f>
        <x:v/>
      </x:c>
      <x:c r="W1829" t="str">
        <x:f>""</x:f>
        <x:v/>
      </x:c>
      <x:c r="X1829" t="str">
        <x:f>""</x:f>
        <x:v/>
      </x:c>
      <x:c r="Y1829" t="str">
        <x:f>""</x:f>
        <x:v/>
      </x:c>
      <x:c r="Z1829" t="str">
        <x:f>""</x:f>
        <x:v/>
      </x:c>
      <x:c r="AA1829" t="str">
        <x:f>""</x:f>
        <x:v/>
      </x:c>
      <x:c r="AB1829" t="str">
        <x:f>""</x:f>
        <x:v/>
      </x:c>
      <x:c r="AC1829" t="str">
        <x:f>""</x:f>
        <x:v/>
      </x:c>
      <x:c r="AD1829" t="str">
        <x:f>""</x:f>
        <x:v/>
      </x:c>
      <x:c r="AE1829" t="str">
        <x:f>""</x:f>
        <x:v/>
      </x:c>
      <x:c r="AF1829" t="str">
        <x:f>""</x:f>
        <x:v/>
      </x:c>
      <x:c r="AG1829" t="str">
        <x:f>""</x:f>
        <x:v/>
      </x:c>
    </x:row>
    <x:row r="1830" spans="2:33" x14ac:dyDescent="0.25">
      <x:c r="B1830" t="str">
        <x:f>"CROP US Equity"</x:f>
        <x:v>CROP US Equity</x:v>
      </x:c>
      <x:c r="C1830" t="str">
        <x:f t="shared" si="80"/>
        <x:v>FD447</x:v>
      </x:c>
      <x:c r="D1830" t="str">
        <x:f t="shared" si="81"/>
        <x:v>FUND_FLOW</x:v>
      </x:c>
      <x:c r="E1830" t="str">
        <x:f t="shared" si="82"/>
        <x:v>Dynamic</x:v>
      </x:c>
      <x:c r="F1830" t="str">
        <x:f ca="1">_xll.BDH($B$1830,$C$1830,$B$1010,$B$1011,CONCATENATE("Per=",$B$1008),"Dts=H","Dir=H",CONCATENATE("Points=",$B$1009),"Sort=R","Days=A","Fill=B",CONCATENATE("FX=", $B$1007) )</x:f>
        <x:v/>
      </x:c>
      <x:c r="T1830" t="str">
        <x:f>""</x:f>
        <x:v/>
      </x:c>
      <x:c r="U1830" t="str">
        <x:f>""</x:f>
        <x:v/>
      </x:c>
      <x:c r="V1830" t="str">
        <x:f>""</x:f>
        <x:v/>
      </x:c>
      <x:c r="W1830" t="str">
        <x:f>""</x:f>
        <x:v/>
      </x:c>
      <x:c r="X1830" t="str">
        <x:f>""</x:f>
        <x:v/>
      </x:c>
      <x:c r="Y1830" t="str">
        <x:f>""</x:f>
        <x:v/>
      </x:c>
      <x:c r="Z1830" t="str">
        <x:f>""</x:f>
        <x:v/>
      </x:c>
      <x:c r="AA1830" t="str">
        <x:f>""</x:f>
        <x:v/>
      </x:c>
      <x:c r="AB1830" t="str">
        <x:f>""</x:f>
        <x:v/>
      </x:c>
      <x:c r="AC1830" t="str">
        <x:f>""</x:f>
        <x:v/>
      </x:c>
      <x:c r="AD1830" t="str">
        <x:f>""</x:f>
        <x:v/>
      </x:c>
      <x:c r="AE1830" t="str">
        <x:f>""</x:f>
        <x:v/>
      </x:c>
      <x:c r="AF1830" t="str">
        <x:f>""</x:f>
        <x:v/>
      </x:c>
      <x:c r="AG1830" t="str">
        <x:f>""</x:f>
        <x:v/>
      </x:c>
    </x:row>
    <x:row r="1831" spans="2:33" x14ac:dyDescent="0.25">
      <x:c r="B1831" t="str">
        <x:f>"LOGO US Equity"</x:f>
        <x:v>LOGO US Equity</x:v>
      </x:c>
      <x:c r="C1831" t="str">
        <x:f t="shared" si="80"/>
        <x:v>FD447</x:v>
      </x:c>
      <x:c r="D1831" t="str">
        <x:f t="shared" si="81"/>
        <x:v>FUND_FLOW</x:v>
      </x:c>
      <x:c r="E1831" t="str">
        <x:f t="shared" si="82"/>
        <x:v>Dynamic</x:v>
      </x:c>
      <x:c r="F1831" t="str">
        <x:f ca="1">_xll.BDH($B$1831,$C$1831,$B$1010,$B$1011,CONCATENATE("Per=",$B$1008),"Dts=H","Dir=H",CONCATENATE("Points=",$B$1009),"Sort=R","Days=A","Fill=B",CONCATENATE("FX=", $B$1007) )</x:f>
        <x:v/>
      </x:c>
      <x:c r="T1831" t="str">
        <x:f>""</x:f>
        <x:v/>
      </x:c>
      <x:c r="U1831" t="str">
        <x:f>""</x:f>
        <x:v/>
      </x:c>
      <x:c r="V1831" t="str">
        <x:f>""</x:f>
        <x:v/>
      </x:c>
      <x:c r="W1831" t="str">
        <x:f>""</x:f>
        <x:v/>
      </x:c>
      <x:c r="X1831" t="str">
        <x:f>""</x:f>
        <x:v/>
      </x:c>
      <x:c r="Y1831" t="str">
        <x:f>""</x:f>
        <x:v/>
      </x:c>
      <x:c r="Z1831" t="str">
        <x:f>""</x:f>
        <x:v/>
      </x:c>
      <x:c r="AA1831" t="str">
        <x:f>""</x:f>
        <x:v/>
      </x:c>
      <x:c r="AB1831" t="str">
        <x:f>""</x:f>
        <x:v/>
      </x:c>
      <x:c r="AC1831" t="str">
        <x:f>""</x:f>
        <x:v/>
      </x:c>
      <x:c r="AD1831" t="str">
        <x:f>""</x:f>
        <x:v/>
      </x:c>
      <x:c r="AE1831" t="str">
        <x:f>""</x:f>
        <x:v/>
      </x:c>
      <x:c r="AF1831" t="str">
        <x:f>""</x:f>
        <x:v/>
      </x:c>
      <x:c r="AG1831" t="str">
        <x:f>""</x:f>
        <x:v/>
      </x:c>
    </x:row>
    <x:row r="1832" spans="2:33" x14ac:dyDescent="0.25">
      <x:c r="B1832" t="str">
        <x:f>"ORG US Equity"</x:f>
        <x:v>ORG US Equity</x:v>
      </x:c>
      <x:c r="C1832" t="str">
        <x:f t="shared" si="80"/>
        <x:v>FD447</x:v>
      </x:c>
      <x:c r="D1832" t="str">
        <x:f t="shared" si="81"/>
        <x:v>FUND_FLOW</x:v>
      </x:c>
      <x:c r="E1832" t="str">
        <x:f t="shared" si="82"/>
        <x:v>Dynamic</x:v>
      </x:c>
      <x:c r="F1832" t="str">
        <x:f ca="1">_xll.BDH($B$1832,$C$1832,$B$1010,$B$1011,CONCATENATE("Per=",$B$1008),"Dts=H","Dir=H",CONCATENATE("Points=",$B$1009),"Sort=R","Days=A","Fill=B",CONCATENATE("FX=", $B$1007) )</x:f>
        <x:v/>
      </x:c>
      <x:c r="T1832" t="str">
        <x:f>""</x:f>
        <x:v/>
      </x:c>
      <x:c r="U1832" t="str">
        <x:f>""</x:f>
        <x:v/>
      </x:c>
      <x:c r="V1832" t="str">
        <x:f>""</x:f>
        <x:v/>
      </x:c>
      <x:c r="W1832" t="str">
        <x:f>""</x:f>
        <x:v/>
      </x:c>
      <x:c r="X1832" t="str">
        <x:f>""</x:f>
        <x:v/>
      </x:c>
      <x:c r="Y1832" t="str">
        <x:f>""</x:f>
        <x:v/>
      </x:c>
      <x:c r="Z1832" t="str">
        <x:f>""</x:f>
        <x:v/>
      </x:c>
      <x:c r="AA1832" t="str">
        <x:f>""</x:f>
        <x:v/>
      </x:c>
      <x:c r="AB1832" t="str">
        <x:f>""</x:f>
        <x:v/>
      </x:c>
      <x:c r="AC1832" t="str">
        <x:f>""</x:f>
        <x:v/>
      </x:c>
      <x:c r="AD1832" t="str">
        <x:f>""</x:f>
        <x:v/>
      </x:c>
      <x:c r="AE1832" t="str">
        <x:f>""</x:f>
        <x:v/>
      </x:c>
      <x:c r="AF1832" t="str">
        <x:f>""</x:f>
        <x:v/>
      </x:c>
      <x:c r="AG1832" t="str">
        <x:f>""</x:f>
        <x:v/>
      </x:c>
    </x:row>
    <x:row r="1833" spans="2:33" x14ac:dyDescent="0.25">
      <x:c r="B1833" t="str">
        <x:f>"ONLN US Equity"</x:f>
        <x:v>ONLN US Equity</x:v>
      </x:c>
      <x:c r="C1833" t="str">
        <x:f t="shared" si="80"/>
        <x:v>FD447</x:v>
      </x:c>
      <x:c r="D1833" t="str">
        <x:f t="shared" si="81"/>
        <x:v>FUND_FLOW</x:v>
      </x:c>
      <x:c r="E1833" t="str">
        <x:f t="shared" si="82"/>
        <x:v>Dynamic</x:v>
      </x:c>
      <x:c r="F1833">
        <x:f ca="1">_xll.BDH($B$1833,$C$1833,$B$1010,$B$1011,CONCATENATE("Per=",$B$1008),"Dts=H","Dir=H",CONCATENATE("Points=",$B$1009),"Sort=R","Days=A","Fill=B",CONCATENATE("FX=", $B$1007),"cols=14;rows=1")</x:f>
        <x:v>2.7412999999999998</x:v>
      </x:c>
      <x:c r="G1833">
        <x:v>-2.2442000000000002</x:v>
      </x:c>
      <x:c r="H1833">
        <x:v>-2.8262999999999998</x:v>
      </x:c>
      <x:c r="I1833">
        <x:v>-1.0248999999999999</x:v>
      </x:c>
      <x:c r="J1833">
        <x:v>-2.9518</x:v>
      </x:c>
      <x:c r="K1833">
        <x:v>-2.1362000000000001</x:v>
      </x:c>
      <x:c r="L1833">
        <x:v>-2.9923000000000002</x:v>
      </x:c>
      <x:c r="M1833">
        <x:v>-2.7031000000000001</x:v>
      </x:c>
      <x:c r="N1833">
        <x:v>-33.037300000000002</x:v>
      </x:c>
      <x:c r="O1833">
        <x:v>13.7743</x:v>
      </x:c>
      <x:c r="P1833">
        <x:v>2.2877999999999998</x:v>
      </x:c>
      <x:c r="Q1833">
        <x:v>-3.7705000000000002</x:v>
      </x:c>
      <x:c r="R1833">
        <x:v>-9.2228999999999992</x:v>
      </x:c>
      <x:c r="S1833">
        <x:v>-101.9131</x:v>
      </x:c>
      <x:c r="T1833" t="str">
        <x:f>""</x:f>
        <x:v/>
      </x:c>
      <x:c r="U1833" t="str">
        <x:f>""</x:f>
        <x:v/>
      </x:c>
      <x:c r="V1833" t="str">
        <x:f>""</x:f>
        <x:v/>
      </x:c>
      <x:c r="W1833" t="str">
        <x:f>""</x:f>
        <x:v/>
      </x:c>
      <x:c r="X1833" t="str">
        <x:f>""</x:f>
        <x:v/>
      </x:c>
      <x:c r="Y1833" t="str">
        <x:f>""</x:f>
        <x:v/>
      </x:c>
      <x:c r="Z1833" t="str">
        <x:f>""</x:f>
        <x:v/>
      </x:c>
      <x:c r="AA1833" t="str">
        <x:f>""</x:f>
        <x:v/>
      </x:c>
      <x:c r="AB1833" t="str">
        <x:f>""</x:f>
        <x:v/>
      </x:c>
      <x:c r="AC1833" t="str">
        <x:f>""</x:f>
        <x:v/>
      </x:c>
      <x:c r="AD1833" t="str">
        <x:f>""</x:f>
        <x:v/>
      </x:c>
      <x:c r="AE1833" t="str">
        <x:f>""</x:f>
        <x:v/>
      </x:c>
      <x:c r="AF1833" t="str">
        <x:f>""</x:f>
        <x:v/>
      </x:c>
      <x:c r="AG1833" t="str">
        <x:f>""</x:f>
        <x:v/>
      </x:c>
    </x:row>
    <x:row r="1834" spans="2:33" x14ac:dyDescent="0.25">
      <x:c r="B1834" t="str">
        <x:f>"INCO US Equity"</x:f>
        <x:v>INCO US Equity</x:v>
      </x:c>
      <x:c r="C1834" t="str">
        <x:f t="shared" si="80"/>
        <x:v>FD447</x:v>
      </x:c>
      <x:c r="D1834" t="str">
        <x:f t="shared" si="81"/>
        <x:v>FUND_FLOW</x:v>
      </x:c>
      <x:c r="E1834" t="str">
        <x:f t="shared" si="82"/>
        <x:v>Dynamic</x:v>
      </x:c>
      <x:c r="F1834">
        <x:f ca="1">_xll.BDH($B$1834,$C$1834,$B$1010,$B$1011,CONCATENATE("Per=",$B$1008),"Dts=H","Dir=H",CONCATENATE("Points=",$B$1009),"Sort=R","Days=A","Fill=B",CONCATENATE("FX=", $B$1007),"cols=14;rows=1")</x:f>
        <x:v>0</x:v>
      </x:c>
      <x:c r="G1834">
        <x:v>0</x:v>
      </x:c>
      <x:c r="H1834">
        <x:v>0</x:v>
      </x:c>
      <x:c r="I1834">
        <x:v>26.174800000000001</x:v>
      </x:c>
      <x:c r="J1834">
        <x:v>5.0087999999999999</x:v>
      </x:c>
      <x:c r="K1834">
        <x:v>2.4628000000000001</x:v>
      </x:c>
      <x:c r="L1834">
        <x:v>0</x:v>
      </x:c>
      <x:c r="M1834">
        <x:v>0</x:v>
      </x:c>
      <x:c r="N1834">
        <x:v>0</x:v>
      </x:c>
      <x:c r="O1834">
        <x:v>2.286</x:v>
      </x:c>
      <x:c r="P1834">
        <x:v>0</x:v>
      </x:c>
      <x:c r="Q1834">
        <x:v>0</x:v>
      </x:c>
      <x:c r="R1834">
        <x:v>0</x:v>
      </x:c>
      <x:c r="S1834">
        <x:v>0</x:v>
      </x:c>
      <x:c r="T1834" t="str">
        <x:f>""</x:f>
        <x:v/>
      </x:c>
      <x:c r="U1834" t="str">
        <x:f>""</x:f>
        <x:v/>
      </x:c>
      <x:c r="V1834" t="str">
        <x:f>""</x:f>
        <x:v/>
      </x:c>
      <x:c r="W1834" t="str">
        <x:f>""</x:f>
        <x:v/>
      </x:c>
      <x:c r="X1834" t="str">
        <x:f>""</x:f>
        <x:v/>
      </x:c>
      <x:c r="Y1834" t="str">
        <x:f>""</x:f>
        <x:v/>
      </x:c>
      <x:c r="Z1834" t="str">
        <x:f>""</x:f>
        <x:v/>
      </x:c>
      <x:c r="AA1834" t="str">
        <x:f>""</x:f>
        <x:v/>
      </x:c>
      <x:c r="AB1834" t="str">
        <x:f>""</x:f>
        <x:v/>
      </x:c>
      <x:c r="AC1834" t="str">
        <x:f>""</x:f>
        <x:v/>
      </x:c>
      <x:c r="AD1834" t="str">
        <x:f>""</x:f>
        <x:v/>
      </x:c>
      <x:c r="AE1834" t="str">
        <x:f>""</x:f>
        <x:v/>
      </x:c>
      <x:c r="AF1834" t="str">
        <x:f>""</x:f>
        <x:v/>
      </x:c>
      <x:c r="AG1834" t="str">
        <x:f>""</x:f>
        <x:v/>
      </x:c>
    </x:row>
    <x:row r="1835" spans="2:33" x14ac:dyDescent="0.25">
      <x:c r="B1835" t="str">
        <x:f>"ECON US Equity"</x:f>
        <x:v>ECON US Equity</x:v>
      </x:c>
      <x:c r="C1835" t="str">
        <x:f t="shared" si="80"/>
        <x:v>FD447</x:v>
      </x:c>
      <x:c r="D1835" t="str">
        <x:f t="shared" si="81"/>
        <x:v>FUND_FLOW</x:v>
      </x:c>
      <x:c r="E1835" t="str">
        <x:f t="shared" si="82"/>
        <x:v>Dynamic</x:v>
      </x:c>
      <x:c r="F1835">
        <x:f ca="1">_xll.BDH($B$1835,$C$1835,$B$1010,$B$1011,CONCATENATE("Per=",$B$1008),"Dts=H","Dir=H",CONCATENATE("Points=",$B$1009),"Sort=R","Days=A","Fill=B",CONCATENATE("FX=", $B$1007),"cols=14;rows=1")</x:f>
        <x:v>-1.9774</x:v>
      </x:c>
      <x:c r="G1835">
        <x:v>0</x:v>
      </x:c>
      <x:c r="H1835">
        <x:v>-2.1257000000000001</x:v>
      </x:c>
      <x:c r="I1835">
        <x:v>0</x:v>
      </x:c>
      <x:c r="J1835">
        <x:v>-2.0379999999999998</x:v>
      </x:c>
      <x:c r="K1835">
        <x:v>-12.9993</x:v>
      </x:c>
      <x:c r="L1835">
        <x:v>-0.99619999999999997</x:v>
      </x:c>
      <x:c r="M1835">
        <x:v>-1.9567000000000001</x:v>
      </x:c>
      <x:c r="N1835">
        <x:v>0</x:v>
      </x:c>
      <x:c r="O1835">
        <x:v>6.3483999999999998</x:v>
      </x:c>
      <x:c r="P1835">
        <x:v>-8.0495999999999999</x:v>
      </x:c>
      <x:c r="Q1835">
        <x:v>-5.8421000000000003</x:v>
      </x:c>
      <x:c r="R1835">
        <x:v>0</x:v>
      </x:c>
      <x:c r="S1835">
        <x:v>-5.0811999999999999</x:v>
      </x:c>
      <x:c r="T1835" t="str">
        <x:f>""</x:f>
        <x:v/>
      </x:c>
      <x:c r="U1835" t="str">
        <x:f>""</x:f>
        <x:v/>
      </x:c>
      <x:c r="V1835" t="str">
        <x:f>""</x:f>
        <x:v/>
      </x:c>
      <x:c r="W1835" t="str">
        <x:f>""</x:f>
        <x:v/>
      </x:c>
      <x:c r="X1835" t="str">
        <x:f>""</x:f>
        <x:v/>
      </x:c>
      <x:c r="Y1835" t="str">
        <x:f>""</x:f>
        <x:v/>
      </x:c>
      <x:c r="Z1835" t="str">
        <x:f>""</x:f>
        <x:v/>
      </x:c>
      <x:c r="AA1835" t="str">
        <x:f>""</x:f>
        <x:v/>
      </x:c>
      <x:c r="AB1835" t="str">
        <x:f>""</x:f>
        <x:v/>
      </x:c>
      <x:c r="AC1835" t="str">
        <x:f>""</x:f>
        <x:v/>
      </x:c>
      <x:c r="AD1835" t="str">
        <x:f>""</x:f>
        <x:v/>
      </x:c>
      <x:c r="AE1835" t="str">
        <x:f>""</x:f>
        <x:v/>
      </x:c>
      <x:c r="AF1835" t="str">
        <x:f>""</x:f>
        <x:v/>
      </x:c>
      <x:c r="AG1835" t="str">
        <x:f>""</x:f>
        <x:v/>
      </x:c>
    </x:row>
    <x:row r="1836" spans="2:33" x14ac:dyDescent="0.25">
      <x:c r="B1836" t="str">
        <x:f>"BFIT US Equity"</x:f>
        <x:v>BFIT US Equity</x:v>
      </x:c>
      <x:c r="C1836" t="str">
        <x:f t="shared" si="80"/>
        <x:v>FD447</x:v>
      </x:c>
      <x:c r="D1836" t="str">
        <x:f t="shared" si="81"/>
        <x:v>FUND_FLOW</x:v>
      </x:c>
      <x:c r="E1836" t="str">
        <x:f t="shared" si="82"/>
        <x:v>Dynamic</x:v>
      </x:c>
      <x:c r="F1836">
        <x:f ca="1">_xll.BDH($B$1836,$C$1836,$B$1010,$B$1011,CONCATENATE("Per=",$B$1008),"Dts=H","Dir=H",CONCATENATE("Points=",$B$1009),"Sort=R","Days=A","Fill=B",CONCATENATE("FX=", $B$1007),"cols=14;rows=1")</x:f>
        <x:v>0</x:v>
      </x:c>
      <x:c r="G1836">
        <x:v>-4.1022999999999996</x:v>
      </x:c>
      <x:c r="H1836">
        <x:v>-1.6155999999999999</x:v>
      </x:c>
      <x:c r="I1836">
        <x:v>0</x:v>
      </x:c>
      <x:c r="J1836">
        <x:v>-1.0605</x:v>
      </x:c>
      <x:c r="K1836">
        <x:v>-3.5937999999999999</x:v>
      </x:c>
      <x:c r="L1836">
        <x:v>-0.46739999999999998</x:v>
      </x:c>
      <x:c r="M1836">
        <x:v>-0.45</x:v>
      </x:c>
      <x:c r="N1836">
        <x:v>0</x:v>
      </x:c>
      <x:c r="O1836">
        <x:v>-2.0411999999999999</x:v>
      </x:c>
      <x:c r="P1836">
        <x:v>0</x:v>
      </x:c>
      <x:c r="Q1836">
        <x:v>0</x:v>
      </x:c>
      <x:c r="R1836">
        <x:v>-0.184</x:v>
      </x:c>
      <x:c r="S1836">
        <x:v>-0.56669999999999998</x:v>
      </x:c>
      <x:c r="T1836" t="str">
        <x:f>""</x:f>
        <x:v/>
      </x:c>
      <x:c r="U1836" t="str">
        <x:f>""</x:f>
        <x:v/>
      </x:c>
      <x:c r="V1836" t="str">
        <x:f>""</x:f>
        <x:v/>
      </x:c>
      <x:c r="W1836" t="str">
        <x:f>""</x:f>
        <x:v/>
      </x:c>
      <x:c r="X1836" t="str">
        <x:f>""</x:f>
        <x:v/>
      </x:c>
      <x:c r="Y1836" t="str">
        <x:f>""</x:f>
        <x:v/>
      </x:c>
      <x:c r="Z1836" t="str">
        <x:f>""</x:f>
        <x:v/>
      </x:c>
      <x:c r="AA1836" t="str">
        <x:f>""</x:f>
        <x:v/>
      </x:c>
      <x:c r="AB1836" t="str">
        <x:f>""</x:f>
        <x:v/>
      </x:c>
      <x:c r="AC1836" t="str">
        <x:f>""</x:f>
        <x:v/>
      </x:c>
      <x:c r="AD1836" t="str">
        <x:f>""</x:f>
        <x:v/>
      </x:c>
      <x:c r="AE1836" t="str">
        <x:f>""</x:f>
        <x:v/>
      </x:c>
      <x:c r="AF1836" t="str">
        <x:f>""</x:f>
        <x:v/>
      </x:c>
      <x:c r="AG1836" t="str">
        <x:f>""</x:f>
        <x:v/>
      </x:c>
    </x:row>
    <x:row r="1837" spans="2:33" x14ac:dyDescent="0.25">
      <x:c r="B1837" t="str">
        <x:f>"FITS US Equity"</x:f>
        <x:v>FITS US Equity</x:v>
      </x:c>
      <x:c r="C1837" t="str">
        <x:f t="shared" si="80"/>
        <x:v>FD447</x:v>
      </x:c>
      <x:c r="D1837" t="str">
        <x:f t="shared" si="81"/>
        <x:v>FUND_FLOW</x:v>
      </x:c>
      <x:c r="E1837" t="str">
        <x:f t="shared" si="82"/>
        <x:v>Dynamic</x:v>
      </x:c>
      <x:c r="F1837" t="str">
        <x:f ca="1">_xll.BDH($B$1837,$C$1837,$B$1010,$B$1011,CONCATENATE("Per=",$B$1008),"Dts=H","Dir=H",CONCATENATE("Points=",$B$1009),"Sort=R","Days=A","Fill=B",CONCATENATE("FX=", $B$1007) )</x:f>
        <x:v/>
      </x:c>
      <x:c r="T1837" t="str">
        <x:f>""</x:f>
        <x:v/>
      </x:c>
      <x:c r="U1837" t="str">
        <x:f>""</x:f>
        <x:v/>
      </x:c>
      <x:c r="V1837" t="str">
        <x:f>""</x:f>
        <x:v/>
      </x:c>
      <x:c r="W1837" t="str">
        <x:f>""</x:f>
        <x:v/>
      </x:c>
      <x:c r="X1837" t="str">
        <x:f>""</x:f>
        <x:v/>
      </x:c>
      <x:c r="Y1837" t="str">
        <x:f>""</x:f>
        <x:v/>
      </x:c>
      <x:c r="Z1837" t="str">
        <x:f>""</x:f>
        <x:v/>
      </x:c>
      <x:c r="AA1837" t="str">
        <x:f>""</x:f>
        <x:v/>
      </x:c>
      <x:c r="AB1837" t="str">
        <x:f>""</x:f>
        <x:v/>
      </x:c>
      <x:c r="AC1837" t="str">
        <x:f>""</x:f>
        <x:v/>
      </x:c>
      <x:c r="AD1837" t="str">
        <x:f>""</x:f>
        <x:v/>
      </x:c>
      <x:c r="AE1837" t="str">
        <x:f>""</x:f>
        <x:v/>
      </x:c>
      <x:c r="AF1837" t="str">
        <x:f>""</x:f>
        <x:v/>
      </x:c>
      <x:c r="AG1837" t="str">
        <x:f>""</x:f>
        <x:v/>
      </x:c>
    </x:row>
    <x:row r="1838" spans="2:33" x14ac:dyDescent="0.25">
      <x:c r="B1838" t="str">
        <x:f>"XBUY US Equity"</x:f>
        <x:v>XBUY US Equity</x:v>
      </x:c>
      <x:c r="C1838" t="str">
        <x:f t="shared" si="80"/>
        <x:v>FD447</x:v>
      </x:c>
      <x:c r="D1838" t="str">
        <x:f t="shared" si="81"/>
        <x:v>FUND_FLOW</x:v>
      </x:c>
      <x:c r="E1838" t="str">
        <x:f t="shared" si="82"/>
        <x:v>Dynamic</x:v>
      </x:c>
      <x:c r="F1838">
        <x:f ca="1">_xll.BDH($B$1838,$C$1838,$B$1010,$B$1011,CONCATENATE("Per=",$B$1008),"Dts=H","Dir=H",CONCATENATE("Points=",$B$1009),"Sort=R","Days=A","Fill=B",CONCATENATE("FX=", $B$1007),"cols=14;rows=1")</x:f>
        <x:v>0</x:v>
      </x:c>
      <x:c r="G1838">
        <x:v>0</x:v>
      </x:c>
      <x:c r="H1838">
        <x:v>0</x:v>
      </x:c>
      <x:c r="I1838">
        <x:v>0</x:v>
      </x:c>
      <x:c r="J1838">
        <x:v>0</x:v>
      </x:c>
      <x:c r="K1838">
        <x:v>0</x:v>
      </x:c>
      <x:c r="L1838">
        <x:v>-0.52639999999999998</x:v>
      </x:c>
      <x:c r="M1838">
        <x:v>0</x:v>
      </x:c>
      <x:c r="N1838">
        <x:v>0</x:v>
      </x:c>
      <x:c r="O1838">
        <x:v>0</x:v>
      </x:c>
      <x:c r="P1838">
        <x:v>0</x:v>
      </x:c>
      <x:c r="Q1838">
        <x:v>0</x:v>
      </x:c>
      <x:c r="R1838">
        <x:v>0</x:v>
      </x:c>
      <x:c r="S1838">
        <x:v>0</x:v>
      </x:c>
      <x:c r="T1838" t="str">
        <x:f>""</x:f>
        <x:v/>
      </x:c>
      <x:c r="U1838" t="str">
        <x:f>""</x:f>
        <x:v/>
      </x:c>
      <x:c r="V1838" t="str">
        <x:f>""</x:f>
        <x:v/>
      </x:c>
      <x:c r="W1838" t="str">
        <x:f>""</x:f>
        <x:v/>
      </x:c>
      <x:c r="X1838" t="str">
        <x:f>""</x:f>
        <x:v/>
      </x:c>
      <x:c r="Y1838" t="str">
        <x:f>""</x:f>
        <x:v/>
      </x:c>
      <x:c r="Z1838" t="str">
        <x:f>""</x:f>
        <x:v/>
      </x:c>
      <x:c r="AA1838" t="str">
        <x:f>""</x:f>
        <x:v/>
      </x:c>
      <x:c r="AB1838" t="str">
        <x:f>""</x:f>
        <x:v/>
      </x:c>
      <x:c r="AC1838" t="str">
        <x:f>""</x:f>
        <x:v/>
      </x:c>
      <x:c r="AD1838" t="str">
        <x:f>""</x:f>
        <x:v/>
      </x:c>
      <x:c r="AE1838" t="str">
        <x:f>""</x:f>
        <x:v/>
      </x:c>
      <x:c r="AF1838" t="str">
        <x:f>""</x:f>
        <x:v/>
      </x:c>
      <x:c r="AG1838" t="str">
        <x:f>""</x:f>
        <x:v/>
      </x:c>
    </x:row>
    <x:row r="1839" spans="2:33" x14ac:dyDescent="0.25">
      <x:c r="B1839" t="str">
        <x:f>"BUYZ US Equity"</x:f>
        <x:v>BUYZ US Equity</x:v>
      </x:c>
      <x:c r="C1839" t="str">
        <x:f t="shared" si="80"/>
        <x:v>FD447</x:v>
      </x:c>
      <x:c r="D1839" t="str">
        <x:f t="shared" si="81"/>
        <x:v>FUND_FLOW</x:v>
      </x:c>
      <x:c r="E1839" t="str">
        <x:f t="shared" si="82"/>
        <x:v>Dynamic</x:v>
      </x:c>
      <x:c r="F1839">
        <x:f ca="1">_xll.BDH($B$1839,$C$1839,$B$1010,$B$1011,CONCATENATE("Per=",$B$1008),"Dts=H","Dir=H",CONCATENATE("Points=",$B$1009),"Sort=R","Days=A","Fill=B",CONCATENATE("FX=", $B$1007),"cols=14;rows=1")</x:f>
        <x:v>-1.1627000000000001</x:v>
      </x:c>
      <x:c r="G1839">
        <x:v>0</x:v>
      </x:c>
      <x:c r="H1839">
        <x:v>0</x:v>
      </x:c>
      <x:c r="I1839">
        <x:v>0</x:v>
      </x:c>
      <x:c r="J1839">
        <x:v>0</x:v>
      </x:c>
      <x:c r="K1839">
        <x:v>0</x:v>
      </x:c>
      <x:c r="L1839">
        <x:v>0</x:v>
      </x:c>
      <x:c r="M1839">
        <x:v>0</x:v>
      </x:c>
      <x:c r="N1839">
        <x:v>0</x:v>
      </x:c>
      <x:c r="O1839">
        <x:v>0</x:v>
      </x:c>
      <x:c r="P1839">
        <x:v>0</x:v>
      </x:c>
      <x:c r="Q1839">
        <x:v>0</x:v>
      </x:c>
      <x:c r="R1839">
        <x:v>0</x:v>
      </x:c>
      <x:c r="S1839">
        <x:v>0</x:v>
      </x:c>
      <x:c r="T1839" t="str">
        <x:f>""</x:f>
        <x:v/>
      </x:c>
      <x:c r="U1839" t="str">
        <x:f>""</x:f>
        <x:v/>
      </x:c>
      <x:c r="V1839" t="str">
        <x:f>""</x:f>
        <x:v/>
      </x:c>
      <x:c r="W1839" t="str">
        <x:f>""</x:f>
        <x:v/>
      </x:c>
      <x:c r="X1839" t="str">
        <x:f>""</x:f>
        <x:v/>
      </x:c>
      <x:c r="Y1839" t="str">
        <x:f>""</x:f>
        <x:v/>
      </x:c>
      <x:c r="Z1839" t="str">
        <x:f>""</x:f>
        <x:v/>
      </x:c>
      <x:c r="AA1839" t="str">
        <x:f>""</x:f>
        <x:v/>
      </x:c>
      <x:c r="AB1839" t="str">
        <x:f>""</x:f>
        <x:v/>
      </x:c>
      <x:c r="AC1839" t="str">
        <x:f>""</x:f>
        <x:v/>
      </x:c>
      <x:c r="AD1839" t="str">
        <x:f>""</x:f>
        <x:v/>
      </x:c>
      <x:c r="AE1839" t="str">
        <x:f>""</x:f>
        <x:v/>
      </x:c>
      <x:c r="AF1839" t="str">
        <x:f>""</x:f>
        <x:v/>
      </x:c>
      <x:c r="AG1839" t="str">
        <x:f>""</x:f>
        <x:v/>
      </x:c>
    </x:row>
    <x:row r="1840" spans="2:33" x14ac:dyDescent="0.25">
      <x:c r="B1840" t="str">
        <x:f>"CCON US Equity"</x:f>
        <x:v>CCON US Equity</x:v>
      </x:c>
      <x:c r="C1840" t="str">
        <x:f t="shared" si="80"/>
        <x:v>FD447</x:v>
      </x:c>
      <x:c r="D1840" t="str">
        <x:f t="shared" si="81"/>
        <x:v>FUND_FLOW</x:v>
      </x:c>
      <x:c r="E1840" t="str">
        <x:f t="shared" si="82"/>
        <x:v>Dynamic</x:v>
      </x:c>
      <x:c r="F1840" t="str">
        <x:f ca="1">_xll.BDH($B$1840,$C$1840,$B$1010,$B$1011,CONCATENATE("Per=",$B$1008),"Dts=H","Dir=H",CONCATENATE("Points=",$B$1009),"Sort=R","Days=A","Fill=B",CONCATENATE("FX=", $B$1007) )</x:f>
        <x:v/>
      </x:c>
      <x:c r="T1840" t="str">
        <x:f>""</x:f>
        <x:v/>
      </x:c>
      <x:c r="U1840" t="str">
        <x:f>""</x:f>
        <x:v/>
      </x:c>
      <x:c r="V1840" t="str">
        <x:f>""</x:f>
        <x:v/>
      </x:c>
      <x:c r="W1840" t="str">
        <x:f>""</x:f>
        <x:v/>
      </x:c>
      <x:c r="X1840" t="str">
        <x:f>""</x:f>
        <x:v/>
      </x:c>
      <x:c r="Y1840" t="str">
        <x:f>""</x:f>
        <x:v/>
      </x:c>
      <x:c r="Z1840" t="str">
        <x:f>""</x:f>
        <x:v/>
      </x:c>
      <x:c r="AA1840" t="str">
        <x:f>""</x:f>
        <x:v/>
      </x:c>
      <x:c r="AB1840" t="str">
        <x:f>""</x:f>
        <x:v/>
      </x:c>
      <x:c r="AC1840" t="str">
        <x:f>""</x:f>
        <x:v/>
      </x:c>
      <x:c r="AD1840" t="str">
        <x:f>""</x:f>
        <x:v/>
      </x:c>
      <x:c r="AE1840" t="str">
        <x:f>""</x:f>
        <x:v/>
      </x:c>
      <x:c r="AF1840" t="str">
        <x:f>""</x:f>
        <x:v/>
      </x:c>
      <x:c r="AG1840" t="str">
        <x:f>""</x:f>
        <x:v/>
      </x:c>
    </x:row>
    <x:row r="1841" spans="2:33" x14ac:dyDescent="0.25">
      <x:c r="B1841" t="str">
        <x:f>"LUXE US Equity"</x:f>
        <x:v>LUXE US Equity</x:v>
      </x:c>
      <x:c r="C1841" t="str">
        <x:f t="shared" si="80"/>
        <x:v>FD447</x:v>
      </x:c>
      <x:c r="D1841" t="str">
        <x:f t="shared" si="81"/>
        <x:v>FUND_FLOW</x:v>
      </x:c>
      <x:c r="E1841" t="str">
        <x:f t="shared" si="82"/>
        <x:v>Dynamic</x:v>
      </x:c>
      <x:c r="F1841" t="str">
        <x:f ca="1">_xll.BDH($B$1841,$C$1841,$B$1010,$B$1011,CONCATENATE("Per=",$B$1008),"Dts=H","Dir=H",CONCATENATE("Points=",$B$1009),"Sort=R","Days=A","Fill=B",CONCATENATE("FX=", $B$1007),"cols=14;rows=1")</x:f>
        <x:v/>
      </x:c>
      <x:c r="R1841">
        <x:v>0</x:v>
      </x:c>
      <x:c r="S1841">
        <x:v>0</x:v>
      </x:c>
      <x:c r="T1841" t="str">
        <x:f>""</x:f>
        <x:v/>
      </x:c>
      <x:c r="U1841" t="str">
        <x:f>""</x:f>
        <x:v/>
      </x:c>
      <x:c r="V1841" t="str">
        <x:f>""</x:f>
        <x:v/>
      </x:c>
      <x:c r="W1841" t="str">
        <x:f>""</x:f>
        <x:v/>
      </x:c>
      <x:c r="X1841" t="str">
        <x:f>""</x:f>
        <x:v/>
      </x:c>
      <x:c r="Y1841" t="str">
        <x:f>""</x:f>
        <x:v/>
      </x:c>
      <x:c r="Z1841" t="str">
        <x:f>""</x:f>
        <x:v/>
      </x:c>
      <x:c r="AA1841" t="str">
        <x:f>""</x:f>
        <x:v/>
      </x:c>
      <x:c r="AB1841" t="str">
        <x:f>""</x:f>
        <x:v/>
      </x:c>
      <x:c r="AC1841" t="str">
        <x:f>""</x:f>
        <x:v/>
      </x:c>
      <x:c r="AD1841" t="str">
        <x:f>""</x:f>
        <x:v/>
      </x:c>
      <x:c r="AE1841" t="str">
        <x:f>""</x:f>
        <x:v/>
      </x:c>
      <x:c r="AF1841" t="str">
        <x:f>""</x:f>
        <x:v/>
      </x:c>
      <x:c r="AG1841" t="str">
        <x:f>""</x:f>
        <x:v/>
      </x:c>
    </x:row>
    <x:row r="1842" spans="2:33" x14ac:dyDescent="0.25">
      <x:c r="B1842" t="str">
        <x:f>"BETZ US Equity"</x:f>
        <x:v>BETZ US Equity</x:v>
      </x:c>
      <x:c r="C1842" t="str">
        <x:f t="shared" si="80"/>
        <x:v>FD447</x:v>
      </x:c>
      <x:c r="D1842" t="str">
        <x:f t="shared" si="81"/>
        <x:v>FUND_FLOW</x:v>
      </x:c>
      <x:c r="E1842" t="str">
        <x:f t="shared" si="82"/>
        <x:v>Dynamic</x:v>
      </x:c>
      <x:c r="F1842">
        <x:f ca="1">_xll.BDH($B$1842,$C$1842,$B$1010,$B$1011,CONCATENATE("Per=",$B$1008),"Dts=H","Dir=H",CONCATENATE("Points=",$B$1009),"Sort=R","Days=A","Fill=B",CONCATENATE("FX=", $B$1007),"cols=14;rows=1")</x:f>
        <x:v>-2.7019000000000002</x:v>
      </x:c>
      <x:c r="G1842">
        <x:v>0</x:v>
      </x:c>
      <x:c r="H1842">
        <x:v>-3.9588000000000001</x:v>
      </x:c>
      <x:c r="I1842">
        <x:v>-4.0464000000000002</x:v>
      </x:c>
      <x:c r="J1842">
        <x:v>-20.445799999999998</x:v>
      </x:c>
      <x:c r="K1842">
        <x:v>0</x:v>
      </x:c>
      <x:c r="L1842">
        <x:v>-2.4051999999999998</x:v>
      </x:c>
      <x:c r="M1842">
        <x:v>-1.9623999999999999</x:v>
      </x:c>
      <x:c r="N1842">
        <x:v>0.3977</x:v>
      </x:c>
      <x:c r="O1842">
        <x:v>-2.3201999999999998</x:v>
      </x:c>
      <x:c r="P1842">
        <x:v>11.739100000000001</x:v>
      </x:c>
      <x:c r="Q1842">
        <x:v>-1.4903</x:v>
      </x:c>
      <x:c r="R1842">
        <x:v>-7.4814999999999996</x:v>
      </x:c>
      <x:c r="S1842">
        <x:v>-1.1462000000000001</x:v>
      </x:c>
      <x:c r="T1842" t="str">
        <x:f>""</x:f>
        <x:v/>
      </x:c>
      <x:c r="U1842" t="str">
        <x:f>""</x:f>
        <x:v/>
      </x:c>
      <x:c r="V1842" t="str">
        <x:f>""</x:f>
        <x:v/>
      </x:c>
      <x:c r="W1842" t="str">
        <x:f>""</x:f>
        <x:v/>
      </x:c>
      <x:c r="X1842" t="str">
        <x:f>""</x:f>
        <x:v/>
      </x:c>
      <x:c r="Y1842" t="str">
        <x:f>""</x:f>
        <x:v/>
      </x:c>
      <x:c r="Z1842" t="str">
        <x:f>""</x:f>
        <x:v/>
      </x:c>
      <x:c r="AA1842" t="str">
        <x:f>""</x:f>
        <x:v/>
      </x:c>
      <x:c r="AB1842" t="str">
        <x:f>""</x:f>
        <x:v/>
      </x:c>
      <x:c r="AC1842" t="str">
        <x:f>""</x:f>
        <x:v/>
      </x:c>
      <x:c r="AD1842" t="str">
        <x:f>""</x:f>
        <x:v/>
      </x:c>
      <x:c r="AE1842" t="str">
        <x:f>""</x:f>
        <x:v/>
      </x:c>
      <x:c r="AF1842" t="str">
        <x:f>""</x:f>
        <x:v/>
      </x:c>
      <x:c r="AG1842" t="str">
        <x:f>""</x:f>
        <x:v/>
      </x:c>
    </x:row>
    <x:row r="1843" spans="2:33" x14ac:dyDescent="0.25">
      <x:c r="B1843" t="str">
        <x:f>"GBUY US Equity"</x:f>
        <x:v>GBUY US Equity</x:v>
      </x:c>
      <x:c r="C1843" t="str">
        <x:f t="shared" si="80"/>
        <x:v>FD447</x:v>
      </x:c>
      <x:c r="D1843" t="str">
        <x:f t="shared" si="81"/>
        <x:v>FUND_FLOW</x:v>
      </x:c>
      <x:c r="E1843" t="str">
        <x:f t="shared" si="82"/>
        <x:v>Dynamic</x:v>
      </x:c>
      <x:c r="F1843">
        <x:f ca="1">_xll.BDH($B$1843,$C$1843,$B$1010,$B$1011,CONCATENATE("Per=",$B$1008),"Dts=H","Dir=H",CONCATENATE("Points=",$B$1009),"Sort=R","Days=A","Fill=B",CONCATENATE("FX=", $B$1007),"cols=14;rows=1")</x:f>
        <x:v>15.424300000000001</x:v>
      </x:c>
      <x:c r="G1843">
        <x:v>1.2884</x:v>
      </x:c>
      <x:c r="H1843">
        <x:v>0.69899999999999995</x:v>
      </x:c>
      <x:c r="I1843">
        <x:v>11.563700000000001</x:v>
      </x:c>
      <x:c r="J1843">
        <x:v>-1.3812</x:v>
      </x:c>
      <x:c r="K1843">
        <x:v>0.6804</x:v>
      </x:c>
      <x:c r="L1843">
        <x:v>0.6573</x:v>
      </x:c>
      <x:c r="M1843">
        <x:v>35.233600000000003</x:v>
      </x:c>
      <x:c r="N1843">
        <x:v>0</x:v>
      </x:c>
      <x:c r="O1843">
        <x:v>1.3096000000000001</x:v>
      </x:c>
      <x:c r="P1843">
        <x:v>9.9251000000000005</x:v>
      </x:c>
      <x:c r="Q1843">
        <x:v>0</x:v>
      </x:c>
      <x:c r="R1843">
        <x:v>0</x:v>
      </x:c>
      <x:c r="S1843">
        <x:v>0</x:v>
      </x:c>
      <x:c r="T1843" t="str">
        <x:f>""</x:f>
        <x:v/>
      </x:c>
      <x:c r="U1843" t="str">
        <x:f>""</x:f>
        <x:v/>
      </x:c>
      <x:c r="V1843" t="str">
        <x:f>""</x:f>
        <x:v/>
      </x:c>
      <x:c r="W1843" t="str">
        <x:f>""</x:f>
        <x:v/>
      </x:c>
      <x:c r="X1843" t="str">
        <x:f>""</x:f>
        <x:v/>
      </x:c>
      <x:c r="Y1843" t="str">
        <x:f>""</x:f>
        <x:v/>
      </x:c>
      <x:c r="Z1843" t="str">
        <x:f>""</x:f>
        <x:v/>
      </x:c>
      <x:c r="AA1843" t="str">
        <x:f>""</x:f>
        <x:v/>
      </x:c>
      <x:c r="AB1843" t="str">
        <x:f>""</x:f>
        <x:v/>
      </x:c>
      <x:c r="AC1843" t="str">
        <x:f>""</x:f>
        <x:v/>
      </x:c>
      <x:c r="AD1843" t="str">
        <x:f>""</x:f>
        <x:v/>
      </x:c>
      <x:c r="AE1843" t="str">
        <x:f>""</x:f>
        <x:v/>
      </x:c>
      <x:c r="AF1843" t="str">
        <x:f>""</x:f>
        <x:v/>
      </x:c>
      <x:c r="AG1843" t="str">
        <x:f>""</x:f>
        <x:v/>
      </x:c>
    </x:row>
    <x:row r="1844" spans="2:33" x14ac:dyDescent="0.25">
      <x:c r="B1844" t="str">
        <x:f>"OND US Equity"</x:f>
        <x:v>OND US Equity</x:v>
      </x:c>
      <x:c r="C1844" t="str">
        <x:f t="shared" si="80"/>
        <x:v>FD447</x:v>
      </x:c>
      <x:c r="D1844" t="str">
        <x:f t="shared" si="81"/>
        <x:v>FUND_FLOW</x:v>
      </x:c>
      <x:c r="E1844" t="str">
        <x:f t="shared" si="82"/>
        <x:v>Dynamic</x:v>
      </x:c>
      <x:c r="F1844">
        <x:f ca="1">_xll.BDH($B$1844,$C$1844,$B$1010,$B$1011,CONCATENATE("Per=",$B$1008),"Dts=H","Dir=H",CONCATENATE("Points=",$B$1009),"Sort=R","Days=A","Fill=B",CONCATENATE("FX=", $B$1007),"cols=14;rows=1")</x:f>
        <x:v>0</x:v>
      </x:c>
      <x:c r="G1844">
        <x:v>0</x:v>
      </x:c>
      <x:c r="H1844">
        <x:v>0</x:v>
      </x:c>
      <x:c r="I1844">
        <x:v>0</x:v>
      </x:c>
      <x:c r="J1844">
        <x:v>0</x:v>
      </x:c>
      <x:c r="K1844">
        <x:v>0</x:v>
      </x:c>
      <x:c r="L1844">
        <x:v>0</x:v>
      </x:c>
      <x:c r="M1844">
        <x:v>-0.54320000000000002</x:v>
      </x:c>
      <x:c r="N1844">
        <x:v>0</x:v>
      </x:c>
      <x:c r="O1844">
        <x:v>0</x:v>
      </x:c>
      <x:c r="P1844">
        <x:v>0</x:v>
      </x:c>
      <x:c r="Q1844">
        <x:v>0</x:v>
      </x:c>
      <x:c r="R1844">
        <x:v>0</x:v>
      </x:c>
      <x:c r="S1844">
        <x:v>0</x:v>
      </x:c>
      <x:c r="T1844" t="str">
        <x:f>""</x:f>
        <x:v/>
      </x:c>
      <x:c r="U1844" t="str">
        <x:f>""</x:f>
        <x:v/>
      </x:c>
      <x:c r="V1844" t="str">
        <x:f>""</x:f>
        <x:v/>
      </x:c>
      <x:c r="W1844" t="str">
        <x:f>""</x:f>
        <x:v/>
      </x:c>
      <x:c r="X1844" t="str">
        <x:f>""</x:f>
        <x:v/>
      </x:c>
      <x:c r="Y1844" t="str">
        <x:f>""</x:f>
        <x:v/>
      </x:c>
      <x:c r="Z1844" t="str">
        <x:f>""</x:f>
        <x:v/>
      </x:c>
      <x:c r="AA1844" t="str">
        <x:f>""</x:f>
        <x:v/>
      </x:c>
      <x:c r="AB1844" t="str">
        <x:f>""</x:f>
        <x:v/>
      </x:c>
      <x:c r="AC1844" t="str">
        <x:f>""</x:f>
        <x:v/>
      </x:c>
      <x:c r="AD1844" t="str">
        <x:f>""</x:f>
        <x:v/>
      </x:c>
      <x:c r="AE1844" t="str">
        <x:f>""</x:f>
        <x:v/>
      </x:c>
      <x:c r="AF1844" t="str">
        <x:f>""</x:f>
        <x:v/>
      </x:c>
      <x:c r="AG1844" t="str">
        <x:f>""</x:f>
        <x:v/>
      </x:c>
    </x:row>
    <x:row r="1845" spans="2:33" x14ac:dyDescent="0.25">
      <x:c r="B1845" t="str">
        <x:f>"IBUY US Equity"</x:f>
        <x:v>IBUY US Equity</x:v>
      </x:c>
      <x:c r="C1845" t="str">
        <x:f t="shared" si="80"/>
        <x:v>FD447</x:v>
      </x:c>
      <x:c r="D1845" t="str">
        <x:f t="shared" si="81"/>
        <x:v>FUND_FLOW</x:v>
      </x:c>
      <x:c r="E1845" t="str">
        <x:f t="shared" si="82"/>
        <x:v>Dynamic</x:v>
      </x:c>
      <x:c r="F1845">
        <x:f ca="1">_xll.BDH($B$1845,$C$1845,$B$1010,$B$1011,CONCATENATE("Per=",$B$1008),"Dts=H","Dir=H",CONCATENATE("Points=",$B$1009),"Sort=R","Days=A","Fill=B",CONCATENATE("FX=", $B$1007),"cols=14;rows=1")</x:f>
        <x:v>-14.534700000000001</x:v>
      </x:c>
      <x:c r="G1845">
        <x:v>-2.3025000000000002</x:v>
      </x:c>
      <x:c r="H1845">
        <x:v>-6.8749000000000002</x:v>
      </x:c>
      <x:c r="I1845">
        <x:v>12.120200000000001</x:v>
      </x:c>
      <x:c r="J1845">
        <x:v>-24.930800000000001</x:v>
      </x:c>
      <x:c r="K1845">
        <x:v>0</x:v>
      </x:c>
      <x:c r="L1845">
        <x:v>2.1425000000000001</x:v>
      </x:c>
      <x:c r="M1845">
        <x:v>-2.2479</x:v>
      </x:c>
      <x:c r="N1845">
        <x:v>2.3056999999999999</x:v>
      </x:c>
      <x:c r="O1845">
        <x:v>-13.421799999999999</x:v>
      </x:c>
      <x:c r="P1845">
        <x:v>8.4893999999999998</x:v>
      </x:c>
      <x:c r="Q1845">
        <x:v>0</x:v>
      </x:c>
      <x:c r="R1845">
        <x:v>-13.479699999999999</x:v>
      </x:c>
      <x:c r="S1845">
        <x:v>4.3559999999999999</x:v>
      </x:c>
      <x:c r="T1845" t="str">
        <x:f>""</x:f>
        <x:v/>
      </x:c>
      <x:c r="U1845" t="str">
        <x:f>""</x:f>
        <x:v/>
      </x:c>
      <x:c r="V1845" t="str">
        <x:f>""</x:f>
        <x:v/>
      </x:c>
      <x:c r="W1845" t="str">
        <x:f>""</x:f>
        <x:v/>
      </x:c>
      <x:c r="X1845" t="str">
        <x:f>""</x:f>
        <x:v/>
      </x:c>
      <x:c r="Y1845" t="str">
        <x:f>""</x:f>
        <x:v/>
      </x:c>
      <x:c r="Z1845" t="str">
        <x:f>""</x:f>
        <x:v/>
      </x:c>
      <x:c r="AA1845" t="str">
        <x:f>""</x:f>
        <x:v/>
      </x:c>
      <x:c r="AB1845" t="str">
        <x:f>""</x:f>
        <x:v/>
      </x:c>
      <x:c r="AC1845" t="str">
        <x:f>""</x:f>
        <x:v/>
      </x:c>
      <x:c r="AD1845" t="str">
        <x:f>""</x:f>
        <x:v/>
      </x:c>
      <x:c r="AE1845" t="str">
        <x:f>""</x:f>
        <x:v/>
      </x:c>
      <x:c r="AF1845" t="str">
        <x:f>""</x:f>
        <x:v/>
      </x:c>
      <x:c r="AG1845" t="str">
        <x:f>""</x:f>
        <x:v/>
      </x:c>
    </x:row>
    <x:row r="1846" spans="2:33" x14ac:dyDescent="0.25">
      <x:c r="B1846" t="str">
        <x:f>"NBCC US Equity"</x:f>
        <x:v>NBCC US Equity</x:v>
      </x:c>
      <x:c r="C1846" t="str">
        <x:f t="shared" ref="C1846:C1909" si="83">"FD447"</x:f>
        <x:v>FD447</x:v>
      </x:c>
      <x:c r="D1846" t="str">
        <x:f t="shared" ref="D1846:D1909" si="84">"FUND_FLOW"</x:f>
        <x:v>FUND_FLOW</x:v>
      </x:c>
      <x:c r="E1846" t="str">
        <x:f t="shared" ref="E1846:E1909" si="85">"Dynamic"</x:f>
        <x:v>Dynamic</x:v>
      </x:c>
      <x:c r="F1846">
        <x:f ca="1">_xll.BDH($B$1846,$C$1846,$B$1010,$B$1011,CONCATENATE("Per=",$B$1008),"Dts=H","Dir=H",CONCATENATE("Points=",$B$1009),"Sort=R","Days=A","Fill=B",CONCATENATE("FX=", $B$1007),"cols=14;rows=1")</x:f>
        <x:v>0</x:v>
      </x:c>
      <x:c r="G1846">
        <x:v>0</x:v>
      </x:c>
      <x:c r="H1846">
        <x:v>0</x:v>
      </x:c>
      <x:c r="I1846">
        <x:v>0</x:v>
      </x:c>
      <x:c r="J1846">
        <x:v>0</x:v>
      </x:c>
      <x:c r="K1846">
        <x:v>0</x:v>
      </x:c>
      <x:c r="L1846">
        <x:v>0</x:v>
      </x:c>
      <x:c r="M1846">
        <x:v>0</x:v>
      </x:c>
      <x:c r="N1846">
        <x:v>0</x:v>
      </x:c>
      <x:c r="O1846">
        <x:v>0</x:v>
      </x:c>
      <x:c r="P1846">
        <x:v>0</x:v>
      </x:c>
      <x:c r="Q1846">
        <x:v>0</x:v>
      </x:c>
      <x:c r="R1846">
        <x:v>0</x:v>
      </x:c>
      <x:c r="S1846">
        <x:v>0</x:v>
      </x:c>
      <x:c r="T1846" t="str">
        <x:f>""</x:f>
        <x:v/>
      </x:c>
      <x:c r="U1846" t="str">
        <x:f>""</x:f>
        <x:v/>
      </x:c>
      <x:c r="V1846" t="str">
        <x:f>""</x:f>
        <x:v/>
      </x:c>
      <x:c r="W1846" t="str">
        <x:f>""</x:f>
        <x:v/>
      </x:c>
      <x:c r="X1846" t="str">
        <x:f>""</x:f>
        <x:v/>
      </x:c>
      <x:c r="Y1846" t="str">
        <x:f>""</x:f>
        <x:v/>
      </x:c>
      <x:c r="Z1846" t="str">
        <x:f>""</x:f>
        <x:v/>
      </x:c>
      <x:c r="AA1846" t="str">
        <x:f>""</x:f>
        <x:v/>
      </x:c>
      <x:c r="AB1846" t="str">
        <x:f>""</x:f>
        <x:v/>
      </x:c>
      <x:c r="AC1846" t="str">
        <x:f>""</x:f>
        <x:v/>
      </x:c>
      <x:c r="AD1846" t="str">
        <x:f>""</x:f>
        <x:v/>
      </x:c>
      <x:c r="AE1846" t="str">
        <x:f>""</x:f>
        <x:v/>
      </x:c>
      <x:c r="AF1846" t="str">
        <x:f>""</x:f>
        <x:v/>
      </x:c>
      <x:c r="AG1846" t="str">
        <x:f>""</x:f>
        <x:v/>
      </x:c>
    </x:row>
    <x:row r="1847" spans="2:33" x14ac:dyDescent="0.25">
      <x:c r="B1847" t="str">
        <x:f>"IZRL US Equity"</x:f>
        <x:v>IZRL US Equity</x:v>
      </x:c>
      <x:c r="C1847" t="str">
        <x:f t="shared" si="83"/>
        <x:v>FD447</x:v>
      </x:c>
      <x:c r="D1847" t="str">
        <x:f t="shared" si="84"/>
        <x:v>FUND_FLOW</x:v>
      </x:c>
      <x:c r="E1847" t="str">
        <x:f t="shared" si="85"/>
        <x:v>Dynamic</x:v>
      </x:c>
      <x:c r="F1847">
        <x:f ca="1">_xll.BDH($B$1847,$C$1847,$B$1010,$B$1011,CONCATENATE("Per=",$B$1008),"Dts=H","Dir=H",CONCATENATE("Points=",$B$1009),"Sort=R","Days=A","Fill=B",CONCATENATE("FX=", $B$1007),"cols=14;rows=1")</x:f>
        <x:v>-7.1890999999999998</x:v>
      </x:c>
      <x:c r="G1847">
        <x:v>0</x:v>
      </x:c>
      <x:c r="H1847">
        <x:v>2.4607999999999999</x:v>
      </x:c>
      <x:c r="I1847">
        <x:v>-4.9919000000000002</x:v>
      </x:c>
      <x:c r="J1847">
        <x:v>-2.4116</x:v>
      </x:c>
      <x:c r="K1847">
        <x:v>-3.5028000000000001</x:v>
      </x:c>
      <x:c r="L1847">
        <x:v>0</x:v>
      </x:c>
      <x:c r="M1847">
        <x:v>-0.88349999999999995</x:v>
      </x:c>
      <x:c r="N1847">
        <x:v>0</x:v>
      </x:c>
      <x:c r="O1847">
        <x:v>-4.5148999999999999</x:v>
      </x:c>
      <x:c r="P1847">
        <x:v>2.6261999999999999</x:v>
      </x:c>
      <x:c r="Q1847">
        <x:v>-0.89829999999999999</x:v>
      </x:c>
      <x:c r="R1847">
        <x:v>-2.6162000000000001</x:v>
      </x:c>
      <x:c r="S1847">
        <x:v>-0.88759999999999994</x:v>
      </x:c>
      <x:c r="T1847" t="str">
        <x:f>""</x:f>
        <x:v/>
      </x:c>
      <x:c r="U1847" t="str">
        <x:f>""</x:f>
        <x:v/>
      </x:c>
      <x:c r="V1847" t="str">
        <x:f>""</x:f>
        <x:v/>
      </x:c>
      <x:c r="W1847" t="str">
        <x:f>""</x:f>
        <x:v/>
      </x:c>
      <x:c r="X1847" t="str">
        <x:f>""</x:f>
        <x:v/>
      </x:c>
      <x:c r="Y1847" t="str">
        <x:f>""</x:f>
        <x:v/>
      </x:c>
      <x:c r="Z1847" t="str">
        <x:f>""</x:f>
        <x:v/>
      </x:c>
      <x:c r="AA1847" t="str">
        <x:f>""</x:f>
        <x:v/>
      </x:c>
      <x:c r="AB1847" t="str">
        <x:f>""</x:f>
        <x:v/>
      </x:c>
      <x:c r="AC1847" t="str">
        <x:f>""</x:f>
        <x:v/>
      </x:c>
      <x:c r="AD1847" t="str">
        <x:f>""</x:f>
        <x:v/>
      </x:c>
      <x:c r="AE1847" t="str">
        <x:f>""</x:f>
        <x:v/>
      </x:c>
      <x:c r="AF1847" t="str">
        <x:f>""</x:f>
        <x:v/>
      </x:c>
      <x:c r="AG1847" t="str">
        <x:f>""</x:f>
        <x:v/>
      </x:c>
    </x:row>
    <x:row r="1848" spans="2:33" x14ac:dyDescent="0.25">
      <x:c r="B1848" t="str">
        <x:f>"PRNT US Equity"</x:f>
        <x:v>PRNT US Equity</x:v>
      </x:c>
      <x:c r="C1848" t="str">
        <x:f t="shared" si="83"/>
        <x:v>FD447</x:v>
      </x:c>
      <x:c r="D1848" t="str">
        <x:f t="shared" si="84"/>
        <x:v>FUND_FLOW</x:v>
      </x:c>
      <x:c r="E1848" t="str">
        <x:f t="shared" si="85"/>
        <x:v>Dynamic</x:v>
      </x:c>
      <x:c r="F1848">
        <x:f ca="1">_xll.BDH($B$1848,$C$1848,$B$1010,$B$1011,CONCATENATE("Per=",$B$1008),"Dts=H","Dir=H",CONCATENATE("Points=",$B$1009),"Sort=R","Days=A","Fill=B",CONCATENATE("FX=", $B$1007),"cols=14;rows=1")</x:f>
        <x:v>-2.9207999999999998</x:v>
      </x:c>
      <x:c r="G1848">
        <x:v>-3.0474000000000001</x:v>
      </x:c>
      <x:c r="H1848">
        <x:v>-5.5826000000000002</x:v>
      </x:c>
      <x:c r="I1848">
        <x:v>-1.2476</x:v>
      </x:c>
      <x:c r="J1848">
        <x:v>-0.98719999999999997</x:v>
      </x:c>
      <x:c r="K1848">
        <x:v>-2.1604999999999999</x:v>
      </x:c>
      <x:c r="L1848">
        <x:v>-1.1247</x:v>
      </x:c>
      <x:c r="M1848">
        <x:v>-4.3785999999999996</x:v>
      </x:c>
      <x:c r="N1848">
        <x:v>-4.9034000000000004</x:v>
      </x:c>
      <x:c r="O1848">
        <x:v>-5.5683999999999996</x:v>
      </x:c>
      <x:c r="P1848">
        <x:v>-1.0915999999999999</x:v>
      </x:c>
      <x:c r="Q1848">
        <x:v>0</x:v>
      </x:c>
      <x:c r="R1848">
        <x:v>-7.0532000000000004</x:v>
      </x:c>
      <x:c r="S1848">
        <x:v>-1.0528</x:v>
      </x:c>
      <x:c r="T1848" t="str">
        <x:f>""</x:f>
        <x:v/>
      </x:c>
      <x:c r="U1848" t="str">
        <x:f>""</x:f>
        <x:v/>
      </x:c>
      <x:c r="V1848" t="str">
        <x:f>""</x:f>
        <x:v/>
      </x:c>
      <x:c r="W1848" t="str">
        <x:f>""</x:f>
        <x:v/>
      </x:c>
      <x:c r="X1848" t="str">
        <x:f>""</x:f>
        <x:v/>
      </x:c>
      <x:c r="Y1848" t="str">
        <x:f>""</x:f>
        <x:v/>
      </x:c>
      <x:c r="Z1848" t="str">
        <x:f>""</x:f>
        <x:v/>
      </x:c>
      <x:c r="AA1848" t="str">
        <x:f>""</x:f>
        <x:v/>
      </x:c>
      <x:c r="AB1848" t="str">
        <x:f>""</x:f>
        <x:v/>
      </x:c>
      <x:c r="AC1848" t="str">
        <x:f>""</x:f>
        <x:v/>
      </x:c>
      <x:c r="AD1848" t="str">
        <x:f>""</x:f>
        <x:v/>
      </x:c>
      <x:c r="AE1848" t="str">
        <x:f>""</x:f>
        <x:v/>
      </x:c>
      <x:c r="AF1848" t="str">
        <x:f>""</x:f>
        <x:v/>
      </x:c>
      <x:c r="AG1848" t="str">
        <x:f>""</x:f>
        <x:v/>
      </x:c>
    </x:row>
    <x:row r="1849" spans="2:33" x14ac:dyDescent="0.25">
      <x:c r="B1849" t="str">
        <x:f>"KLDW US Equity"</x:f>
        <x:v>KLDW US Equity</x:v>
      </x:c>
      <x:c r="C1849" t="str">
        <x:f t="shared" si="83"/>
        <x:v>FD447</x:v>
      </x:c>
      <x:c r="D1849" t="str">
        <x:f t="shared" si="84"/>
        <x:v>FUND_FLOW</x:v>
      </x:c>
      <x:c r="E1849" t="str">
        <x:f t="shared" si="85"/>
        <x:v>Dynamic</x:v>
      </x:c>
      <x:c r="F1849">
        <x:f ca="1">_xll.BDH($B$1849,$C$1849,$B$1010,$B$1011,CONCATENATE("Per=",$B$1008),"Dts=H","Dir=H",CONCATENATE("Points=",$B$1009),"Sort=R","Days=A","Fill=B",CONCATENATE("FX=", $B$1007),"cols=14;rows=1")</x:f>
        <x:v>-3.7909000000000002</x:v>
      </x:c>
      <x:c r="G1849">
        <x:v>0</x:v>
      </x:c>
      <x:c r="H1849">
        <x:v>0</x:v>
      </x:c>
      <x:c r="I1849">
        <x:v>0</x:v>
      </x:c>
      <x:c r="J1849">
        <x:v>0</x:v>
      </x:c>
      <x:c r="K1849">
        <x:v>0</x:v>
      </x:c>
      <x:c r="L1849">
        <x:v>-4.0046999999999997</x:v>
      </x:c>
      <x:c r="M1849">
        <x:v>0</x:v>
      </x:c>
      <x:c r="N1849">
        <x:v>-3.9115000000000002</x:v>
      </x:c>
      <x:c r="O1849">
        <x:v>0</x:v>
      </x:c>
      <x:c r="P1849">
        <x:v>0</x:v>
      </x:c>
      <x:c r="Q1849">
        <x:v>-5.0422000000000002</x:v>
      </x:c>
      <x:c r="R1849">
        <x:v>-1.6850000000000001</x:v>
      </x:c>
      <x:c r="S1849">
        <x:v>0</x:v>
      </x:c>
      <x:c r="T1849" t="str">
        <x:f>""</x:f>
        <x:v/>
      </x:c>
      <x:c r="U1849" t="str">
        <x:f>""</x:f>
        <x:v/>
      </x:c>
      <x:c r="V1849" t="str">
        <x:f>""</x:f>
        <x:v/>
      </x:c>
      <x:c r="W1849" t="str">
        <x:f>""</x:f>
        <x:v/>
      </x:c>
      <x:c r="X1849" t="str">
        <x:f>""</x:f>
        <x:v/>
      </x:c>
      <x:c r="Y1849" t="str">
        <x:f>""</x:f>
        <x:v/>
      </x:c>
      <x:c r="Z1849" t="str">
        <x:f>""</x:f>
        <x:v/>
      </x:c>
      <x:c r="AA1849" t="str">
        <x:f>""</x:f>
        <x:v/>
      </x:c>
      <x:c r="AB1849" t="str">
        <x:f>""</x:f>
        <x:v/>
      </x:c>
      <x:c r="AC1849" t="str">
        <x:f>""</x:f>
        <x:v/>
      </x:c>
      <x:c r="AD1849" t="str">
        <x:f>""</x:f>
        <x:v/>
      </x:c>
      <x:c r="AE1849" t="str">
        <x:f>""</x:f>
        <x:v/>
      </x:c>
      <x:c r="AF1849" t="str">
        <x:f>""</x:f>
        <x:v/>
      </x:c>
      <x:c r="AG1849" t="str">
        <x:f>""</x:f>
        <x:v/>
      </x:c>
    </x:row>
    <x:row r="1850" spans="2:33" x14ac:dyDescent="0.25">
      <x:c r="B1850" t="str">
        <x:f>"NASH US Equity"</x:f>
        <x:v>NASH US Equity</x:v>
      </x:c>
      <x:c r="C1850" t="str">
        <x:f t="shared" si="83"/>
        <x:v>FD447</x:v>
      </x:c>
      <x:c r="D1850" t="str">
        <x:f t="shared" si="84"/>
        <x:v>FUND_FLOW</x:v>
      </x:c>
      <x:c r="E1850" t="str">
        <x:f t="shared" si="85"/>
        <x:v>Dynamic</x:v>
      </x:c>
      <x:c r="F1850" t="str">
        <x:f ca="1">_xll.BDH($B$1850,$C$1850,$B$1010,$B$1011,CONCATENATE("Per=",$B$1008),"Dts=H","Dir=H",CONCATENATE("Points=",$B$1009),"Sort=R","Days=A","Fill=B",CONCATENATE("FX=", $B$1007) )</x:f>
        <x:v/>
      </x:c>
      <x:c r="T1850" t="str">
        <x:f>""</x:f>
        <x:v/>
      </x:c>
      <x:c r="U1850" t="str">
        <x:f>""</x:f>
        <x:v/>
      </x:c>
      <x:c r="V1850" t="str">
        <x:f>""</x:f>
        <x:v/>
      </x:c>
      <x:c r="W1850" t="str">
        <x:f>""</x:f>
        <x:v/>
      </x:c>
      <x:c r="X1850" t="str">
        <x:f>""</x:f>
        <x:v/>
      </x:c>
      <x:c r="Y1850" t="str">
        <x:f>""</x:f>
        <x:v/>
      </x:c>
      <x:c r="Z1850" t="str">
        <x:f>""</x:f>
        <x:v/>
      </x:c>
      <x:c r="AA1850" t="str">
        <x:f>""</x:f>
        <x:v/>
      </x:c>
      <x:c r="AB1850" t="str">
        <x:f>""</x:f>
        <x:v/>
      </x:c>
      <x:c r="AC1850" t="str">
        <x:f>""</x:f>
        <x:v/>
      </x:c>
      <x:c r="AD1850" t="str">
        <x:f>""</x:f>
        <x:v/>
      </x:c>
      <x:c r="AE1850" t="str">
        <x:f>""</x:f>
        <x:v/>
      </x:c>
      <x:c r="AF1850" t="str">
        <x:f>""</x:f>
        <x:v/>
      </x:c>
      <x:c r="AG1850" t="str">
        <x:f>""</x:f>
        <x:v/>
      </x:c>
    </x:row>
    <x:row r="1851" spans="2:33" x14ac:dyDescent="0.25">
      <x:c r="B1851" t="str">
        <x:f>"BUZ US Equity"</x:f>
        <x:v>BUZ US Equity</x:v>
      </x:c>
      <x:c r="C1851" t="str">
        <x:f t="shared" si="83"/>
        <x:v>FD447</x:v>
      </x:c>
      <x:c r="D1851" t="str">
        <x:f t="shared" si="84"/>
        <x:v>FUND_FLOW</x:v>
      </x:c>
      <x:c r="E1851" t="str">
        <x:f t="shared" si="85"/>
        <x:v>Dynamic</x:v>
      </x:c>
      <x:c r="F1851" t="str">
        <x:f ca="1">_xll.BDH($B$1851,$C$1851,$B$1010,$B$1011,CONCATENATE("Per=",$B$1008),"Dts=H","Dir=H",CONCATENATE("Points=",$B$1009),"Sort=R","Days=A","Fill=B",CONCATENATE("FX=", $B$1007) )</x:f>
        <x:v/>
      </x:c>
      <x:c r="T1851" t="str">
        <x:f>""</x:f>
        <x:v/>
      </x:c>
      <x:c r="U1851" t="str">
        <x:f>""</x:f>
        <x:v/>
      </x:c>
      <x:c r="V1851" t="str">
        <x:f>""</x:f>
        <x:v/>
      </x:c>
      <x:c r="W1851" t="str">
        <x:f>""</x:f>
        <x:v/>
      </x:c>
      <x:c r="X1851" t="str">
        <x:f>""</x:f>
        <x:v/>
      </x:c>
      <x:c r="Y1851" t="str">
        <x:f>""</x:f>
        <x:v/>
      </x:c>
      <x:c r="Z1851" t="str">
        <x:f>""</x:f>
        <x:v/>
      </x:c>
      <x:c r="AA1851" t="str">
        <x:f>""</x:f>
        <x:v/>
      </x:c>
      <x:c r="AB1851" t="str">
        <x:f>""</x:f>
        <x:v/>
      </x:c>
      <x:c r="AC1851" t="str">
        <x:f>""</x:f>
        <x:v/>
      </x:c>
      <x:c r="AD1851" t="str">
        <x:f>""</x:f>
        <x:v/>
      </x:c>
      <x:c r="AE1851" t="str">
        <x:f>""</x:f>
        <x:v/>
      </x:c>
      <x:c r="AF1851" t="str">
        <x:f>""</x:f>
        <x:v/>
      </x:c>
      <x:c r="AG1851" t="str">
        <x:f>""</x:f>
        <x:v/>
      </x:c>
    </x:row>
    <x:row r="1852" spans="2:33" x14ac:dyDescent="0.25">
      <x:c r="B1852" t="str">
        <x:f>"SPUN US Equity"</x:f>
        <x:v>SPUN US Equity</x:v>
      </x:c>
      <x:c r="C1852" t="str">
        <x:f t="shared" si="83"/>
        <x:v>FD447</x:v>
      </x:c>
      <x:c r="D1852" t="str">
        <x:f t="shared" si="84"/>
        <x:v>FUND_FLOW</x:v>
      </x:c>
      <x:c r="E1852" t="str">
        <x:f t="shared" si="85"/>
        <x:v>Dynamic</x:v>
      </x:c>
      <x:c r="F1852" t="str">
        <x:f ca="1">_xll.BDH($B$1852,$C$1852,$B$1010,$B$1011,CONCATENATE("Per=",$B$1008),"Dts=H","Dir=H",CONCATENATE("Points=",$B$1009),"Sort=R","Days=A","Fill=B",CONCATENATE("FX=", $B$1007) )</x:f>
        <x:v/>
      </x:c>
      <x:c r="T1852" t="str">
        <x:f>""</x:f>
        <x:v/>
      </x:c>
      <x:c r="U1852" t="str">
        <x:f>""</x:f>
        <x:v/>
      </x:c>
      <x:c r="V1852" t="str">
        <x:f>""</x:f>
        <x:v/>
      </x:c>
      <x:c r="W1852" t="str">
        <x:f>""</x:f>
        <x:v/>
      </x:c>
      <x:c r="X1852" t="str">
        <x:f>""</x:f>
        <x:v/>
      </x:c>
      <x:c r="Y1852" t="str">
        <x:f>""</x:f>
        <x:v/>
      </x:c>
      <x:c r="Z1852" t="str">
        <x:f>""</x:f>
        <x:v/>
      </x:c>
      <x:c r="AA1852" t="str">
        <x:f>""</x:f>
        <x:v/>
      </x:c>
      <x:c r="AB1852" t="str">
        <x:f>""</x:f>
        <x:v/>
      </x:c>
      <x:c r="AC1852" t="str">
        <x:f>""</x:f>
        <x:v/>
      </x:c>
      <x:c r="AD1852" t="str">
        <x:f>""</x:f>
        <x:v/>
      </x:c>
      <x:c r="AE1852" t="str">
        <x:f>""</x:f>
        <x:v/>
      </x:c>
      <x:c r="AF1852" t="str">
        <x:f>""</x:f>
        <x:v/>
      </x:c>
      <x:c r="AG1852" t="str">
        <x:f>""</x:f>
        <x:v/>
      </x:c>
    </x:row>
    <x:row r="1853" spans="2:33" x14ac:dyDescent="0.25">
      <x:c r="B1853" t="str">
        <x:f>"BOSS US Equity"</x:f>
        <x:v>BOSS US Equity</x:v>
      </x:c>
      <x:c r="C1853" t="str">
        <x:f t="shared" si="83"/>
        <x:v>FD447</x:v>
      </x:c>
      <x:c r="D1853" t="str">
        <x:f t="shared" si="84"/>
        <x:v>FUND_FLOW</x:v>
      </x:c>
      <x:c r="E1853" t="str">
        <x:f t="shared" si="85"/>
        <x:v>Dynamic</x:v>
      </x:c>
      <x:c r="F1853">
        <x:f ca="1">_xll.BDH($B$1853,$C$1853,$B$1010,$B$1011,CONCATENATE("Per=",$B$1008),"Dts=H","Dir=H",CONCATENATE("Points=",$B$1009),"Sort=R","Days=A","Fill=B",CONCATENATE("FX=", $B$1007),"cols=14;rows=1")</x:f>
        <x:v>0</x:v>
      </x:c>
      <x:c r="G1853">
        <x:v>0</x:v>
      </x:c>
      <x:c r="H1853">
        <x:v>0</x:v>
      </x:c>
      <x:c r="I1853">
        <x:v>0</x:v>
      </x:c>
      <x:c r="J1853">
        <x:v>-0.50560000000000005</x:v>
      </x:c>
      <x:c r="K1853">
        <x:v>0</x:v>
      </x:c>
      <x:c r="L1853">
        <x:v>0</x:v>
      </x:c>
      <x:c r="M1853">
        <x:v>-0.6966</x:v>
      </x:c>
      <x:c r="N1853">
        <x:v>0</x:v>
      </x:c>
      <x:c r="O1853">
        <x:v>-0.70469999999999999</x:v>
      </x:c>
      <x:c r="P1853">
        <x:v>0</x:v>
      </x:c>
      <x:c r="Q1853">
        <x:v>-0.47570000000000001</x:v>
      </x:c>
      <x:c r="R1853">
        <x:v>0</x:v>
      </x:c>
      <x:c r="S1853">
        <x:v>-0.73919999999999997</x:v>
      </x:c>
      <x:c r="T1853" t="str">
        <x:f>""</x:f>
        <x:v/>
      </x:c>
      <x:c r="U1853" t="str">
        <x:f>""</x:f>
        <x:v/>
      </x:c>
      <x:c r="V1853" t="str">
        <x:f>""</x:f>
        <x:v/>
      </x:c>
      <x:c r="W1853" t="str">
        <x:f>""</x:f>
        <x:v/>
      </x:c>
      <x:c r="X1853" t="str">
        <x:f>""</x:f>
        <x:v/>
      </x:c>
      <x:c r="Y1853" t="str">
        <x:f>""</x:f>
        <x:v/>
      </x:c>
      <x:c r="Z1853" t="str">
        <x:f>""</x:f>
        <x:v/>
      </x:c>
      <x:c r="AA1853" t="str">
        <x:f>""</x:f>
        <x:v/>
      </x:c>
      <x:c r="AB1853" t="str">
        <x:f>""</x:f>
        <x:v/>
      </x:c>
      <x:c r="AC1853" t="str">
        <x:f>""</x:f>
        <x:v/>
      </x:c>
      <x:c r="AD1853" t="str">
        <x:f>""</x:f>
        <x:v/>
      </x:c>
      <x:c r="AE1853" t="str">
        <x:f>""</x:f>
        <x:v/>
      </x:c>
      <x:c r="AF1853" t="str">
        <x:f>""</x:f>
        <x:v/>
      </x:c>
      <x:c r="AG1853" t="str">
        <x:f>""</x:f>
        <x:v/>
      </x:c>
    </x:row>
    <x:row r="1854" spans="2:33" x14ac:dyDescent="0.25">
      <x:c r="B1854" t="str">
        <x:f>"FANZ US Equity"</x:f>
        <x:v>FANZ US Equity</x:v>
      </x:c>
      <x:c r="C1854" t="str">
        <x:f t="shared" si="83"/>
        <x:v>FD447</x:v>
      </x:c>
      <x:c r="D1854" t="str">
        <x:f t="shared" si="84"/>
        <x:v>FUND_FLOW</x:v>
      </x:c>
      <x:c r="E1854" t="str">
        <x:f t="shared" si="85"/>
        <x:v>Dynamic</x:v>
      </x:c>
      <x:c r="F1854" t="str">
        <x:f ca="1">_xll.BDH($B$1854,$C$1854,$B$1010,$B$1011,CONCATENATE("Per=",$B$1008),"Dts=H","Dir=H",CONCATENATE("Points=",$B$1009),"Sort=R","Days=A","Fill=B",CONCATENATE("FX=", $B$1007) )</x:f>
        <x:v/>
      </x:c>
      <x:c r="T1854" t="str">
        <x:f>""</x:f>
        <x:v/>
      </x:c>
      <x:c r="U1854" t="str">
        <x:f>""</x:f>
        <x:v/>
      </x:c>
      <x:c r="V1854" t="str">
        <x:f>""</x:f>
        <x:v/>
      </x:c>
      <x:c r="W1854" t="str">
        <x:f>""</x:f>
        <x:v/>
      </x:c>
      <x:c r="X1854" t="str">
        <x:f>""</x:f>
        <x:v/>
      </x:c>
      <x:c r="Y1854" t="str">
        <x:f>""</x:f>
        <x:v/>
      </x:c>
      <x:c r="Z1854" t="str">
        <x:f>""</x:f>
        <x:v/>
      </x:c>
      <x:c r="AA1854" t="str">
        <x:f>""</x:f>
        <x:v/>
      </x:c>
      <x:c r="AB1854" t="str">
        <x:f>""</x:f>
        <x:v/>
      </x:c>
      <x:c r="AC1854" t="str">
        <x:f>""</x:f>
        <x:v/>
      </x:c>
      <x:c r="AD1854" t="str">
        <x:f>""</x:f>
        <x:v/>
      </x:c>
      <x:c r="AE1854" t="str">
        <x:f>""</x:f>
        <x:v/>
      </x:c>
      <x:c r="AF1854" t="str">
        <x:f>""</x:f>
        <x:v/>
      </x:c>
      <x:c r="AG1854" t="str">
        <x:f>""</x:f>
        <x:v/>
      </x:c>
    </x:row>
    <x:row r="1855" spans="2:33" x14ac:dyDescent="0.25">
      <x:c r="B1855" t="str">
        <x:f>"MAGA US Equity"</x:f>
        <x:v>MAGA US Equity</x:v>
      </x:c>
      <x:c r="C1855" t="str">
        <x:f t="shared" si="83"/>
        <x:v>FD447</x:v>
      </x:c>
      <x:c r="D1855" t="str">
        <x:f t="shared" si="84"/>
        <x:v>FUND_FLOW</x:v>
      </x:c>
      <x:c r="E1855" t="str">
        <x:f t="shared" si="85"/>
        <x:v>Dynamic</x:v>
      </x:c>
      <x:c r="F1855">
        <x:f ca="1">_xll.BDH($B$1855,$C$1855,$B$1010,$B$1011,CONCATENATE("Per=",$B$1008),"Dts=H","Dir=H",CONCATENATE("Points=",$B$1009),"Sort=R","Days=A","Fill=B",CONCATENATE("FX=", $B$1007),"cols=14;rows=1")</x:f>
        <x:v>0</x:v>
      </x:c>
      <x:c r="G1855">
        <x:v>1.1999999999999999E-3</x:v>
      </x:c>
      <x:c r="H1855">
        <x:v>0</x:v>
      </x:c>
      <x:c r="I1855">
        <x:v>0</x:v>
      </x:c>
      <x:c r="J1855">
        <x:v>-0.92610000000000003</x:v>
      </x:c>
      <x:c r="K1855">
        <x:v>0</x:v>
      </x:c>
      <x:c r="L1855">
        <x:v>0</x:v>
      </x:c>
      <x:c r="M1855">
        <x:v>0.92620000000000002</x:v>
      </x:c>
      <x:c r="N1855">
        <x:v>0</x:v>
      </x:c>
      <x:c r="O1855">
        <x:v>-4.1300000000000003E-2</x:v>
      </x:c>
      <x:c r="P1855">
        <x:v>0.99029999999999996</x:v>
      </x:c>
      <x:c r="Q1855">
        <x:v>1.9864999999999999</x:v>
      </x:c>
      <x:c r="R1855">
        <x:v>0</x:v>
      </x:c>
      <x:c r="S1855">
        <x:v>0</x:v>
      </x:c>
      <x:c r="T1855" t="str">
        <x:f>""</x:f>
        <x:v/>
      </x:c>
      <x:c r="U1855" t="str">
        <x:f>""</x:f>
        <x:v/>
      </x:c>
      <x:c r="V1855" t="str">
        <x:f>""</x:f>
        <x:v/>
      </x:c>
      <x:c r="W1855" t="str">
        <x:f>""</x:f>
        <x:v/>
      </x:c>
      <x:c r="X1855" t="str">
        <x:f>""</x:f>
        <x:v/>
      </x:c>
      <x:c r="Y1855" t="str">
        <x:f>""</x:f>
        <x:v/>
      </x:c>
      <x:c r="Z1855" t="str">
        <x:f>""</x:f>
        <x:v/>
      </x:c>
      <x:c r="AA1855" t="str">
        <x:f>""</x:f>
        <x:v/>
      </x:c>
      <x:c r="AB1855" t="str">
        <x:f>""</x:f>
        <x:v/>
      </x:c>
      <x:c r="AC1855" t="str">
        <x:f>""</x:f>
        <x:v/>
      </x:c>
      <x:c r="AD1855" t="str">
        <x:f>""</x:f>
        <x:v/>
      </x:c>
      <x:c r="AE1855" t="str">
        <x:f>""</x:f>
        <x:v/>
      </x:c>
      <x:c r="AF1855" t="str">
        <x:f>""</x:f>
        <x:v/>
      </x:c>
      <x:c r="AG1855" t="str">
        <x:f>""</x:f>
        <x:v/>
      </x:c>
    </x:row>
    <x:row r="1856" spans="2:33" x14ac:dyDescent="0.25">
      <x:c r="B1856" t="str">
        <x:f>"BVAL US Equity"</x:f>
        <x:v>BVAL US Equity</x:v>
      </x:c>
      <x:c r="C1856" t="str">
        <x:f t="shared" si="83"/>
        <x:v>FD447</x:v>
      </x:c>
      <x:c r="D1856" t="str">
        <x:f t="shared" si="84"/>
        <x:v>FUND_FLOW</x:v>
      </x:c>
      <x:c r="E1856" t="str">
        <x:f t="shared" si="85"/>
        <x:v>Dynamic</x:v>
      </x:c>
      <x:c r="F1856" t="str">
        <x:f ca="1">_xll.BDH($B$1856,$C$1856,$B$1010,$B$1011,CONCATENATE("Per=",$B$1008),"Dts=H","Dir=H",CONCATENATE("Points=",$B$1009),"Sort=R","Days=A","Fill=B",CONCATENATE("FX=", $B$1007) )</x:f>
        <x:v/>
      </x:c>
      <x:c r="T1856" t="str">
        <x:f>""</x:f>
        <x:v/>
      </x:c>
      <x:c r="U1856" t="str">
        <x:f>""</x:f>
        <x:v/>
      </x:c>
      <x:c r="V1856" t="str">
        <x:f>""</x:f>
        <x:v/>
      </x:c>
      <x:c r="W1856" t="str">
        <x:f>""</x:f>
        <x:v/>
      </x:c>
      <x:c r="X1856" t="str">
        <x:f>""</x:f>
        <x:v/>
      </x:c>
      <x:c r="Y1856" t="str">
        <x:f>""</x:f>
        <x:v/>
      </x:c>
      <x:c r="Z1856" t="str">
        <x:f>""</x:f>
        <x:v/>
      </x:c>
      <x:c r="AA1856" t="str">
        <x:f>""</x:f>
        <x:v/>
      </x:c>
      <x:c r="AB1856" t="str">
        <x:f>""</x:f>
        <x:v/>
      </x:c>
      <x:c r="AC1856" t="str">
        <x:f>""</x:f>
        <x:v/>
      </x:c>
      <x:c r="AD1856" t="str">
        <x:f>""</x:f>
        <x:v/>
      </x:c>
      <x:c r="AE1856" t="str">
        <x:f>""</x:f>
        <x:v/>
      </x:c>
      <x:c r="AF1856" t="str">
        <x:f>""</x:f>
        <x:v/>
      </x:c>
      <x:c r="AG1856" t="str">
        <x:f>""</x:f>
        <x:v/>
      </x:c>
    </x:row>
    <x:row r="1857" spans="2:33" x14ac:dyDescent="0.25">
      <x:c r="B1857" t="str">
        <x:f>"FITE US Equity"</x:f>
        <x:v>FITE US Equity</x:v>
      </x:c>
      <x:c r="C1857" t="str">
        <x:f t="shared" si="83"/>
        <x:v>FD447</x:v>
      </x:c>
      <x:c r="D1857" t="str">
        <x:f t="shared" si="84"/>
        <x:v>FUND_FLOW</x:v>
      </x:c>
      <x:c r="E1857" t="str">
        <x:f t="shared" si="85"/>
        <x:v>Dynamic</x:v>
      </x:c>
      <x:c r="F1857">
        <x:f ca="1">_xll.BDH($B$1857,$C$1857,$B$1010,$B$1011,CONCATENATE("Per=",$B$1008),"Dts=H","Dir=H",CONCATENATE("Points=",$B$1009),"Sort=R","Days=A","Fill=B",CONCATENATE("FX=", $B$1007),"cols=14;rows=1")</x:f>
        <x:v>0</x:v>
      </x:c>
      <x:c r="G1857">
        <x:v>0</x:v>
      </x:c>
      <x:c r="H1857">
        <x:v>3.8264999999999998</x:v>
      </x:c>
      <x:c r="I1857">
        <x:v>-2.9230999999999998</x:v>
      </x:c>
      <x:c r="J1857">
        <x:v>2.4104999999999999</x:v>
      </x:c>
      <x:c r="K1857">
        <x:v>0</x:v>
      </x:c>
      <x:c r="L1857">
        <x:v>-0.9355</x:v>
      </x:c>
      <x:c r="M1857">
        <x:v>0</x:v>
      </x:c>
      <x:c r="N1857">
        <x:v>0.45900000000000002</x:v>
      </x:c>
      <x:c r="O1857">
        <x:v>0</x:v>
      </x:c>
      <x:c r="P1857">
        <x:v>-0.84950000000000003</x:v>
      </x:c>
      <x:c r="Q1857">
        <x:v>-0.89</x:v>
      </x:c>
      <x:c r="R1857">
        <x:v>-1.3824000000000001</x:v>
      </x:c>
      <x:c r="S1857">
        <x:v>0</x:v>
      </x:c>
      <x:c r="T1857" t="str">
        <x:f>""</x:f>
        <x:v/>
      </x:c>
      <x:c r="U1857" t="str">
        <x:f>""</x:f>
        <x:v/>
      </x:c>
      <x:c r="V1857" t="str">
        <x:f>""</x:f>
        <x:v/>
      </x:c>
      <x:c r="W1857" t="str">
        <x:f>""</x:f>
        <x:v/>
      </x:c>
      <x:c r="X1857" t="str">
        <x:f>""</x:f>
        <x:v/>
      </x:c>
      <x:c r="Y1857" t="str">
        <x:f>""</x:f>
        <x:v/>
      </x:c>
      <x:c r="Z1857" t="str">
        <x:f>""</x:f>
        <x:v/>
      </x:c>
      <x:c r="AA1857" t="str">
        <x:f>""</x:f>
        <x:v/>
      </x:c>
      <x:c r="AB1857" t="str">
        <x:f>""</x:f>
        <x:v/>
      </x:c>
      <x:c r="AC1857" t="str">
        <x:f>""</x:f>
        <x:v/>
      </x:c>
      <x:c r="AD1857" t="str">
        <x:f>""</x:f>
        <x:v/>
      </x:c>
      <x:c r="AE1857" t="str">
        <x:f>""</x:f>
        <x:v/>
      </x:c>
      <x:c r="AF1857" t="str">
        <x:f>""</x:f>
        <x:v/>
      </x:c>
      <x:c r="AG1857" t="str">
        <x:f>""</x:f>
        <x:v/>
      </x:c>
    </x:row>
    <x:row r="1858" spans="2:33" x14ac:dyDescent="0.25">
      <x:c r="B1858" t="str">
        <x:f>"DEMS US Equity"</x:f>
        <x:v>DEMS US Equity</x:v>
      </x:c>
      <x:c r="C1858" t="str">
        <x:f t="shared" si="83"/>
        <x:v>FD447</x:v>
      </x:c>
      <x:c r="D1858" t="str">
        <x:f t="shared" si="84"/>
        <x:v>FUND_FLOW</x:v>
      </x:c>
      <x:c r="E1858" t="str">
        <x:f t="shared" si="85"/>
        <x:v>Dynamic</x:v>
      </x:c>
      <x:c r="F1858" t="str">
        <x:f ca="1">_xll.BDH($B$1858,$C$1858,$B$1010,$B$1011,CONCATENATE("Per=",$B$1008),"Dts=H","Dir=H",CONCATENATE("Points=",$B$1009),"Sort=R","Days=A","Fill=B",CONCATENATE("FX=", $B$1007) )</x:f>
        <x:v/>
      </x:c>
      <x:c r="T1858" t="str">
        <x:f>""</x:f>
        <x:v/>
      </x:c>
      <x:c r="U1858" t="str">
        <x:f>""</x:f>
        <x:v/>
      </x:c>
      <x:c r="V1858" t="str">
        <x:f>""</x:f>
        <x:v/>
      </x:c>
      <x:c r="W1858" t="str">
        <x:f>""</x:f>
        <x:v/>
      </x:c>
      <x:c r="X1858" t="str">
        <x:f>""</x:f>
        <x:v/>
      </x:c>
      <x:c r="Y1858" t="str">
        <x:f>""</x:f>
        <x:v/>
      </x:c>
      <x:c r="Z1858" t="str">
        <x:f>""</x:f>
        <x:v/>
      </x:c>
      <x:c r="AA1858" t="str">
        <x:f>""</x:f>
        <x:v/>
      </x:c>
      <x:c r="AB1858" t="str">
        <x:f>""</x:f>
        <x:v/>
      </x:c>
      <x:c r="AC1858" t="str">
        <x:f>""</x:f>
        <x:v/>
      </x:c>
      <x:c r="AD1858" t="str">
        <x:f>""</x:f>
        <x:v/>
      </x:c>
      <x:c r="AE1858" t="str">
        <x:f>""</x:f>
        <x:v/>
      </x:c>
      <x:c r="AF1858" t="str">
        <x:f>""</x:f>
        <x:v/>
      </x:c>
      <x:c r="AG1858" t="str">
        <x:f>""</x:f>
        <x:v/>
      </x:c>
    </x:row>
    <x:row r="1859" spans="2:33" x14ac:dyDescent="0.25">
      <x:c r="B1859" t="str">
        <x:f>"GOP US Equity"</x:f>
        <x:v>GOP US Equity</x:v>
      </x:c>
      <x:c r="C1859" t="str">
        <x:f t="shared" si="83"/>
        <x:v>FD447</x:v>
      </x:c>
      <x:c r="D1859" t="str">
        <x:f t="shared" si="84"/>
        <x:v>FUND_FLOW</x:v>
      </x:c>
      <x:c r="E1859" t="str">
        <x:f t="shared" si="85"/>
        <x:v>Dynamic</x:v>
      </x:c>
      <x:c r="F1859" t="str">
        <x:f ca="1">_xll.BDH($B$1859,$C$1859,$B$1010,$B$1011,CONCATENATE("Per=",$B$1008),"Dts=H","Dir=H",CONCATENATE("Points=",$B$1009),"Sort=R","Days=A","Fill=B",CONCATENATE("FX=", $B$1007) )</x:f>
        <x:v/>
      </x:c>
      <x:c r="T1859" t="str">
        <x:f>""</x:f>
        <x:v/>
      </x:c>
      <x:c r="U1859" t="str">
        <x:f>""</x:f>
        <x:v/>
      </x:c>
      <x:c r="V1859" t="str">
        <x:f>""</x:f>
        <x:v/>
      </x:c>
      <x:c r="W1859" t="str">
        <x:f>""</x:f>
        <x:v/>
      </x:c>
      <x:c r="X1859" t="str">
        <x:f>""</x:f>
        <x:v/>
      </x:c>
      <x:c r="Y1859" t="str">
        <x:f>""</x:f>
        <x:v/>
      </x:c>
      <x:c r="Z1859" t="str">
        <x:f>""</x:f>
        <x:v/>
      </x:c>
      <x:c r="AA1859" t="str">
        <x:f>""</x:f>
        <x:v/>
      </x:c>
      <x:c r="AB1859" t="str">
        <x:f>""</x:f>
        <x:v/>
      </x:c>
      <x:c r="AC1859" t="str">
        <x:f>""</x:f>
        <x:v/>
      </x:c>
      <x:c r="AD1859" t="str">
        <x:f>""</x:f>
        <x:v/>
      </x:c>
      <x:c r="AE1859" t="str">
        <x:f>""</x:f>
        <x:v/>
      </x:c>
      <x:c r="AF1859" t="str">
        <x:f>""</x:f>
        <x:v/>
      </x:c>
      <x:c r="AG1859" t="str">
        <x:f>""</x:f>
        <x:v/>
      </x:c>
    </x:row>
    <x:row r="1860" spans="2:33" x14ac:dyDescent="0.25">
      <x:c r="B1860" t="str">
        <x:f>"PLCY US Equity"</x:f>
        <x:v>PLCY US Equity</x:v>
      </x:c>
      <x:c r="C1860" t="str">
        <x:f t="shared" si="83"/>
        <x:v>FD447</x:v>
      </x:c>
      <x:c r="D1860" t="str">
        <x:f t="shared" si="84"/>
        <x:v>FUND_FLOW</x:v>
      </x:c>
      <x:c r="E1860" t="str">
        <x:f t="shared" si="85"/>
        <x:v>Dynamic</x:v>
      </x:c>
      <x:c r="F1860" t="str">
        <x:f ca="1">_xll.BDH($B$1860,$C$1860,$B$1010,$B$1011,CONCATENATE("Per=",$B$1008),"Dts=H","Dir=H",CONCATENATE("Points=",$B$1009),"Sort=R","Days=A","Fill=B",CONCATENATE("FX=", $B$1007) )</x:f>
        <x:v/>
      </x:c>
      <x:c r="T1860" t="str">
        <x:f>""</x:f>
        <x:v/>
      </x:c>
      <x:c r="U1860" t="str">
        <x:f>""</x:f>
        <x:v/>
      </x:c>
      <x:c r="V1860" t="str">
        <x:f>""</x:f>
        <x:v/>
      </x:c>
      <x:c r="W1860" t="str">
        <x:f>""</x:f>
        <x:v/>
      </x:c>
      <x:c r="X1860" t="str">
        <x:f>""</x:f>
        <x:v/>
      </x:c>
      <x:c r="Y1860" t="str">
        <x:f>""</x:f>
        <x:v/>
      </x:c>
      <x:c r="Z1860" t="str">
        <x:f>""</x:f>
        <x:v/>
      </x:c>
      <x:c r="AA1860" t="str">
        <x:f>""</x:f>
        <x:v/>
      </x:c>
      <x:c r="AB1860" t="str">
        <x:f>""</x:f>
        <x:v/>
      </x:c>
      <x:c r="AC1860" t="str">
        <x:f>""</x:f>
        <x:v/>
      </x:c>
      <x:c r="AD1860" t="str">
        <x:f>""</x:f>
        <x:v/>
      </x:c>
      <x:c r="AE1860" t="str">
        <x:f>""</x:f>
        <x:v/>
      </x:c>
      <x:c r="AF1860" t="str">
        <x:f>""</x:f>
        <x:v/>
      </x:c>
      <x:c r="AG1860" t="str">
        <x:f>""</x:f>
        <x:v/>
      </x:c>
    </x:row>
    <x:row r="1861" spans="2:33" x14ac:dyDescent="0.25">
      <x:c r="B1861" t="str">
        <x:f>"PEXL US Equity"</x:f>
        <x:v>PEXL US Equity</x:v>
      </x:c>
      <x:c r="C1861" t="str">
        <x:f t="shared" si="83"/>
        <x:v>FD447</x:v>
      </x:c>
      <x:c r="D1861" t="str">
        <x:f t="shared" si="84"/>
        <x:v>FUND_FLOW</x:v>
      </x:c>
      <x:c r="E1861" t="str">
        <x:f t="shared" si="85"/>
        <x:v>Dynamic</x:v>
      </x:c>
      <x:c r="F1861">
        <x:f ca="1">_xll.BDH($B$1861,$C$1861,$B$1010,$B$1011,CONCATENATE("Per=",$B$1008),"Dts=H","Dir=H",CONCATENATE("Points=",$B$1009),"Sort=R","Days=A","Fill=B",CONCATENATE("FX=", $B$1007),"cols=14;rows=1")</x:f>
        <x:v>4.0778999999999996</x:v>
      </x:c>
      <x:c r="G1861">
        <x:v>0</x:v>
      </x:c>
      <x:c r="H1861">
        <x:v>2.1154999999999999</x:v>
      </x:c>
      <x:c r="I1861">
        <x:v>2.218</x:v>
      </x:c>
      <x:c r="J1861">
        <x:v>3.8800000000000001E-2</x:v>
      </x:c>
      <x:c r="K1861">
        <x:v>8.0777999999999999</x:v>
      </x:c>
      <x:c r="L1861">
        <x:v>2.0514999999999999</x:v>
      </x:c>
      <x:c r="M1861">
        <x:v>3.99</x:v>
      </x:c>
      <x:c r="N1861">
        <x:v>2.0468999999999999</x:v>
      </x:c>
      <x:c r="O1861">
        <x:v>0</x:v>
      </x:c>
      <x:c r="P1861">
        <x:v>0</x:v>
      </x:c>
      <x:c r="Q1861">
        <x:v>1.8918999999999999</x:v>
      </x:c>
      <x:c r="R1861">
        <x:v>0</x:v>
      </x:c>
      <x:c r="S1861">
        <x:v>1.6485000000000001</x:v>
      </x:c>
      <x:c r="T1861" t="str">
        <x:f>""</x:f>
        <x:v/>
      </x:c>
      <x:c r="U1861" t="str">
        <x:f>""</x:f>
        <x:v/>
      </x:c>
      <x:c r="V1861" t="str">
        <x:f>""</x:f>
        <x:v/>
      </x:c>
      <x:c r="W1861" t="str">
        <x:f>""</x:f>
        <x:v/>
      </x:c>
      <x:c r="X1861" t="str">
        <x:f>""</x:f>
        <x:v/>
      </x:c>
      <x:c r="Y1861" t="str">
        <x:f>""</x:f>
        <x:v/>
      </x:c>
      <x:c r="Z1861" t="str">
        <x:f>""</x:f>
        <x:v/>
      </x:c>
      <x:c r="AA1861" t="str">
        <x:f>""</x:f>
        <x:v/>
      </x:c>
      <x:c r="AB1861" t="str">
        <x:f>""</x:f>
        <x:v/>
      </x:c>
      <x:c r="AC1861" t="str">
        <x:f>""</x:f>
        <x:v/>
      </x:c>
      <x:c r="AD1861" t="str">
        <x:f>""</x:f>
        <x:v/>
      </x:c>
      <x:c r="AE1861" t="str">
        <x:f>""</x:f>
        <x:v/>
      </x:c>
      <x:c r="AF1861" t="str">
        <x:f>""</x:f>
        <x:v/>
      </x:c>
      <x:c r="AG1861" t="str">
        <x:f>""</x:f>
        <x:v/>
      </x:c>
    </x:row>
    <x:row r="1862" spans="2:33" x14ac:dyDescent="0.25">
      <x:c r="B1862" t="str">
        <x:f>"RWDC US Equity"</x:f>
        <x:v>RWDC US Equity</x:v>
      </x:c>
      <x:c r="C1862" t="str">
        <x:f t="shared" si="83"/>
        <x:v>FD447</x:v>
      </x:c>
      <x:c r="D1862" t="str">
        <x:f t="shared" si="84"/>
        <x:v>FUND_FLOW</x:v>
      </x:c>
      <x:c r="E1862" t="str">
        <x:f t="shared" si="85"/>
        <x:v>Dynamic</x:v>
      </x:c>
      <x:c r="F1862" t="str">
        <x:f ca="1">_xll.BDH($B$1862,$C$1862,$B$1010,$B$1011,CONCATENATE("Per=",$B$1008),"Dts=H","Dir=H",CONCATENATE("Points=",$B$1009),"Sort=R","Days=A","Fill=B",CONCATENATE("FX=", $B$1007) )</x:f>
        <x:v/>
      </x:c>
      <x:c r="T1862" t="str">
        <x:f>""</x:f>
        <x:v/>
      </x:c>
      <x:c r="U1862" t="str">
        <x:f>""</x:f>
        <x:v/>
      </x:c>
      <x:c r="V1862" t="str">
        <x:f>""</x:f>
        <x:v/>
      </x:c>
      <x:c r="W1862" t="str">
        <x:f>""</x:f>
        <x:v/>
      </x:c>
      <x:c r="X1862" t="str">
        <x:f>""</x:f>
        <x:v/>
      </x:c>
      <x:c r="Y1862" t="str">
        <x:f>""</x:f>
        <x:v/>
      </x:c>
      <x:c r="Z1862" t="str">
        <x:f>""</x:f>
        <x:v/>
      </x:c>
      <x:c r="AA1862" t="str">
        <x:f>""</x:f>
        <x:v/>
      </x:c>
      <x:c r="AB1862" t="str">
        <x:f>""</x:f>
        <x:v/>
      </x:c>
      <x:c r="AC1862" t="str">
        <x:f>""</x:f>
        <x:v/>
      </x:c>
      <x:c r="AD1862" t="str">
        <x:f>""</x:f>
        <x:v/>
      </x:c>
      <x:c r="AE1862" t="str">
        <x:f>""</x:f>
        <x:v/>
      </x:c>
      <x:c r="AF1862" t="str">
        <x:f>""</x:f>
        <x:v/>
      </x:c>
      <x:c r="AG1862" t="str">
        <x:f>""</x:f>
        <x:v/>
      </x:c>
    </x:row>
    <x:row r="1863" spans="2:33" x14ac:dyDescent="0.25">
      <x:c r="B1863" t="str">
        <x:f>"RWCD US Equity"</x:f>
        <x:v>RWCD US Equity</x:v>
      </x:c>
      <x:c r="C1863" t="str">
        <x:f t="shared" si="83"/>
        <x:v>FD447</x:v>
      </x:c>
      <x:c r="D1863" t="str">
        <x:f t="shared" si="84"/>
        <x:v>FUND_FLOW</x:v>
      </x:c>
      <x:c r="E1863" t="str">
        <x:f t="shared" si="85"/>
        <x:v>Dynamic</x:v>
      </x:c>
      <x:c r="F1863" t="str">
        <x:f ca="1">_xll.BDH($B$1863,$C$1863,$B$1010,$B$1011,CONCATENATE("Per=",$B$1008),"Dts=H","Dir=H",CONCATENATE("Points=",$B$1009),"Sort=R","Days=A","Fill=B",CONCATENATE("FX=", $B$1007) )</x:f>
        <x:v/>
      </x:c>
      <x:c r="T1863" t="str">
        <x:f>""</x:f>
        <x:v/>
      </x:c>
      <x:c r="U1863" t="str">
        <x:f>""</x:f>
        <x:v/>
      </x:c>
      <x:c r="V1863" t="str">
        <x:f>""</x:f>
        <x:v/>
      </x:c>
      <x:c r="W1863" t="str">
        <x:f>""</x:f>
        <x:v/>
      </x:c>
      <x:c r="X1863" t="str">
        <x:f>""</x:f>
        <x:v/>
      </x:c>
      <x:c r="Y1863" t="str">
        <x:f>""</x:f>
        <x:v/>
      </x:c>
      <x:c r="Z1863" t="str">
        <x:f>""</x:f>
        <x:v/>
      </x:c>
      <x:c r="AA1863" t="str">
        <x:f>""</x:f>
        <x:v/>
      </x:c>
      <x:c r="AB1863" t="str">
        <x:f>""</x:f>
        <x:v/>
      </x:c>
      <x:c r="AC1863" t="str">
        <x:f>""</x:f>
        <x:v/>
      </x:c>
      <x:c r="AD1863" t="str">
        <x:f>""</x:f>
        <x:v/>
      </x:c>
      <x:c r="AE1863" t="str">
        <x:f>""</x:f>
        <x:v/>
      </x:c>
      <x:c r="AF1863" t="str">
        <x:f>""</x:f>
        <x:v/>
      </x:c>
      <x:c r="AG1863" t="str">
        <x:f>""</x:f>
        <x:v/>
      </x:c>
    </x:row>
    <x:row r="1864" spans="2:33" x14ac:dyDescent="0.25">
      <x:c r="B1864" t="str">
        <x:f>"GMAN US Equity"</x:f>
        <x:v>GMAN US Equity</x:v>
      </x:c>
      <x:c r="C1864" t="str">
        <x:f t="shared" si="83"/>
        <x:v>FD447</x:v>
      </x:c>
      <x:c r="D1864" t="str">
        <x:f t="shared" si="84"/>
        <x:v>FUND_FLOW</x:v>
      </x:c>
      <x:c r="E1864" t="str">
        <x:f t="shared" si="85"/>
        <x:v>Dynamic</x:v>
      </x:c>
      <x:c r="F1864" t="str">
        <x:f ca="1">_xll.BDH($B$1864,$C$1864,$B$1010,$B$1011,CONCATENATE("Per=",$B$1008),"Dts=H","Dir=H",CONCATENATE("Points=",$B$1009),"Sort=R","Days=A","Fill=B",CONCATENATE("FX=", $B$1007) )</x:f>
        <x:v/>
      </x:c>
      <x:c r="T1864" t="str">
        <x:f>""</x:f>
        <x:v/>
      </x:c>
      <x:c r="U1864" t="str">
        <x:f>""</x:f>
        <x:v/>
      </x:c>
      <x:c r="V1864" t="str">
        <x:f>""</x:f>
        <x:v/>
      </x:c>
      <x:c r="W1864" t="str">
        <x:f>""</x:f>
        <x:v/>
      </x:c>
      <x:c r="X1864" t="str">
        <x:f>""</x:f>
        <x:v/>
      </x:c>
      <x:c r="Y1864" t="str">
        <x:f>""</x:f>
        <x:v/>
      </x:c>
      <x:c r="Z1864" t="str">
        <x:f>""</x:f>
        <x:v/>
      </x:c>
      <x:c r="AA1864" t="str">
        <x:f>""</x:f>
        <x:v/>
      </x:c>
      <x:c r="AB1864" t="str">
        <x:f>""</x:f>
        <x:v/>
      </x:c>
      <x:c r="AC1864" t="str">
        <x:f>""</x:f>
        <x:v/>
      </x:c>
      <x:c r="AD1864" t="str">
        <x:f>""</x:f>
        <x:v/>
      </x:c>
      <x:c r="AE1864" t="str">
        <x:f>""</x:f>
        <x:v/>
      </x:c>
      <x:c r="AF1864" t="str">
        <x:f>""</x:f>
        <x:v/>
      </x:c>
      <x:c r="AG1864" t="str">
        <x:f>""</x:f>
        <x:v/>
      </x:c>
    </x:row>
    <x:row r="1865" spans="2:33" x14ac:dyDescent="0.25">
      <x:c r="B1865" t="str">
        <x:f>"PAWZ US Equity"</x:f>
        <x:v>PAWZ US Equity</x:v>
      </x:c>
      <x:c r="C1865" t="str">
        <x:f t="shared" si="83"/>
        <x:v>FD447</x:v>
      </x:c>
      <x:c r="D1865" t="str">
        <x:f t="shared" si="84"/>
        <x:v>FUND_FLOW</x:v>
      </x:c>
      <x:c r="E1865" t="str">
        <x:f t="shared" si="85"/>
        <x:v>Dynamic</x:v>
      </x:c>
      <x:c r="F1865">
        <x:f ca="1">_xll.BDH($B$1865,$C$1865,$B$1010,$B$1011,CONCATENATE("Per=",$B$1008),"Dts=H","Dir=H",CONCATENATE("Points=",$B$1009),"Sort=R","Days=A","Fill=B",CONCATENATE("FX=", $B$1007),"cols=14;rows=1")</x:f>
        <x:v>-2.1775000000000002</x:v>
      </x:c>
      <x:c r="G1865">
        <x:v>-2.2187000000000001</x:v>
      </x:c>
      <x:c r="H1865">
        <x:v>-3.7814999999999999</x:v>
      </x:c>
      <x:c r="I1865">
        <x:v>0</x:v>
      </x:c>
      <x:c r="J1865">
        <x:v>0</x:v>
      </x:c>
      <x:c r="K1865">
        <x:v>-2.6093000000000002</x:v>
      </x:c>
      <x:c r="L1865">
        <x:v>-3.7501000000000002</x:v>
      </x:c>
      <x:c r="M1865">
        <x:v>-2.4611999999999998</x:v>
      </x:c>
      <x:c r="N1865">
        <x:v>0</x:v>
      </x:c>
      <x:c r="O1865">
        <x:v>-8.9969999999999999</x:v>
      </x:c>
      <x:c r="P1865">
        <x:v>-2.4722</x:v>
      </x:c>
      <x:c r="Q1865">
        <x:v>-7.3162000000000003</x:v>
      </x:c>
      <x:c r="R1865">
        <x:v>-5.6685999999999996</x:v>
      </x:c>
      <x:c r="S1865">
        <x:v>-4.6798000000000002</x:v>
      </x:c>
      <x:c r="T1865" t="str">
        <x:f>""</x:f>
        <x:v/>
      </x:c>
      <x:c r="U1865" t="str">
        <x:f>""</x:f>
        <x:v/>
      </x:c>
      <x:c r="V1865" t="str">
        <x:f>""</x:f>
        <x:v/>
      </x:c>
      <x:c r="W1865" t="str">
        <x:f>""</x:f>
        <x:v/>
      </x:c>
      <x:c r="X1865" t="str">
        <x:f>""</x:f>
        <x:v/>
      </x:c>
      <x:c r="Y1865" t="str">
        <x:f>""</x:f>
        <x:v/>
      </x:c>
      <x:c r="Z1865" t="str">
        <x:f>""</x:f>
        <x:v/>
      </x:c>
      <x:c r="AA1865" t="str">
        <x:f>""</x:f>
        <x:v/>
      </x:c>
      <x:c r="AB1865" t="str">
        <x:f>""</x:f>
        <x:v/>
      </x:c>
      <x:c r="AC1865" t="str">
        <x:f>""</x:f>
        <x:v/>
      </x:c>
      <x:c r="AD1865" t="str">
        <x:f>""</x:f>
        <x:v/>
      </x:c>
      <x:c r="AE1865" t="str">
        <x:f>""</x:f>
        <x:v/>
      </x:c>
      <x:c r="AF1865" t="str">
        <x:f>""</x:f>
        <x:v/>
      </x:c>
      <x:c r="AG1865" t="str">
        <x:f>""</x:f>
        <x:v/>
      </x:c>
    </x:row>
    <x:row r="1866" spans="2:33" x14ac:dyDescent="0.25">
      <x:c r="B1866" t="str">
        <x:f>"VEGN US Equity"</x:f>
        <x:v>VEGN US Equity</x:v>
      </x:c>
      <x:c r="C1866" t="str">
        <x:f t="shared" si="83"/>
        <x:v>FD447</x:v>
      </x:c>
      <x:c r="D1866" t="str">
        <x:f t="shared" si="84"/>
        <x:v>FUND_FLOW</x:v>
      </x:c>
      <x:c r="E1866" t="str">
        <x:f t="shared" si="85"/>
        <x:v>Dynamic</x:v>
      </x:c>
      <x:c r="F1866">
        <x:f ca="1">_xll.BDH($B$1866,$C$1866,$B$1010,$B$1011,CONCATENATE("Per=",$B$1008),"Dts=H","Dir=H",CONCATENATE("Points=",$B$1009),"Sort=R","Days=A","Fill=B",CONCATENATE("FX=", $B$1007),"cols=14;rows=1")</x:f>
        <x:v>0.95069999999999999</x:v>
      </x:c>
      <x:c r="G1866">
        <x:v>0.9546</x:v>
      </x:c>
      <x:c r="H1866">
        <x:v>0.9839</x:v>
      </x:c>
      <x:c r="I1866">
        <x:v>0</x:v>
      </x:c>
      <x:c r="J1866">
        <x:v>0</x:v>
      </x:c>
      <x:c r="K1866">
        <x:v>-1.7267999999999999</x:v>
      </x:c>
      <x:c r="L1866">
        <x:v>0</x:v>
      </x:c>
      <x:c r="M1866">
        <x:v>0</x:v>
      </x:c>
      <x:c r="N1866">
        <x:v>0</x:v>
      </x:c>
      <x:c r="O1866">
        <x:v>0</x:v>
      </x:c>
      <x:c r="P1866">
        <x:v>0</x:v>
      </x:c>
      <x:c r="Q1866">
        <x:v>0</x:v>
      </x:c>
      <x:c r="R1866">
        <x:v>0</x:v>
      </x:c>
      <x:c r="S1866">
        <x:v>0</x:v>
      </x:c>
      <x:c r="T1866" t="str">
        <x:f>""</x:f>
        <x:v/>
      </x:c>
      <x:c r="U1866" t="str">
        <x:f>""</x:f>
        <x:v/>
      </x:c>
      <x:c r="V1866" t="str">
        <x:f>""</x:f>
        <x:v/>
      </x:c>
      <x:c r="W1866" t="str">
        <x:f>""</x:f>
        <x:v/>
      </x:c>
      <x:c r="X1866" t="str">
        <x:f>""</x:f>
        <x:v/>
      </x:c>
      <x:c r="Y1866" t="str">
        <x:f>""</x:f>
        <x:v/>
      </x:c>
      <x:c r="Z1866" t="str">
        <x:f>""</x:f>
        <x:v/>
      </x:c>
      <x:c r="AA1866" t="str">
        <x:f>""</x:f>
        <x:v/>
      </x:c>
      <x:c r="AB1866" t="str">
        <x:f>""</x:f>
        <x:v/>
      </x:c>
      <x:c r="AC1866" t="str">
        <x:f>""</x:f>
        <x:v/>
      </x:c>
      <x:c r="AD1866" t="str">
        <x:f>""</x:f>
        <x:v/>
      </x:c>
      <x:c r="AE1866" t="str">
        <x:f>""</x:f>
        <x:v/>
      </x:c>
      <x:c r="AF1866" t="str">
        <x:f>""</x:f>
        <x:v/>
      </x:c>
      <x:c r="AG1866" t="str">
        <x:f>""</x:f>
        <x:v/>
      </x:c>
    </x:row>
    <x:row r="1867" spans="2:33" x14ac:dyDescent="0.25">
      <x:c r="B1867" t="str">
        <x:f>"GIGE US Equity"</x:f>
        <x:v>GIGE US Equity</x:v>
      </x:c>
      <x:c r="C1867" t="str">
        <x:f t="shared" si="83"/>
        <x:v>FD447</x:v>
      </x:c>
      <x:c r="D1867" t="str">
        <x:f t="shared" si="84"/>
        <x:v>FUND_FLOW</x:v>
      </x:c>
      <x:c r="E1867" t="str">
        <x:f t="shared" si="85"/>
        <x:v>Dynamic</x:v>
      </x:c>
      <x:c r="F1867">
        <x:f ca="1">_xll.BDH($B$1867,$C$1867,$B$1010,$B$1011,CONCATENATE("Per=",$B$1008),"Dts=H","Dir=H",CONCATENATE("Points=",$B$1009),"Sort=R","Days=A","Fill=B",CONCATENATE("FX=", $B$1007),"cols=14;rows=1")</x:f>
        <x:v>0</x:v>
      </x:c>
      <x:c r="G1867">
        <x:v>0</x:v>
      </x:c>
      <x:c r="H1867">
        <x:v>-0.32600000000000001</x:v>
      </x:c>
      <x:c r="I1867">
        <x:v>0</x:v>
      </x:c>
      <x:c r="J1867">
        <x:v>0</x:v>
      </x:c>
      <x:c r="K1867">
        <x:v>0</x:v>
      </x:c>
      <x:c r="L1867">
        <x:v>-0.79200000000000004</x:v>
      </x:c>
      <x:c r="M1867">
        <x:v>0</x:v>
      </x:c>
      <x:c r="N1867">
        <x:v>-0.85109999999999997</x:v>
      </x:c>
      <x:c r="O1867">
        <x:v>0</x:v>
      </x:c>
      <x:c r="P1867">
        <x:v>0</x:v>
      </x:c>
      <x:c r="Q1867">
        <x:v>0</x:v>
      </x:c>
      <x:c r="R1867">
        <x:v>0</x:v>
      </x:c>
      <x:c r="S1867">
        <x:v>0</x:v>
      </x:c>
      <x:c r="T1867" t="str">
        <x:f>""</x:f>
        <x:v/>
      </x:c>
      <x:c r="U1867" t="str">
        <x:f>""</x:f>
        <x:v/>
      </x:c>
      <x:c r="V1867" t="str">
        <x:f>""</x:f>
        <x:v/>
      </x:c>
      <x:c r="W1867" t="str">
        <x:f>""</x:f>
        <x:v/>
      </x:c>
      <x:c r="X1867" t="str">
        <x:f>""</x:f>
        <x:v/>
      </x:c>
      <x:c r="Y1867" t="str">
        <x:f>""</x:f>
        <x:v/>
      </x:c>
      <x:c r="Z1867" t="str">
        <x:f>""</x:f>
        <x:v/>
      </x:c>
      <x:c r="AA1867" t="str">
        <x:f>""</x:f>
        <x:v/>
      </x:c>
      <x:c r="AB1867" t="str">
        <x:f>""</x:f>
        <x:v/>
      </x:c>
      <x:c r="AC1867" t="str">
        <x:f>""</x:f>
        <x:v/>
      </x:c>
      <x:c r="AD1867" t="str">
        <x:f>""</x:f>
        <x:v/>
      </x:c>
      <x:c r="AE1867" t="str">
        <x:f>""</x:f>
        <x:v/>
      </x:c>
      <x:c r="AF1867" t="str">
        <x:f>""</x:f>
        <x:v/>
      </x:c>
      <x:c r="AG1867" t="str">
        <x:f>""</x:f>
        <x:v/>
      </x:c>
    </x:row>
    <x:row r="1868" spans="2:33" x14ac:dyDescent="0.25">
      <x:c r="B1868" t="str">
        <x:f>"VIRS US Equity"</x:f>
        <x:v>VIRS US Equity</x:v>
      </x:c>
      <x:c r="C1868" t="str">
        <x:f t="shared" si="83"/>
        <x:v>FD447</x:v>
      </x:c>
      <x:c r="D1868" t="str">
        <x:f t="shared" si="84"/>
        <x:v>FUND_FLOW</x:v>
      </x:c>
      <x:c r="E1868" t="str">
        <x:f t="shared" si="85"/>
        <x:v>Dynamic</x:v>
      </x:c>
      <x:c r="F1868">
        <x:f ca="1">_xll.BDH($B$1868,$C$1868,$B$1010,$B$1011,CONCATENATE("Per=",$B$1008),"Dts=H","Dir=H",CONCATENATE("Points=",$B$1009),"Sort=R","Days=A","Fill=B",CONCATENATE("FX=", $B$1007),"cols=14;rows=1")</x:f>
        <x:v>0</x:v>
      </x:c>
      <x:c r="G1868">
        <x:v>0</x:v>
      </x:c>
      <x:c r="H1868">
        <x:v>0</x:v>
      </x:c>
      <x:c r="I1868">
        <x:v>0</x:v>
      </x:c>
      <x:c r="J1868">
        <x:v>3.2000000000000002E-3</x:v>
      </x:c>
      <x:c r="K1868">
        <x:v>0</x:v>
      </x:c>
      <x:c r="L1868">
        <x:v>0</x:v>
      </x:c>
      <x:c r="M1868">
        <x:v>0</x:v>
      </x:c>
      <x:c r="N1868">
        <x:v>0</x:v>
      </x:c>
      <x:c r="O1868">
        <x:v>0</x:v>
      </x:c>
      <x:c r="P1868">
        <x:v>-0.74360000000000004</x:v>
      </x:c>
      <x:c r="Q1868">
        <x:v>0</x:v>
      </x:c>
      <x:c r="R1868">
        <x:v>0</x:v>
      </x:c>
      <x:c r="S1868">
        <x:v>0</x:v>
      </x:c>
      <x:c r="T1868" t="str">
        <x:f>""</x:f>
        <x:v/>
      </x:c>
      <x:c r="U1868" t="str">
        <x:f>""</x:f>
        <x:v/>
      </x:c>
      <x:c r="V1868" t="str">
        <x:f>""</x:f>
        <x:v/>
      </x:c>
      <x:c r="W1868" t="str">
        <x:f>""</x:f>
        <x:v/>
      </x:c>
      <x:c r="X1868" t="str">
        <x:f>""</x:f>
        <x:v/>
      </x:c>
      <x:c r="Y1868" t="str">
        <x:f>""</x:f>
        <x:v/>
      </x:c>
      <x:c r="Z1868" t="str">
        <x:f>""</x:f>
        <x:v/>
      </x:c>
      <x:c r="AA1868" t="str">
        <x:f>""</x:f>
        <x:v/>
      </x:c>
      <x:c r="AB1868" t="str">
        <x:f>""</x:f>
        <x:v/>
      </x:c>
      <x:c r="AC1868" t="str">
        <x:f>""</x:f>
        <x:v/>
      </x:c>
      <x:c r="AD1868" t="str">
        <x:f>""</x:f>
        <x:v/>
      </x:c>
      <x:c r="AE1868" t="str">
        <x:f>""</x:f>
        <x:v/>
      </x:c>
      <x:c r="AF1868" t="str">
        <x:f>""</x:f>
        <x:v/>
      </x:c>
      <x:c r="AG1868" t="str">
        <x:f>""</x:f>
        <x:v/>
      </x:c>
    </x:row>
    <x:row r="1869" spans="2:33" x14ac:dyDescent="0.25">
      <x:c r="B1869" t="str">
        <x:f>"EDUT US Equity"</x:f>
        <x:v>EDUT US Equity</x:v>
      </x:c>
      <x:c r="C1869" t="str">
        <x:f t="shared" si="83"/>
        <x:v>FD447</x:v>
      </x:c>
      <x:c r="D1869" t="str">
        <x:f t="shared" si="84"/>
        <x:v>FUND_FLOW</x:v>
      </x:c>
      <x:c r="E1869" t="str">
        <x:f t="shared" si="85"/>
        <x:v>Dynamic</x:v>
      </x:c>
      <x:c r="F1869">
        <x:f ca="1">_xll.BDH($B$1869,$C$1869,$B$1010,$B$1011,CONCATENATE("Per=",$B$1008),"Dts=H","Dir=H",CONCATENATE("Points=",$B$1009),"Sort=R","Days=A","Fill=B",CONCATENATE("FX=", $B$1007),"cols=14;rows=1")</x:f>
        <x:v>0</x:v>
      </x:c>
      <x:c r="G1869">
        <x:v>0</x:v>
      </x:c>
      <x:c r="H1869">
        <x:v>-0.21390000000000001</x:v>
      </x:c>
      <x:c r="I1869">
        <x:v>0</x:v>
      </x:c>
      <x:c r="J1869">
        <x:v>0</x:v>
      </x:c>
      <x:c r="K1869">
        <x:v>-0.193</x:v>
      </x:c>
      <x:c r="L1869">
        <x:v>0</x:v>
      </x:c>
      <x:c r="M1869">
        <x:v>0</x:v>
      </x:c>
      <x:c r="N1869">
        <x:v>0</x:v>
      </x:c>
      <x:c r="O1869">
        <x:v>-3.3999999999999998E-3</x:v>
      </x:c>
      <x:c r="P1869">
        <x:v>0</x:v>
      </x:c>
      <x:c r="Q1869">
        <x:v>0</x:v>
      </x:c>
      <x:c r="R1869">
        <x:v>0</x:v>
      </x:c>
      <x:c r="S1869">
        <x:v>-0.18210000000000001</x:v>
      </x:c>
      <x:c r="T1869" t="str">
        <x:f>""</x:f>
        <x:v/>
      </x:c>
      <x:c r="U1869" t="str">
        <x:f>""</x:f>
        <x:v/>
      </x:c>
      <x:c r="V1869" t="str">
        <x:f>""</x:f>
        <x:v/>
      </x:c>
      <x:c r="W1869" t="str">
        <x:f>""</x:f>
        <x:v/>
      </x:c>
      <x:c r="X1869" t="str">
        <x:f>""</x:f>
        <x:v/>
      </x:c>
      <x:c r="Y1869" t="str">
        <x:f>""</x:f>
        <x:v/>
      </x:c>
      <x:c r="Z1869" t="str">
        <x:f>""</x:f>
        <x:v/>
      </x:c>
      <x:c r="AA1869" t="str">
        <x:f>""</x:f>
        <x:v/>
      </x:c>
      <x:c r="AB1869" t="str">
        <x:f>""</x:f>
        <x:v/>
      </x:c>
      <x:c r="AC1869" t="str">
        <x:f>""</x:f>
        <x:v/>
      </x:c>
      <x:c r="AD1869" t="str">
        <x:f>""</x:f>
        <x:v/>
      </x:c>
      <x:c r="AE1869" t="str">
        <x:f>""</x:f>
        <x:v/>
      </x:c>
      <x:c r="AF1869" t="str">
        <x:f>""</x:f>
        <x:v/>
      </x:c>
      <x:c r="AG1869" t="str">
        <x:f>""</x:f>
        <x:v/>
      </x:c>
    </x:row>
    <x:row r="1870" spans="2:33" x14ac:dyDescent="0.25">
      <x:c r="B1870" t="str">
        <x:f>"AMER US Equity"</x:f>
        <x:v>AMER US Equity</x:v>
      </x:c>
      <x:c r="C1870" t="str">
        <x:f t="shared" si="83"/>
        <x:v>FD447</x:v>
      </x:c>
      <x:c r="D1870" t="str">
        <x:f t="shared" si="84"/>
        <x:v>FUND_FLOW</x:v>
      </x:c>
      <x:c r="E1870" t="str">
        <x:f t="shared" si="85"/>
        <x:v>Dynamic</x:v>
      </x:c>
      <x:c r="F1870" t="str">
        <x:f ca="1">_xll.BDH($B$1870,$C$1870,$B$1010,$B$1011,CONCATENATE("Per=",$B$1008),"Dts=H","Dir=H",CONCATENATE("Points=",$B$1009),"Sort=R","Days=A","Fill=B",CONCATENATE("FX=", $B$1007),"cols=14;rows=1")</x:f>
        <x:v/>
      </x:c>
      <x:c r="R1870">
        <x:v>-3.7199999999999997E-2</x:v>
      </x:c>
      <x:c r="S1870">
        <x:v>-1.9874000000000001</x:v>
      </x:c>
      <x:c r="T1870" t="str">
        <x:f>""</x:f>
        <x:v/>
      </x:c>
      <x:c r="U1870" t="str">
        <x:f>""</x:f>
        <x:v/>
      </x:c>
      <x:c r="V1870" t="str">
        <x:f>""</x:f>
        <x:v/>
      </x:c>
      <x:c r="W1870" t="str">
        <x:f>""</x:f>
        <x:v/>
      </x:c>
      <x:c r="X1870" t="str">
        <x:f>""</x:f>
        <x:v/>
      </x:c>
      <x:c r="Y1870" t="str">
        <x:f>""</x:f>
        <x:v/>
      </x:c>
      <x:c r="Z1870" t="str">
        <x:f>""</x:f>
        <x:v/>
      </x:c>
      <x:c r="AA1870" t="str">
        <x:f>""</x:f>
        <x:v/>
      </x:c>
      <x:c r="AB1870" t="str">
        <x:f>""</x:f>
        <x:v/>
      </x:c>
      <x:c r="AC1870" t="str">
        <x:f>""</x:f>
        <x:v/>
      </x:c>
      <x:c r="AD1870" t="str">
        <x:f>""</x:f>
        <x:v/>
      </x:c>
      <x:c r="AE1870" t="str">
        <x:f>""</x:f>
        <x:v/>
      </x:c>
      <x:c r="AF1870" t="str">
        <x:f>""</x:f>
        <x:v/>
      </x:c>
      <x:c r="AG1870" t="str">
        <x:f>""</x:f>
        <x:v/>
      </x:c>
    </x:row>
    <x:row r="1871" spans="2:33" x14ac:dyDescent="0.25">
      <x:c r="B1871" t="str">
        <x:f>"FEDX US Equity"</x:f>
        <x:v>FEDX US Equity</x:v>
      </x:c>
      <x:c r="C1871" t="str">
        <x:f t="shared" si="83"/>
        <x:v>FD447</x:v>
      </x:c>
      <x:c r="D1871" t="str">
        <x:f t="shared" si="84"/>
        <x:v>FUND_FLOW</x:v>
      </x:c>
      <x:c r="E1871" t="str">
        <x:f t="shared" si="85"/>
        <x:v>Dynamic</x:v>
      </x:c>
      <x:c r="F1871" t="str">
        <x:f ca="1">_xll.BDH($B$1871,$C$1871,$B$1010,$B$1011,CONCATENATE("Per=",$B$1008),"Dts=H","Dir=H",CONCATENATE("Points=",$B$1009),"Sort=R","Days=A","Fill=B",CONCATENATE("FX=", $B$1007),"cols=14;rows=1")</x:f>
        <x:v/>
      </x:c>
      <x:c r="R1871">
        <x:v>-1.2523</x:v>
      </x:c>
      <x:c r="S1871">
        <x:v>0.63890000000000002</x:v>
      </x:c>
      <x:c r="T1871" t="str">
        <x:f>""</x:f>
        <x:v/>
      </x:c>
      <x:c r="U1871" t="str">
        <x:f>""</x:f>
        <x:v/>
      </x:c>
      <x:c r="V1871" t="str">
        <x:f>""</x:f>
        <x:v/>
      </x:c>
      <x:c r="W1871" t="str">
        <x:f>""</x:f>
        <x:v/>
      </x:c>
      <x:c r="X1871" t="str">
        <x:f>""</x:f>
        <x:v/>
      </x:c>
      <x:c r="Y1871" t="str">
        <x:f>""</x:f>
        <x:v/>
      </x:c>
      <x:c r="Z1871" t="str">
        <x:f>""</x:f>
        <x:v/>
      </x:c>
      <x:c r="AA1871" t="str">
        <x:f>""</x:f>
        <x:v/>
      </x:c>
      <x:c r="AB1871" t="str">
        <x:f>""</x:f>
        <x:v/>
      </x:c>
      <x:c r="AC1871" t="str">
        <x:f>""</x:f>
        <x:v/>
      </x:c>
      <x:c r="AD1871" t="str">
        <x:f>""</x:f>
        <x:v/>
      </x:c>
      <x:c r="AE1871" t="str">
        <x:f>""</x:f>
        <x:v/>
      </x:c>
      <x:c r="AF1871" t="str">
        <x:f>""</x:f>
        <x:v/>
      </x:c>
      <x:c r="AG1871" t="str">
        <x:f>""</x:f>
        <x:v/>
      </x:c>
    </x:row>
    <x:row r="1872" spans="2:33" x14ac:dyDescent="0.25">
      <x:c r="B1872" t="str">
        <x:f>"VPOP US Equity"</x:f>
        <x:v>VPOP US Equity</x:v>
      </x:c>
      <x:c r="C1872" t="str">
        <x:f t="shared" si="83"/>
        <x:v>FD447</x:v>
      </x:c>
      <x:c r="D1872" t="str">
        <x:f t="shared" si="84"/>
        <x:v>FUND_FLOW</x:v>
      </x:c>
      <x:c r="E1872" t="str">
        <x:f t="shared" si="85"/>
        <x:v>Dynamic</x:v>
      </x:c>
      <x:c r="F1872" t="str">
        <x:f ca="1">_xll.BDH($B$1872,$C$1872,$B$1010,$B$1011,CONCATENATE("Per=",$B$1008),"Dts=H","Dir=H",CONCATENATE("Points=",$B$1009),"Sort=R","Days=A","Fill=B",CONCATENATE("FX=", $B$1007) )</x:f>
        <x:v/>
      </x:c>
      <x:c r="T1872" t="str">
        <x:f>""</x:f>
        <x:v/>
      </x:c>
      <x:c r="U1872" t="str">
        <x:f>""</x:f>
        <x:v/>
      </x:c>
      <x:c r="V1872" t="str">
        <x:f>""</x:f>
        <x:v/>
      </x:c>
      <x:c r="W1872" t="str">
        <x:f>""</x:f>
        <x:v/>
      </x:c>
      <x:c r="X1872" t="str">
        <x:f>""</x:f>
        <x:v/>
      </x:c>
      <x:c r="Y1872" t="str">
        <x:f>""</x:f>
        <x:v/>
      </x:c>
      <x:c r="Z1872" t="str">
        <x:f>""</x:f>
        <x:v/>
      </x:c>
      <x:c r="AA1872" t="str">
        <x:f>""</x:f>
        <x:v/>
      </x:c>
      <x:c r="AB1872" t="str">
        <x:f>""</x:f>
        <x:v/>
      </x:c>
      <x:c r="AC1872" t="str">
        <x:f>""</x:f>
        <x:v/>
      </x:c>
      <x:c r="AD1872" t="str">
        <x:f>""</x:f>
        <x:v/>
      </x:c>
      <x:c r="AE1872" t="str">
        <x:f>""</x:f>
        <x:v/>
      </x:c>
      <x:c r="AF1872" t="str">
        <x:f>""</x:f>
        <x:v/>
      </x:c>
      <x:c r="AG1872" t="str">
        <x:f>""</x:f>
        <x:v/>
      </x:c>
    </x:row>
    <x:row r="1873" spans="2:33" x14ac:dyDescent="0.25">
      <x:c r="B1873" t="str">
        <x:f>"MVP US Equity"</x:f>
        <x:v>MVP US Equity</x:v>
      </x:c>
      <x:c r="C1873" t="str">
        <x:f t="shared" si="83"/>
        <x:v>FD447</x:v>
      </x:c>
      <x:c r="D1873" t="str">
        <x:f t="shared" si="84"/>
        <x:v>FUND_FLOW</x:v>
      </x:c>
      <x:c r="E1873" t="str">
        <x:f t="shared" si="85"/>
        <x:v>Dynamic</x:v>
      </x:c>
      <x:c r="F1873" t="str">
        <x:f ca="1">_xll.BDH($B$1873,$C$1873,$B$1010,$B$1011,CONCATENATE("Per=",$B$1008),"Dts=H","Dir=H",CONCATENATE("Points=",$B$1009),"Sort=R","Days=A","Fill=B",CONCATENATE("FX=", $B$1007) )</x:f>
        <x:v/>
      </x:c>
      <x:c r="T1873" t="str">
        <x:f>""</x:f>
        <x:v/>
      </x:c>
      <x:c r="U1873" t="str">
        <x:f>""</x:f>
        <x:v/>
      </x:c>
      <x:c r="V1873" t="str">
        <x:f>""</x:f>
        <x:v/>
      </x:c>
      <x:c r="W1873" t="str">
        <x:f>""</x:f>
        <x:v/>
      </x:c>
      <x:c r="X1873" t="str">
        <x:f>""</x:f>
        <x:v/>
      </x:c>
      <x:c r="Y1873" t="str">
        <x:f>""</x:f>
        <x:v/>
      </x:c>
      <x:c r="Z1873" t="str">
        <x:f>""</x:f>
        <x:v/>
      </x:c>
      <x:c r="AA1873" t="str">
        <x:f>""</x:f>
        <x:v/>
      </x:c>
      <x:c r="AB1873" t="str">
        <x:f>""</x:f>
        <x:v/>
      </x:c>
      <x:c r="AC1873" t="str">
        <x:f>""</x:f>
        <x:v/>
      </x:c>
      <x:c r="AD1873" t="str">
        <x:f>""</x:f>
        <x:v/>
      </x:c>
      <x:c r="AE1873" t="str">
        <x:f>""</x:f>
        <x:v/>
      </x:c>
      <x:c r="AF1873" t="str">
        <x:f>""</x:f>
        <x:v/>
      </x:c>
      <x:c r="AG1873" t="str">
        <x:f>""</x:f>
        <x:v/>
      </x:c>
    </x:row>
    <x:row r="1874" spans="2:33" x14ac:dyDescent="0.25">
      <x:c r="B1874" t="str">
        <x:f>"ACTV US Equity"</x:f>
        <x:v>ACTV US Equity</x:v>
      </x:c>
      <x:c r="C1874" t="str">
        <x:f t="shared" si="83"/>
        <x:v>FD447</x:v>
      </x:c>
      <x:c r="D1874" t="str">
        <x:f t="shared" si="84"/>
        <x:v>FUND_FLOW</x:v>
      </x:c>
      <x:c r="E1874" t="str">
        <x:f t="shared" si="85"/>
        <x:v>Dynamic</x:v>
      </x:c>
      <x:c r="F1874">
        <x:f ca="1">_xll.BDH($B$1874,$C$1874,$B$1010,$B$1011,CONCATENATE("Per=",$B$1008),"Dts=H","Dir=H",CONCATENATE("Points=",$B$1009),"Sort=R","Days=A","Fill=B",CONCATENATE("FX=", $B$1007),"cols=14;rows=1")</x:f>
        <x:v>0.68920000000000003</x:v>
      </x:c>
      <x:c r="G1874">
        <x:v>-1.524</x:v>
      </x:c>
      <x:c r="H1874">
        <x:v>1.37E-2</x:v>
      </x:c>
      <x:c r="I1874">
        <x:v>1.4390000000000001</x:v>
      </x:c>
      <x:c r="J1874">
        <x:v>-1.2E-2</x:v>
      </x:c>
      <x:c r="K1874">
        <x:v>3.2000000000000001E-2</x:v>
      </x:c>
      <x:c r="L1874">
        <x:v>1.4610000000000001</x:v>
      </x:c>
      <x:c r="M1874">
        <x:v>1.4967999999999999</x:v>
      </x:c>
      <x:c r="N1874">
        <x:v>3.3043</x:v>
      </x:c>
      <x:c r="O1874">
        <x:v>-7.1999999999999995E-2</x:v>
      </x:c>
      <x:c r="P1874">
        <x:v>2.2130000000000001</x:v>
      </x:c>
      <x:c r="Q1874">
        <x:v>-0.14169999999999999</x:v>
      </x:c>
      <x:c r="R1874">
        <x:v>1.3783000000000001</x:v>
      </x:c>
      <x:c r="S1874">
        <x:v>3.5129999999999999</x:v>
      </x:c>
      <x:c r="T1874" t="str">
        <x:f>""</x:f>
        <x:v/>
      </x:c>
      <x:c r="U1874" t="str">
        <x:f>""</x:f>
        <x:v/>
      </x:c>
      <x:c r="V1874" t="str">
        <x:f>""</x:f>
        <x:v/>
      </x:c>
      <x:c r="W1874" t="str">
        <x:f>""</x:f>
        <x:v/>
      </x:c>
      <x:c r="X1874" t="str">
        <x:f>""</x:f>
        <x:v/>
      </x:c>
      <x:c r="Y1874" t="str">
        <x:f>""</x:f>
        <x:v/>
      </x:c>
      <x:c r="Z1874" t="str">
        <x:f>""</x:f>
        <x:v/>
      </x:c>
      <x:c r="AA1874" t="str">
        <x:f>""</x:f>
        <x:v/>
      </x:c>
      <x:c r="AB1874" t="str">
        <x:f>""</x:f>
        <x:v/>
      </x:c>
      <x:c r="AC1874" t="str">
        <x:f>""</x:f>
        <x:v/>
      </x:c>
      <x:c r="AD1874" t="str">
        <x:f>""</x:f>
        <x:v/>
      </x:c>
      <x:c r="AE1874" t="str">
        <x:f>""</x:f>
        <x:v/>
      </x:c>
      <x:c r="AF1874" t="str">
        <x:f>""</x:f>
        <x:v/>
      </x:c>
      <x:c r="AG1874" t="str">
        <x:f>""</x:f>
        <x:v/>
      </x:c>
    </x:row>
    <x:row r="1875" spans="2:33" x14ac:dyDescent="0.25">
      <x:c r="B1875" t="str">
        <x:f>"BUZZ US Equity"</x:f>
        <x:v>BUZZ US Equity</x:v>
      </x:c>
      <x:c r="C1875" t="str">
        <x:f t="shared" si="83"/>
        <x:v>FD447</x:v>
      </x:c>
      <x:c r="D1875" t="str">
        <x:f t="shared" si="84"/>
        <x:v>FUND_FLOW</x:v>
      </x:c>
      <x:c r="E1875" t="str">
        <x:f t="shared" si="85"/>
        <x:v>Dynamic</x:v>
      </x:c>
      <x:c r="F1875">
        <x:f ca="1">_xll.BDH($B$1875,$C$1875,$B$1010,$B$1011,CONCATENATE("Per=",$B$1008),"Dts=H","Dir=H",CONCATENATE("Points=",$B$1009),"Sort=R","Days=A","Fill=B",CONCATENATE("FX=", $B$1007),"cols=14;rows=1")</x:f>
        <x:v>-1.2431000000000001</x:v>
      </x:c>
      <x:c r="G1875">
        <x:v>-0.94579999999999997</x:v>
      </x:c>
      <x:c r="H1875">
        <x:v>8.3400000000000002E-2</x:v>
      </x:c>
      <x:c r="I1875">
        <x:v>-1.5987</x:v>
      </x:c>
      <x:c r="J1875">
        <x:v>-0.97030000000000005</x:v>
      </x:c>
      <x:c r="K1875">
        <x:v>-2.1078000000000001</x:v>
      </x:c>
      <x:c r="L1875">
        <x:v>0.58930000000000005</x:v>
      </x:c>
      <x:c r="M1875">
        <x:v>-2.1757</x:v>
      </x:c>
      <x:c r="N1875">
        <x:v>-1.1378999999999999</x:v>
      </x:c>
      <x:c r="O1875">
        <x:v>-1.5876999999999999</x:v>
      </x:c>
      <x:c r="P1875">
        <x:v>-0.38329999999999997</x:v>
      </x:c>
      <x:c r="Q1875">
        <x:v>-2.2841999999999998</x:v>
      </x:c>
      <x:c r="R1875">
        <x:v>-1.6999999999999999E-3</x:v>
      </x:c>
      <x:c r="S1875">
        <x:v>-1.6927000000000001</x:v>
      </x:c>
      <x:c r="T1875" t="str">
        <x:f>""</x:f>
        <x:v/>
      </x:c>
      <x:c r="U1875" t="str">
        <x:f>""</x:f>
        <x:v/>
      </x:c>
      <x:c r="V1875" t="str">
        <x:f>""</x:f>
        <x:v/>
      </x:c>
      <x:c r="W1875" t="str">
        <x:f>""</x:f>
        <x:v/>
      </x:c>
      <x:c r="X1875" t="str">
        <x:f>""</x:f>
        <x:v/>
      </x:c>
      <x:c r="Y1875" t="str">
        <x:f>""</x:f>
        <x:v/>
      </x:c>
      <x:c r="Z1875" t="str">
        <x:f>""</x:f>
        <x:v/>
      </x:c>
      <x:c r="AA1875" t="str">
        <x:f>""</x:f>
        <x:v/>
      </x:c>
      <x:c r="AB1875" t="str">
        <x:f>""</x:f>
        <x:v/>
      </x:c>
      <x:c r="AC1875" t="str">
        <x:f>""</x:f>
        <x:v/>
      </x:c>
      <x:c r="AD1875" t="str">
        <x:f>""</x:f>
        <x:v/>
      </x:c>
      <x:c r="AE1875" t="str">
        <x:f>""</x:f>
        <x:v/>
      </x:c>
      <x:c r="AF1875" t="str">
        <x:f>""</x:f>
        <x:v/>
      </x:c>
      <x:c r="AG1875" t="str">
        <x:f>""</x:f>
        <x:v/>
      </x:c>
    </x:row>
    <x:row r="1876" spans="2:33" x14ac:dyDescent="0.25">
      <x:c r="B1876" t="str">
        <x:f>"GENY US Equity"</x:f>
        <x:v>GENY US Equity</x:v>
      </x:c>
      <x:c r="C1876" t="str">
        <x:f t="shared" si="83"/>
        <x:v>FD447</x:v>
      </x:c>
      <x:c r="D1876" t="str">
        <x:f t="shared" si="84"/>
        <x:v>FUND_FLOW</x:v>
      </x:c>
      <x:c r="E1876" t="str">
        <x:f t="shared" si="85"/>
        <x:v>Dynamic</x:v>
      </x:c>
      <x:c r="F1876">
        <x:f ca="1">_xll.BDH($B$1876,$C$1876,$B$1010,$B$1011,CONCATENATE("Per=",$B$1008),"Dts=H","Dir=H",CONCATENATE("Points=",$B$1009),"Sort=R","Days=A","Fill=B",CONCATENATE("FX=", $B$1007),"cols=14;rows=1")</x:f>
        <x:v>-17.352</x:v>
      </x:c>
      <x:c r="G1876">
        <x:v>0</x:v>
      </x:c>
      <x:c r="H1876">
        <x:v>2.1894</x:v>
      </x:c>
      <x:c r="I1876">
        <x:v>0</x:v>
      </x:c>
      <x:c r="J1876">
        <x:v>0</x:v>
      </x:c>
      <x:c r="K1876">
        <x:v>0</x:v>
      </x:c>
      <x:c r="L1876">
        <x:v>0</x:v>
      </x:c>
      <x:c r="M1876">
        <x:v>2.1185999999999998</x:v>
      </x:c>
      <x:c r="N1876">
        <x:v>0</x:v>
      </x:c>
      <x:c r="O1876">
        <x:v>0</x:v>
      </x:c>
      <x:c r="P1876">
        <x:v>0</x:v>
      </x:c>
      <x:c r="Q1876">
        <x:v>0</x:v>
      </x:c>
      <x:c r="R1876">
        <x:v>1.7296</x:v>
      </x:c>
      <x:c r="S1876">
        <x:v>0</x:v>
      </x:c>
      <x:c r="T1876" t="str">
        <x:f>""</x:f>
        <x:v/>
      </x:c>
      <x:c r="U1876" t="str">
        <x:f>""</x:f>
        <x:v/>
      </x:c>
      <x:c r="V1876" t="str">
        <x:f>""</x:f>
        <x:v/>
      </x:c>
      <x:c r="W1876" t="str">
        <x:f>""</x:f>
        <x:v/>
      </x:c>
      <x:c r="X1876" t="str">
        <x:f>""</x:f>
        <x:v/>
      </x:c>
      <x:c r="Y1876" t="str">
        <x:f>""</x:f>
        <x:v/>
      </x:c>
      <x:c r="Z1876" t="str">
        <x:f>""</x:f>
        <x:v/>
      </x:c>
      <x:c r="AA1876" t="str">
        <x:f>""</x:f>
        <x:v/>
      </x:c>
      <x:c r="AB1876" t="str">
        <x:f>""</x:f>
        <x:v/>
      </x:c>
      <x:c r="AC1876" t="str">
        <x:f>""</x:f>
        <x:v/>
      </x:c>
      <x:c r="AD1876" t="str">
        <x:f>""</x:f>
        <x:v/>
      </x:c>
      <x:c r="AE1876" t="str">
        <x:f>""</x:f>
        <x:v/>
      </x:c>
      <x:c r="AF1876" t="str">
        <x:f>""</x:f>
        <x:v/>
      </x:c>
      <x:c r="AG1876" t="str">
        <x:f>""</x:f>
        <x:v/>
      </x:c>
    </x:row>
    <x:row r="1877" spans="2:33" x14ac:dyDescent="0.25">
      <x:c r="B1877" t="str">
        <x:f>"MILN US Equity"</x:f>
        <x:v>MILN US Equity</x:v>
      </x:c>
      <x:c r="C1877" t="str">
        <x:f t="shared" si="83"/>
        <x:v>FD447</x:v>
      </x:c>
      <x:c r="D1877" t="str">
        <x:f t="shared" si="84"/>
        <x:v>FUND_FLOW</x:v>
      </x:c>
      <x:c r="E1877" t="str">
        <x:f t="shared" si="85"/>
        <x:v>Dynamic</x:v>
      </x:c>
      <x:c r="F1877">
        <x:f ca="1">_xll.BDH($B$1877,$C$1877,$B$1010,$B$1011,CONCATENATE("Per=",$B$1008),"Dts=H","Dir=H",CONCATENATE("Points=",$B$1009),"Sort=R","Days=A","Fill=B",CONCATENATE("FX=", $B$1007),"cols=14;rows=1")</x:f>
        <x:v>0.28810000000000002</x:v>
      </x:c>
      <x:c r="G1877">
        <x:v>-0.60519999999999996</x:v>
      </x:c>
      <x:c r="H1877">
        <x:v>1.0500000000000001E-2</x:v>
      </x:c>
      <x:c r="I1877">
        <x:v>1.3371</x:v>
      </x:c>
      <x:c r="J1877">
        <x:v>-2.8298999999999999</x:v>
      </x:c>
      <x:c r="K1877">
        <x:v>-0.88900000000000001</x:v>
      </x:c>
      <x:c r="L1877">
        <x:v>-1.4830000000000001</x:v>
      </x:c>
      <x:c r="M1877">
        <x:v>-2.3433000000000002</x:v>
      </x:c>
      <x:c r="N1877">
        <x:v>-3.3317999999999999</x:v>
      </x:c>
      <x:c r="O1877">
        <x:v>0.63319999999999999</x:v>
      </x:c>
      <x:c r="P1877">
        <x:v>-4.5171000000000001</x:v>
      </x:c>
      <x:c r="Q1877">
        <x:v>-1.0660000000000001</x:v>
      </x:c>
      <x:c r="R1877">
        <x:v>-2.3874</x:v>
      </x:c>
      <x:c r="S1877">
        <x:v>-1.0373000000000001</x:v>
      </x:c>
      <x:c r="T1877" t="str">
        <x:f>""</x:f>
        <x:v/>
      </x:c>
      <x:c r="U1877" t="str">
        <x:f>""</x:f>
        <x:v/>
      </x:c>
      <x:c r="V1877" t="str">
        <x:f>""</x:f>
        <x:v/>
      </x:c>
      <x:c r="W1877" t="str">
        <x:f>""</x:f>
        <x:v/>
      </x:c>
      <x:c r="X1877" t="str">
        <x:f>""</x:f>
        <x:v/>
      </x:c>
      <x:c r="Y1877" t="str">
        <x:f>""</x:f>
        <x:v/>
      </x:c>
      <x:c r="Z1877" t="str">
        <x:f>""</x:f>
        <x:v/>
      </x:c>
      <x:c r="AA1877" t="str">
        <x:f>""</x:f>
        <x:v/>
      </x:c>
      <x:c r="AB1877" t="str">
        <x:f>""</x:f>
        <x:v/>
      </x:c>
      <x:c r="AC1877" t="str">
        <x:f>""</x:f>
        <x:v/>
      </x:c>
      <x:c r="AD1877" t="str">
        <x:f>""</x:f>
        <x:v/>
      </x:c>
      <x:c r="AE1877" t="str">
        <x:f>""</x:f>
        <x:v/>
      </x:c>
      <x:c r="AF1877" t="str">
        <x:f>""</x:f>
        <x:v/>
      </x:c>
      <x:c r="AG1877" t="str">
        <x:f>""</x:f>
        <x:v/>
      </x:c>
    </x:row>
    <x:row r="1878" spans="2:33" x14ac:dyDescent="0.25">
      <x:c r="B1878" t="str">
        <x:f>"MEME US Equity"</x:f>
        <x:v>MEME US Equity</x:v>
      </x:c>
      <x:c r="C1878" t="str">
        <x:f t="shared" si="83"/>
        <x:v>FD447</x:v>
      </x:c>
      <x:c r="D1878" t="str">
        <x:f t="shared" si="84"/>
        <x:v>FUND_FLOW</x:v>
      </x:c>
      <x:c r="E1878" t="str">
        <x:f t="shared" si="85"/>
        <x:v>Dynamic</x:v>
      </x:c>
      <x:c r="F1878">
        <x:f ca="1">_xll.BDH($B$1878,$C$1878,$B$1010,$B$1011,CONCATENATE("Per=",$B$1008),"Dts=H","Dir=H",CONCATENATE("Points=",$B$1009),"Sort=R","Days=A","Fill=B",CONCATENATE("FX=", $B$1007),"cols=14;rows=1")</x:f>
        <x:v>-0.30509999999999998</x:v>
      </x:c>
      <x:c r="G1878">
        <x:v>4.5999999999999999E-3</x:v>
      </x:c>
      <x:c r="H1878">
        <x:v>0.44700000000000001</x:v>
      </x:c>
      <x:c r="I1878">
        <x:v>2.0017999999999998</x:v>
      </x:c>
      <x:c r="J1878">
        <x:v>2.2000000000000001E-3</x:v>
      </x:c>
      <x:c r="K1878">
        <x:v>0</x:v>
      </x:c>
      <x:c r="L1878">
        <x:v>8.2000000000000007E-3</x:v>
      </x:c>
      <x:c r="M1878">
        <x:v>-1.23E-2</x:v>
      </x:c>
      <x:c r="N1878">
        <x:v>-0.33019999999999999</x:v>
      </x:c>
      <x:c r="O1878">
        <x:v>0.32550000000000001</x:v>
      </x:c>
      <x:c r="P1878">
        <x:v>7.7000000000000002E-3</x:v>
      </x:c>
      <x:c r="Q1878">
        <x:v>9.1999999999999998E-3</x:v>
      </x:c>
      <x:c r="R1878">
        <x:v>0</x:v>
      </x:c>
      <x:c r="S1878">
        <x:v>-4.3E-3</x:v>
      </x:c>
      <x:c r="T1878" t="str">
        <x:f>""</x:f>
        <x:v/>
      </x:c>
      <x:c r="U1878" t="str">
        <x:f>""</x:f>
        <x:v/>
      </x:c>
      <x:c r="V1878" t="str">
        <x:f>""</x:f>
        <x:v/>
      </x:c>
      <x:c r="W1878" t="str">
        <x:f>""</x:f>
        <x:v/>
      </x:c>
      <x:c r="X1878" t="str">
        <x:f>""</x:f>
        <x:v/>
      </x:c>
      <x:c r="Y1878" t="str">
        <x:f>""</x:f>
        <x:v/>
      </x:c>
      <x:c r="Z1878" t="str">
        <x:f>""</x:f>
        <x:v/>
      </x:c>
      <x:c r="AA1878" t="str">
        <x:f>""</x:f>
        <x:v/>
      </x:c>
      <x:c r="AB1878" t="str">
        <x:f>""</x:f>
        <x:v/>
      </x:c>
      <x:c r="AC1878" t="str">
        <x:f>""</x:f>
        <x:v/>
      </x:c>
      <x:c r="AD1878" t="str">
        <x:f>""</x:f>
        <x:v/>
      </x:c>
      <x:c r="AE1878" t="str">
        <x:f>""</x:f>
        <x:v/>
      </x:c>
      <x:c r="AF1878" t="str">
        <x:f>""</x:f>
        <x:v/>
      </x:c>
      <x:c r="AG1878" t="str">
        <x:f>""</x:f>
        <x:v/>
      </x:c>
    </x:row>
    <x:row r="1879" spans="2:33" x14ac:dyDescent="0.25">
      <x:c r="B1879" t="str">
        <x:f>"TYNE US Equity"</x:f>
        <x:v>TYNE US Equity</x:v>
      </x:c>
      <x:c r="C1879" t="str">
        <x:f t="shared" si="83"/>
        <x:v>FD447</x:v>
      </x:c>
      <x:c r="D1879" t="str">
        <x:f t="shared" si="84"/>
        <x:v>FUND_FLOW</x:v>
      </x:c>
      <x:c r="E1879" t="str">
        <x:f t="shared" si="85"/>
        <x:v>Dynamic</x:v>
      </x:c>
      <x:c r="F1879" t="str">
        <x:f ca="1">_xll.BDH($B$1879,$C$1879,$B$1010,$B$1011,CONCATENATE("Per=",$B$1008),"Dts=H","Dir=H",CONCATENATE("Points=",$B$1009),"Sort=R","Days=A","Fill=B",CONCATENATE("FX=", $B$1007),"cols=14;rows=1")</x:f>
        <x:v/>
      </x:c>
      <x:c r="N1879">
        <x:v>-0.4304</x:v>
      </x:c>
      <x:c r="O1879">
        <x:v>0</x:v>
      </x:c>
      <x:c r="P1879">
        <x:v>-0.4249</x:v>
      </x:c>
      <x:c r="Q1879">
        <x:v>0</x:v>
      </x:c>
      <x:c r="R1879">
        <x:v>0</x:v>
      </x:c>
      <x:c r="S1879">
        <x:v>0</x:v>
      </x:c>
      <x:c r="T1879" t="str">
        <x:f>""</x:f>
        <x:v/>
      </x:c>
      <x:c r="U1879" t="str">
        <x:f>""</x:f>
        <x:v/>
      </x:c>
      <x:c r="V1879" t="str">
        <x:f>""</x:f>
        <x:v/>
      </x:c>
      <x:c r="W1879" t="str">
        <x:f>""</x:f>
        <x:v/>
      </x:c>
      <x:c r="X1879" t="str">
        <x:f>""</x:f>
        <x:v/>
      </x:c>
      <x:c r="Y1879" t="str">
        <x:f>""</x:f>
        <x:v/>
      </x:c>
      <x:c r="Z1879" t="str">
        <x:f>""</x:f>
        <x:v/>
      </x:c>
      <x:c r="AA1879" t="str">
        <x:f>""</x:f>
        <x:v/>
      </x:c>
      <x:c r="AB1879" t="str">
        <x:f>""</x:f>
        <x:v/>
      </x:c>
      <x:c r="AC1879" t="str">
        <x:f>""</x:f>
        <x:v/>
      </x:c>
      <x:c r="AD1879" t="str">
        <x:f>""</x:f>
        <x:v/>
      </x:c>
      <x:c r="AE1879" t="str">
        <x:f>""</x:f>
        <x:v/>
      </x:c>
      <x:c r="AF1879" t="str">
        <x:f>""</x:f>
        <x:v/>
      </x:c>
      <x:c r="AG1879" t="str">
        <x:f>""</x:f>
        <x:v/>
      </x:c>
    </x:row>
    <x:row r="1880" spans="2:33" x14ac:dyDescent="0.25">
      <x:c r="B1880" t="str">
        <x:f>"HAPY US Equity"</x:f>
        <x:v>HAPY US Equity</x:v>
      </x:c>
      <x:c r="C1880" t="str">
        <x:f t="shared" si="83"/>
        <x:v>FD447</x:v>
      </x:c>
      <x:c r="D1880" t="str">
        <x:f t="shared" si="84"/>
        <x:v>FUND_FLOW</x:v>
      </x:c>
      <x:c r="E1880" t="str">
        <x:f t="shared" si="85"/>
        <x:v>Dynamic</x:v>
      </x:c>
      <x:c r="F1880">
        <x:f ca="1">_xll.BDH($B$1880,$C$1880,$B$1010,$B$1011,CONCATENATE("Per=",$B$1008),"Dts=H","Dir=H",CONCATENATE("Points=",$B$1009),"Sort=R","Days=A","Fill=B",CONCATENATE("FX=", $B$1007),"cols=14;rows=1")</x:f>
        <x:v>0</x:v>
      </x:c>
      <x:c r="G1880">
        <x:v>0</x:v>
      </x:c>
      <x:c r="H1880">
        <x:v>-6.4999999999999997E-3</x:v>
      </x:c>
      <x:c r="I1880">
        <x:v>0</x:v>
      </x:c>
      <x:c r="J1880">
        <x:v>0</x:v>
      </x:c>
      <x:c r="K1880">
        <x:v>-0.4093</x:v>
      </x:c>
      <x:c r="L1880">
        <x:v>0</x:v>
      </x:c>
      <x:c r="M1880">
        <x:v>0</x:v>
      </x:c>
      <x:c r="N1880">
        <x:v>0</x:v>
      </x:c>
      <x:c r="O1880">
        <x:v>2.9060999999999999</x:v>
      </x:c>
      <x:c r="P1880">
        <x:v>0</x:v>
      </x:c>
      <x:c r="Q1880">
        <x:v>0</x:v>
      </x:c>
      <x:c r="R1880">
        <x:v>0</x:v>
      </x:c>
      <x:c r="S1880">
        <x:v>0</x:v>
      </x:c>
      <x:c r="T1880" t="str">
        <x:f>""</x:f>
        <x:v/>
      </x:c>
      <x:c r="U1880" t="str">
        <x:f>""</x:f>
        <x:v/>
      </x:c>
      <x:c r="V1880" t="str">
        <x:f>""</x:f>
        <x:v/>
      </x:c>
      <x:c r="W1880" t="str">
        <x:f>""</x:f>
        <x:v/>
      </x:c>
      <x:c r="X1880" t="str">
        <x:f>""</x:f>
        <x:v/>
      </x:c>
      <x:c r="Y1880" t="str">
        <x:f>""</x:f>
        <x:v/>
      </x:c>
      <x:c r="Z1880" t="str">
        <x:f>""</x:f>
        <x:v/>
      </x:c>
      <x:c r="AA1880" t="str">
        <x:f>""</x:f>
        <x:v/>
      </x:c>
      <x:c r="AB1880" t="str">
        <x:f>""</x:f>
        <x:v/>
      </x:c>
      <x:c r="AC1880" t="str">
        <x:f>""</x:f>
        <x:v/>
      </x:c>
      <x:c r="AD1880" t="str">
        <x:f>""</x:f>
        <x:v/>
      </x:c>
      <x:c r="AE1880" t="str">
        <x:f>""</x:f>
        <x:v/>
      </x:c>
      <x:c r="AF1880" t="str">
        <x:f>""</x:f>
        <x:v/>
      </x:c>
      <x:c r="AG1880" t="str">
        <x:f>""</x:f>
        <x:v/>
      </x:c>
    </x:row>
    <x:row r="1881" spans="2:33" x14ac:dyDescent="0.25">
      <x:c r="B1881" t="str">
        <x:f>"SAGP US Equity"</x:f>
        <x:v>SAGP US Equity</x:v>
      </x:c>
      <x:c r="C1881" t="str">
        <x:f t="shared" si="83"/>
        <x:v>FD447</x:v>
      </x:c>
      <x:c r="D1881" t="str">
        <x:f t="shared" si="84"/>
        <x:v>FUND_FLOW</x:v>
      </x:c>
      <x:c r="E1881" t="str">
        <x:f t="shared" si="85"/>
        <x:v>Dynamic</x:v>
      </x:c>
      <x:c r="F1881">
        <x:f ca="1">_xll.BDH($B$1881,$C$1881,$B$1010,$B$1011,CONCATENATE("Per=",$B$1008),"Dts=H","Dir=H",CONCATENATE("Points=",$B$1009),"Sort=R","Days=A","Fill=B",CONCATENATE("FX=", $B$1007),"cols=14;rows=1")</x:f>
        <x:v>0.46579999999999999</x:v>
      </x:c>
      <x:c r="G1881">
        <x:v>0.2482</x:v>
      </x:c>
      <x:c r="H1881">
        <x:v>0.2477</x:v>
      </x:c>
      <x:c r="I1881">
        <x:v>0</x:v>
      </x:c>
      <x:c r="J1881">
        <x:v>0.49959999999999999</x:v>
      </x:c>
      <x:c r="K1881">
        <x:v>1.2145999999999999</x:v>
      </x:c>
      <x:c r="L1881">
        <x:v>1.4757</x:v>
      </x:c>
      <x:c r="M1881">
        <x:v>2.1505000000000001</x:v>
      </x:c>
      <x:c r="N1881">
        <x:v>4.4438000000000004</x:v>
      </x:c>
      <x:c r="O1881">
        <x:v>3.1890999999999998</x:v>
      </x:c>
      <x:c r="P1881">
        <x:v>1.1889000000000001</x:v>
      </x:c>
      <x:c r="Q1881">
        <x:v>0.22339999999999999</x:v>
      </x:c>
      <x:c r="R1881">
        <x:v>1.3223</x:v>
      </x:c>
      <x:c r="S1881">
        <x:v>2.4706999999999999</x:v>
      </x:c>
      <x:c r="T1881" t="str">
        <x:f>""</x:f>
        <x:v/>
      </x:c>
      <x:c r="U1881" t="str">
        <x:f>""</x:f>
        <x:v/>
      </x:c>
      <x:c r="V1881" t="str">
        <x:f>""</x:f>
        <x:v/>
      </x:c>
      <x:c r="W1881" t="str">
        <x:f>""</x:f>
        <x:v/>
      </x:c>
      <x:c r="X1881" t="str">
        <x:f>""</x:f>
        <x:v/>
      </x:c>
      <x:c r="Y1881" t="str">
        <x:f>""</x:f>
        <x:v/>
      </x:c>
      <x:c r="Z1881" t="str">
        <x:f>""</x:f>
        <x:v/>
      </x:c>
      <x:c r="AA1881" t="str">
        <x:f>""</x:f>
        <x:v/>
      </x:c>
      <x:c r="AB1881" t="str">
        <x:f>""</x:f>
        <x:v/>
      </x:c>
      <x:c r="AC1881" t="str">
        <x:f>""</x:f>
        <x:v/>
      </x:c>
      <x:c r="AD1881" t="str">
        <x:f>""</x:f>
        <x:v/>
      </x:c>
      <x:c r="AE1881" t="str">
        <x:f>""</x:f>
        <x:v/>
      </x:c>
      <x:c r="AF1881" t="str">
        <x:f>""</x:f>
        <x:v/>
      </x:c>
      <x:c r="AG1881" t="str">
        <x:f>""</x:f>
        <x:v/>
      </x:c>
    </x:row>
    <x:row r="1882" spans="2:33" x14ac:dyDescent="0.25">
      <x:c r="B1882" t="str">
        <x:f>"SAMT US Equity"</x:f>
        <x:v>SAMT US Equity</x:v>
      </x:c>
      <x:c r="C1882" t="str">
        <x:f t="shared" si="83"/>
        <x:v>FD447</x:v>
      </x:c>
      <x:c r="D1882" t="str">
        <x:f t="shared" si="84"/>
        <x:v>FUND_FLOW</x:v>
      </x:c>
      <x:c r="E1882" t="str">
        <x:f t="shared" si="85"/>
        <x:v>Dynamic</x:v>
      </x:c>
      <x:c r="F1882">
        <x:f ca="1">_xll.BDH($B$1882,$C$1882,$B$1010,$B$1011,CONCATENATE("Per=",$B$1008),"Dts=H","Dir=H",CONCATENATE("Points=",$B$1009),"Sort=R","Days=A","Fill=B",CONCATENATE("FX=", $B$1007),"cols=14;rows=1")</x:f>
        <x:v>-0.22720000000000001</x:v>
      </x:c>
      <x:c r="G1882">
        <x:v>0</x:v>
      </x:c>
      <x:c r="H1882">
        <x:v>0.69540000000000002</x:v>
      </x:c>
      <x:c r="I1882">
        <x:v>-5.6102999999999996</x:v>
      </x:c>
      <x:c r="J1882">
        <x:v>0</x:v>
      </x:c>
      <x:c r="K1882">
        <x:v>-1.8044</x:v>
      </x:c>
      <x:c r="L1882">
        <x:v>-1.5781000000000001</x:v>
      </x:c>
      <x:c r="M1882">
        <x:v>-6.2900999999999998</x:v>
      </x:c>
      <x:c r="N1882">
        <x:v>-0.4612</x:v>
      </x:c>
      <x:c r="O1882">
        <x:v>4.3710000000000004</x:v>
      </x:c>
      <x:c r="P1882">
        <x:v>3.2625999999999999</x:v>
      </x:c>
      <x:c r="Q1882">
        <x:v>4.4295</x:v>
      </x:c>
      <x:c r="R1882">
        <x:v>9.6191999999999993</x:v>
      </x:c>
      <x:c r="S1882">
        <x:v>-1.3062</x:v>
      </x:c>
      <x:c r="T1882" t="str">
        <x:f>""</x:f>
        <x:v/>
      </x:c>
      <x:c r="U1882" t="str">
        <x:f>""</x:f>
        <x:v/>
      </x:c>
      <x:c r="V1882" t="str">
        <x:f>""</x:f>
        <x:v/>
      </x:c>
      <x:c r="W1882" t="str">
        <x:f>""</x:f>
        <x:v/>
      </x:c>
      <x:c r="X1882" t="str">
        <x:f>""</x:f>
        <x:v/>
      </x:c>
      <x:c r="Y1882" t="str">
        <x:f>""</x:f>
        <x:v/>
      </x:c>
      <x:c r="Z1882" t="str">
        <x:f>""</x:f>
        <x:v/>
      </x:c>
      <x:c r="AA1882" t="str">
        <x:f>""</x:f>
        <x:v/>
      </x:c>
      <x:c r="AB1882" t="str">
        <x:f>""</x:f>
        <x:v/>
      </x:c>
      <x:c r="AC1882" t="str">
        <x:f>""</x:f>
        <x:v/>
      </x:c>
      <x:c r="AD1882" t="str">
        <x:f>""</x:f>
        <x:v/>
      </x:c>
      <x:c r="AE1882" t="str">
        <x:f>""</x:f>
        <x:v/>
      </x:c>
      <x:c r="AF1882" t="str">
        <x:f>""</x:f>
        <x:v/>
      </x:c>
      <x:c r="AG1882" t="str">
        <x:f>""</x:f>
        <x:v/>
      </x:c>
    </x:row>
    <x:row r="1883" spans="2:33" x14ac:dyDescent="0.25">
      <x:c r="B1883" t="str">
        <x:f>"IWIN US Equity"</x:f>
        <x:v>IWIN US Equity</x:v>
      </x:c>
      <x:c r="C1883" t="str">
        <x:f t="shared" si="83"/>
        <x:v>FD447</x:v>
      </x:c>
      <x:c r="D1883" t="str">
        <x:f t="shared" si="84"/>
        <x:v>FUND_FLOW</x:v>
      </x:c>
      <x:c r="E1883" t="str">
        <x:f t="shared" si="85"/>
        <x:v>Dynamic</x:v>
      </x:c>
      <x:c r="F1883">
        <x:f ca="1">_xll.BDH($B$1883,$C$1883,$B$1010,$B$1011,CONCATENATE("Per=",$B$1008),"Dts=H","Dir=H",CONCATENATE("Points=",$B$1009),"Sort=R","Days=A","Fill=B",CONCATENATE("FX=", $B$1007),"cols=14;rows=1")</x:f>
        <x:v>0</x:v>
      </x:c>
      <x:c r="G1883">
        <x:v>0</x:v>
      </x:c>
      <x:c r="H1883">
        <x:v>-0.61419999999999997</x:v>
      </x:c>
      <x:c r="I1883">
        <x:v>0</x:v>
      </x:c>
      <x:c r="J1883">
        <x:v>0</x:v>
      </x:c>
      <x:c r="K1883">
        <x:v>-0.55489999999999995</x:v>
      </x:c>
      <x:c r="L1883">
        <x:v>0</x:v>
      </x:c>
      <x:c r="M1883">
        <x:v>0.53910000000000002</x:v>
      </x:c>
      <x:c r="N1883">
        <x:v>-2.161</x:v>
      </x:c>
      <x:c r="O1883">
        <x:v>0</x:v>
      </x:c>
      <x:c r="P1883">
        <x:v>0</x:v>
      </x:c>
      <x:c r="Q1883">
        <x:v>-1.5656000000000001</x:v>
      </x:c>
      <x:c r="R1883">
        <x:v>-1.0236000000000001</x:v>
      </x:c>
      <x:c r="S1883">
        <x:v>0</x:v>
      </x:c>
      <x:c r="T1883" t="str">
        <x:f>""</x:f>
        <x:v/>
      </x:c>
      <x:c r="U1883" t="str">
        <x:f>""</x:f>
        <x:v/>
      </x:c>
      <x:c r="V1883" t="str">
        <x:f>""</x:f>
        <x:v/>
      </x:c>
      <x:c r="W1883" t="str">
        <x:f>""</x:f>
        <x:v/>
      </x:c>
      <x:c r="X1883" t="str">
        <x:f>""</x:f>
        <x:v/>
      </x:c>
      <x:c r="Y1883" t="str">
        <x:f>""</x:f>
        <x:v/>
      </x:c>
      <x:c r="Z1883" t="str">
        <x:f>""</x:f>
        <x:v/>
      </x:c>
      <x:c r="AA1883" t="str">
        <x:f>""</x:f>
        <x:v/>
      </x:c>
      <x:c r="AB1883" t="str">
        <x:f>""</x:f>
        <x:v/>
      </x:c>
      <x:c r="AC1883" t="str">
        <x:f>""</x:f>
        <x:v/>
      </x:c>
      <x:c r="AD1883" t="str">
        <x:f>""</x:f>
        <x:v/>
      </x:c>
      <x:c r="AE1883" t="str">
        <x:f>""</x:f>
        <x:v/>
      </x:c>
      <x:c r="AF1883" t="str">
        <x:f>""</x:f>
        <x:v/>
      </x:c>
      <x:c r="AG1883" t="str">
        <x:f>""</x:f>
        <x:v/>
      </x:c>
    </x:row>
    <x:row r="1884" spans="2:33" x14ac:dyDescent="0.25">
      <x:c r="B1884" t="str">
        <x:f>"AHOY US Equity"</x:f>
        <x:v>AHOY US Equity</x:v>
      </x:c>
      <x:c r="C1884" t="str">
        <x:f t="shared" si="83"/>
        <x:v>FD447</x:v>
      </x:c>
      <x:c r="D1884" t="str">
        <x:f t="shared" si="84"/>
        <x:v>FUND_FLOW</x:v>
      </x:c>
      <x:c r="E1884" t="str">
        <x:f t="shared" si="85"/>
        <x:v>Dynamic</x:v>
      </x:c>
      <x:c r="F1884">
        <x:f ca="1">_xll.BDH($B$1884,$C$1884,$B$1010,$B$1011,CONCATENATE("Per=",$B$1008),"Dts=H","Dir=H",CONCATENATE("Points=",$B$1009),"Sort=R","Days=A","Fill=B",CONCATENATE("FX=", $B$1007),"cols=14;rows=1")</x:f>
        <x:v>0</x:v>
      </x:c>
      <x:c r="G1884">
        <x:v>0.51190000000000002</x:v>
      </x:c>
      <x:c r="H1884">
        <x:v>0</x:v>
      </x:c>
      <x:c r="I1884">
        <x:v>0</x:v>
      </x:c>
      <x:c r="J1884">
        <x:v>0</x:v>
      </x:c>
      <x:c r="K1884">
        <x:v>0</x:v>
      </x:c>
      <x:c r="L1884">
        <x:v>0</x:v>
      </x:c>
      <x:c r="M1884">
        <x:v>0.47499999999999998</x:v>
      </x:c>
      <x:c r="N1884">
        <x:v>0</x:v>
      </x:c>
      <x:c r="O1884">
        <x:v>0</x:v>
      </x:c>
      <x:c r="P1884">
        <x:v>0</x:v>
      </x:c>
      <x:c r="Q1884">
        <x:v>0</x:v>
      </x:c>
      <x:c r="R1884">
        <x:v>0</x:v>
      </x:c>
      <x:c r="S1884">
        <x:v>0</x:v>
      </x:c>
      <x:c r="T1884" t="str">
        <x:f>""</x:f>
        <x:v/>
      </x:c>
      <x:c r="U1884" t="str">
        <x:f>""</x:f>
        <x:v/>
      </x:c>
      <x:c r="V1884" t="str">
        <x:f>""</x:f>
        <x:v/>
      </x:c>
      <x:c r="W1884" t="str">
        <x:f>""</x:f>
        <x:v/>
      </x:c>
      <x:c r="X1884" t="str">
        <x:f>""</x:f>
        <x:v/>
      </x:c>
      <x:c r="Y1884" t="str">
        <x:f>""</x:f>
        <x:v/>
      </x:c>
      <x:c r="Z1884" t="str">
        <x:f>""</x:f>
        <x:v/>
      </x:c>
      <x:c r="AA1884" t="str">
        <x:f>""</x:f>
        <x:v/>
      </x:c>
      <x:c r="AB1884" t="str">
        <x:f>""</x:f>
        <x:v/>
      </x:c>
      <x:c r="AC1884" t="str">
        <x:f>""</x:f>
        <x:v/>
      </x:c>
      <x:c r="AD1884" t="str">
        <x:f>""</x:f>
        <x:v/>
      </x:c>
      <x:c r="AE1884" t="str">
        <x:f>""</x:f>
        <x:v/>
      </x:c>
      <x:c r="AF1884" t="str">
        <x:f>""</x:f>
        <x:v/>
      </x:c>
      <x:c r="AG1884" t="str">
        <x:f>""</x:f>
        <x:v/>
      </x:c>
    </x:row>
    <x:row r="1885" spans="2:33" x14ac:dyDescent="0.25">
      <x:c r="B1885" t="str">
        <x:f>"CHGX US Equity"</x:f>
        <x:v>CHGX US Equity</x:v>
      </x:c>
      <x:c r="C1885" t="str">
        <x:f t="shared" si="83"/>
        <x:v>FD447</x:v>
      </x:c>
      <x:c r="D1885" t="str">
        <x:f t="shared" si="84"/>
        <x:v>FUND_FLOW</x:v>
      </x:c>
      <x:c r="E1885" t="str">
        <x:f t="shared" si="85"/>
        <x:v>Dynamic</x:v>
      </x:c>
      <x:c r="F1885">
        <x:f ca="1">_xll.BDH($B$1885,$C$1885,$B$1010,$B$1011,CONCATENATE("Per=",$B$1008),"Dts=H","Dir=H",CONCATENATE("Points=",$B$1009),"Sort=R","Days=A","Fill=B",CONCATENATE("FX=", $B$1007),"cols=14;rows=1")</x:f>
        <x:v>-0.71709999999999996</x:v>
      </x:c>
      <x:c r="G1885">
        <x:v>4.0000000000000002E-4</x:v>
      </x:c>
      <x:c r="H1885">
        <x:v>0.7651</x:v>
      </x:c>
      <x:c r="I1885">
        <x:v>2.8299999999999999E-2</x:v>
      </x:c>
      <x:c r="J1885">
        <x:v>-1.7455000000000001</x:v>
      </x:c>
      <x:c r="K1885">
        <x:v>-0.72250000000000003</x:v>
      </x:c>
      <x:c r="L1885">
        <x:v>2.3999999999999998E-3</x:v>
      </x:c>
      <x:c r="M1885">
        <x:v>0.67030000000000001</x:v>
      </x:c>
      <x:c r="N1885">
        <x:v>1.4632000000000001</x:v>
      </x:c>
      <x:c r="O1885">
        <x:v>0</x:v>
      </x:c>
      <x:c r="P1885">
        <x:v>3.4083999999999999</x:v>
      </x:c>
      <x:c r="Q1885">
        <x:v>6.2731000000000003</x:v>
      </x:c>
      <x:c r="R1885">
        <x:v>-3.3035999999999999</x:v>
      </x:c>
      <x:c r="S1885">
        <x:v>-0.67610000000000003</x:v>
      </x:c>
      <x:c r="T1885" t="str">
        <x:f>""</x:f>
        <x:v/>
      </x:c>
      <x:c r="U1885" t="str">
        <x:f>""</x:f>
        <x:v/>
      </x:c>
      <x:c r="V1885" t="str">
        <x:f>""</x:f>
        <x:v/>
      </x:c>
      <x:c r="W1885" t="str">
        <x:f>""</x:f>
        <x:v/>
      </x:c>
      <x:c r="X1885" t="str">
        <x:f>""</x:f>
        <x:v/>
      </x:c>
      <x:c r="Y1885" t="str">
        <x:f>""</x:f>
        <x:v/>
      </x:c>
      <x:c r="Z1885" t="str">
        <x:f>""</x:f>
        <x:v/>
      </x:c>
      <x:c r="AA1885" t="str">
        <x:f>""</x:f>
        <x:v/>
      </x:c>
      <x:c r="AB1885" t="str">
        <x:f>""</x:f>
        <x:v/>
      </x:c>
      <x:c r="AC1885" t="str">
        <x:f>""</x:f>
        <x:v/>
      </x:c>
      <x:c r="AD1885" t="str">
        <x:f>""</x:f>
        <x:v/>
      </x:c>
      <x:c r="AE1885" t="str">
        <x:f>""</x:f>
        <x:v/>
      </x:c>
      <x:c r="AF1885" t="str">
        <x:f>""</x:f>
        <x:v/>
      </x:c>
      <x:c r="AG1885" t="str">
        <x:f>""</x:f>
        <x:v/>
      </x:c>
    </x:row>
    <x:row r="1886" spans="2:33" x14ac:dyDescent="0.25">
      <x:c r="B1886" t="str">
        <x:f>"CIRC US Equity"</x:f>
        <x:v>CIRC US Equity</x:v>
      </x:c>
      <x:c r="C1886" t="str">
        <x:f t="shared" si="83"/>
        <x:v>FD447</x:v>
      </x:c>
      <x:c r="D1886" t="str">
        <x:f t="shared" si="84"/>
        <x:v>FUND_FLOW</x:v>
      </x:c>
      <x:c r="E1886" t="str">
        <x:f t="shared" si="85"/>
        <x:v>Dynamic</x:v>
      </x:c>
      <x:c r="F1886">
        <x:f ca="1">_xll.BDH($B$1886,$C$1886,$B$1010,$B$1011,CONCATENATE("Per=",$B$1008),"Dts=H","Dir=H",CONCATENATE("Points=",$B$1009),"Sort=R","Days=A","Fill=B",CONCATENATE("FX=", $B$1007),"cols=14;rows=1")</x:f>
        <x:v>0</x:v>
      </x:c>
      <x:c r="G1886">
        <x:v>0</x:v>
      </x:c>
      <x:c r="H1886">
        <x:v>0</x:v>
      </x:c>
      <x:c r="I1886">
        <x:v>0</x:v>
      </x:c>
      <x:c r="J1886">
        <x:v>0</x:v>
      </x:c>
      <x:c r="K1886">
        <x:v>0</x:v>
      </x:c>
      <x:c r="L1886">
        <x:v>0</x:v>
      </x:c>
      <x:c r="M1886">
        <x:v>0</x:v>
      </x:c>
      <x:c r="N1886">
        <x:v>0</x:v>
      </x:c>
      <x:c r="O1886">
        <x:v>0</x:v>
      </x:c>
      <x:c r="P1886">
        <x:v>0</x:v>
      </x:c>
      <x:c r="Q1886">
        <x:v>0</x:v>
      </x:c>
      <x:c r="R1886">
        <x:v>0</x:v>
      </x:c>
      <x:c r="S1886">
        <x:v>1.1213</x:v>
      </x:c>
      <x:c r="T1886" t="str">
        <x:f>""</x:f>
        <x:v/>
      </x:c>
      <x:c r="U1886" t="str">
        <x:f>""</x:f>
        <x:v/>
      </x:c>
      <x:c r="V1886" t="str">
        <x:f>""</x:f>
        <x:v/>
      </x:c>
      <x:c r="W1886" t="str">
        <x:f>""</x:f>
        <x:v/>
      </x:c>
      <x:c r="X1886" t="str">
        <x:f>""</x:f>
        <x:v/>
      </x:c>
      <x:c r="Y1886" t="str">
        <x:f>""</x:f>
        <x:v/>
      </x:c>
      <x:c r="Z1886" t="str">
        <x:f>""</x:f>
        <x:v/>
      </x:c>
      <x:c r="AA1886" t="str">
        <x:f>""</x:f>
        <x:v/>
      </x:c>
      <x:c r="AB1886" t="str">
        <x:f>""</x:f>
        <x:v/>
      </x:c>
      <x:c r="AC1886" t="str">
        <x:f>""</x:f>
        <x:v/>
      </x:c>
      <x:c r="AD1886" t="str">
        <x:f>""</x:f>
        <x:v/>
      </x:c>
      <x:c r="AE1886" t="str">
        <x:f>""</x:f>
        <x:v/>
      </x:c>
      <x:c r="AF1886" t="str">
        <x:f>""</x:f>
        <x:v/>
      </x:c>
      <x:c r="AG1886" t="str">
        <x:f>""</x:f>
        <x:v/>
      </x:c>
    </x:row>
    <x:row r="1887" spans="2:33" x14ac:dyDescent="0.25">
      <x:c r="B1887" t="str">
        <x:f>"FTIF US Equity"</x:f>
        <x:v>FTIF US Equity</x:v>
      </x:c>
      <x:c r="C1887" t="str">
        <x:f t="shared" si="83"/>
        <x:v>FD447</x:v>
      </x:c>
      <x:c r="D1887" t="str">
        <x:f t="shared" si="84"/>
        <x:v>FUND_FLOW</x:v>
      </x:c>
      <x:c r="E1887" t="str">
        <x:f t="shared" si="85"/>
        <x:v>Dynamic</x:v>
      </x:c>
      <x:c r="F1887">
        <x:f ca="1">_xll.BDH($B$1887,$C$1887,$B$1010,$B$1011,CONCATENATE("Per=",$B$1008),"Dts=H","Dir=H",CONCATENATE("Points=",$B$1009),"Sort=R","Days=A","Fill=B",CONCATENATE("FX=", $B$1007),"cols=14;rows=1")</x:f>
        <x:v>0</x:v>
      </x:c>
      <x:c r="G1887">
        <x:v>0</x:v>
      </x:c>
      <x:c r="H1887">
        <x:v>0</x:v>
      </x:c>
      <x:c r="I1887">
        <x:v>2.5000000000000001E-3</x:v>
      </x:c>
      <x:c r="J1887">
        <x:v>0</x:v>
      </x:c>
      <x:c r="K1887">
        <x:v>0</x:v>
      </x:c>
      <x:c r="L1887">
        <x:v>0</x:v>
      </x:c>
      <x:c r="M1887">
        <x:v>0</x:v>
      </x:c>
      <x:c r="T1887" t="str">
        <x:f>""</x:f>
        <x:v/>
      </x:c>
      <x:c r="U1887" t="str">
        <x:f>""</x:f>
        <x:v/>
      </x:c>
      <x:c r="V1887" t="str">
        <x:f>""</x:f>
        <x:v/>
      </x:c>
      <x:c r="W1887" t="str">
        <x:f>""</x:f>
        <x:v/>
      </x:c>
      <x:c r="X1887" t="str">
        <x:f>""</x:f>
        <x:v/>
      </x:c>
      <x:c r="Y1887" t="str">
        <x:f>""</x:f>
        <x:v/>
      </x:c>
      <x:c r="Z1887" t="str">
        <x:f>""</x:f>
        <x:v/>
      </x:c>
      <x:c r="AA1887" t="str">
        <x:f>""</x:f>
        <x:v/>
      </x:c>
      <x:c r="AB1887" t="str">
        <x:f>""</x:f>
        <x:v/>
      </x:c>
      <x:c r="AC1887" t="str">
        <x:f>""</x:f>
        <x:v/>
      </x:c>
      <x:c r="AD1887" t="str">
        <x:f>""</x:f>
        <x:v/>
      </x:c>
      <x:c r="AE1887" t="str">
        <x:f>""</x:f>
        <x:v/>
      </x:c>
      <x:c r="AF1887" t="str">
        <x:f>""</x:f>
        <x:v/>
      </x:c>
      <x:c r="AG1887" t="str">
        <x:f>""</x:f>
        <x:v/>
      </x:c>
    </x:row>
    <x:row r="1888" spans="2:33" x14ac:dyDescent="0.25">
      <x:c r="B1888" t="str">
        <x:f>"GRNR US Equity"</x:f>
        <x:v>GRNR US Equity</x:v>
      </x:c>
      <x:c r="C1888" t="str">
        <x:f t="shared" si="83"/>
        <x:v>FD447</x:v>
      </x:c>
      <x:c r="D1888" t="str">
        <x:f t="shared" si="84"/>
        <x:v>FUND_FLOW</x:v>
      </x:c>
      <x:c r="E1888" t="str">
        <x:f t="shared" si="85"/>
        <x:v>Dynamic</x:v>
      </x:c>
      <x:c r="F1888">
        <x:f ca="1">_xll.BDH($B$1888,$C$1888,$B$1010,$B$1011,CONCATENATE("Per=",$B$1008),"Dts=H","Dir=H",CONCATENATE("Points=",$B$1009),"Sort=R","Days=A","Fill=B",CONCATENATE("FX=", $B$1007),"cols=14;rows=1")</x:f>
        <x:v>0</x:v>
      </x:c>
      <x:c r="G1888">
        <x:v>0</x:v>
      </x:c>
      <x:c r="H1888">
        <x:v>0</x:v>
      </x:c>
      <x:c r="I1888">
        <x:v>0</x:v>
      </x:c>
      <x:c r="J1888">
        <x:v>0</x:v>
      </x:c>
      <x:c r="K1888">
        <x:v>0</x:v>
      </x:c>
      <x:c r="L1888">
        <x:v>0</x:v>
      </x:c>
      <x:c r="M1888">
        <x:v>0</x:v>
      </x:c>
      <x:c r="N1888">
        <x:v>-1.47E-2</x:v>
      </x:c>
      <x:c r="O1888">
        <x:v>0</x:v>
      </x:c>
      <x:c r="P1888">
        <x:v>0</x:v>
      </x:c>
      <x:c r="Q1888">
        <x:v>0</x:v>
      </x:c>
      <x:c r="R1888">
        <x:v>0</x:v>
      </x:c>
      <x:c r="S1888">
        <x:v>0</x:v>
      </x:c>
      <x:c r="T1888" t="str">
        <x:f>""</x:f>
        <x:v/>
      </x:c>
      <x:c r="U1888" t="str">
        <x:f>""</x:f>
        <x:v/>
      </x:c>
      <x:c r="V1888" t="str">
        <x:f>""</x:f>
        <x:v/>
      </x:c>
      <x:c r="W1888" t="str">
        <x:f>""</x:f>
        <x:v/>
      </x:c>
      <x:c r="X1888" t="str">
        <x:f>""</x:f>
        <x:v/>
      </x:c>
      <x:c r="Y1888" t="str">
        <x:f>""</x:f>
        <x:v/>
      </x:c>
      <x:c r="Z1888" t="str">
        <x:f>""</x:f>
        <x:v/>
      </x:c>
      <x:c r="AA1888" t="str">
        <x:f>""</x:f>
        <x:v/>
      </x:c>
      <x:c r="AB1888" t="str">
        <x:f>""</x:f>
        <x:v/>
      </x:c>
      <x:c r="AC1888" t="str">
        <x:f>""</x:f>
        <x:v/>
      </x:c>
      <x:c r="AD1888" t="str">
        <x:f>""</x:f>
        <x:v/>
      </x:c>
      <x:c r="AE1888" t="str">
        <x:f>""</x:f>
        <x:v/>
      </x:c>
      <x:c r="AF1888" t="str">
        <x:f>""</x:f>
        <x:v/>
      </x:c>
      <x:c r="AG1888" t="str">
        <x:f>""</x:f>
        <x:v/>
      </x:c>
    </x:row>
    <x:row r="1889" spans="2:33" x14ac:dyDescent="0.25">
      <x:c r="B1889" t="str">
        <x:f>"HAPI US Equity"</x:f>
        <x:v>HAPI US Equity</x:v>
      </x:c>
      <x:c r="C1889" t="str">
        <x:f t="shared" si="83"/>
        <x:v>FD447</x:v>
      </x:c>
      <x:c r="D1889" t="str">
        <x:f t="shared" si="84"/>
        <x:v>FUND_FLOW</x:v>
      </x:c>
      <x:c r="E1889" t="str">
        <x:f t="shared" si="85"/>
        <x:v>Dynamic</x:v>
      </x:c>
      <x:c r="F1889">
        <x:f ca="1">_xll.BDH($B$1889,$C$1889,$B$1010,$B$1011,CONCATENATE("Per=",$B$1008),"Dts=H","Dir=H",CONCATENATE("Points=",$B$1009),"Sort=R","Days=A","Fill=B",CONCATENATE("FX=", $B$1007),"cols=14;rows=1")</x:f>
        <x:v>0.63519999999999999</x:v>
      </x:c>
      <x:c r="G1889">
        <x:v>0</x:v>
      </x:c>
      <x:c r="H1889">
        <x:v>0</x:v>
      </x:c>
      <x:c r="I1889">
        <x:v>0</x:v>
      </x:c>
      <x:c r="J1889">
        <x:v>0</x:v>
      </x:c>
      <x:c r="K1889">
        <x:v>0</x:v>
      </x:c>
      <x:c r="L1889">
        <x:v>0</x:v>
      </x:c>
      <x:c r="M1889">
        <x:v>0</x:v>
      </x:c>
      <x:c r="N1889">
        <x:v>0.45860000000000001</x:v>
      </x:c>
      <x:c r="O1889">
        <x:v>1.0940000000000001</x:v>
      </x:c>
      <x:c r="P1889">
        <x:v>0</x:v>
      </x:c>
      <x:c r="Q1889">
        <x:v>-2.2397</x:v>
      </x:c>
      <x:c r="R1889">
        <x:v>214.07830000000001</x:v>
      </x:c>
      <x:c r="T1889" t="str">
        <x:f>""</x:f>
        <x:v/>
      </x:c>
      <x:c r="U1889" t="str">
        <x:f>""</x:f>
        <x:v/>
      </x:c>
      <x:c r="V1889" t="str">
        <x:f>""</x:f>
        <x:v/>
      </x:c>
      <x:c r="W1889" t="str">
        <x:f>""</x:f>
        <x:v/>
      </x:c>
      <x:c r="X1889" t="str">
        <x:f>""</x:f>
        <x:v/>
      </x:c>
      <x:c r="Y1889" t="str">
        <x:f>""</x:f>
        <x:v/>
      </x:c>
      <x:c r="Z1889" t="str">
        <x:f>""</x:f>
        <x:v/>
      </x:c>
      <x:c r="AA1889" t="str">
        <x:f>""</x:f>
        <x:v/>
      </x:c>
      <x:c r="AB1889" t="str">
        <x:f>""</x:f>
        <x:v/>
      </x:c>
      <x:c r="AC1889" t="str">
        <x:f>""</x:f>
        <x:v/>
      </x:c>
      <x:c r="AD1889" t="str">
        <x:f>""</x:f>
        <x:v/>
      </x:c>
      <x:c r="AE1889" t="str">
        <x:f>""</x:f>
        <x:v/>
      </x:c>
      <x:c r="AF1889" t="str">
        <x:f>""</x:f>
        <x:v/>
      </x:c>
      <x:c r="AG1889" t="str">
        <x:f>""</x:f>
        <x:v/>
      </x:c>
    </x:row>
    <x:row r="1890" spans="2:33" x14ac:dyDescent="0.25">
      <x:c r="B1890" t="str">
        <x:f>"MVPS US Equity"</x:f>
        <x:v>MVPS US Equity</x:v>
      </x:c>
      <x:c r="C1890" t="str">
        <x:f t="shared" si="83"/>
        <x:v>FD447</x:v>
      </x:c>
      <x:c r="D1890" t="str">
        <x:f t="shared" si="84"/>
        <x:v>FUND_FLOW</x:v>
      </x:c>
      <x:c r="E1890" t="str">
        <x:f t="shared" si="85"/>
        <x:v>Dynamic</x:v>
      </x:c>
      <x:c r="F1890">
        <x:f ca="1">_xll.BDH($B$1890,$C$1890,$B$1010,$B$1011,CONCATENATE("Per=",$B$1008),"Dts=H","Dir=H",CONCATENATE("Points=",$B$1009),"Sort=R","Days=A","Fill=B",CONCATENATE("FX=", $B$1007),"cols=14;rows=1")</x:f>
        <x:v>-0.84130000000000005</x:v>
      </x:c>
      <x:c r="G1890">
        <x:v>0</x:v>
      </x:c>
      <x:c r="H1890">
        <x:v>0</x:v>
      </x:c>
      <x:c r="I1890">
        <x:v>0</x:v>
      </x:c>
      <x:c r="J1890">
        <x:v>-0.4758</x:v>
      </x:c>
      <x:c r="K1890">
        <x:v>0</x:v>
      </x:c>
      <x:c r="L1890">
        <x:v>0</x:v>
      </x:c>
      <x:c r="M1890">
        <x:v>0</x:v>
      </x:c>
      <x:c r="N1890">
        <x:v>0</x:v>
      </x:c>
      <x:c r="O1890">
        <x:v>0</x:v>
      </x:c>
      <x:c r="P1890">
        <x:v>-1.1265000000000001</x:v>
      </x:c>
      <x:c r="Q1890">
        <x:v>0</x:v>
      </x:c>
      <x:c r="R1890">
        <x:v>-0.74839999999999995</x:v>
      </x:c>
      <x:c r="S1890">
        <x:v>0</x:v>
      </x:c>
      <x:c r="T1890" t="str">
        <x:f>""</x:f>
        <x:v/>
      </x:c>
      <x:c r="U1890" t="str">
        <x:f>""</x:f>
        <x:v/>
      </x:c>
      <x:c r="V1890" t="str">
        <x:f>""</x:f>
        <x:v/>
      </x:c>
      <x:c r="W1890" t="str">
        <x:f>""</x:f>
        <x:v/>
      </x:c>
      <x:c r="X1890" t="str">
        <x:f>""</x:f>
        <x:v/>
      </x:c>
      <x:c r="Y1890" t="str">
        <x:f>""</x:f>
        <x:v/>
      </x:c>
      <x:c r="Z1890" t="str">
        <x:f>""</x:f>
        <x:v/>
      </x:c>
      <x:c r="AA1890" t="str">
        <x:f>""</x:f>
        <x:v/>
      </x:c>
      <x:c r="AB1890" t="str">
        <x:f>""</x:f>
        <x:v/>
      </x:c>
      <x:c r="AC1890" t="str">
        <x:f>""</x:f>
        <x:v/>
      </x:c>
      <x:c r="AD1890" t="str">
        <x:f>""</x:f>
        <x:v/>
      </x:c>
      <x:c r="AE1890" t="str">
        <x:f>""</x:f>
        <x:v/>
      </x:c>
      <x:c r="AF1890" t="str">
        <x:f>""</x:f>
        <x:v/>
      </x:c>
      <x:c r="AG1890" t="str">
        <x:f>""</x:f>
        <x:v/>
      </x:c>
    </x:row>
    <x:row r="1891" spans="2:33" x14ac:dyDescent="0.25">
      <x:c r="B1891" t="str">
        <x:f>"NTZG US Equity"</x:f>
        <x:v>NTZG US Equity</x:v>
      </x:c>
      <x:c r="C1891" t="str">
        <x:f t="shared" si="83"/>
        <x:v>FD447</x:v>
      </x:c>
      <x:c r="D1891" t="str">
        <x:f t="shared" si="84"/>
        <x:v>FUND_FLOW</x:v>
      </x:c>
      <x:c r="E1891" t="str">
        <x:f t="shared" si="85"/>
        <x:v>Dynamic</x:v>
      </x:c>
      <x:c r="F1891">
        <x:f ca="1">_xll.BDH($B$1891,$C$1891,$B$1010,$B$1011,CONCATENATE("Per=",$B$1008),"Dts=H","Dir=H",CONCATENATE("Points=",$B$1009),"Sort=R","Days=A","Fill=B",CONCATENATE("FX=", $B$1007),"cols=14;rows=1")</x:f>
        <x:v>0</x:v>
      </x:c>
      <x:c r="G1891">
        <x:v>0</x:v>
      </x:c>
      <x:c r="H1891">
        <x:v>0</x:v>
      </x:c>
      <x:c r="I1891">
        <x:v>0</x:v>
      </x:c>
      <x:c r="J1891">
        <x:v>0</x:v>
      </x:c>
      <x:c r="K1891">
        <x:v>0</x:v>
      </x:c>
      <x:c r="L1891">
        <x:v>0</x:v>
      </x:c>
      <x:c r="M1891">
        <x:v>0</x:v>
      </x:c>
      <x:c r="N1891">
        <x:v>0</x:v>
      </x:c>
      <x:c r="O1891">
        <x:v>0</x:v>
      </x:c>
      <x:c r="P1891">
        <x:v>0</x:v>
      </x:c>
      <x:c r="Q1891">
        <x:v>0</x:v>
      </x:c>
      <x:c r="R1891">
        <x:v>0</x:v>
      </x:c>
      <x:c r="S1891">
        <x:v>0</x:v>
      </x:c>
      <x:c r="T1891" t="str">
        <x:f>""</x:f>
        <x:v/>
      </x:c>
      <x:c r="U1891" t="str">
        <x:f>""</x:f>
        <x:v/>
      </x:c>
      <x:c r="V1891" t="str">
        <x:f>""</x:f>
        <x:v/>
      </x:c>
      <x:c r="W1891" t="str">
        <x:f>""</x:f>
        <x:v/>
      </x:c>
      <x:c r="X1891" t="str">
        <x:f>""</x:f>
        <x:v/>
      </x:c>
      <x:c r="Y1891" t="str">
        <x:f>""</x:f>
        <x:v/>
      </x:c>
      <x:c r="Z1891" t="str">
        <x:f>""</x:f>
        <x:v/>
      </x:c>
      <x:c r="AA1891" t="str">
        <x:f>""</x:f>
        <x:v/>
      </x:c>
      <x:c r="AB1891" t="str">
        <x:f>""</x:f>
        <x:v/>
      </x:c>
      <x:c r="AC1891" t="str">
        <x:f>""</x:f>
        <x:v/>
      </x:c>
      <x:c r="AD1891" t="str">
        <x:f>""</x:f>
        <x:v/>
      </x:c>
      <x:c r="AE1891" t="str">
        <x:f>""</x:f>
        <x:v/>
      </x:c>
      <x:c r="AF1891" t="str">
        <x:f>""</x:f>
        <x:v/>
      </x:c>
      <x:c r="AG1891" t="str">
        <x:f>""</x:f>
        <x:v/>
      </x:c>
    </x:row>
    <x:row r="1892" spans="2:33" x14ac:dyDescent="0.25">
      <x:c r="B1892" t="str">
        <x:f>"OAIE US Equity"</x:f>
        <x:v>OAIE US Equity</x:v>
      </x:c>
      <x:c r="C1892" t="str">
        <x:f t="shared" si="83"/>
        <x:v>FD447</x:v>
      </x:c>
      <x:c r="D1892" t="str">
        <x:f t="shared" si="84"/>
        <x:v>FUND_FLOW</x:v>
      </x:c>
      <x:c r="E1892" t="str">
        <x:f t="shared" si="85"/>
        <x:v>Dynamic</x:v>
      </x:c>
      <x:c r="F1892">
        <x:f ca="1">_xll.BDH($B$1892,$C$1892,$B$1010,$B$1011,CONCATENATE("Per=",$B$1008),"Dts=H","Dir=H",CONCATENATE("Points=",$B$1009),"Sort=R","Days=A","Fill=B",CONCATENATE("FX=", $B$1007),"cols=14;rows=1")</x:f>
        <x:v>0</x:v>
      </x:c>
      <x:c r="G1892">
        <x:v>0</x:v>
      </x:c>
      <x:c r="H1892">
        <x:v>0</x:v>
      </x:c>
      <x:c r="I1892">
        <x:v>0</x:v>
      </x:c>
      <x:c r="J1892">
        <x:v>0</x:v>
      </x:c>
      <x:c r="K1892">
        <x:v>0</x:v>
      </x:c>
      <x:c r="L1892">
        <x:v>0</x:v>
      </x:c>
      <x:c r="M1892">
        <x:v>0</x:v>
      </x:c>
      <x:c r="N1892">
        <x:v>0</x:v>
      </x:c>
      <x:c r="O1892">
        <x:v>0</x:v>
      </x:c>
      <x:c r="P1892">
        <x:v>0</x:v>
      </x:c>
      <x:c r="Q1892">
        <x:v>0</x:v>
      </x:c>
      <x:c r="R1892">
        <x:v>0</x:v>
      </x:c>
      <x:c r="S1892">
        <x:v>0</x:v>
      </x:c>
      <x:c r="T1892" t="str">
        <x:f>""</x:f>
        <x:v/>
      </x:c>
      <x:c r="U1892" t="str">
        <x:f>""</x:f>
        <x:v/>
      </x:c>
      <x:c r="V1892" t="str">
        <x:f>""</x:f>
        <x:v/>
      </x:c>
      <x:c r="W1892" t="str">
        <x:f>""</x:f>
        <x:v/>
      </x:c>
      <x:c r="X1892" t="str">
        <x:f>""</x:f>
        <x:v/>
      </x:c>
      <x:c r="Y1892" t="str">
        <x:f>""</x:f>
        <x:v/>
      </x:c>
      <x:c r="Z1892" t="str">
        <x:f>""</x:f>
        <x:v/>
      </x:c>
      <x:c r="AA1892" t="str">
        <x:f>""</x:f>
        <x:v/>
      </x:c>
      <x:c r="AB1892" t="str">
        <x:f>""</x:f>
        <x:v/>
      </x:c>
      <x:c r="AC1892" t="str">
        <x:f>""</x:f>
        <x:v/>
      </x:c>
      <x:c r="AD1892" t="str">
        <x:f>""</x:f>
        <x:v/>
      </x:c>
      <x:c r="AE1892" t="str">
        <x:f>""</x:f>
        <x:v/>
      </x:c>
      <x:c r="AF1892" t="str">
        <x:f>""</x:f>
        <x:v/>
      </x:c>
      <x:c r="AG1892" t="str">
        <x:f>""</x:f>
        <x:v/>
      </x:c>
    </x:row>
    <x:row r="1893" spans="2:33" x14ac:dyDescent="0.25">
      <x:c r="B1893" t="str">
        <x:f>"SUPL US Equity"</x:f>
        <x:v>SUPL US Equity</x:v>
      </x:c>
      <x:c r="C1893" t="str">
        <x:f t="shared" si="83"/>
        <x:v>FD447</x:v>
      </x:c>
      <x:c r="D1893" t="str">
        <x:f t="shared" si="84"/>
        <x:v>FUND_FLOW</x:v>
      </x:c>
      <x:c r="E1893" t="str">
        <x:f t="shared" si="85"/>
        <x:v>Dynamic</x:v>
      </x:c>
      <x:c r="F1893">
        <x:f ca="1">_xll.BDH($B$1893,$C$1893,$B$1010,$B$1011,CONCATENATE("Per=",$B$1008),"Dts=H","Dir=H",CONCATENATE("Points=",$B$1009),"Sort=R","Days=A","Fill=B",CONCATENATE("FX=", $B$1007),"cols=14;rows=1")</x:f>
        <x:v>0</x:v>
      </x:c>
      <x:c r="G1893">
        <x:v>0</x:v>
      </x:c>
      <x:c r="H1893">
        <x:v>0</x:v>
      </x:c>
      <x:c r="I1893">
        <x:v>0</x:v>
      </x:c>
      <x:c r="J1893">
        <x:v>0</x:v>
      </x:c>
      <x:c r="K1893">
        <x:v>0</x:v>
      </x:c>
      <x:c r="L1893">
        <x:v>0</x:v>
      </x:c>
      <x:c r="M1893">
        <x:v>0</x:v>
      </x:c>
      <x:c r="N1893">
        <x:v>0</x:v>
      </x:c>
      <x:c r="O1893">
        <x:v>0</x:v>
      </x:c>
      <x:c r="P1893">
        <x:v>0</x:v>
      </x:c>
      <x:c r="Q1893">
        <x:v>0</x:v>
      </x:c>
      <x:c r="R1893">
        <x:v>0</x:v>
      </x:c>
      <x:c r="S1893">
        <x:v>0</x:v>
      </x:c>
      <x:c r="T1893" t="str">
        <x:f>""</x:f>
        <x:v/>
      </x:c>
      <x:c r="U1893" t="str">
        <x:f>""</x:f>
        <x:v/>
      </x:c>
      <x:c r="V1893" t="str">
        <x:f>""</x:f>
        <x:v/>
      </x:c>
      <x:c r="W1893" t="str">
        <x:f>""</x:f>
        <x:v/>
      </x:c>
      <x:c r="X1893" t="str">
        <x:f>""</x:f>
        <x:v/>
      </x:c>
      <x:c r="Y1893" t="str">
        <x:f>""</x:f>
        <x:v/>
      </x:c>
      <x:c r="Z1893" t="str">
        <x:f>""</x:f>
        <x:v/>
      </x:c>
      <x:c r="AA1893" t="str">
        <x:f>""</x:f>
        <x:v/>
      </x:c>
      <x:c r="AB1893" t="str">
        <x:f>""</x:f>
        <x:v/>
      </x:c>
      <x:c r="AC1893" t="str">
        <x:f>""</x:f>
        <x:v/>
      </x:c>
      <x:c r="AD1893" t="str">
        <x:f>""</x:f>
        <x:v/>
      </x:c>
      <x:c r="AE1893" t="str">
        <x:f>""</x:f>
        <x:v/>
      </x:c>
      <x:c r="AF1893" t="str">
        <x:f>""</x:f>
        <x:v/>
      </x:c>
      <x:c r="AG1893" t="str">
        <x:f>""</x:f>
        <x:v/>
      </x:c>
    </x:row>
    <x:row r="1894" spans="2:33" x14ac:dyDescent="0.25">
      <x:c r="B1894" t="str">
        <x:f>"SUPP US Equity"</x:f>
        <x:v>SUPP US Equity</x:v>
      </x:c>
      <x:c r="C1894" t="str">
        <x:f t="shared" si="83"/>
        <x:v>FD447</x:v>
      </x:c>
      <x:c r="D1894" t="str">
        <x:f t="shared" si="84"/>
        <x:v>FUND_FLOW</x:v>
      </x:c>
      <x:c r="E1894" t="str">
        <x:f t="shared" si="85"/>
        <x:v>Dynamic</x:v>
      </x:c>
      <x:c r="F1894">
        <x:f ca="1">_xll.BDH($B$1894,$C$1894,$B$1010,$B$1011,CONCATENATE("Per=",$B$1008),"Dts=H","Dir=H",CONCATENATE("Points=",$B$1009),"Sort=R","Days=A","Fill=B",CONCATENATE("FX=", $B$1007),"cols=14;rows=1")</x:f>
        <x:v>1.26E-2</x:v>
      </x:c>
      <x:c r="G1894">
        <x:v>0</x:v>
      </x:c>
      <x:c r="H1894">
        <x:v>-2.0999999999999999E-3</x:v>
      </x:c>
      <x:c r="I1894">
        <x:v>-9.1999999999999998E-3</x:v>
      </x:c>
      <x:c r="J1894">
        <x:v>-1.06E-2</x:v>
      </x:c>
      <x:c r="K1894">
        <x:v>0</x:v>
      </x:c>
      <x:c r="L1894">
        <x:v>0</x:v>
      </x:c>
      <x:c r="M1894">
        <x:v>0</x:v>
      </x:c>
      <x:c r="N1894">
        <x:v>0</x:v>
      </x:c>
      <x:c r="T1894" t="str">
        <x:f>""</x:f>
        <x:v/>
      </x:c>
      <x:c r="U1894" t="str">
        <x:f>""</x:f>
        <x:v/>
      </x:c>
      <x:c r="V1894" t="str">
        <x:f>""</x:f>
        <x:v/>
      </x:c>
      <x:c r="W1894" t="str">
        <x:f>""</x:f>
        <x:v/>
      </x:c>
      <x:c r="X1894" t="str">
        <x:f>""</x:f>
        <x:v/>
      </x:c>
      <x:c r="Y1894" t="str">
        <x:f>""</x:f>
        <x:v/>
      </x:c>
      <x:c r="Z1894" t="str">
        <x:f>""</x:f>
        <x:v/>
      </x:c>
      <x:c r="AA1894" t="str">
        <x:f>""</x:f>
        <x:v/>
      </x:c>
      <x:c r="AB1894" t="str">
        <x:f>""</x:f>
        <x:v/>
      </x:c>
      <x:c r="AC1894" t="str">
        <x:f>""</x:f>
        <x:v/>
      </x:c>
      <x:c r="AD1894" t="str">
        <x:f>""</x:f>
        <x:v/>
      </x:c>
      <x:c r="AE1894" t="str">
        <x:f>""</x:f>
        <x:v/>
      </x:c>
      <x:c r="AF1894" t="str">
        <x:f>""</x:f>
        <x:v/>
      </x:c>
      <x:c r="AG1894" t="str">
        <x:f>""</x:f>
        <x:v/>
      </x:c>
    </x:row>
    <x:row r="1895" spans="2:33" x14ac:dyDescent="0.25">
      <x:c r="B1895" t="str">
        <x:f>"TACK US Equity"</x:f>
        <x:v>TACK US Equity</x:v>
      </x:c>
      <x:c r="C1895" t="str">
        <x:f t="shared" si="83"/>
        <x:v>FD447</x:v>
      </x:c>
      <x:c r="D1895" t="str">
        <x:f t="shared" si="84"/>
        <x:v>FUND_FLOW</x:v>
      </x:c>
      <x:c r="E1895" t="str">
        <x:f t="shared" si="85"/>
        <x:v>Dynamic</x:v>
      </x:c>
      <x:c r="F1895">
        <x:f ca="1">_xll.BDH($B$1895,$C$1895,$B$1010,$B$1011,CONCATENATE("Per=",$B$1008),"Dts=H","Dir=H",CONCATENATE("Points=",$B$1009),"Sort=R","Days=A","Fill=B",CONCATENATE("FX=", $B$1007),"cols=14;rows=1")</x:f>
        <x:v>-13.7462</x:v>
      </x:c>
      <x:c r="G1895">
        <x:v>-3.5221</x:v>
      </x:c>
      <x:c r="H1895">
        <x:v>-4.8064999999999998</x:v>
      </x:c>
      <x:c r="I1895">
        <x:v>-1.9201999999999999</x:v>
      </x:c>
      <x:c r="J1895">
        <x:v>3.5436000000000001</x:v>
      </x:c>
      <x:c r="K1895">
        <x:v>6.2041000000000004</x:v>
      </x:c>
      <x:c r="L1895">
        <x:v>11.4293</x:v>
      </x:c>
      <x:c r="M1895">
        <x:v>-1.0506</x:v>
      </x:c>
      <x:c r="N1895">
        <x:v>11.290100000000001</x:v>
      </x:c>
      <x:c r="O1895">
        <x:v>14.7841</x:v>
      </x:c>
      <x:c r="P1895">
        <x:v>13.488799999999999</x:v>
      </x:c>
      <x:c r="Q1895">
        <x:v>5.3869999999999996</x:v>
      </x:c>
      <x:c r="R1895">
        <x:v>14.5428</x:v>
      </x:c>
      <x:c r="S1895">
        <x:v>20.093399999999999</x:v>
      </x:c>
      <x:c r="T1895" t="str">
        <x:f>""</x:f>
        <x:v/>
      </x:c>
      <x:c r="U1895" t="str">
        <x:f>""</x:f>
        <x:v/>
      </x:c>
      <x:c r="V1895" t="str">
        <x:f>""</x:f>
        <x:v/>
      </x:c>
      <x:c r="W1895" t="str">
        <x:f>""</x:f>
        <x:v/>
      </x:c>
      <x:c r="X1895" t="str">
        <x:f>""</x:f>
        <x:v/>
      </x:c>
      <x:c r="Y1895" t="str">
        <x:f>""</x:f>
        <x:v/>
      </x:c>
      <x:c r="Z1895" t="str">
        <x:f>""</x:f>
        <x:v/>
      </x:c>
      <x:c r="AA1895" t="str">
        <x:f>""</x:f>
        <x:v/>
      </x:c>
      <x:c r="AB1895" t="str">
        <x:f>""</x:f>
        <x:v/>
      </x:c>
      <x:c r="AC1895" t="str">
        <x:f>""</x:f>
        <x:v/>
      </x:c>
      <x:c r="AD1895" t="str">
        <x:f>""</x:f>
        <x:v/>
      </x:c>
      <x:c r="AE1895" t="str">
        <x:f>""</x:f>
        <x:v/>
      </x:c>
      <x:c r="AF1895" t="str">
        <x:f>""</x:f>
        <x:v/>
      </x:c>
      <x:c r="AG1895" t="str">
        <x:f>""</x:f>
        <x:v/>
      </x:c>
    </x:row>
    <x:row r="1896" spans="2:33" x14ac:dyDescent="0.25">
      <x:c r="B1896" t="str">
        <x:f>"UPWD US Equity"</x:f>
        <x:v>UPWD US Equity</x:v>
      </x:c>
      <x:c r="C1896" t="str">
        <x:f t="shared" si="83"/>
        <x:v>FD447</x:v>
      </x:c>
      <x:c r="D1896" t="str">
        <x:f t="shared" si="84"/>
        <x:v>FUND_FLOW</x:v>
      </x:c>
      <x:c r="E1896" t="str">
        <x:f t="shared" si="85"/>
        <x:v>Dynamic</x:v>
      </x:c>
      <x:c r="F1896">
        <x:f ca="1">_xll.BDH($B$1896,$C$1896,$B$1010,$B$1011,CONCATENATE("Per=",$B$1008),"Dts=H","Dir=H",CONCATENATE("Points=",$B$1009),"Sort=R","Days=A","Fill=B",CONCATENATE("FX=", $B$1007),"cols=14;rows=1")</x:f>
        <x:v>0</x:v>
      </x:c>
      <x:c r="G1896">
        <x:v>0</x:v>
      </x:c>
      <x:c r="H1896">
        <x:v>0</x:v>
      </x:c>
      <x:c r="I1896">
        <x:v>0</x:v>
      </x:c>
      <x:c r="J1896">
        <x:v>0</x:v>
      </x:c>
      <x:c r="K1896">
        <x:v>0</x:v>
      </x:c>
      <x:c r="L1896">
        <x:v>0</x:v>
      </x:c>
      <x:c r="M1896">
        <x:v>0</x:v>
      </x:c>
      <x:c r="N1896">
        <x:v>0</x:v>
      </x:c>
      <x:c r="O1896">
        <x:v>0</x:v>
      </x:c>
      <x:c r="P1896">
        <x:v>0</x:v>
      </x:c>
      <x:c r="Q1896">
        <x:v>0</x:v>
      </x:c>
      <x:c r="R1896">
        <x:v>1.1225000000000001</x:v>
      </x:c>
      <x:c r="S1896">
        <x:v>0</x:v>
      </x:c>
      <x:c r="T1896" t="str">
        <x:f>""</x:f>
        <x:v/>
      </x:c>
      <x:c r="U1896" t="str">
        <x:f>""</x:f>
        <x:v/>
      </x:c>
      <x:c r="V1896" t="str">
        <x:f>""</x:f>
        <x:v/>
      </x:c>
      <x:c r="W1896" t="str">
        <x:f>""</x:f>
        <x:v/>
      </x:c>
      <x:c r="X1896" t="str">
        <x:f>""</x:f>
        <x:v/>
      </x:c>
      <x:c r="Y1896" t="str">
        <x:f>""</x:f>
        <x:v/>
      </x:c>
      <x:c r="Z1896" t="str">
        <x:f>""</x:f>
        <x:v/>
      </x:c>
      <x:c r="AA1896" t="str">
        <x:f>""</x:f>
        <x:v/>
      </x:c>
      <x:c r="AB1896" t="str">
        <x:f>""</x:f>
        <x:v/>
      </x:c>
      <x:c r="AC1896" t="str">
        <x:f>""</x:f>
        <x:v/>
      </x:c>
      <x:c r="AD1896" t="str">
        <x:f>""</x:f>
        <x:v/>
      </x:c>
      <x:c r="AE1896" t="str">
        <x:f>""</x:f>
        <x:v/>
      </x:c>
      <x:c r="AF1896" t="str">
        <x:f>""</x:f>
        <x:v/>
      </x:c>
      <x:c r="AG1896" t="str">
        <x:f>""</x:f>
        <x:v/>
      </x:c>
    </x:row>
    <x:row r="1897" spans="2:33" x14ac:dyDescent="0.25">
      <x:c r="B1897" t="str">
        <x:f>"VEGI US Equity"</x:f>
        <x:v>VEGI US Equity</x:v>
      </x:c>
      <x:c r="C1897" t="str">
        <x:f t="shared" si="83"/>
        <x:v>FD447</x:v>
      </x:c>
      <x:c r="D1897" t="str">
        <x:f t="shared" si="84"/>
        <x:v>FUND_FLOW</x:v>
      </x:c>
      <x:c r="E1897" t="str">
        <x:f t="shared" si="85"/>
        <x:v>Dynamic</x:v>
      </x:c>
      <x:c r="F1897">
        <x:f ca="1">_xll.BDH($B$1897,$C$1897,$B$1010,$B$1011,CONCATENATE("Per=",$B$1008),"Dts=H","Dir=H",CONCATENATE("Points=",$B$1009),"Sort=R","Days=A","Fill=B",CONCATENATE("FX=", $B$1007),"cols=14;rows=1")</x:f>
        <x:v>-14.5722</x:v>
      </x:c>
      <x:c r="G1897">
        <x:v>-6.0214999999999996</x:v>
      </x:c>
      <x:c r="H1897">
        <x:v>-4.0934999999999997</x:v>
      </x:c>
      <x:c r="I1897">
        <x:v>-8.0195000000000007</x:v>
      </x:c>
      <x:c r="J1897">
        <x:v>-7.9135</x:v>
      </x:c>
      <x:c r="K1897">
        <x:v>-11.3818</x:v>
      </x:c>
      <x:c r="L1897">
        <x:v>-10.2501</x:v>
      </x:c>
      <x:c r="M1897">
        <x:v>-10.154</x:v>
      </x:c>
      <x:c r="N1897">
        <x:v>-8.7033000000000005</x:v>
      </x:c>
      <x:c r="O1897">
        <x:v>-8.4719999999999995</x:v>
      </x:c>
      <x:c r="P1897">
        <x:v>-24.246600000000001</x:v>
      </x:c>
      <x:c r="Q1897">
        <x:v>19.833500000000001</x:v>
      </x:c>
      <x:c r="R1897">
        <x:v>14.453200000000001</x:v>
      </x:c>
      <x:c r="S1897">
        <x:v>0</x:v>
      </x:c>
      <x:c r="T1897" t="str">
        <x:f>""</x:f>
        <x:v/>
      </x:c>
      <x:c r="U1897" t="str">
        <x:f>""</x:f>
        <x:v/>
      </x:c>
      <x:c r="V1897" t="str">
        <x:f>""</x:f>
        <x:v/>
      </x:c>
      <x:c r="W1897" t="str">
        <x:f>""</x:f>
        <x:v/>
      </x:c>
      <x:c r="X1897" t="str">
        <x:f>""</x:f>
        <x:v/>
      </x:c>
      <x:c r="Y1897" t="str">
        <x:f>""</x:f>
        <x:v/>
      </x:c>
      <x:c r="Z1897" t="str">
        <x:f>""</x:f>
        <x:v/>
      </x:c>
      <x:c r="AA1897" t="str">
        <x:f>""</x:f>
        <x:v/>
      </x:c>
      <x:c r="AB1897" t="str">
        <x:f>""</x:f>
        <x:v/>
      </x:c>
      <x:c r="AC1897" t="str">
        <x:f>""</x:f>
        <x:v/>
      </x:c>
      <x:c r="AD1897" t="str">
        <x:f>""</x:f>
        <x:v/>
      </x:c>
      <x:c r="AE1897" t="str">
        <x:f>""</x:f>
        <x:v/>
      </x:c>
      <x:c r="AF1897" t="str">
        <x:f>""</x:f>
        <x:v/>
      </x:c>
      <x:c r="AG1897" t="str">
        <x:f>""</x:f>
        <x:v/>
      </x:c>
    </x:row>
    <x:row r="1898" spans="2:33" x14ac:dyDescent="0.25">
      <x:c r="B1898" t="str">
        <x:f>"PAGG US Equity"</x:f>
        <x:v>PAGG US Equity</x:v>
      </x:c>
      <x:c r="C1898" t="str">
        <x:f t="shared" si="83"/>
        <x:v>FD447</x:v>
      </x:c>
      <x:c r="D1898" t="str">
        <x:f t="shared" si="84"/>
        <x:v>FUND_FLOW</x:v>
      </x:c>
      <x:c r="E1898" t="str">
        <x:f t="shared" si="85"/>
        <x:v>Dynamic</x:v>
      </x:c>
      <x:c r="F1898" t="str">
        <x:f ca="1">_xll.BDH($B$1898,$C$1898,$B$1010,$B$1011,CONCATENATE("Per=",$B$1008),"Dts=H","Dir=H",CONCATENATE("Points=",$B$1009),"Sort=R","Days=A","Fill=B",CONCATENATE("FX=", $B$1007) )</x:f>
        <x:v/>
      </x:c>
      <x:c r="T1898" t="str">
        <x:f>""</x:f>
        <x:v/>
      </x:c>
      <x:c r="U1898" t="str">
        <x:f>""</x:f>
        <x:v/>
      </x:c>
      <x:c r="V1898" t="str">
        <x:f>""</x:f>
        <x:v/>
      </x:c>
      <x:c r="W1898" t="str">
        <x:f>""</x:f>
        <x:v/>
      </x:c>
      <x:c r="X1898" t="str">
        <x:f>""</x:f>
        <x:v/>
      </x:c>
      <x:c r="Y1898" t="str">
        <x:f>""</x:f>
        <x:v/>
      </x:c>
      <x:c r="Z1898" t="str">
        <x:f>""</x:f>
        <x:v/>
      </x:c>
      <x:c r="AA1898" t="str">
        <x:f>""</x:f>
        <x:v/>
      </x:c>
      <x:c r="AB1898" t="str">
        <x:f>""</x:f>
        <x:v/>
      </x:c>
      <x:c r="AC1898" t="str">
        <x:f>""</x:f>
        <x:v/>
      </x:c>
      <x:c r="AD1898" t="str">
        <x:f>""</x:f>
        <x:v/>
      </x:c>
      <x:c r="AE1898" t="str">
        <x:f>""</x:f>
        <x:v/>
      </x:c>
      <x:c r="AF1898" t="str">
        <x:f>""</x:f>
        <x:v/>
      </x:c>
      <x:c r="AG1898" t="str">
        <x:f>""</x:f>
        <x:v/>
      </x:c>
    </x:row>
    <x:row r="1899" spans="2:33" x14ac:dyDescent="0.25">
      <x:c r="B1899" t="str">
        <x:f>"MOO US Equity"</x:f>
        <x:v>MOO US Equity</x:v>
      </x:c>
      <x:c r="C1899" t="str">
        <x:f t="shared" si="83"/>
        <x:v>FD447</x:v>
      </x:c>
      <x:c r="D1899" t="str">
        <x:f t="shared" si="84"/>
        <x:v>FUND_FLOW</x:v>
      </x:c>
      <x:c r="E1899" t="str">
        <x:f t="shared" si="85"/>
        <x:v>Dynamic</x:v>
      </x:c>
      <x:c r="F1899">
        <x:f ca="1">_xll.BDH($B$1899,$C$1899,$B$1010,$B$1011,CONCATENATE("Per=",$B$1008),"Dts=H","Dir=H",CONCATENATE("Points=",$B$1009),"Sort=R","Days=A","Fill=B",CONCATENATE("FX=", $B$1007),"cols=14;rows=1")</x:f>
        <x:v>-22.6252</x:v>
      </x:c>
      <x:c r="G1899">
        <x:v>-12.154299999999999</x:v>
      </x:c>
      <x:c r="H1899">
        <x:v>-16.823</x:v>
      </x:c>
      <x:c r="I1899">
        <x:v>-21.638000000000002</x:v>
      </x:c>
      <x:c r="J1899">
        <x:v>-7.9740000000000002</x:v>
      </x:c>
      <x:c r="K1899">
        <x:v>-65.390199999999993</x:v>
      </x:c>
      <x:c r="L1899">
        <x:v>-25.732299999999999</x:v>
      </x:c>
      <x:c r="M1899">
        <x:v>-25.853100000000001</x:v>
      </x:c>
      <x:c r="N1899">
        <x:v>-22.667400000000001</x:v>
      </x:c>
      <x:c r="O1899">
        <x:v>-34.962400000000002</x:v>
      </x:c>
      <x:c r="P1899">
        <x:v>-36.144599999999997</x:v>
      </x:c>
      <x:c r="Q1899">
        <x:v>-9.3168000000000006</x:v>
      </x:c>
      <x:c r="R1899">
        <x:v>-17.0625</x:v>
      </x:c>
      <x:c r="S1899">
        <x:v>-26.0593</x:v>
      </x:c>
      <x:c r="T1899" t="str">
        <x:f>""</x:f>
        <x:v/>
      </x:c>
      <x:c r="U1899" t="str">
        <x:f>""</x:f>
        <x:v/>
      </x:c>
      <x:c r="V1899" t="str">
        <x:f>""</x:f>
        <x:v/>
      </x:c>
      <x:c r="W1899" t="str">
        <x:f>""</x:f>
        <x:v/>
      </x:c>
      <x:c r="X1899" t="str">
        <x:f>""</x:f>
        <x:v/>
      </x:c>
      <x:c r="Y1899" t="str">
        <x:f>""</x:f>
        <x:v/>
      </x:c>
      <x:c r="Z1899" t="str">
        <x:f>""</x:f>
        <x:v/>
      </x:c>
      <x:c r="AA1899" t="str">
        <x:f>""</x:f>
        <x:v/>
      </x:c>
      <x:c r="AB1899" t="str">
        <x:f>""</x:f>
        <x:v/>
      </x:c>
      <x:c r="AC1899" t="str">
        <x:f>""</x:f>
        <x:v/>
      </x:c>
      <x:c r="AD1899" t="str">
        <x:f>""</x:f>
        <x:v/>
      </x:c>
      <x:c r="AE1899" t="str">
        <x:f>""</x:f>
        <x:v/>
      </x:c>
      <x:c r="AF1899" t="str">
        <x:f>""</x:f>
        <x:v/>
      </x:c>
      <x:c r="AG1899" t="str">
        <x:f>""</x:f>
        <x:v/>
      </x:c>
    </x:row>
    <x:row r="1900" spans="2:33" x14ac:dyDescent="0.25">
      <x:c r="B1900" t="str">
        <x:f>"FTAG US Equity"</x:f>
        <x:v>FTAG US Equity</x:v>
      </x:c>
      <x:c r="C1900" t="str">
        <x:f t="shared" si="83"/>
        <x:v>FD447</x:v>
      </x:c>
      <x:c r="D1900" t="str">
        <x:f t="shared" si="84"/>
        <x:v>FUND_FLOW</x:v>
      </x:c>
      <x:c r="E1900" t="str">
        <x:f t="shared" si="85"/>
        <x:v>Dynamic</x:v>
      </x:c>
      <x:c r="F1900">
        <x:f ca="1">_xll.BDH($B$1900,$C$1900,$B$1010,$B$1011,CONCATENATE("Per=",$B$1008),"Dts=H","Dir=H",CONCATENATE("Points=",$B$1009),"Sort=R","Days=A","Fill=B",CONCATENATE("FX=", $B$1007),"cols=14;rows=1")</x:f>
        <x:v>-1.2764</x:v>
      </x:c>
      <x:c r="G1900">
        <x:v>0</x:v>
      </x:c>
      <x:c r="H1900">
        <x:v>0</x:v>
      </x:c>
      <x:c r="I1900">
        <x:v>-1.3420000000000001</x:v>
      </x:c>
      <x:c r="J1900">
        <x:v>-2.7719999999999998</x:v>
      </x:c>
      <x:c r="K1900">
        <x:v>0</x:v>
      </x:c>
      <x:c r="L1900">
        <x:v>0</x:v>
      </x:c>
      <x:c r="M1900">
        <x:v>-2.8294999999999999</x:v>
      </x:c>
      <x:c r="N1900">
        <x:v>-3.01</x:v>
      </x:c>
      <x:c r="O1900">
        <x:v>0</x:v>
      </x:c>
      <x:c r="P1900">
        <x:v>0</x:v>
      </x:c>
      <x:c r="Q1900">
        <x:v>0</x:v>
      </x:c>
      <x:c r="R1900">
        <x:v>0</x:v>
      </x:c>
      <x:c r="S1900">
        <x:v>0</x:v>
      </x:c>
      <x:c r="T1900" t="str">
        <x:f>""</x:f>
        <x:v/>
      </x:c>
      <x:c r="U1900" t="str">
        <x:f>""</x:f>
        <x:v/>
      </x:c>
      <x:c r="V1900" t="str">
        <x:f>""</x:f>
        <x:v/>
      </x:c>
      <x:c r="W1900" t="str">
        <x:f>""</x:f>
        <x:v/>
      </x:c>
      <x:c r="X1900" t="str">
        <x:f>""</x:f>
        <x:v/>
      </x:c>
      <x:c r="Y1900" t="str">
        <x:f>""</x:f>
        <x:v/>
      </x:c>
      <x:c r="Z1900" t="str">
        <x:f>""</x:f>
        <x:v/>
      </x:c>
      <x:c r="AA1900" t="str">
        <x:f>""</x:f>
        <x:v/>
      </x:c>
      <x:c r="AB1900" t="str">
        <x:f>""</x:f>
        <x:v/>
      </x:c>
      <x:c r="AC1900" t="str">
        <x:f>""</x:f>
        <x:v/>
      </x:c>
      <x:c r="AD1900" t="str">
        <x:f>""</x:f>
        <x:v/>
      </x:c>
      <x:c r="AE1900" t="str">
        <x:f>""</x:f>
        <x:v/>
      </x:c>
      <x:c r="AF1900" t="str">
        <x:f>""</x:f>
        <x:v/>
      </x:c>
      <x:c r="AG1900" t="str">
        <x:f>""</x:f>
        <x:v/>
      </x:c>
    </x:row>
    <x:row r="1901" spans="2:33" x14ac:dyDescent="0.25">
      <x:c r="B1901" t="str">
        <x:f>"WOOD US Equity"</x:f>
        <x:v>WOOD US Equity</x:v>
      </x:c>
      <x:c r="C1901" t="str">
        <x:f t="shared" si="83"/>
        <x:v>FD447</x:v>
      </x:c>
      <x:c r="D1901" t="str">
        <x:f t="shared" si="84"/>
        <x:v>FUND_FLOW</x:v>
      </x:c>
      <x:c r="E1901" t="str">
        <x:f t="shared" si="85"/>
        <x:v>Dynamic</x:v>
      </x:c>
      <x:c r="F1901">
        <x:f ca="1">_xll.BDH($B$1901,$C$1901,$B$1010,$B$1011,CONCATENATE("Per=",$B$1008),"Dts=H","Dir=H",CONCATENATE("Points=",$B$1009),"Sort=R","Days=A","Fill=B",CONCATENATE("FX=", $B$1007),"cols=14;rows=1")</x:f>
        <x:v>0</x:v>
      </x:c>
      <x:c r="G1901">
        <x:v>-8.8345000000000002</x:v>
      </x:c>
      <x:c r="H1901">
        <x:v>0</x:v>
      </x:c>
      <x:c r="I1901">
        <x:v>0</x:v>
      </x:c>
      <x:c r="J1901">
        <x:v>-4.282</x:v>
      </x:c>
      <x:c r="K1901">
        <x:v>4.3365999999999998</x:v>
      </x:c>
      <x:c r="L1901">
        <x:v>0</x:v>
      </x:c>
      <x:c r="M1901">
        <x:v>-4.5316000000000001</x:v>
      </x:c>
      <x:c r="N1901">
        <x:v>-4.5335000000000001</x:v>
      </x:c>
      <x:c r="O1901">
        <x:v>0</x:v>
      </x:c>
      <x:c r="P1901">
        <x:v>-8.7743000000000002</x:v>
      </x:c>
      <x:c r="Q1901">
        <x:v>-4.2487000000000004</x:v>
      </x:c>
      <x:c r="R1901">
        <x:v>-4.0739999999999998</x:v>
      </x:c>
      <x:c r="S1901">
        <x:v>0</x:v>
      </x:c>
      <x:c r="T1901" t="str">
        <x:f>""</x:f>
        <x:v/>
      </x:c>
      <x:c r="U1901" t="str">
        <x:f>""</x:f>
        <x:v/>
      </x:c>
      <x:c r="V1901" t="str">
        <x:f>""</x:f>
        <x:v/>
      </x:c>
      <x:c r="W1901" t="str">
        <x:f>""</x:f>
        <x:v/>
      </x:c>
      <x:c r="X1901" t="str">
        <x:f>""</x:f>
        <x:v/>
      </x:c>
      <x:c r="Y1901" t="str">
        <x:f>""</x:f>
        <x:v/>
      </x:c>
      <x:c r="Z1901" t="str">
        <x:f>""</x:f>
        <x:v/>
      </x:c>
      <x:c r="AA1901" t="str">
        <x:f>""</x:f>
        <x:v/>
      </x:c>
      <x:c r="AB1901" t="str">
        <x:f>""</x:f>
        <x:v/>
      </x:c>
      <x:c r="AC1901" t="str">
        <x:f>""</x:f>
        <x:v/>
      </x:c>
      <x:c r="AD1901" t="str">
        <x:f>""</x:f>
        <x:v/>
      </x:c>
      <x:c r="AE1901" t="str">
        <x:f>""</x:f>
        <x:v/>
      </x:c>
      <x:c r="AF1901" t="str">
        <x:f>""</x:f>
        <x:v/>
      </x:c>
      <x:c r="AG1901" t="str">
        <x:f>""</x:f>
        <x:v/>
      </x:c>
    </x:row>
    <x:row r="1902" spans="2:33" x14ac:dyDescent="0.25">
      <x:c r="B1902" t="str">
        <x:f>"CUT US Equity"</x:f>
        <x:v>CUT US Equity</x:v>
      </x:c>
      <x:c r="C1902" t="str">
        <x:f t="shared" si="83"/>
        <x:v>FD447</x:v>
      </x:c>
      <x:c r="D1902" t="str">
        <x:f t="shared" si="84"/>
        <x:v>FUND_FLOW</x:v>
      </x:c>
      <x:c r="E1902" t="str">
        <x:f t="shared" si="85"/>
        <x:v>Dynamic</x:v>
      </x:c>
      <x:c r="F1902">
        <x:f ca="1">_xll.BDH($B$1902,$C$1902,$B$1010,$B$1011,CONCATENATE("Per=",$B$1008),"Dts=H","Dir=H",CONCATENATE("Points=",$B$1009),"Sort=R","Days=A","Fill=B",CONCATENATE("FX=", $B$1007),"cols=14;rows=1")</x:f>
        <x:v>0</x:v>
      </x:c>
      <x:c r="G1902">
        <x:v>-1.5027999999999999</x:v>
      </x:c>
      <x:c r="H1902">
        <x:v>0</x:v>
      </x:c>
      <x:c r="I1902">
        <x:v>0</x:v>
      </x:c>
      <x:c r="J1902">
        <x:v>0</x:v>
      </x:c>
      <x:c r="K1902">
        <x:v>-4.4748999999999999</x:v>
      </x:c>
      <x:c r="L1902">
        <x:v>0</x:v>
      </x:c>
      <x:c r="M1902">
        <x:v>0</x:v>
      </x:c>
      <x:c r="N1902">
        <x:v>0</x:v>
      </x:c>
      <x:c r="O1902">
        <x:v>0</x:v>
      </x:c>
      <x:c r="P1902">
        <x:v>0</x:v>
      </x:c>
      <x:c r="Q1902">
        <x:v>-1.5748</x:v>
      </x:c>
      <x:c r="R1902">
        <x:v>-1.4001999999999999</x:v>
      </x:c>
      <x:c r="S1902">
        <x:v>-4.1247999999999996</x:v>
      </x:c>
      <x:c r="T1902" t="str">
        <x:f>""</x:f>
        <x:v/>
      </x:c>
      <x:c r="U1902" t="str">
        <x:f>""</x:f>
        <x:v/>
      </x:c>
      <x:c r="V1902" t="str">
        <x:f>""</x:f>
        <x:v/>
      </x:c>
      <x:c r="W1902" t="str">
        <x:f>""</x:f>
        <x:v/>
      </x:c>
      <x:c r="X1902" t="str">
        <x:f>""</x:f>
        <x:v/>
      </x:c>
      <x:c r="Y1902" t="str">
        <x:f>""</x:f>
        <x:v/>
      </x:c>
      <x:c r="Z1902" t="str">
        <x:f>""</x:f>
        <x:v/>
      </x:c>
      <x:c r="AA1902" t="str">
        <x:f>""</x:f>
        <x:v/>
      </x:c>
      <x:c r="AB1902" t="str">
        <x:f>""</x:f>
        <x:v/>
      </x:c>
      <x:c r="AC1902" t="str">
        <x:f>""</x:f>
        <x:v/>
      </x:c>
      <x:c r="AD1902" t="str">
        <x:f>""</x:f>
        <x:v/>
      </x:c>
      <x:c r="AE1902" t="str">
        <x:f>""</x:f>
        <x:v/>
      </x:c>
      <x:c r="AF1902" t="str">
        <x:f>""</x:f>
        <x:v/>
      </x:c>
      <x:c r="AG1902" t="str">
        <x:f>""</x:f>
        <x:v/>
      </x:c>
    </x:row>
    <x:row r="1903" spans="2:33" x14ac:dyDescent="0.25">
      <x:c r="B1903" t="str">
        <x:f>"DIET US Equity"</x:f>
        <x:v>DIET US Equity</x:v>
      </x:c>
      <x:c r="C1903" t="str">
        <x:f t="shared" si="83"/>
        <x:v>FD447</x:v>
      </x:c>
      <x:c r="D1903" t="str">
        <x:f t="shared" si="84"/>
        <x:v>FUND_FLOW</x:v>
      </x:c>
      <x:c r="E1903" t="str">
        <x:f t="shared" si="85"/>
        <x:v>Dynamic</x:v>
      </x:c>
      <x:c r="F1903" t="str">
        <x:f ca="1">_xll.BDH($B$1903,$C$1903,$B$1010,$B$1011,CONCATENATE("Per=",$B$1008),"Dts=H","Dir=H",CONCATENATE("Points=",$B$1009),"Sort=R","Days=A","Fill=B",CONCATENATE("FX=", $B$1007) )</x:f>
        <x:v/>
      </x:c>
      <x:c r="T1903" t="str">
        <x:f>""</x:f>
        <x:v/>
      </x:c>
      <x:c r="U1903" t="str">
        <x:f>""</x:f>
        <x:v/>
      </x:c>
      <x:c r="V1903" t="str">
        <x:f>""</x:f>
        <x:v/>
      </x:c>
      <x:c r="W1903" t="str">
        <x:f>""</x:f>
        <x:v/>
      </x:c>
      <x:c r="X1903" t="str">
        <x:f>""</x:f>
        <x:v/>
      </x:c>
      <x:c r="Y1903" t="str">
        <x:f>""</x:f>
        <x:v/>
      </x:c>
      <x:c r="Z1903" t="str">
        <x:f>""</x:f>
        <x:v/>
      </x:c>
      <x:c r="AA1903" t="str">
        <x:f>""</x:f>
        <x:v/>
      </x:c>
      <x:c r="AB1903" t="str">
        <x:f>""</x:f>
        <x:v/>
      </x:c>
      <x:c r="AC1903" t="str">
        <x:f>""</x:f>
        <x:v/>
      </x:c>
      <x:c r="AD1903" t="str">
        <x:f>""</x:f>
        <x:v/>
      </x:c>
      <x:c r="AE1903" t="str">
        <x:f>""</x:f>
        <x:v/>
      </x:c>
      <x:c r="AF1903" t="str">
        <x:f>""</x:f>
        <x:v/>
      </x:c>
      <x:c r="AG1903" t="str">
        <x:f>""</x:f>
        <x:v/>
      </x:c>
    </x:row>
    <x:row r="1904" spans="2:33" x14ac:dyDescent="0.25">
      <x:c r="B1904" t="str">
        <x:f>"KROP US Equity"</x:f>
        <x:v>KROP US Equity</x:v>
      </x:c>
      <x:c r="C1904" t="str">
        <x:f t="shared" si="83"/>
        <x:v>FD447</x:v>
      </x:c>
      <x:c r="D1904" t="str">
        <x:f t="shared" si="84"/>
        <x:v>FUND_FLOW</x:v>
      </x:c>
      <x:c r="E1904" t="str">
        <x:f t="shared" si="85"/>
        <x:v>Dynamic</x:v>
      </x:c>
      <x:c r="F1904">
        <x:f ca="1">_xll.BDH($B$1904,$C$1904,$B$1010,$B$1011,CONCATENATE("Per=",$B$1008),"Dts=H","Dir=H",CONCATENATE("Points=",$B$1009),"Sort=R","Days=A","Fill=B",CONCATENATE("FX=", $B$1007),"cols=14;rows=1")</x:f>
        <x:v>0</x:v>
      </x:c>
      <x:c r="G1904">
        <x:v>0</x:v>
      </x:c>
      <x:c r="H1904">
        <x:v>0</x:v>
      </x:c>
      <x:c r="I1904">
        <x:v>0</x:v>
      </x:c>
      <x:c r="J1904">
        <x:v>-0.12470000000000001</x:v>
      </x:c>
      <x:c r="K1904">
        <x:v>0</x:v>
      </x:c>
      <x:c r="L1904">
        <x:v>0</x:v>
      </x:c>
      <x:c r="M1904">
        <x:v>0</x:v>
      </x:c>
      <x:c r="N1904">
        <x:v>0.30980000000000002</x:v>
      </x:c>
      <x:c r="O1904">
        <x:v>0</x:v>
      </x:c>
      <x:c r="P1904">
        <x:v>0</x:v>
      </x:c>
      <x:c r="Q1904">
        <x:v>0</x:v>
      </x:c>
      <x:c r="R1904">
        <x:v>0</x:v>
      </x:c>
      <x:c r="S1904">
        <x:v>0.43169999999999997</x:v>
      </x:c>
      <x:c r="T1904" t="str">
        <x:f>""</x:f>
        <x:v/>
      </x:c>
      <x:c r="U1904" t="str">
        <x:f>""</x:f>
        <x:v/>
      </x:c>
      <x:c r="V1904" t="str">
        <x:f>""</x:f>
        <x:v/>
      </x:c>
      <x:c r="W1904" t="str">
        <x:f>""</x:f>
        <x:v/>
      </x:c>
      <x:c r="X1904" t="str">
        <x:f>""</x:f>
        <x:v/>
      </x:c>
      <x:c r="Y1904" t="str">
        <x:f>""</x:f>
        <x:v/>
      </x:c>
      <x:c r="Z1904" t="str">
        <x:f>""</x:f>
        <x:v/>
      </x:c>
      <x:c r="AA1904" t="str">
        <x:f>""</x:f>
        <x:v/>
      </x:c>
      <x:c r="AB1904" t="str">
        <x:f>""</x:f>
        <x:v/>
      </x:c>
      <x:c r="AC1904" t="str">
        <x:f>""</x:f>
        <x:v/>
      </x:c>
      <x:c r="AD1904" t="str">
        <x:f>""</x:f>
        <x:v/>
      </x:c>
      <x:c r="AE1904" t="str">
        <x:f>""</x:f>
        <x:v/>
      </x:c>
      <x:c r="AF1904" t="str">
        <x:f>""</x:f>
        <x:v/>
      </x:c>
      <x:c r="AG1904" t="str">
        <x:f>""</x:f>
        <x:v/>
      </x:c>
    </x:row>
    <x:row r="1905" spans="2:33" x14ac:dyDescent="0.25">
      <x:c r="B1905" t="str">
        <x:f>"YUMY US Equity"</x:f>
        <x:v>YUMY US Equity</x:v>
      </x:c>
      <x:c r="C1905" t="str">
        <x:f t="shared" si="83"/>
        <x:v>FD447</x:v>
      </x:c>
      <x:c r="D1905" t="str">
        <x:f t="shared" si="84"/>
        <x:v>FUND_FLOW</x:v>
      </x:c>
      <x:c r="E1905" t="str">
        <x:f t="shared" si="85"/>
        <x:v>Dynamic</x:v>
      </x:c>
      <x:c r="F1905">
        <x:f ca="1">_xll.BDH($B$1905,$C$1905,$B$1010,$B$1011,CONCATENATE("Per=",$B$1008),"Dts=H","Dir=H",CONCATENATE("Points=",$B$1009),"Sort=R","Days=A","Fill=B",CONCATENATE("FX=", $B$1007),"cols=14;rows=1")</x:f>
        <x:v>0</x:v>
      </x:c>
      <x:c r="G1905">
        <x:v>0</x:v>
      </x:c>
      <x:c r="H1905">
        <x:v>0</x:v>
      </x:c>
      <x:c r="I1905">
        <x:v>0</x:v>
      </x:c>
      <x:c r="J1905">
        <x:v>0</x:v>
      </x:c>
      <x:c r="K1905">
        <x:v>0</x:v>
      </x:c>
      <x:c r="L1905">
        <x:v>0</x:v>
      </x:c>
      <x:c r="M1905">
        <x:v>0</x:v>
      </x:c>
      <x:c r="N1905">
        <x:v>0.95520000000000005</x:v>
      </x:c>
      <x:c r="O1905">
        <x:v>0</x:v>
      </x:c>
      <x:c r="P1905">
        <x:v>0</x:v>
      </x:c>
      <x:c r="Q1905">
        <x:v>0</x:v>
      </x:c>
      <x:c r="R1905">
        <x:v>0</x:v>
      </x:c>
      <x:c r="S1905">
        <x:v>0</x:v>
      </x:c>
      <x:c r="T1905" t="str">
        <x:f>""</x:f>
        <x:v/>
      </x:c>
      <x:c r="U1905" t="str">
        <x:f>""</x:f>
        <x:v/>
      </x:c>
      <x:c r="V1905" t="str">
        <x:f>""</x:f>
        <x:v/>
      </x:c>
      <x:c r="W1905" t="str">
        <x:f>""</x:f>
        <x:v/>
      </x:c>
      <x:c r="X1905" t="str">
        <x:f>""</x:f>
        <x:v/>
      </x:c>
      <x:c r="Y1905" t="str">
        <x:f>""</x:f>
        <x:v/>
      </x:c>
      <x:c r="Z1905" t="str">
        <x:f>""</x:f>
        <x:v/>
      </x:c>
      <x:c r="AA1905" t="str">
        <x:f>""</x:f>
        <x:v/>
      </x:c>
      <x:c r="AB1905" t="str">
        <x:f>""</x:f>
        <x:v/>
      </x:c>
      <x:c r="AC1905" t="str">
        <x:f>""</x:f>
        <x:v/>
      </x:c>
      <x:c r="AD1905" t="str">
        <x:f>""</x:f>
        <x:v/>
      </x:c>
      <x:c r="AE1905" t="str">
        <x:f>""</x:f>
        <x:v/>
      </x:c>
      <x:c r="AF1905" t="str">
        <x:f>""</x:f>
        <x:v/>
      </x:c>
      <x:c r="AG1905" t="str">
        <x:f>""</x:f>
        <x:v/>
      </x:c>
    </x:row>
    <x:row r="1906" spans="2:33" x14ac:dyDescent="0.25">
      <x:c r="B1906" t="str">
        <x:f>"EATV US Equity"</x:f>
        <x:v>EATV US Equity</x:v>
      </x:c>
      <x:c r="C1906" t="str">
        <x:f t="shared" si="83"/>
        <x:v>FD447</x:v>
      </x:c>
      <x:c r="D1906" t="str">
        <x:f t="shared" si="84"/>
        <x:v>FUND_FLOW</x:v>
      </x:c>
      <x:c r="E1906" t="str">
        <x:f t="shared" si="85"/>
        <x:v>Dynamic</x:v>
      </x:c>
      <x:c r="F1906">
        <x:f ca="1">_xll.BDH($B$1906,$C$1906,$B$1010,$B$1011,CONCATENATE("Per=",$B$1008),"Dts=H","Dir=H",CONCATENATE("Points=",$B$1009),"Sort=R","Days=A","Fill=B",CONCATENATE("FX=", $B$1007),"cols=14;rows=1")</x:f>
        <x:v>0</x:v>
      </x:c>
      <x:c r="G1906">
        <x:v>0</x:v>
      </x:c>
      <x:c r="H1906">
        <x:v>0.48620000000000002</x:v>
      </x:c>
      <x:c r="I1906">
        <x:v>0</x:v>
      </x:c>
      <x:c r="J1906">
        <x:v>0</x:v>
      </x:c>
      <x:c r="K1906">
        <x:v>0</x:v>
      </x:c>
      <x:c r="L1906">
        <x:v>0</x:v>
      </x:c>
      <x:c r="M1906">
        <x:v>0</x:v>
      </x:c>
      <x:c r="N1906">
        <x:v>0</x:v>
      </x:c>
      <x:c r="O1906">
        <x:v>0</x:v>
      </x:c>
      <x:c r="P1906">
        <x:v>0</x:v>
      </x:c>
      <x:c r="Q1906">
        <x:v>0</x:v>
      </x:c>
      <x:c r="R1906">
        <x:v>0</x:v>
      </x:c>
      <x:c r="S1906">
        <x:v>0</x:v>
      </x:c>
      <x:c r="T1906" t="str">
        <x:f>""</x:f>
        <x:v/>
      </x:c>
      <x:c r="U1906" t="str">
        <x:f>""</x:f>
        <x:v/>
      </x:c>
      <x:c r="V1906" t="str">
        <x:f>""</x:f>
        <x:v/>
      </x:c>
      <x:c r="W1906" t="str">
        <x:f>""</x:f>
        <x:v/>
      </x:c>
      <x:c r="X1906" t="str">
        <x:f>""</x:f>
        <x:v/>
      </x:c>
      <x:c r="Y1906" t="str">
        <x:f>""</x:f>
        <x:v/>
      </x:c>
      <x:c r="Z1906" t="str">
        <x:f>""</x:f>
        <x:v/>
      </x:c>
      <x:c r="AA1906" t="str">
        <x:f>""</x:f>
        <x:v/>
      </x:c>
      <x:c r="AB1906" t="str">
        <x:f>""</x:f>
        <x:v/>
      </x:c>
      <x:c r="AC1906" t="str">
        <x:f>""</x:f>
        <x:v/>
      </x:c>
      <x:c r="AD1906" t="str">
        <x:f>""</x:f>
        <x:v/>
      </x:c>
      <x:c r="AE1906" t="str">
        <x:f>""</x:f>
        <x:v/>
      </x:c>
      <x:c r="AF1906" t="str">
        <x:f>""</x:f>
        <x:v/>
      </x:c>
      <x:c r="AG1906" t="str">
        <x:f>""</x:f>
        <x:v/>
      </x:c>
    </x:row>
    <x:row r="1907" spans="2:33" x14ac:dyDescent="0.25">
      <x:c r="B1907" t="str">
        <x:f>"IVEG US Equity"</x:f>
        <x:v>IVEG US Equity</x:v>
      </x:c>
      <x:c r="C1907" t="str">
        <x:f t="shared" si="83"/>
        <x:v>FD447</x:v>
      </x:c>
      <x:c r="D1907" t="str">
        <x:f t="shared" si="84"/>
        <x:v>FUND_FLOW</x:v>
      </x:c>
      <x:c r="E1907" t="str">
        <x:f t="shared" si="85"/>
        <x:v>Dynamic</x:v>
      </x:c>
      <x:c r="F1907">
        <x:f ca="1">_xll.BDH($B$1907,$C$1907,$B$1010,$B$1011,CONCATENATE("Per=",$B$1008),"Dts=H","Dir=H",CONCATENATE("Points=",$B$1009),"Sort=R","Days=A","Fill=B",CONCATENATE("FX=", $B$1007),"cols=14;rows=1")</x:f>
        <x:v>0</x:v>
      </x:c>
      <x:c r="G1907">
        <x:v>0</x:v>
      </x:c>
      <x:c r="H1907">
        <x:v>0</x:v>
      </x:c>
      <x:c r="I1907">
        <x:v>0</x:v>
      </x:c>
      <x:c r="J1907">
        <x:v>0</x:v>
      </x:c>
      <x:c r="K1907">
        <x:v>0</x:v>
      </x:c>
      <x:c r="L1907">
        <x:v>0</x:v>
      </x:c>
      <x:c r="M1907">
        <x:v>0</x:v>
      </x:c>
      <x:c r="N1907">
        <x:v>0</x:v>
      </x:c>
      <x:c r="O1907">
        <x:v>0</x:v>
      </x:c>
      <x:c r="P1907">
        <x:v>0</x:v>
      </x:c>
      <x:c r="Q1907">
        <x:v>1.0664</x:v>
      </x:c>
      <x:c r="R1907">
        <x:v>0</x:v>
      </x:c>
      <x:c r="S1907">
        <x:v>0</x:v>
      </x:c>
      <x:c r="T1907" t="str">
        <x:f>""</x:f>
        <x:v/>
      </x:c>
      <x:c r="U1907" t="str">
        <x:f>""</x:f>
        <x:v/>
      </x:c>
      <x:c r="V1907" t="str">
        <x:f>""</x:f>
        <x:v/>
      </x:c>
      <x:c r="W1907" t="str">
        <x:f>""</x:f>
        <x:v/>
      </x:c>
      <x:c r="X1907" t="str">
        <x:f>""</x:f>
        <x:v/>
      </x:c>
      <x:c r="Y1907" t="str">
        <x:f>""</x:f>
        <x:v/>
      </x:c>
      <x:c r="Z1907" t="str">
        <x:f>""</x:f>
        <x:v/>
      </x:c>
      <x:c r="AA1907" t="str">
        <x:f>""</x:f>
        <x:v/>
      </x:c>
      <x:c r="AB1907" t="str">
        <x:f>""</x:f>
        <x:v/>
      </x:c>
      <x:c r="AC1907" t="str">
        <x:f>""</x:f>
        <x:v/>
      </x:c>
      <x:c r="AD1907" t="str">
        <x:f>""</x:f>
        <x:v/>
      </x:c>
      <x:c r="AE1907" t="str">
        <x:f>""</x:f>
        <x:v/>
      </x:c>
      <x:c r="AF1907" t="str">
        <x:f>""</x:f>
        <x:v/>
      </x:c>
      <x:c r="AG1907" t="str">
        <x:f>""</x:f>
        <x:v/>
      </x:c>
    </x:row>
    <x:row r="1908" spans="2:33" x14ac:dyDescent="0.25">
      <x:c r="B1908" t="str">
        <x:f>"BCNA US Equity"</x:f>
        <x:v>BCNA US Equity</x:v>
      </x:c>
      <x:c r="C1908" t="str">
        <x:f t="shared" si="83"/>
        <x:v>FD447</x:v>
      </x:c>
      <x:c r="D1908" t="str">
        <x:f t="shared" si="84"/>
        <x:v>FUND_FLOW</x:v>
      </x:c>
      <x:c r="E1908" t="str">
        <x:f t="shared" si="85"/>
        <x:v>Dynamic</x:v>
      </x:c>
      <x:c r="F1908" t="str">
        <x:f ca="1">_xll.BDH($B$1908,$C$1908,$B$1010,$B$1011,CONCATENATE("Per=",$B$1008),"Dts=H","Dir=H",CONCATENATE("Points=",$B$1009),"Sort=R","Days=A","Fill=B",CONCATENATE("FX=", $B$1007) )</x:f>
        <x:v/>
      </x:c>
      <x:c r="T1908" t="str">
        <x:f>""</x:f>
        <x:v/>
      </x:c>
      <x:c r="U1908" t="str">
        <x:f>""</x:f>
        <x:v/>
      </x:c>
      <x:c r="V1908" t="str">
        <x:f>""</x:f>
        <x:v/>
      </x:c>
      <x:c r="W1908" t="str">
        <x:f>""</x:f>
        <x:v/>
      </x:c>
      <x:c r="X1908" t="str">
        <x:f>""</x:f>
        <x:v/>
      </x:c>
      <x:c r="Y1908" t="str">
        <x:f>""</x:f>
        <x:v/>
      </x:c>
      <x:c r="Z1908" t="str">
        <x:f>""</x:f>
        <x:v/>
      </x:c>
      <x:c r="AA1908" t="str">
        <x:f>""</x:f>
        <x:v/>
      </x:c>
      <x:c r="AB1908" t="str">
        <x:f>""</x:f>
        <x:v/>
      </x:c>
      <x:c r="AC1908" t="str">
        <x:f>""</x:f>
        <x:v/>
      </x:c>
      <x:c r="AD1908" t="str">
        <x:f>""</x:f>
        <x:v/>
      </x:c>
      <x:c r="AE1908" t="str">
        <x:f>""</x:f>
        <x:v/>
      </x:c>
      <x:c r="AF1908" t="str">
        <x:f>""</x:f>
        <x:v/>
      </x:c>
      <x:c r="AG1908" t="str">
        <x:f>""</x:f>
        <x:v/>
      </x:c>
    </x:row>
    <x:row r="1909" spans="2:33" x14ac:dyDescent="0.25">
      <x:c r="B1909" t="str">
        <x:f>"KOIN US Equity"</x:f>
        <x:v>KOIN US Equity</x:v>
      </x:c>
      <x:c r="C1909" t="str">
        <x:f t="shared" si="83"/>
        <x:v>FD447</x:v>
      </x:c>
      <x:c r="D1909" t="str">
        <x:f t="shared" si="84"/>
        <x:v>FUND_FLOW</x:v>
      </x:c>
      <x:c r="E1909" t="str">
        <x:f t="shared" si="85"/>
        <x:v>Dynamic</x:v>
      </x:c>
      <x:c r="F1909">
        <x:f ca="1">_xll.BDH($B$1909,$C$1909,$B$1010,$B$1011,CONCATENATE("Per=",$B$1008),"Dts=H","Dir=H",CONCATENATE("Points=",$B$1009),"Sort=R","Days=A","Fill=B",CONCATENATE("FX=", $B$1007),"cols=14;rows=1")</x:f>
        <x:v>0</x:v>
      </x:c>
      <x:c r="G1909">
        <x:v>-0.74650000000000005</x:v>
      </x:c>
      <x:c r="H1909">
        <x:v>-0.75960000000000005</x:v>
      </x:c>
      <x:c r="I1909">
        <x:v>0</x:v>
      </x:c>
      <x:c r="J1909">
        <x:v>0</x:v>
      </x:c>
      <x:c r="K1909">
        <x:v>0</x:v>
      </x:c>
      <x:c r="L1909">
        <x:v>-0.70989999999999998</x:v>
      </x:c>
      <x:c r="M1909">
        <x:v>0</x:v>
      </x:c>
      <x:c r="N1909">
        <x:v>-0.73839999999999995</x:v>
      </x:c>
      <x:c r="O1909">
        <x:v>0</x:v>
      </x:c>
      <x:c r="P1909">
        <x:v>0</x:v>
      </x:c>
      <x:c r="Q1909">
        <x:v>-0.78839999999999999</x:v>
      </x:c>
      <x:c r="R1909">
        <x:v>0</x:v>
      </x:c>
      <x:c r="S1909">
        <x:v>0</x:v>
      </x:c>
      <x:c r="T1909" t="str">
        <x:f>""</x:f>
        <x:v/>
      </x:c>
      <x:c r="U1909" t="str">
        <x:f>""</x:f>
        <x:v/>
      </x:c>
      <x:c r="V1909" t="str">
        <x:f>""</x:f>
        <x:v/>
      </x:c>
      <x:c r="W1909" t="str">
        <x:f>""</x:f>
        <x:v/>
      </x:c>
      <x:c r="X1909" t="str">
        <x:f>""</x:f>
        <x:v/>
      </x:c>
      <x:c r="Y1909" t="str">
        <x:f>""</x:f>
        <x:v/>
      </x:c>
      <x:c r="Z1909" t="str">
        <x:f>""</x:f>
        <x:v/>
      </x:c>
      <x:c r="AA1909" t="str">
        <x:f>""</x:f>
        <x:v/>
      </x:c>
      <x:c r="AB1909" t="str">
        <x:f>""</x:f>
        <x:v/>
      </x:c>
      <x:c r="AC1909" t="str">
        <x:f>""</x:f>
        <x:v/>
      </x:c>
      <x:c r="AD1909" t="str">
        <x:f>""</x:f>
        <x:v/>
      </x:c>
      <x:c r="AE1909" t="str">
        <x:f>""</x:f>
        <x:v/>
      </x:c>
      <x:c r="AF1909" t="str">
        <x:f>""</x:f>
        <x:v/>
      </x:c>
      <x:c r="AG1909" t="str">
        <x:f>""</x:f>
        <x:v/>
      </x:c>
    </x:row>
    <x:row r="1910" spans="2:33" x14ac:dyDescent="0.25">
      <x:c r="B1910" t="str">
        <x:f>"LEGR US Equity"</x:f>
        <x:v>LEGR US Equity</x:v>
      </x:c>
      <x:c r="C1910" t="str">
        <x:f t="shared" ref="C1910:C1967" si="86">"FD447"</x:f>
        <x:v>FD447</x:v>
      </x:c>
      <x:c r="D1910" t="str">
        <x:f t="shared" ref="D1910:D1967" si="87">"FUND_FLOW"</x:f>
        <x:v>FUND_FLOW</x:v>
      </x:c>
      <x:c r="E1910" t="str">
        <x:f t="shared" ref="E1910:E1967" si="88">"Dynamic"</x:f>
        <x:v>Dynamic</x:v>
      </x:c>
      <x:c r="F1910">
        <x:f ca="1">_xll.BDH($B$1910,$C$1910,$B$1010,$B$1011,CONCATENATE("Per=",$B$1008),"Dts=H","Dir=H",CONCATENATE("Points=",$B$1009),"Sort=R","Days=A","Fill=B",CONCATENATE("FX=", $B$1007),"cols=14;rows=1")</x:f>
        <x:v>0</x:v>
      </x:c>
      <x:c r="G1910">
        <x:v>-9.6199999999999992</x:v>
      </x:c>
      <x:c r="H1910">
        <x:v>0</x:v>
      </x:c>
      <x:c r="I1910">
        <x:v>0</x:v>
      </x:c>
      <x:c r="J1910">
        <x:v>-11.7043</x:v>
      </x:c>
      <x:c r="K1910">
        <x:v>-8.3000000000000001E-3</x:v>
      </x:c>
      <x:c r="L1910">
        <x:v>-1.8816999999999999</x:v>
      </x:c>
      <x:c r="M1910">
        <x:v>5.1273999999999997</x:v>
      </x:c>
      <x:c r="N1910">
        <x:v>-1.8884000000000001</x:v>
      </x:c>
      <x:c r="O1910">
        <x:v>-3.7439</x:v>
      </x:c>
      <x:c r="P1910">
        <x:v>-5.1927000000000003</x:v>
      </x:c>
      <x:c r="Q1910">
        <x:v>0</x:v>
      </x:c>
      <x:c r="R1910">
        <x:v>-7.0000000000000001E-3</x:v>
      </x:c>
      <x:c r="S1910">
        <x:v>-1.6093999999999999</x:v>
      </x:c>
      <x:c r="T1910" t="str">
        <x:f>""</x:f>
        <x:v/>
      </x:c>
      <x:c r="U1910" t="str">
        <x:f>""</x:f>
        <x:v/>
      </x:c>
      <x:c r="V1910" t="str">
        <x:f>""</x:f>
        <x:v/>
      </x:c>
      <x:c r="W1910" t="str">
        <x:f>""</x:f>
        <x:v/>
      </x:c>
      <x:c r="X1910" t="str">
        <x:f>""</x:f>
        <x:v/>
      </x:c>
      <x:c r="Y1910" t="str">
        <x:f>""</x:f>
        <x:v/>
      </x:c>
      <x:c r="Z1910" t="str">
        <x:f>""</x:f>
        <x:v/>
      </x:c>
      <x:c r="AA1910" t="str">
        <x:f>""</x:f>
        <x:v/>
      </x:c>
      <x:c r="AB1910" t="str">
        <x:f>""</x:f>
        <x:v/>
      </x:c>
      <x:c r="AC1910" t="str">
        <x:f>""</x:f>
        <x:v/>
      </x:c>
      <x:c r="AD1910" t="str">
        <x:f>""</x:f>
        <x:v/>
      </x:c>
      <x:c r="AE1910" t="str">
        <x:f>""</x:f>
        <x:v/>
      </x:c>
      <x:c r="AF1910" t="str">
        <x:f>""</x:f>
        <x:v/>
      </x:c>
      <x:c r="AG1910" t="str">
        <x:f>""</x:f>
        <x:v/>
      </x:c>
    </x:row>
    <x:row r="1911" spans="2:33" x14ac:dyDescent="0.25">
      <x:c r="B1911" t="str">
        <x:f>"BLCN US Equity"</x:f>
        <x:v>BLCN US Equity</x:v>
      </x:c>
      <x:c r="C1911" t="str">
        <x:f t="shared" si="86"/>
        <x:v>FD447</x:v>
      </x:c>
      <x:c r="D1911" t="str">
        <x:f t="shared" si="87"/>
        <x:v>FUND_FLOW</x:v>
      </x:c>
      <x:c r="E1911" t="str">
        <x:f t="shared" si="88"/>
        <x:v>Dynamic</x:v>
      </x:c>
      <x:c r="F1911">
        <x:f ca="1">_xll.BDH($B$1911,$C$1911,$B$1010,$B$1011,CONCATENATE("Per=",$B$1008),"Dts=H","Dir=H",CONCATENATE("Points=",$B$1009),"Sort=R","Days=A","Fill=B",CONCATENATE("FX=", $B$1007),"cols=14;rows=1")</x:f>
        <x:v>0</x:v>
      </x:c>
      <x:c r="G1911">
        <x:v>-1.9117999999999999</x:v>
      </x:c>
      <x:c r="H1911">
        <x:v>-2.0291999999999999</x:v>
      </x:c>
      <x:c r="I1911">
        <x:v>0</x:v>
      </x:c>
      <x:c r="J1911">
        <x:v>-2.1743999999999999</x:v>
      </x:c>
      <x:c r="K1911">
        <x:v>-4.7148000000000003</x:v>
      </x:c>
      <x:c r="L1911">
        <x:v>0</x:v>
      </x:c>
      <x:c r="M1911">
        <x:v>0</x:v>
      </x:c>
      <x:c r="N1911">
        <x:v>-5.7449000000000003</x:v>
      </x:c>
      <x:c r="O1911">
        <x:v>-5.4325000000000001</x:v>
      </x:c>
      <x:c r="P1911">
        <x:v>0</x:v>
      </x:c>
      <x:c r="Q1911">
        <x:v>-10.2555</x:v>
      </x:c>
      <x:c r="R1911">
        <x:v>-0.99919999999999998</x:v>
      </x:c>
      <x:c r="S1911">
        <x:v>2.7031999999999998</x:v>
      </x:c>
      <x:c r="T1911" t="str">
        <x:f>""</x:f>
        <x:v/>
      </x:c>
      <x:c r="U1911" t="str">
        <x:f>""</x:f>
        <x:v/>
      </x:c>
      <x:c r="V1911" t="str">
        <x:f>""</x:f>
        <x:v/>
      </x:c>
      <x:c r="W1911" t="str">
        <x:f>""</x:f>
        <x:v/>
      </x:c>
      <x:c r="X1911" t="str">
        <x:f>""</x:f>
        <x:v/>
      </x:c>
      <x:c r="Y1911" t="str">
        <x:f>""</x:f>
        <x:v/>
      </x:c>
      <x:c r="Z1911" t="str">
        <x:f>""</x:f>
        <x:v/>
      </x:c>
      <x:c r="AA1911" t="str">
        <x:f>""</x:f>
        <x:v/>
      </x:c>
      <x:c r="AB1911" t="str">
        <x:f>""</x:f>
        <x:v/>
      </x:c>
      <x:c r="AC1911" t="str">
        <x:f>""</x:f>
        <x:v/>
      </x:c>
      <x:c r="AD1911" t="str">
        <x:f>""</x:f>
        <x:v/>
      </x:c>
      <x:c r="AE1911" t="str">
        <x:f>""</x:f>
        <x:v/>
      </x:c>
      <x:c r="AF1911" t="str">
        <x:f>""</x:f>
        <x:v/>
      </x:c>
      <x:c r="AG1911" t="str">
        <x:f>""</x:f>
        <x:v/>
      </x:c>
    </x:row>
    <x:row r="1912" spans="2:33" x14ac:dyDescent="0.25">
      <x:c r="B1912" t="str">
        <x:f>"BKC US Equity"</x:f>
        <x:v>BKC US Equity</x:v>
      </x:c>
      <x:c r="C1912" t="str">
        <x:f t="shared" si="86"/>
        <x:v>FD447</x:v>
      </x:c>
      <x:c r="D1912" t="str">
        <x:f t="shared" si="87"/>
        <x:v>FUND_FLOW</x:v>
      </x:c>
      <x:c r="E1912" t="str">
        <x:f t="shared" si="88"/>
        <x:v>Dynamic</x:v>
      </x:c>
      <x:c r="F1912" t="str">
        <x:f ca="1">_xll.BDH($B$1912,$C$1912,$B$1010,$B$1011,CONCATENATE("Per=",$B$1008),"Dts=H","Dir=H",CONCATENATE("Points=",$B$1009),"Sort=R","Days=A","Fill=B",CONCATENATE("FX=", $B$1007) )</x:f>
        <x:v/>
      </x:c>
      <x:c r="T1912" t="str">
        <x:f>""</x:f>
        <x:v/>
      </x:c>
      <x:c r="U1912" t="str">
        <x:f>""</x:f>
        <x:v/>
      </x:c>
      <x:c r="V1912" t="str">
        <x:f>""</x:f>
        <x:v/>
      </x:c>
      <x:c r="W1912" t="str">
        <x:f>""</x:f>
        <x:v/>
      </x:c>
      <x:c r="X1912" t="str">
        <x:f>""</x:f>
        <x:v/>
      </x:c>
      <x:c r="Y1912" t="str">
        <x:f>""</x:f>
        <x:v/>
      </x:c>
      <x:c r="Z1912" t="str">
        <x:f>""</x:f>
        <x:v/>
      </x:c>
      <x:c r="AA1912" t="str">
        <x:f>""</x:f>
        <x:v/>
      </x:c>
      <x:c r="AB1912" t="str">
        <x:f>""</x:f>
        <x:v/>
      </x:c>
      <x:c r="AC1912" t="str">
        <x:f>""</x:f>
        <x:v/>
      </x:c>
      <x:c r="AD1912" t="str">
        <x:f>""</x:f>
        <x:v/>
      </x:c>
      <x:c r="AE1912" t="str">
        <x:f>""</x:f>
        <x:v/>
      </x:c>
      <x:c r="AF1912" t="str">
        <x:f>""</x:f>
        <x:v/>
      </x:c>
      <x:c r="AG1912" t="str">
        <x:f>""</x:f>
        <x:v/>
      </x:c>
    </x:row>
    <x:row r="1913" spans="2:33" x14ac:dyDescent="0.25">
      <x:c r="B1913" t="str">
        <x:f>"BKCH US Equity"</x:f>
        <x:v>BKCH US Equity</x:v>
      </x:c>
      <x:c r="C1913" t="str">
        <x:f t="shared" si="86"/>
        <x:v>FD447</x:v>
      </x:c>
      <x:c r="D1913" t="str">
        <x:f t="shared" si="87"/>
        <x:v>FUND_FLOW</x:v>
      </x:c>
      <x:c r="E1913" t="str">
        <x:f t="shared" si="88"/>
        <x:v>Dynamic</x:v>
      </x:c>
      <x:c r="F1913">
        <x:f ca="1">_xll.BDH($B$1913,$C$1913,$B$1010,$B$1011,CONCATENATE("Per=",$B$1008),"Dts=H","Dir=H",CONCATENATE("Points=",$B$1009),"Sort=R","Days=A","Fill=B",CONCATENATE("FX=", $B$1007),"cols=14;rows=1")</x:f>
        <x:v>2.4979</x:v>
      </x:c>
      <x:c r="G1913">
        <x:v>-2.9739</x:v>
      </x:c>
      <x:c r="H1913">
        <x:v>-3.823</x:v>
      </x:c>
      <x:c r="I1913">
        <x:v>3.286</x:v>
      </x:c>
      <x:c r="J1913">
        <x:v>0.30649999999999999</x:v>
      </x:c>
      <x:c r="K1913">
        <x:v>-1.35</x:v>
      </x:c>
      <x:c r="L1913">
        <x:v>1.6276999999999999</x:v>
      </x:c>
      <x:c r="M1913">
        <x:v>-2.5219999999999998</x:v>
      </x:c>
      <x:c r="N1913">
        <x:v>-0.97899999999999998</x:v>
      </x:c>
      <x:c r="O1913">
        <x:v>1.8481000000000001</x:v>
      </x:c>
      <x:c r="P1913">
        <x:v>0.1071</x:v>
      </x:c>
      <x:c r="Q1913">
        <x:v>0</x:v>
      </x:c>
      <x:c r="R1913">
        <x:v>1.0128999999999999</x:v>
      </x:c>
      <x:c r="S1913">
        <x:v>12.4664</x:v>
      </x:c>
      <x:c r="T1913" t="str">
        <x:f>""</x:f>
        <x:v/>
      </x:c>
      <x:c r="U1913" t="str">
        <x:f>""</x:f>
        <x:v/>
      </x:c>
      <x:c r="V1913" t="str">
        <x:f>""</x:f>
        <x:v/>
      </x:c>
      <x:c r="W1913" t="str">
        <x:f>""</x:f>
        <x:v/>
      </x:c>
      <x:c r="X1913" t="str">
        <x:f>""</x:f>
        <x:v/>
      </x:c>
      <x:c r="Y1913" t="str">
        <x:f>""</x:f>
        <x:v/>
      </x:c>
      <x:c r="Z1913" t="str">
        <x:f>""</x:f>
        <x:v/>
      </x:c>
      <x:c r="AA1913" t="str">
        <x:f>""</x:f>
        <x:v/>
      </x:c>
      <x:c r="AB1913" t="str">
        <x:f>""</x:f>
        <x:v/>
      </x:c>
      <x:c r="AC1913" t="str">
        <x:f>""</x:f>
        <x:v/>
      </x:c>
      <x:c r="AD1913" t="str">
        <x:f>""</x:f>
        <x:v/>
      </x:c>
      <x:c r="AE1913" t="str">
        <x:f>""</x:f>
        <x:v/>
      </x:c>
      <x:c r="AF1913" t="str">
        <x:f>""</x:f>
        <x:v/>
      </x:c>
      <x:c r="AG1913" t="str">
        <x:f>""</x:f>
        <x:v/>
      </x:c>
    </x:row>
    <x:row r="1914" spans="2:33" x14ac:dyDescent="0.25">
      <x:c r="B1914" t="str">
        <x:f>"BITQ US Equity"</x:f>
        <x:v>BITQ US Equity</x:v>
      </x:c>
      <x:c r="C1914" t="str">
        <x:f t="shared" si="86"/>
        <x:v>FD447</x:v>
      </x:c>
      <x:c r="D1914" t="str">
        <x:f t="shared" si="87"/>
        <x:v>FUND_FLOW</x:v>
      </x:c>
      <x:c r="E1914" t="str">
        <x:f t="shared" si="88"/>
        <x:v>Dynamic</x:v>
      </x:c>
      <x:c r="F1914">
        <x:f ca="1">_xll.BDH($B$1914,$C$1914,$B$1010,$B$1011,CONCATENATE("Per=",$B$1008),"Dts=H","Dir=H",CONCATENATE("Points=",$B$1009),"Sort=R","Days=A","Fill=B",CONCATENATE("FX=", $B$1007),"cols=14;rows=1")</x:f>
        <x:v>0.34429999999999999</x:v>
      </x:c>
      <x:c r="G1914">
        <x:v>0.82130000000000003</x:v>
      </x:c>
      <x:c r="H1914">
        <x:v>-1.4259999999999999</x:v>
      </x:c>
      <x:c r="I1914">
        <x:v>4.0970000000000004</x:v>
      </x:c>
      <x:c r="J1914">
        <x:v>0.188</x:v>
      </x:c>
      <x:c r="K1914">
        <x:v>0.76500000000000001</x:v>
      </x:c>
      <x:c r="L1914">
        <x:v>1.1067</x:v>
      </x:c>
      <x:c r="M1914">
        <x:v>0.53349999999999997</x:v>
      </x:c>
      <x:c r="N1914">
        <x:v>2.2863000000000002</x:v>
      </x:c>
      <x:c r="O1914">
        <x:v>0.19700000000000001</x:v>
      </x:c>
      <x:c r="P1914">
        <x:v>-1.9410000000000001</x:v>
      </x:c>
      <x:c r="Q1914">
        <x:v>-0.85799999999999998</x:v>
      </x:c>
      <x:c r="R1914">
        <x:v>4.226</x:v>
      </x:c>
      <x:c r="S1914">
        <x:v>1.8205</x:v>
      </x:c>
      <x:c r="T1914" t="str">
        <x:f>""</x:f>
        <x:v/>
      </x:c>
      <x:c r="U1914" t="str">
        <x:f>""</x:f>
        <x:v/>
      </x:c>
      <x:c r="V1914" t="str">
        <x:f>""</x:f>
        <x:v/>
      </x:c>
      <x:c r="W1914" t="str">
        <x:f>""</x:f>
        <x:v/>
      </x:c>
      <x:c r="X1914" t="str">
        <x:f>""</x:f>
        <x:v/>
      </x:c>
      <x:c r="Y1914" t="str">
        <x:f>""</x:f>
        <x:v/>
      </x:c>
      <x:c r="Z1914" t="str">
        <x:f>""</x:f>
        <x:v/>
      </x:c>
      <x:c r="AA1914" t="str">
        <x:f>""</x:f>
        <x:v/>
      </x:c>
      <x:c r="AB1914" t="str">
        <x:f>""</x:f>
        <x:v/>
      </x:c>
      <x:c r="AC1914" t="str">
        <x:f>""</x:f>
        <x:v/>
      </x:c>
      <x:c r="AD1914" t="str">
        <x:f>""</x:f>
        <x:v/>
      </x:c>
      <x:c r="AE1914" t="str">
        <x:f>""</x:f>
        <x:v/>
      </x:c>
      <x:c r="AF1914" t="str">
        <x:f>""</x:f>
        <x:v/>
      </x:c>
      <x:c r="AG1914" t="str">
        <x:f>""</x:f>
        <x:v/>
      </x:c>
    </x:row>
    <x:row r="1915" spans="2:33" x14ac:dyDescent="0.25">
      <x:c r="B1915" t="str">
        <x:f>"DAPP US Equity"</x:f>
        <x:v>DAPP US Equity</x:v>
      </x:c>
      <x:c r="C1915" t="str">
        <x:f t="shared" si="86"/>
        <x:v>FD447</x:v>
      </x:c>
      <x:c r="D1915" t="str">
        <x:f t="shared" si="87"/>
        <x:v>FUND_FLOW</x:v>
      </x:c>
      <x:c r="E1915" t="str">
        <x:f t="shared" si="88"/>
        <x:v>Dynamic</x:v>
      </x:c>
      <x:c r="F1915">
        <x:f ca="1">_xll.BDH($B$1915,$C$1915,$B$1010,$B$1011,CONCATENATE("Per=",$B$1008),"Dts=H","Dir=H",CONCATENATE("Points=",$B$1009),"Sort=R","Days=A","Fill=B",CONCATENATE("FX=", $B$1007),"cols=14;rows=1")</x:f>
        <x:v>0.13930000000000001</x:v>
      </x:c>
      <x:c r="G1915">
        <x:v>3.7559</x:v>
      </x:c>
      <x:c r="H1915">
        <x:v>-2.4472</x:v>
      </x:c>
      <x:c r="I1915">
        <x:v>6.9401000000000002</x:v>
      </x:c>
      <x:c r="J1915">
        <x:v>2.5834999999999999</x:v>
      </x:c>
      <x:c r="K1915">
        <x:v>0.54059999999999997</x:v>
      </x:c>
      <x:c r="L1915">
        <x:v>0</x:v>
      </x:c>
      <x:c r="M1915">
        <x:v>-1.0366</x:v>
      </x:c>
      <x:c r="N1915">
        <x:v>0</x:v>
      </x:c>
      <x:c r="O1915">
        <x:v>0</x:v>
      </x:c>
      <x:c r="P1915">
        <x:v>7.6200000000000004E-2</x:v>
      </x:c>
      <x:c r="Q1915">
        <x:v>1.0673999999999999</x:v>
      </x:c>
      <x:c r="R1915">
        <x:v>0.73199999999999998</x:v>
      </x:c>
      <x:c r="S1915">
        <x:v>0.77529999999999999</x:v>
      </x:c>
      <x:c r="T1915" t="str">
        <x:f>""</x:f>
        <x:v/>
      </x:c>
      <x:c r="U1915" t="str">
        <x:f>""</x:f>
        <x:v/>
      </x:c>
      <x:c r="V1915" t="str">
        <x:f>""</x:f>
        <x:v/>
      </x:c>
      <x:c r="W1915" t="str">
        <x:f>""</x:f>
        <x:v/>
      </x:c>
      <x:c r="X1915" t="str">
        <x:f>""</x:f>
        <x:v/>
      </x:c>
      <x:c r="Y1915" t="str">
        <x:f>""</x:f>
        <x:v/>
      </x:c>
      <x:c r="Z1915" t="str">
        <x:f>""</x:f>
        <x:v/>
      </x:c>
      <x:c r="AA1915" t="str">
        <x:f>""</x:f>
        <x:v/>
      </x:c>
      <x:c r="AB1915" t="str">
        <x:f>""</x:f>
        <x:v/>
      </x:c>
      <x:c r="AC1915" t="str">
        <x:f>""</x:f>
        <x:v/>
      </x:c>
      <x:c r="AD1915" t="str">
        <x:f>""</x:f>
        <x:v/>
      </x:c>
      <x:c r="AE1915" t="str">
        <x:f>""</x:f>
        <x:v/>
      </x:c>
      <x:c r="AF1915" t="str">
        <x:f>""</x:f>
        <x:v/>
      </x:c>
      <x:c r="AG1915" t="str">
        <x:f>""</x:f>
        <x:v/>
      </x:c>
    </x:row>
    <x:row r="1916" spans="2:33" x14ac:dyDescent="0.25">
      <x:c r="B1916" t="str">
        <x:f>"CRPT US Equity"</x:f>
        <x:v>CRPT US Equity</x:v>
      </x:c>
      <x:c r="C1916" t="str">
        <x:f t="shared" si="86"/>
        <x:v>FD447</x:v>
      </x:c>
      <x:c r="D1916" t="str">
        <x:f t="shared" si="87"/>
        <x:v>FUND_FLOW</x:v>
      </x:c>
      <x:c r="E1916" t="str">
        <x:f t="shared" si="88"/>
        <x:v>Dynamic</x:v>
      </x:c>
      <x:c r="F1916">
        <x:f ca="1">_xll.BDH($B$1916,$C$1916,$B$1010,$B$1011,CONCATENATE("Per=",$B$1008),"Dts=H","Dir=H",CONCATENATE("Points=",$B$1009),"Sort=R","Days=A","Fill=B",CONCATENATE("FX=", $B$1007),"cols=14;rows=1")</x:f>
        <x:v>0</x:v>
      </x:c>
      <x:c r="G1916">
        <x:v>0</x:v>
      </x:c>
      <x:c r="H1916">
        <x:v>0</x:v>
      </x:c>
      <x:c r="I1916">
        <x:v>0.371</x:v>
      </x:c>
      <x:c r="J1916">
        <x:v>0</x:v>
      </x:c>
      <x:c r="K1916">
        <x:v>0</x:v>
      </x:c>
      <x:c r="L1916">
        <x:v>-0.96599999999999997</x:v>
      </x:c>
      <x:c r="M1916">
        <x:v>-0.45</x:v>
      </x:c>
      <x:c r="N1916">
        <x:v>-0.46</x:v>
      </x:c>
      <x:c r="O1916">
        <x:v>-1.6559999999999999</x:v>
      </x:c>
      <x:c r="P1916">
        <x:v>0</x:v>
      </x:c>
      <x:c r="Q1916">
        <x:v>0.93679999999999997</x:v>
      </x:c>
      <x:c r="R1916">
        <x:v>-0.88949999999999996</x:v>
      </x:c>
      <x:c r="S1916">
        <x:v>-1.3218000000000001</x:v>
      </x:c>
      <x:c r="T1916" t="str">
        <x:f>""</x:f>
        <x:v/>
      </x:c>
      <x:c r="U1916" t="str">
        <x:f>""</x:f>
        <x:v/>
      </x:c>
      <x:c r="V1916" t="str">
        <x:f>""</x:f>
        <x:v/>
      </x:c>
      <x:c r="W1916" t="str">
        <x:f>""</x:f>
        <x:v/>
      </x:c>
      <x:c r="X1916" t="str">
        <x:f>""</x:f>
        <x:v/>
      </x:c>
      <x:c r="Y1916" t="str">
        <x:f>""</x:f>
        <x:v/>
      </x:c>
      <x:c r="Z1916" t="str">
        <x:f>""</x:f>
        <x:v/>
      </x:c>
      <x:c r="AA1916" t="str">
        <x:f>""</x:f>
        <x:v/>
      </x:c>
      <x:c r="AB1916" t="str">
        <x:f>""</x:f>
        <x:v/>
      </x:c>
      <x:c r="AC1916" t="str">
        <x:f>""</x:f>
        <x:v/>
      </x:c>
      <x:c r="AD1916" t="str">
        <x:f>""</x:f>
        <x:v/>
      </x:c>
      <x:c r="AE1916" t="str">
        <x:f>""</x:f>
        <x:v/>
      </x:c>
      <x:c r="AF1916" t="str">
        <x:f>""</x:f>
        <x:v/>
      </x:c>
      <x:c r="AG1916" t="str">
        <x:f>""</x:f>
        <x:v/>
      </x:c>
    </x:row>
    <x:row r="1917" spans="2:33" x14ac:dyDescent="0.25">
      <x:c r="B1917" t="str">
        <x:f>"BTCR US Equity"</x:f>
        <x:v>BTCR US Equity</x:v>
      </x:c>
      <x:c r="C1917" t="str">
        <x:f t="shared" si="86"/>
        <x:v>FD447</x:v>
      </x:c>
      <x:c r="D1917" t="str">
        <x:f t="shared" si="87"/>
        <x:v>FUND_FLOW</x:v>
      </x:c>
      <x:c r="E1917" t="str">
        <x:f t="shared" si="88"/>
        <x:v>Dynamic</x:v>
      </x:c>
      <x:c r="F1917" t="str">
        <x:f ca="1">_xll.BDH($B$1917,$C$1917,$B$1010,$B$1011,CONCATENATE("Per=",$B$1008),"Dts=H","Dir=H",CONCATENATE("Points=",$B$1009),"Sort=R","Days=A","Fill=B",CONCATENATE("FX=", $B$1007),"cols=14;rows=1")</x:f>
        <x:v/>
      </x:c>
      <x:c r="O1917">
        <x:v>0</x:v>
      </x:c>
      <x:c r="P1917">
        <x:v>0</x:v>
      </x:c>
      <x:c r="Q1917">
        <x:v>0</x:v>
      </x:c>
      <x:c r="R1917">
        <x:v>0</x:v>
      </x:c>
      <x:c r="S1917">
        <x:v>0</x:v>
      </x:c>
      <x:c r="T1917" t="str">
        <x:f>""</x:f>
        <x:v/>
      </x:c>
      <x:c r="U1917" t="str">
        <x:f>""</x:f>
        <x:v/>
      </x:c>
      <x:c r="V1917" t="str">
        <x:f>""</x:f>
        <x:v/>
      </x:c>
      <x:c r="W1917" t="str">
        <x:f>""</x:f>
        <x:v/>
      </x:c>
      <x:c r="X1917" t="str">
        <x:f>""</x:f>
        <x:v/>
      </x:c>
      <x:c r="Y1917" t="str">
        <x:f>""</x:f>
        <x:v/>
      </x:c>
      <x:c r="Z1917" t="str">
        <x:f>""</x:f>
        <x:v/>
      </x:c>
      <x:c r="AA1917" t="str">
        <x:f>""</x:f>
        <x:v/>
      </x:c>
      <x:c r="AB1917" t="str">
        <x:f>""</x:f>
        <x:v/>
      </x:c>
      <x:c r="AC1917" t="str">
        <x:f>""</x:f>
        <x:v/>
      </x:c>
      <x:c r="AD1917" t="str">
        <x:f>""</x:f>
        <x:v/>
      </x:c>
      <x:c r="AE1917" t="str">
        <x:f>""</x:f>
        <x:v/>
      </x:c>
      <x:c r="AF1917" t="str">
        <x:f>""</x:f>
        <x:v/>
      </x:c>
      <x:c r="AG1917" t="str">
        <x:f>""</x:f>
        <x:v/>
      </x:c>
    </x:row>
    <x:row r="1918" spans="2:33" x14ac:dyDescent="0.25">
      <x:c r="B1918" t="str">
        <x:f>"RIGZ US Equity"</x:f>
        <x:v>RIGZ US Equity</x:v>
      </x:c>
      <x:c r="C1918" t="str">
        <x:f t="shared" si="86"/>
        <x:v>FD447</x:v>
      </x:c>
      <x:c r="D1918" t="str">
        <x:f t="shared" si="87"/>
        <x:v>FUND_FLOW</x:v>
      </x:c>
      <x:c r="E1918" t="str">
        <x:f t="shared" si="88"/>
        <x:v>Dynamic</x:v>
      </x:c>
      <x:c r="F1918" t="str">
        <x:f ca="1">_xll.BDH($B$1918,$C$1918,$B$1010,$B$1011,CONCATENATE("Per=",$B$1008),"Dts=H","Dir=H",CONCATENATE("Points=",$B$1009),"Sort=R","Days=A","Fill=B",CONCATENATE("FX=", $B$1007),"cols=14;rows=1")</x:f>
        <x:v/>
      </x:c>
      <x:c r="O1918">
        <x:v>0</x:v>
      </x:c>
      <x:c r="P1918">
        <x:v>0</x:v>
      </x:c>
      <x:c r="Q1918">
        <x:v>-0.1275</x:v>
      </x:c>
      <x:c r="R1918">
        <x:v>0</x:v>
      </x:c>
      <x:c r="S1918">
        <x:v>0</x:v>
      </x:c>
      <x:c r="T1918" t="str">
        <x:f>""</x:f>
        <x:v/>
      </x:c>
      <x:c r="U1918" t="str">
        <x:f>""</x:f>
        <x:v/>
      </x:c>
      <x:c r="V1918" t="str">
        <x:f>""</x:f>
        <x:v/>
      </x:c>
      <x:c r="W1918" t="str">
        <x:f>""</x:f>
        <x:v/>
      </x:c>
      <x:c r="X1918" t="str">
        <x:f>""</x:f>
        <x:v/>
      </x:c>
      <x:c r="Y1918" t="str">
        <x:f>""</x:f>
        <x:v/>
      </x:c>
      <x:c r="Z1918" t="str">
        <x:f>""</x:f>
        <x:v/>
      </x:c>
      <x:c r="AA1918" t="str">
        <x:f>""</x:f>
        <x:v/>
      </x:c>
      <x:c r="AB1918" t="str">
        <x:f>""</x:f>
        <x:v/>
      </x:c>
      <x:c r="AC1918" t="str">
        <x:f>""</x:f>
        <x:v/>
      </x:c>
      <x:c r="AD1918" t="str">
        <x:f>""</x:f>
        <x:v/>
      </x:c>
      <x:c r="AE1918" t="str">
        <x:f>""</x:f>
        <x:v/>
      </x:c>
      <x:c r="AF1918" t="str">
        <x:f>""</x:f>
        <x:v/>
      </x:c>
      <x:c r="AG1918" t="str">
        <x:f>""</x:f>
        <x:v/>
      </x:c>
    </x:row>
    <x:row r="1919" spans="2:33" x14ac:dyDescent="0.25">
      <x:c r="B1919" t="str">
        <x:f>"BLKC US Equity"</x:f>
        <x:v>BLKC US Equity</x:v>
      </x:c>
      <x:c r="C1919" t="str">
        <x:f t="shared" si="86"/>
        <x:v>FD447</x:v>
      </x:c>
      <x:c r="D1919" t="str">
        <x:f t="shared" si="87"/>
        <x:v>FUND_FLOW</x:v>
      </x:c>
      <x:c r="E1919" t="str">
        <x:f t="shared" si="88"/>
        <x:v>Dynamic</x:v>
      </x:c>
      <x:c r="F1919">
        <x:f ca="1">_xll.BDH($B$1919,$C$1919,$B$1010,$B$1011,CONCATENATE("Per=",$B$1008),"Dts=H","Dir=H",CONCATENATE("Points=",$B$1009),"Sort=R","Days=A","Fill=B",CONCATENATE("FX=", $B$1007),"cols=14;rows=1")</x:f>
        <x:v>0</x:v>
      </x:c>
      <x:c r="G1919">
        <x:v>0</x:v>
      </x:c>
      <x:c r="H1919">
        <x:v>0</x:v>
      </x:c>
      <x:c r="I1919">
        <x:v>0</x:v>
      </x:c>
      <x:c r="J1919">
        <x:v>0</x:v>
      </x:c>
      <x:c r="K1919">
        <x:v>0</x:v>
      </x:c>
      <x:c r="L1919">
        <x:v>0</x:v>
      </x:c>
      <x:c r="M1919">
        <x:v>0</x:v>
      </x:c>
      <x:c r="N1919">
        <x:v>0</x:v>
      </x:c>
      <x:c r="O1919">
        <x:v>0</x:v>
      </x:c>
      <x:c r="P1919">
        <x:v>0</x:v>
      </x:c>
      <x:c r="Q1919">
        <x:v>0</x:v>
      </x:c>
      <x:c r="R1919">
        <x:v>0</x:v>
      </x:c>
      <x:c r="S1919">
        <x:v>0</x:v>
      </x:c>
      <x:c r="T1919" t="str">
        <x:f>""</x:f>
        <x:v/>
      </x:c>
      <x:c r="U1919" t="str">
        <x:f>""</x:f>
        <x:v/>
      </x:c>
      <x:c r="V1919" t="str">
        <x:f>""</x:f>
        <x:v/>
      </x:c>
      <x:c r="W1919" t="str">
        <x:f>""</x:f>
        <x:v/>
      </x:c>
      <x:c r="X1919" t="str">
        <x:f>""</x:f>
        <x:v/>
      </x:c>
      <x:c r="Y1919" t="str">
        <x:f>""</x:f>
        <x:v/>
      </x:c>
      <x:c r="Z1919" t="str">
        <x:f>""</x:f>
        <x:v/>
      </x:c>
      <x:c r="AA1919" t="str">
        <x:f>""</x:f>
        <x:v/>
      </x:c>
      <x:c r="AB1919" t="str">
        <x:f>""</x:f>
        <x:v/>
      </x:c>
      <x:c r="AC1919" t="str">
        <x:f>""</x:f>
        <x:v/>
      </x:c>
      <x:c r="AD1919" t="str">
        <x:f>""</x:f>
        <x:v/>
      </x:c>
      <x:c r="AE1919" t="str">
        <x:f>""</x:f>
        <x:v/>
      </x:c>
      <x:c r="AF1919" t="str">
        <x:f>""</x:f>
        <x:v/>
      </x:c>
      <x:c r="AG1919" t="str">
        <x:f>""</x:f>
        <x:v/>
      </x:c>
    </x:row>
    <x:row r="1920" spans="2:33" x14ac:dyDescent="0.25">
      <x:c r="B1920" t="str">
        <x:f>"BITS US Equity"</x:f>
        <x:v>BITS US Equity</x:v>
      </x:c>
      <x:c r="C1920" t="str">
        <x:f t="shared" si="86"/>
        <x:v>FD447</x:v>
      </x:c>
      <x:c r="D1920" t="str">
        <x:f t="shared" si="87"/>
        <x:v>FUND_FLOW</x:v>
      </x:c>
      <x:c r="E1920" t="str">
        <x:f t="shared" si="88"/>
        <x:v>Dynamic</x:v>
      </x:c>
      <x:c r="F1920">
        <x:f ca="1">_xll.BDH($B$1920,$C$1920,$B$1010,$B$1011,CONCATENATE("Per=",$B$1008),"Dts=H","Dir=H",CONCATENATE("Points=",$B$1009),"Sort=R","Days=A","Fill=B",CONCATENATE("FX=", $B$1007),"cols=14;rows=1")</x:f>
        <x:v>0.3795</x:v>
      </x:c>
      <x:c r="G1920">
        <x:v>-0.34250000000000003</x:v>
      </x:c>
      <x:c r="H1920">
        <x:v>0</x:v>
      </x:c>
      <x:c r="I1920">
        <x:v>1.41E-2</x:v>
      </x:c>
      <x:c r="J1920">
        <x:v>0.7954</x:v>
      </x:c>
      <x:c r="K1920">
        <x:v>0</x:v>
      </x:c>
      <x:c r="L1920">
        <x:v>0</x:v>
      </x:c>
      <x:c r="M1920">
        <x:v>-0.27629999999999999</x:v>
      </x:c>
      <x:c r="N1920">
        <x:v>0</x:v>
      </x:c>
      <x:c r="O1920">
        <x:v>-7.6E-3</x:v>
      </x:c>
      <x:c r="P1920">
        <x:v>0.1943</x:v>
      </x:c>
      <x:c r="Q1920">
        <x:v>1.2577</x:v>
      </x:c>
      <x:c r="R1920">
        <x:v>0.14280000000000001</x:v>
      </x:c>
      <x:c r="S1920">
        <x:v>0</x:v>
      </x:c>
      <x:c r="T1920" t="str">
        <x:f>""</x:f>
        <x:v/>
      </x:c>
      <x:c r="U1920" t="str">
        <x:f>""</x:f>
        <x:v/>
      </x:c>
      <x:c r="V1920" t="str">
        <x:f>""</x:f>
        <x:v/>
      </x:c>
      <x:c r="W1920" t="str">
        <x:f>""</x:f>
        <x:v/>
      </x:c>
      <x:c r="X1920" t="str">
        <x:f>""</x:f>
        <x:v/>
      </x:c>
      <x:c r="Y1920" t="str">
        <x:f>""</x:f>
        <x:v/>
      </x:c>
      <x:c r="Z1920" t="str">
        <x:f>""</x:f>
        <x:v/>
      </x:c>
      <x:c r="AA1920" t="str">
        <x:f>""</x:f>
        <x:v/>
      </x:c>
      <x:c r="AB1920" t="str">
        <x:f>""</x:f>
        <x:v/>
      </x:c>
      <x:c r="AC1920" t="str">
        <x:f>""</x:f>
        <x:v/>
      </x:c>
      <x:c r="AD1920" t="str">
        <x:f>""</x:f>
        <x:v/>
      </x:c>
      <x:c r="AE1920" t="str">
        <x:f>""</x:f>
        <x:v/>
      </x:c>
      <x:c r="AF1920" t="str">
        <x:f>""</x:f>
        <x:v/>
      </x:c>
      <x:c r="AG1920" t="str">
        <x:f>""</x:f>
        <x:v/>
      </x:c>
    </x:row>
    <x:row r="1921" spans="2:33" x14ac:dyDescent="0.25">
      <x:c r="B1921" t="str">
        <x:f>"SATO US Equity"</x:f>
        <x:v>SATO US Equity</x:v>
      </x:c>
      <x:c r="C1921" t="str">
        <x:f t="shared" si="86"/>
        <x:v>FD447</x:v>
      </x:c>
      <x:c r="D1921" t="str">
        <x:f t="shared" si="87"/>
        <x:v>FUND_FLOW</x:v>
      </x:c>
      <x:c r="E1921" t="str">
        <x:f t="shared" si="88"/>
        <x:v>Dynamic</x:v>
      </x:c>
      <x:c r="F1921">
        <x:f ca="1">_xll.BDH($B$1921,$C$1921,$B$1010,$B$1011,CONCATENATE("Per=",$B$1008),"Dts=H","Dir=H",CONCATENATE("Points=",$B$1009),"Sort=R","Days=A","Fill=B",CONCATENATE("FX=", $B$1007),"cols=14;rows=1")</x:f>
        <x:v>0</x:v>
      </x:c>
      <x:c r="G1921">
        <x:v>0.42020000000000002</x:v>
      </x:c>
      <x:c r="H1921">
        <x:v>0</x:v>
      </x:c>
      <x:c r="I1921">
        <x:v>0</x:v>
      </x:c>
      <x:c r="J1921">
        <x:v>0</x:v>
      </x:c>
      <x:c r="K1921">
        <x:v>0</x:v>
      </x:c>
      <x:c r="L1921">
        <x:v>0</x:v>
      </x:c>
      <x:c r="M1921">
        <x:v>0.31469999999999998</x:v>
      </x:c>
      <x:c r="N1921">
        <x:v>0</x:v>
      </x:c>
      <x:c r="O1921">
        <x:v>0</x:v>
      </x:c>
      <x:c r="P1921">
        <x:v>0</x:v>
      </x:c>
      <x:c r="Q1921">
        <x:v>0</x:v>
      </x:c>
      <x:c r="R1921">
        <x:v>0</x:v>
      </x:c>
      <x:c r="S1921">
        <x:v>0</x:v>
      </x:c>
      <x:c r="T1921" t="str">
        <x:f>""</x:f>
        <x:v/>
      </x:c>
      <x:c r="U1921" t="str">
        <x:f>""</x:f>
        <x:v/>
      </x:c>
      <x:c r="V1921" t="str">
        <x:f>""</x:f>
        <x:v/>
      </x:c>
      <x:c r="W1921" t="str">
        <x:f>""</x:f>
        <x:v/>
      </x:c>
      <x:c r="X1921" t="str">
        <x:f>""</x:f>
        <x:v/>
      </x:c>
      <x:c r="Y1921" t="str">
        <x:f>""</x:f>
        <x:v/>
      </x:c>
      <x:c r="Z1921" t="str">
        <x:f>""</x:f>
        <x:v/>
      </x:c>
      <x:c r="AA1921" t="str">
        <x:f>""</x:f>
        <x:v/>
      </x:c>
      <x:c r="AB1921" t="str">
        <x:f>""</x:f>
        <x:v/>
      </x:c>
      <x:c r="AC1921" t="str">
        <x:f>""</x:f>
        <x:v/>
      </x:c>
      <x:c r="AD1921" t="str">
        <x:f>""</x:f>
        <x:v/>
      </x:c>
      <x:c r="AE1921" t="str">
        <x:f>""</x:f>
        <x:v/>
      </x:c>
      <x:c r="AF1921" t="str">
        <x:f>""</x:f>
        <x:v/>
      </x:c>
      <x:c r="AG1921" t="str">
        <x:f>""</x:f>
        <x:v/>
      </x:c>
    </x:row>
    <x:row r="1922" spans="2:33" x14ac:dyDescent="0.25">
      <x:c r="B1922" t="str">
        <x:f>"NFTZ US Equity"</x:f>
        <x:v>NFTZ US Equity</x:v>
      </x:c>
      <x:c r="C1922" t="str">
        <x:f t="shared" si="86"/>
        <x:v>FD447</x:v>
      </x:c>
      <x:c r="D1922" t="str">
        <x:f t="shared" si="87"/>
        <x:v>FUND_FLOW</x:v>
      </x:c>
      <x:c r="E1922" t="str">
        <x:f t="shared" si="88"/>
        <x:v>Dynamic</x:v>
      </x:c>
      <x:c r="F1922" t="str">
        <x:f ca="1">_xll.BDH($B$1922,$C$1922,$B$1010,$B$1011,CONCATENATE("Per=",$B$1008),"Dts=H","Dir=H",CONCATENATE("Points=",$B$1009),"Sort=R","Days=A","Fill=B",CONCATENATE("FX=", $B$1007),"cols=14;rows=1")</x:f>
        <x:v/>
      </x:c>
      <x:c r="N1922">
        <x:v>0</x:v>
      </x:c>
      <x:c r="O1922">
        <x:v>-0.70409999999999995</x:v>
      </x:c>
      <x:c r="P1922">
        <x:v>0</x:v>
      </x:c>
      <x:c r="Q1922">
        <x:v>0</x:v>
      </x:c>
      <x:c r="R1922">
        <x:v>0</x:v>
      </x:c>
      <x:c r="S1922">
        <x:v>-0.30969999999999998</x:v>
      </x:c>
      <x:c r="T1922" t="str">
        <x:f>""</x:f>
        <x:v/>
      </x:c>
      <x:c r="U1922" t="str">
        <x:f>""</x:f>
        <x:v/>
      </x:c>
      <x:c r="V1922" t="str">
        <x:f>""</x:f>
        <x:v/>
      </x:c>
      <x:c r="W1922" t="str">
        <x:f>""</x:f>
        <x:v/>
      </x:c>
      <x:c r="X1922" t="str">
        <x:f>""</x:f>
        <x:v/>
      </x:c>
      <x:c r="Y1922" t="str">
        <x:f>""</x:f>
        <x:v/>
      </x:c>
      <x:c r="Z1922" t="str">
        <x:f>""</x:f>
        <x:v/>
      </x:c>
      <x:c r="AA1922" t="str">
        <x:f>""</x:f>
        <x:v/>
      </x:c>
      <x:c r="AB1922" t="str">
        <x:f>""</x:f>
        <x:v/>
      </x:c>
      <x:c r="AC1922" t="str">
        <x:f>""</x:f>
        <x:v/>
      </x:c>
      <x:c r="AD1922" t="str">
        <x:f>""</x:f>
        <x:v/>
      </x:c>
      <x:c r="AE1922" t="str">
        <x:f>""</x:f>
        <x:v/>
      </x:c>
      <x:c r="AF1922" t="str">
        <x:f>""</x:f>
        <x:v/>
      </x:c>
      <x:c r="AG1922" t="str">
        <x:f>""</x:f>
        <x:v/>
      </x:c>
    </x:row>
    <x:row r="1923" spans="2:33" x14ac:dyDescent="0.25">
      <x:c r="B1923" t="str">
        <x:f>"WGMI US Equity"</x:f>
        <x:v>WGMI US Equity</x:v>
      </x:c>
      <x:c r="C1923" t="str">
        <x:f t="shared" si="86"/>
        <x:v>FD447</x:v>
      </x:c>
      <x:c r="D1923" t="str">
        <x:f t="shared" si="87"/>
        <x:v>FUND_FLOW</x:v>
      </x:c>
      <x:c r="E1923" t="str">
        <x:f t="shared" si="88"/>
        <x:v>Dynamic</x:v>
      </x:c>
      <x:c r="F1923">
        <x:f ca="1">_xll.BDH($B$1923,$C$1923,$B$1010,$B$1011,CONCATENATE("Per=",$B$1008),"Dts=H","Dir=H",CONCATENATE("Points=",$B$1009),"Sort=R","Days=A","Fill=B",CONCATENATE("FX=", $B$1007),"cols=14;rows=1")</x:f>
        <x:v>5.7916999999999996</x:v>
      </x:c>
      <x:c r="G1923">
        <x:v>-0.55079999999999996</x:v>
      </x:c>
      <x:c r="H1923">
        <x:v>0.26939999999999997</x:v>
      </x:c>
      <x:c r="I1923">
        <x:v>7.4692999999999996</x:v>
      </x:c>
      <x:c r="J1923">
        <x:v>1.8422000000000001</x:v>
      </x:c>
      <x:c r="K1923">
        <x:v>0</x:v>
      </x:c>
      <x:c r="L1923">
        <x:v>2.0089000000000001</x:v>
      </x:c>
      <x:c r="M1923">
        <x:v>0.69369999999999998</x:v>
      </x:c>
      <x:c r="N1923">
        <x:v>1.8753</x:v>
      </x:c>
      <x:c r="O1923">
        <x:v>1.0933999999999999</x:v>
      </x:c>
      <x:c r="P1923">
        <x:v>0</x:v>
      </x:c>
      <x:c r="Q1923">
        <x:v>0</x:v>
      </x:c>
      <x:c r="R1923">
        <x:v>0</x:v>
      </x:c>
      <x:c r="S1923">
        <x:v>0.42709999999999998</x:v>
      </x:c>
      <x:c r="T1923" t="str">
        <x:f>""</x:f>
        <x:v/>
      </x:c>
      <x:c r="U1923" t="str">
        <x:f>""</x:f>
        <x:v/>
      </x:c>
      <x:c r="V1923" t="str">
        <x:f>""</x:f>
        <x:v/>
      </x:c>
      <x:c r="W1923" t="str">
        <x:f>""</x:f>
        <x:v/>
      </x:c>
      <x:c r="X1923" t="str">
        <x:f>""</x:f>
        <x:v/>
      </x:c>
      <x:c r="Y1923" t="str">
        <x:f>""</x:f>
        <x:v/>
      </x:c>
      <x:c r="Z1923" t="str">
        <x:f>""</x:f>
        <x:v/>
      </x:c>
      <x:c r="AA1923" t="str">
        <x:f>""</x:f>
        <x:v/>
      </x:c>
      <x:c r="AB1923" t="str">
        <x:f>""</x:f>
        <x:v/>
      </x:c>
      <x:c r="AC1923" t="str">
        <x:f>""</x:f>
        <x:v/>
      </x:c>
      <x:c r="AD1923" t="str">
        <x:f>""</x:f>
        <x:v/>
      </x:c>
      <x:c r="AE1923" t="str">
        <x:f>""</x:f>
        <x:v/>
      </x:c>
      <x:c r="AF1923" t="str">
        <x:f>""</x:f>
        <x:v/>
      </x:c>
      <x:c r="AG1923" t="str">
        <x:f>""</x:f>
        <x:v/>
      </x:c>
    </x:row>
    <x:row r="1924" spans="2:33" x14ac:dyDescent="0.25">
      <x:c r="B1924" t="str">
        <x:f>"DAM US Equity"</x:f>
        <x:v>DAM US Equity</x:v>
      </x:c>
      <x:c r="C1924" t="str">
        <x:f t="shared" si="86"/>
        <x:v>FD447</x:v>
      </x:c>
      <x:c r="D1924" t="str">
        <x:f t="shared" si="87"/>
        <x:v>FUND_FLOW</x:v>
      </x:c>
      <x:c r="E1924" t="str">
        <x:f t="shared" si="88"/>
        <x:v>Dynamic</x:v>
      </x:c>
      <x:c r="F1924" t="str">
        <x:f ca="1">_xll.BDH($B$1924,$C$1924,$B$1010,$B$1011,CONCATENATE("Per=",$B$1008),"Dts=H","Dir=H",CONCATENATE("Points=",$B$1009),"Sort=R","Days=A","Fill=B",CONCATENATE("FX=", $B$1007),"cols=14;rows=1")</x:f>
        <x:v/>
      </x:c>
      <x:c r="L1924">
        <x:v>0.99370000000000003</x:v>
      </x:c>
      <x:c r="M1924">
        <x:v>0</x:v>
      </x:c>
      <x:c r="N1924">
        <x:v>0</x:v>
      </x:c>
      <x:c r="O1924">
        <x:v>0.25519999999999998</x:v>
      </x:c>
      <x:c r="P1924">
        <x:v>0</x:v>
      </x:c>
      <x:c r="Q1924">
        <x:v>0</x:v>
      </x:c>
      <x:c r="R1924">
        <x:v>0</x:v>
      </x:c>
      <x:c r="S1924">
        <x:v>0</x:v>
      </x:c>
      <x:c r="T1924" t="str">
        <x:f>""</x:f>
        <x:v/>
      </x:c>
      <x:c r="U1924" t="str">
        <x:f>""</x:f>
        <x:v/>
      </x:c>
      <x:c r="V1924" t="str">
        <x:f>""</x:f>
        <x:v/>
      </x:c>
      <x:c r="W1924" t="str">
        <x:f>""</x:f>
        <x:v/>
      </x:c>
      <x:c r="X1924" t="str">
        <x:f>""</x:f>
        <x:v/>
      </x:c>
      <x:c r="Y1924" t="str">
        <x:f>""</x:f>
        <x:v/>
      </x:c>
      <x:c r="Z1924" t="str">
        <x:f>""</x:f>
        <x:v/>
      </x:c>
      <x:c r="AA1924" t="str">
        <x:f>""</x:f>
        <x:v/>
      </x:c>
      <x:c r="AB1924" t="str">
        <x:f>""</x:f>
        <x:v/>
      </x:c>
      <x:c r="AC1924" t="str">
        <x:f>""</x:f>
        <x:v/>
      </x:c>
      <x:c r="AD1924" t="str">
        <x:f>""</x:f>
        <x:v/>
      </x:c>
      <x:c r="AE1924" t="str">
        <x:f>""</x:f>
        <x:v/>
      </x:c>
      <x:c r="AF1924" t="str">
        <x:f>""</x:f>
        <x:v/>
      </x:c>
      <x:c r="AG1924" t="str">
        <x:f>""</x:f>
        <x:v/>
      </x:c>
    </x:row>
    <x:row r="1925" spans="2:33" x14ac:dyDescent="0.25">
      <x:c r="B1925" t="str">
        <x:f>"BCDF US Equity"</x:f>
        <x:v>BCDF US Equity</x:v>
      </x:c>
      <x:c r="C1925" t="str">
        <x:f t="shared" si="86"/>
        <x:v>FD447</x:v>
      </x:c>
      <x:c r="D1925" t="str">
        <x:f t="shared" si="87"/>
        <x:v>FUND_FLOW</x:v>
      </x:c>
      <x:c r="E1925" t="str">
        <x:f t="shared" si="88"/>
        <x:v>Dynamic</x:v>
      </x:c>
      <x:c r="F1925">
        <x:f ca="1">_xll.BDH($B$1925,$C$1925,$B$1010,$B$1011,CONCATENATE("Per=",$B$1008),"Dts=H","Dir=H",CONCATENATE("Points=",$B$1009),"Sort=R","Days=A","Fill=B",CONCATENATE("FX=", $B$1007),"cols=14;rows=1")</x:f>
        <x:v>0.52829999999999999</x:v>
      </x:c>
      <x:c r="G1925">
        <x:v>0</x:v>
      </x:c>
      <x:c r="H1925">
        <x:v>0</x:v>
      </x:c>
      <x:c r="I1925">
        <x:v>0.55730000000000002</x:v>
      </x:c>
      <x:c r="J1925">
        <x:v>0</x:v>
      </x:c>
      <x:c r="K1925">
        <x:v>0</x:v>
      </x:c>
      <x:c r="L1925">
        <x:v>0</x:v>
      </x:c>
      <x:c r="M1925">
        <x:v>0.50619999999999998</x:v>
      </x:c>
      <x:c r="N1925">
        <x:v>0</x:v>
      </x:c>
      <x:c r="O1925">
        <x:v>0</x:v>
      </x:c>
      <x:c r="P1925">
        <x:v>0</x:v>
      </x:c>
      <x:c r="Q1925">
        <x:v>0</x:v>
      </x:c>
      <x:c r="R1925">
        <x:v>0</x:v>
      </x:c>
      <x:c r="S1925">
        <x:v>0.55489999999999995</x:v>
      </x:c>
      <x:c r="T1925" t="str">
        <x:f>""</x:f>
        <x:v/>
      </x:c>
      <x:c r="U1925" t="str">
        <x:f>""</x:f>
        <x:v/>
      </x:c>
      <x:c r="V1925" t="str">
        <x:f>""</x:f>
        <x:v/>
      </x:c>
      <x:c r="W1925" t="str">
        <x:f>""</x:f>
        <x:v/>
      </x:c>
      <x:c r="X1925" t="str">
        <x:f>""</x:f>
        <x:v/>
      </x:c>
      <x:c r="Y1925" t="str">
        <x:f>""</x:f>
        <x:v/>
      </x:c>
      <x:c r="Z1925" t="str">
        <x:f>""</x:f>
        <x:v/>
      </x:c>
      <x:c r="AA1925" t="str">
        <x:f>""</x:f>
        <x:v/>
      </x:c>
      <x:c r="AB1925" t="str">
        <x:f>""</x:f>
        <x:v/>
      </x:c>
      <x:c r="AC1925" t="str">
        <x:f>""</x:f>
        <x:v/>
      </x:c>
      <x:c r="AD1925" t="str">
        <x:f>""</x:f>
        <x:v/>
      </x:c>
      <x:c r="AE1925" t="str">
        <x:f>""</x:f>
        <x:v/>
      </x:c>
      <x:c r="AF1925" t="str">
        <x:f>""</x:f>
        <x:v/>
      </x:c>
      <x:c r="AG1925" t="str">
        <x:f>""</x:f>
        <x:v/>
      </x:c>
    </x:row>
    <x:row r="1926" spans="2:33" x14ac:dyDescent="0.25">
      <x:c r="B1926" t="str">
        <x:f>"IBLC US Equity"</x:f>
        <x:v>IBLC US Equity</x:v>
      </x:c>
      <x:c r="C1926" t="str">
        <x:f t="shared" si="86"/>
        <x:v>FD447</x:v>
      </x:c>
      <x:c r="D1926" t="str">
        <x:f t="shared" si="87"/>
        <x:v>FUND_FLOW</x:v>
      </x:c>
      <x:c r="E1926" t="str">
        <x:f t="shared" si="88"/>
        <x:v>Dynamic</x:v>
      </x:c>
      <x:c r="F1926">
        <x:f ca="1">_xll.BDH($B$1926,$C$1926,$B$1010,$B$1011,CONCATENATE("Per=",$B$1008),"Dts=H","Dir=H",CONCATENATE("Points=",$B$1009),"Sort=R","Days=A","Fill=B",CONCATENATE("FX=", $B$1007),"cols=14;rows=1")</x:f>
        <x:v>0.75719999999999998</x:v>
      </x:c>
      <x:c r="G1926">
        <x:v>0</x:v>
      </x:c>
      <x:c r="H1926">
        <x:v>1.1576</x:v>
      </x:c>
      <x:c r="I1926">
        <x:v>0</x:v>
      </x:c>
      <x:c r="J1926">
        <x:v>0</x:v>
      </x:c>
      <x:c r="K1926">
        <x:v>0</x:v>
      </x:c>
      <x:c r="L1926">
        <x:v>0</x:v>
      </x:c>
      <x:c r="M1926">
        <x:v>0</x:v>
      </x:c>
      <x:c r="N1926">
        <x:v>0</x:v>
      </x:c>
      <x:c r="O1926">
        <x:v>0</x:v>
      </x:c>
      <x:c r="P1926">
        <x:v>0</x:v>
      </x:c>
      <x:c r="Q1926">
        <x:v>0</x:v>
      </x:c>
      <x:c r="R1926">
        <x:v>0</x:v>
      </x:c>
      <x:c r="S1926">
        <x:v>0</x:v>
      </x:c>
      <x:c r="T1926" t="str">
        <x:f>""</x:f>
        <x:v/>
      </x:c>
      <x:c r="U1926" t="str">
        <x:f>""</x:f>
        <x:v/>
      </x:c>
      <x:c r="V1926" t="str">
        <x:f>""</x:f>
        <x:v/>
      </x:c>
      <x:c r="W1926" t="str">
        <x:f>""</x:f>
        <x:v/>
      </x:c>
      <x:c r="X1926" t="str">
        <x:f>""</x:f>
        <x:v/>
      </x:c>
      <x:c r="Y1926" t="str">
        <x:f>""</x:f>
        <x:v/>
      </x:c>
      <x:c r="Z1926" t="str">
        <x:f>""</x:f>
        <x:v/>
      </x:c>
      <x:c r="AA1926" t="str">
        <x:f>""</x:f>
        <x:v/>
      </x:c>
      <x:c r="AB1926" t="str">
        <x:f>""</x:f>
        <x:v/>
      </x:c>
      <x:c r="AC1926" t="str">
        <x:f>""</x:f>
        <x:v/>
      </x:c>
      <x:c r="AD1926" t="str">
        <x:f>""</x:f>
        <x:v/>
      </x:c>
      <x:c r="AE1926" t="str">
        <x:f>""</x:f>
        <x:v/>
      </x:c>
      <x:c r="AF1926" t="str">
        <x:f>""</x:f>
        <x:v/>
      </x:c>
      <x:c r="AG1926" t="str">
        <x:f>""</x:f>
        <x:v/>
      </x:c>
    </x:row>
    <x:row r="1927" spans="2:33" x14ac:dyDescent="0.25">
      <x:c r="B1927" t="str">
        <x:f>"BLOK US Equity"</x:f>
        <x:v>BLOK US Equity</x:v>
      </x:c>
      <x:c r="C1927" t="str">
        <x:f t="shared" si="86"/>
        <x:v>FD447</x:v>
      </x:c>
      <x:c r="D1927" t="str">
        <x:f t="shared" si="87"/>
        <x:v>FUND_FLOW</x:v>
      </x:c>
      <x:c r="E1927" t="str">
        <x:f t="shared" si="88"/>
        <x:v>Dynamic</x:v>
      </x:c>
      <x:c r="F1927">
        <x:f ca="1">_xll.BDH($B$1927,$C$1927,$B$1010,$B$1011,CONCATENATE("Per=",$B$1008),"Dts=H","Dir=H",CONCATENATE("Points=",$B$1009),"Sort=R","Days=A","Fill=B",CONCATENATE("FX=", $B$1007),"cols=14;rows=1")</x:f>
        <x:v>-21.8734</x:v>
      </x:c>
      <x:c r="G1927">
        <x:v>-2.1354000000000002</x:v>
      </x:c>
      <x:c r="H1927">
        <x:v>-17.7624</x:v>
      </x:c>
      <x:c r="I1927">
        <x:v>2.4885999999999999</x:v>
      </x:c>
      <x:c r="J1927">
        <x:v>-5.3818000000000001</x:v>
      </x:c>
      <x:c r="K1927">
        <x:v>-5.7805999999999997</x:v>
      </x:c>
      <x:c r="L1927">
        <x:v>0</x:v>
      </x:c>
      <x:c r="M1927">
        <x:v>-1.8616999999999999</x:v>
      </x:c>
      <x:c r="N1927">
        <x:v>-2.4708000000000001</x:v>
      </x:c>
      <x:c r="O1927">
        <x:v>0.52210000000000001</x:v>
      </x:c>
      <x:c r="P1927">
        <x:v>-15.774800000000001</x:v>
      </x:c>
      <x:c r="Q1927">
        <x:v>-39.752800000000001</x:v>
      </x:c>
      <x:c r="R1927">
        <x:v>-0.92669999999999997</x:v>
      </x:c>
      <x:c r="S1927">
        <x:v>-12.642099999999999</x:v>
      </x:c>
      <x:c r="T1927" t="str">
        <x:f>""</x:f>
        <x:v/>
      </x:c>
      <x:c r="U1927" t="str">
        <x:f>""</x:f>
        <x:v/>
      </x:c>
      <x:c r="V1927" t="str">
        <x:f>""</x:f>
        <x:v/>
      </x:c>
      <x:c r="W1927" t="str">
        <x:f>""</x:f>
        <x:v/>
      </x:c>
      <x:c r="X1927" t="str">
        <x:f>""</x:f>
        <x:v/>
      </x:c>
      <x:c r="Y1927" t="str">
        <x:f>""</x:f>
        <x:v/>
      </x:c>
      <x:c r="Z1927" t="str">
        <x:f>""</x:f>
        <x:v/>
      </x:c>
      <x:c r="AA1927" t="str">
        <x:f>""</x:f>
        <x:v/>
      </x:c>
      <x:c r="AB1927" t="str">
        <x:f>""</x:f>
        <x:v/>
      </x:c>
      <x:c r="AC1927" t="str">
        <x:f>""</x:f>
        <x:v/>
      </x:c>
      <x:c r="AD1927" t="str">
        <x:f>""</x:f>
        <x:v/>
      </x:c>
      <x:c r="AE1927" t="str">
        <x:f>""</x:f>
        <x:v/>
      </x:c>
      <x:c r="AF1927" t="str">
        <x:f>""</x:f>
        <x:v/>
      </x:c>
      <x:c r="AG1927" t="str">
        <x:f>""</x:f>
        <x:v/>
      </x:c>
    </x:row>
    <x:row r="1928" spans="2:33" x14ac:dyDescent="0.25">
      <x:c r="B1928" t="str">
        <x:f>"FDIG US Equity"</x:f>
        <x:v>FDIG US Equity</x:v>
      </x:c>
      <x:c r="C1928" t="str">
        <x:f t="shared" si="86"/>
        <x:v>FD447</x:v>
      </x:c>
      <x:c r="D1928" t="str">
        <x:f t="shared" si="87"/>
        <x:v>FUND_FLOW</x:v>
      </x:c>
      <x:c r="E1928" t="str">
        <x:f t="shared" si="88"/>
        <x:v>Dynamic</x:v>
      </x:c>
      <x:c r="F1928">
        <x:f ca="1">_xll.BDH($B$1928,$C$1928,$B$1010,$B$1011,CONCATENATE("Per=",$B$1008),"Dts=H","Dir=H",CONCATENATE("Points=",$B$1009),"Sort=R","Days=A","Fill=B",CONCATENATE("FX=", $B$1007),"cols=14;rows=1")</x:f>
        <x:v>0.76910000000000001</x:v>
      </x:c>
      <x:c r="G1928">
        <x:v>2.5466000000000002</x:v>
      </x:c>
      <x:c r="H1928">
        <x:v>0.2261</x:v>
      </x:c>
      <x:c r="I1928">
        <x:v>9.2164999999999999</x:v>
      </x:c>
      <x:c r="J1928">
        <x:v>0</x:v>
      </x:c>
      <x:c r="K1928">
        <x:v>0</x:v>
      </x:c>
      <x:c r="L1928">
        <x:v>3.2671999999999999</x:v>
      </x:c>
      <x:c r="M1928">
        <x:v>1.4404999999999999</x:v>
      </x:c>
      <x:c r="N1928">
        <x:v>0</x:v>
      </x:c>
      <x:c r="O1928">
        <x:v>0</x:v>
      </x:c>
      <x:c r="P1928">
        <x:v>1.7444</x:v>
      </x:c>
      <x:c r="Q1928">
        <x:v>1.2777000000000001</x:v>
      </x:c>
      <x:c r="R1928">
        <x:v>0</x:v>
      </x:c>
      <x:c r="S1928">
        <x:v>1.4083000000000001</x:v>
      </x:c>
      <x:c r="T1928" t="str">
        <x:f>""</x:f>
        <x:v/>
      </x:c>
      <x:c r="U1928" t="str">
        <x:f>""</x:f>
        <x:v/>
      </x:c>
      <x:c r="V1928" t="str">
        <x:f>""</x:f>
        <x:v/>
      </x:c>
      <x:c r="W1928" t="str">
        <x:f>""</x:f>
        <x:v/>
      </x:c>
      <x:c r="X1928" t="str">
        <x:f>""</x:f>
        <x:v/>
      </x:c>
      <x:c r="Y1928" t="str">
        <x:f>""</x:f>
        <x:v/>
      </x:c>
      <x:c r="Z1928" t="str">
        <x:f>""</x:f>
        <x:v/>
      </x:c>
      <x:c r="AA1928" t="str">
        <x:f>""</x:f>
        <x:v/>
      </x:c>
      <x:c r="AB1928" t="str">
        <x:f>""</x:f>
        <x:v/>
      </x:c>
      <x:c r="AC1928" t="str">
        <x:f>""</x:f>
        <x:v/>
      </x:c>
      <x:c r="AD1928" t="str">
        <x:f>""</x:f>
        <x:v/>
      </x:c>
      <x:c r="AE1928" t="str">
        <x:f>""</x:f>
        <x:v/>
      </x:c>
      <x:c r="AF1928" t="str">
        <x:f>""</x:f>
        <x:v/>
      </x:c>
      <x:c r="AG1928" t="str">
        <x:f>""</x:f>
        <x:v/>
      </x:c>
    </x:row>
    <x:row r="1929" spans="2:33" x14ac:dyDescent="0.25">
      <x:c r="B1929" t="str">
        <x:f>"STCE US Equity"</x:f>
        <x:v>STCE US Equity</x:v>
      </x:c>
      <x:c r="C1929" t="str">
        <x:f t="shared" si="86"/>
        <x:v>FD447</x:v>
      </x:c>
      <x:c r="D1929" t="str">
        <x:f t="shared" si="87"/>
        <x:v>FUND_FLOW</x:v>
      </x:c>
      <x:c r="E1929" t="str">
        <x:f t="shared" si="88"/>
        <x:v>Dynamic</x:v>
      </x:c>
      <x:c r="F1929">
        <x:f ca="1">_xll.BDH($B$1929,$C$1929,$B$1010,$B$1011,CONCATENATE("Per=",$B$1008),"Dts=H","Dir=H",CONCATENATE("Points=",$B$1009),"Sort=R","Days=A","Fill=B",CONCATENATE("FX=", $B$1007),"cols=14;rows=1")</x:f>
        <x:v>0.97130000000000005</x:v>
      </x:c>
      <x:c r="G1929">
        <x:v>0</x:v>
      </x:c>
      <x:c r="H1929">
        <x:v>0</x:v>
      </x:c>
      <x:c r="I1929">
        <x:v>0</x:v>
      </x:c>
      <x:c r="J1929">
        <x:v>0</x:v>
      </x:c>
      <x:c r="K1929">
        <x:v>0</x:v>
      </x:c>
      <x:c r="L1929">
        <x:v>0</x:v>
      </x:c>
      <x:c r="M1929">
        <x:v>1.8919999999999999</x:v>
      </x:c>
      <x:c r="N1929">
        <x:v>0.99150000000000005</x:v>
      </x:c>
      <x:c r="O1929">
        <x:v>0</x:v>
      </x:c>
      <x:c r="P1929">
        <x:v>0</x:v>
      </x:c>
      <x:c r="Q1929">
        <x:v>0</x:v>
      </x:c>
      <x:c r="R1929">
        <x:v>0.9899</x:v>
      </x:c>
      <x:c r="S1929">
        <x:v>0</x:v>
      </x:c>
      <x:c r="T1929" t="str">
        <x:f>""</x:f>
        <x:v/>
      </x:c>
      <x:c r="U1929" t="str">
        <x:f>""</x:f>
        <x:v/>
      </x:c>
      <x:c r="V1929" t="str">
        <x:f>""</x:f>
        <x:v/>
      </x:c>
      <x:c r="W1929" t="str">
        <x:f>""</x:f>
        <x:v/>
      </x:c>
      <x:c r="X1929" t="str">
        <x:f>""</x:f>
        <x:v/>
      </x:c>
      <x:c r="Y1929" t="str">
        <x:f>""</x:f>
        <x:v/>
      </x:c>
      <x:c r="Z1929" t="str">
        <x:f>""</x:f>
        <x:v/>
      </x:c>
      <x:c r="AA1929" t="str">
        <x:f>""</x:f>
        <x:v/>
      </x:c>
      <x:c r="AB1929" t="str">
        <x:f>""</x:f>
        <x:v/>
      </x:c>
      <x:c r="AC1929" t="str">
        <x:f>""</x:f>
        <x:v/>
      </x:c>
      <x:c r="AD1929" t="str">
        <x:f>""</x:f>
        <x:v/>
      </x:c>
      <x:c r="AE1929" t="str">
        <x:f>""</x:f>
        <x:v/>
      </x:c>
      <x:c r="AF1929" t="str">
        <x:f>""</x:f>
        <x:v/>
      </x:c>
      <x:c r="AG1929" t="str">
        <x:f>""</x:f>
        <x:v/>
      </x:c>
    </x:row>
    <x:row r="1930" spans="2:33" x14ac:dyDescent="0.25">
      <x:c r="B1930" t="str">
        <x:f>"BWEB US Equity"</x:f>
        <x:v>BWEB US Equity</x:v>
      </x:c>
      <x:c r="C1930" t="str">
        <x:f t="shared" si="86"/>
        <x:v>FD447</x:v>
      </x:c>
      <x:c r="D1930" t="str">
        <x:f t="shared" si="87"/>
        <x:v>FUND_FLOW</x:v>
      </x:c>
      <x:c r="E1930" t="str">
        <x:f t="shared" si="88"/>
        <x:v>Dynamic</x:v>
      </x:c>
      <x:c r="F1930">
        <x:f ca="1">_xll.BDH($B$1930,$C$1930,$B$1010,$B$1011,CONCATENATE("Per=",$B$1008),"Dts=H","Dir=H",CONCATENATE("Points=",$B$1009),"Sort=R","Days=A","Fill=B",CONCATENATE("FX=", $B$1007),"cols=14;rows=1")</x:f>
        <x:v>0</x:v>
      </x:c>
      <x:c r="G1930">
        <x:v>0</x:v>
      </x:c>
      <x:c r="H1930">
        <x:v>0</x:v>
      </x:c>
      <x:c r="I1930">
        <x:v>0</x:v>
      </x:c>
      <x:c r="J1930">
        <x:v>-4.8999999999999998E-3</x:v>
      </x:c>
      <x:c r="K1930">
        <x:v>0</x:v>
      </x:c>
      <x:c r="L1930">
        <x:v>0</x:v>
      </x:c>
      <x:c r="M1930">
        <x:v>0</x:v>
      </x:c>
      <x:c r="N1930">
        <x:v>-1.2310000000000001</x:v>
      </x:c>
      <x:c r="O1930">
        <x:v>0</x:v>
      </x:c>
      <x:c r="P1930">
        <x:v>-6.1000000000000004E-3</x:v>
      </x:c>
      <x:c r="Q1930">
        <x:v>0</x:v>
      </x:c>
      <x:c r="R1930">
        <x:v>0</x:v>
      </x:c>
      <x:c r="T1930" t="str">
        <x:f>""</x:f>
        <x:v/>
      </x:c>
      <x:c r="U1930" t="str">
        <x:f>""</x:f>
        <x:v/>
      </x:c>
      <x:c r="V1930" t="str">
        <x:f>""</x:f>
        <x:v/>
      </x:c>
      <x:c r="W1930" t="str">
        <x:f>""</x:f>
        <x:v/>
      </x:c>
      <x:c r="X1930" t="str">
        <x:f>""</x:f>
        <x:v/>
      </x:c>
      <x:c r="Y1930" t="str">
        <x:f>""</x:f>
        <x:v/>
      </x:c>
      <x:c r="Z1930" t="str">
        <x:f>""</x:f>
        <x:v/>
      </x:c>
      <x:c r="AA1930" t="str">
        <x:f>""</x:f>
        <x:v/>
      </x:c>
      <x:c r="AB1930" t="str">
        <x:f>""</x:f>
        <x:v/>
      </x:c>
      <x:c r="AC1930" t="str">
        <x:f>""</x:f>
        <x:v/>
      </x:c>
      <x:c r="AD1930" t="str">
        <x:f>""</x:f>
        <x:v/>
      </x:c>
      <x:c r="AE1930" t="str">
        <x:f>""</x:f>
        <x:v/>
      </x:c>
      <x:c r="AF1930" t="str">
        <x:f>""</x:f>
        <x:v/>
      </x:c>
      <x:c r="AG1930" t="str">
        <x:f>""</x:f>
        <x:v/>
      </x:c>
    </x:row>
    <x:row r="1931" spans="2:33" x14ac:dyDescent="0.25">
      <x:c r="B1931" t="str">
        <x:f>"ROKT US Equity"</x:f>
        <x:v>ROKT US Equity</x:v>
      </x:c>
      <x:c r="C1931" t="str">
        <x:f t="shared" si="86"/>
        <x:v>FD447</x:v>
      </x:c>
      <x:c r="D1931" t="str">
        <x:f t="shared" si="87"/>
        <x:v>FUND_FLOW</x:v>
      </x:c>
      <x:c r="E1931" t="str">
        <x:f t="shared" si="88"/>
        <x:v>Dynamic</x:v>
      </x:c>
      <x:c r="F1931">
        <x:f ca="1">_xll.BDH($B$1931,$C$1931,$B$1010,$B$1011,CONCATENATE("Per=",$B$1008),"Dts=H","Dir=H",CONCATENATE("Points=",$B$1009),"Sort=R","Days=A","Fill=B",CONCATENATE("FX=", $B$1007),"cols=14;rows=1")</x:f>
        <x:v>0</x:v>
      </x:c>
      <x:c r="G1931">
        <x:v>-0.39479999999999998</x:v>
      </x:c>
      <x:c r="H1931">
        <x:v>0</x:v>
      </x:c>
      <x:c r="I1931">
        <x:v>0</x:v>
      </x:c>
      <x:c r="J1931">
        <x:v>0</x:v>
      </x:c>
      <x:c r="K1931">
        <x:v>-0.4052</x:v>
      </x:c>
      <x:c r="L1931">
        <x:v>-0.40310000000000001</x:v>
      </x:c>
      <x:c r="M1931">
        <x:v>-0.40179999999999999</x:v>
      </x:c>
      <x:c r="N1931">
        <x:v>0</x:v>
      </x:c>
      <x:c r="O1931">
        <x:v>-0.41810000000000003</x:v>
      </x:c>
      <x:c r="P1931">
        <x:v>0</x:v>
      </x:c>
      <x:c r="Q1931">
        <x:v>-0.38790000000000002</x:v>
      </x:c>
      <x:c r="R1931">
        <x:v>-0.34560000000000002</x:v>
      </x:c>
      <x:c r="S1931">
        <x:v>0</x:v>
      </x:c>
      <x:c r="T1931" t="str">
        <x:f>""</x:f>
        <x:v/>
      </x:c>
      <x:c r="U1931" t="str">
        <x:f>""</x:f>
        <x:v/>
      </x:c>
      <x:c r="V1931" t="str">
        <x:f>""</x:f>
        <x:v/>
      </x:c>
      <x:c r="W1931" t="str">
        <x:f>""</x:f>
        <x:v/>
      </x:c>
      <x:c r="X1931" t="str">
        <x:f>""</x:f>
        <x:v/>
      </x:c>
      <x:c r="Y1931" t="str">
        <x:f>""</x:f>
        <x:v/>
      </x:c>
      <x:c r="Z1931" t="str">
        <x:f>""</x:f>
        <x:v/>
      </x:c>
      <x:c r="AA1931" t="str">
        <x:f>""</x:f>
        <x:v/>
      </x:c>
      <x:c r="AB1931" t="str">
        <x:f>""</x:f>
        <x:v/>
      </x:c>
      <x:c r="AC1931" t="str">
        <x:f>""</x:f>
        <x:v/>
      </x:c>
      <x:c r="AD1931" t="str">
        <x:f>""</x:f>
        <x:v/>
      </x:c>
      <x:c r="AE1931" t="str">
        <x:f>""</x:f>
        <x:v/>
      </x:c>
      <x:c r="AF1931" t="str">
        <x:f>""</x:f>
        <x:v/>
      </x:c>
      <x:c r="AG1931" t="str">
        <x:f>""</x:f>
        <x:v/>
      </x:c>
    </x:row>
    <x:row r="1932" spans="2:33" x14ac:dyDescent="0.25">
      <x:c r="B1932" t="str">
        <x:f>"UFO US Equity"</x:f>
        <x:v>UFO US Equity</x:v>
      </x:c>
      <x:c r="C1932" t="str">
        <x:f t="shared" si="86"/>
        <x:v>FD447</x:v>
      </x:c>
      <x:c r="D1932" t="str">
        <x:f t="shared" si="87"/>
        <x:v>FUND_FLOW</x:v>
      </x:c>
      <x:c r="E1932" t="str">
        <x:f t="shared" si="88"/>
        <x:v>Dynamic</x:v>
      </x:c>
      <x:c r="F1932">
        <x:f ca="1">_xll.BDH($B$1932,$C$1932,$B$1010,$B$1011,CONCATENATE("Per=",$B$1008),"Dts=H","Dir=H",CONCATENATE("Points=",$B$1009),"Sort=R","Days=A","Fill=B",CONCATENATE("FX=", $B$1007),"cols=14;rows=1")</x:f>
        <x:v>-0.77639999999999998</x:v>
      </x:c>
      <x:c r="G1932">
        <x:v>-1.3552</x:v>
      </x:c>
      <x:c r="H1932">
        <x:v>-2.4668999999999999</x:v>
      </x:c>
      <x:c r="I1932">
        <x:v>0</x:v>
      </x:c>
      <x:c r="J1932">
        <x:v>-1.4395</x:v>
      </x:c>
      <x:c r="K1932">
        <x:v>-0.4667</x:v>
      </x:c>
      <x:c r="L1932">
        <x:v>-0.93120000000000003</x:v>
      </x:c>
      <x:c r="M1932">
        <x:v>-3.403</x:v>
      </x:c>
      <x:c r="N1932">
        <x:v>0</x:v>
      </x:c>
      <x:c r="O1932">
        <x:v>-0.53190000000000004</x:v>
      </x:c>
      <x:c r="P1932">
        <x:v>-1.9836</x:v>
      </x:c>
      <x:c r="Q1932">
        <x:v>-1.0451999999999999</x:v>
      </x:c>
      <x:c r="R1932">
        <x:v>0</x:v>
      </x:c>
      <x:c r="S1932">
        <x:v>-3.6920999999999999</x:v>
      </x:c>
      <x:c r="T1932" t="str">
        <x:f>""</x:f>
        <x:v/>
      </x:c>
      <x:c r="U1932" t="str">
        <x:f>""</x:f>
        <x:v/>
      </x:c>
      <x:c r="V1932" t="str">
        <x:f>""</x:f>
        <x:v/>
      </x:c>
      <x:c r="W1932" t="str">
        <x:f>""</x:f>
        <x:v/>
      </x:c>
      <x:c r="X1932" t="str">
        <x:f>""</x:f>
        <x:v/>
      </x:c>
      <x:c r="Y1932" t="str">
        <x:f>""</x:f>
        <x:v/>
      </x:c>
      <x:c r="Z1932" t="str">
        <x:f>""</x:f>
        <x:v/>
      </x:c>
      <x:c r="AA1932" t="str">
        <x:f>""</x:f>
        <x:v/>
      </x:c>
      <x:c r="AB1932" t="str">
        <x:f>""</x:f>
        <x:v/>
      </x:c>
      <x:c r="AC1932" t="str">
        <x:f>""</x:f>
        <x:v/>
      </x:c>
      <x:c r="AD1932" t="str">
        <x:f>""</x:f>
        <x:v/>
      </x:c>
      <x:c r="AE1932" t="str">
        <x:f>""</x:f>
        <x:v/>
      </x:c>
      <x:c r="AF1932" t="str">
        <x:f>""</x:f>
        <x:v/>
      </x:c>
      <x:c r="AG1932" t="str">
        <x:f>""</x:f>
        <x:v/>
      </x:c>
    </x:row>
    <x:row r="1933" spans="2:33" x14ac:dyDescent="0.25">
      <x:c r="B1933" t="str">
        <x:f>"ARKX US Equity"</x:f>
        <x:v>ARKX US Equity</x:v>
      </x:c>
      <x:c r="C1933" t="str">
        <x:f t="shared" si="86"/>
        <x:v>FD447</x:v>
      </x:c>
      <x:c r="D1933" t="str">
        <x:f t="shared" si="87"/>
        <x:v>FUND_FLOW</x:v>
      </x:c>
      <x:c r="E1933" t="str">
        <x:f t="shared" si="88"/>
        <x:v>Dynamic</x:v>
      </x:c>
      <x:c r="F1933">
        <x:f ca="1">_xll.BDH($B$1933,$C$1933,$B$1010,$B$1011,CONCATENATE("Per=",$B$1008),"Dts=H","Dir=H",CONCATENATE("Points=",$B$1009),"Sort=R","Days=A","Fill=B",CONCATENATE("FX=", $B$1007),"cols=14;rows=1")</x:f>
        <x:v>-2.0167999999999999</x:v>
      </x:c>
      <x:c r="G1933">
        <x:v>-4.1394000000000002</x:v>
      </x:c>
      <x:c r="H1933">
        <x:v>-3.4933999999999998</x:v>
      </x:c>
      <x:c r="I1933">
        <x:v>0</x:v>
      </x:c>
      <x:c r="J1933">
        <x:v>-4.2842000000000002</x:v>
      </x:c>
      <x:c r="K1933">
        <x:v>-2.7115</x:v>
      </x:c>
      <x:c r="L1933">
        <x:v>-4.7492000000000001</x:v>
      </x:c>
      <x:c r="M1933">
        <x:v>-1.3626</x:v>
      </x:c>
      <x:c r="N1933">
        <x:v>-0.69469999999999998</x:v>
      </x:c>
      <x:c r="O1933">
        <x:v>-7.1943000000000001</x:v>
      </x:c>
      <x:c r="P1933">
        <x:v>3.0670999999999999</x:v>
      </x:c>
      <x:c r="Q1933">
        <x:v>-5.2557999999999998</x:v>
      </x:c>
      <x:c r="R1933">
        <x:v>-2.5198</x:v>
      </x:c>
      <x:c r="S1933">
        <x:v>-2.7355</x:v>
      </x:c>
      <x:c r="T1933" t="str">
        <x:f>""</x:f>
        <x:v/>
      </x:c>
      <x:c r="U1933" t="str">
        <x:f>""</x:f>
        <x:v/>
      </x:c>
      <x:c r="V1933" t="str">
        <x:f>""</x:f>
        <x:v/>
      </x:c>
      <x:c r="W1933" t="str">
        <x:f>""</x:f>
        <x:v/>
      </x:c>
      <x:c r="X1933" t="str">
        <x:f>""</x:f>
        <x:v/>
      </x:c>
      <x:c r="Y1933" t="str">
        <x:f>""</x:f>
        <x:v/>
      </x:c>
      <x:c r="Z1933" t="str">
        <x:f>""</x:f>
        <x:v/>
      </x:c>
      <x:c r="AA1933" t="str">
        <x:f>""</x:f>
        <x:v/>
      </x:c>
      <x:c r="AB1933" t="str">
        <x:f>""</x:f>
        <x:v/>
      </x:c>
      <x:c r="AC1933" t="str">
        <x:f>""</x:f>
        <x:v/>
      </x:c>
      <x:c r="AD1933" t="str">
        <x:f>""</x:f>
        <x:v/>
      </x:c>
      <x:c r="AE1933" t="str">
        <x:f>""</x:f>
        <x:v/>
      </x:c>
      <x:c r="AF1933" t="str">
        <x:f>""</x:f>
        <x:v/>
      </x:c>
      <x:c r="AG1933" t="str">
        <x:f>""</x:f>
        <x:v/>
      </x:c>
    </x:row>
    <x:row r="1934" spans="2:33" x14ac:dyDescent="0.25">
      <x:c r="B1934" t="str">
        <x:f>"IWFH US Equity"</x:f>
        <x:v>IWFH US Equity</x:v>
      </x:c>
      <x:c r="C1934" t="str">
        <x:f t="shared" si="86"/>
        <x:v>FD447</x:v>
      </x:c>
      <x:c r="D1934" t="str">
        <x:f t="shared" si="87"/>
        <x:v>FUND_FLOW</x:v>
      </x:c>
      <x:c r="E1934" t="str">
        <x:f t="shared" si="88"/>
        <x:v>Dynamic</x:v>
      </x:c>
      <x:c r="F1934">
        <x:f ca="1">_xll.BDH($B$1934,$C$1934,$B$1010,$B$1011,CONCATENATE("Per=",$B$1008),"Dts=H","Dir=H",CONCATENATE("Points=",$B$1009),"Sort=R","Days=A","Fill=B",CONCATENATE("FX=", $B$1007),"cols=14;rows=1")</x:f>
        <x:v>0</x:v>
      </x:c>
      <x:c r="G1934">
        <x:v>0</x:v>
      </x:c>
      <x:c r="H1934">
        <x:v>0</x:v>
      </x:c>
      <x:c r="I1934">
        <x:v>0</x:v>
      </x:c>
      <x:c r="J1934">
        <x:v>0</x:v>
      </x:c>
      <x:c r="K1934">
        <x:v>0</x:v>
      </x:c>
      <x:c r="L1934">
        <x:v>0</x:v>
      </x:c>
      <x:c r="M1934">
        <x:v>0</x:v>
      </x:c>
      <x:c r="N1934">
        <x:v>0</x:v>
      </x:c>
      <x:c r="O1934">
        <x:v>0</x:v>
      </x:c>
      <x:c r="P1934">
        <x:v>0</x:v>
      </x:c>
      <x:c r="Q1934">
        <x:v>0</x:v>
      </x:c>
      <x:c r="R1934">
        <x:v>0</x:v>
      </x:c>
      <x:c r="S1934">
        <x:v>-1.2401</x:v>
      </x:c>
      <x:c r="T1934" t="str">
        <x:f>""</x:f>
        <x:v/>
      </x:c>
      <x:c r="U1934" t="str">
        <x:f>""</x:f>
        <x:v/>
      </x:c>
      <x:c r="V1934" t="str">
        <x:f>""</x:f>
        <x:v/>
      </x:c>
      <x:c r="W1934" t="str">
        <x:f>""</x:f>
        <x:v/>
      </x:c>
      <x:c r="X1934" t="str">
        <x:f>""</x:f>
        <x:v/>
      </x:c>
      <x:c r="Y1934" t="str">
        <x:f>""</x:f>
        <x:v/>
      </x:c>
      <x:c r="Z1934" t="str">
        <x:f>""</x:f>
        <x:v/>
      </x:c>
      <x:c r="AA1934" t="str">
        <x:f>""</x:f>
        <x:v/>
      </x:c>
      <x:c r="AB1934" t="str">
        <x:f>""</x:f>
        <x:v/>
      </x:c>
      <x:c r="AC1934" t="str">
        <x:f>""</x:f>
        <x:v/>
      </x:c>
      <x:c r="AD1934" t="str">
        <x:f>""</x:f>
        <x:v/>
      </x:c>
      <x:c r="AE1934" t="str">
        <x:f>""</x:f>
        <x:v/>
      </x:c>
      <x:c r="AF1934" t="str">
        <x:f>""</x:f>
        <x:v/>
      </x:c>
      <x:c r="AG1934" t="str">
        <x:f>""</x:f>
        <x:v/>
      </x:c>
    </x:row>
    <x:row r="1935" spans="2:33" x14ac:dyDescent="0.25">
      <x:c r="B1935" t="str">
        <x:f>"WFH US Equity"</x:f>
        <x:v>WFH US Equity</x:v>
      </x:c>
      <x:c r="C1935" t="str">
        <x:f t="shared" si="86"/>
        <x:v>FD447</x:v>
      </x:c>
      <x:c r="D1935" t="str">
        <x:f t="shared" si="87"/>
        <x:v>FUND_FLOW</x:v>
      </x:c>
      <x:c r="E1935" t="str">
        <x:f t="shared" si="88"/>
        <x:v>Dynamic</x:v>
      </x:c>
      <x:c r="F1935">
        <x:f ca="1">_xll.BDH($B$1935,$C$1935,$B$1010,$B$1011,CONCATENATE("Per=",$B$1008),"Dts=H","Dir=H",CONCATENATE("Points=",$B$1009),"Sort=R","Days=A","Fill=B",CONCATENATE("FX=", $B$1007),"cols=14;rows=1")</x:f>
        <x:v>0</x:v>
      </x:c>
      <x:c r="G1935">
        <x:v>0</x:v>
      </x:c>
      <x:c r="H1935">
        <x:v>-2.5085999999999999</x:v>
      </x:c>
      <x:c r="I1935">
        <x:v>0</x:v>
      </x:c>
      <x:c r="J1935">
        <x:v>0</x:v>
      </x:c>
      <x:c r="K1935">
        <x:v>-1.1425000000000001</x:v>
      </x:c>
      <x:c r="L1935">
        <x:v>-1.1211</x:v>
      </x:c>
      <x:c r="M1935">
        <x:v>-2.2728000000000002</x:v>
      </x:c>
      <x:c r="N1935">
        <x:v>0</x:v>
      </x:c>
      <x:c r="O1935">
        <x:v>-1.0986</x:v>
      </x:c>
      <x:c r="P1935">
        <x:v>-2.0411000000000001</x:v>
      </x:c>
      <x:c r="Q1935">
        <x:v>-2.0409000000000002</x:v>
      </x:c>
      <x:c r="R1935">
        <x:v>0</x:v>
      </x:c>
      <x:c r="S1935">
        <x:v>-3.6067</x:v>
      </x:c>
      <x:c r="T1935" t="str">
        <x:f>""</x:f>
        <x:v/>
      </x:c>
      <x:c r="U1935" t="str">
        <x:f>""</x:f>
        <x:v/>
      </x:c>
      <x:c r="V1935" t="str">
        <x:f>""</x:f>
        <x:v/>
      </x:c>
      <x:c r="W1935" t="str">
        <x:f>""</x:f>
        <x:v/>
      </x:c>
      <x:c r="X1935" t="str">
        <x:f>""</x:f>
        <x:v/>
      </x:c>
      <x:c r="Y1935" t="str">
        <x:f>""</x:f>
        <x:v/>
      </x:c>
      <x:c r="Z1935" t="str">
        <x:f>""</x:f>
        <x:v/>
      </x:c>
      <x:c r="AA1935" t="str">
        <x:f>""</x:f>
        <x:v/>
      </x:c>
      <x:c r="AB1935" t="str">
        <x:f>""</x:f>
        <x:v/>
      </x:c>
      <x:c r="AC1935" t="str">
        <x:f>""</x:f>
        <x:v/>
      </x:c>
      <x:c r="AD1935" t="str">
        <x:f>""</x:f>
        <x:v/>
      </x:c>
      <x:c r="AE1935" t="str">
        <x:f>""</x:f>
        <x:v/>
      </x:c>
      <x:c r="AF1935" t="str">
        <x:f>""</x:f>
        <x:v/>
      </x:c>
      <x:c r="AG1935" t="str">
        <x:f>""</x:f>
        <x:v/>
      </x:c>
    </x:row>
    <x:row r="1936" spans="2:33" x14ac:dyDescent="0.25">
      <x:c r="B1936" t="str">
        <x:f>"LIV US Equity"</x:f>
        <x:v>LIV US Equity</x:v>
      </x:c>
      <x:c r="C1936" t="str">
        <x:f t="shared" si="86"/>
        <x:v>FD447</x:v>
      </x:c>
      <x:c r="D1936" t="str">
        <x:f t="shared" si="87"/>
        <x:v>FUND_FLOW</x:v>
      </x:c>
      <x:c r="E1936" t="str">
        <x:f t="shared" si="88"/>
        <x:v>Dynamic</x:v>
      </x:c>
      <x:c r="F1936" t="str">
        <x:f ca="1">_xll.BDH($B$1936,$C$1936,$B$1010,$B$1011,CONCATENATE("Per=",$B$1008),"Dts=H","Dir=H",CONCATENATE("Points=",$B$1009),"Sort=R","Days=A","Fill=B",CONCATENATE("FX=", $B$1007),"cols=14;rows=1")</x:f>
        <x:v/>
      </x:c>
      <x:c r="R1936">
        <x:v>0</x:v>
      </x:c>
      <x:c r="S1936">
        <x:v>-1.2231000000000001</x:v>
      </x:c>
      <x:c r="T1936" t="str">
        <x:f>""</x:f>
        <x:v/>
      </x:c>
      <x:c r="U1936" t="str">
        <x:f>""</x:f>
        <x:v/>
      </x:c>
      <x:c r="V1936" t="str">
        <x:f>""</x:f>
        <x:v/>
      </x:c>
      <x:c r="W1936" t="str">
        <x:f>""</x:f>
        <x:v/>
      </x:c>
      <x:c r="X1936" t="str">
        <x:f>""</x:f>
        <x:v/>
      </x:c>
      <x:c r="Y1936" t="str">
        <x:f>""</x:f>
        <x:v/>
      </x:c>
      <x:c r="Z1936" t="str">
        <x:f>""</x:f>
        <x:v/>
      </x:c>
      <x:c r="AA1936" t="str">
        <x:f>""</x:f>
        <x:v/>
      </x:c>
      <x:c r="AB1936" t="str">
        <x:f>""</x:f>
        <x:v/>
      </x:c>
      <x:c r="AC1936" t="str">
        <x:f>""</x:f>
        <x:v/>
      </x:c>
      <x:c r="AD1936" t="str">
        <x:f>""</x:f>
        <x:v/>
      </x:c>
      <x:c r="AE1936" t="str">
        <x:f>""</x:f>
        <x:v/>
      </x:c>
      <x:c r="AF1936" t="str">
        <x:f>""</x:f>
        <x:v/>
      </x:c>
      <x:c r="AG1936" t="str">
        <x:f>""</x:f>
        <x:v/>
      </x:c>
    </x:row>
    <x:row r="1937" spans="2:33" x14ac:dyDescent="0.25">
      <x:c r="B1937" t="str">
        <x:f>"PEJ US Equity"</x:f>
        <x:v>PEJ US Equity</x:v>
      </x:c>
      <x:c r="C1937" t="str">
        <x:f t="shared" si="86"/>
        <x:v>FD447</x:v>
      </x:c>
      <x:c r="D1937" t="str">
        <x:f t="shared" si="87"/>
        <x:v>FUND_FLOW</x:v>
      </x:c>
      <x:c r="E1937" t="str">
        <x:f t="shared" si="88"/>
        <x:v>Dynamic</x:v>
      </x:c>
      <x:c r="F1937">
        <x:f ca="1">_xll.BDH($B$1937,$C$1937,$B$1010,$B$1011,CONCATENATE("Per=",$B$1008),"Dts=H","Dir=H",CONCATENATE("Points=",$B$1009),"Sort=R","Days=A","Fill=B",CONCATENATE("FX=", $B$1007),"cols=14;rows=1")</x:f>
        <x:v>-13.833600000000001</x:v>
      </x:c>
      <x:c r="G1937">
        <x:v>-21.1343</x:v>
      </x:c>
      <x:c r="H1937">
        <x:v>-24.820699999999999</x:v>
      </x:c>
      <x:c r="I1937">
        <x:v>-6.9410999999999996</x:v>
      </x:c>
      <x:c r="J1937">
        <x:v>-7.6147</x:v>
      </x:c>
      <x:c r="K1937">
        <x:v>-42.3521</x:v>
      </x:c>
      <x:c r="L1937">
        <x:v>-14.982200000000001</x:v>
      </x:c>
      <x:c r="M1937">
        <x:v>-7.3948999999999998</x:v>
      </x:c>
      <x:c r="N1937">
        <x:v>-16.731300000000001</x:v>
      </x:c>
      <x:c r="O1937">
        <x:v>-6.7432999999999996</x:v>
      </x:c>
      <x:c r="P1937">
        <x:v>-114.21680000000001</x:v>
      </x:c>
      <x:c r="Q1937">
        <x:v>-23.202500000000001</x:v>
      </x:c>
      <x:c r="R1937">
        <x:v>-37.817</x:v>
      </x:c>
      <x:c r="S1937">
        <x:v>-202.25640000000001</x:v>
      </x:c>
      <x:c r="T1937" t="str">
        <x:f>""</x:f>
        <x:v/>
      </x:c>
      <x:c r="U1937" t="str">
        <x:f>""</x:f>
        <x:v/>
      </x:c>
      <x:c r="V1937" t="str">
        <x:f>""</x:f>
        <x:v/>
      </x:c>
      <x:c r="W1937" t="str">
        <x:f>""</x:f>
        <x:v/>
      </x:c>
      <x:c r="X1937" t="str">
        <x:f>""</x:f>
        <x:v/>
      </x:c>
      <x:c r="Y1937" t="str">
        <x:f>""</x:f>
        <x:v/>
      </x:c>
      <x:c r="Z1937" t="str">
        <x:f>""</x:f>
        <x:v/>
      </x:c>
      <x:c r="AA1937" t="str">
        <x:f>""</x:f>
        <x:v/>
      </x:c>
      <x:c r="AB1937" t="str">
        <x:f>""</x:f>
        <x:v/>
      </x:c>
      <x:c r="AC1937" t="str">
        <x:f>""</x:f>
        <x:v/>
      </x:c>
      <x:c r="AD1937" t="str">
        <x:f>""</x:f>
        <x:v/>
      </x:c>
      <x:c r="AE1937" t="str">
        <x:f>""</x:f>
        <x:v/>
      </x:c>
      <x:c r="AF1937" t="str">
        <x:f>""</x:f>
        <x:v/>
      </x:c>
      <x:c r="AG1937" t="str">
        <x:f>""</x:f>
        <x:v/>
      </x:c>
    </x:row>
    <x:row r="1938" spans="2:33" x14ac:dyDescent="0.25">
      <x:c r="B1938" t="str">
        <x:f>"AWAY US Equity"</x:f>
        <x:v>AWAY US Equity</x:v>
      </x:c>
      <x:c r="C1938" t="str">
        <x:f t="shared" si="86"/>
        <x:v>FD447</x:v>
      </x:c>
      <x:c r="D1938" t="str">
        <x:f t="shared" si="87"/>
        <x:v>FUND_FLOW</x:v>
      </x:c>
      <x:c r="E1938" t="str">
        <x:f t="shared" si="88"/>
        <x:v>Dynamic</x:v>
      </x:c>
      <x:c r="F1938">
        <x:f ca="1">_xll.BDH($B$1938,$C$1938,$B$1010,$B$1011,CONCATENATE("Per=",$B$1008),"Dts=H","Dir=H",CONCATENATE("Points=",$B$1009),"Sort=R","Days=A","Fill=B",CONCATENATE("FX=", $B$1007),"cols=14;rows=1")</x:f>
        <x:v>-2.2957999999999998</x:v>
      </x:c>
      <x:c r="G1938">
        <x:v>0</x:v>
      </x:c>
      <x:c r="H1938">
        <x:v>-5.3117999999999999</x:v>
      </x:c>
      <x:c r="I1938">
        <x:v>-3.4672999999999998</x:v>
      </x:c>
      <x:c r="J1938">
        <x:v>-7.8091999999999997</x:v>
      </x:c>
      <x:c r="K1938">
        <x:v>-8.3937000000000008</x:v>
      </x:c>
      <x:c r="L1938">
        <x:v>-7.6721000000000004</x:v>
      </x:c>
      <x:c r="M1938">
        <x:v>-2.5640999999999998</x:v>
      </x:c>
      <x:c r="N1938">
        <x:v>-2.8637000000000001</x:v>
      </x:c>
      <x:c r="O1938">
        <x:v>-6.2789000000000001</x:v>
      </x:c>
      <x:c r="P1938">
        <x:v>-4.9786000000000001</x:v>
      </x:c>
      <x:c r="Q1938">
        <x:v>-0.81120000000000003</x:v>
      </x:c>
      <x:c r="R1938">
        <x:v>-3.2086000000000001</x:v>
      </x:c>
      <x:c r="S1938">
        <x:v>-17.508600000000001</x:v>
      </x:c>
      <x:c r="T1938" t="str">
        <x:f>""</x:f>
        <x:v/>
      </x:c>
      <x:c r="U1938" t="str">
        <x:f>""</x:f>
        <x:v/>
      </x:c>
      <x:c r="V1938" t="str">
        <x:f>""</x:f>
        <x:v/>
      </x:c>
      <x:c r="W1938" t="str">
        <x:f>""</x:f>
        <x:v/>
      </x:c>
      <x:c r="X1938" t="str">
        <x:f>""</x:f>
        <x:v/>
      </x:c>
      <x:c r="Y1938" t="str">
        <x:f>""</x:f>
        <x:v/>
      </x:c>
      <x:c r="Z1938" t="str">
        <x:f>""</x:f>
        <x:v/>
      </x:c>
      <x:c r="AA1938" t="str">
        <x:f>""</x:f>
        <x:v/>
      </x:c>
      <x:c r="AB1938" t="str">
        <x:f>""</x:f>
        <x:v/>
      </x:c>
      <x:c r="AC1938" t="str">
        <x:f>""</x:f>
        <x:v/>
      </x:c>
      <x:c r="AD1938" t="str">
        <x:f>""</x:f>
        <x:v/>
      </x:c>
      <x:c r="AE1938" t="str">
        <x:f>""</x:f>
        <x:v/>
      </x:c>
      <x:c r="AF1938" t="str">
        <x:f>""</x:f>
        <x:v/>
      </x:c>
      <x:c r="AG1938" t="str">
        <x:f>""</x:f>
        <x:v/>
      </x:c>
    </x:row>
    <x:row r="1939" spans="2:33" x14ac:dyDescent="0.25">
      <x:c r="B1939" t="str">
        <x:f>"CRUZ US Equity"</x:f>
        <x:v>CRUZ US Equity</x:v>
      </x:c>
      <x:c r="C1939" t="str">
        <x:f t="shared" si="86"/>
        <x:v>FD447</x:v>
      </x:c>
      <x:c r="D1939" t="str">
        <x:f t="shared" si="87"/>
        <x:v>FUND_FLOW</x:v>
      </x:c>
      <x:c r="E1939" t="str">
        <x:f t="shared" si="88"/>
        <x:v>Dynamic</x:v>
      </x:c>
      <x:c r="F1939">
        <x:f ca="1">_xll.BDH($B$1939,$C$1939,$B$1010,$B$1011,CONCATENATE("Per=",$B$1008),"Dts=H","Dir=H",CONCATENATE("Points=",$B$1009),"Sort=R","Days=A","Fill=B",CONCATENATE("FX=", $B$1007),"cols=14;rows=1")</x:f>
        <x:v>-3.0827</x:v>
      </x:c>
      <x:c r="G1939">
        <x:v>-6.7103000000000002</x:v>
      </x:c>
      <x:c r="H1939">
        <x:v>-2.6351</x:v>
      </x:c>
      <x:c r="I1939">
        <x:v>7.5781000000000001</x:v>
      </x:c>
      <x:c r="J1939">
        <x:v>-10.957800000000001</x:v>
      </x:c>
      <x:c r="K1939">
        <x:v>0</x:v>
      </x:c>
      <x:c r="L1939">
        <x:v>-1.7646999999999999</x:v>
      </x:c>
      <x:c r="M1939">
        <x:v>-2.5789</x:v>
      </x:c>
      <x:c r="N1939">
        <x:v>1.4551000000000001</x:v>
      </x:c>
      <x:c r="O1939">
        <x:v>-1.3953</x:v>
      </x:c>
      <x:c r="P1939">
        <x:v>13.562200000000001</x:v>
      </x:c>
      <x:c r="Q1939">
        <x:v>0.45469999999999999</x:v>
      </x:c>
      <x:c r="R1939">
        <x:v>4.2200000000000001E-2</x:v>
      </x:c>
      <x:c r="S1939">
        <x:v>0</x:v>
      </x:c>
      <x:c r="T1939" t="str">
        <x:f>""</x:f>
        <x:v/>
      </x:c>
      <x:c r="U1939" t="str">
        <x:f>""</x:f>
        <x:v/>
      </x:c>
      <x:c r="V1939" t="str">
        <x:f>""</x:f>
        <x:v/>
      </x:c>
      <x:c r="W1939" t="str">
        <x:f>""</x:f>
        <x:v/>
      </x:c>
      <x:c r="X1939" t="str">
        <x:f>""</x:f>
        <x:v/>
      </x:c>
      <x:c r="Y1939" t="str">
        <x:f>""</x:f>
        <x:v/>
      </x:c>
      <x:c r="Z1939" t="str">
        <x:f>""</x:f>
        <x:v/>
      </x:c>
      <x:c r="AA1939" t="str">
        <x:f>""</x:f>
        <x:v/>
      </x:c>
      <x:c r="AB1939" t="str">
        <x:f>""</x:f>
        <x:v/>
      </x:c>
      <x:c r="AC1939" t="str">
        <x:f>""</x:f>
        <x:v/>
      </x:c>
      <x:c r="AD1939" t="str">
        <x:f>""</x:f>
        <x:v/>
      </x:c>
      <x:c r="AE1939" t="str">
        <x:f>""</x:f>
        <x:v/>
      </x:c>
      <x:c r="AF1939" t="str">
        <x:f>""</x:f>
        <x:v/>
      </x:c>
      <x:c r="AG1939" t="str">
        <x:f>""</x:f>
        <x:v/>
      </x:c>
    </x:row>
    <x:row r="1940" spans="2:33" x14ac:dyDescent="0.25">
      <x:c r="B1940" t="str">
        <x:f>"AWYX US Equity"</x:f>
        <x:v>AWYX US Equity</x:v>
      </x:c>
      <x:c r="C1940" t="str">
        <x:f t="shared" si="86"/>
        <x:v>FD447</x:v>
      </x:c>
      <x:c r="D1940" t="str">
        <x:f t="shared" si="87"/>
        <x:v>FUND_FLOW</x:v>
      </x:c>
      <x:c r="E1940" t="str">
        <x:f t="shared" si="88"/>
        <x:v>Dynamic</x:v>
      </x:c>
      <x:c r="F1940" t="str">
        <x:f ca="1">_xll.BDH($B$1940,$C$1940,$B$1010,$B$1011,CONCATENATE("Per=",$B$1008),"Dts=H","Dir=H",CONCATENATE("Points=",$B$1009),"Sort=R","Days=A","Fill=B",CONCATENATE("FX=", $B$1007),"cols=14;rows=1")</x:f>
        <x:v/>
      </x:c>
      <x:c r="L1940">
        <x:v>0</x:v>
      </x:c>
      <x:c r="M1940">
        <x:v>0</x:v>
      </x:c>
      <x:c r="N1940">
        <x:v>0</x:v>
      </x:c>
      <x:c r="O1940">
        <x:v>0</x:v>
      </x:c>
      <x:c r="P1940">
        <x:v>0</x:v>
      </x:c>
      <x:c r="Q1940">
        <x:v>0</x:v>
      </x:c>
      <x:c r="R1940">
        <x:v>0</x:v>
      </x:c>
      <x:c r="S1940">
        <x:v>0</x:v>
      </x:c>
      <x:c r="T1940" t="str">
        <x:f>""</x:f>
        <x:v/>
      </x:c>
      <x:c r="U1940" t="str">
        <x:f>""</x:f>
        <x:v/>
      </x:c>
      <x:c r="V1940" t="str">
        <x:f>""</x:f>
        <x:v/>
      </x:c>
      <x:c r="W1940" t="str">
        <x:f>""</x:f>
        <x:v/>
      </x:c>
      <x:c r="X1940" t="str">
        <x:f>""</x:f>
        <x:v/>
      </x:c>
      <x:c r="Y1940" t="str">
        <x:f>""</x:f>
        <x:v/>
      </x:c>
      <x:c r="Z1940" t="str">
        <x:f>""</x:f>
        <x:v/>
      </x:c>
      <x:c r="AA1940" t="str">
        <x:f>""</x:f>
        <x:v/>
      </x:c>
      <x:c r="AB1940" t="str">
        <x:f>""</x:f>
        <x:v/>
      </x:c>
      <x:c r="AC1940" t="str">
        <x:f>""</x:f>
        <x:v/>
      </x:c>
      <x:c r="AD1940" t="str">
        <x:f>""</x:f>
        <x:v/>
      </x:c>
      <x:c r="AE1940" t="str">
        <x:f>""</x:f>
        <x:v/>
      </x:c>
      <x:c r="AF1940" t="str">
        <x:f>""</x:f>
        <x:v/>
      </x:c>
      <x:c r="AG1940" t="str">
        <x:f>""</x:f>
        <x:v/>
      </x:c>
    </x:row>
    <x:row r="1941" spans="2:33" x14ac:dyDescent="0.25">
      <x:c r="B1941" t="str">
        <x:f>"BEDZ US Equity"</x:f>
        <x:v>BEDZ US Equity</x:v>
      </x:c>
      <x:c r="C1941" t="str">
        <x:f t="shared" si="86"/>
        <x:v>FD447</x:v>
      </x:c>
      <x:c r="D1941" t="str">
        <x:f t="shared" si="87"/>
        <x:v>FUND_FLOW</x:v>
      </x:c>
      <x:c r="E1941" t="str">
        <x:f t="shared" si="88"/>
        <x:v>Dynamic</x:v>
      </x:c>
      <x:c r="F1941">
        <x:f ca="1">_xll.BDH($B$1941,$C$1941,$B$1010,$B$1011,CONCATENATE("Per=",$B$1008),"Dts=H","Dir=H",CONCATENATE("Points=",$B$1009),"Sort=R","Days=A","Fill=B",CONCATENATE("FX=", $B$1007),"cols=14;rows=1")</x:f>
        <x:v>0</x:v>
      </x:c>
      <x:c r="G1941">
        <x:v>0</x:v>
      </x:c>
      <x:c r="H1941">
        <x:v>0</x:v>
      </x:c>
      <x:c r="I1941">
        <x:v>0</x:v>
      </x:c>
      <x:c r="J1941">
        <x:v>0</x:v>
      </x:c>
      <x:c r="K1941">
        <x:v>0</x:v>
      </x:c>
      <x:c r="L1941">
        <x:v>-0.24740000000000001</x:v>
      </x:c>
      <x:c r="M1941">
        <x:v>-0.71689999999999998</x:v>
      </x:c>
      <x:c r="N1941">
        <x:v>-3.5000000000000001E-3</x:v>
      </x:c>
      <x:c r="O1941">
        <x:v>0</x:v>
      </x:c>
      <x:c r="P1941">
        <x:v>0</x:v>
      </x:c>
      <x:c r="Q1941">
        <x:v>0</x:v>
      </x:c>
      <x:c r="R1941">
        <x:v>-0.20580000000000001</x:v>
      </x:c>
      <x:c r="S1941">
        <x:v>-1.2076</x:v>
      </x:c>
      <x:c r="T1941" t="str">
        <x:f>""</x:f>
        <x:v/>
      </x:c>
      <x:c r="U1941" t="str">
        <x:f>""</x:f>
        <x:v/>
      </x:c>
      <x:c r="V1941" t="str">
        <x:f>""</x:f>
        <x:v/>
      </x:c>
      <x:c r="W1941" t="str">
        <x:f>""</x:f>
        <x:v/>
      </x:c>
      <x:c r="X1941" t="str">
        <x:f>""</x:f>
        <x:v/>
      </x:c>
      <x:c r="Y1941" t="str">
        <x:f>""</x:f>
        <x:v/>
      </x:c>
      <x:c r="Z1941" t="str">
        <x:f>""</x:f>
        <x:v/>
      </x:c>
      <x:c r="AA1941" t="str">
        <x:f>""</x:f>
        <x:v/>
      </x:c>
      <x:c r="AB1941" t="str">
        <x:f>""</x:f>
        <x:v/>
      </x:c>
      <x:c r="AC1941" t="str">
        <x:f>""</x:f>
        <x:v/>
      </x:c>
      <x:c r="AD1941" t="str">
        <x:f>""</x:f>
        <x:v/>
      </x:c>
      <x:c r="AE1941" t="str">
        <x:f>""</x:f>
        <x:v/>
      </x:c>
      <x:c r="AF1941" t="str">
        <x:f>""</x:f>
        <x:v/>
      </x:c>
      <x:c r="AG1941" t="str">
        <x:f>""</x:f>
        <x:v/>
      </x:c>
    </x:row>
    <x:row r="1942" spans="2:33" x14ac:dyDescent="0.25">
      <x:c r="B1942" t="str">
        <x:f>"EATZ US Equity"</x:f>
        <x:v>EATZ US Equity</x:v>
      </x:c>
      <x:c r="C1942" t="str">
        <x:f t="shared" si="86"/>
        <x:v>FD447</x:v>
      </x:c>
      <x:c r="D1942" t="str">
        <x:f t="shared" si="87"/>
        <x:v>FUND_FLOW</x:v>
      </x:c>
      <x:c r="E1942" t="str">
        <x:f t="shared" si="88"/>
        <x:v>Dynamic</x:v>
      </x:c>
      <x:c r="F1942">
        <x:f ca="1">_xll.BDH($B$1942,$C$1942,$B$1010,$B$1011,CONCATENATE("Per=",$B$1008),"Dts=H","Dir=H",CONCATENATE("Points=",$B$1009),"Sort=R","Days=A","Fill=B",CONCATENATE("FX=", $B$1007),"cols=14;rows=1")</x:f>
        <x:v>0</x:v>
      </x:c>
      <x:c r="G1942">
        <x:v>0</x:v>
      </x:c>
      <x:c r="H1942">
        <x:v>0.1017</x:v>
      </x:c>
      <x:c r="I1942">
        <x:v>0</x:v>
      </x:c>
      <x:c r="J1942">
        <x:v>-0.1052</x:v>
      </x:c>
      <x:c r="K1942">
        <x:v>0</x:v>
      </x:c>
      <x:c r="L1942">
        <x:v>0</x:v>
      </x:c>
      <x:c r="M1942">
        <x:v>0</x:v>
      </x:c>
      <x:c r="N1942">
        <x:v>0</x:v>
      </x:c>
      <x:c r="O1942">
        <x:v>0</x:v>
      </x:c>
      <x:c r="P1942">
        <x:v>0</x:v>
      </x:c>
      <x:c r="Q1942">
        <x:v>0</x:v>
      </x:c>
      <x:c r="R1942">
        <x:v>-0.54279999999999995</x:v>
      </x:c>
      <x:c r="S1942">
        <x:v>0</x:v>
      </x:c>
      <x:c r="T1942" t="str">
        <x:f>""</x:f>
        <x:v/>
      </x:c>
      <x:c r="U1942" t="str">
        <x:f>""</x:f>
        <x:v/>
      </x:c>
      <x:c r="V1942" t="str">
        <x:f>""</x:f>
        <x:v/>
      </x:c>
      <x:c r="W1942" t="str">
        <x:f>""</x:f>
        <x:v/>
      </x:c>
      <x:c r="X1942" t="str">
        <x:f>""</x:f>
        <x:v/>
      </x:c>
      <x:c r="Y1942" t="str">
        <x:f>""</x:f>
        <x:v/>
      </x:c>
      <x:c r="Z1942" t="str">
        <x:f>""</x:f>
        <x:v/>
      </x:c>
      <x:c r="AA1942" t="str">
        <x:f>""</x:f>
        <x:v/>
      </x:c>
      <x:c r="AB1942" t="str">
        <x:f>""</x:f>
        <x:v/>
      </x:c>
      <x:c r="AC1942" t="str">
        <x:f>""</x:f>
        <x:v/>
      </x:c>
      <x:c r="AD1942" t="str">
        <x:f>""</x:f>
        <x:v/>
      </x:c>
      <x:c r="AE1942" t="str">
        <x:f>""</x:f>
        <x:v/>
      </x:c>
      <x:c r="AF1942" t="str">
        <x:f>""</x:f>
        <x:v/>
      </x:c>
      <x:c r="AG1942" t="str">
        <x:f>""</x:f>
        <x:v/>
      </x:c>
    </x:row>
    <x:row r="1943" spans="2:33" x14ac:dyDescent="0.25">
      <x:c r="B1943" t="str">
        <x:f>"OOTO US Equity"</x:f>
        <x:v>OOTO US Equity</x:v>
      </x:c>
      <x:c r="C1943" t="str">
        <x:f t="shared" si="86"/>
        <x:v>FD447</x:v>
      </x:c>
      <x:c r="D1943" t="str">
        <x:f t="shared" si="87"/>
        <x:v>FUND_FLOW</x:v>
      </x:c>
      <x:c r="E1943" t="str">
        <x:f t="shared" si="88"/>
        <x:v>Dynamic</x:v>
      </x:c>
      <x:c r="F1943">
        <x:f ca="1">_xll.BDH($B$1943,$C$1943,$B$1010,$B$1011,CONCATENATE("Per=",$B$1008),"Dts=H","Dir=H",CONCATENATE("Points=",$B$1009),"Sort=R","Days=A","Fill=B",CONCATENATE("FX=", $B$1007),"cols=14;rows=1")</x:f>
        <x:v>0</x:v>
      </x:c>
      <x:c r="G1943">
        <x:v>-0.57250000000000001</x:v>
      </x:c>
      <x:c r="H1943">
        <x:v>-2.0491000000000001</x:v>
      </x:c>
      <x:c r="I1943">
        <x:v>-0.70750000000000002</x:v>
      </x:c>
      <x:c r="J1943">
        <x:v>0</x:v>
      </x:c>
      <x:c r="K1943">
        <x:v>-0.5706</x:v>
      </x:c>
      <x:c r="L1943">
        <x:v>-0.57230000000000003</x:v>
      </x:c>
      <x:c r="M1943">
        <x:v>-0.6381</x:v>
      </x:c>
      <x:c r="N1943">
        <x:v>-2.0983000000000001</x:v>
      </x:c>
      <x:c r="O1943">
        <x:v>-1.2515000000000001</x:v>
      </x:c>
      <x:c r="P1943">
        <x:v>-1.9712000000000001</x:v>
      </x:c>
      <x:c r="Q1943">
        <x:v>-2.5354999999999999</x:v>
      </x:c>
      <x:c r="R1943">
        <x:v>0</x:v>
      </x:c>
      <x:c r="S1943">
        <x:v>2.2793999999999999</x:v>
      </x:c>
      <x:c r="T1943" t="str">
        <x:f>""</x:f>
        <x:v/>
      </x:c>
      <x:c r="U1943" t="str">
        <x:f>""</x:f>
        <x:v/>
      </x:c>
      <x:c r="V1943" t="str">
        <x:f>""</x:f>
        <x:v/>
      </x:c>
      <x:c r="W1943" t="str">
        <x:f>""</x:f>
        <x:v/>
      </x:c>
      <x:c r="X1943" t="str">
        <x:f>""</x:f>
        <x:v/>
      </x:c>
      <x:c r="Y1943" t="str">
        <x:f>""</x:f>
        <x:v/>
      </x:c>
      <x:c r="Z1943" t="str">
        <x:f>""</x:f>
        <x:v/>
      </x:c>
      <x:c r="AA1943" t="str">
        <x:f>""</x:f>
        <x:v/>
      </x:c>
      <x:c r="AB1943" t="str">
        <x:f>""</x:f>
        <x:v/>
      </x:c>
      <x:c r="AC1943" t="str">
        <x:f>""</x:f>
        <x:v/>
      </x:c>
      <x:c r="AD1943" t="str">
        <x:f>""</x:f>
        <x:v/>
      </x:c>
      <x:c r="AE1943" t="str">
        <x:f>""</x:f>
        <x:v/>
      </x:c>
      <x:c r="AF1943" t="str">
        <x:f>""</x:f>
        <x:v/>
      </x:c>
      <x:c r="AG1943" t="str">
        <x:f>""</x:f>
        <x:v/>
      </x:c>
    </x:row>
    <x:row r="1944" spans="2:33" x14ac:dyDescent="0.25">
      <x:c r="B1944" t="str">
        <x:f>"TRYP US Equity"</x:f>
        <x:v>TRYP US Equity</x:v>
      </x:c>
      <x:c r="C1944" t="str">
        <x:f t="shared" si="86"/>
        <x:v>FD447</x:v>
      </x:c>
      <x:c r="D1944" t="str">
        <x:f t="shared" si="87"/>
        <x:v>FUND_FLOW</x:v>
      </x:c>
      <x:c r="E1944" t="str">
        <x:f t="shared" si="88"/>
        <x:v>Dynamic</x:v>
      </x:c>
      <x:c r="F1944" t="str">
        <x:f ca="1">_xll.BDH($B$1944,$C$1944,$B$1010,$B$1011,CONCATENATE("Per=",$B$1008),"Dts=H","Dir=H",CONCATENATE("Points=",$B$1009),"Sort=R","Days=A","Fill=B",CONCATENATE("FX=", $B$1007) )</x:f>
        <x:v/>
      </x:c>
      <x:c r="T1944" t="str">
        <x:f>""</x:f>
        <x:v/>
      </x:c>
      <x:c r="U1944" t="str">
        <x:f>""</x:f>
        <x:v/>
      </x:c>
      <x:c r="V1944" t="str">
        <x:f>""</x:f>
        <x:v/>
      </x:c>
      <x:c r="W1944" t="str">
        <x:f>""</x:f>
        <x:v/>
      </x:c>
      <x:c r="X1944" t="str">
        <x:f>""</x:f>
        <x:v/>
      </x:c>
      <x:c r="Y1944" t="str">
        <x:f>""</x:f>
        <x:v/>
      </x:c>
      <x:c r="Z1944" t="str">
        <x:f>""</x:f>
        <x:v/>
      </x:c>
      <x:c r="AA1944" t="str">
        <x:f>""</x:f>
        <x:v/>
      </x:c>
      <x:c r="AB1944" t="str">
        <x:f>""</x:f>
        <x:v/>
      </x:c>
      <x:c r="AC1944" t="str">
        <x:f>""</x:f>
        <x:v/>
      </x:c>
      <x:c r="AD1944" t="str">
        <x:f>""</x:f>
        <x:v/>
      </x:c>
      <x:c r="AE1944" t="str">
        <x:f>""</x:f>
        <x:v/>
      </x:c>
      <x:c r="AF1944" t="str">
        <x:f>""</x:f>
        <x:v/>
      </x:c>
      <x:c r="AG1944" t="str">
        <x:f>""</x:f>
        <x:v/>
      </x:c>
    </x:row>
    <x:row r="1945" spans="2:33" x14ac:dyDescent="0.25">
      <x:c r="B1945" t="str">
        <x:f>"JRNY US Equity"</x:f>
        <x:v>JRNY US Equity</x:v>
      </x:c>
      <x:c r="C1945" t="str">
        <x:f t="shared" si="86"/>
        <x:v>FD447</x:v>
      </x:c>
      <x:c r="D1945" t="str">
        <x:f t="shared" si="87"/>
        <x:v>FUND_FLOW</x:v>
      </x:c>
      <x:c r="E1945" t="str">
        <x:f t="shared" si="88"/>
        <x:v>Dynamic</x:v>
      </x:c>
      <x:c r="F1945">
        <x:f ca="1">_xll.BDH($B$1945,$C$1945,$B$1010,$B$1011,CONCATENATE("Per=",$B$1008),"Dts=H","Dir=H",CONCATENATE("Points=",$B$1009),"Sort=R","Days=A","Fill=B",CONCATENATE("FX=", $B$1007),"cols=14;rows=1")</x:f>
        <x:v>0</x:v>
      </x:c>
      <x:c r="G1945">
        <x:v>0</x:v>
      </x:c>
      <x:c r="H1945">
        <x:v>0</x:v>
      </x:c>
      <x:c r="I1945">
        <x:v>0</x:v>
      </x:c>
      <x:c r="J1945">
        <x:v>0</x:v>
      </x:c>
      <x:c r="K1945">
        <x:v>0</x:v>
      </x:c>
      <x:c r="L1945">
        <x:v>-0.57289999999999996</x:v>
      </x:c>
      <x:c r="M1945">
        <x:v>0.57630000000000003</x:v>
      </x:c>
      <x:c r="N1945">
        <x:v>-1.1309</x:v>
      </x:c>
      <x:c r="O1945">
        <x:v>-1.1593</x:v>
      </x:c>
      <x:c r="P1945">
        <x:v>0</x:v>
      </x:c>
      <x:c r="Q1945">
        <x:v>0</x:v>
      </x:c>
      <x:c r="R1945">
        <x:v>-3.8816999999999999</x:v>
      </x:c>
      <x:c r="S1945">
        <x:v>0</x:v>
      </x:c>
      <x:c r="T1945" t="str">
        <x:f>""</x:f>
        <x:v/>
      </x:c>
      <x:c r="U1945" t="str">
        <x:f>""</x:f>
        <x:v/>
      </x:c>
      <x:c r="V1945" t="str">
        <x:f>""</x:f>
        <x:v/>
      </x:c>
      <x:c r="W1945" t="str">
        <x:f>""</x:f>
        <x:v/>
      </x:c>
      <x:c r="X1945" t="str">
        <x:f>""</x:f>
        <x:v/>
      </x:c>
      <x:c r="Y1945" t="str">
        <x:f>""</x:f>
        <x:v/>
      </x:c>
      <x:c r="Z1945" t="str">
        <x:f>""</x:f>
        <x:v/>
      </x:c>
      <x:c r="AA1945" t="str">
        <x:f>""</x:f>
        <x:v/>
      </x:c>
      <x:c r="AB1945" t="str">
        <x:f>""</x:f>
        <x:v/>
      </x:c>
      <x:c r="AC1945" t="str">
        <x:f>""</x:f>
        <x:v/>
      </x:c>
      <x:c r="AD1945" t="str">
        <x:f>""</x:f>
        <x:v/>
      </x:c>
      <x:c r="AE1945" t="str">
        <x:f>""</x:f>
        <x:v/>
      </x:c>
      <x:c r="AF1945" t="str">
        <x:f>""</x:f>
        <x:v/>
      </x:c>
      <x:c r="AG1945" t="str">
        <x:f>""</x:f>
        <x:v/>
      </x:c>
    </x:row>
    <x:row r="1946" spans="2:33" x14ac:dyDescent="0.25">
      <x:c r="B1946" t="str">
        <x:f>"JETS US Equity"</x:f>
        <x:v>JETS US Equity</x:v>
      </x:c>
      <x:c r="C1946" t="str">
        <x:f t="shared" si="86"/>
        <x:v>FD447</x:v>
      </x:c>
      <x:c r="D1946" t="str">
        <x:f t="shared" si="87"/>
        <x:v>FUND_FLOW</x:v>
      </x:c>
      <x:c r="E1946" t="str">
        <x:f t="shared" si="88"/>
        <x:v>Dynamic</x:v>
      </x:c>
      <x:c r="F1946">
        <x:f ca="1">_xll.BDH($B$1946,$C$1946,$B$1010,$B$1011,CONCATENATE("Per=",$B$1008),"Dts=H","Dir=H",CONCATENATE("Points=",$B$1009),"Sort=R","Days=A","Fill=B",CONCATENATE("FX=", $B$1007),"cols=14;rows=1")</x:f>
        <x:v>99.738</x:v>
      </x:c>
      <x:c r="G1946">
        <x:v>-46.096499999999999</x:v>
      </x:c>
      <x:c r="H1946">
        <x:v>-16.196100000000001</x:v>
      </x:c>
      <x:c r="I1946">
        <x:v>-129.75049999999999</x:v>
      </x:c>
      <x:c r="J1946">
        <x:v>-40.704000000000001</x:v>
      </x:c>
      <x:c r="K1946">
        <x:v>-95.830299999999994</x:v>
      </x:c>
      <x:c r="L1946">
        <x:v>-0.19089999999999999</x:v>
      </x:c>
      <x:c r="M1946">
        <x:v>-85.063900000000004</x:v>
      </x:c>
      <x:c r="N1946">
        <x:v>-60.602899999999998</x:v>
      </x:c>
      <x:c r="O1946">
        <x:v>-194.1112</x:v>
      </x:c>
      <x:c r="P1946">
        <x:v>-88.432100000000005</x:v>
      </x:c>
      <x:c r="Q1946">
        <x:v>-12.2399</x:v>
      </x:c>
      <x:c r="R1946">
        <x:v>-72.386200000000002</x:v>
      </x:c>
      <x:c r="S1946">
        <x:v>-252.989</x:v>
      </x:c>
      <x:c r="T1946" t="str">
        <x:f>""</x:f>
        <x:v/>
      </x:c>
      <x:c r="U1946" t="str">
        <x:f>""</x:f>
        <x:v/>
      </x:c>
      <x:c r="V1946" t="str">
        <x:f>""</x:f>
        <x:v/>
      </x:c>
      <x:c r="W1946" t="str">
        <x:f>""</x:f>
        <x:v/>
      </x:c>
      <x:c r="X1946" t="str">
        <x:f>""</x:f>
        <x:v/>
      </x:c>
      <x:c r="Y1946" t="str">
        <x:f>""</x:f>
        <x:v/>
      </x:c>
      <x:c r="Z1946" t="str">
        <x:f>""</x:f>
        <x:v/>
      </x:c>
      <x:c r="AA1946" t="str">
        <x:f>""</x:f>
        <x:v/>
      </x:c>
      <x:c r="AB1946" t="str">
        <x:f>""</x:f>
        <x:v/>
      </x:c>
      <x:c r="AC1946" t="str">
        <x:f>""</x:f>
        <x:v/>
      </x:c>
      <x:c r="AD1946" t="str">
        <x:f>""</x:f>
        <x:v/>
      </x:c>
      <x:c r="AE1946" t="str">
        <x:f>""</x:f>
        <x:v/>
      </x:c>
      <x:c r="AF1946" t="str">
        <x:f>""</x:f>
        <x:v/>
      </x:c>
      <x:c r="AG1946" t="str">
        <x:f>""</x:f>
        <x:v/>
      </x:c>
    </x:row>
    <x:row r="1947" spans="2:33" x14ac:dyDescent="0.25">
      <x:c r="B1947" t="str">
        <x:f>"HOTL US Equity"</x:f>
        <x:v>HOTL US Equity</x:v>
      </x:c>
      <x:c r="C1947" t="str">
        <x:f t="shared" si="86"/>
        <x:v>FD447</x:v>
      </x:c>
      <x:c r="D1947" t="str">
        <x:f t="shared" si="87"/>
        <x:v>FUND_FLOW</x:v>
      </x:c>
      <x:c r="E1947" t="str">
        <x:f t="shared" si="88"/>
        <x:v>Dynamic</x:v>
      </x:c>
      <x:c r="F1947">
        <x:f ca="1">_xll.BDH($B$1947,$C$1947,$B$1010,$B$1011,CONCATENATE("Per=",$B$1008),"Dts=H","Dir=H",CONCATENATE("Points=",$B$1009),"Sort=R","Days=A","Fill=B",CONCATENATE("FX=", $B$1007),"cols=14;rows=1")</x:f>
        <x:v>0</x:v>
      </x:c>
      <x:c r="G1947">
        <x:v>0</x:v>
      </x:c>
      <x:c r="H1947">
        <x:v>0</x:v>
      </x:c>
      <x:c r="I1947">
        <x:v>0</x:v>
      </x:c>
      <x:c r="J1947">
        <x:v>0</x:v>
      </x:c>
      <x:c r="K1947">
        <x:v>0</x:v>
      </x:c>
      <x:c r="L1947">
        <x:v>0</x:v>
      </x:c>
      <x:c r="M1947">
        <x:v>0</x:v>
      </x:c>
      <x:c r="N1947">
        <x:v>0</x:v>
      </x:c>
      <x:c r="O1947">
        <x:v>0</x:v>
      </x:c>
      <x:c r="P1947">
        <x:v>0</x:v>
      </x:c>
      <x:c r="Q1947">
        <x:v>0</x:v>
      </x:c>
      <x:c r="R1947">
        <x:v>0</x:v>
      </x:c>
      <x:c r="S1947">
        <x:v>-0.68720000000000003</x:v>
      </x:c>
      <x:c r="T1947" t="str">
        <x:f>""</x:f>
        <x:v/>
      </x:c>
      <x:c r="U1947" t="str">
        <x:f>""</x:f>
        <x:v/>
      </x:c>
      <x:c r="V1947" t="str">
        <x:f>""</x:f>
        <x:v/>
      </x:c>
      <x:c r="W1947" t="str">
        <x:f>""</x:f>
        <x:v/>
      </x:c>
      <x:c r="X1947" t="str">
        <x:f>""</x:f>
        <x:v/>
      </x:c>
      <x:c r="Y1947" t="str">
        <x:f>""</x:f>
        <x:v/>
      </x:c>
      <x:c r="Z1947" t="str">
        <x:f>""</x:f>
        <x:v/>
      </x:c>
      <x:c r="AA1947" t="str">
        <x:f>""</x:f>
        <x:v/>
      </x:c>
      <x:c r="AB1947" t="str">
        <x:f>""</x:f>
        <x:v/>
      </x:c>
      <x:c r="AC1947" t="str">
        <x:f>""</x:f>
        <x:v/>
      </x:c>
      <x:c r="AD1947" t="str">
        <x:f>""</x:f>
        <x:v/>
      </x:c>
      <x:c r="AE1947" t="str">
        <x:f>""</x:f>
        <x:v/>
      </x:c>
      <x:c r="AF1947" t="str">
        <x:f>""</x:f>
        <x:v/>
      </x:c>
      <x:c r="AG1947" t="str">
        <x:f>""</x:f>
        <x:v/>
      </x:c>
    </x:row>
    <x:row r="1948" spans="2:33" x14ac:dyDescent="0.25">
      <x:c r="B1948" t="str">
        <x:f>"IDAT US Equity"</x:f>
        <x:v>IDAT US Equity</x:v>
      </x:c>
      <x:c r="C1948" t="str">
        <x:f t="shared" si="86"/>
        <x:v>FD447</x:v>
      </x:c>
      <x:c r="D1948" t="str">
        <x:f t="shared" si="87"/>
        <x:v>FUND_FLOW</x:v>
      </x:c>
      <x:c r="E1948" t="str">
        <x:f t="shared" si="88"/>
        <x:v>Dynamic</x:v>
      </x:c>
      <x:c r="F1948">
        <x:f ca="1">_xll.BDH($B$1948,$C$1948,$B$1010,$B$1011,CONCATENATE("Per=",$B$1008),"Dts=H","Dir=H",CONCATENATE("Points=",$B$1009),"Sort=R","Days=A","Fill=B",CONCATENATE("FX=", $B$1007),"cols=14;rows=1")</x:f>
        <x:v>0</x:v>
      </x:c>
      <x:c r="G1948">
        <x:v>0</x:v>
      </x:c>
      <x:c r="H1948">
        <x:v>0</x:v>
      </x:c>
      <x:c r="I1948">
        <x:v>0</x:v>
      </x:c>
      <x:c r="J1948">
        <x:v>0</x:v>
      </x:c>
      <x:c r="K1948">
        <x:v>0</x:v>
      </x:c>
      <x:c r="L1948">
        <x:v>0</x:v>
      </x:c>
      <x:c r="M1948">
        <x:v>0</x:v>
      </x:c>
      <x:c r="N1948">
        <x:v>-1.9343999999999999</x:v>
      </x:c>
      <x:c r="O1948">
        <x:v>0</x:v>
      </x:c>
      <x:c r="P1948">
        <x:v>0</x:v>
      </x:c>
      <x:c r="Q1948">
        <x:v>0</x:v>
      </x:c>
      <x:c r="R1948">
        <x:v>0</x:v>
      </x:c>
      <x:c r="S1948">
        <x:v>0</x:v>
      </x:c>
      <x:c r="T1948" t="str">
        <x:f>""</x:f>
        <x:v/>
      </x:c>
      <x:c r="U1948" t="str">
        <x:f>""</x:f>
        <x:v/>
      </x:c>
      <x:c r="V1948" t="str">
        <x:f>""</x:f>
        <x:v/>
      </x:c>
      <x:c r="W1948" t="str">
        <x:f>""</x:f>
        <x:v/>
      </x:c>
      <x:c r="X1948" t="str">
        <x:f>""</x:f>
        <x:v/>
      </x:c>
      <x:c r="Y1948" t="str">
        <x:f>""</x:f>
        <x:v/>
      </x:c>
      <x:c r="Z1948" t="str">
        <x:f>""</x:f>
        <x:v/>
      </x:c>
      <x:c r="AA1948" t="str">
        <x:f>""</x:f>
        <x:v/>
      </x:c>
      <x:c r="AB1948" t="str">
        <x:f>""</x:f>
        <x:v/>
      </x:c>
      <x:c r="AC1948" t="str">
        <x:f>""</x:f>
        <x:v/>
      </x:c>
      <x:c r="AD1948" t="str">
        <x:f>""</x:f>
        <x:v/>
      </x:c>
      <x:c r="AE1948" t="str">
        <x:f>""</x:f>
        <x:v/>
      </x:c>
      <x:c r="AF1948" t="str">
        <x:f>""</x:f>
        <x:v/>
      </x:c>
      <x:c r="AG1948" t="str">
        <x:f>""</x:f>
        <x:v/>
      </x:c>
    </x:row>
    <x:row r="1949" spans="2:33" x14ac:dyDescent="0.25">
      <x:c r="B1949" t="str">
        <x:f>"KFVG US Equity"</x:f>
        <x:v>KFVG US Equity</x:v>
      </x:c>
      <x:c r="C1949" t="str">
        <x:f t="shared" si="86"/>
        <x:v>FD447</x:v>
      </x:c>
      <x:c r="D1949" t="str">
        <x:f t="shared" si="87"/>
        <x:v>FUND_FLOW</x:v>
      </x:c>
      <x:c r="E1949" t="str">
        <x:f t="shared" si="88"/>
        <x:v>Dynamic</x:v>
      </x:c>
      <x:c r="F1949">
        <x:f ca="1">_xll.BDH($B$1949,$C$1949,$B$1010,$B$1011,CONCATENATE("Per=",$B$1008),"Dts=H","Dir=H",CONCATENATE("Points=",$B$1009),"Sort=R","Days=A","Fill=B",CONCATENATE("FX=", $B$1007),"cols=14;rows=1")</x:f>
        <x:v>0</x:v>
      </x:c>
      <x:c r="G1949">
        <x:v>-0.74</x:v>
      </x:c>
      <x:c r="H1949">
        <x:v>0</x:v>
      </x:c>
      <x:c r="I1949">
        <x:v>0</x:v>
      </x:c>
      <x:c r="J1949">
        <x:v>0</x:v>
      </x:c>
      <x:c r="K1949">
        <x:v>0</x:v>
      </x:c>
      <x:c r="L1949">
        <x:v>0</x:v>
      </x:c>
      <x:c r="M1949">
        <x:v>0</x:v>
      </x:c>
      <x:c r="N1949">
        <x:v>0</x:v>
      </x:c>
      <x:c r="O1949">
        <x:v>0</x:v>
      </x:c>
      <x:c r="P1949">
        <x:v>0</x:v>
      </x:c>
      <x:c r="Q1949">
        <x:v>0</x:v>
      </x:c>
      <x:c r="R1949">
        <x:v>-1.4590000000000001</x:v>
      </x:c>
      <x:c r="S1949">
        <x:v>-0.87250000000000005</x:v>
      </x:c>
      <x:c r="T1949" t="str">
        <x:f>""</x:f>
        <x:v/>
      </x:c>
      <x:c r="U1949" t="str">
        <x:f>""</x:f>
        <x:v/>
      </x:c>
      <x:c r="V1949" t="str">
        <x:f>""</x:f>
        <x:v/>
      </x:c>
      <x:c r="W1949" t="str">
        <x:f>""</x:f>
        <x:v/>
      </x:c>
      <x:c r="X1949" t="str">
        <x:f>""</x:f>
        <x:v/>
      </x:c>
      <x:c r="Y1949" t="str">
        <x:f>""</x:f>
        <x:v/>
      </x:c>
      <x:c r="Z1949" t="str">
        <x:f>""</x:f>
        <x:v/>
      </x:c>
      <x:c r="AA1949" t="str">
        <x:f>""</x:f>
        <x:v/>
      </x:c>
      <x:c r="AB1949" t="str">
        <x:f>""</x:f>
        <x:v/>
      </x:c>
      <x:c r="AC1949" t="str">
        <x:f>""</x:f>
        <x:v/>
      </x:c>
      <x:c r="AD1949" t="str">
        <x:f>""</x:f>
        <x:v/>
      </x:c>
      <x:c r="AE1949" t="str">
        <x:f>""</x:f>
        <x:v/>
      </x:c>
      <x:c r="AF1949" t="str">
        <x:f>""</x:f>
        <x:v/>
      </x:c>
      <x:c r="AG1949" t="str">
        <x:f>""</x:f>
        <x:v/>
      </x:c>
    </x:row>
    <x:row r="1950" spans="2:33" x14ac:dyDescent="0.25">
      <x:c r="B1950" t="str">
        <x:f>"FIVG US Equity"</x:f>
        <x:v>FIVG US Equity</x:v>
      </x:c>
      <x:c r="C1950" t="str">
        <x:f t="shared" si="86"/>
        <x:v>FD447</x:v>
      </x:c>
      <x:c r="D1950" t="str">
        <x:f t="shared" si="87"/>
        <x:v>FUND_FLOW</x:v>
      </x:c>
      <x:c r="E1950" t="str">
        <x:f t="shared" si="88"/>
        <x:v>Dynamic</x:v>
      </x:c>
      <x:c r="F1950">
        <x:f ca="1">_xll.BDH($B$1950,$C$1950,$B$1010,$B$1011,CONCATENATE("Per=",$B$1008),"Dts=H","Dir=H",CONCATENATE("Points=",$B$1009),"Sort=R","Days=A","Fill=B",CONCATENATE("FX=", $B$1007),"cols=14;rows=1")</x:f>
        <x:v>-19.360299999999999</x:v>
      </x:c>
      <x:c r="G1950">
        <x:v>-9.5352999999999994</x:v>
      </x:c>
      <x:c r="H1950">
        <x:v>-22.668500000000002</x:v>
      </x:c>
      <x:c r="I1950">
        <x:v>-15.105499999999999</x:v>
      </x:c>
      <x:c r="J1950">
        <x:v>-14.812200000000001</x:v>
      </x:c>
      <x:c r="K1950">
        <x:v>-40.375799999999998</x:v>
      </x:c>
      <x:c r="L1950">
        <x:v>-10.842000000000001</x:v>
      </x:c>
      <x:c r="M1950">
        <x:v>-19.0305</x:v>
      </x:c>
      <x:c r="N1950">
        <x:v>-19.790500000000002</x:v>
      </x:c>
      <x:c r="O1950">
        <x:v>-12.7593</x:v>
      </x:c>
      <x:c r="P1950">
        <x:v>-42.838299999999997</x:v>
      </x:c>
      <x:c r="Q1950">
        <x:v>-15.251899999999999</x:v>
      </x:c>
      <x:c r="R1950">
        <x:v>-20.0059</x:v>
      </x:c>
      <x:c r="S1950">
        <x:v>-25.9495</x:v>
      </x:c>
      <x:c r="T1950" t="str">
        <x:f>""</x:f>
        <x:v/>
      </x:c>
      <x:c r="U1950" t="str">
        <x:f>""</x:f>
        <x:v/>
      </x:c>
      <x:c r="V1950" t="str">
        <x:f>""</x:f>
        <x:v/>
      </x:c>
      <x:c r="W1950" t="str">
        <x:f>""</x:f>
        <x:v/>
      </x:c>
      <x:c r="X1950" t="str">
        <x:f>""</x:f>
        <x:v/>
      </x:c>
      <x:c r="Y1950" t="str">
        <x:f>""</x:f>
        <x:v/>
      </x:c>
      <x:c r="Z1950" t="str">
        <x:f>""</x:f>
        <x:v/>
      </x:c>
      <x:c r="AA1950" t="str">
        <x:f>""</x:f>
        <x:v/>
      </x:c>
      <x:c r="AB1950" t="str">
        <x:f>""</x:f>
        <x:v/>
      </x:c>
      <x:c r="AC1950" t="str">
        <x:f>""</x:f>
        <x:v/>
      </x:c>
      <x:c r="AD1950" t="str">
        <x:f>""</x:f>
        <x:v/>
      </x:c>
      <x:c r="AE1950" t="str">
        <x:f>""</x:f>
        <x:v/>
      </x:c>
      <x:c r="AF1950" t="str">
        <x:f>""</x:f>
        <x:v/>
      </x:c>
      <x:c r="AG1950" t="str">
        <x:f>""</x:f>
        <x:v/>
      </x:c>
    </x:row>
    <x:row r="1951" spans="2:33" x14ac:dyDescent="0.25">
      <x:c r="B1951" t="str">
        <x:f>"WUGI US Equity"</x:f>
        <x:v>WUGI US Equity</x:v>
      </x:c>
      <x:c r="C1951" t="str">
        <x:f t="shared" si="86"/>
        <x:v>FD447</x:v>
      </x:c>
      <x:c r="D1951" t="str">
        <x:f t="shared" si="87"/>
        <x:v>FUND_FLOW</x:v>
      </x:c>
      <x:c r="E1951" t="str">
        <x:f t="shared" si="88"/>
        <x:v>Dynamic</x:v>
      </x:c>
      <x:c r="F1951">
        <x:f ca="1">_xll.BDH($B$1951,$C$1951,$B$1010,$B$1011,CONCATENATE("Per=",$B$1008),"Dts=H","Dir=H",CONCATENATE("Points=",$B$1009),"Sort=R","Days=A","Fill=B",CONCATENATE("FX=", $B$1007),"cols=14;rows=1")</x:f>
        <x:v>0</x:v>
      </x:c>
      <x:c r="G1951">
        <x:v>-2.2330000000000001</x:v>
      </x:c>
      <x:c r="H1951">
        <x:v>2.2766999999999999</x:v>
      </x:c>
      <x:c r="I1951">
        <x:v>1.2475000000000001</x:v>
      </x:c>
      <x:c r="J1951">
        <x:v>0</x:v>
      </x:c>
      <x:c r="K1951">
        <x:v>0</x:v>
      </x:c>
      <x:c r="L1951">
        <x:v>-1.8657999999999999</x:v>
      </x:c>
      <x:c r="M1951">
        <x:v>0</x:v>
      </x:c>
      <x:c r="N1951">
        <x:v>0</x:v>
      </x:c>
      <x:c r="O1951">
        <x:v>0</x:v>
      </x:c>
      <x:c r="P1951">
        <x:v>0</x:v>
      </x:c>
      <x:c r="Q1951">
        <x:v>0</x:v>
      </x:c>
      <x:c r="R1951">
        <x:v>-1.6392</x:v>
      </x:c>
      <x:c r="S1951">
        <x:v>0</x:v>
      </x:c>
      <x:c r="T1951" t="str">
        <x:f>""</x:f>
        <x:v/>
      </x:c>
      <x:c r="U1951" t="str">
        <x:f>""</x:f>
        <x:v/>
      </x:c>
      <x:c r="V1951" t="str">
        <x:f>""</x:f>
        <x:v/>
      </x:c>
      <x:c r="W1951" t="str">
        <x:f>""</x:f>
        <x:v/>
      </x:c>
      <x:c r="X1951" t="str">
        <x:f>""</x:f>
        <x:v/>
      </x:c>
      <x:c r="Y1951" t="str">
        <x:f>""</x:f>
        <x:v/>
      </x:c>
      <x:c r="Z1951" t="str">
        <x:f>""</x:f>
        <x:v/>
      </x:c>
      <x:c r="AA1951" t="str">
        <x:f>""</x:f>
        <x:v/>
      </x:c>
      <x:c r="AB1951" t="str">
        <x:f>""</x:f>
        <x:v/>
      </x:c>
      <x:c r="AC1951" t="str">
        <x:f>""</x:f>
        <x:v/>
      </x:c>
      <x:c r="AD1951" t="str">
        <x:f>""</x:f>
        <x:v/>
      </x:c>
      <x:c r="AE1951" t="str">
        <x:f>""</x:f>
        <x:v/>
      </x:c>
      <x:c r="AF1951" t="str">
        <x:f>""</x:f>
        <x:v/>
      </x:c>
      <x:c r="AG1951" t="str">
        <x:f>""</x:f>
        <x:v/>
      </x:c>
    </x:row>
    <x:row r="1952" spans="2:33" x14ac:dyDescent="0.25">
      <x:c r="B1952" t="str">
        <x:f>"NXTG US Equity"</x:f>
        <x:v>NXTG US Equity</x:v>
      </x:c>
      <x:c r="C1952" t="str">
        <x:f t="shared" si="86"/>
        <x:v>FD447</x:v>
      </x:c>
      <x:c r="D1952" t="str">
        <x:f t="shared" si="87"/>
        <x:v>FUND_FLOW</x:v>
      </x:c>
      <x:c r="E1952" t="str">
        <x:f t="shared" si="88"/>
        <x:v>Dynamic</x:v>
      </x:c>
      <x:c r="F1952">
        <x:f ca="1">_xll.BDH($B$1952,$C$1952,$B$1010,$B$1011,CONCATENATE("Per=",$B$1008),"Dts=H","Dir=H",CONCATENATE("Points=",$B$1009),"Sort=R","Days=A","Fill=B",CONCATENATE("FX=", $B$1007),"cols=14;rows=1")</x:f>
        <x:v>-9.8568999999999996</x:v>
      </x:c>
      <x:c r="G1952">
        <x:v>-7.0063000000000004</x:v>
      </x:c>
      <x:c r="H1952">
        <x:v>-10.4613</x:v>
      </x:c>
      <x:c r="I1952">
        <x:v>-14.468999999999999</x:v>
      </x:c>
      <x:c r="J1952">
        <x:v>-10.647</x:v>
      </x:c>
      <x:c r="K1952">
        <x:v>-3.3559999999999999</x:v>
      </x:c>
      <x:c r="L1952">
        <x:v>-17.02</x:v>
      </x:c>
      <x:c r="M1952">
        <x:v>-13.378500000000001</x:v>
      </x:c>
      <x:c r="N1952">
        <x:v>-16.785499999999999</x:v>
      </x:c>
      <x:c r="O1952">
        <x:v>-19.386500000000002</x:v>
      </x:c>
      <x:c r="P1952">
        <x:v>-43.5261</x:v>
      </x:c>
      <x:c r="Q1952">
        <x:v>-18.034300000000002</x:v>
      </x:c>
      <x:c r="R1952">
        <x:v>-11.1896</x:v>
      </x:c>
      <x:c r="S1952">
        <x:v>-9.3306000000000004</x:v>
      </x:c>
      <x:c r="T1952" t="str">
        <x:f>""</x:f>
        <x:v/>
      </x:c>
      <x:c r="U1952" t="str">
        <x:f>""</x:f>
        <x:v/>
      </x:c>
      <x:c r="V1952" t="str">
        <x:f>""</x:f>
        <x:v/>
      </x:c>
      <x:c r="W1952" t="str">
        <x:f>""</x:f>
        <x:v/>
      </x:c>
      <x:c r="X1952" t="str">
        <x:f>""</x:f>
        <x:v/>
      </x:c>
      <x:c r="Y1952" t="str">
        <x:f>""</x:f>
        <x:v/>
      </x:c>
      <x:c r="Z1952" t="str">
        <x:f>""</x:f>
        <x:v/>
      </x:c>
      <x:c r="AA1952" t="str">
        <x:f>""</x:f>
        <x:v/>
      </x:c>
      <x:c r="AB1952" t="str">
        <x:f>""</x:f>
        <x:v/>
      </x:c>
      <x:c r="AC1952" t="str">
        <x:f>""</x:f>
        <x:v/>
      </x:c>
      <x:c r="AD1952" t="str">
        <x:f>""</x:f>
        <x:v/>
      </x:c>
      <x:c r="AE1952" t="str">
        <x:f>""</x:f>
        <x:v/>
      </x:c>
      <x:c r="AF1952" t="str">
        <x:f>""</x:f>
        <x:v/>
      </x:c>
      <x:c r="AG1952" t="str">
        <x:f>""</x:f>
        <x:v/>
      </x:c>
    </x:row>
    <x:row r="1953" spans="1:33" x14ac:dyDescent="0.25">
      <x:c r="B1953" t="str">
        <x:f>"TENG US Equity"</x:f>
        <x:v>TENG US Equity</x:v>
      </x:c>
      <x:c r="C1953" t="str">
        <x:f t="shared" si="86"/>
        <x:v>FD447</x:v>
      </x:c>
      <x:c r="D1953" t="str">
        <x:f t="shared" si="87"/>
        <x:v>FUND_FLOW</x:v>
      </x:c>
      <x:c r="E1953" t="str">
        <x:f t="shared" si="88"/>
        <x:v>Dynamic</x:v>
      </x:c>
      <x:c r="F1953" t="str">
        <x:f ca="1">_xll.BDH($B$1953,$C$1953,$B$1010,$B$1011,CONCATENATE("Per=",$B$1008),"Dts=H","Dir=H",CONCATENATE("Points=",$B$1009),"Sort=R","Days=A","Fill=B",CONCATENATE("FX=", $B$1007),"cols=14;rows=1")</x:f>
        <x:v/>
      </x:c>
      <x:c r="S1953">
        <x:v>-1.5580000000000001</x:v>
      </x:c>
      <x:c r="T1953" t="str">
        <x:f>""</x:f>
        <x:v/>
      </x:c>
      <x:c r="U1953" t="str">
        <x:f>""</x:f>
        <x:v/>
      </x:c>
      <x:c r="V1953" t="str">
        <x:f>""</x:f>
        <x:v/>
      </x:c>
      <x:c r="W1953" t="str">
        <x:f>""</x:f>
        <x:v/>
      </x:c>
      <x:c r="X1953" t="str">
        <x:f>""</x:f>
        <x:v/>
      </x:c>
      <x:c r="Y1953" t="str">
        <x:f>""</x:f>
        <x:v/>
      </x:c>
      <x:c r="Z1953" t="str">
        <x:f>""</x:f>
        <x:v/>
      </x:c>
      <x:c r="AA1953" t="str">
        <x:f>""</x:f>
        <x:v/>
      </x:c>
      <x:c r="AB1953" t="str">
        <x:f>""</x:f>
        <x:v/>
      </x:c>
      <x:c r="AC1953" t="str">
        <x:f>""</x:f>
        <x:v/>
      </x:c>
      <x:c r="AD1953" t="str">
        <x:f>""</x:f>
        <x:v/>
      </x:c>
      <x:c r="AE1953" t="str">
        <x:f>""</x:f>
        <x:v/>
      </x:c>
      <x:c r="AF1953" t="str">
        <x:f>""</x:f>
        <x:v/>
      </x:c>
      <x:c r="AG1953" t="str">
        <x:f>""</x:f>
        <x:v/>
      </x:c>
    </x:row>
    <x:row r="1954" spans="1:33" x14ac:dyDescent="0.25">
      <x:c r="B1954" t="str">
        <x:f>"CWC US Equity"</x:f>
        <x:v>CWC US Equity</x:v>
      </x:c>
      <x:c r="C1954" t="str">
        <x:f t="shared" si="86"/>
        <x:v>FD447</x:v>
      </x:c>
      <x:c r="D1954" t="str">
        <x:f t="shared" si="87"/>
        <x:v>FUND_FLOW</x:v>
      </x:c>
      <x:c r="E1954" t="str">
        <x:f t="shared" si="88"/>
        <x:v>Dynamic</x:v>
      </x:c>
      <x:c r="F1954">
        <x:f ca="1">_xll.BDH($B$1954,$C$1954,$B$1010,$B$1011,CONCATENATE("Per=",$B$1008),"Dts=H","Dir=H",CONCATENATE("Points=",$B$1009),"Sort=R","Days=A","Fill=B",CONCATENATE("FX=", $B$1007),"cols=14;rows=1")</x:f>
        <x:v>0.55030000000000001</x:v>
      </x:c>
      <x:c r="G1954">
        <x:v>0</x:v>
      </x:c>
      <x:c r="H1954">
        <x:v>-48.258200000000002</x:v>
      </x:c>
      <x:c r="I1954">
        <x:v>0</x:v>
      </x:c>
      <x:c r="J1954">
        <x:v>0.55969999999999998</x:v>
      </x:c>
      <x:c r="K1954">
        <x:v>0.48270000000000002</x:v>
      </x:c>
      <x:c r="L1954">
        <x:v>-1.0500000000000001E-2</x:v>
      </x:c>
      <x:c r="M1954">
        <x:v>5.4863</x:v>
      </x:c>
      <x:c r="N1954">
        <x:v>1.8334999999999999</x:v>
      </x:c>
      <x:c r="O1954">
        <x:v>0</x:v>
      </x:c>
      <x:c r="P1954">
        <x:v>27.845700000000001</x:v>
      </x:c>
      <x:c r="Q1954">
        <x:v>-1.1707000000000001</x:v>
      </x:c>
      <x:c r="R1954">
        <x:v>10.1403</x:v>
      </x:c>
      <x:c r="S1954">
        <x:v>0</x:v>
      </x:c>
      <x:c r="T1954" t="str">
        <x:f>""</x:f>
        <x:v/>
      </x:c>
      <x:c r="U1954" t="str">
        <x:f>""</x:f>
        <x:v/>
      </x:c>
      <x:c r="V1954" t="str">
        <x:f>""</x:f>
        <x:v/>
      </x:c>
      <x:c r="W1954" t="str">
        <x:f>""</x:f>
        <x:v/>
      </x:c>
      <x:c r="X1954" t="str">
        <x:f>""</x:f>
        <x:v/>
      </x:c>
      <x:c r="Y1954" t="str">
        <x:f>""</x:f>
        <x:v/>
      </x:c>
      <x:c r="Z1954" t="str">
        <x:f>""</x:f>
        <x:v/>
      </x:c>
      <x:c r="AA1954" t="str">
        <x:f>""</x:f>
        <x:v/>
      </x:c>
      <x:c r="AB1954" t="str">
        <x:f>""</x:f>
        <x:v/>
      </x:c>
      <x:c r="AC1954" t="str">
        <x:f>""</x:f>
        <x:v/>
      </x:c>
      <x:c r="AD1954" t="str">
        <x:f>""</x:f>
        <x:v/>
      </x:c>
      <x:c r="AE1954" t="str">
        <x:f>""</x:f>
        <x:v/>
      </x:c>
      <x:c r="AF1954" t="str">
        <x:f>""</x:f>
        <x:v/>
      </x:c>
      <x:c r="AG1954" t="str">
        <x:f>""</x:f>
        <x:v/>
      </x:c>
    </x:row>
    <x:row r="1955" spans="1:33" x14ac:dyDescent="0.25">
      <x:c r="B1955" t="str">
        <x:f>"METV US Equity"</x:f>
        <x:v>METV US Equity</x:v>
      </x:c>
      <x:c r="C1955" t="str">
        <x:f t="shared" si="86"/>
        <x:v>FD447</x:v>
      </x:c>
      <x:c r="D1955" t="str">
        <x:f t="shared" si="87"/>
        <x:v>FUND_FLOW</x:v>
      </x:c>
      <x:c r="E1955" t="str">
        <x:f t="shared" si="88"/>
        <x:v>Dynamic</x:v>
      </x:c>
      <x:c r="F1955">
        <x:f ca="1">_xll.BDH($B$1955,$C$1955,$B$1010,$B$1011,CONCATENATE("Per=",$B$1008),"Dts=H","Dir=H",CONCATENATE("Points=",$B$1009),"Sort=R","Days=A","Fill=B",CONCATENATE("FX=", $B$1007),"cols=14;rows=1")</x:f>
        <x:v>-15.532500000000001</x:v>
      </x:c>
      <x:c r="G1955">
        <x:v>-8.6556999999999995</x:v>
      </x:c>
      <x:c r="H1955">
        <x:v>-20.4345</x:v>
      </x:c>
      <x:c r="I1955">
        <x:v>-15.8775</x:v>
      </x:c>
      <x:c r="J1955">
        <x:v>-0.90639999999999998</x:v>
      </x:c>
      <x:c r="K1955">
        <x:v>-2.2136999999999998</x:v>
      </x:c>
      <x:c r="L1955">
        <x:v>-2.9072</x:v>
      </x:c>
      <x:c r="M1955">
        <x:v>-4.4256000000000002</x:v>
      </x:c>
      <x:c r="N1955">
        <x:v>-3.6846000000000001</x:v>
      </x:c>
      <x:c r="O1955">
        <x:v>-15.866300000000001</x:v>
      </x:c>
      <x:c r="P1955">
        <x:v>-12.585900000000001</x:v>
      </x:c>
      <x:c r="Q1955">
        <x:v>-10.0914</x:v>
      </x:c>
      <x:c r="R1955">
        <x:v>-8.5687999999999995</x:v>
      </x:c>
      <x:c r="S1955">
        <x:v>-9.1905999999999999</x:v>
      </x:c>
      <x:c r="T1955" t="str">
        <x:f>""</x:f>
        <x:v/>
      </x:c>
      <x:c r="U1955" t="str">
        <x:f>""</x:f>
        <x:v/>
      </x:c>
      <x:c r="V1955" t="str">
        <x:f>""</x:f>
        <x:v/>
      </x:c>
      <x:c r="W1955" t="str">
        <x:f>""</x:f>
        <x:v/>
      </x:c>
      <x:c r="X1955" t="str">
        <x:f>""</x:f>
        <x:v/>
      </x:c>
      <x:c r="Y1955" t="str">
        <x:f>""</x:f>
        <x:v/>
      </x:c>
      <x:c r="Z1955" t="str">
        <x:f>""</x:f>
        <x:v/>
      </x:c>
      <x:c r="AA1955" t="str">
        <x:f>""</x:f>
        <x:v/>
      </x:c>
      <x:c r="AB1955" t="str">
        <x:f>""</x:f>
        <x:v/>
      </x:c>
      <x:c r="AC1955" t="str">
        <x:f>""</x:f>
        <x:v/>
      </x:c>
      <x:c r="AD1955" t="str">
        <x:f>""</x:f>
        <x:v/>
      </x:c>
      <x:c r="AE1955" t="str">
        <x:f>""</x:f>
        <x:v/>
      </x:c>
      <x:c r="AF1955" t="str">
        <x:f>""</x:f>
        <x:v/>
      </x:c>
      <x:c r="AG1955" t="str">
        <x:f>""</x:f>
        <x:v/>
      </x:c>
    </x:row>
    <x:row r="1956" spans="1:33" x14ac:dyDescent="0.25">
      <x:c r="B1956" t="str">
        <x:f>"MTVR US Equity"</x:f>
        <x:v>MTVR US Equity</x:v>
      </x:c>
      <x:c r="C1956" t="str">
        <x:f t="shared" si="86"/>
        <x:v>FD447</x:v>
      </x:c>
      <x:c r="D1956" t="str">
        <x:f t="shared" si="87"/>
        <x:v>FUND_FLOW</x:v>
      </x:c>
      <x:c r="E1956" t="str">
        <x:f t="shared" si="88"/>
        <x:v>Dynamic</x:v>
      </x:c>
      <x:c r="F1956" t="str">
        <x:f ca="1">_xll.BDH($B$1956,$C$1956,$B$1010,$B$1011,CONCATENATE("Per=",$B$1008),"Dts=H","Dir=H",CONCATENATE("Points=",$B$1009),"Sort=R","Days=A","Fill=B",CONCATENATE("FX=", $B$1007),"cols=14;rows=1")</x:f>
        <x:v/>
      </x:c>
      <x:c r="I1956">
        <x:v>-0.46250000000000002</x:v>
      </x:c>
      <x:c r="J1956">
        <x:v>0</x:v>
      </x:c>
      <x:c r="K1956">
        <x:v>0</x:v>
      </x:c>
      <x:c r="L1956">
        <x:v>-0.82430000000000003</x:v>
      </x:c>
      <x:c r="M1956">
        <x:v>0</x:v>
      </x:c>
      <x:c r="N1956">
        <x:v>-0.40910000000000002</x:v>
      </x:c>
      <x:c r="O1956">
        <x:v>-1.5747</x:v>
      </x:c>
      <x:c r="P1956">
        <x:v>0</x:v>
      </x:c>
      <x:c r="Q1956">
        <x:v>0</x:v>
      </x:c>
      <x:c r="R1956">
        <x:v>0</x:v>
      </x:c>
      <x:c r="S1956">
        <x:v>0</x:v>
      </x:c>
      <x:c r="T1956" t="str">
        <x:f>""</x:f>
        <x:v/>
      </x:c>
      <x:c r="U1956" t="str">
        <x:f>""</x:f>
        <x:v/>
      </x:c>
      <x:c r="V1956" t="str">
        <x:f>""</x:f>
        <x:v/>
      </x:c>
      <x:c r="W1956" t="str">
        <x:f>""</x:f>
        <x:v/>
      </x:c>
      <x:c r="X1956" t="str">
        <x:f>""</x:f>
        <x:v/>
      </x:c>
      <x:c r="Y1956" t="str">
        <x:f>""</x:f>
        <x:v/>
      </x:c>
      <x:c r="Z1956" t="str">
        <x:f>""</x:f>
        <x:v/>
      </x:c>
      <x:c r="AA1956" t="str">
        <x:f>""</x:f>
        <x:v/>
      </x:c>
      <x:c r="AB1956" t="str">
        <x:f>""</x:f>
        <x:v/>
      </x:c>
      <x:c r="AC1956" t="str">
        <x:f>""</x:f>
        <x:v/>
      </x:c>
      <x:c r="AD1956" t="str">
        <x:f>""</x:f>
        <x:v/>
      </x:c>
      <x:c r="AE1956" t="str">
        <x:f>""</x:f>
        <x:v/>
      </x:c>
      <x:c r="AF1956" t="str">
        <x:f>""</x:f>
        <x:v/>
      </x:c>
      <x:c r="AG1956" t="str">
        <x:f>""</x:f>
        <x:v/>
      </x:c>
    </x:row>
    <x:row r="1957" spans="1:33" x14ac:dyDescent="0.25">
      <x:c r="B1957" t="str">
        <x:f>"ESPO US Equity"</x:f>
        <x:v>ESPO US Equity</x:v>
      </x:c>
      <x:c r="C1957" t="str">
        <x:f t="shared" si="86"/>
        <x:v>FD447</x:v>
      </x:c>
      <x:c r="D1957" t="str">
        <x:f t="shared" si="87"/>
        <x:v>FUND_FLOW</x:v>
      </x:c>
      <x:c r="E1957" t="str">
        <x:f t="shared" si="88"/>
        <x:v>Dynamic</x:v>
      </x:c>
      <x:c r="F1957">
        <x:f ca="1">_xll.BDH($B$1957,$C$1957,$B$1010,$B$1011,CONCATENATE("Per=",$B$1008),"Dts=H","Dir=H",CONCATENATE("Points=",$B$1009),"Sort=R","Days=A","Fill=B",CONCATENATE("FX=", $B$1007),"cols=14;rows=1")</x:f>
        <x:v>-2.5158</x:v>
      </x:c>
      <x:c r="G1957">
        <x:v>-12.994999999999999</x:v>
      </x:c>
      <x:c r="H1957">
        <x:v>-10.787000000000001</x:v>
      </x:c>
      <x:c r="I1957">
        <x:v>-11.531599999999999</x:v>
      </x:c>
      <x:c r="J1957">
        <x:v>-2.8205</x:v>
      </x:c>
      <x:c r="K1957">
        <x:v>0</x:v>
      </x:c>
      <x:c r="L1957">
        <x:v>-5.0343999999999998</x:v>
      </x:c>
      <x:c r="M1957">
        <x:v>-4.8226000000000004</x:v>
      </x:c>
      <x:c r="N1957">
        <x:v>-4.8872</x:v>
      </x:c>
      <x:c r="O1957">
        <x:v>-2.4310999999999998</x:v>
      </x:c>
      <x:c r="P1957">
        <x:v>-2.2669999999999999</x:v>
      </x:c>
      <x:c r="Q1957">
        <x:v>-19.6021</x:v>
      </x:c>
      <x:c r="R1957">
        <x:v>-8.0033999999999992</x:v>
      </x:c>
      <x:c r="S1957">
        <x:v>-4.4333999999999998</x:v>
      </x:c>
      <x:c r="T1957" t="str">
        <x:f>""</x:f>
        <x:v/>
      </x:c>
      <x:c r="U1957" t="str">
        <x:f>""</x:f>
        <x:v/>
      </x:c>
      <x:c r="V1957" t="str">
        <x:f>""</x:f>
        <x:v/>
      </x:c>
      <x:c r="W1957" t="str">
        <x:f>""</x:f>
        <x:v/>
      </x:c>
      <x:c r="X1957" t="str">
        <x:f>""</x:f>
        <x:v/>
      </x:c>
      <x:c r="Y1957" t="str">
        <x:f>""</x:f>
        <x:v/>
      </x:c>
      <x:c r="Z1957" t="str">
        <x:f>""</x:f>
        <x:v/>
      </x:c>
      <x:c r="AA1957" t="str">
        <x:f>""</x:f>
        <x:v/>
      </x:c>
      <x:c r="AB1957" t="str">
        <x:f>""</x:f>
        <x:v/>
      </x:c>
      <x:c r="AC1957" t="str">
        <x:f>""</x:f>
        <x:v/>
      </x:c>
      <x:c r="AD1957" t="str">
        <x:f>""</x:f>
        <x:v/>
      </x:c>
      <x:c r="AE1957" t="str">
        <x:f>""</x:f>
        <x:v/>
      </x:c>
      <x:c r="AF1957" t="str">
        <x:f>""</x:f>
        <x:v/>
      </x:c>
      <x:c r="AG1957" t="str">
        <x:f>""</x:f>
        <x:v/>
      </x:c>
    </x:row>
    <x:row r="1958" spans="1:33" x14ac:dyDescent="0.25">
      <x:c r="B1958" t="str">
        <x:f>"NERD US Equity"</x:f>
        <x:v>NERD US Equity</x:v>
      </x:c>
      <x:c r="C1958" t="str">
        <x:f t="shared" si="86"/>
        <x:v>FD447</x:v>
      </x:c>
      <x:c r="D1958" t="str">
        <x:f t="shared" si="87"/>
        <x:v>FUND_FLOW</x:v>
      </x:c>
      <x:c r="E1958" t="str">
        <x:f t="shared" si="88"/>
        <x:v>Dynamic</x:v>
      </x:c>
      <x:c r="F1958">
        <x:f ca="1">_xll.BDH($B$1958,$C$1958,$B$1010,$B$1011,CONCATENATE("Per=",$B$1008),"Dts=H","Dir=H",CONCATENATE("Points=",$B$1009),"Sort=R","Days=A","Fill=B",CONCATENATE("FX=", $B$1007),"cols=14;rows=1")</x:f>
        <x:v>0</x:v>
      </x:c>
      <x:c r="G1958">
        <x:v>0</x:v>
      </x:c>
      <x:c r="H1958">
        <x:v>-1.0771999999999999</x:v>
      </x:c>
      <x:c r="I1958">
        <x:v>0</x:v>
      </x:c>
      <x:c r="J1958">
        <x:v>-1.1873</x:v>
      </x:c>
      <x:c r="K1958">
        <x:v>0</x:v>
      </x:c>
      <x:c r="L1958">
        <x:v>0</x:v>
      </x:c>
      <x:c r="M1958">
        <x:v>-2.1471</x:v>
      </x:c>
      <x:c r="N1958">
        <x:v>0</x:v>
      </x:c>
      <x:c r="O1958">
        <x:v>0</x:v>
      </x:c>
      <x:c r="P1958">
        <x:v>0</x:v>
      </x:c>
      <x:c r="Q1958">
        <x:v>-1.0539000000000001</x:v>
      </x:c>
      <x:c r="R1958">
        <x:v>-0.33479999999999999</x:v>
      </x:c>
      <x:c r="S1958">
        <x:v>-0.77639999999999998</x:v>
      </x:c>
      <x:c r="T1958" t="str">
        <x:f>""</x:f>
        <x:v/>
      </x:c>
      <x:c r="U1958" t="str">
        <x:f>""</x:f>
        <x:v/>
      </x:c>
      <x:c r="V1958" t="str">
        <x:f>""</x:f>
        <x:v/>
      </x:c>
      <x:c r="W1958" t="str">
        <x:f>""</x:f>
        <x:v/>
      </x:c>
      <x:c r="X1958" t="str">
        <x:f>""</x:f>
        <x:v/>
      </x:c>
      <x:c r="Y1958" t="str">
        <x:f>""</x:f>
        <x:v/>
      </x:c>
      <x:c r="Z1958" t="str">
        <x:f>""</x:f>
        <x:v/>
      </x:c>
      <x:c r="AA1958" t="str">
        <x:f>""</x:f>
        <x:v/>
      </x:c>
      <x:c r="AB1958" t="str">
        <x:f>""</x:f>
        <x:v/>
      </x:c>
      <x:c r="AC1958" t="str">
        <x:f>""</x:f>
        <x:v/>
      </x:c>
      <x:c r="AD1958" t="str">
        <x:f>""</x:f>
        <x:v/>
      </x:c>
      <x:c r="AE1958" t="str">
        <x:f>""</x:f>
        <x:v/>
      </x:c>
      <x:c r="AF1958" t="str">
        <x:f>""</x:f>
        <x:v/>
      </x:c>
      <x:c r="AG1958" t="str">
        <x:f>""</x:f>
        <x:v/>
      </x:c>
    </x:row>
    <x:row r="1959" spans="1:33" x14ac:dyDescent="0.25">
      <x:c r="B1959" t="str">
        <x:f>"VIDG US Equity"</x:f>
        <x:v>VIDG US Equity</x:v>
      </x:c>
      <x:c r="C1959" t="str">
        <x:f t="shared" si="86"/>
        <x:v>FD447</x:v>
      </x:c>
      <x:c r="D1959" t="str">
        <x:f t="shared" si="87"/>
        <x:v>FUND_FLOW</x:v>
      </x:c>
      <x:c r="E1959" t="str">
        <x:f t="shared" si="88"/>
        <x:v>Dynamic</x:v>
      </x:c>
      <x:c r="F1959" t="str">
        <x:f ca="1">_xll.BDH($B$1959,$C$1959,$B$1010,$B$1011,CONCATENATE("Per=",$B$1008),"Dts=H","Dir=H",CONCATENATE("Points=",$B$1009),"Sort=R","Days=A","Fill=B",CONCATENATE("FX=", $B$1007) )</x:f>
        <x:v/>
      </x:c>
      <x:c r="T1959" t="str">
        <x:f>""</x:f>
        <x:v/>
      </x:c>
      <x:c r="U1959" t="str">
        <x:f>""</x:f>
        <x:v/>
      </x:c>
      <x:c r="V1959" t="str">
        <x:f>""</x:f>
        <x:v/>
      </x:c>
      <x:c r="W1959" t="str">
        <x:f>""</x:f>
        <x:v/>
      </x:c>
      <x:c r="X1959" t="str">
        <x:f>""</x:f>
        <x:v/>
      </x:c>
      <x:c r="Y1959" t="str">
        <x:f>""</x:f>
        <x:v/>
      </x:c>
      <x:c r="Z1959" t="str">
        <x:f>""</x:f>
        <x:v/>
      </x:c>
      <x:c r="AA1959" t="str">
        <x:f>""</x:f>
        <x:v/>
      </x:c>
      <x:c r="AB1959" t="str">
        <x:f>""</x:f>
        <x:v/>
      </x:c>
      <x:c r="AC1959" t="str">
        <x:f>""</x:f>
        <x:v/>
      </x:c>
      <x:c r="AD1959" t="str">
        <x:f>""</x:f>
        <x:v/>
      </x:c>
      <x:c r="AE1959" t="str">
        <x:f>""</x:f>
        <x:v/>
      </x:c>
      <x:c r="AF1959" t="str">
        <x:f>""</x:f>
        <x:v/>
      </x:c>
      <x:c r="AG1959" t="str">
        <x:f>""</x:f>
        <x:v/>
      </x:c>
    </x:row>
    <x:row r="1960" spans="1:33" x14ac:dyDescent="0.25">
      <x:c r="B1960" t="str">
        <x:f>"HERO US Equity"</x:f>
        <x:v>HERO US Equity</x:v>
      </x:c>
      <x:c r="C1960" t="str">
        <x:f t="shared" si="86"/>
        <x:v>FD447</x:v>
      </x:c>
      <x:c r="D1960" t="str">
        <x:f t="shared" si="87"/>
        <x:v>FUND_FLOW</x:v>
      </x:c>
      <x:c r="E1960" t="str">
        <x:f t="shared" si="88"/>
        <x:v>Dynamic</x:v>
      </x:c>
      <x:c r="F1960">
        <x:f ca="1">_xll.BDH($B$1960,$C$1960,$B$1010,$B$1011,CONCATENATE("Per=",$B$1008),"Dts=H","Dir=H",CONCATENATE("Points=",$B$1009),"Sort=R","Days=A","Fill=B",CONCATENATE("FX=", $B$1007),"cols=14;rows=1")</x:f>
        <x:v>0</x:v>
      </x:c>
      <x:c r="G1960">
        <x:v>-26.672999999999998</x:v>
      </x:c>
      <x:c r="H1960">
        <x:v>-2.5808</x:v>
      </x:c>
      <x:c r="I1960">
        <x:v>2.4533999999999998</x:v>
      </x:c>
      <x:c r="J1960">
        <x:v>-0.81079999999999997</x:v>
      </x:c>
      <x:c r="K1960">
        <x:v>-4.4603999999999999</x:v>
      </x:c>
      <x:c r="L1960">
        <x:v>4.0739999999999998</x:v>
      </x:c>
      <x:c r="M1960">
        <x:v>7.08</x:v>
      </x:c>
      <x:c r="N1960">
        <x:v>-8.1981999999999999</x:v>
      </x:c>
      <x:c r="O1960">
        <x:v>-7.4996</x:v>
      </x:c>
      <x:c r="P1960">
        <x:v>-0.69410000000000005</x:v>
      </x:c>
      <x:c r="Q1960">
        <x:v>-7.2096</x:v>
      </x:c>
      <x:c r="R1960">
        <x:v>-1.4872000000000001</x:v>
      </x:c>
      <x:c r="S1960">
        <x:v>5.9928999999999997</x:v>
      </x:c>
      <x:c r="T1960" t="str">
        <x:f>""</x:f>
        <x:v/>
      </x:c>
      <x:c r="U1960" t="str">
        <x:f>""</x:f>
        <x:v/>
      </x:c>
      <x:c r="V1960" t="str">
        <x:f>""</x:f>
        <x:v/>
      </x:c>
      <x:c r="W1960" t="str">
        <x:f>""</x:f>
        <x:v/>
      </x:c>
      <x:c r="X1960" t="str">
        <x:f>""</x:f>
        <x:v/>
      </x:c>
      <x:c r="Y1960" t="str">
        <x:f>""</x:f>
        <x:v/>
      </x:c>
      <x:c r="Z1960" t="str">
        <x:f>""</x:f>
        <x:v/>
      </x:c>
      <x:c r="AA1960" t="str">
        <x:f>""</x:f>
        <x:v/>
      </x:c>
      <x:c r="AB1960" t="str">
        <x:f>""</x:f>
        <x:v/>
      </x:c>
      <x:c r="AC1960" t="str">
        <x:f>""</x:f>
        <x:v/>
      </x:c>
      <x:c r="AD1960" t="str">
        <x:f>""</x:f>
        <x:v/>
      </x:c>
      <x:c r="AE1960" t="str">
        <x:f>""</x:f>
        <x:v/>
      </x:c>
      <x:c r="AF1960" t="str">
        <x:f>""</x:f>
        <x:v/>
      </x:c>
      <x:c r="AG1960" t="str">
        <x:f>""</x:f>
        <x:v/>
      </x:c>
    </x:row>
    <x:row r="1961" spans="1:33" x14ac:dyDescent="0.25">
      <x:c r="B1961" t="str">
        <x:f>"GAMR US Equity"</x:f>
        <x:v>GAMR US Equity</x:v>
      </x:c>
      <x:c r="C1961" t="str">
        <x:f t="shared" si="86"/>
        <x:v>FD447</x:v>
      </x:c>
      <x:c r="D1961" t="str">
        <x:f t="shared" si="87"/>
        <x:v>FUND_FLOW</x:v>
      </x:c>
      <x:c r="E1961" t="str">
        <x:f t="shared" si="88"/>
        <x:v>Dynamic</x:v>
      </x:c>
      <x:c r="F1961">
        <x:f ca="1">_xll.BDH($B$1961,$C$1961,$B$1010,$B$1011,CONCATENATE("Per=",$B$1008),"Dts=H","Dir=H",CONCATENATE("Points=",$B$1009),"Sort=R","Days=A","Fill=B",CONCATENATE("FX=", $B$1007),"cols=14;rows=1")</x:f>
        <x:v>0</x:v>
      </x:c>
      <x:c r="G1961">
        <x:v>0</x:v>
      </x:c>
      <x:c r="H1961">
        <x:v>0</x:v>
      </x:c>
      <x:c r="I1961">
        <x:v>0</x:v>
      </x:c>
      <x:c r="J1961">
        <x:v>0</x:v>
      </x:c>
      <x:c r="K1961">
        <x:v>-2.9603000000000002</x:v>
      </x:c>
      <x:c r="L1961">
        <x:v>0</x:v>
      </x:c>
      <x:c r="M1961">
        <x:v>-2.9123000000000001</x:v>
      </x:c>
      <x:c r="N1961">
        <x:v>0</x:v>
      </x:c>
      <x:c r="O1961">
        <x:v>-2.8477000000000001</x:v>
      </x:c>
      <x:c r="P1961">
        <x:v>0</x:v>
      </x:c>
      <x:c r="Q1961">
        <x:v>-2.5596000000000001</x:v>
      </x:c>
      <x:c r="R1961">
        <x:v>0</x:v>
      </x:c>
      <x:c r="S1961">
        <x:v>0</x:v>
      </x:c>
      <x:c r="T1961" t="str">
        <x:f>""</x:f>
        <x:v/>
      </x:c>
      <x:c r="U1961" t="str">
        <x:f>""</x:f>
        <x:v/>
      </x:c>
      <x:c r="V1961" t="str">
        <x:f>""</x:f>
        <x:v/>
      </x:c>
      <x:c r="W1961" t="str">
        <x:f>""</x:f>
        <x:v/>
      </x:c>
      <x:c r="X1961" t="str">
        <x:f>""</x:f>
        <x:v/>
      </x:c>
      <x:c r="Y1961" t="str">
        <x:f>""</x:f>
        <x:v/>
      </x:c>
      <x:c r="Z1961" t="str">
        <x:f>""</x:f>
        <x:v/>
      </x:c>
      <x:c r="AA1961" t="str">
        <x:f>""</x:f>
        <x:v/>
      </x:c>
      <x:c r="AB1961" t="str">
        <x:f>""</x:f>
        <x:v/>
      </x:c>
      <x:c r="AC1961" t="str">
        <x:f>""</x:f>
        <x:v/>
      </x:c>
      <x:c r="AD1961" t="str">
        <x:f>""</x:f>
        <x:v/>
      </x:c>
      <x:c r="AE1961" t="str">
        <x:f>""</x:f>
        <x:v/>
      </x:c>
      <x:c r="AF1961" t="str">
        <x:f>""</x:f>
        <x:v/>
      </x:c>
      <x:c r="AG1961" t="str">
        <x:f>""</x:f>
        <x:v/>
      </x:c>
    </x:row>
    <x:row r="1962" spans="1:33" x14ac:dyDescent="0.25">
      <x:c r="B1962" t="str">
        <x:f>"PUNK US Equity"</x:f>
        <x:v>PUNK US Equity</x:v>
      </x:c>
      <x:c r="C1962" t="str">
        <x:f t="shared" si="86"/>
        <x:v>FD447</x:v>
      </x:c>
      <x:c r="D1962" t="str">
        <x:f t="shared" si="87"/>
        <x:v>FUND_FLOW</x:v>
      </x:c>
      <x:c r="E1962" t="str">
        <x:f t="shared" si="88"/>
        <x:v>Dynamic</x:v>
      </x:c>
      <x:c r="F1962" t="str">
        <x:f ca="1">_xll.BDH($B$1962,$C$1962,$B$1010,$B$1011,CONCATENATE("Per=",$B$1008),"Dts=H","Dir=H",CONCATENATE("Points=",$B$1009),"Sort=R","Days=A","Fill=B",CONCATENATE("FX=", $B$1007),"cols=14;rows=1")</x:f>
        <x:v/>
      </x:c>
      <x:c r="K1962">
        <x:v>0</x:v>
      </x:c>
      <x:c r="L1962">
        <x:v>0</x:v>
      </x:c>
      <x:c r="M1962">
        <x:v>0</x:v>
      </x:c>
      <x:c r="N1962">
        <x:v>0</x:v>
      </x:c>
      <x:c r="O1962">
        <x:v>0</x:v>
      </x:c>
      <x:c r="P1962">
        <x:v>0</x:v>
      </x:c>
      <x:c r="Q1962">
        <x:v>0</x:v>
      </x:c>
      <x:c r="R1962">
        <x:v>0</x:v>
      </x:c>
      <x:c r="S1962">
        <x:v>0</x:v>
      </x:c>
      <x:c r="T1962" t="str">
        <x:f>""</x:f>
        <x:v/>
      </x:c>
      <x:c r="U1962" t="str">
        <x:f>""</x:f>
        <x:v/>
      </x:c>
      <x:c r="V1962" t="str">
        <x:f>""</x:f>
        <x:v/>
      </x:c>
      <x:c r="W1962" t="str">
        <x:f>""</x:f>
        <x:v/>
      </x:c>
      <x:c r="X1962" t="str">
        <x:f>""</x:f>
        <x:v/>
      </x:c>
      <x:c r="Y1962" t="str">
        <x:f>""</x:f>
        <x:v/>
      </x:c>
      <x:c r="Z1962" t="str">
        <x:f>""</x:f>
        <x:v/>
      </x:c>
      <x:c r="AA1962" t="str">
        <x:f>""</x:f>
        <x:v/>
      </x:c>
      <x:c r="AB1962" t="str">
        <x:f>""</x:f>
        <x:v/>
      </x:c>
      <x:c r="AC1962" t="str">
        <x:f>""</x:f>
        <x:v/>
      </x:c>
      <x:c r="AD1962" t="str">
        <x:f>""</x:f>
        <x:v/>
      </x:c>
      <x:c r="AE1962" t="str">
        <x:f>""</x:f>
        <x:v/>
      </x:c>
      <x:c r="AF1962" t="str">
        <x:f>""</x:f>
        <x:v/>
      </x:c>
      <x:c r="AG1962" t="str">
        <x:f>""</x:f>
        <x:v/>
      </x:c>
    </x:row>
    <x:row r="1963" spans="1:33" x14ac:dyDescent="0.25">
      <x:c r="B1963" t="str">
        <x:f>"BNGE US Equity"</x:f>
        <x:v>BNGE US Equity</x:v>
      </x:c>
      <x:c r="C1963" t="str">
        <x:f t="shared" si="86"/>
        <x:v>FD447</x:v>
      </x:c>
      <x:c r="D1963" t="str">
        <x:f t="shared" si="87"/>
        <x:v>FUND_FLOW</x:v>
      </x:c>
      <x:c r="E1963" t="str">
        <x:f t="shared" si="88"/>
        <x:v>Dynamic</x:v>
      </x:c>
      <x:c r="F1963">
        <x:f ca="1">_xll.BDH($B$1963,$C$1963,$B$1010,$B$1011,CONCATENATE("Per=",$B$1008),"Dts=H","Dir=H",CONCATENATE("Points=",$B$1009),"Sort=R","Days=A","Fill=B",CONCATENATE("FX=", $B$1007),"cols=14;rows=1")</x:f>
        <x:v>0</x:v>
      </x:c>
      <x:c r="G1963">
        <x:v>0</x:v>
      </x:c>
      <x:c r="H1963">
        <x:v>0</x:v>
      </x:c>
      <x:c r="I1963">
        <x:v>0</x:v>
      </x:c>
      <x:c r="J1963">
        <x:v>0</x:v>
      </x:c>
      <x:c r="K1963">
        <x:v>0</x:v>
      </x:c>
      <x:c r="L1963">
        <x:v>0</x:v>
      </x:c>
      <x:c r="M1963">
        <x:v>0</x:v>
      </x:c>
      <x:c r="N1963">
        <x:v>0</x:v>
      </x:c>
      <x:c r="O1963">
        <x:v>0</x:v>
      </x:c>
      <x:c r="P1963">
        <x:v>0</x:v>
      </x:c>
      <x:c r="Q1963">
        <x:v>0</x:v>
      </x:c>
      <x:c r="R1963">
        <x:v>0</x:v>
      </x:c>
      <x:c r="S1963">
        <x:v>0</x:v>
      </x:c>
      <x:c r="T1963" t="str">
        <x:f>""</x:f>
        <x:v/>
      </x:c>
      <x:c r="U1963" t="str">
        <x:f>""</x:f>
        <x:v/>
      </x:c>
      <x:c r="V1963" t="str">
        <x:f>""</x:f>
        <x:v/>
      </x:c>
      <x:c r="W1963" t="str">
        <x:f>""</x:f>
        <x:v/>
      </x:c>
      <x:c r="X1963" t="str">
        <x:f>""</x:f>
        <x:v/>
      </x:c>
      <x:c r="Y1963" t="str">
        <x:f>""</x:f>
        <x:v/>
      </x:c>
      <x:c r="Z1963" t="str">
        <x:f>""</x:f>
        <x:v/>
      </x:c>
      <x:c r="AA1963" t="str">
        <x:f>""</x:f>
        <x:v/>
      </x:c>
      <x:c r="AB1963" t="str">
        <x:f>""</x:f>
        <x:v/>
      </x:c>
      <x:c r="AC1963" t="str">
        <x:f>""</x:f>
        <x:v/>
      </x:c>
      <x:c r="AD1963" t="str">
        <x:f>""</x:f>
        <x:v/>
      </x:c>
      <x:c r="AE1963" t="str">
        <x:f>""</x:f>
        <x:v/>
      </x:c>
      <x:c r="AF1963" t="str">
        <x:f>""</x:f>
        <x:v/>
      </x:c>
      <x:c r="AG1963" t="str">
        <x:f>""</x:f>
        <x:v/>
      </x:c>
    </x:row>
    <x:row r="1964" spans="1:33" x14ac:dyDescent="0.25">
      <x:c r="B1964" t="str">
        <x:f>"ARVR US Equity"</x:f>
        <x:v>ARVR US Equity</x:v>
      </x:c>
      <x:c r="C1964" t="str">
        <x:f t="shared" si="86"/>
        <x:v>FD447</x:v>
      </x:c>
      <x:c r="D1964" t="str">
        <x:f t="shared" si="87"/>
        <x:v>FUND_FLOW</x:v>
      </x:c>
      <x:c r="E1964" t="str">
        <x:f t="shared" si="88"/>
        <x:v>Dynamic</x:v>
      </x:c>
      <x:c r="F1964">
        <x:f ca="1">_xll.BDH($B$1964,$C$1964,$B$1010,$B$1011,CONCATENATE("Per=",$B$1008),"Dts=H","Dir=H",CONCATENATE("Points=",$B$1009),"Sort=R","Days=A","Fill=B",CONCATENATE("FX=", $B$1007),"cols=14;rows=1")</x:f>
        <x:v>0</x:v>
      </x:c>
      <x:c r="G1964">
        <x:v>0</x:v>
      </x:c>
      <x:c r="H1964">
        <x:v>0</x:v>
      </x:c>
      <x:c r="I1964">
        <x:v>0</x:v>
      </x:c>
      <x:c r="J1964">
        <x:v>0</x:v>
      </x:c>
      <x:c r="K1964">
        <x:v>0</x:v>
      </x:c>
      <x:c r="L1964">
        <x:v>0</x:v>
      </x:c>
      <x:c r="M1964">
        <x:v>0</x:v>
      </x:c>
      <x:c r="N1964">
        <x:v>0</x:v>
      </x:c>
      <x:c r="O1964">
        <x:v>0</x:v>
      </x:c>
      <x:c r="P1964">
        <x:v>0</x:v>
      </x:c>
      <x:c r="Q1964">
        <x:v>0</x:v>
      </x:c>
      <x:c r="R1964">
        <x:v>0</x:v>
      </x:c>
      <x:c r="S1964">
        <x:v>-1.2676000000000001</x:v>
      </x:c>
      <x:c r="T1964" t="str">
        <x:f>""</x:f>
        <x:v/>
      </x:c>
      <x:c r="U1964" t="str">
        <x:f>""</x:f>
        <x:v/>
      </x:c>
      <x:c r="V1964" t="str">
        <x:f>""</x:f>
        <x:v/>
      </x:c>
      <x:c r="W1964" t="str">
        <x:f>""</x:f>
        <x:v/>
      </x:c>
      <x:c r="X1964" t="str">
        <x:f>""</x:f>
        <x:v/>
      </x:c>
      <x:c r="Y1964" t="str">
        <x:f>""</x:f>
        <x:v/>
      </x:c>
      <x:c r="Z1964" t="str">
        <x:f>""</x:f>
        <x:v/>
      </x:c>
      <x:c r="AA1964" t="str">
        <x:f>""</x:f>
        <x:v/>
      </x:c>
      <x:c r="AB1964" t="str">
        <x:f>""</x:f>
        <x:v/>
      </x:c>
      <x:c r="AC1964" t="str">
        <x:f>""</x:f>
        <x:v/>
      </x:c>
      <x:c r="AD1964" t="str">
        <x:f>""</x:f>
        <x:v/>
      </x:c>
      <x:c r="AE1964" t="str">
        <x:f>""</x:f>
        <x:v/>
      </x:c>
      <x:c r="AF1964" t="str">
        <x:f>""</x:f>
        <x:v/>
      </x:c>
      <x:c r="AG1964" t="str">
        <x:f>""</x:f>
        <x:v/>
      </x:c>
    </x:row>
    <x:row r="1965" spans="1:33" x14ac:dyDescent="0.25">
      <x:c r="B1965" t="str">
        <x:f>"FMET US Equity"</x:f>
        <x:v>FMET US Equity</x:v>
      </x:c>
      <x:c r="C1965" t="str">
        <x:f t="shared" si="86"/>
        <x:v>FD447</x:v>
      </x:c>
      <x:c r="D1965" t="str">
        <x:f t="shared" si="87"/>
        <x:v>FUND_FLOW</x:v>
      </x:c>
      <x:c r="E1965" t="str">
        <x:f t="shared" si="88"/>
        <x:v>Dynamic</x:v>
      </x:c>
      <x:c r="F1965">
        <x:f ca="1">_xll.BDH($B$1965,$C$1965,$B$1010,$B$1011,CONCATENATE("Per=",$B$1008),"Dts=H","Dir=H",CONCATENATE("Points=",$B$1009),"Sort=R","Days=A","Fill=B",CONCATENATE("FX=", $B$1007),"cols=14;rows=1")</x:f>
        <x:v>0</x:v>
      </x:c>
      <x:c r="G1965">
        <x:v>8.0000000000000002E-3</x:v>
      </x:c>
      <x:c r="H1965">
        <x:v>0</x:v>
      </x:c>
      <x:c r="I1965">
        <x:v>1.3621000000000001</x:v>
      </x:c>
      <x:c r="J1965">
        <x:v>1.2536</x:v>
      </x:c>
      <x:c r="K1965">
        <x:v>0</x:v>
      </x:c>
      <x:c r="L1965">
        <x:v>0</x:v>
      </x:c>
      <x:c r="M1965">
        <x:v>0</x:v>
      </x:c>
      <x:c r="N1965">
        <x:v>0</x:v>
      </x:c>
      <x:c r="O1965">
        <x:v>0</x:v>
      </x:c>
      <x:c r="P1965">
        <x:v>0</x:v>
      </x:c>
      <x:c r="Q1965">
        <x:v>0</x:v>
      </x:c>
      <x:c r="R1965">
        <x:v>0</x:v>
      </x:c>
      <x:c r="S1965">
        <x:v>0</x:v>
      </x:c>
      <x:c r="T1965" t="str">
        <x:f>""</x:f>
        <x:v/>
      </x:c>
      <x:c r="U1965" t="str">
        <x:f>""</x:f>
        <x:v/>
      </x:c>
      <x:c r="V1965" t="str">
        <x:f>""</x:f>
        <x:v/>
      </x:c>
      <x:c r="W1965" t="str">
        <x:f>""</x:f>
        <x:v/>
      </x:c>
      <x:c r="X1965" t="str">
        <x:f>""</x:f>
        <x:v/>
      </x:c>
      <x:c r="Y1965" t="str">
        <x:f>""</x:f>
        <x:v/>
      </x:c>
      <x:c r="Z1965" t="str">
        <x:f>""</x:f>
        <x:v/>
      </x:c>
      <x:c r="AA1965" t="str">
        <x:f>""</x:f>
        <x:v/>
      </x:c>
      <x:c r="AB1965" t="str">
        <x:f>""</x:f>
        <x:v/>
      </x:c>
      <x:c r="AC1965" t="str">
        <x:f>""</x:f>
        <x:v/>
      </x:c>
      <x:c r="AD1965" t="str">
        <x:f>""</x:f>
        <x:v/>
      </x:c>
      <x:c r="AE1965" t="str">
        <x:f>""</x:f>
        <x:v/>
      </x:c>
      <x:c r="AF1965" t="str">
        <x:f>""</x:f>
        <x:v/>
      </x:c>
      <x:c r="AG1965" t="str">
        <x:f>""</x:f>
        <x:v/>
      </x:c>
    </x:row>
    <x:row r="1966" spans="1:33" x14ac:dyDescent="0.25">
      <x:c r="B1966" t="str">
        <x:f>"IVRS US Equity"</x:f>
        <x:v>IVRS US Equity</x:v>
      </x:c>
      <x:c r="C1966" t="str">
        <x:f t="shared" si="86"/>
        <x:v>FD447</x:v>
      </x:c>
      <x:c r="D1966" t="str">
        <x:f t="shared" si="87"/>
        <x:v>FUND_FLOW</x:v>
      </x:c>
      <x:c r="E1966" t="str">
        <x:f t="shared" si="88"/>
        <x:v>Dynamic</x:v>
      </x:c>
      <x:c r="F1966">
        <x:f ca="1">_xll.BDH($B$1966,$C$1966,$B$1010,$B$1011,CONCATENATE("Per=",$B$1008),"Dts=H","Dir=H",CONCATENATE("Points=",$B$1009),"Sort=R","Days=A","Fill=B",CONCATENATE("FX=", $B$1007),"cols=14;rows=1")</x:f>
        <x:v>0</x:v>
      </x:c>
      <x:c r="G1966">
        <x:v>0</x:v>
      </x:c>
      <x:c r="H1966">
        <x:v>0</x:v>
      </x:c>
      <x:c r="I1966">
        <x:v>0</x:v>
      </x:c>
      <x:c r="J1966">
        <x:v>0</x:v>
      </x:c>
      <x:c r="K1966">
        <x:v>0</x:v>
      </x:c>
      <x:c r="L1966">
        <x:v>0</x:v>
      </x:c>
      <x:c r="M1966">
        <x:v>0</x:v>
      </x:c>
      <x:c r="N1966">
        <x:v>0</x:v>
      </x:c>
      <x:c r="T1966" t="str">
        <x:f>""</x:f>
        <x:v/>
      </x:c>
      <x:c r="U1966" t="str">
        <x:f>""</x:f>
        <x:v/>
      </x:c>
      <x:c r="V1966" t="str">
        <x:f>""</x:f>
        <x:v/>
      </x:c>
      <x:c r="W1966" t="str">
        <x:f>""</x:f>
        <x:v/>
      </x:c>
      <x:c r="X1966" t="str">
        <x:f>""</x:f>
        <x:v/>
      </x:c>
      <x:c r="Y1966" t="str">
        <x:f>""</x:f>
        <x:v/>
      </x:c>
      <x:c r="Z1966" t="str">
        <x:f>""</x:f>
        <x:v/>
      </x:c>
      <x:c r="AA1966" t="str">
        <x:f>""</x:f>
        <x:v/>
      </x:c>
      <x:c r="AB1966" t="str">
        <x:f>""</x:f>
        <x:v/>
      </x:c>
      <x:c r="AC1966" t="str">
        <x:f>""</x:f>
        <x:v/>
      </x:c>
      <x:c r="AD1966" t="str">
        <x:f>""</x:f>
        <x:v/>
      </x:c>
      <x:c r="AE1966" t="str">
        <x:f>""</x:f>
        <x:v/>
      </x:c>
      <x:c r="AF1966" t="str">
        <x:f>""</x:f>
        <x:v/>
      </x:c>
      <x:c r="AG1966" t="str">
        <x:f>""</x:f>
        <x:v/>
      </x:c>
    </x:row>
    <x:row r="1967" spans="1:33" x14ac:dyDescent="0.25">
      <x:c r="B1967" t="str">
        <x:f>"VERS US Equity"</x:f>
        <x:v>VERS US Equity</x:v>
      </x:c>
      <x:c r="C1967" t="str">
        <x:f t="shared" si="86"/>
        <x:v>FD447</x:v>
      </x:c>
      <x:c r="D1967" t="str">
        <x:f t="shared" si="87"/>
        <x:v>FUND_FLOW</x:v>
      </x:c>
      <x:c r="E1967" t="str">
        <x:f t="shared" si="88"/>
        <x:v>Dynamic</x:v>
      </x:c>
      <x:c r="F1967">
        <x:f ca="1">_xll.BDH($B$1967,$C$1967,$B$1010,$B$1011,CONCATENATE("Per=",$B$1008),"Dts=H","Dir=H",CONCATENATE("Points=",$B$1009),"Sort=R","Days=A","Fill=B",CONCATENATE("FX=", $B$1007),"cols=14;rows=1")</x:f>
        <x:v>0</x:v>
      </x:c>
      <x:c r="G1967">
        <x:v>0</x:v>
      </x:c>
      <x:c r="H1967">
        <x:v>0</x:v>
      </x:c>
      <x:c r="I1967">
        <x:v>0</x:v>
      </x:c>
      <x:c r="J1967">
        <x:v>0</x:v>
      </x:c>
      <x:c r="K1967">
        <x:v>0</x:v>
      </x:c>
      <x:c r="L1967">
        <x:v>-0.66490000000000005</x:v>
      </x:c>
      <x:c r="M1967">
        <x:v>0</x:v>
      </x:c>
      <x:c r="N1967">
        <x:v>0</x:v>
      </x:c>
      <x:c r="O1967">
        <x:v>0</x:v>
      </x:c>
      <x:c r="P1967">
        <x:v>0</x:v>
      </x:c>
      <x:c r="Q1967">
        <x:v>0</x:v>
      </x:c>
      <x:c r="R1967">
        <x:v>0</x:v>
      </x:c>
      <x:c r="S1967">
        <x:v>0</x:v>
      </x:c>
      <x:c r="T1967" t="str">
        <x:f>""</x:f>
        <x:v/>
      </x:c>
      <x:c r="U1967" t="str">
        <x:f>""</x:f>
        <x:v/>
      </x:c>
      <x:c r="V1967" t="str">
        <x:f>""</x:f>
        <x:v/>
      </x:c>
      <x:c r="W1967" t="str">
        <x:f>""</x:f>
        <x:v/>
      </x:c>
      <x:c r="X1967" t="str">
        <x:f>""</x:f>
        <x:v/>
      </x:c>
      <x:c r="Y1967" t="str">
        <x:f>""</x:f>
        <x:v/>
      </x:c>
      <x:c r="Z1967" t="str">
        <x:f>""</x:f>
        <x:v/>
      </x:c>
      <x:c r="AA1967" t="str">
        <x:f>""</x:f>
        <x:v/>
      </x:c>
      <x:c r="AB1967" t="str">
        <x:f>""</x:f>
        <x:v/>
      </x:c>
      <x:c r="AC1967" t="str">
        <x:f>""</x:f>
        <x:v/>
      </x:c>
      <x:c r="AD1967" t="str">
        <x:f>""</x:f>
        <x:v/>
      </x:c>
      <x:c r="AE1967" t="str">
        <x:f>""</x:f>
        <x:v/>
      </x:c>
      <x:c r="AF1967" t="str">
        <x:f>""</x:f>
        <x:v/>
      </x:c>
      <x:c r="AG1967" t="str">
        <x:f>""</x:f>
        <x:v/>
      </x:c>
    </x:row>
    <x:row r="1968" spans="1:33" x14ac:dyDescent="0.25">
      <x:c r="A1968" t="str">
        <x:f>""</x:f>
        <x:v/>
      </x:c>
      <x:c r="B1968" t="str">
        <x:f>""</x:f>
        <x:v/>
      </x:c>
      <x:c r="C1968" t="str">
        <x:f>""</x:f>
        <x:v/>
      </x:c>
      <x:c r="D1968" t="str">
        <x:f>""</x:f>
        <x:v/>
      </x:c>
      <x:c r="E1968" t="str">
        <x:f>""</x:f>
        <x:v/>
      </x:c>
      <x:c r="T1968" t="str">
        <x:f>""</x:f>
        <x:v/>
      </x:c>
      <x:c r="U1968" t="str">
        <x:f>""</x:f>
        <x:v/>
      </x:c>
      <x:c r="V1968" t="str">
        <x:f>""</x:f>
        <x:v/>
      </x:c>
      <x:c r="W1968" t="str">
        <x:f>""</x:f>
        <x:v/>
      </x:c>
      <x:c r="X1968" t="str">
        <x:f>""</x:f>
        <x:v/>
      </x:c>
      <x:c r="Y1968" t="str">
        <x:f>""</x:f>
        <x:v/>
      </x:c>
      <x:c r="Z1968" t="str">
        <x:f>""</x:f>
        <x:v/>
      </x:c>
      <x:c r="AA1968" t="str">
        <x:f>""</x:f>
        <x:v/>
      </x:c>
      <x:c r="AB1968" t="str">
        <x:f>""</x:f>
        <x:v/>
      </x:c>
      <x:c r="AC1968" t="str">
        <x:f>""</x:f>
        <x:v/>
      </x:c>
      <x:c r="AD1968" t="str">
        <x:f>""</x:f>
        <x:v/>
      </x:c>
      <x:c r="AE1968" t="str">
        <x:f>""</x:f>
        <x:v/>
      </x:c>
      <x:c r="AF1968" t="str">
        <x:f>""</x:f>
        <x:v/>
      </x:c>
      <x:c r="AG1968" t="str">
        <x:f>""</x:f>
        <x:v/>
      </x:c>
    </x:row>
    <x:row r="1969" spans="1:33" x14ac:dyDescent="0.25">
      <x:c r="A1969" t="str">
        <x:f>""</x:f>
        <x:v/>
      </x:c>
      <x:c r="B1969" t="str">
        <x:f>""</x:f>
        <x:v/>
      </x:c>
      <x:c r="C1969" t="str">
        <x:f>""</x:f>
        <x:v/>
      </x:c>
      <x:c r="D1969" t="str">
        <x:f>""</x:f>
        <x:v/>
      </x:c>
      <x:c r="E1969" t="str">
        <x:f>""</x:f>
        <x:v/>
      </x:c>
      <x:c r="T1969" t="str">
        <x:f>""</x:f>
        <x:v/>
      </x:c>
      <x:c r="U1969" t="str">
        <x:f>""</x:f>
        <x:v/>
      </x:c>
      <x:c r="V1969" t="str">
        <x:f>""</x:f>
        <x:v/>
      </x:c>
      <x:c r="W1969" t="str">
        <x:f>""</x:f>
        <x:v/>
      </x:c>
      <x:c r="X1969" t="str">
        <x:f>""</x:f>
        <x:v/>
      </x:c>
      <x:c r="Y1969" t="str">
        <x:f>""</x:f>
        <x:v/>
      </x:c>
      <x:c r="Z1969" t="str">
        <x:f>""</x:f>
        <x:v/>
      </x:c>
      <x:c r="AA1969" t="str">
        <x:f>""</x:f>
        <x:v/>
      </x:c>
      <x:c r="AB1969" t="str">
        <x:f>""</x:f>
        <x:v/>
      </x:c>
      <x:c r="AC1969" t="str">
        <x:f>""</x:f>
        <x:v/>
      </x:c>
      <x:c r="AD1969" t="str">
        <x:f>""</x:f>
        <x:v/>
      </x:c>
      <x:c r="AE1969" t="str">
        <x:f>""</x:f>
        <x:v/>
      </x:c>
      <x:c r="AF1969" t="str">
        <x:f>""</x:f>
        <x:v/>
      </x:c>
      <x:c r="AG1969" t="str">
        <x:f>""</x:f>
        <x:v/>
      </x:c>
    </x:row>
    <x:row r="1970" spans="1:33" x14ac:dyDescent="0.25">
      <x:c r="A1970" t="str">
        <x:f>""</x:f>
        <x:v/>
      </x:c>
      <x:c r="B1970" t="str">
        <x:f>""</x:f>
        <x:v/>
      </x:c>
      <x:c r="C1970" t="str">
        <x:f>""</x:f>
        <x:v/>
      </x:c>
      <x:c r="D1970" t="str">
        <x:f>""</x:f>
        <x:v/>
      </x:c>
      <x:c r="E1970" t="str">
        <x:f>""</x:f>
        <x:v/>
      </x:c>
      <x:c r="T1970" t="str">
        <x:f>""</x:f>
        <x:v/>
      </x:c>
      <x:c r="U1970" t="str">
        <x:f>""</x:f>
        <x:v/>
      </x:c>
      <x:c r="V1970" t="str">
        <x:f>""</x:f>
        <x:v/>
      </x:c>
      <x:c r="W1970" t="str">
        <x:f>""</x:f>
        <x:v/>
      </x:c>
      <x:c r="X1970" t="str">
        <x:f>""</x:f>
        <x:v/>
      </x:c>
      <x:c r="Y1970" t="str">
        <x:f>""</x:f>
        <x:v/>
      </x:c>
      <x:c r="Z1970" t="str">
        <x:f>""</x:f>
        <x:v/>
      </x:c>
      <x:c r="AA1970" t="str">
        <x:f>""</x:f>
        <x:v/>
      </x:c>
      <x:c r="AB1970" t="str">
        <x:f>""</x:f>
        <x:v/>
      </x:c>
      <x:c r="AC1970" t="str">
        <x:f>""</x:f>
        <x:v/>
      </x:c>
      <x:c r="AD1970" t="str">
        <x:f>""</x:f>
        <x:v/>
      </x:c>
      <x:c r="AE1970" t="str">
        <x:f>""</x:f>
        <x:v/>
      </x:c>
      <x:c r="AF1970" t="str">
        <x:f>""</x:f>
        <x:v/>
      </x:c>
      <x:c r="AG1970" t="str">
        <x:f>""</x:f>
        <x:v/>
      </x:c>
    </x:row>
    <x:row r="1971" spans="1:33" x14ac:dyDescent="0.25">
      <x:c r="A1971" t="str">
        <x:f>""</x:f>
        <x:v/>
      </x:c>
      <x:c r="B1971" t="str">
        <x:f>""</x:f>
        <x:v/>
      </x:c>
      <x:c r="C1971" t="str">
        <x:f>""</x:f>
        <x:v/>
      </x:c>
      <x:c r="D1971" t="str">
        <x:f>""</x:f>
        <x:v/>
      </x:c>
      <x:c r="E1971" t="str">
        <x:f>""</x:f>
        <x:v/>
      </x:c>
      <x:c r="T1971" t="str">
        <x:f>""</x:f>
        <x:v/>
      </x:c>
      <x:c r="U1971" t="str">
        <x:f>""</x:f>
        <x:v/>
      </x:c>
      <x:c r="V1971" t="str">
        <x:f>""</x:f>
        <x:v/>
      </x:c>
      <x:c r="W1971" t="str">
        <x:f>""</x:f>
        <x:v/>
      </x:c>
      <x:c r="X1971" t="str">
        <x:f>""</x:f>
        <x:v/>
      </x:c>
      <x:c r="Y1971" t="str">
        <x:f>""</x:f>
        <x:v/>
      </x:c>
      <x:c r="Z1971" t="str">
        <x:f>""</x:f>
        <x:v/>
      </x:c>
      <x:c r="AA1971" t="str">
        <x:f>""</x:f>
        <x:v/>
      </x:c>
      <x:c r="AB1971" t="str">
        <x:f>""</x:f>
        <x:v/>
      </x:c>
      <x:c r="AC1971" t="str">
        <x:f>""</x:f>
        <x:v/>
      </x:c>
      <x:c r="AD1971" t="str">
        <x:f>""</x:f>
        <x:v/>
      </x:c>
      <x:c r="AE1971" t="str">
        <x:f>""</x:f>
        <x:v/>
      </x:c>
      <x:c r="AF1971" t="str">
        <x:f>""</x:f>
        <x:v/>
      </x:c>
      <x:c r="AG1971" t="str">
        <x:f>""</x:f>
        <x:v/>
      </x:c>
    </x:row>
    <x:row r="1972" spans="1:33" x14ac:dyDescent="0.25">
      <x:c r="A1972" t="str">
        <x:f>""</x:f>
        <x:v/>
      </x:c>
      <x:c r="B1972" t="str">
        <x:f>""</x:f>
        <x:v/>
      </x:c>
      <x:c r="C1972" t="str">
        <x:f>""</x:f>
        <x:v/>
      </x:c>
      <x:c r="D1972" t="str">
        <x:f>""</x:f>
        <x:v/>
      </x:c>
      <x:c r="E1972" t="str">
        <x:f>""</x:f>
        <x:v/>
      </x:c>
      <x:c r="T1972" t="str">
        <x:f>""</x:f>
        <x:v/>
      </x:c>
      <x:c r="U1972" t="str">
        <x:f>""</x:f>
        <x:v/>
      </x:c>
      <x:c r="V1972" t="str">
        <x:f>""</x:f>
        <x:v/>
      </x:c>
      <x:c r="W1972" t="str">
        <x:f>""</x:f>
        <x:v/>
      </x:c>
      <x:c r="X1972" t="str">
        <x:f>""</x:f>
        <x:v/>
      </x:c>
      <x:c r="Y1972" t="str">
        <x:f>""</x:f>
        <x:v/>
      </x:c>
      <x:c r="Z1972" t="str">
        <x:f>""</x:f>
        <x:v/>
      </x:c>
      <x:c r="AA1972" t="str">
        <x:f>""</x:f>
        <x:v/>
      </x:c>
      <x:c r="AB1972" t="str">
        <x:f>""</x:f>
        <x:v/>
      </x:c>
      <x:c r="AC1972" t="str">
        <x:f>""</x:f>
        <x:v/>
      </x:c>
      <x:c r="AD1972" t="str">
        <x:f>""</x:f>
        <x:v/>
      </x:c>
      <x:c r="AE1972" t="str">
        <x:f>""</x:f>
        <x:v/>
      </x:c>
      <x:c r="AF1972" t="str">
        <x:f>""</x:f>
        <x:v/>
      </x:c>
      <x:c r="AG1972" t="str">
        <x:f>""</x:f>
        <x:v/>
      </x:c>
    </x:row>
    <x:row r="1973" spans="1:33" x14ac:dyDescent="0.25">
      <x:c r="A1973" t="str">
        <x:f>"~~~~~~~~~~~~~~~~~~~~~"</x:f>
        <x:v>~~~~~~~~~~~~~~~~~~~~~</x:v>
      </x:c>
      <x:c r="B1973" t="str">
        <x:f>"~~~~~~~~~~~~~~~~~~~~~"</x:f>
        <x:v>~~~~~~~~~~~~~~~~~~~~~</x:v>
      </x:c>
      <x:c r="C1973" t="str">
        <x:f>"~~~~~~~~~~~~~~~~~~~~~"</x:f>
        <x:v>~~~~~~~~~~~~~~~~~~~~~</x:v>
      </x:c>
      <x:c r="D1973" t="str">
        <x:f>"~~~~~~~~~~~~~~~~~~~~~"</x:f>
        <x:v>~~~~~~~~~~~~~~~~~~~~~</x:v>
      </x:c>
      <x:c r="E1973" t="str">
        <x:f>"~~~~~~~~~~~~~~~~~~~~~"</x:f>
        <x:v>~~~~~~~~~~~~~~~~~~~~~</x:v>
      </x:c>
      <x:c r="T1973" t="str">
        <x:f>""</x:f>
        <x:v/>
      </x:c>
      <x:c r="U1973" t="str">
        <x:f>""</x:f>
        <x:v/>
      </x:c>
      <x:c r="V1973" t="str">
        <x:f>""</x:f>
        <x:v/>
      </x:c>
      <x:c r="W1973" t="str">
        <x:f>""</x:f>
        <x:v/>
      </x:c>
      <x:c r="X1973" t="str">
        <x:f>""</x:f>
        <x:v/>
      </x:c>
      <x:c r="Y1973" t="str">
        <x:f>""</x:f>
        <x:v/>
      </x:c>
      <x:c r="Z1973" t="str">
        <x:f>""</x:f>
        <x:v/>
      </x:c>
      <x:c r="AA1973" t="str">
        <x:f>""</x:f>
        <x:v/>
      </x:c>
      <x:c r="AB1973" t="str">
        <x:f>""</x:f>
        <x:v/>
      </x:c>
      <x:c r="AC1973" t="str">
        <x:f>""</x:f>
        <x:v/>
      </x:c>
      <x:c r="AD1973" t="str">
        <x:f>""</x:f>
        <x:v/>
      </x:c>
      <x:c r="AE1973" t="str">
        <x:f>""</x:f>
        <x:v/>
      </x:c>
      <x:c r="AF1973" t="str">
        <x:f>""</x:f>
        <x:v/>
      </x:c>
      <x:c r="AG1973" t="str">
        <x:f>""</x:f>
        <x:v/>
      </x:c>
    </x:row>
    <x:row r="1974" spans="1:33" x14ac:dyDescent="0.25">
      <x:c r="A1974" t="str">
        <x:f>"Rows below for column date calculation"</x:f>
        <x:v>Rows below for column date calculation</x:v>
      </x:c>
      <x:c r="T1974" t="str">
        <x:f>""</x:f>
        <x:v/>
      </x:c>
      <x:c r="U1974" t="str">
        <x:f>""</x:f>
        <x:v/>
      </x:c>
      <x:c r="V1974" t="str">
        <x:f>""</x:f>
        <x:v/>
      </x:c>
      <x:c r="W1974" t="str">
        <x:f>""</x:f>
        <x:v/>
      </x:c>
      <x:c r="X1974" t="str">
        <x:f>""</x:f>
        <x:v/>
      </x:c>
      <x:c r="Y1974" t="str">
        <x:f>""</x:f>
        <x:v/>
      </x:c>
      <x:c r="Z1974" t="str">
        <x:f>""</x:f>
        <x:v/>
      </x:c>
      <x:c r="AA1974" t="str">
        <x:f>""</x:f>
        <x:v/>
      </x:c>
      <x:c r="AB1974" t="str">
        <x:f>""</x:f>
        <x:v/>
      </x:c>
      <x:c r="AC1974" t="str">
        <x:f>""</x:f>
        <x:v/>
      </x:c>
      <x:c r="AD1974" t="str">
        <x:f>""</x:f>
        <x:v/>
      </x:c>
      <x:c r="AE1974" t="str">
        <x:f>""</x:f>
        <x:v/>
      </x:c>
      <x:c r="AF1974" t="str">
        <x:f>""</x:f>
        <x:v/>
      </x:c>
      <x:c r="AG1974" t="str">
        <x:f>""</x:f>
        <x:v/>
      </x:c>
    </x:row>
    <x:row r="1975" spans="1:33" x14ac:dyDescent="0.25">
      <x:c r="A1975" t="str">
        <x:f>"Downloaded at"</x:f>
        <x:v>Downloaded at</x:v>
      </x:c>
      <x:c r="B1975">
        <x:f>DATE(2023, 11,29)</x:f>
        <x:v>45259</x:v>
      </x:c>
      <x:c r="C1975" t="str">
        <x:f>""</x:f>
        <x:v/>
      </x:c>
      <x:c r="D1975" t="str">
        <x:f>""</x:f>
        <x:v/>
      </x:c>
      <x:c r="E1975" t="str">
        <x:f>""</x:f>
        <x:v/>
      </x:c>
      <x:c r="T1975" t="str">
        <x:f>""</x:f>
        <x:v/>
      </x:c>
      <x:c r="U1975" t="str">
        <x:f>""</x:f>
        <x:v/>
      </x:c>
      <x:c r="V1975" t="str">
        <x:f>""</x:f>
        <x:v/>
      </x:c>
      <x:c r="W1975" t="str">
        <x:f>""</x:f>
        <x:v/>
      </x:c>
      <x:c r="X1975" t="str">
        <x:f>""</x:f>
        <x:v/>
      </x:c>
      <x:c r="Y1975" t="str">
        <x:f>""</x:f>
        <x:v/>
      </x:c>
      <x:c r="Z1975" t="str">
        <x:f>""</x:f>
        <x:v/>
      </x:c>
      <x:c r="AA1975" t="str">
        <x:f>""</x:f>
        <x:v/>
      </x:c>
      <x:c r="AB1975" t="str">
        <x:f>""</x:f>
        <x:v/>
      </x:c>
      <x:c r="AC1975" t="str">
        <x:f>""</x:f>
        <x:v/>
      </x:c>
      <x:c r="AD1975" t="str">
        <x:f>""</x:f>
        <x:v/>
      </x:c>
      <x:c r="AE1975" t="str">
        <x:f>""</x:f>
        <x:v/>
      </x:c>
      <x:c r="AF1975" t="str">
        <x:f>""</x:f>
        <x:v/>
      </x:c>
      <x:c r="AG1975" t="str">
        <x:f>""</x:f>
        <x:v/>
      </x:c>
    </x:row>
    <x:row r="1976" spans="1:33" x14ac:dyDescent="0.25">
      <x:c r="A1976" t="str">
        <x:f>"This is End Date"</x:f>
        <x:v>This is End Date</x:v>
      </x:c>
      <x:c r="B1976">
        <x:f ca="1">$B$1011</x:f>
        <x:v>45259</x:v>
      </x:c>
      <x:c r="C1976" t="str">
        <x:f>""</x:f>
        <x:v/>
      </x:c>
      <x:c r="D1976" t="str">
        <x:f>""</x:f>
        <x:v/>
      </x:c>
      <x:c r="E1976" t="str">
        <x:f>""</x:f>
        <x:v/>
      </x:c>
      <x:c r="T1976" t="str">
        <x:f>""</x:f>
        <x:v/>
      </x:c>
      <x:c r="U1976" t="str">
        <x:f>""</x:f>
        <x:v/>
      </x:c>
      <x:c r="V1976" t="str">
        <x:f>""</x:f>
        <x:v/>
      </x:c>
      <x:c r="W1976" t="str">
        <x:f>""</x:f>
        <x:v/>
      </x:c>
      <x:c r="X1976" t="str">
        <x:f>""</x:f>
        <x:v/>
      </x:c>
      <x:c r="Y1976" t="str">
        <x:f>""</x:f>
        <x:v/>
      </x:c>
      <x:c r="Z1976" t="str">
        <x:f>""</x:f>
        <x:v/>
      </x:c>
      <x:c r="AA1976" t="str">
        <x:f>""</x:f>
        <x:v/>
      </x:c>
      <x:c r="AB1976" t="str">
        <x:f>""</x:f>
        <x:v/>
      </x:c>
      <x:c r="AC1976" t="str">
        <x:f>""</x:f>
        <x:v/>
      </x:c>
      <x:c r="AD1976" t="str">
        <x:f>""</x:f>
        <x:v/>
      </x:c>
      <x:c r="AE1976" t="str">
        <x:f>""</x:f>
        <x:v/>
      </x:c>
      <x:c r="AF1976" t="str">
        <x:f>""</x:f>
        <x:v/>
      </x:c>
      <x:c r="AG1976" t="str">
        <x:f>""</x:f>
        <x:v/>
      </x:c>
    </x:row>
    <x:row r="1977" spans="1:33" x14ac:dyDescent="0.25">
      <x:c r="A1977" t="str">
        <x:f>"Description"</x:f>
        <x:v>Description</x:v>
      </x:c>
      <x:c r="B1977" t="str">
        <x:f>"Ticker"</x:f>
        <x:v>Ticker</x:v>
      </x:c>
      <x:c r="C1977" t="str">
        <x:f>"Field ID"</x:f>
        <x:v>Field ID</x:v>
      </x:c>
      <x:c r="D1977" t="str">
        <x:f>"Field Mnemonic"</x:f>
        <x:v>Field Mnemonic</x:v>
      </x:c>
      <x:c r="E1977" t="str">
        <x:f>"Data State"</x:f>
        <x:v>Data State</x:v>
      </x:c>
      <x:c r="T1977" t="str">
        <x:f>""</x:f>
        <x:v/>
      </x:c>
      <x:c r="U1977" t="str">
        <x:f>""</x:f>
        <x:v/>
      </x:c>
      <x:c r="V1977" t="str">
        <x:f>""</x:f>
        <x:v/>
      </x:c>
      <x:c r="W1977" t="str">
        <x:f>""</x:f>
        <x:v/>
      </x:c>
      <x:c r="X1977" t="str">
        <x:f>""</x:f>
        <x:v/>
      </x:c>
      <x:c r="Y1977" t="str">
        <x:f>""</x:f>
        <x:v/>
      </x:c>
      <x:c r="Z1977" t="str">
        <x:f>""</x:f>
        <x:v/>
      </x:c>
      <x:c r="AA1977" t="str">
        <x:f>""</x:f>
        <x:v/>
      </x:c>
      <x:c r="AB1977" t="str">
        <x:f>""</x:f>
        <x:v/>
      </x:c>
      <x:c r="AC1977" t="str">
        <x:f>""</x:f>
        <x:v/>
      </x:c>
      <x:c r="AD1977" t="str">
        <x:f>""</x:f>
        <x:v/>
      </x:c>
      <x:c r="AE1977" t="str">
        <x:f>""</x:f>
        <x:v/>
      </x:c>
      <x:c r="AF1977" t="str">
        <x:f>""</x:f>
        <x:v/>
      </x:c>
      <x:c r="AG1977" t="str">
        <x:f>""</x:f>
        <x:v/>
      </x:c>
    </x:row>
    <x:row r="1978" spans="1:33" x14ac:dyDescent="0.25">
      <x:c r="A1978" t="str">
        <x:f>"Snapshot Date"</x:f>
        <x:v>Snapshot Date</x:v>
      </x:c>
      <x:c r="B1978">
        <x:f>DATE(2023, 11,29)</x:f>
        <x:v>45259</x:v>
      </x:c>
      <x:c r="C1978" t="str">
        <x:f>""</x:f>
        <x:v/>
      </x:c>
      <x:c r="D1978" t="str">
        <x:f>""</x:f>
        <x:v/>
      </x:c>
      <x:c r="E1978" t="str">
        <x:f>""</x:f>
        <x:v/>
      </x:c>
      <x:c r="T1978" t="str">
        <x:f>""</x:f>
        <x:v/>
      </x:c>
      <x:c r="U1978" t="str">
        <x:f>""</x:f>
        <x:v/>
      </x:c>
      <x:c r="V1978" t="str">
        <x:f>""</x:f>
        <x:v/>
      </x:c>
      <x:c r="W1978" t="str">
        <x:f>""</x:f>
        <x:v/>
      </x:c>
      <x:c r="X1978" t="str">
        <x:f>""</x:f>
        <x:v/>
      </x:c>
      <x:c r="Y1978" t="str">
        <x:f>""</x:f>
        <x:v/>
      </x:c>
      <x:c r="Z1978" t="str">
        <x:f>""</x:f>
        <x:v/>
      </x:c>
      <x:c r="AA1978" t="str">
        <x:f>""</x:f>
        <x:v/>
      </x:c>
      <x:c r="AB1978" t="str">
        <x:f>""</x:f>
        <x:v/>
      </x:c>
      <x:c r="AC1978" t="str">
        <x:f>""</x:f>
        <x:v/>
      </x:c>
      <x:c r="AD1978" t="str">
        <x:f>""</x:f>
        <x:v/>
      </x:c>
      <x:c r="AE1978" t="str">
        <x:f>""</x:f>
        <x:v/>
      </x:c>
      <x:c r="AF1978" t="str">
        <x:f>""</x:f>
        <x:v/>
      </x:c>
      <x:c r="AG1978" t="str">
        <x:f>""</x:f>
        <x:v/>
      </x:c>
    </x:row>
    <x:row r="1979" spans="1:33" x14ac:dyDescent="0.25">
      <x:c r="A1979" t="str">
        <x:f>"Snapshot header"</x:f>
        <x:v>Snapshot header</x:v>
      </x:c>
      <x:c r="B1979">
        <x:f>2</x:f>
        <x:v>2</x:v>
      </x:c>
      <x:c r="C1979" t="str">
        <x:f>"11/2023"</x:f>
        <x:v>11/2023</x:v>
      </x:c>
      <x:c r="D1979" t="str">
        <x:f>"10/2023"</x:f>
        <x:v>10/2023</x:v>
      </x:c>
      <x:c r="E1979" t="str">
        <x:f>"9/2023"</x:f>
        <x:v>9/2023</x:v>
      </x:c>
      <x:c r="F1979" t="str">
        <x:f>"8/2023"</x:f>
        <x:v>8/2023</x:v>
      </x:c>
      <x:c r="G1979" t="str">
        <x:f>"7/2023"</x:f>
        <x:v>7/2023</x:v>
      </x:c>
      <x:c r="H1979" t="str">
        <x:f>"6/2023"</x:f>
        <x:v>6/2023</x:v>
      </x:c>
      <x:c r="I1979" t="str">
        <x:f>"5/2023"</x:f>
        <x:v>5/2023</x:v>
      </x:c>
      <x:c r="J1979" t="str">
        <x:f>"4/2023"</x:f>
        <x:v>4/2023</x:v>
      </x:c>
      <x:c r="K1979" t="str">
        <x:f>"3/2023"</x:f>
        <x:v>3/2023</x:v>
      </x:c>
      <x:c r="L1979" t="str">
        <x:f>"2/2023"</x:f>
        <x:v>2/2023</x:v>
      </x:c>
      <x:c r="M1979" t="str">
        <x:f>"1/2023"</x:f>
        <x:v>1/2023</x:v>
      </x:c>
      <x:c r="N1979" t="str">
        <x:f>"12/2022"</x:f>
        <x:v>12/2022</x:v>
      </x:c>
      <x:c r="O1979" t="str">
        <x:f>"11/2022"</x:f>
        <x:v>11/2022</x:v>
      </x:c>
      <x:c r="P1979" t="str">
        <x:f>"10/2022"</x:f>
        <x:v>10/2022</x:v>
      </x:c>
      <x:c r="T1979" t="str">
        <x:f>""</x:f>
        <x:v/>
      </x:c>
      <x:c r="U1979" t="str">
        <x:f>""</x:f>
        <x:v/>
      </x:c>
      <x:c r="V1979" t="str">
        <x:f>""</x:f>
        <x:v/>
      </x:c>
      <x:c r="W1979" t="str">
        <x:f>""</x:f>
        <x:v/>
      </x:c>
      <x:c r="X1979" t="str">
        <x:f>""</x:f>
        <x:v/>
      </x:c>
      <x:c r="Y1979" t="str">
        <x:f>""</x:f>
        <x:v/>
      </x:c>
      <x:c r="Z1979" t="str">
        <x:f>""</x:f>
        <x:v/>
      </x:c>
      <x:c r="AA1979" t="str">
        <x:f>""</x:f>
        <x:v/>
      </x:c>
      <x:c r="AB1979" t="str">
        <x:f>""</x:f>
        <x:v/>
      </x:c>
      <x:c r="AC1979" t="str">
        <x:f>""</x:f>
        <x:v/>
      </x:c>
      <x:c r="AD1979" t="str">
        <x:f>""</x:f>
        <x:v/>
      </x:c>
      <x:c r="AE1979" t="str">
        <x:f>""</x:f>
        <x:v/>
      </x:c>
      <x:c r="AF1979" t="str">
        <x:f>""</x:f>
        <x:v/>
      </x:c>
      <x:c r="AG1979" t="str">
        <x:f>""</x:f>
        <x:v/>
      </x:c>
    </x:row>
    <x:row r="1980" spans="1:33" x14ac:dyDescent="0.25">
      <x:c r="A1980" t="str">
        <x:f>"BDH snapshot header0"</x:f>
        <x:v>BDH snapshot header0</x:v>
      </x:c>
      <x:c r="B1980">
        <x:f>IF(OR(ISERROR($C$1980),ISBLANK($C$1980),ISNUMBER(SEARCH("N/A",$C$1980) ),ISERROR($C$1981),ISBLANK($C$1981)),0,1)</x:f>
        <x:v>0</x:v>
      </x:c>
      <x:c r="C1980" t="str">
        <x:f>_xll.BDH($B$1014,$C$1014,$B$1010,$B$1978,"PER=CM","Dts=S","DtFmt=FI", "rows=2","Dir=H","Points=14","Sort=R","Days=A","Fill=B","FX=USD" )</x:f>
        <x:v>#N/A Invalid Parameter: Invalid override field id specified</x:v>
      </x:c>
      <x:c r="T1980" t="str">
        <x:f>""</x:f>
        <x:v/>
      </x:c>
      <x:c r="U1980" t="str">
        <x:f>""</x:f>
        <x:v/>
      </x:c>
      <x:c r="V1980" t="str">
        <x:f>""</x:f>
        <x:v/>
      </x:c>
      <x:c r="W1980" t="str">
        <x:f>""</x:f>
        <x:v/>
      </x:c>
      <x:c r="X1980" t="str">
        <x:f>""</x:f>
        <x:v/>
      </x:c>
      <x:c r="Y1980" t="str">
        <x:f>""</x:f>
        <x:v/>
      </x:c>
      <x:c r="Z1980" t="str">
        <x:f>""</x:f>
        <x:v/>
      </x:c>
      <x:c r="AA1980" t="str">
        <x:f>""</x:f>
        <x:v/>
      </x:c>
      <x:c r="AB1980" t="str">
        <x:f>""</x:f>
        <x:v/>
      </x:c>
      <x:c r="AC1980" t="str">
        <x:f>""</x:f>
        <x:v/>
      </x:c>
      <x:c r="AD1980" t="str">
        <x:f>""</x:f>
        <x:v/>
      </x:c>
      <x:c r="AE1980" t="str">
        <x:f>""</x:f>
        <x:v/>
      </x:c>
      <x:c r="AF1980" t="str">
        <x:f>""</x:f>
        <x:v/>
      </x:c>
      <x:c r="AG1980" t="str">
        <x:f>""</x:f>
        <x:v/>
      </x:c>
    </x:row>
    <x:row r="1981" spans="1:33" x14ac:dyDescent="0.25">
      <x:c r="A1981" t="str">
        <x:f>"BDH snapshot result0"</x:f>
        <x:v>BDH snapshot result0</x:v>
      </x:c>
      <x:c r="T1981" t="str">
        <x:f>""</x:f>
        <x:v/>
      </x:c>
      <x:c r="U1981" t="str">
        <x:f>""</x:f>
        <x:v/>
      </x:c>
      <x:c r="V1981" t="str">
        <x:f>""</x:f>
        <x:v/>
      </x:c>
      <x:c r="W1981" t="str">
        <x:f>""</x:f>
        <x:v/>
      </x:c>
      <x:c r="X1981" t="str">
        <x:f>""</x:f>
        <x:v/>
      </x:c>
      <x:c r="Y1981" t="str">
        <x:f>""</x:f>
        <x:v/>
      </x:c>
      <x:c r="Z1981" t="str">
        <x:f>""</x:f>
        <x:v/>
      </x:c>
      <x:c r="AA1981" t="str">
        <x:f>""</x:f>
        <x:v/>
      </x:c>
      <x:c r="AB1981" t="str">
        <x:f>""</x:f>
        <x:v/>
      </x:c>
      <x:c r="AC1981" t="str">
        <x:f>""</x:f>
        <x:v/>
      </x:c>
      <x:c r="AD1981" t="str">
        <x:f>""</x:f>
        <x:v/>
      </x:c>
      <x:c r="AE1981" t="str">
        <x:f>""</x:f>
        <x:v/>
      </x:c>
      <x:c r="AF1981" t="str">
        <x:f>""</x:f>
        <x:v/>
      </x:c>
      <x:c r="AG1981" t="str">
        <x:f>""</x:f>
        <x:v/>
      </x:c>
    </x:row>
    <x:row r="1982" spans="1:33" x14ac:dyDescent="0.25">
      <x:c r="A1982" t="str">
        <x:f>"BDH snapshot header1"</x:f>
        <x:v>BDH snapshot header1</x:v>
      </x:c>
      <x:c r="B1982">
        <x:f>IF(OR(ISERROR($C$1982),ISBLANK($C$1982),ISNUMBER(SEARCH("N/A",$C$1982) ),ISERROR($C$1983),ISBLANK($C$1983)),0,1)</x:f>
        <x:v>0</x:v>
      </x:c>
      <x:c r="C1982" t="str">
        <x:f>_xll.BDH($B$1015,$C$1015,$B$1010,$B$1978,"PER=CM","Dts=S","DtFmt=FI", "rows=2","Dir=H","Points=14","Sort=R","Days=A","Fill=B","FX=USD" )</x:f>
        <x:v>#N/A Invalid Parameter: Invalid override field id specified</x:v>
      </x:c>
      <x:c r="T1982" t="str">
        <x:f>""</x:f>
        <x:v/>
      </x:c>
      <x:c r="U1982" t="str">
        <x:f>""</x:f>
        <x:v/>
      </x:c>
      <x:c r="V1982" t="str">
        <x:f>""</x:f>
        <x:v/>
      </x:c>
      <x:c r="W1982" t="str">
        <x:f>""</x:f>
        <x:v/>
      </x:c>
      <x:c r="X1982" t="str">
        <x:f>""</x:f>
        <x:v/>
      </x:c>
      <x:c r="Y1982" t="str">
        <x:f>""</x:f>
        <x:v/>
      </x:c>
      <x:c r="Z1982" t="str">
        <x:f>""</x:f>
        <x:v/>
      </x:c>
      <x:c r="AA1982" t="str">
        <x:f>""</x:f>
        <x:v/>
      </x:c>
      <x:c r="AB1982" t="str">
        <x:f>""</x:f>
        <x:v/>
      </x:c>
      <x:c r="AC1982" t="str">
        <x:f>""</x:f>
        <x:v/>
      </x:c>
      <x:c r="AD1982" t="str">
        <x:f>""</x:f>
        <x:v/>
      </x:c>
      <x:c r="AE1982" t="str">
        <x:f>""</x:f>
        <x:v/>
      </x:c>
      <x:c r="AF1982" t="str">
        <x:f>""</x:f>
        <x:v/>
      </x:c>
      <x:c r="AG1982" t="str">
        <x:f>""</x:f>
        <x:v/>
      </x:c>
    </x:row>
    <x:row r="1983" spans="1:33" x14ac:dyDescent="0.25">
      <x:c r="A1983" t="str">
        <x:f>"BDH snapshot result1"</x:f>
        <x:v>BDH snapshot result1</x:v>
      </x:c>
      <x:c r="T1983" t="str">
        <x:f>""</x:f>
        <x:v/>
      </x:c>
      <x:c r="U1983" t="str">
        <x:f>""</x:f>
        <x:v/>
      </x:c>
      <x:c r="V1983" t="str">
        <x:f>""</x:f>
        <x:v/>
      </x:c>
      <x:c r="W1983" t="str">
        <x:f>""</x:f>
        <x:v/>
      </x:c>
      <x:c r="X1983" t="str">
        <x:f>""</x:f>
        <x:v/>
      </x:c>
      <x:c r="Y1983" t="str">
        <x:f>""</x:f>
        <x:v/>
      </x:c>
      <x:c r="Z1983" t="str">
        <x:f>""</x:f>
        <x:v/>
      </x:c>
      <x:c r="AA1983" t="str">
        <x:f>""</x:f>
        <x:v/>
      </x:c>
      <x:c r="AB1983" t="str">
        <x:f>""</x:f>
        <x:v/>
      </x:c>
      <x:c r="AC1983" t="str">
        <x:f>""</x:f>
        <x:v/>
      </x:c>
      <x:c r="AD1983" t="str">
        <x:f>""</x:f>
        <x:v/>
      </x:c>
      <x:c r="AE1983" t="str">
        <x:f>""</x:f>
        <x:v/>
      </x:c>
      <x:c r="AF1983" t="str">
        <x:f>""</x:f>
        <x:v/>
      </x:c>
      <x:c r="AG1983" t="str">
        <x:f>""</x:f>
        <x:v/>
      </x:c>
    </x:row>
    <x:row r="1984" spans="1:33" x14ac:dyDescent="0.25">
      <x:c r="A1984" t="str">
        <x:f>"BDH snapshot header2"</x:f>
        <x:v>BDH snapshot header2</x:v>
      </x:c>
      <x:c r="B1984">
        <x:f>IF(OR(ISERROR($C$1984),ISBLANK($C$1984),ISNUMBER(SEARCH("N/A",$C$1984) ),ISERROR($C$1985),ISBLANK($C$1985)),0,1)</x:f>
        <x:v>0</x:v>
      </x:c>
      <x:c r="C1984" t="str">
        <x:f>_xll.BDH($B$1016,$C$1016,$B$1010,$B$1978,"PER=CM","Dts=S","DtFmt=FI", "rows=2","Dir=H","Points=14","Sort=R","Days=A","Fill=B","FX=USD" )</x:f>
        <x:v>#N/A Invalid Parameter: Invalid override field id specified</x:v>
      </x:c>
      <x:c r="T1984" t="str">
        <x:f>""</x:f>
        <x:v/>
      </x:c>
      <x:c r="U1984" t="str">
        <x:f>""</x:f>
        <x:v/>
      </x:c>
      <x:c r="V1984" t="str">
        <x:f>""</x:f>
        <x:v/>
      </x:c>
      <x:c r="W1984" t="str">
        <x:f>""</x:f>
        <x:v/>
      </x:c>
      <x:c r="X1984" t="str">
        <x:f>""</x:f>
        <x:v/>
      </x:c>
      <x:c r="Y1984" t="str">
        <x:f>""</x:f>
        <x:v/>
      </x:c>
      <x:c r="Z1984" t="str">
        <x:f>""</x:f>
        <x:v/>
      </x:c>
      <x:c r="AA1984" t="str">
        <x:f>""</x:f>
        <x:v/>
      </x:c>
      <x:c r="AB1984" t="str">
        <x:f>""</x:f>
        <x:v/>
      </x:c>
      <x:c r="AC1984" t="str">
        <x:f>""</x:f>
        <x:v/>
      </x:c>
      <x:c r="AD1984" t="str">
        <x:f>""</x:f>
        <x:v/>
      </x:c>
      <x:c r="AE1984" t="str">
        <x:f>""</x:f>
        <x:v/>
      </x:c>
      <x:c r="AF1984" t="str">
        <x:f>""</x:f>
        <x:v/>
      </x:c>
      <x:c r="AG1984" t="str">
        <x:f>""</x:f>
        <x:v/>
      </x:c>
    </x:row>
    <x:row r="1985" spans="1:33" x14ac:dyDescent="0.25">
      <x:c r="A1985" t="str">
        <x:f>"BDH snapshot result2"</x:f>
        <x:v>BDH snapshot result2</x:v>
      </x:c>
      <x:c r="T1985" t="str">
        <x:f>""</x:f>
        <x:v/>
      </x:c>
      <x:c r="U1985" t="str">
        <x:f>""</x:f>
        <x:v/>
      </x:c>
      <x:c r="V1985" t="str">
        <x:f>""</x:f>
        <x:v/>
      </x:c>
      <x:c r="W1985" t="str">
        <x:f>""</x:f>
        <x:v/>
      </x:c>
      <x:c r="X1985" t="str">
        <x:f>""</x:f>
        <x:v/>
      </x:c>
      <x:c r="Y1985" t="str">
        <x:f>""</x:f>
        <x:v/>
      </x:c>
      <x:c r="Z1985" t="str">
        <x:f>""</x:f>
        <x:v/>
      </x:c>
      <x:c r="AA1985" t="str">
        <x:f>""</x:f>
        <x:v/>
      </x:c>
      <x:c r="AB1985" t="str">
        <x:f>""</x:f>
        <x:v/>
      </x:c>
      <x:c r="AC1985" t="str">
        <x:f>""</x:f>
        <x:v/>
      </x:c>
      <x:c r="AD1985" t="str">
        <x:f>""</x:f>
        <x:v/>
      </x:c>
      <x:c r="AE1985" t="str">
        <x:f>""</x:f>
        <x:v/>
      </x:c>
      <x:c r="AF1985" t="str">
        <x:f>""</x:f>
        <x:v/>
      </x:c>
      <x:c r="AG1985" t="str">
        <x:f>""</x:f>
        <x:v/>
      </x:c>
    </x:row>
    <x:row r="1986" spans="1:33" x14ac:dyDescent="0.25">
      <x:c r="A1986" t="str">
        <x:f>"BDH snapshot"</x:f>
        <x:v>BDH snapshot</x:v>
      </x:c>
      <x:c r="B1986">
        <x:f>IF($B$1980&gt;=1,$B$1980,IF($B$1982&gt;=1,$B$1982,IF($B$1984&gt;=1,$B$1984,$B$1979)))</x:f>
        <x:v>2</x:v>
      </x:c>
      <x:c r="C1986" t="str">
        <x:f>IF($B$1980&gt;=1,$C$1980,IF($B$1982&gt;=1,$C$1982,IF($B$1984&gt;=1,$C$1984,$C$1979)))</x:f>
        <x:v>11/2023</x:v>
      </x:c>
      <x:c r="D1986" t="str">
        <x:f>IF($B$1980&gt;=1,$D$1980,IF($B$1982&gt;=1,$D$1982,IF($B$1984&gt;=1,$D$1984,$D$1979)))</x:f>
        <x:v>10/2023</x:v>
      </x:c>
      <x:c r="E1986" t="str">
        <x:f>IF($B$1980&gt;=1,$E$1980,IF($B$1982&gt;=1,$E$1982,IF($B$1984&gt;=1,$E$1984,$E$1979)))</x:f>
        <x:v>9/2023</x:v>
      </x:c>
      <x:c r="F1986" t="str">
        <x:f>IF($B$1980&gt;=1,$F$1980,IF($B$1982&gt;=1,$F$1982,IF($B$1984&gt;=1,$F$1984,$F$1979)))</x:f>
        <x:v>8/2023</x:v>
      </x:c>
      <x:c r="G1986" t="str">
        <x:f>IF($B$1980&gt;=1,$G$1980,IF($B$1982&gt;=1,$G$1982,IF($B$1984&gt;=1,$G$1984,$G$1979)))</x:f>
        <x:v>7/2023</x:v>
      </x:c>
      <x:c r="H1986" t="str">
        <x:f>IF($B$1980&gt;=1,$H$1980,IF($B$1982&gt;=1,$H$1982,IF($B$1984&gt;=1,$H$1984,$H$1979)))</x:f>
        <x:v>6/2023</x:v>
      </x:c>
      <x:c r="I1986" t="str">
        <x:f>IF($B$1980&gt;=1,$I$1980,IF($B$1982&gt;=1,$I$1982,IF($B$1984&gt;=1,$I$1984,$I$1979)))</x:f>
        <x:v>5/2023</x:v>
      </x:c>
      <x:c r="J1986" t="str">
        <x:f>IF($B$1980&gt;=1,$J$1980,IF($B$1982&gt;=1,$J$1982,IF($B$1984&gt;=1,$J$1984,$J$1979)))</x:f>
        <x:v>4/2023</x:v>
      </x:c>
      <x:c r="K1986" t="str">
        <x:f>IF($B$1980&gt;=1,$K$1980,IF($B$1982&gt;=1,$K$1982,IF($B$1984&gt;=1,$K$1984,$K$1979)))</x:f>
        <x:v>3/2023</x:v>
      </x:c>
      <x:c r="L1986" t="str">
        <x:f>IF($B$1980&gt;=1,$L$1980,IF($B$1982&gt;=1,$L$1982,IF($B$1984&gt;=1,$L$1984,$L$1979)))</x:f>
        <x:v>2/2023</x:v>
      </x:c>
      <x:c r="M1986" t="str">
        <x:f>IF($B$1980&gt;=1,$M$1980,IF($B$1982&gt;=1,$M$1982,IF($B$1984&gt;=1,$M$1984,$M$1979)))</x:f>
        <x:v>1/2023</x:v>
      </x:c>
      <x:c r="N1986" t="str">
        <x:f>IF($B$1980&gt;=1,$N$1980,IF($B$1982&gt;=1,$N$1982,IF($B$1984&gt;=1,$N$1984,$N$1979)))</x:f>
        <x:v>12/2022</x:v>
      </x:c>
      <x:c r="O1986" t="str">
        <x:f>IF($B$1980&gt;=1,$O$1980,IF($B$1982&gt;=1,$O$1982,IF($B$1984&gt;=1,$O$1984,$O$1979)))</x:f>
        <x:v>11/2022</x:v>
      </x:c>
      <x:c r="P1986" t="str">
        <x:f>IF($B$1980&gt;=1,$P$1980,IF($B$1982&gt;=1,$P$1982,IF($B$1984&gt;=1,$P$1984,$P$1979)))</x:f>
        <x:v>10/2022</x:v>
      </x:c>
      <x:c r="T1986" t="str">
        <x:f>""</x:f>
        <x:v/>
      </x:c>
      <x:c r="U1986" t="str">
        <x:f>""</x:f>
        <x:v/>
      </x:c>
      <x:c r="V1986" t="str">
        <x:f>""</x:f>
        <x:v/>
      </x:c>
      <x:c r="W1986" t="str">
        <x:f>""</x:f>
        <x:v/>
      </x:c>
      <x:c r="X1986" t="str">
        <x:f>""</x:f>
        <x:v/>
      </x:c>
      <x:c r="Y1986" t="str">
        <x:f>""</x:f>
        <x:v/>
      </x:c>
      <x:c r="Z1986" t="str">
        <x:f>""</x:f>
        <x:v/>
      </x:c>
      <x:c r="AA1986" t="str">
        <x:f>""</x:f>
        <x:v/>
      </x:c>
      <x:c r="AB1986" t="str">
        <x:f>""</x:f>
        <x:v/>
      </x:c>
      <x:c r="AC1986" t="str">
        <x:f>""</x:f>
        <x:v/>
      </x:c>
      <x:c r="AD1986" t="str">
        <x:f>""</x:f>
        <x:v/>
      </x:c>
      <x:c r="AE1986" t="str">
        <x:f>""</x:f>
        <x:v/>
      </x:c>
      <x:c r="AF1986" t="str">
        <x:f>""</x:f>
        <x:v/>
      </x:c>
      <x:c r="AG1986" t="str">
        <x:f>""</x:f>
        <x:v/>
      </x:c>
    </x:row>
    <x:row r="1987" spans="1:33" x14ac:dyDescent="0.25">
      <x:c r="A1987" t="str">
        <x:f>"BDH snapshot title"</x:f>
        <x:v>BDH snapshot title</x:v>
      </x:c>
      <x:c r="B1987">
        <x:f>$B$1986</x:f>
        <x:v>2</x:v>
      </x:c>
      <x:c r="C1987" t="str">
        <x:f>$C$1986</x:f>
        <x:v>11/2023</x:v>
      </x:c>
      <x:c r="D1987" t="str">
        <x:f>$D$1986</x:f>
        <x:v>10/2023</x:v>
      </x:c>
      <x:c r="E1987" t="str">
        <x:f>$E$1986</x:f>
        <x:v>9/2023</x:v>
      </x:c>
      <x:c r="F1987" t="str">
        <x:f>$F$1986</x:f>
        <x:v>8/2023</x:v>
      </x:c>
      <x:c r="G1987" t="str">
        <x:f>$G$1986</x:f>
        <x:v>7/2023</x:v>
      </x:c>
      <x:c r="H1987" t="str">
        <x:f>$H$1986</x:f>
        <x:v>6/2023</x:v>
      </x:c>
      <x:c r="I1987" t="str">
        <x:f>$I$1986</x:f>
        <x:v>5/2023</x:v>
      </x:c>
      <x:c r="J1987" t="str">
        <x:f>$J$1986</x:f>
        <x:v>4/2023</x:v>
      </x:c>
      <x:c r="K1987" t="str">
        <x:f>$K$1986</x:f>
        <x:v>3/2023</x:v>
      </x:c>
      <x:c r="L1987" t="str">
        <x:f>$L$1986</x:f>
        <x:v>2/2023</x:v>
      </x:c>
      <x:c r="M1987" t="str">
        <x:f>$M$1986</x:f>
        <x:v>1/2023</x:v>
      </x:c>
      <x:c r="N1987" t="str">
        <x:f>$N$1986</x:f>
        <x:v>12/2022</x:v>
      </x:c>
      <x:c r="O1987" t="str">
        <x:f>$O$1986</x:f>
        <x:v>11/2022</x:v>
      </x:c>
      <x:c r="P1987" t="str">
        <x:f>$P$1986</x:f>
        <x:v>10/2022</x:v>
      </x:c>
      <x:c r="T1987" t="str">
        <x:f>""</x:f>
        <x:v/>
      </x:c>
      <x:c r="U1987" t="str">
        <x:f>""</x:f>
        <x:v/>
      </x:c>
      <x:c r="V1987" t="str">
        <x:f>""</x:f>
        <x:v/>
      </x:c>
      <x:c r="W1987" t="str">
        <x:f>""</x:f>
        <x:v/>
      </x:c>
      <x:c r="X1987" t="str">
        <x:f>""</x:f>
        <x:v/>
      </x:c>
      <x:c r="Y1987" t="str">
        <x:f>""</x:f>
        <x:v/>
      </x:c>
      <x:c r="Z1987" t="str">
        <x:f>""</x:f>
        <x:v/>
      </x:c>
      <x:c r="AA1987" t="str">
        <x:f>""</x:f>
        <x:v/>
      </x:c>
      <x:c r="AB1987" t="str">
        <x:f>""</x:f>
        <x:v/>
      </x:c>
      <x:c r="AC1987" t="str">
        <x:f>""</x:f>
        <x:v/>
      </x:c>
      <x:c r="AD1987" t="str">
        <x:f>""</x:f>
        <x:v/>
      </x:c>
      <x:c r="AE1987" t="str">
        <x:f>""</x:f>
        <x:v/>
      </x:c>
      <x:c r="AF1987" t="str">
        <x:f>""</x:f>
        <x:v/>
      </x:c>
      <x:c r="AG1987" t="str">
        <x:f>""</x:f>
        <x:v/>
      </x:c>
    </x:row>
    <x:row r="1988" spans="1:33" x14ac:dyDescent="0.25">
      <x:c r="A1988" t="str">
        <x:f>"BDH dynamic header0"</x:f>
        <x:v>BDH dynamic header0</x:v>
      </x:c>
      <x:c r="B1988">
        <x:f ca="1">IF(OR(ISERROR($C$1988),ISBLANK($C$1988),ISNUMBER(SEARCH("N/A",$C$1988) ),ISERROR($C$1989),ISBLANK($C$1989)),0,1)</x:f>
        <x:v>0</x:v>
      </x:c>
      <x:c r="C1988" t="str">
        <x:f ca="1">_xll.BDH($B$1014,$C$1014,$B$1010,$B$1011,"PER=CM","Dts=S","DtFmt=FI", "rows=2","Dir=H","Points=14","Sort=R","Days=A","Fill=B","FX=USD" )</x:f>
        <x:v>#N/A Invalid Parameter: Invalid override field id specified</x:v>
      </x:c>
      <x:c r="T1988" t="str">
        <x:f>""</x:f>
        <x:v/>
      </x:c>
      <x:c r="U1988" t="str">
        <x:f>""</x:f>
        <x:v/>
      </x:c>
      <x:c r="V1988" t="str">
        <x:f>""</x:f>
        <x:v/>
      </x:c>
      <x:c r="W1988" t="str">
        <x:f>""</x:f>
        <x:v/>
      </x:c>
      <x:c r="X1988" t="str">
        <x:f>""</x:f>
        <x:v/>
      </x:c>
      <x:c r="Y1988" t="str">
        <x:f>""</x:f>
        <x:v/>
      </x:c>
      <x:c r="Z1988" t="str">
        <x:f>""</x:f>
        <x:v/>
      </x:c>
      <x:c r="AA1988" t="str">
        <x:f>""</x:f>
        <x:v/>
      </x:c>
      <x:c r="AB1988" t="str">
        <x:f>""</x:f>
        <x:v/>
      </x:c>
      <x:c r="AC1988" t="str">
        <x:f>""</x:f>
        <x:v/>
      </x:c>
      <x:c r="AD1988" t="str">
        <x:f>""</x:f>
        <x:v/>
      </x:c>
      <x:c r="AE1988" t="str">
        <x:f>""</x:f>
        <x:v/>
      </x:c>
      <x:c r="AF1988" t="str">
        <x:f>""</x:f>
        <x:v/>
      </x:c>
      <x:c r="AG1988" t="str">
        <x:f>""</x:f>
        <x:v/>
      </x:c>
    </x:row>
    <x:row r="1989" spans="1:33" x14ac:dyDescent="0.25">
      <x:c r="A1989" t="str">
        <x:f>"BDH dynamic result0"</x:f>
        <x:v>BDH dynamic result0</x:v>
      </x:c>
      <x:c r="T1989" t="str">
        <x:f>""</x:f>
        <x:v/>
      </x:c>
      <x:c r="U1989" t="str">
        <x:f>""</x:f>
        <x:v/>
      </x:c>
      <x:c r="V1989" t="str">
        <x:f>""</x:f>
        <x:v/>
      </x:c>
      <x:c r="W1989" t="str">
        <x:f>""</x:f>
        <x:v/>
      </x:c>
      <x:c r="X1989" t="str">
        <x:f>""</x:f>
        <x:v/>
      </x:c>
      <x:c r="Y1989" t="str">
        <x:f>""</x:f>
        <x:v/>
      </x:c>
      <x:c r="Z1989" t="str">
        <x:f>""</x:f>
        <x:v/>
      </x:c>
      <x:c r="AA1989" t="str">
        <x:f>""</x:f>
        <x:v/>
      </x:c>
      <x:c r="AB1989" t="str">
        <x:f>""</x:f>
        <x:v/>
      </x:c>
      <x:c r="AC1989" t="str">
        <x:f>""</x:f>
        <x:v/>
      </x:c>
      <x:c r="AD1989" t="str">
        <x:f>""</x:f>
        <x:v/>
      </x:c>
      <x:c r="AE1989" t="str">
        <x:f>""</x:f>
        <x:v/>
      </x:c>
      <x:c r="AF1989" t="str">
        <x:f>""</x:f>
        <x:v/>
      </x:c>
      <x:c r="AG1989" t="str">
        <x:f>""</x:f>
        <x:v/>
      </x:c>
    </x:row>
    <x:row r="1990" spans="1:33" x14ac:dyDescent="0.25">
      <x:c r="A1990" t="str">
        <x:f>"BDH dynamic header1"</x:f>
        <x:v>BDH dynamic header1</x:v>
      </x:c>
      <x:c r="B1990">
        <x:f ca="1">IF(OR(ISERROR($C$1990),ISBLANK($C$1990),ISNUMBER(SEARCH("N/A",$C$1990) ),ISERROR($C$1991),ISBLANK($C$1991)),0,1)</x:f>
        <x:v>0</x:v>
      </x:c>
      <x:c r="C1990" t="str">
        <x:f ca="1">_xll.BDH($B$1015,$C$1015,$B$1010,$B$1011,"PER=CM","Dts=S","DtFmt=FI", "rows=2","Dir=H","Points=14","Sort=R","Days=A","Fill=B","FX=USD" )</x:f>
        <x:v>#N/A Invalid Parameter: Invalid override field id specified</x:v>
      </x:c>
      <x:c r="T1990" t="str">
        <x:f>""</x:f>
        <x:v/>
      </x:c>
      <x:c r="U1990" t="str">
        <x:f>""</x:f>
        <x:v/>
      </x:c>
      <x:c r="V1990" t="str">
        <x:f>""</x:f>
        <x:v/>
      </x:c>
      <x:c r="W1990" t="str">
        <x:f>""</x:f>
        <x:v/>
      </x:c>
      <x:c r="X1990" t="str">
        <x:f>""</x:f>
        <x:v/>
      </x:c>
      <x:c r="Y1990" t="str">
        <x:f>""</x:f>
        <x:v/>
      </x:c>
      <x:c r="Z1990" t="str">
        <x:f>""</x:f>
        <x:v/>
      </x:c>
      <x:c r="AA1990" t="str">
        <x:f>""</x:f>
        <x:v/>
      </x:c>
      <x:c r="AB1990" t="str">
        <x:f>""</x:f>
        <x:v/>
      </x:c>
      <x:c r="AC1990" t="str">
        <x:f>""</x:f>
        <x:v/>
      </x:c>
      <x:c r="AD1990" t="str">
        <x:f>""</x:f>
        <x:v/>
      </x:c>
      <x:c r="AE1990" t="str">
        <x:f>""</x:f>
        <x:v/>
      </x:c>
      <x:c r="AF1990" t="str">
        <x:f>""</x:f>
        <x:v/>
      </x:c>
      <x:c r="AG1990" t="str">
        <x:f>""</x:f>
        <x:v/>
      </x:c>
    </x:row>
    <x:row r="1991" spans="1:33" x14ac:dyDescent="0.25">
      <x:c r="A1991" t="str">
        <x:f>"BDH dynamic result1"</x:f>
        <x:v>BDH dynamic result1</x:v>
      </x:c>
      <x:c r="T1991" t="str">
        <x:f>""</x:f>
        <x:v/>
      </x:c>
      <x:c r="U1991" t="str">
        <x:f>""</x:f>
        <x:v/>
      </x:c>
      <x:c r="V1991" t="str">
        <x:f>""</x:f>
        <x:v/>
      </x:c>
      <x:c r="W1991" t="str">
        <x:f>""</x:f>
        <x:v/>
      </x:c>
      <x:c r="X1991" t="str">
        <x:f>""</x:f>
        <x:v/>
      </x:c>
      <x:c r="Y1991" t="str">
        <x:f>""</x:f>
        <x:v/>
      </x:c>
      <x:c r="Z1991" t="str">
        <x:f>""</x:f>
        <x:v/>
      </x:c>
      <x:c r="AA1991" t="str">
        <x:f>""</x:f>
        <x:v/>
      </x:c>
      <x:c r="AB1991" t="str">
        <x:f>""</x:f>
        <x:v/>
      </x:c>
      <x:c r="AC1991" t="str">
        <x:f>""</x:f>
        <x:v/>
      </x:c>
      <x:c r="AD1991" t="str">
        <x:f>""</x:f>
        <x:v/>
      </x:c>
      <x:c r="AE1991" t="str">
        <x:f>""</x:f>
        <x:v/>
      </x:c>
      <x:c r="AF1991" t="str">
        <x:f>""</x:f>
        <x:v/>
      </x:c>
      <x:c r="AG1991" t="str">
        <x:f>""</x:f>
        <x:v/>
      </x:c>
    </x:row>
    <x:row r="1992" spans="1:33" x14ac:dyDescent="0.25">
      <x:c r="A1992" t="str">
        <x:f>"BDH dynamic header2"</x:f>
        <x:v>BDH dynamic header2</x:v>
      </x:c>
      <x:c r="B1992">
        <x:f ca="1">IF(OR(ISERROR($C$1992),ISBLANK($C$1992),ISNUMBER(SEARCH("N/A",$C$1992) ),ISERROR($C$1993),ISBLANK($C$1993)),0,1)</x:f>
        <x:v>0</x:v>
      </x:c>
      <x:c r="C1992" t="str">
        <x:f ca="1">_xll.BDH($B$1016,$C$1016,$B$1010,$B$1011,"PER=CM","Dts=S","DtFmt=FI", "rows=2","Dir=H","Points=14","Sort=R","Days=A","Fill=B","FX=USD" )</x:f>
        <x:v>#N/A Invalid Parameter: Invalid override field id specified</x:v>
      </x:c>
      <x:c r="T1992" t="str">
        <x:f>""</x:f>
        <x:v/>
      </x:c>
      <x:c r="U1992" t="str">
        <x:f>""</x:f>
        <x:v/>
      </x:c>
      <x:c r="V1992" t="str">
        <x:f>""</x:f>
        <x:v/>
      </x:c>
      <x:c r="W1992" t="str">
        <x:f>""</x:f>
        <x:v/>
      </x:c>
      <x:c r="X1992" t="str">
        <x:f>""</x:f>
        <x:v/>
      </x:c>
      <x:c r="Y1992" t="str">
        <x:f>""</x:f>
        <x:v/>
      </x:c>
      <x:c r="Z1992" t="str">
        <x:f>""</x:f>
        <x:v/>
      </x:c>
      <x:c r="AA1992" t="str">
        <x:f>""</x:f>
        <x:v/>
      </x:c>
      <x:c r="AB1992" t="str">
        <x:f>""</x:f>
        <x:v/>
      </x:c>
      <x:c r="AC1992" t="str">
        <x:f>""</x:f>
        <x:v/>
      </x:c>
      <x:c r="AD1992" t="str">
        <x:f>""</x:f>
        <x:v/>
      </x:c>
      <x:c r="AE1992" t="str">
        <x:f>""</x:f>
        <x:v/>
      </x:c>
      <x:c r="AF1992" t="str">
        <x:f>""</x:f>
        <x:v/>
      </x:c>
      <x:c r="AG1992" t="str">
        <x:f>""</x:f>
        <x:v/>
      </x:c>
    </x:row>
    <x:row r="1993" spans="1:33" x14ac:dyDescent="0.25">
      <x:c r="A1993" t="str">
        <x:f>"BDH dynamic result2"</x:f>
        <x:v>BDH dynamic result2</x:v>
      </x:c>
      <x:c r="T1993" t="str">
        <x:f>""</x:f>
        <x:v/>
      </x:c>
      <x:c r="U1993" t="str">
        <x:f>""</x:f>
        <x:v/>
      </x:c>
      <x:c r="V1993" t="str">
        <x:f>""</x:f>
        <x:v/>
      </x:c>
      <x:c r="W1993" t="str">
        <x:f>""</x:f>
        <x:v/>
      </x:c>
      <x:c r="X1993" t="str">
        <x:f>""</x:f>
        <x:v/>
      </x:c>
      <x:c r="Y1993" t="str">
        <x:f>""</x:f>
        <x:v/>
      </x:c>
      <x:c r="Z1993" t="str">
        <x:f>""</x:f>
        <x:v/>
      </x:c>
      <x:c r="AA1993" t="str">
        <x:f>""</x:f>
        <x:v/>
      </x:c>
      <x:c r="AB1993" t="str">
        <x:f>""</x:f>
        <x:v/>
      </x:c>
      <x:c r="AC1993" t="str">
        <x:f>""</x:f>
        <x:v/>
      </x:c>
      <x:c r="AD1993" t="str">
        <x:f>""</x:f>
        <x:v/>
      </x:c>
      <x:c r="AE1993" t="str">
        <x:f>""</x:f>
        <x:v/>
      </x:c>
      <x:c r="AF1993" t="str">
        <x:f>""</x:f>
        <x:v/>
      </x:c>
      <x:c r="AG1993" t="str">
        <x:f>""</x:f>
        <x:v/>
      </x:c>
    </x:row>
    <x:row r="1994" spans="1:33" x14ac:dyDescent="0.25">
      <x:c r="A1994" t="str">
        <x:f>"BDH dynamic"</x:f>
        <x:v>BDH dynamic</x:v>
      </x:c>
      <x:c r="B1994">
        <x:f ca="1">IF($B$1988&gt;=1,$B$1988,IF($B$1990&gt;=1,$B$1990,IF($B$1992&gt;=1,$B$1992,$B$1979)))</x:f>
        <x:v>2</x:v>
      </x:c>
      <x:c r="C1994" t="str">
        <x:f ca="1">IF($B$1988&gt;=1,$C$1988,IF($B$1990&gt;=1,$C$1990,IF($B$1992&gt;=1,$C$1992,$C$1979)))</x:f>
        <x:v>11/2023</x:v>
      </x:c>
      <x:c r="D1994" t="str">
        <x:f ca="1">IF($B$1988&gt;=1,$D$1988,IF($B$1990&gt;=1,$D$1990,IF($B$1992&gt;=1,$D$1992,$D$1979)))</x:f>
        <x:v>10/2023</x:v>
      </x:c>
      <x:c r="E1994" t="str">
        <x:f ca="1">IF($B$1988&gt;=1,$E$1988,IF($B$1990&gt;=1,$E$1990,IF($B$1992&gt;=1,$E$1992,$E$1979)))</x:f>
        <x:v>9/2023</x:v>
      </x:c>
      <x:c r="F1994" t="str">
        <x:f ca="1">IF($B$1988&gt;=1,$F$1988,IF($B$1990&gt;=1,$F$1990,IF($B$1992&gt;=1,$F$1992,$F$1979)))</x:f>
        <x:v>8/2023</x:v>
      </x:c>
      <x:c r="G1994" t="str">
        <x:f ca="1">IF($B$1988&gt;=1,$G$1988,IF($B$1990&gt;=1,$G$1990,IF($B$1992&gt;=1,$G$1992,$G$1979)))</x:f>
        <x:v>7/2023</x:v>
      </x:c>
      <x:c r="H1994" t="str">
        <x:f ca="1">IF($B$1988&gt;=1,$H$1988,IF($B$1990&gt;=1,$H$1990,IF($B$1992&gt;=1,$H$1992,$H$1979)))</x:f>
        <x:v>6/2023</x:v>
      </x:c>
      <x:c r="I1994" t="str">
        <x:f ca="1">IF($B$1988&gt;=1,$I$1988,IF($B$1990&gt;=1,$I$1990,IF($B$1992&gt;=1,$I$1992,$I$1979)))</x:f>
        <x:v>5/2023</x:v>
      </x:c>
      <x:c r="J1994" t="str">
        <x:f ca="1">IF($B$1988&gt;=1,$J$1988,IF($B$1990&gt;=1,$J$1990,IF($B$1992&gt;=1,$J$1992,$J$1979)))</x:f>
        <x:v>4/2023</x:v>
      </x:c>
      <x:c r="K1994" t="str">
        <x:f ca="1">IF($B$1988&gt;=1,$K$1988,IF($B$1990&gt;=1,$K$1990,IF($B$1992&gt;=1,$K$1992,$K$1979)))</x:f>
        <x:v>3/2023</x:v>
      </x:c>
      <x:c r="L1994" t="str">
        <x:f ca="1">IF($B$1988&gt;=1,$L$1988,IF($B$1990&gt;=1,$L$1990,IF($B$1992&gt;=1,$L$1992,$L$1979)))</x:f>
        <x:v>2/2023</x:v>
      </x:c>
      <x:c r="M1994" t="str">
        <x:f ca="1">IF($B$1988&gt;=1,$M$1988,IF($B$1990&gt;=1,$M$1990,IF($B$1992&gt;=1,$M$1992,$M$1979)))</x:f>
        <x:v>1/2023</x:v>
      </x:c>
      <x:c r="N1994" t="str">
        <x:f ca="1">IF($B$1988&gt;=1,$N$1988,IF($B$1990&gt;=1,$N$1990,IF($B$1992&gt;=1,$N$1992,$N$1979)))</x:f>
        <x:v>12/2022</x:v>
      </x:c>
      <x:c r="O1994" t="str">
        <x:f ca="1">IF($B$1988&gt;=1,$O$1988,IF($B$1990&gt;=1,$O$1990,IF($B$1992&gt;=1,$O$1992,$O$1979)))</x:f>
        <x:v>11/2022</x:v>
      </x:c>
      <x:c r="P1994" t="str">
        <x:f ca="1">IF($B$1988&gt;=1,$P$1988,IF($B$1990&gt;=1,$P$1990,IF($B$1992&gt;=1,$P$1992,$P$1979)))</x:f>
        <x:v>10/2022</x:v>
      </x:c>
      <x:c r="T1994" t="str">
        <x:f>""</x:f>
        <x:v/>
      </x:c>
      <x:c r="U1994" t="str">
        <x:f>""</x:f>
        <x:v/>
      </x:c>
      <x:c r="V1994" t="str">
        <x:f>""</x:f>
        <x:v/>
      </x:c>
      <x:c r="W1994" t="str">
        <x:f>""</x:f>
        <x:v/>
      </x:c>
      <x:c r="X1994" t="str">
        <x:f>""</x:f>
        <x:v/>
      </x:c>
      <x:c r="Y1994" t="str">
        <x:f>""</x:f>
        <x:v/>
      </x:c>
      <x:c r="Z1994" t="str">
        <x:f>""</x:f>
        <x:v/>
      </x:c>
      <x:c r="AA1994" t="str">
        <x:f>""</x:f>
        <x:v/>
      </x:c>
      <x:c r="AB1994" t="str">
        <x:f>""</x:f>
        <x:v/>
      </x:c>
      <x:c r="AC1994" t="str">
        <x:f>""</x:f>
        <x:v/>
      </x:c>
      <x:c r="AD1994" t="str">
        <x:f>""</x:f>
        <x:v/>
      </x:c>
      <x:c r="AE1994" t="str">
        <x:f>""</x:f>
        <x:v/>
      </x:c>
      <x:c r="AF1994" t="str">
        <x:f>""</x:f>
        <x:v/>
      </x:c>
      <x:c r="AG1994" t="str">
        <x:f>""</x:f>
        <x:v/>
      </x:c>
    </x:row>
    <x:row r="1995" spans="1:33" x14ac:dyDescent="0.25">
      <x:c r="A1995" t="str">
        <x:f>"BDH dynamic title"</x:f>
        <x:v>BDH dynamic title</x:v>
      </x:c>
      <x:c r="B1995">
        <x:f ca="1">$B$1994</x:f>
        <x:v>2</x:v>
      </x:c>
      <x:c r="C1995" t="str">
        <x:f ca="1">$C$1994</x:f>
        <x:v>11/2023</x:v>
      </x:c>
      <x:c r="D1995" t="str">
        <x:f ca="1">$D$1994</x:f>
        <x:v>10/2023</x:v>
      </x:c>
      <x:c r="E1995" t="str">
        <x:f ca="1">$E$1994</x:f>
        <x:v>9/2023</x:v>
      </x:c>
      <x:c r="F1995" t="str">
        <x:f ca="1">$F$1994</x:f>
        <x:v>8/2023</x:v>
      </x:c>
      <x:c r="G1995" t="str">
        <x:f ca="1">$G$1994</x:f>
        <x:v>7/2023</x:v>
      </x:c>
      <x:c r="H1995" t="str">
        <x:f ca="1">$H$1994</x:f>
        <x:v>6/2023</x:v>
      </x:c>
      <x:c r="I1995" t="str">
        <x:f ca="1">$I$1994</x:f>
        <x:v>5/2023</x:v>
      </x:c>
      <x:c r="J1995" t="str">
        <x:f ca="1">$J$1994</x:f>
        <x:v>4/2023</x:v>
      </x:c>
      <x:c r="K1995" t="str">
        <x:f ca="1">$K$1994</x:f>
        <x:v>3/2023</x:v>
      </x:c>
      <x:c r="L1995" t="str">
        <x:f ca="1">$L$1994</x:f>
        <x:v>2/2023</x:v>
      </x:c>
      <x:c r="M1995" t="str">
        <x:f ca="1">$M$1994</x:f>
        <x:v>1/2023</x:v>
      </x:c>
      <x:c r="N1995" t="str">
        <x:f ca="1">$N$1994</x:f>
        <x:v>12/2022</x:v>
      </x:c>
      <x:c r="O1995" t="str">
        <x:f ca="1">$O$1994</x:f>
        <x:v>11/2022</x:v>
      </x:c>
      <x:c r="P1995" t="str">
        <x:f ca="1">$P$1994</x:f>
        <x:v>10/2022</x:v>
      </x:c>
      <x:c r="T1995" t="str">
        <x:f>""</x:f>
        <x:v/>
      </x:c>
      <x:c r="U1995" t="str">
        <x:f>""</x:f>
        <x:v/>
      </x:c>
      <x:c r="V1995" t="str">
        <x:f>""</x:f>
        <x:v/>
      </x:c>
      <x:c r="W1995" t="str">
        <x:f>""</x:f>
        <x:v/>
      </x:c>
      <x:c r="X1995" t="str">
        <x:f>""</x:f>
        <x:v/>
      </x:c>
      <x:c r="Y1995" t="str">
        <x:f>""</x:f>
        <x:v/>
      </x:c>
      <x:c r="Z1995" t="str">
        <x:f>""</x:f>
        <x:v/>
      </x:c>
      <x:c r="AA1995" t="str">
        <x:f>""</x:f>
        <x:v/>
      </x:c>
      <x:c r="AB1995" t="str">
        <x:f>""</x:f>
        <x:v/>
      </x:c>
      <x:c r="AC1995" t="str">
        <x:f>""</x:f>
        <x:v/>
      </x:c>
      <x:c r="AD1995" t="str">
        <x:f>""</x:f>
        <x:v/>
      </x:c>
      <x:c r="AE1995" t="str">
        <x:f>""</x:f>
        <x:v/>
      </x:c>
      <x:c r="AF1995" t="str">
        <x:f>""</x:f>
        <x:v/>
      </x:c>
      <x:c r="AG1995" t="str">
        <x:f>""</x:f>
        <x:v/>
      </x:c>
    </x:row>
    <x:row r="1996" spans="1:33" x14ac:dyDescent="0.25">
      <x:c r="A1996" t="str">
        <x:f>"No error found"</x:f>
        <x:v>No error found</x:v>
      </x:c>
      <x:c r="B1996" t="str">
        <x:f>""</x:f>
        <x:v/>
      </x:c>
      <x:c r="C1996" t="str">
        <x:f>""</x:f>
        <x:v/>
      </x:c>
      <x:c r="D1996" t="str">
        <x:f>""</x:f>
        <x:v/>
      </x:c>
      <x:c r="E1996" t="str">
        <x:f>""</x:f>
        <x:v/>
      </x:c>
      <x:c r="T1996" t="str">
        <x:f>""</x:f>
        <x:v/>
      </x:c>
      <x:c r="U1996" t="str">
        <x:f>""</x:f>
        <x:v/>
      </x:c>
      <x:c r="V1996" t="str">
        <x:f>""</x:f>
        <x:v/>
      </x:c>
      <x:c r="W1996" t="str">
        <x:f>""</x:f>
        <x:v/>
      </x:c>
      <x:c r="X1996" t="str">
        <x:f>""</x:f>
        <x:v/>
      </x:c>
      <x:c r="Y1996" t="str">
        <x:f>""</x:f>
        <x:v/>
      </x:c>
      <x:c r="Z1996" t="str">
        <x:f>""</x:f>
        <x:v/>
      </x:c>
      <x:c r="AA1996" t="str">
        <x:f>""</x:f>
        <x:v/>
      </x:c>
      <x:c r="AB1996" t="str">
        <x:f>""</x:f>
        <x:v/>
      </x:c>
      <x:c r="AC1996" t="str">
        <x:f>""</x:f>
        <x:v/>
      </x:c>
      <x:c r="AD1996" t="str">
        <x:f>""</x:f>
        <x:v/>
      </x:c>
      <x:c r="AE1996" t="str">
        <x:f>""</x:f>
        <x:v/>
      </x:c>
      <x:c r="AF1996" t="str">
        <x:f>""</x:f>
        <x:v/>
      </x:c>
      <x:c r="AG1996" t="str">
        <x:f>""</x:f>
        <x:v/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33"/>
  <x:sheetViews>
    <x:sheetView workbookViewId="0"/>
  </x:sheetViews>
  <x:sheetFormatPr defaultRowHeight="15" x14ac:dyDescent="0.25"/>
  <x:cols>
    <x:col min="1" max="1" width="9.140625" bestFit="1" customWidth="1"/>
  </x:cols>
  <x:sheetData>
    <x:row r="1" spans="1:1" x14ac:dyDescent="0.25">
      <x:c r="A1" s="1"/>
    </x:row>
    <x:row r="2" spans="1:1" x14ac:dyDescent="0.25">
      <x:c r="A2" t="s">
        <x:v>0</x:v>
      </x:c>
    </x:row>
    <x:row r="3" spans="1:1" x14ac:dyDescent="0.25">
      <x:c r="A3" t="s">
        <x:v>1</x:v>
      </x:c>
    </x:row>
    <x:row r="5" spans="1:1" x14ac:dyDescent="0.25">
      <x:c r="A5" t="s">
        <x:v>2</x:v>
      </x:c>
    </x:row>
    <x:row r="6" spans="1:1" x14ac:dyDescent="0.25">
      <x:c r="A6" t="s">
        <x:v>3</x:v>
      </x:c>
    </x:row>
    <x:row r="7" spans="1:1" x14ac:dyDescent="0.25">
      <x:c r="A7" t="s">
        <x:v>4</x:v>
      </x:c>
    </x:row>
    <x:row r="8" spans="1:1" x14ac:dyDescent="0.25">
      <x:c r="A8" t="s">
        <x:v>5</x:v>
      </x:c>
    </x:row>
    <x:row r="9" spans="1:1" x14ac:dyDescent="0.25">
      <x:c r="A9" t="s">
        <x:v>6</x:v>
      </x:c>
    </x:row>
    <x:row r="11" spans="1:1" x14ac:dyDescent="0.25">
      <x:c r="A11" t="s">
        <x:v>7</x:v>
      </x:c>
    </x:row>
    <x:row r="12" spans="1:1" x14ac:dyDescent="0.25">
      <x:c r="A12" t="s">
        <x:v>8</x:v>
      </x:c>
    </x:row>
    <x:row r="13" spans="1:1" x14ac:dyDescent="0.25">
      <x:c r="A13" t="s">
        <x:v>9</x:v>
      </x:c>
    </x:row>
    <x:row r="14" spans="1:1" x14ac:dyDescent="0.25">
      <x:c r="A14" t="s">
        <x:v>10</x:v>
      </x:c>
    </x:row>
    <x:row r="15" spans="1:1" x14ac:dyDescent="0.25">
      <x:c r="A15" t="s">
        <x:v>11</x:v>
      </x:c>
    </x:row>
    <x:row r="16" spans="1:1" x14ac:dyDescent="0.25">
      <x:c r="A16" t="s">
        <x:v>12</x:v>
      </x:c>
    </x:row>
    <x:row r="17" spans="1:1" x14ac:dyDescent="0.25">
      <x:c r="A17" t="s">
        <x:v>13</x:v>
      </x:c>
    </x:row>
    <x:row r="18" spans="1:1" x14ac:dyDescent="0.25">
      <x:c r="A18" t="s">
        <x:v>14</x:v>
      </x:c>
    </x:row>
    <x:row r="20" spans="1:1" x14ac:dyDescent="0.25">
      <x:c r="A20" t="s">
        <x:v>15</x:v>
      </x:c>
    </x:row>
    <x:row r="21" spans="1:1" x14ac:dyDescent="0.25">
      <x:c r="A21" t="s">
        <x:v>16</x:v>
      </x:c>
    </x:row>
    <x:row r="22" spans="1:1" x14ac:dyDescent="0.25">
      <x:c r="A22" t="s">
        <x:v>17</x:v>
      </x:c>
    </x:row>
    <x:row r="23" spans="1:1" x14ac:dyDescent="0.25">
      <x:c r="A23" t="s">
        <x:v>18</x:v>
      </x:c>
    </x:row>
    <x:row r="24" spans="1:1" x14ac:dyDescent="0.25">
      <x:c r="A24" t="s">
        <x:v>19</x:v>
      </x:c>
    </x:row>
    <x:row r="25" spans="1:1" x14ac:dyDescent="0.25">
      <x:c r="A25" t="s">
        <x:v>20</x:v>
      </x:c>
    </x:row>
    <x:row r="26" spans="1:1" x14ac:dyDescent="0.25">
      <x:c r="A26" t="s">
        <x:v>21</x:v>
      </x:c>
    </x:row>
    <x:row r="27" spans="1:1" x14ac:dyDescent="0.25">
      <x:c r="A27" t="s">
        <x:v>22</x:v>
      </x:c>
    </x:row>
    <x:row r="28" spans="1:1" x14ac:dyDescent="0.25">
      <x:c r="A28" t="s">
        <x:v>23</x:v>
      </x:c>
    </x:row>
    <x:row r="29" spans="1:1" x14ac:dyDescent="0.25">
      <x:c r="A29" t="s">
        <x:v>24</x:v>
      </x:c>
    </x:row>
    <x:row r="30" spans="1:1" x14ac:dyDescent="0.25">
      <x:c r="A30" t="s">
        <x:v>25</x:v>
      </x:c>
    </x:row>
    <x:row r="31" spans="1:1" x14ac:dyDescent="0.25">
      <x:c r="A31" t="s">
        <x:v>2</x:v>
      </x:c>
    </x:row>
    <x:row r="32" spans="1:1" x14ac:dyDescent="0.25">
      <x:c r="A32" t="s">
        <x:v>26</x:v>
      </x:c>
    </x:row>
    <x:row r="33" spans="1:1" x14ac:dyDescent="0.25">
      <x:c r="A33" t="s">
        <x:v>27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HeadingPairs>
    <vt:vector baseType="variant" size="2">
      <vt:variant>
        <vt:lpstr>Worksheets</vt:lpstr>
      </vt:variant>
      <vt:variant>
        <vt:i4>3</vt:i4>
      </vt:variant>
    </vt:vector>
  </ap:HeadingPairs>
  <ap:TitlesOfParts>
    <vt:vector baseType="lpstr" size="3">
      <vt:lpstr>BIData</vt:lpstr>
      <vt:lpstr>ReferenceData</vt:lpstr>
      <vt:lpstr>Help-Reference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1900-01-01T05:00:00.0000000Z</dcterms:created>
  <dcterms:modified xsi:type="dcterms:W3CDTF">1900-01-01T05:00:00.0000000Z</dcterms:modified>
</coreProperties>
</file>